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fileSharing readOnlyRecommended="1"/>
  <workbookPr filterPrivacy="1" codeName="ThisWorkbook" defaultThemeVersion="124226"/>
  <xr:revisionPtr revIDLastSave="0" documentId="13_ncr:1_{FB868620-A54E-46B6-A78F-2657CF2E4DAD}" xr6:coauthVersionLast="45" xr6:coauthVersionMax="45" xr10:uidLastSave="{00000000-0000-0000-0000-000000000000}"/>
  <bookViews>
    <workbookView xWindow="-120" yWindow="-120" windowWidth="29040" windowHeight="15840" tabRatio="848" activeTab="4" xr2:uid="{00000000-000D-0000-FFFF-FFFF00000000}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 B (1)" sheetId="81" r:id="rId28"/>
    <sheet name="SCH B-5.2 B (2)" sheetId="82" r:id="rId29"/>
    <sheet name="SCH B-5.2 F (1)" sheetId="79" r:id="rId30"/>
    <sheet name="SCH B-5.2 F (2)" sheetId="80" r:id="rId31"/>
    <sheet name="SCH B-6" sheetId="28" r:id="rId32"/>
    <sheet name="SCH B-7 B" sheetId="69" r:id="rId33"/>
    <sheet name="SCH B-7 F" sheetId="30" r:id="rId34"/>
    <sheet name="SCH B-7.1 B" sheetId="68" r:id="rId35"/>
    <sheet name="SCH B-7.1 F" sheetId="67" r:id="rId36"/>
    <sheet name="SCH B-7.2 B" sheetId="33" r:id="rId37"/>
    <sheet name="SCH B-7.2 F" sheetId="83" r:id="rId38"/>
    <sheet name="SCH B-8 TC" sheetId="31" r:id="rId39"/>
    <sheet name="SCH B-8 KY" sheetId="66" r:id="rId40"/>
    <sheet name="DATA&gt;&gt;&gt;" sheetId="6" r:id="rId41"/>
    <sheet name="BS" sheetId="72" r:id="rId42"/>
    <sheet name="JURISSEP B" sheetId="13" r:id="rId43"/>
    <sheet name="JURISSEP F" sheetId="48" r:id="rId44"/>
    <sheet name="PIS B" sheetId="1" r:id="rId45"/>
    <sheet name="FCPIS B" sheetId="42" r:id="rId46"/>
    <sheet name="FC CWIP &amp; RWIP B" sheetId="44" r:id="rId47"/>
    <sheet name="PIS F" sheetId="41" r:id="rId48"/>
    <sheet name="FCPIS F" sheetId="43" r:id="rId49"/>
    <sheet name="FC CWIP &amp; RWIP F" sheetId="45" r:id="rId50"/>
    <sheet name="AFUDC" sheetId="78" r:id="rId51"/>
    <sheet name="ECR Exclusion" sheetId="76" r:id="rId52"/>
    <sheet name="ECR COR" sheetId="77" r:id="rId53"/>
    <sheet name="ECR EXP B" sheetId="50" r:id="rId54"/>
    <sheet name="ECR EXP F" sheetId="51" r:id="rId55"/>
    <sheet name="ECR DEFTAX" sheetId="55" r:id="rId56"/>
    <sheet name="DSM DEFTAX" sheetId="56" r:id="rId57"/>
    <sheet name="ECR ALLOW" sheetId="65" r:id="rId58"/>
    <sheet name="KU Depr Rates" sheetId="46" r:id="rId59"/>
    <sheet name="KU Proposed Depr Rates" sheetId="74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\" localSheetId="50" hidden="1">#REF!</definedName>
    <definedName name="\\" localSheetId="41" hidden="1">#REF!</definedName>
    <definedName name="\\" localSheetId="57" hidden="1">#REF!</definedName>
    <definedName name="\\" localSheetId="46" hidden="1">#REF!</definedName>
    <definedName name="\\" localSheetId="49" hidden="1">#REF!</definedName>
    <definedName name="\\" localSheetId="45" hidden="1">#REF!</definedName>
    <definedName name="\\" localSheetId="48" hidden="1">#REF!</definedName>
    <definedName name="\\" localSheetId="42" hidden="1">#REF!</definedName>
    <definedName name="\\" localSheetId="43" hidden="1">#REF!</definedName>
    <definedName name="\\" localSheetId="47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hidden="1">#REF!</definedName>
    <definedName name="\\\" localSheetId="50" hidden="1">#REF!</definedName>
    <definedName name="\\\" localSheetId="57" hidden="1">#REF!</definedName>
    <definedName name="\\\" localSheetId="42" hidden="1">#REF!</definedName>
    <definedName name="\\\" localSheetId="43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hidden="1">#REF!</definedName>
    <definedName name="\\\\" localSheetId="50" hidden="1">#REF!</definedName>
    <definedName name="\\\\" localSheetId="57" hidden="1">#REF!</definedName>
    <definedName name="\\\\" localSheetId="42" hidden="1">#REF!</definedName>
    <definedName name="\\\\" localSheetId="43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hidden="1">#REF!</definedName>
    <definedName name="__123Graph_1" localSheetId="50" hidden="1">#REF!</definedName>
    <definedName name="__123Graph_1" localSheetId="57" hidden="1">#REF!</definedName>
    <definedName name="__123Graph_1" localSheetId="46" hidden="1">#REF!</definedName>
    <definedName name="__123Graph_1" localSheetId="45" hidden="1">#REF!</definedName>
    <definedName name="__123Graph_1" localSheetId="43" hidden="1">#REF!</definedName>
    <definedName name="__123Graph_1" localSheetId="20" hidden="1">#REF!</definedName>
    <definedName name="__123Graph_1" localSheetId="27" hidden="1">#REF!</definedName>
    <definedName name="__123Graph_1" localSheetId="28" hidden="1">#REF!</definedName>
    <definedName name="__123Graph_1" localSheetId="29" hidden="1">#REF!</definedName>
    <definedName name="__123Graph_1" localSheetId="30" hidden="1">#REF!</definedName>
    <definedName name="__123Graph_1" localSheetId="32" hidden="1">#REF!</definedName>
    <definedName name="__123Graph_1" localSheetId="34" hidden="1">#REF!</definedName>
    <definedName name="__123Graph_1" localSheetId="35" hidden="1">#REF!</definedName>
    <definedName name="__123Graph_1" localSheetId="37" hidden="1">#REF!</definedName>
    <definedName name="__123Graph_1" localSheetId="39" hidden="1">#REF!</definedName>
    <definedName name="__123Graph_1" localSheetId="0" hidden="1">#REF!</definedName>
    <definedName name="__123Graph_1" hidden="1">#REF!</definedName>
    <definedName name="__123Graph_2" localSheetId="50" hidden="1">#REF!</definedName>
    <definedName name="__123Graph_2" localSheetId="57" hidden="1">#REF!</definedName>
    <definedName name="__123Graph_2" localSheetId="46" hidden="1">#REF!</definedName>
    <definedName name="__123Graph_2" localSheetId="45" hidden="1">#REF!</definedName>
    <definedName name="__123Graph_2" localSheetId="43" hidden="1">#REF!</definedName>
    <definedName name="__123Graph_2" localSheetId="20" hidden="1">#REF!</definedName>
    <definedName name="__123Graph_2" localSheetId="27" hidden="1">#REF!</definedName>
    <definedName name="__123Graph_2" localSheetId="28" hidden="1">#REF!</definedName>
    <definedName name="__123Graph_2" localSheetId="29" hidden="1">#REF!</definedName>
    <definedName name="__123Graph_2" localSheetId="30" hidden="1">#REF!</definedName>
    <definedName name="__123Graph_2" localSheetId="32" hidden="1">#REF!</definedName>
    <definedName name="__123Graph_2" localSheetId="34" hidden="1">#REF!</definedName>
    <definedName name="__123Graph_2" localSheetId="35" hidden="1">#REF!</definedName>
    <definedName name="__123Graph_2" localSheetId="37" hidden="1">#REF!</definedName>
    <definedName name="__123Graph_2" localSheetId="39" hidden="1">#REF!</definedName>
    <definedName name="__123Graph_2" localSheetId="0" hidden="1">#REF!</definedName>
    <definedName name="__123Graph_2" hidden="1">#REF!</definedName>
    <definedName name="__123Graph_3" localSheetId="50" hidden="1">#REF!</definedName>
    <definedName name="__123Graph_3" localSheetId="57" hidden="1">#REF!</definedName>
    <definedName name="__123Graph_3" localSheetId="46" hidden="1">#REF!</definedName>
    <definedName name="__123Graph_3" localSheetId="45" hidden="1">#REF!</definedName>
    <definedName name="__123Graph_3" localSheetId="43" hidden="1">#REF!</definedName>
    <definedName name="__123Graph_3" localSheetId="20" hidden="1">#REF!</definedName>
    <definedName name="__123Graph_3" localSheetId="27" hidden="1">#REF!</definedName>
    <definedName name="__123Graph_3" localSheetId="28" hidden="1">#REF!</definedName>
    <definedName name="__123Graph_3" localSheetId="29" hidden="1">#REF!</definedName>
    <definedName name="__123Graph_3" localSheetId="30" hidden="1">#REF!</definedName>
    <definedName name="__123Graph_3" localSheetId="32" hidden="1">#REF!</definedName>
    <definedName name="__123Graph_3" localSheetId="34" hidden="1">#REF!</definedName>
    <definedName name="__123Graph_3" localSheetId="35" hidden="1">#REF!</definedName>
    <definedName name="__123Graph_3" localSheetId="37" hidden="1">#REF!</definedName>
    <definedName name="__123Graph_3" localSheetId="39" hidden="1">#REF!</definedName>
    <definedName name="__123Graph_3" localSheetId="0" hidden="1">#REF!</definedName>
    <definedName name="__123Graph_3" hidden="1">#REF!</definedName>
    <definedName name="__123Graph_4" localSheetId="50" hidden="1">#REF!</definedName>
    <definedName name="__123Graph_4" localSheetId="57" hidden="1">#REF!</definedName>
    <definedName name="__123Graph_4" localSheetId="46" hidden="1">#REF!</definedName>
    <definedName name="__123Graph_4" localSheetId="45" hidden="1">#REF!</definedName>
    <definedName name="__123Graph_4" localSheetId="43" hidden="1">#REF!</definedName>
    <definedName name="__123Graph_4" localSheetId="20" hidden="1">#REF!</definedName>
    <definedName name="__123Graph_4" localSheetId="27" hidden="1">#REF!</definedName>
    <definedName name="__123Graph_4" localSheetId="28" hidden="1">#REF!</definedName>
    <definedName name="__123Graph_4" localSheetId="29" hidden="1">#REF!</definedName>
    <definedName name="__123Graph_4" localSheetId="30" hidden="1">#REF!</definedName>
    <definedName name="__123Graph_4" localSheetId="32" hidden="1">#REF!</definedName>
    <definedName name="__123Graph_4" localSheetId="34" hidden="1">#REF!</definedName>
    <definedName name="__123Graph_4" localSheetId="35" hidden="1">#REF!</definedName>
    <definedName name="__123Graph_4" localSheetId="37" hidden="1">#REF!</definedName>
    <definedName name="__123Graph_4" localSheetId="39" hidden="1">#REF!</definedName>
    <definedName name="__123Graph_4" localSheetId="0" hidden="1">#REF!</definedName>
    <definedName name="__123Graph_4" hidden="1">#REF!</definedName>
    <definedName name="__123Graph_5" localSheetId="50" hidden="1">#REF!</definedName>
    <definedName name="__123Graph_5" localSheetId="57" hidden="1">#REF!</definedName>
    <definedName name="__123Graph_5" localSheetId="46" hidden="1">#REF!</definedName>
    <definedName name="__123Graph_5" localSheetId="45" hidden="1">#REF!</definedName>
    <definedName name="__123Graph_5" localSheetId="43" hidden="1">#REF!</definedName>
    <definedName name="__123Graph_5" localSheetId="20" hidden="1">#REF!</definedName>
    <definedName name="__123Graph_5" localSheetId="27" hidden="1">#REF!</definedName>
    <definedName name="__123Graph_5" localSheetId="28" hidden="1">#REF!</definedName>
    <definedName name="__123Graph_5" localSheetId="29" hidden="1">#REF!</definedName>
    <definedName name="__123Graph_5" localSheetId="30" hidden="1">#REF!</definedName>
    <definedName name="__123Graph_5" localSheetId="32" hidden="1">#REF!</definedName>
    <definedName name="__123Graph_5" localSheetId="34" hidden="1">#REF!</definedName>
    <definedName name="__123Graph_5" localSheetId="35" hidden="1">#REF!</definedName>
    <definedName name="__123Graph_5" localSheetId="37" hidden="1">#REF!</definedName>
    <definedName name="__123Graph_5" localSheetId="39" hidden="1">#REF!</definedName>
    <definedName name="__123Graph_5" localSheetId="0" hidden="1">#REF!</definedName>
    <definedName name="__123Graph_5" hidden="1">#REF!</definedName>
    <definedName name="__123Graph_6" localSheetId="50" hidden="1">#REF!</definedName>
    <definedName name="__123Graph_6" localSheetId="57" hidden="1">#REF!</definedName>
    <definedName name="__123Graph_6" localSheetId="46" hidden="1">#REF!</definedName>
    <definedName name="__123Graph_6" localSheetId="45" hidden="1">#REF!</definedName>
    <definedName name="__123Graph_6" localSheetId="43" hidden="1">#REF!</definedName>
    <definedName name="__123Graph_6" localSheetId="20" hidden="1">#REF!</definedName>
    <definedName name="__123Graph_6" localSheetId="27" hidden="1">#REF!</definedName>
    <definedName name="__123Graph_6" localSheetId="28" hidden="1">#REF!</definedName>
    <definedName name="__123Graph_6" localSheetId="29" hidden="1">#REF!</definedName>
    <definedName name="__123Graph_6" localSheetId="30" hidden="1">#REF!</definedName>
    <definedName name="__123Graph_6" localSheetId="32" hidden="1">#REF!</definedName>
    <definedName name="__123Graph_6" localSheetId="34" hidden="1">#REF!</definedName>
    <definedName name="__123Graph_6" localSheetId="35" hidden="1">#REF!</definedName>
    <definedName name="__123Graph_6" localSheetId="37" hidden="1">#REF!</definedName>
    <definedName name="__123Graph_6" localSheetId="39" hidden="1">#REF!</definedName>
    <definedName name="__123Graph_6" localSheetId="0" hidden="1">#REF!</definedName>
    <definedName name="__123Graph_6" hidden="1">#REF!</definedName>
    <definedName name="__123Graph_8" localSheetId="50" hidden="1">#REF!</definedName>
    <definedName name="__123Graph_8" localSheetId="57" hidden="1">#REF!</definedName>
    <definedName name="__123Graph_8" localSheetId="46" hidden="1">#REF!</definedName>
    <definedName name="__123Graph_8" localSheetId="45" hidden="1">#REF!</definedName>
    <definedName name="__123Graph_8" localSheetId="43" hidden="1">#REF!</definedName>
    <definedName name="__123Graph_8" localSheetId="20" hidden="1">#REF!</definedName>
    <definedName name="__123Graph_8" localSheetId="27" hidden="1">#REF!</definedName>
    <definedName name="__123Graph_8" localSheetId="28" hidden="1">#REF!</definedName>
    <definedName name="__123Graph_8" localSheetId="29" hidden="1">#REF!</definedName>
    <definedName name="__123Graph_8" localSheetId="30" hidden="1">#REF!</definedName>
    <definedName name="__123Graph_8" localSheetId="32" hidden="1">#REF!</definedName>
    <definedName name="__123Graph_8" localSheetId="34" hidden="1">#REF!</definedName>
    <definedName name="__123Graph_8" localSheetId="35" hidden="1">#REF!</definedName>
    <definedName name="__123Graph_8" localSheetId="37" hidden="1">#REF!</definedName>
    <definedName name="__123Graph_8" localSheetId="39" hidden="1">#REF!</definedName>
    <definedName name="__123Graph_8" localSheetId="0" hidden="1">#REF!</definedName>
    <definedName name="__123Graph_8" hidden="1">#REF!</definedName>
    <definedName name="__123Graph_A" localSheetId="57" hidden="1">#REF!</definedName>
    <definedName name="__123Graph_A" localSheetId="32" hidden="1">#REF!</definedName>
    <definedName name="__123Graph_A" localSheetId="34" hidden="1">#REF!</definedName>
    <definedName name="__123Graph_A" localSheetId="35" hidden="1">#REF!</definedName>
    <definedName name="__123Graph_A" localSheetId="37" hidden="1">#REF!</definedName>
    <definedName name="__123Graph_A" localSheetId="39" hidden="1">#REF!</definedName>
    <definedName name="__123Graph_A" localSheetId="0" hidden="1">#REF!</definedName>
    <definedName name="__123Graph_A" hidden="1">#REF!</definedName>
    <definedName name="__123Graph_B" localSheetId="57" hidden="1">#REF!</definedName>
    <definedName name="__123Graph_B" localSheetId="32" hidden="1">#REF!</definedName>
    <definedName name="__123Graph_B" localSheetId="34" hidden="1">#REF!</definedName>
    <definedName name="__123Graph_B" localSheetId="35" hidden="1">#REF!</definedName>
    <definedName name="__123Graph_B" localSheetId="37" hidden="1">#REF!</definedName>
    <definedName name="__123Graph_B" localSheetId="39" hidden="1">#REF!</definedName>
    <definedName name="__123Graph_B" localSheetId="0" hidden="1">#REF!</definedName>
    <definedName name="__123Graph_B" hidden="1">#REF!</definedName>
    <definedName name="__123Graph_C" localSheetId="57" hidden="1">#REF!</definedName>
    <definedName name="__123Graph_C" localSheetId="32" hidden="1">#REF!</definedName>
    <definedName name="__123Graph_C" localSheetId="34" hidden="1">#REF!</definedName>
    <definedName name="__123Graph_C" localSheetId="35" hidden="1">#REF!</definedName>
    <definedName name="__123Graph_C" localSheetId="37" hidden="1">#REF!</definedName>
    <definedName name="__123Graph_C" localSheetId="39" hidden="1">#REF!</definedName>
    <definedName name="__123Graph_C" localSheetId="0" hidden="1">#REF!</definedName>
    <definedName name="__123Graph_C" hidden="1">#REF!</definedName>
    <definedName name="__123Graph_D" localSheetId="57" hidden="1">#REF!</definedName>
    <definedName name="__123Graph_D" localSheetId="32" hidden="1">#REF!</definedName>
    <definedName name="__123Graph_D" localSheetId="34" hidden="1">#REF!</definedName>
    <definedName name="__123Graph_D" localSheetId="35" hidden="1">#REF!</definedName>
    <definedName name="__123Graph_D" localSheetId="37" hidden="1">#REF!</definedName>
    <definedName name="__123Graph_D" localSheetId="39" hidden="1">#REF!</definedName>
    <definedName name="__123Graph_D" localSheetId="0" hidden="1">#REF!</definedName>
    <definedName name="__123Graph_D" hidden="1">#REF!</definedName>
    <definedName name="__123Graph_E" localSheetId="57" hidden="1">#REF!</definedName>
    <definedName name="__123Graph_E" localSheetId="32" hidden="1">#REF!</definedName>
    <definedName name="__123Graph_E" localSheetId="34" hidden="1">#REF!</definedName>
    <definedName name="__123Graph_E" localSheetId="35" hidden="1">#REF!</definedName>
    <definedName name="__123Graph_E" localSheetId="37" hidden="1">#REF!</definedName>
    <definedName name="__123Graph_E" localSheetId="39" hidden="1">#REF!</definedName>
    <definedName name="__123Graph_E" localSheetId="0" hidden="1">#REF!</definedName>
    <definedName name="__123Graph_E" hidden="1">#REF!</definedName>
    <definedName name="__123Graph_F" localSheetId="57" hidden="1">#REF!</definedName>
    <definedName name="__123Graph_F" localSheetId="32" hidden="1">#REF!</definedName>
    <definedName name="__123Graph_F" localSheetId="34" hidden="1">#REF!</definedName>
    <definedName name="__123Graph_F" localSheetId="35" hidden="1">#REF!</definedName>
    <definedName name="__123Graph_F" localSheetId="37" hidden="1">#REF!</definedName>
    <definedName name="__123Graph_F" localSheetId="39" hidden="1">#REF!</definedName>
    <definedName name="__123Graph_F" localSheetId="0" hidden="1">#REF!</definedName>
    <definedName name="__123Graph_F" hidden="1">#REF!</definedName>
    <definedName name="__123Graph_X" localSheetId="50" hidden="1">#REF!</definedName>
    <definedName name="__123Graph_X" localSheetId="41" hidden="1">#REF!</definedName>
    <definedName name="__123Graph_X" localSheetId="57" hidden="1">#REF!</definedName>
    <definedName name="__123Graph_X" localSheetId="46" hidden="1">#REF!</definedName>
    <definedName name="__123Graph_X" localSheetId="49" hidden="1">#REF!</definedName>
    <definedName name="__123Graph_X" localSheetId="45" hidden="1">#REF!</definedName>
    <definedName name="__123Graph_X" localSheetId="48" hidden="1">#REF!</definedName>
    <definedName name="__123Graph_X" localSheetId="42" hidden="1">#REF!</definedName>
    <definedName name="__123Graph_X" localSheetId="43" hidden="1">#REF!</definedName>
    <definedName name="__123Graph_X" localSheetId="47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hidden="1">#REF!</definedName>
    <definedName name="__key3" localSheetId="50" hidden="1">#REF!</definedName>
    <definedName name="__key3" localSheetId="27" hidden="1">#REF!</definedName>
    <definedName name="__key3" localSheetId="28" hidden="1">#REF!</definedName>
    <definedName name="__key3" localSheetId="29" hidden="1">#REF!</definedName>
    <definedName name="__key3" localSheetId="30" hidden="1">#REF!</definedName>
    <definedName name="__key3" localSheetId="37" hidden="1">#REF!</definedName>
    <definedName name="__key3" hidden="1">#REF!</definedName>
    <definedName name="_36__123Graph_BCHART_1" localSheetId="27" hidden="1">'[1]HOSPICE OPSUM'!#REF!</definedName>
    <definedName name="_36__123Graph_BCHART_1" localSheetId="28" hidden="1">'[1]HOSPICE OPSUM'!#REF!</definedName>
    <definedName name="_36__123Graph_BCHART_1" localSheetId="29" hidden="1">'[1]HOSPICE OPSUM'!#REF!</definedName>
    <definedName name="_36__123Graph_BCHART_1" localSheetId="30" hidden="1">'[1]HOSPICE OPSUM'!#REF!</definedName>
    <definedName name="_36__123Graph_BCHART_1" localSheetId="37" hidden="1">'[1]HOSPICE OPSUM'!#REF!</definedName>
    <definedName name="_36__123Graph_BCHART_1" hidden="1">'[1]HOSPICE OPSUM'!#REF!</definedName>
    <definedName name="_Fill" localSheetId="57" hidden="1">#REF!</definedName>
    <definedName name="_Fill" localSheetId="43" hidden="1">#REF!</definedName>
    <definedName name="_Fill" localSheetId="20" hidden="1">#REF!</definedName>
    <definedName name="_Fill" localSheetId="22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7" hidden="1">#REF!</definedName>
    <definedName name="_Fill" localSheetId="39" hidden="1">#REF!</definedName>
    <definedName name="_Fill" localSheetId="0" hidden="1">#REF!</definedName>
    <definedName name="_Fill" hidden="1">#REF!</definedName>
    <definedName name="_xlnm._FilterDatabase" localSheetId="23" hidden="1">'SCH B-4.2 B'!$B$1:$B$182</definedName>
    <definedName name="_xlnm._FilterDatabase" localSheetId="24" hidden="1">'SCH B-4.2 F'!$A$12:$R$273</definedName>
    <definedName name="_xlnm._FilterDatabase" localSheetId="28" hidden="1">'SCH B-5.2 B (2)'!$A$10:$W$34</definedName>
    <definedName name="_xlnm._FilterDatabase" localSheetId="30" hidden="1">'SCH B-5.2 F (2)'!$A$10:$W$34</definedName>
    <definedName name="_Key1" localSheetId="50" hidden="1">#REF!</definedName>
    <definedName name="_Key1" localSheetId="52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7" hidden="1">#REF!</definedName>
    <definedName name="_Key1" hidden="1">#REF!</definedName>
    <definedName name="_Key2" localSheetId="50" hidden="1">#REF!</definedName>
    <definedName name="_Key2" localSheetId="52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7" hidden="1">#REF!</definedName>
    <definedName name="_Key2" hidden="1">#REF!</definedName>
    <definedName name="_Key3" localSheetId="50" hidden="1">#REF!</definedName>
    <definedName name="_Key3" localSheetId="52" hidden="1">#REF!</definedName>
    <definedName name="_Key3" localSheetId="27" hidden="1">#REF!</definedName>
    <definedName name="_Key3" localSheetId="28" hidden="1">#REF!</definedName>
    <definedName name="_Key3" localSheetId="29" hidden="1">#REF!</definedName>
    <definedName name="_Key3" localSheetId="30" hidden="1">#REF!</definedName>
    <definedName name="_Key3" localSheetId="37" hidden="1">#REF!</definedName>
    <definedName name="_Key3" hidden="1">#REF!</definedName>
    <definedName name="_key4" localSheetId="50" hidden="1">#REF!</definedName>
    <definedName name="_key4" localSheetId="27" hidden="1">#REF!</definedName>
    <definedName name="_key4" localSheetId="28" hidden="1">#REF!</definedName>
    <definedName name="_key4" localSheetId="29" hidden="1">#REF!</definedName>
    <definedName name="_key4" localSheetId="30" hidden="1">#REF!</definedName>
    <definedName name="_key4" localSheetId="37" hidden="1">#REF!</definedName>
    <definedName name="_key4" hidden="1">#REF!</definedName>
    <definedName name="_Order1" hidden="1">0</definedName>
    <definedName name="_Order1a" hidden="1">0</definedName>
    <definedName name="_Order2" hidden="1">0</definedName>
    <definedName name="_Order2a" hidden="1">0</definedName>
    <definedName name="_Regression_Int" localSheetId="4" hidden="1">1</definedName>
    <definedName name="_Sort" localSheetId="50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7" hidden="1">#REF!</definedName>
    <definedName name="_Sort" hidden="1">#REF!</definedName>
    <definedName name="_Table1_In1" localSheetId="27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7" hidden="1">#REF!</definedName>
    <definedName name="_Table1_In1" hidden="1">#REF!</definedName>
    <definedName name="_Table1_Out" localSheetId="27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7" hidden="1">#REF!</definedName>
    <definedName name="_Table1_Out" hidden="1">#REF!</definedName>
    <definedName name="_Table1_Out_2" localSheetId="27" hidden="1">#REF!</definedName>
    <definedName name="_Table1_Out_2" localSheetId="28" hidden="1">#REF!</definedName>
    <definedName name="_Table1_Out_2" localSheetId="29" hidden="1">#REF!</definedName>
    <definedName name="_Table1_Out_2" localSheetId="30" hidden="1">#REF!</definedName>
    <definedName name="_Table1_Out_2" localSheetId="37" hidden="1">#REF!</definedName>
    <definedName name="_Table1_Out_2" hidden="1">#REF!</definedName>
    <definedName name="_Table2_In1" localSheetId="27" hidden="1">'[2]Bank Model'!#REF!</definedName>
    <definedName name="_Table2_In1" localSheetId="28" hidden="1">'[2]Bank Model'!#REF!</definedName>
    <definedName name="_Table2_In1" localSheetId="29" hidden="1">'[2]Bank Model'!#REF!</definedName>
    <definedName name="_Table2_In1" localSheetId="30" hidden="1">'[2]Bank Model'!#REF!</definedName>
    <definedName name="_Table2_In1" localSheetId="37" hidden="1">'[2]Bank Model'!#REF!</definedName>
    <definedName name="_Table2_In1" hidden="1">'[2]Bank Model'!#REF!</definedName>
    <definedName name="_Table2_In2" localSheetId="27" hidden="1">'[2]Bank Model'!#REF!</definedName>
    <definedName name="_Table2_In2" localSheetId="28" hidden="1">'[2]Bank Model'!#REF!</definedName>
    <definedName name="_Table2_In2" localSheetId="29" hidden="1">'[2]Bank Model'!#REF!</definedName>
    <definedName name="_Table2_In2" localSheetId="30" hidden="1">'[2]Bank Model'!#REF!</definedName>
    <definedName name="_Table2_In2" localSheetId="37" hidden="1">'[2]Bank Model'!#REF!</definedName>
    <definedName name="_Table2_In2" hidden="1">'[2]Bank Model'!#REF!</definedName>
    <definedName name="_Table2_Out" localSheetId="27" hidden="1">'[2]Bank Model'!#REF!</definedName>
    <definedName name="_Table2_Out" localSheetId="28" hidden="1">'[2]Bank Model'!#REF!</definedName>
    <definedName name="_Table2_Out" localSheetId="29" hidden="1">'[2]Bank Model'!#REF!</definedName>
    <definedName name="_Table2_Out" localSheetId="30" hidden="1">'[2]Bank Model'!#REF!</definedName>
    <definedName name="_Table2_Out" localSheetId="37" hidden="1">'[2]Bank Model'!#REF!</definedName>
    <definedName name="_Table2_Out" hidden="1">'[2]Bank Model'!#REF!</definedName>
    <definedName name="_Table2_Out_2" localSheetId="27" hidden="1">#REF!</definedName>
    <definedName name="_Table2_Out_2" localSheetId="28" hidden="1">#REF!</definedName>
    <definedName name="_Table2_Out_2" localSheetId="29" hidden="1">#REF!</definedName>
    <definedName name="_Table2_Out_2" localSheetId="30" hidden="1">#REF!</definedName>
    <definedName name="_Table2_Out_2" localSheetId="37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2" hidden="1">{"'Server Configuration'!$A$1:$DB$281"}</definedName>
    <definedName name="ahahahahaha" localSheetId="57" hidden="1">{"'Server Configuration'!$A$1:$DB$281"}</definedName>
    <definedName name="ahahahahaha" localSheetId="52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asdfasdfasdfas" localSheetId="27" hidden="1">#REF!</definedName>
    <definedName name="asdfasdfasdfas" localSheetId="28" hidden="1">#REF!</definedName>
    <definedName name="asdfasdfasdfas" localSheetId="29" hidden="1">#REF!</definedName>
    <definedName name="asdfasdfasdfas" localSheetId="30" hidden="1">#REF!</definedName>
    <definedName name="asdfasdfasdfas" localSheetId="37" hidden="1">#REF!</definedName>
    <definedName name="asdfasdfasdfas" hidden="1">#REF!</definedName>
    <definedName name="blip" localSheetId="2" hidden="1">{"'Server Configuration'!$A$1:$DB$281"}</definedName>
    <definedName name="blip" localSheetId="57" hidden="1">{"'Server Configuration'!$A$1:$DB$281"}</definedName>
    <definedName name="blip" localSheetId="52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BLPH1" hidden="1">'[3]Natural gas'!$A$3</definedName>
    <definedName name="BLPR1020040129204514642" localSheetId="27" hidden="1">'[4]Spread Sheet'!#REF!</definedName>
    <definedName name="BLPR1020040129204514642" localSheetId="28" hidden="1">'[4]Spread Sheet'!#REF!</definedName>
    <definedName name="BLPR1020040129204514642" localSheetId="29" hidden="1">'[4]Spread Sheet'!#REF!</definedName>
    <definedName name="BLPR1020040129204514642" localSheetId="30" hidden="1">'[4]Spread Sheet'!#REF!</definedName>
    <definedName name="BLPR1020040129204514642" localSheetId="37" hidden="1">'[4]Spread Sheet'!#REF!</definedName>
    <definedName name="BLPR1020040129204514642" hidden="1">'[4]Spread Sheet'!#REF!</definedName>
    <definedName name="BLPR1020040129204514642_1_5" localSheetId="27" hidden="1">'[4]Spread Sheet'!#REF!</definedName>
    <definedName name="BLPR1020040129204514642_1_5" localSheetId="28" hidden="1">'[4]Spread Sheet'!#REF!</definedName>
    <definedName name="BLPR1020040129204514642_1_5" localSheetId="29" hidden="1">'[4]Spread Sheet'!#REF!</definedName>
    <definedName name="BLPR1020040129204514642_1_5" localSheetId="30" hidden="1">'[4]Spread Sheet'!#REF!</definedName>
    <definedName name="BLPR1020040129204514642_1_5" localSheetId="37" hidden="1">'[4]Spread Sheet'!#REF!</definedName>
    <definedName name="BLPR1020040129204514642_1_5" hidden="1">'[4]Spread Sheet'!#REF!</definedName>
    <definedName name="BLPR1020040129204514642_2_5" localSheetId="27" hidden="1">'[4]Spread Sheet'!#REF!</definedName>
    <definedName name="BLPR1020040129204514642_2_5" localSheetId="28" hidden="1">'[4]Spread Sheet'!#REF!</definedName>
    <definedName name="BLPR1020040129204514642_2_5" localSheetId="29" hidden="1">'[4]Spread Sheet'!#REF!</definedName>
    <definedName name="BLPR1020040129204514642_2_5" localSheetId="30" hidden="1">'[4]Spread Sheet'!#REF!</definedName>
    <definedName name="BLPR1020040129204514642_2_5" localSheetId="37" hidden="1">'[4]Spread Sheet'!#REF!</definedName>
    <definedName name="BLPR1020040129204514642_2_5" hidden="1">'[4]Spread Sheet'!#REF!</definedName>
    <definedName name="BLPR1020040129204514642_3_5" localSheetId="27" hidden="1">'[4]Spread Sheet'!#REF!</definedName>
    <definedName name="BLPR1020040129204514642_3_5" localSheetId="28" hidden="1">'[4]Spread Sheet'!#REF!</definedName>
    <definedName name="BLPR1020040129204514642_3_5" localSheetId="29" hidden="1">'[4]Spread Sheet'!#REF!</definedName>
    <definedName name="BLPR1020040129204514642_3_5" localSheetId="30" hidden="1">'[4]Spread Sheet'!#REF!</definedName>
    <definedName name="BLPR1020040129204514642_3_5" localSheetId="37" hidden="1">'[4]Spread Sheet'!#REF!</definedName>
    <definedName name="BLPR1020040129204514642_3_5" hidden="1">'[4]Spread Sheet'!#REF!</definedName>
    <definedName name="BLPR1020040129204514642_4_5" localSheetId="27" hidden="1">'[4]Spread Sheet'!#REF!</definedName>
    <definedName name="BLPR1020040129204514642_4_5" localSheetId="28" hidden="1">'[4]Spread Sheet'!#REF!</definedName>
    <definedName name="BLPR1020040129204514642_4_5" localSheetId="29" hidden="1">'[4]Spread Sheet'!#REF!</definedName>
    <definedName name="BLPR1020040129204514642_4_5" localSheetId="30" hidden="1">'[4]Spread Sheet'!#REF!</definedName>
    <definedName name="BLPR1020040129204514642_4_5" localSheetId="37" hidden="1">'[4]Spread Sheet'!#REF!</definedName>
    <definedName name="BLPR1020040129204514642_4_5" hidden="1">'[4]Spread Sheet'!#REF!</definedName>
    <definedName name="BLPR1020040129204514642_5_5" localSheetId="27" hidden="1">'[4]Spread Sheet'!#REF!</definedName>
    <definedName name="BLPR1020040129204514642_5_5" localSheetId="28" hidden="1">'[4]Spread Sheet'!#REF!</definedName>
    <definedName name="BLPR1020040129204514642_5_5" localSheetId="29" hidden="1">'[4]Spread Sheet'!#REF!</definedName>
    <definedName name="BLPR1020040129204514642_5_5" localSheetId="30" hidden="1">'[4]Spread Sheet'!#REF!</definedName>
    <definedName name="BLPR1020040129204514642_5_5" localSheetId="37" hidden="1">'[4]Spread Sheet'!#REF!</definedName>
    <definedName name="BLPR1020040129204514642_5_5" hidden="1">'[4]Spread Sheet'!#REF!</definedName>
    <definedName name="BLPR1120040129204514642" localSheetId="27" hidden="1">'[4]Spread Sheet'!#REF!</definedName>
    <definedName name="BLPR1120040129204514642" localSheetId="28" hidden="1">'[4]Spread Sheet'!#REF!</definedName>
    <definedName name="BLPR1120040129204514642" localSheetId="29" hidden="1">'[4]Spread Sheet'!#REF!</definedName>
    <definedName name="BLPR1120040129204514642" localSheetId="30" hidden="1">'[4]Spread Sheet'!#REF!</definedName>
    <definedName name="BLPR1120040129204514642" localSheetId="37" hidden="1">'[4]Spread Sheet'!#REF!</definedName>
    <definedName name="BLPR1120040129204514642" hidden="1">'[4]Spread Sheet'!#REF!</definedName>
    <definedName name="BLPR1120040129204514642_1_5" localSheetId="27" hidden="1">'[4]Spread Sheet'!#REF!</definedName>
    <definedName name="BLPR1120040129204514642_1_5" localSheetId="28" hidden="1">'[4]Spread Sheet'!#REF!</definedName>
    <definedName name="BLPR1120040129204514642_1_5" localSheetId="29" hidden="1">'[4]Spread Sheet'!#REF!</definedName>
    <definedName name="BLPR1120040129204514642_1_5" localSheetId="30" hidden="1">'[4]Spread Sheet'!#REF!</definedName>
    <definedName name="BLPR1120040129204514642_1_5" localSheetId="37" hidden="1">'[4]Spread Sheet'!#REF!</definedName>
    <definedName name="BLPR1120040129204514642_1_5" hidden="1">'[4]Spread Sheet'!#REF!</definedName>
    <definedName name="BLPR1120040129204514642_2_5" localSheetId="27" hidden="1">'[4]Spread Sheet'!#REF!</definedName>
    <definedName name="BLPR1120040129204514642_2_5" localSheetId="28" hidden="1">'[4]Spread Sheet'!#REF!</definedName>
    <definedName name="BLPR1120040129204514642_2_5" localSheetId="29" hidden="1">'[4]Spread Sheet'!#REF!</definedName>
    <definedName name="BLPR1120040129204514642_2_5" localSheetId="30" hidden="1">'[4]Spread Sheet'!#REF!</definedName>
    <definedName name="BLPR1120040129204514642_2_5" localSheetId="37" hidden="1">'[4]Spread Sheet'!#REF!</definedName>
    <definedName name="BLPR1120040129204514642_2_5" hidden="1">'[4]Spread Sheet'!#REF!</definedName>
    <definedName name="BLPR1120040129204514642_3_5" localSheetId="27" hidden="1">'[4]Spread Sheet'!#REF!</definedName>
    <definedName name="BLPR1120040129204514642_3_5" localSheetId="28" hidden="1">'[4]Spread Sheet'!#REF!</definedName>
    <definedName name="BLPR1120040129204514642_3_5" localSheetId="29" hidden="1">'[4]Spread Sheet'!#REF!</definedName>
    <definedName name="BLPR1120040129204514642_3_5" localSheetId="30" hidden="1">'[4]Spread Sheet'!#REF!</definedName>
    <definedName name="BLPR1120040129204514642_3_5" localSheetId="37" hidden="1">'[4]Spread Sheet'!#REF!</definedName>
    <definedName name="BLPR1120040129204514642_3_5" hidden="1">'[4]Spread Sheet'!#REF!</definedName>
    <definedName name="BLPR1120040129204514642_4_5" localSheetId="27" hidden="1">'[4]Spread Sheet'!#REF!</definedName>
    <definedName name="BLPR1120040129204514642_4_5" localSheetId="28" hidden="1">'[4]Spread Sheet'!#REF!</definedName>
    <definedName name="BLPR1120040129204514642_4_5" localSheetId="29" hidden="1">'[4]Spread Sheet'!#REF!</definedName>
    <definedName name="BLPR1120040129204514642_4_5" localSheetId="30" hidden="1">'[4]Spread Sheet'!#REF!</definedName>
    <definedName name="BLPR1120040129204514642_4_5" localSheetId="37" hidden="1">'[4]Spread Sheet'!#REF!</definedName>
    <definedName name="BLPR1120040129204514642_4_5" hidden="1">'[4]Spread Sheet'!#REF!</definedName>
    <definedName name="BLPR1120040129204514642_5_5" localSheetId="27" hidden="1">'[4]Spread Sheet'!#REF!</definedName>
    <definedName name="BLPR1120040129204514642_5_5" localSheetId="28" hidden="1">'[4]Spread Sheet'!#REF!</definedName>
    <definedName name="BLPR1120040129204514642_5_5" localSheetId="29" hidden="1">'[4]Spread Sheet'!#REF!</definedName>
    <definedName name="BLPR1120040129204514642_5_5" localSheetId="30" hidden="1">'[4]Spread Sheet'!#REF!</definedName>
    <definedName name="BLPR1120040129204514642_5_5" localSheetId="37" hidden="1">'[4]Spread Sheet'!#REF!</definedName>
    <definedName name="BLPR1120040129204514642_5_5" hidden="1">'[4]Spread Sheet'!#REF!</definedName>
    <definedName name="BLPR120040129203645421" localSheetId="27" hidden="1">'[4]Spread Sheet'!#REF!</definedName>
    <definedName name="BLPR120040129203645421" localSheetId="28" hidden="1">'[4]Spread Sheet'!#REF!</definedName>
    <definedName name="BLPR120040129203645421" localSheetId="29" hidden="1">'[4]Spread Sheet'!#REF!</definedName>
    <definedName name="BLPR120040129203645421" localSheetId="30" hidden="1">'[4]Spread Sheet'!#REF!</definedName>
    <definedName name="BLPR120040129203645421" localSheetId="37" hidden="1">'[4]Spread Sheet'!#REF!</definedName>
    <definedName name="BLPR120040129203645421" hidden="1">'[4]Spread Sheet'!#REF!</definedName>
    <definedName name="BLPR120040129203645421_1_4" localSheetId="27" hidden="1">'[4]Spread Sheet'!#REF!</definedName>
    <definedName name="BLPR120040129203645421_1_4" localSheetId="28" hidden="1">'[4]Spread Sheet'!#REF!</definedName>
    <definedName name="BLPR120040129203645421_1_4" localSheetId="29" hidden="1">'[4]Spread Sheet'!#REF!</definedName>
    <definedName name="BLPR120040129203645421_1_4" localSheetId="30" hidden="1">'[4]Spread Sheet'!#REF!</definedName>
    <definedName name="BLPR120040129203645421_1_4" localSheetId="37" hidden="1">'[4]Spread Sheet'!#REF!</definedName>
    <definedName name="BLPR120040129203645421_1_4" hidden="1">'[4]Spread Sheet'!#REF!</definedName>
    <definedName name="BLPR120040129203645421_2_4" localSheetId="27" hidden="1">'[4]Spread Sheet'!#REF!</definedName>
    <definedName name="BLPR120040129203645421_2_4" localSheetId="28" hidden="1">'[4]Spread Sheet'!#REF!</definedName>
    <definedName name="BLPR120040129203645421_2_4" localSheetId="29" hidden="1">'[4]Spread Sheet'!#REF!</definedName>
    <definedName name="BLPR120040129203645421_2_4" localSheetId="30" hidden="1">'[4]Spread Sheet'!#REF!</definedName>
    <definedName name="BLPR120040129203645421_2_4" localSheetId="37" hidden="1">'[4]Spread Sheet'!#REF!</definedName>
    <definedName name="BLPR120040129203645421_2_4" hidden="1">'[4]Spread Sheet'!#REF!</definedName>
    <definedName name="BLPR120040129203645421_3_4" localSheetId="27" hidden="1">'[4]Spread Sheet'!#REF!</definedName>
    <definedName name="BLPR120040129203645421_3_4" localSheetId="28" hidden="1">'[4]Spread Sheet'!#REF!</definedName>
    <definedName name="BLPR120040129203645421_3_4" localSheetId="29" hidden="1">'[4]Spread Sheet'!#REF!</definedName>
    <definedName name="BLPR120040129203645421_3_4" localSheetId="30" hidden="1">'[4]Spread Sheet'!#REF!</definedName>
    <definedName name="BLPR120040129203645421_3_4" localSheetId="37" hidden="1">'[4]Spread Sheet'!#REF!</definedName>
    <definedName name="BLPR120040129203645421_3_4" hidden="1">'[4]Spread Sheet'!#REF!</definedName>
    <definedName name="BLPR120040129203645421_4_4" localSheetId="27" hidden="1">'[4]Spread Sheet'!#REF!</definedName>
    <definedName name="BLPR120040129203645421_4_4" localSheetId="28" hidden="1">'[4]Spread Sheet'!#REF!</definedName>
    <definedName name="BLPR120040129203645421_4_4" localSheetId="29" hidden="1">'[4]Spread Sheet'!#REF!</definedName>
    <definedName name="BLPR120040129203645421_4_4" localSheetId="30" hidden="1">'[4]Spread Sheet'!#REF!</definedName>
    <definedName name="BLPR120040129203645421_4_4" localSheetId="37" hidden="1">'[4]Spread Sheet'!#REF!</definedName>
    <definedName name="BLPR120040129203645421_4_4" hidden="1">'[4]Spread Sheet'!#REF!</definedName>
    <definedName name="BLPR1220040129204514642" localSheetId="27" hidden="1">'[4]Spread Sheet'!#REF!</definedName>
    <definedName name="BLPR1220040129204514642" localSheetId="28" hidden="1">'[4]Spread Sheet'!#REF!</definedName>
    <definedName name="BLPR1220040129204514642" localSheetId="29" hidden="1">'[4]Spread Sheet'!#REF!</definedName>
    <definedName name="BLPR1220040129204514642" localSheetId="30" hidden="1">'[4]Spread Sheet'!#REF!</definedName>
    <definedName name="BLPR1220040129204514642" localSheetId="37" hidden="1">'[4]Spread Sheet'!#REF!</definedName>
    <definedName name="BLPR1220040129204514642" hidden="1">'[4]Spread Sheet'!#REF!</definedName>
    <definedName name="BLPR1220040129204514642_1_5" localSheetId="27" hidden="1">'[4]Spread Sheet'!#REF!</definedName>
    <definedName name="BLPR1220040129204514642_1_5" localSheetId="28" hidden="1">'[4]Spread Sheet'!#REF!</definedName>
    <definedName name="BLPR1220040129204514642_1_5" localSheetId="29" hidden="1">'[4]Spread Sheet'!#REF!</definedName>
    <definedName name="BLPR1220040129204514642_1_5" localSheetId="30" hidden="1">'[4]Spread Sheet'!#REF!</definedName>
    <definedName name="BLPR1220040129204514642_1_5" localSheetId="37" hidden="1">'[4]Spread Sheet'!#REF!</definedName>
    <definedName name="BLPR1220040129204514642_1_5" hidden="1">'[4]Spread Sheet'!#REF!</definedName>
    <definedName name="BLPR1220040129204514642_2_5" localSheetId="27" hidden="1">'[4]Spread Sheet'!#REF!</definedName>
    <definedName name="BLPR1220040129204514642_2_5" localSheetId="28" hidden="1">'[4]Spread Sheet'!#REF!</definedName>
    <definedName name="BLPR1220040129204514642_2_5" localSheetId="29" hidden="1">'[4]Spread Sheet'!#REF!</definedName>
    <definedName name="BLPR1220040129204514642_2_5" localSheetId="30" hidden="1">'[4]Spread Sheet'!#REF!</definedName>
    <definedName name="BLPR1220040129204514642_2_5" localSheetId="37" hidden="1">'[4]Spread Sheet'!#REF!</definedName>
    <definedName name="BLPR1220040129204514642_2_5" hidden="1">'[4]Spread Sheet'!#REF!</definedName>
    <definedName name="BLPR1220040129204514642_3_5" localSheetId="27" hidden="1">'[4]Spread Sheet'!#REF!</definedName>
    <definedName name="BLPR1220040129204514642_3_5" localSheetId="28" hidden="1">'[4]Spread Sheet'!#REF!</definedName>
    <definedName name="BLPR1220040129204514642_3_5" localSheetId="29" hidden="1">'[4]Spread Sheet'!#REF!</definedName>
    <definedName name="BLPR1220040129204514642_3_5" localSheetId="30" hidden="1">'[4]Spread Sheet'!#REF!</definedName>
    <definedName name="BLPR1220040129204514642_3_5" localSheetId="37" hidden="1">'[4]Spread Sheet'!#REF!</definedName>
    <definedName name="BLPR1220040129204514642_3_5" hidden="1">'[4]Spread Sheet'!#REF!</definedName>
    <definedName name="BLPR1220040129204514642_4_5" localSheetId="27" hidden="1">'[4]Spread Sheet'!#REF!</definedName>
    <definedName name="BLPR1220040129204514642_4_5" localSheetId="28" hidden="1">'[4]Spread Sheet'!#REF!</definedName>
    <definedName name="BLPR1220040129204514642_4_5" localSheetId="29" hidden="1">'[4]Spread Sheet'!#REF!</definedName>
    <definedName name="BLPR1220040129204514642_4_5" localSheetId="30" hidden="1">'[4]Spread Sheet'!#REF!</definedName>
    <definedName name="BLPR1220040129204514642_4_5" localSheetId="37" hidden="1">'[4]Spread Sheet'!#REF!</definedName>
    <definedName name="BLPR1220040129204514642_4_5" hidden="1">'[4]Spread Sheet'!#REF!</definedName>
    <definedName name="BLPR1220040129204514642_5_5" localSheetId="27" hidden="1">'[4]Spread Sheet'!#REF!</definedName>
    <definedName name="BLPR1220040129204514642_5_5" localSheetId="28" hidden="1">'[4]Spread Sheet'!#REF!</definedName>
    <definedName name="BLPR1220040129204514642_5_5" localSheetId="29" hidden="1">'[4]Spread Sheet'!#REF!</definedName>
    <definedName name="BLPR1220040129204514642_5_5" localSheetId="30" hidden="1">'[4]Spread Sheet'!#REF!</definedName>
    <definedName name="BLPR1220040129204514642_5_5" localSheetId="37" hidden="1">'[4]Spread Sheet'!#REF!</definedName>
    <definedName name="BLPR1220040129204514642_5_5" hidden="1">'[4]Spread Sheet'!#REF!</definedName>
    <definedName name="BLPR1320040129204514642" localSheetId="27" hidden="1">'[4]Spread Sheet'!#REF!</definedName>
    <definedName name="BLPR1320040129204514642" localSheetId="28" hidden="1">'[4]Spread Sheet'!#REF!</definedName>
    <definedName name="BLPR1320040129204514642" localSheetId="29" hidden="1">'[4]Spread Sheet'!#REF!</definedName>
    <definedName name="BLPR1320040129204514642" localSheetId="30" hidden="1">'[4]Spread Sheet'!#REF!</definedName>
    <definedName name="BLPR1320040129204514642" localSheetId="37" hidden="1">'[4]Spread Sheet'!#REF!</definedName>
    <definedName name="BLPR1320040129204514642" hidden="1">'[4]Spread Sheet'!#REF!</definedName>
    <definedName name="BLPR1320040129204514642_1_5" localSheetId="27" hidden="1">'[4]Spread Sheet'!#REF!</definedName>
    <definedName name="BLPR1320040129204514642_1_5" localSheetId="28" hidden="1">'[4]Spread Sheet'!#REF!</definedName>
    <definedName name="BLPR1320040129204514642_1_5" localSheetId="29" hidden="1">'[4]Spread Sheet'!#REF!</definedName>
    <definedName name="BLPR1320040129204514642_1_5" localSheetId="30" hidden="1">'[4]Spread Sheet'!#REF!</definedName>
    <definedName name="BLPR1320040129204514642_1_5" localSheetId="37" hidden="1">'[4]Spread Sheet'!#REF!</definedName>
    <definedName name="BLPR1320040129204514642_1_5" hidden="1">'[4]Spread Sheet'!#REF!</definedName>
    <definedName name="BLPR1320040129204514642_2_5" localSheetId="27" hidden="1">'[4]Spread Sheet'!#REF!</definedName>
    <definedName name="BLPR1320040129204514642_2_5" localSheetId="28" hidden="1">'[4]Spread Sheet'!#REF!</definedName>
    <definedName name="BLPR1320040129204514642_2_5" localSheetId="29" hidden="1">'[4]Spread Sheet'!#REF!</definedName>
    <definedName name="BLPR1320040129204514642_2_5" localSheetId="30" hidden="1">'[4]Spread Sheet'!#REF!</definedName>
    <definedName name="BLPR1320040129204514642_2_5" localSheetId="37" hidden="1">'[4]Spread Sheet'!#REF!</definedName>
    <definedName name="BLPR1320040129204514642_2_5" hidden="1">'[4]Spread Sheet'!#REF!</definedName>
    <definedName name="BLPR1320040129204514642_3_5" localSheetId="27" hidden="1">'[4]Spread Sheet'!#REF!</definedName>
    <definedName name="BLPR1320040129204514642_3_5" localSheetId="28" hidden="1">'[4]Spread Sheet'!#REF!</definedName>
    <definedName name="BLPR1320040129204514642_3_5" localSheetId="29" hidden="1">'[4]Spread Sheet'!#REF!</definedName>
    <definedName name="BLPR1320040129204514642_3_5" localSheetId="30" hidden="1">'[4]Spread Sheet'!#REF!</definedName>
    <definedName name="BLPR1320040129204514642_3_5" localSheetId="37" hidden="1">'[4]Spread Sheet'!#REF!</definedName>
    <definedName name="BLPR1320040129204514642_3_5" hidden="1">'[4]Spread Sheet'!#REF!</definedName>
    <definedName name="BLPR1320040129204514642_4_5" localSheetId="27" hidden="1">'[4]Spread Sheet'!#REF!</definedName>
    <definedName name="BLPR1320040129204514642_4_5" localSheetId="28" hidden="1">'[4]Spread Sheet'!#REF!</definedName>
    <definedName name="BLPR1320040129204514642_4_5" localSheetId="29" hidden="1">'[4]Spread Sheet'!#REF!</definedName>
    <definedName name="BLPR1320040129204514642_4_5" localSheetId="30" hidden="1">'[4]Spread Sheet'!#REF!</definedName>
    <definedName name="BLPR1320040129204514642_4_5" localSheetId="37" hidden="1">'[4]Spread Sheet'!#REF!</definedName>
    <definedName name="BLPR1320040129204514642_4_5" hidden="1">'[4]Spread Sheet'!#REF!</definedName>
    <definedName name="BLPR1320040129204514642_5_5" localSheetId="27" hidden="1">'[4]Spread Sheet'!#REF!</definedName>
    <definedName name="BLPR1320040129204514642_5_5" localSheetId="28" hidden="1">'[4]Spread Sheet'!#REF!</definedName>
    <definedName name="BLPR1320040129204514642_5_5" localSheetId="29" hidden="1">'[4]Spread Sheet'!#REF!</definedName>
    <definedName name="BLPR1320040129204514642_5_5" localSheetId="30" hidden="1">'[4]Spread Sheet'!#REF!</definedName>
    <definedName name="BLPR1320040129204514642_5_5" localSheetId="37" hidden="1">'[4]Spread Sheet'!#REF!</definedName>
    <definedName name="BLPR1320040129204514642_5_5" hidden="1">'[4]Spread Sheet'!#REF!</definedName>
    <definedName name="BLPR1420040129204514642" localSheetId="27" hidden="1">'[4]Spread Sheet'!#REF!</definedName>
    <definedName name="BLPR1420040129204514642" localSheetId="28" hidden="1">'[4]Spread Sheet'!#REF!</definedName>
    <definedName name="BLPR1420040129204514642" localSheetId="29" hidden="1">'[4]Spread Sheet'!#REF!</definedName>
    <definedName name="BLPR1420040129204514642" localSheetId="30" hidden="1">'[4]Spread Sheet'!#REF!</definedName>
    <definedName name="BLPR1420040129204514642" localSheetId="37" hidden="1">'[4]Spread Sheet'!#REF!</definedName>
    <definedName name="BLPR1420040129204514642" hidden="1">'[4]Spread Sheet'!#REF!</definedName>
    <definedName name="BLPR1420040129204514642_1_5" localSheetId="27" hidden="1">'[4]Spread Sheet'!#REF!</definedName>
    <definedName name="BLPR1420040129204514642_1_5" localSheetId="28" hidden="1">'[4]Spread Sheet'!#REF!</definedName>
    <definedName name="BLPR1420040129204514642_1_5" localSheetId="29" hidden="1">'[4]Spread Sheet'!#REF!</definedName>
    <definedName name="BLPR1420040129204514642_1_5" localSheetId="30" hidden="1">'[4]Spread Sheet'!#REF!</definedName>
    <definedName name="BLPR1420040129204514642_1_5" localSheetId="37" hidden="1">'[4]Spread Sheet'!#REF!</definedName>
    <definedName name="BLPR1420040129204514642_1_5" hidden="1">'[4]Spread Sheet'!#REF!</definedName>
    <definedName name="BLPR1420040129204514642_2_5" localSheetId="27" hidden="1">'[4]Spread Sheet'!#REF!</definedName>
    <definedName name="BLPR1420040129204514642_2_5" localSheetId="28" hidden="1">'[4]Spread Sheet'!#REF!</definedName>
    <definedName name="BLPR1420040129204514642_2_5" localSheetId="29" hidden="1">'[4]Spread Sheet'!#REF!</definedName>
    <definedName name="BLPR1420040129204514642_2_5" localSheetId="30" hidden="1">'[4]Spread Sheet'!#REF!</definedName>
    <definedName name="BLPR1420040129204514642_2_5" localSheetId="37" hidden="1">'[4]Spread Sheet'!#REF!</definedName>
    <definedName name="BLPR1420040129204514642_2_5" hidden="1">'[4]Spread Sheet'!#REF!</definedName>
    <definedName name="BLPR1420040129204514642_3_5" localSheetId="27" hidden="1">'[4]Spread Sheet'!#REF!</definedName>
    <definedName name="BLPR1420040129204514642_3_5" localSheetId="28" hidden="1">'[4]Spread Sheet'!#REF!</definedName>
    <definedName name="BLPR1420040129204514642_3_5" localSheetId="29" hidden="1">'[4]Spread Sheet'!#REF!</definedName>
    <definedName name="BLPR1420040129204514642_3_5" localSheetId="30" hidden="1">'[4]Spread Sheet'!#REF!</definedName>
    <definedName name="BLPR1420040129204514642_3_5" localSheetId="37" hidden="1">'[4]Spread Sheet'!#REF!</definedName>
    <definedName name="BLPR1420040129204514642_3_5" hidden="1">'[4]Spread Sheet'!#REF!</definedName>
    <definedName name="BLPR1420040129204514642_4_5" localSheetId="27" hidden="1">'[4]Spread Sheet'!#REF!</definedName>
    <definedName name="BLPR1420040129204514642_4_5" localSheetId="28" hidden="1">'[4]Spread Sheet'!#REF!</definedName>
    <definedName name="BLPR1420040129204514642_4_5" localSheetId="29" hidden="1">'[4]Spread Sheet'!#REF!</definedName>
    <definedName name="BLPR1420040129204514642_4_5" localSheetId="30" hidden="1">'[4]Spread Sheet'!#REF!</definedName>
    <definedName name="BLPR1420040129204514642_4_5" localSheetId="37" hidden="1">'[4]Spread Sheet'!#REF!</definedName>
    <definedName name="BLPR1420040129204514642_4_5" hidden="1">'[4]Spread Sheet'!#REF!</definedName>
    <definedName name="BLPR1420040129204514642_5_5" localSheetId="27" hidden="1">'[4]Spread Sheet'!#REF!</definedName>
    <definedName name="BLPR1420040129204514642_5_5" localSheetId="28" hidden="1">'[4]Spread Sheet'!#REF!</definedName>
    <definedName name="BLPR1420040129204514642_5_5" localSheetId="29" hidden="1">'[4]Spread Sheet'!#REF!</definedName>
    <definedName name="BLPR1420040129204514642_5_5" localSheetId="30" hidden="1">'[4]Spread Sheet'!#REF!</definedName>
    <definedName name="BLPR1420040129204514642_5_5" localSheetId="37" hidden="1">'[4]Spread Sheet'!#REF!</definedName>
    <definedName name="BLPR1420040129204514642_5_5" hidden="1">'[4]Spread Sheet'!#REF!</definedName>
    <definedName name="BLPR1520040129204514652" localSheetId="27" hidden="1">'[4]Spread Sheet'!#REF!</definedName>
    <definedName name="BLPR1520040129204514652" localSheetId="28" hidden="1">'[4]Spread Sheet'!#REF!</definedName>
    <definedName name="BLPR1520040129204514652" localSheetId="29" hidden="1">'[4]Spread Sheet'!#REF!</definedName>
    <definedName name="BLPR1520040129204514652" localSheetId="30" hidden="1">'[4]Spread Sheet'!#REF!</definedName>
    <definedName name="BLPR1520040129204514652" localSheetId="37" hidden="1">'[4]Spread Sheet'!#REF!</definedName>
    <definedName name="BLPR1520040129204514652" hidden="1">'[4]Spread Sheet'!#REF!</definedName>
    <definedName name="BLPR1520040129204514652_1_5" localSheetId="27" hidden="1">'[4]Spread Sheet'!#REF!</definedName>
    <definedName name="BLPR1520040129204514652_1_5" localSheetId="28" hidden="1">'[4]Spread Sheet'!#REF!</definedName>
    <definedName name="BLPR1520040129204514652_1_5" localSheetId="29" hidden="1">'[4]Spread Sheet'!#REF!</definedName>
    <definedName name="BLPR1520040129204514652_1_5" localSheetId="30" hidden="1">'[4]Spread Sheet'!#REF!</definedName>
    <definedName name="BLPR1520040129204514652_1_5" localSheetId="37" hidden="1">'[4]Spread Sheet'!#REF!</definedName>
    <definedName name="BLPR1520040129204514652_1_5" hidden="1">'[4]Spread Sheet'!#REF!</definedName>
    <definedName name="BLPR1520040129204514652_2_5" localSheetId="27" hidden="1">'[4]Spread Sheet'!#REF!</definedName>
    <definedName name="BLPR1520040129204514652_2_5" localSheetId="28" hidden="1">'[4]Spread Sheet'!#REF!</definedName>
    <definedName name="BLPR1520040129204514652_2_5" localSheetId="29" hidden="1">'[4]Spread Sheet'!#REF!</definedName>
    <definedName name="BLPR1520040129204514652_2_5" localSheetId="30" hidden="1">'[4]Spread Sheet'!#REF!</definedName>
    <definedName name="BLPR1520040129204514652_2_5" localSheetId="37" hidden="1">'[4]Spread Sheet'!#REF!</definedName>
    <definedName name="BLPR1520040129204514652_2_5" hidden="1">'[4]Spread Sheet'!#REF!</definedName>
    <definedName name="BLPR1520040129204514652_3_5" localSheetId="27" hidden="1">'[4]Spread Sheet'!#REF!</definedName>
    <definedName name="BLPR1520040129204514652_3_5" localSheetId="28" hidden="1">'[4]Spread Sheet'!#REF!</definedName>
    <definedName name="BLPR1520040129204514652_3_5" localSheetId="29" hidden="1">'[4]Spread Sheet'!#REF!</definedName>
    <definedName name="BLPR1520040129204514652_3_5" localSheetId="30" hidden="1">'[4]Spread Sheet'!#REF!</definedName>
    <definedName name="BLPR1520040129204514652_3_5" localSheetId="37" hidden="1">'[4]Spread Sheet'!#REF!</definedName>
    <definedName name="BLPR1520040129204514652_3_5" hidden="1">'[4]Spread Sheet'!#REF!</definedName>
    <definedName name="BLPR1520040129204514652_4_5" localSheetId="27" hidden="1">'[4]Spread Sheet'!#REF!</definedName>
    <definedName name="BLPR1520040129204514652_4_5" localSheetId="28" hidden="1">'[4]Spread Sheet'!#REF!</definedName>
    <definedName name="BLPR1520040129204514652_4_5" localSheetId="29" hidden="1">'[4]Spread Sheet'!#REF!</definedName>
    <definedName name="BLPR1520040129204514652_4_5" localSheetId="30" hidden="1">'[4]Spread Sheet'!#REF!</definedName>
    <definedName name="BLPR1520040129204514652_4_5" localSheetId="37" hidden="1">'[4]Spread Sheet'!#REF!</definedName>
    <definedName name="BLPR1520040129204514652_4_5" hidden="1">'[4]Spread Sheet'!#REF!</definedName>
    <definedName name="BLPR1520040129204514652_5_5" localSheetId="27" hidden="1">'[4]Spread Sheet'!#REF!</definedName>
    <definedName name="BLPR1520040129204514652_5_5" localSheetId="28" hidden="1">'[4]Spread Sheet'!#REF!</definedName>
    <definedName name="BLPR1520040129204514652_5_5" localSheetId="29" hidden="1">'[4]Spread Sheet'!#REF!</definedName>
    <definedName name="BLPR1520040129204514652_5_5" localSheetId="30" hidden="1">'[4]Spread Sheet'!#REF!</definedName>
    <definedName name="BLPR1520040129204514652_5_5" localSheetId="37" hidden="1">'[4]Spread Sheet'!#REF!</definedName>
    <definedName name="BLPR1520040129204514652_5_5" hidden="1">'[4]Spread Sheet'!#REF!</definedName>
    <definedName name="BLPR1620040129204514652" localSheetId="27" hidden="1">'[4]Spread Sheet'!#REF!</definedName>
    <definedName name="BLPR1620040129204514652" localSheetId="28" hidden="1">'[4]Spread Sheet'!#REF!</definedName>
    <definedName name="BLPR1620040129204514652" localSheetId="29" hidden="1">'[4]Spread Sheet'!#REF!</definedName>
    <definedName name="BLPR1620040129204514652" localSheetId="30" hidden="1">'[4]Spread Sheet'!#REF!</definedName>
    <definedName name="BLPR1620040129204514652" localSheetId="37" hidden="1">'[4]Spread Sheet'!#REF!</definedName>
    <definedName name="BLPR1620040129204514652" hidden="1">'[4]Spread Sheet'!#REF!</definedName>
    <definedName name="BLPR1620040129204514652_1_5" localSheetId="27" hidden="1">'[4]Spread Sheet'!#REF!</definedName>
    <definedName name="BLPR1620040129204514652_1_5" localSheetId="28" hidden="1">'[4]Spread Sheet'!#REF!</definedName>
    <definedName name="BLPR1620040129204514652_1_5" localSheetId="29" hidden="1">'[4]Spread Sheet'!#REF!</definedName>
    <definedName name="BLPR1620040129204514652_1_5" localSheetId="30" hidden="1">'[4]Spread Sheet'!#REF!</definedName>
    <definedName name="BLPR1620040129204514652_1_5" localSheetId="37" hidden="1">'[4]Spread Sheet'!#REF!</definedName>
    <definedName name="BLPR1620040129204514652_1_5" hidden="1">'[4]Spread Sheet'!#REF!</definedName>
    <definedName name="BLPR1620040129204514652_2_5" localSheetId="27" hidden="1">'[4]Spread Sheet'!#REF!</definedName>
    <definedName name="BLPR1620040129204514652_2_5" localSheetId="28" hidden="1">'[4]Spread Sheet'!#REF!</definedName>
    <definedName name="BLPR1620040129204514652_2_5" localSheetId="29" hidden="1">'[4]Spread Sheet'!#REF!</definedName>
    <definedName name="BLPR1620040129204514652_2_5" localSheetId="30" hidden="1">'[4]Spread Sheet'!#REF!</definedName>
    <definedName name="BLPR1620040129204514652_2_5" localSheetId="37" hidden="1">'[4]Spread Sheet'!#REF!</definedName>
    <definedName name="BLPR1620040129204514652_2_5" hidden="1">'[4]Spread Sheet'!#REF!</definedName>
    <definedName name="BLPR1620040129204514652_3_5" localSheetId="27" hidden="1">'[4]Spread Sheet'!#REF!</definedName>
    <definedName name="BLPR1620040129204514652_3_5" localSheetId="28" hidden="1">'[4]Spread Sheet'!#REF!</definedName>
    <definedName name="BLPR1620040129204514652_3_5" localSheetId="29" hidden="1">'[4]Spread Sheet'!#REF!</definedName>
    <definedName name="BLPR1620040129204514652_3_5" localSheetId="30" hidden="1">'[4]Spread Sheet'!#REF!</definedName>
    <definedName name="BLPR1620040129204514652_3_5" localSheetId="37" hidden="1">'[4]Spread Sheet'!#REF!</definedName>
    <definedName name="BLPR1620040129204514652_3_5" hidden="1">'[4]Spread Sheet'!#REF!</definedName>
    <definedName name="BLPR1620040129204514652_4_5" localSheetId="27" hidden="1">'[4]Spread Sheet'!#REF!</definedName>
    <definedName name="BLPR1620040129204514652_4_5" localSheetId="28" hidden="1">'[4]Spread Sheet'!#REF!</definedName>
    <definedName name="BLPR1620040129204514652_4_5" localSheetId="29" hidden="1">'[4]Spread Sheet'!#REF!</definedName>
    <definedName name="BLPR1620040129204514652_4_5" localSheetId="30" hidden="1">'[4]Spread Sheet'!#REF!</definedName>
    <definedName name="BLPR1620040129204514652_4_5" localSheetId="37" hidden="1">'[4]Spread Sheet'!#REF!</definedName>
    <definedName name="BLPR1620040129204514652_4_5" hidden="1">'[4]Spread Sheet'!#REF!</definedName>
    <definedName name="BLPR1620040129204514652_5_5" localSheetId="27" hidden="1">'[4]Spread Sheet'!#REF!</definedName>
    <definedName name="BLPR1620040129204514652_5_5" localSheetId="28" hidden="1">'[4]Spread Sheet'!#REF!</definedName>
    <definedName name="BLPR1620040129204514652_5_5" localSheetId="29" hidden="1">'[4]Spread Sheet'!#REF!</definedName>
    <definedName name="BLPR1620040129204514652_5_5" localSheetId="30" hidden="1">'[4]Spread Sheet'!#REF!</definedName>
    <definedName name="BLPR1620040129204514652_5_5" localSheetId="37" hidden="1">'[4]Spread Sheet'!#REF!</definedName>
    <definedName name="BLPR1620040129204514652_5_5" hidden="1">'[4]Spread Sheet'!#REF!</definedName>
    <definedName name="BLPR1720040129204514652" localSheetId="27" hidden="1">'[4]Spread Sheet'!#REF!</definedName>
    <definedName name="BLPR1720040129204514652" localSheetId="28" hidden="1">'[4]Spread Sheet'!#REF!</definedName>
    <definedName name="BLPR1720040129204514652" localSheetId="29" hidden="1">'[4]Spread Sheet'!#REF!</definedName>
    <definedName name="BLPR1720040129204514652" localSheetId="30" hidden="1">'[4]Spread Sheet'!#REF!</definedName>
    <definedName name="BLPR1720040129204514652" localSheetId="37" hidden="1">'[4]Spread Sheet'!#REF!</definedName>
    <definedName name="BLPR1720040129204514652" hidden="1">'[4]Spread Sheet'!#REF!</definedName>
    <definedName name="BLPR1720040129204514652_1_5" localSheetId="27" hidden="1">'[4]Spread Sheet'!#REF!</definedName>
    <definedName name="BLPR1720040129204514652_1_5" localSheetId="28" hidden="1">'[4]Spread Sheet'!#REF!</definedName>
    <definedName name="BLPR1720040129204514652_1_5" localSheetId="29" hidden="1">'[4]Spread Sheet'!#REF!</definedName>
    <definedName name="BLPR1720040129204514652_1_5" localSheetId="30" hidden="1">'[4]Spread Sheet'!#REF!</definedName>
    <definedName name="BLPR1720040129204514652_1_5" localSheetId="37" hidden="1">'[4]Spread Sheet'!#REF!</definedName>
    <definedName name="BLPR1720040129204514652_1_5" hidden="1">'[4]Spread Sheet'!#REF!</definedName>
    <definedName name="BLPR1720040129204514652_2_5" localSheetId="27" hidden="1">'[4]Spread Sheet'!#REF!</definedName>
    <definedName name="BLPR1720040129204514652_2_5" localSheetId="28" hidden="1">'[4]Spread Sheet'!#REF!</definedName>
    <definedName name="BLPR1720040129204514652_2_5" localSheetId="29" hidden="1">'[4]Spread Sheet'!#REF!</definedName>
    <definedName name="BLPR1720040129204514652_2_5" localSheetId="30" hidden="1">'[4]Spread Sheet'!#REF!</definedName>
    <definedName name="BLPR1720040129204514652_2_5" localSheetId="37" hidden="1">'[4]Spread Sheet'!#REF!</definedName>
    <definedName name="BLPR1720040129204514652_2_5" hidden="1">'[4]Spread Sheet'!#REF!</definedName>
    <definedName name="BLPR1720040129204514652_3_5" localSheetId="27" hidden="1">'[4]Spread Sheet'!#REF!</definedName>
    <definedName name="BLPR1720040129204514652_3_5" localSheetId="28" hidden="1">'[4]Spread Sheet'!#REF!</definedName>
    <definedName name="BLPR1720040129204514652_3_5" localSheetId="29" hidden="1">'[4]Spread Sheet'!#REF!</definedName>
    <definedName name="BLPR1720040129204514652_3_5" localSheetId="30" hidden="1">'[4]Spread Sheet'!#REF!</definedName>
    <definedName name="BLPR1720040129204514652_3_5" localSheetId="37" hidden="1">'[4]Spread Sheet'!#REF!</definedName>
    <definedName name="BLPR1720040129204514652_3_5" hidden="1">'[4]Spread Sheet'!#REF!</definedName>
    <definedName name="BLPR1720040129204514652_4_5" localSheetId="27" hidden="1">'[4]Spread Sheet'!#REF!</definedName>
    <definedName name="BLPR1720040129204514652_4_5" localSheetId="28" hidden="1">'[4]Spread Sheet'!#REF!</definedName>
    <definedName name="BLPR1720040129204514652_4_5" localSheetId="29" hidden="1">'[4]Spread Sheet'!#REF!</definedName>
    <definedName name="BLPR1720040129204514652_4_5" localSheetId="30" hidden="1">'[4]Spread Sheet'!#REF!</definedName>
    <definedName name="BLPR1720040129204514652_4_5" localSheetId="37" hidden="1">'[4]Spread Sheet'!#REF!</definedName>
    <definedName name="BLPR1720040129204514652_4_5" hidden="1">'[4]Spread Sheet'!#REF!</definedName>
    <definedName name="BLPR1720040129204514652_5_5" localSheetId="27" hidden="1">'[4]Spread Sheet'!#REF!</definedName>
    <definedName name="BLPR1720040129204514652_5_5" localSheetId="28" hidden="1">'[4]Spread Sheet'!#REF!</definedName>
    <definedName name="BLPR1720040129204514652_5_5" localSheetId="29" hidden="1">'[4]Spread Sheet'!#REF!</definedName>
    <definedName name="BLPR1720040129204514652_5_5" localSheetId="30" hidden="1">'[4]Spread Sheet'!#REF!</definedName>
    <definedName name="BLPR1720040129204514652_5_5" localSheetId="37" hidden="1">'[4]Spread Sheet'!#REF!</definedName>
    <definedName name="BLPR1720040129204514652_5_5" hidden="1">'[4]Spread Sheet'!#REF!</definedName>
    <definedName name="BLPR1820040129204514652" localSheetId="27" hidden="1">'[4]Spread Sheet'!#REF!</definedName>
    <definedName name="BLPR1820040129204514652" localSheetId="28" hidden="1">'[4]Spread Sheet'!#REF!</definedName>
    <definedName name="BLPR1820040129204514652" localSheetId="29" hidden="1">'[4]Spread Sheet'!#REF!</definedName>
    <definedName name="BLPR1820040129204514652" localSheetId="30" hidden="1">'[4]Spread Sheet'!#REF!</definedName>
    <definedName name="BLPR1820040129204514652" localSheetId="37" hidden="1">'[4]Spread Sheet'!#REF!</definedName>
    <definedName name="BLPR1820040129204514652" hidden="1">'[4]Spread Sheet'!#REF!</definedName>
    <definedName name="BLPR1820040129204514652_1_5" localSheetId="27" hidden="1">'[4]Spread Sheet'!#REF!</definedName>
    <definedName name="BLPR1820040129204514652_1_5" localSheetId="28" hidden="1">'[4]Spread Sheet'!#REF!</definedName>
    <definedName name="BLPR1820040129204514652_1_5" localSheetId="29" hidden="1">'[4]Spread Sheet'!#REF!</definedName>
    <definedName name="BLPR1820040129204514652_1_5" localSheetId="30" hidden="1">'[4]Spread Sheet'!#REF!</definedName>
    <definedName name="BLPR1820040129204514652_1_5" localSheetId="37" hidden="1">'[4]Spread Sheet'!#REF!</definedName>
    <definedName name="BLPR1820040129204514652_1_5" hidden="1">'[4]Spread Sheet'!#REF!</definedName>
    <definedName name="BLPR1820040129204514652_2_5" localSheetId="27" hidden="1">'[4]Spread Sheet'!#REF!</definedName>
    <definedName name="BLPR1820040129204514652_2_5" localSheetId="28" hidden="1">'[4]Spread Sheet'!#REF!</definedName>
    <definedName name="BLPR1820040129204514652_2_5" localSheetId="29" hidden="1">'[4]Spread Sheet'!#REF!</definedName>
    <definedName name="BLPR1820040129204514652_2_5" localSheetId="30" hidden="1">'[4]Spread Sheet'!#REF!</definedName>
    <definedName name="BLPR1820040129204514652_2_5" localSheetId="37" hidden="1">'[4]Spread Sheet'!#REF!</definedName>
    <definedName name="BLPR1820040129204514652_2_5" hidden="1">'[4]Spread Sheet'!#REF!</definedName>
    <definedName name="BLPR1820040129204514652_3_5" localSheetId="27" hidden="1">'[4]Spread Sheet'!#REF!</definedName>
    <definedName name="BLPR1820040129204514652_3_5" localSheetId="28" hidden="1">'[4]Spread Sheet'!#REF!</definedName>
    <definedName name="BLPR1820040129204514652_3_5" localSheetId="29" hidden="1">'[4]Spread Sheet'!#REF!</definedName>
    <definedName name="BLPR1820040129204514652_3_5" localSheetId="30" hidden="1">'[4]Spread Sheet'!#REF!</definedName>
    <definedName name="BLPR1820040129204514652_3_5" localSheetId="37" hidden="1">'[4]Spread Sheet'!#REF!</definedName>
    <definedName name="BLPR1820040129204514652_3_5" hidden="1">'[4]Spread Sheet'!#REF!</definedName>
    <definedName name="BLPR1820040129204514652_4_5" localSheetId="27" hidden="1">'[4]Spread Sheet'!#REF!</definedName>
    <definedName name="BLPR1820040129204514652_4_5" localSheetId="28" hidden="1">'[4]Spread Sheet'!#REF!</definedName>
    <definedName name="BLPR1820040129204514652_4_5" localSheetId="29" hidden="1">'[4]Spread Sheet'!#REF!</definedName>
    <definedName name="BLPR1820040129204514652_4_5" localSheetId="30" hidden="1">'[4]Spread Sheet'!#REF!</definedName>
    <definedName name="BLPR1820040129204514652_4_5" localSheetId="37" hidden="1">'[4]Spread Sheet'!#REF!</definedName>
    <definedName name="BLPR1820040129204514652_4_5" hidden="1">'[4]Spread Sheet'!#REF!</definedName>
    <definedName name="BLPR1820040129204514652_5_5" localSheetId="27" hidden="1">'[4]Spread Sheet'!#REF!</definedName>
    <definedName name="BLPR1820040129204514652_5_5" localSheetId="28" hidden="1">'[4]Spread Sheet'!#REF!</definedName>
    <definedName name="BLPR1820040129204514652_5_5" localSheetId="29" hidden="1">'[4]Spread Sheet'!#REF!</definedName>
    <definedName name="BLPR1820040129204514652_5_5" localSheetId="30" hidden="1">'[4]Spread Sheet'!#REF!</definedName>
    <definedName name="BLPR1820040129204514652_5_5" localSheetId="37" hidden="1">'[4]Spread Sheet'!#REF!</definedName>
    <definedName name="BLPR1820040129204514652_5_5" hidden="1">'[4]Spread Sheet'!#REF!</definedName>
    <definedName name="BLPR1920040129204514652" localSheetId="27" hidden="1">'[4]Spread Sheet'!#REF!</definedName>
    <definedName name="BLPR1920040129204514652" localSheetId="28" hidden="1">'[4]Spread Sheet'!#REF!</definedName>
    <definedName name="BLPR1920040129204514652" localSheetId="29" hidden="1">'[4]Spread Sheet'!#REF!</definedName>
    <definedName name="BLPR1920040129204514652" localSheetId="30" hidden="1">'[4]Spread Sheet'!#REF!</definedName>
    <definedName name="BLPR1920040129204514652" localSheetId="37" hidden="1">'[4]Spread Sheet'!#REF!</definedName>
    <definedName name="BLPR1920040129204514652" hidden="1">'[4]Spread Sheet'!#REF!</definedName>
    <definedName name="BLPR1920040129204514652_1_5" localSheetId="27" hidden="1">'[4]Spread Sheet'!#REF!</definedName>
    <definedName name="BLPR1920040129204514652_1_5" localSheetId="28" hidden="1">'[4]Spread Sheet'!#REF!</definedName>
    <definedName name="BLPR1920040129204514652_1_5" localSheetId="29" hidden="1">'[4]Spread Sheet'!#REF!</definedName>
    <definedName name="BLPR1920040129204514652_1_5" localSheetId="30" hidden="1">'[4]Spread Sheet'!#REF!</definedName>
    <definedName name="BLPR1920040129204514652_1_5" localSheetId="37" hidden="1">'[4]Spread Sheet'!#REF!</definedName>
    <definedName name="BLPR1920040129204514652_1_5" hidden="1">'[4]Spread Sheet'!#REF!</definedName>
    <definedName name="BLPR1920040129204514652_2_5" localSheetId="27" hidden="1">'[4]Spread Sheet'!#REF!</definedName>
    <definedName name="BLPR1920040129204514652_2_5" localSheetId="28" hidden="1">'[4]Spread Sheet'!#REF!</definedName>
    <definedName name="BLPR1920040129204514652_2_5" localSheetId="29" hidden="1">'[4]Spread Sheet'!#REF!</definedName>
    <definedName name="BLPR1920040129204514652_2_5" localSheetId="30" hidden="1">'[4]Spread Sheet'!#REF!</definedName>
    <definedName name="BLPR1920040129204514652_2_5" localSheetId="37" hidden="1">'[4]Spread Sheet'!#REF!</definedName>
    <definedName name="BLPR1920040129204514652_2_5" hidden="1">'[4]Spread Sheet'!#REF!</definedName>
    <definedName name="BLPR1920040129204514652_3_5" localSheetId="27" hidden="1">'[4]Spread Sheet'!#REF!</definedName>
    <definedName name="BLPR1920040129204514652_3_5" localSheetId="28" hidden="1">'[4]Spread Sheet'!#REF!</definedName>
    <definedName name="BLPR1920040129204514652_3_5" localSheetId="29" hidden="1">'[4]Spread Sheet'!#REF!</definedName>
    <definedName name="BLPR1920040129204514652_3_5" localSheetId="30" hidden="1">'[4]Spread Sheet'!#REF!</definedName>
    <definedName name="BLPR1920040129204514652_3_5" localSheetId="37" hidden="1">'[4]Spread Sheet'!#REF!</definedName>
    <definedName name="BLPR1920040129204514652_3_5" hidden="1">'[4]Spread Sheet'!#REF!</definedName>
    <definedName name="BLPR1920040129204514652_4_5" localSheetId="27" hidden="1">'[4]Spread Sheet'!#REF!</definedName>
    <definedName name="BLPR1920040129204514652_4_5" localSheetId="28" hidden="1">'[4]Spread Sheet'!#REF!</definedName>
    <definedName name="BLPR1920040129204514652_4_5" localSheetId="29" hidden="1">'[4]Spread Sheet'!#REF!</definedName>
    <definedName name="BLPR1920040129204514652_4_5" localSheetId="30" hidden="1">'[4]Spread Sheet'!#REF!</definedName>
    <definedName name="BLPR1920040129204514652_4_5" localSheetId="37" hidden="1">'[4]Spread Sheet'!#REF!</definedName>
    <definedName name="BLPR1920040129204514652_4_5" hidden="1">'[4]Spread Sheet'!#REF!</definedName>
    <definedName name="BLPR1920040129204514652_5_5" localSheetId="27" hidden="1">'[4]Spread Sheet'!#REF!</definedName>
    <definedName name="BLPR1920040129204514652_5_5" localSheetId="28" hidden="1">'[4]Spread Sheet'!#REF!</definedName>
    <definedName name="BLPR1920040129204514652_5_5" localSheetId="29" hidden="1">'[4]Spread Sheet'!#REF!</definedName>
    <definedName name="BLPR1920040129204514652_5_5" localSheetId="30" hidden="1">'[4]Spread Sheet'!#REF!</definedName>
    <definedName name="BLPR1920040129204514652_5_5" localSheetId="37" hidden="1">'[4]Spread Sheet'!#REF!</definedName>
    <definedName name="BLPR1920040129204514652_5_5" hidden="1">'[4]Spread Sheet'!#REF!</definedName>
    <definedName name="BLPR2020040129204514652" localSheetId="27" hidden="1">'[4]Spread Sheet'!#REF!</definedName>
    <definedName name="BLPR2020040129204514652" localSheetId="28" hidden="1">'[4]Spread Sheet'!#REF!</definedName>
    <definedName name="BLPR2020040129204514652" localSheetId="29" hidden="1">'[4]Spread Sheet'!#REF!</definedName>
    <definedName name="BLPR2020040129204514652" localSheetId="30" hidden="1">'[4]Spread Sheet'!#REF!</definedName>
    <definedName name="BLPR2020040129204514652" localSheetId="37" hidden="1">'[4]Spread Sheet'!#REF!</definedName>
    <definedName name="BLPR2020040129204514652" hidden="1">'[4]Spread Sheet'!#REF!</definedName>
    <definedName name="BLPR2020040129204514652_1_5" localSheetId="27" hidden="1">'[4]Spread Sheet'!#REF!</definedName>
    <definedName name="BLPR2020040129204514652_1_5" localSheetId="28" hidden="1">'[4]Spread Sheet'!#REF!</definedName>
    <definedName name="BLPR2020040129204514652_1_5" localSheetId="29" hidden="1">'[4]Spread Sheet'!#REF!</definedName>
    <definedName name="BLPR2020040129204514652_1_5" localSheetId="30" hidden="1">'[4]Spread Sheet'!#REF!</definedName>
    <definedName name="BLPR2020040129204514652_1_5" localSheetId="37" hidden="1">'[4]Spread Sheet'!#REF!</definedName>
    <definedName name="BLPR2020040129204514652_1_5" hidden="1">'[4]Spread Sheet'!#REF!</definedName>
    <definedName name="BLPR2020040129204514652_2_5" localSheetId="27" hidden="1">'[4]Spread Sheet'!#REF!</definedName>
    <definedName name="BLPR2020040129204514652_2_5" localSheetId="28" hidden="1">'[4]Spread Sheet'!#REF!</definedName>
    <definedName name="BLPR2020040129204514652_2_5" localSheetId="29" hidden="1">'[4]Spread Sheet'!#REF!</definedName>
    <definedName name="BLPR2020040129204514652_2_5" localSheetId="30" hidden="1">'[4]Spread Sheet'!#REF!</definedName>
    <definedName name="BLPR2020040129204514652_2_5" localSheetId="37" hidden="1">'[4]Spread Sheet'!#REF!</definedName>
    <definedName name="BLPR2020040129204514652_2_5" hidden="1">'[4]Spread Sheet'!#REF!</definedName>
    <definedName name="BLPR2020040129204514652_3_5" localSheetId="27" hidden="1">'[4]Spread Sheet'!#REF!</definedName>
    <definedName name="BLPR2020040129204514652_3_5" localSheetId="28" hidden="1">'[4]Spread Sheet'!#REF!</definedName>
    <definedName name="BLPR2020040129204514652_3_5" localSheetId="29" hidden="1">'[4]Spread Sheet'!#REF!</definedName>
    <definedName name="BLPR2020040129204514652_3_5" localSheetId="30" hidden="1">'[4]Spread Sheet'!#REF!</definedName>
    <definedName name="BLPR2020040129204514652_3_5" localSheetId="37" hidden="1">'[4]Spread Sheet'!#REF!</definedName>
    <definedName name="BLPR2020040129204514652_3_5" hidden="1">'[4]Spread Sheet'!#REF!</definedName>
    <definedName name="BLPR2020040129204514652_4_5" localSheetId="27" hidden="1">'[4]Spread Sheet'!#REF!</definedName>
    <definedName name="BLPR2020040129204514652_4_5" localSheetId="28" hidden="1">'[4]Spread Sheet'!#REF!</definedName>
    <definedName name="BLPR2020040129204514652_4_5" localSheetId="29" hidden="1">'[4]Spread Sheet'!#REF!</definedName>
    <definedName name="BLPR2020040129204514652_4_5" localSheetId="30" hidden="1">'[4]Spread Sheet'!#REF!</definedName>
    <definedName name="BLPR2020040129204514652_4_5" localSheetId="37" hidden="1">'[4]Spread Sheet'!#REF!</definedName>
    <definedName name="BLPR2020040129204514652_4_5" hidden="1">'[4]Spread Sheet'!#REF!</definedName>
    <definedName name="BLPR2020040129204514652_5_5" localSheetId="27" hidden="1">'[4]Spread Sheet'!#REF!</definedName>
    <definedName name="BLPR2020040129204514652_5_5" localSheetId="28" hidden="1">'[4]Spread Sheet'!#REF!</definedName>
    <definedName name="BLPR2020040129204514652_5_5" localSheetId="29" hidden="1">'[4]Spread Sheet'!#REF!</definedName>
    <definedName name="BLPR2020040129204514652_5_5" localSheetId="30" hidden="1">'[4]Spread Sheet'!#REF!</definedName>
    <definedName name="BLPR2020040129204514652_5_5" localSheetId="37" hidden="1">'[4]Spread Sheet'!#REF!</definedName>
    <definedName name="BLPR2020040129204514652_5_5" hidden="1">'[4]Spread Sheet'!#REF!</definedName>
    <definedName name="BLPR2120040129204514652" localSheetId="27" hidden="1">'[4]Spread Sheet'!#REF!</definedName>
    <definedName name="BLPR2120040129204514652" localSheetId="28" hidden="1">'[4]Spread Sheet'!#REF!</definedName>
    <definedName name="BLPR2120040129204514652" localSheetId="29" hidden="1">'[4]Spread Sheet'!#REF!</definedName>
    <definedName name="BLPR2120040129204514652" localSheetId="30" hidden="1">'[4]Spread Sheet'!#REF!</definedName>
    <definedName name="BLPR2120040129204514652" localSheetId="37" hidden="1">'[4]Spread Sheet'!#REF!</definedName>
    <definedName name="BLPR2120040129204514652" hidden="1">'[4]Spread Sheet'!#REF!</definedName>
    <definedName name="BLPR2120040129204514652_1_5" localSheetId="27" hidden="1">'[4]Spread Sheet'!#REF!</definedName>
    <definedName name="BLPR2120040129204514652_1_5" localSheetId="28" hidden="1">'[4]Spread Sheet'!#REF!</definedName>
    <definedName name="BLPR2120040129204514652_1_5" localSheetId="29" hidden="1">'[4]Spread Sheet'!#REF!</definedName>
    <definedName name="BLPR2120040129204514652_1_5" localSheetId="30" hidden="1">'[4]Spread Sheet'!#REF!</definedName>
    <definedName name="BLPR2120040129204514652_1_5" localSheetId="37" hidden="1">'[4]Spread Sheet'!#REF!</definedName>
    <definedName name="BLPR2120040129204514652_1_5" hidden="1">'[4]Spread Sheet'!#REF!</definedName>
    <definedName name="BLPR2120040129204514652_2_5" localSheetId="27" hidden="1">'[4]Spread Sheet'!#REF!</definedName>
    <definedName name="BLPR2120040129204514652_2_5" localSheetId="28" hidden="1">'[4]Spread Sheet'!#REF!</definedName>
    <definedName name="BLPR2120040129204514652_2_5" localSheetId="29" hidden="1">'[4]Spread Sheet'!#REF!</definedName>
    <definedName name="BLPR2120040129204514652_2_5" localSheetId="30" hidden="1">'[4]Spread Sheet'!#REF!</definedName>
    <definedName name="BLPR2120040129204514652_2_5" localSheetId="37" hidden="1">'[4]Spread Sheet'!#REF!</definedName>
    <definedName name="BLPR2120040129204514652_2_5" hidden="1">'[4]Spread Sheet'!#REF!</definedName>
    <definedName name="BLPR2120040129204514652_3_5" localSheetId="27" hidden="1">'[4]Spread Sheet'!#REF!</definedName>
    <definedName name="BLPR2120040129204514652_3_5" localSheetId="28" hidden="1">'[4]Spread Sheet'!#REF!</definedName>
    <definedName name="BLPR2120040129204514652_3_5" localSheetId="29" hidden="1">'[4]Spread Sheet'!#REF!</definedName>
    <definedName name="BLPR2120040129204514652_3_5" localSheetId="30" hidden="1">'[4]Spread Sheet'!#REF!</definedName>
    <definedName name="BLPR2120040129204514652_3_5" localSheetId="37" hidden="1">'[4]Spread Sheet'!#REF!</definedName>
    <definedName name="BLPR2120040129204514652_3_5" hidden="1">'[4]Spread Sheet'!#REF!</definedName>
    <definedName name="BLPR2120040129204514652_4_5" localSheetId="27" hidden="1">'[4]Spread Sheet'!#REF!</definedName>
    <definedName name="BLPR2120040129204514652_4_5" localSheetId="28" hidden="1">'[4]Spread Sheet'!#REF!</definedName>
    <definedName name="BLPR2120040129204514652_4_5" localSheetId="29" hidden="1">'[4]Spread Sheet'!#REF!</definedName>
    <definedName name="BLPR2120040129204514652_4_5" localSheetId="30" hidden="1">'[4]Spread Sheet'!#REF!</definedName>
    <definedName name="BLPR2120040129204514652_4_5" localSheetId="37" hidden="1">'[4]Spread Sheet'!#REF!</definedName>
    <definedName name="BLPR2120040129204514652_4_5" hidden="1">'[4]Spread Sheet'!#REF!</definedName>
    <definedName name="BLPR2120040129204514652_5_5" localSheetId="27" hidden="1">'[4]Spread Sheet'!#REF!</definedName>
    <definedName name="BLPR2120040129204514652_5_5" localSheetId="28" hidden="1">'[4]Spread Sheet'!#REF!</definedName>
    <definedName name="BLPR2120040129204514652_5_5" localSheetId="29" hidden="1">'[4]Spread Sheet'!#REF!</definedName>
    <definedName name="BLPR2120040129204514652_5_5" localSheetId="30" hidden="1">'[4]Spread Sheet'!#REF!</definedName>
    <definedName name="BLPR2120040129204514652_5_5" localSheetId="37" hidden="1">'[4]Spread Sheet'!#REF!</definedName>
    <definedName name="BLPR2120040129204514652_5_5" hidden="1">'[4]Spread Sheet'!#REF!</definedName>
    <definedName name="BLPR220040129203645421" localSheetId="27" hidden="1">'[4]Spread Sheet'!#REF!</definedName>
    <definedName name="BLPR220040129203645421" localSheetId="28" hidden="1">'[4]Spread Sheet'!#REF!</definedName>
    <definedName name="BLPR220040129203645421" localSheetId="29" hidden="1">'[4]Spread Sheet'!#REF!</definedName>
    <definedName name="BLPR220040129203645421" localSheetId="30" hidden="1">'[4]Spread Sheet'!#REF!</definedName>
    <definedName name="BLPR220040129203645421" localSheetId="37" hidden="1">'[4]Spread Sheet'!#REF!</definedName>
    <definedName name="BLPR220040129203645421" hidden="1">'[4]Spread Sheet'!#REF!</definedName>
    <definedName name="BLPR220040129203645421_1_4" localSheetId="27" hidden="1">'[4]Spread Sheet'!#REF!</definedName>
    <definedName name="BLPR220040129203645421_1_4" localSheetId="28" hidden="1">'[4]Spread Sheet'!#REF!</definedName>
    <definedName name="BLPR220040129203645421_1_4" localSheetId="29" hidden="1">'[4]Spread Sheet'!#REF!</definedName>
    <definedName name="BLPR220040129203645421_1_4" localSheetId="30" hidden="1">'[4]Spread Sheet'!#REF!</definedName>
    <definedName name="BLPR220040129203645421_1_4" localSheetId="37" hidden="1">'[4]Spread Sheet'!#REF!</definedName>
    <definedName name="BLPR220040129203645421_1_4" hidden="1">'[4]Spread Sheet'!#REF!</definedName>
    <definedName name="BLPR220040129203645421_2_4" localSheetId="27" hidden="1">'[4]Spread Sheet'!#REF!</definedName>
    <definedName name="BLPR220040129203645421_2_4" localSheetId="28" hidden="1">'[4]Spread Sheet'!#REF!</definedName>
    <definedName name="BLPR220040129203645421_2_4" localSheetId="29" hidden="1">'[4]Spread Sheet'!#REF!</definedName>
    <definedName name="BLPR220040129203645421_2_4" localSheetId="30" hidden="1">'[4]Spread Sheet'!#REF!</definedName>
    <definedName name="BLPR220040129203645421_2_4" localSheetId="37" hidden="1">'[4]Spread Sheet'!#REF!</definedName>
    <definedName name="BLPR220040129203645421_2_4" hidden="1">'[4]Spread Sheet'!#REF!</definedName>
    <definedName name="BLPR220040129203645421_3_4" localSheetId="27" hidden="1">'[4]Spread Sheet'!#REF!</definedName>
    <definedName name="BLPR220040129203645421_3_4" localSheetId="28" hidden="1">'[4]Spread Sheet'!#REF!</definedName>
    <definedName name="BLPR220040129203645421_3_4" localSheetId="29" hidden="1">'[4]Spread Sheet'!#REF!</definedName>
    <definedName name="BLPR220040129203645421_3_4" localSheetId="30" hidden="1">'[4]Spread Sheet'!#REF!</definedName>
    <definedName name="BLPR220040129203645421_3_4" localSheetId="37" hidden="1">'[4]Spread Sheet'!#REF!</definedName>
    <definedName name="BLPR220040129203645421_3_4" hidden="1">'[4]Spread Sheet'!#REF!</definedName>
    <definedName name="BLPR220040129203645421_4_4" localSheetId="27" hidden="1">'[4]Spread Sheet'!#REF!</definedName>
    <definedName name="BLPR220040129203645421_4_4" localSheetId="28" hidden="1">'[4]Spread Sheet'!#REF!</definedName>
    <definedName name="BLPR220040129203645421_4_4" localSheetId="29" hidden="1">'[4]Spread Sheet'!#REF!</definedName>
    <definedName name="BLPR220040129203645421_4_4" localSheetId="30" hidden="1">'[4]Spread Sheet'!#REF!</definedName>
    <definedName name="BLPR220040129203645421_4_4" localSheetId="37" hidden="1">'[4]Spread Sheet'!#REF!</definedName>
    <definedName name="BLPR220040129203645421_4_4" hidden="1">'[4]Spread Sheet'!#REF!</definedName>
    <definedName name="BLPR2220040129204514652" localSheetId="27" hidden="1">'[4]Spread Sheet'!#REF!</definedName>
    <definedName name="BLPR2220040129204514652" localSheetId="28" hidden="1">'[4]Spread Sheet'!#REF!</definedName>
    <definedName name="BLPR2220040129204514652" localSheetId="29" hidden="1">'[4]Spread Sheet'!#REF!</definedName>
    <definedName name="BLPR2220040129204514652" localSheetId="30" hidden="1">'[4]Spread Sheet'!#REF!</definedName>
    <definedName name="BLPR2220040129204514652" localSheetId="37" hidden="1">'[4]Spread Sheet'!#REF!</definedName>
    <definedName name="BLPR2220040129204514652" hidden="1">'[4]Spread Sheet'!#REF!</definedName>
    <definedName name="BLPR2220040129204514652_1_5" localSheetId="27" hidden="1">'[4]Spread Sheet'!#REF!</definedName>
    <definedName name="BLPR2220040129204514652_1_5" localSheetId="28" hidden="1">'[4]Spread Sheet'!#REF!</definedName>
    <definedName name="BLPR2220040129204514652_1_5" localSheetId="29" hidden="1">'[4]Spread Sheet'!#REF!</definedName>
    <definedName name="BLPR2220040129204514652_1_5" localSheetId="30" hidden="1">'[4]Spread Sheet'!#REF!</definedName>
    <definedName name="BLPR2220040129204514652_1_5" localSheetId="37" hidden="1">'[4]Spread Sheet'!#REF!</definedName>
    <definedName name="BLPR2220040129204514652_1_5" hidden="1">'[4]Spread Sheet'!#REF!</definedName>
    <definedName name="BLPR2220040129204514652_2_5" localSheetId="27" hidden="1">'[4]Spread Sheet'!#REF!</definedName>
    <definedName name="BLPR2220040129204514652_2_5" localSheetId="28" hidden="1">'[4]Spread Sheet'!#REF!</definedName>
    <definedName name="BLPR2220040129204514652_2_5" localSheetId="29" hidden="1">'[4]Spread Sheet'!#REF!</definedName>
    <definedName name="BLPR2220040129204514652_2_5" localSheetId="30" hidden="1">'[4]Spread Sheet'!#REF!</definedName>
    <definedName name="BLPR2220040129204514652_2_5" localSheetId="37" hidden="1">'[4]Spread Sheet'!#REF!</definedName>
    <definedName name="BLPR2220040129204514652_2_5" hidden="1">'[4]Spread Sheet'!#REF!</definedName>
    <definedName name="BLPR2220040129204514652_3_5" localSheetId="27" hidden="1">'[4]Spread Sheet'!#REF!</definedName>
    <definedName name="BLPR2220040129204514652_3_5" localSheetId="28" hidden="1">'[4]Spread Sheet'!#REF!</definedName>
    <definedName name="BLPR2220040129204514652_3_5" localSheetId="29" hidden="1">'[4]Spread Sheet'!#REF!</definedName>
    <definedName name="BLPR2220040129204514652_3_5" localSheetId="30" hidden="1">'[4]Spread Sheet'!#REF!</definedName>
    <definedName name="BLPR2220040129204514652_3_5" localSheetId="37" hidden="1">'[4]Spread Sheet'!#REF!</definedName>
    <definedName name="BLPR2220040129204514652_3_5" hidden="1">'[4]Spread Sheet'!#REF!</definedName>
    <definedName name="BLPR2220040129204514652_4_5" localSheetId="27" hidden="1">'[4]Spread Sheet'!#REF!</definedName>
    <definedName name="BLPR2220040129204514652_4_5" localSheetId="28" hidden="1">'[4]Spread Sheet'!#REF!</definedName>
    <definedName name="BLPR2220040129204514652_4_5" localSheetId="29" hidden="1">'[4]Spread Sheet'!#REF!</definedName>
    <definedName name="BLPR2220040129204514652_4_5" localSheetId="30" hidden="1">'[4]Spread Sheet'!#REF!</definedName>
    <definedName name="BLPR2220040129204514652_4_5" localSheetId="37" hidden="1">'[4]Spread Sheet'!#REF!</definedName>
    <definedName name="BLPR2220040129204514652_4_5" hidden="1">'[4]Spread Sheet'!#REF!</definedName>
    <definedName name="BLPR2220040129204514652_5_5" localSheetId="27" hidden="1">'[4]Spread Sheet'!#REF!</definedName>
    <definedName name="BLPR2220040129204514652_5_5" localSheetId="28" hidden="1">'[4]Spread Sheet'!#REF!</definedName>
    <definedName name="BLPR2220040129204514652_5_5" localSheetId="29" hidden="1">'[4]Spread Sheet'!#REF!</definedName>
    <definedName name="BLPR2220040129204514652_5_5" localSheetId="30" hidden="1">'[4]Spread Sheet'!#REF!</definedName>
    <definedName name="BLPR2220040129204514652_5_5" localSheetId="37" hidden="1">'[4]Spread Sheet'!#REF!</definedName>
    <definedName name="BLPR2220040129204514652_5_5" hidden="1">'[4]Spread Sheet'!#REF!</definedName>
    <definedName name="BLPR2320040129204514662" localSheetId="27" hidden="1">'[4]Spread Sheet'!#REF!</definedName>
    <definedName name="BLPR2320040129204514662" localSheetId="28" hidden="1">'[4]Spread Sheet'!#REF!</definedName>
    <definedName name="BLPR2320040129204514662" localSheetId="29" hidden="1">'[4]Spread Sheet'!#REF!</definedName>
    <definedName name="BLPR2320040129204514662" localSheetId="30" hidden="1">'[4]Spread Sheet'!#REF!</definedName>
    <definedName name="BLPR2320040129204514662" localSheetId="37" hidden="1">'[4]Spread Sheet'!#REF!</definedName>
    <definedName name="BLPR2320040129204514662" hidden="1">'[4]Spread Sheet'!#REF!</definedName>
    <definedName name="BLPR2320040129204514662_1_5" localSheetId="27" hidden="1">'[4]Spread Sheet'!#REF!</definedName>
    <definedName name="BLPR2320040129204514662_1_5" localSheetId="28" hidden="1">'[4]Spread Sheet'!#REF!</definedName>
    <definedName name="BLPR2320040129204514662_1_5" localSheetId="29" hidden="1">'[4]Spread Sheet'!#REF!</definedName>
    <definedName name="BLPR2320040129204514662_1_5" localSheetId="30" hidden="1">'[4]Spread Sheet'!#REF!</definedName>
    <definedName name="BLPR2320040129204514662_1_5" localSheetId="37" hidden="1">'[4]Spread Sheet'!#REF!</definedName>
    <definedName name="BLPR2320040129204514662_1_5" hidden="1">'[4]Spread Sheet'!#REF!</definedName>
    <definedName name="BLPR2320040129204514662_2_5" localSheetId="27" hidden="1">'[4]Spread Sheet'!#REF!</definedName>
    <definedName name="BLPR2320040129204514662_2_5" localSheetId="28" hidden="1">'[4]Spread Sheet'!#REF!</definedName>
    <definedName name="BLPR2320040129204514662_2_5" localSheetId="29" hidden="1">'[4]Spread Sheet'!#REF!</definedName>
    <definedName name="BLPR2320040129204514662_2_5" localSheetId="30" hidden="1">'[4]Spread Sheet'!#REF!</definedName>
    <definedName name="BLPR2320040129204514662_2_5" localSheetId="37" hidden="1">'[4]Spread Sheet'!#REF!</definedName>
    <definedName name="BLPR2320040129204514662_2_5" hidden="1">'[4]Spread Sheet'!#REF!</definedName>
    <definedName name="BLPR2320040129204514662_3_5" localSheetId="27" hidden="1">'[4]Spread Sheet'!#REF!</definedName>
    <definedName name="BLPR2320040129204514662_3_5" localSheetId="28" hidden="1">'[4]Spread Sheet'!#REF!</definedName>
    <definedName name="BLPR2320040129204514662_3_5" localSheetId="29" hidden="1">'[4]Spread Sheet'!#REF!</definedName>
    <definedName name="BLPR2320040129204514662_3_5" localSheetId="30" hidden="1">'[4]Spread Sheet'!#REF!</definedName>
    <definedName name="BLPR2320040129204514662_3_5" localSheetId="37" hidden="1">'[4]Spread Sheet'!#REF!</definedName>
    <definedName name="BLPR2320040129204514662_3_5" hidden="1">'[4]Spread Sheet'!#REF!</definedName>
    <definedName name="BLPR2320040129204514662_4_5" localSheetId="27" hidden="1">'[4]Spread Sheet'!#REF!</definedName>
    <definedName name="BLPR2320040129204514662_4_5" localSheetId="28" hidden="1">'[4]Spread Sheet'!#REF!</definedName>
    <definedName name="BLPR2320040129204514662_4_5" localSheetId="29" hidden="1">'[4]Spread Sheet'!#REF!</definedName>
    <definedName name="BLPR2320040129204514662_4_5" localSheetId="30" hidden="1">'[4]Spread Sheet'!#REF!</definedName>
    <definedName name="BLPR2320040129204514662_4_5" localSheetId="37" hidden="1">'[4]Spread Sheet'!#REF!</definedName>
    <definedName name="BLPR2320040129204514662_4_5" hidden="1">'[4]Spread Sheet'!#REF!</definedName>
    <definedName name="BLPR2320040129204514662_5_5" localSheetId="27" hidden="1">'[4]Spread Sheet'!#REF!</definedName>
    <definedName name="BLPR2320040129204514662_5_5" localSheetId="28" hidden="1">'[4]Spread Sheet'!#REF!</definedName>
    <definedName name="BLPR2320040129204514662_5_5" localSheetId="29" hidden="1">'[4]Spread Sheet'!#REF!</definedName>
    <definedName name="BLPR2320040129204514662_5_5" localSheetId="30" hidden="1">'[4]Spread Sheet'!#REF!</definedName>
    <definedName name="BLPR2320040129204514662_5_5" localSheetId="37" hidden="1">'[4]Spread Sheet'!#REF!</definedName>
    <definedName name="BLPR2320040129204514662_5_5" hidden="1">'[4]Spread Sheet'!#REF!</definedName>
    <definedName name="BLPR2420040129204514662" localSheetId="27" hidden="1">'[4]Spread Sheet'!#REF!</definedName>
    <definedName name="BLPR2420040129204514662" localSheetId="28" hidden="1">'[4]Spread Sheet'!#REF!</definedName>
    <definedName name="BLPR2420040129204514662" localSheetId="29" hidden="1">'[4]Spread Sheet'!#REF!</definedName>
    <definedName name="BLPR2420040129204514662" localSheetId="30" hidden="1">'[4]Spread Sheet'!#REF!</definedName>
    <definedName name="BLPR2420040129204514662" localSheetId="37" hidden="1">'[4]Spread Sheet'!#REF!</definedName>
    <definedName name="BLPR2420040129204514662" hidden="1">'[4]Spread Sheet'!#REF!</definedName>
    <definedName name="BLPR2420040129204514662_1_5" localSheetId="27" hidden="1">'[4]Spread Sheet'!#REF!</definedName>
    <definedName name="BLPR2420040129204514662_1_5" localSheetId="28" hidden="1">'[4]Spread Sheet'!#REF!</definedName>
    <definedName name="BLPR2420040129204514662_1_5" localSheetId="29" hidden="1">'[4]Spread Sheet'!#REF!</definedName>
    <definedName name="BLPR2420040129204514662_1_5" localSheetId="30" hidden="1">'[4]Spread Sheet'!#REF!</definedName>
    <definedName name="BLPR2420040129204514662_1_5" localSheetId="37" hidden="1">'[4]Spread Sheet'!#REF!</definedName>
    <definedName name="BLPR2420040129204514662_1_5" hidden="1">'[4]Spread Sheet'!#REF!</definedName>
    <definedName name="BLPR2420040129204514662_2_5" localSheetId="27" hidden="1">'[4]Spread Sheet'!#REF!</definedName>
    <definedName name="BLPR2420040129204514662_2_5" localSheetId="28" hidden="1">'[4]Spread Sheet'!#REF!</definedName>
    <definedName name="BLPR2420040129204514662_2_5" localSheetId="29" hidden="1">'[4]Spread Sheet'!#REF!</definedName>
    <definedName name="BLPR2420040129204514662_2_5" localSheetId="30" hidden="1">'[4]Spread Sheet'!#REF!</definedName>
    <definedName name="BLPR2420040129204514662_2_5" localSheetId="37" hidden="1">'[4]Spread Sheet'!#REF!</definedName>
    <definedName name="BLPR2420040129204514662_2_5" hidden="1">'[4]Spread Sheet'!#REF!</definedName>
    <definedName name="BLPR2420040129204514662_3_5" localSheetId="27" hidden="1">'[4]Spread Sheet'!#REF!</definedName>
    <definedName name="BLPR2420040129204514662_3_5" localSheetId="28" hidden="1">'[4]Spread Sheet'!#REF!</definedName>
    <definedName name="BLPR2420040129204514662_3_5" localSheetId="29" hidden="1">'[4]Spread Sheet'!#REF!</definedName>
    <definedName name="BLPR2420040129204514662_3_5" localSheetId="30" hidden="1">'[4]Spread Sheet'!#REF!</definedName>
    <definedName name="BLPR2420040129204514662_3_5" localSheetId="37" hidden="1">'[4]Spread Sheet'!#REF!</definedName>
    <definedName name="BLPR2420040129204514662_3_5" hidden="1">'[4]Spread Sheet'!#REF!</definedName>
    <definedName name="BLPR2420040129204514662_4_5" localSheetId="27" hidden="1">'[4]Spread Sheet'!#REF!</definedName>
    <definedName name="BLPR2420040129204514662_4_5" localSheetId="28" hidden="1">'[4]Spread Sheet'!#REF!</definedName>
    <definedName name="BLPR2420040129204514662_4_5" localSheetId="29" hidden="1">'[4]Spread Sheet'!#REF!</definedName>
    <definedName name="BLPR2420040129204514662_4_5" localSheetId="30" hidden="1">'[4]Spread Sheet'!#REF!</definedName>
    <definedName name="BLPR2420040129204514662_4_5" localSheetId="37" hidden="1">'[4]Spread Sheet'!#REF!</definedName>
    <definedName name="BLPR2420040129204514662_4_5" hidden="1">'[4]Spread Sheet'!#REF!</definedName>
    <definedName name="BLPR2420040129204514662_5_5" localSheetId="27" hidden="1">'[4]Spread Sheet'!#REF!</definedName>
    <definedName name="BLPR2420040129204514662_5_5" localSheetId="28" hidden="1">'[4]Spread Sheet'!#REF!</definedName>
    <definedName name="BLPR2420040129204514662_5_5" localSheetId="29" hidden="1">'[4]Spread Sheet'!#REF!</definedName>
    <definedName name="BLPR2420040129204514662_5_5" localSheetId="30" hidden="1">'[4]Spread Sheet'!#REF!</definedName>
    <definedName name="BLPR2420040129204514662_5_5" localSheetId="37" hidden="1">'[4]Spread Sheet'!#REF!</definedName>
    <definedName name="BLPR2420040129204514662_5_5" hidden="1">'[4]Spread Sheet'!#REF!</definedName>
    <definedName name="BLPR2520040129204514662" localSheetId="27" hidden="1">'[4]Spread Sheet'!#REF!</definedName>
    <definedName name="BLPR2520040129204514662" localSheetId="28" hidden="1">'[4]Spread Sheet'!#REF!</definedName>
    <definedName name="BLPR2520040129204514662" localSheetId="29" hidden="1">'[4]Spread Sheet'!#REF!</definedName>
    <definedName name="BLPR2520040129204514662" localSheetId="30" hidden="1">'[4]Spread Sheet'!#REF!</definedName>
    <definedName name="BLPR2520040129204514662" localSheetId="37" hidden="1">'[4]Spread Sheet'!#REF!</definedName>
    <definedName name="BLPR2520040129204514662" hidden="1">'[4]Spread Sheet'!#REF!</definedName>
    <definedName name="BLPR2520040129204514662_1_5" localSheetId="27" hidden="1">'[4]Spread Sheet'!#REF!</definedName>
    <definedName name="BLPR2520040129204514662_1_5" localSheetId="28" hidden="1">'[4]Spread Sheet'!#REF!</definedName>
    <definedName name="BLPR2520040129204514662_1_5" localSheetId="29" hidden="1">'[4]Spread Sheet'!#REF!</definedName>
    <definedName name="BLPR2520040129204514662_1_5" localSheetId="30" hidden="1">'[4]Spread Sheet'!#REF!</definedName>
    <definedName name="BLPR2520040129204514662_1_5" localSheetId="37" hidden="1">'[4]Spread Sheet'!#REF!</definedName>
    <definedName name="BLPR2520040129204514662_1_5" hidden="1">'[4]Spread Sheet'!#REF!</definedName>
    <definedName name="BLPR2520040129204514662_2_5" localSheetId="27" hidden="1">'[4]Spread Sheet'!#REF!</definedName>
    <definedName name="BLPR2520040129204514662_2_5" localSheetId="28" hidden="1">'[4]Spread Sheet'!#REF!</definedName>
    <definedName name="BLPR2520040129204514662_2_5" localSheetId="29" hidden="1">'[4]Spread Sheet'!#REF!</definedName>
    <definedName name="BLPR2520040129204514662_2_5" localSheetId="30" hidden="1">'[4]Spread Sheet'!#REF!</definedName>
    <definedName name="BLPR2520040129204514662_2_5" localSheetId="37" hidden="1">'[4]Spread Sheet'!#REF!</definedName>
    <definedName name="BLPR2520040129204514662_2_5" hidden="1">'[4]Spread Sheet'!#REF!</definedName>
    <definedName name="BLPR2520040129204514662_3_5" localSheetId="27" hidden="1">'[4]Spread Sheet'!#REF!</definedName>
    <definedName name="BLPR2520040129204514662_3_5" localSheetId="28" hidden="1">'[4]Spread Sheet'!#REF!</definedName>
    <definedName name="BLPR2520040129204514662_3_5" localSheetId="29" hidden="1">'[4]Spread Sheet'!#REF!</definedName>
    <definedName name="BLPR2520040129204514662_3_5" localSheetId="30" hidden="1">'[4]Spread Sheet'!#REF!</definedName>
    <definedName name="BLPR2520040129204514662_3_5" localSheetId="37" hidden="1">'[4]Spread Sheet'!#REF!</definedName>
    <definedName name="BLPR2520040129204514662_3_5" hidden="1">'[4]Spread Sheet'!#REF!</definedName>
    <definedName name="BLPR2520040129204514662_4_5" localSheetId="27" hidden="1">'[4]Spread Sheet'!#REF!</definedName>
    <definedName name="BLPR2520040129204514662_4_5" localSheetId="28" hidden="1">'[4]Spread Sheet'!#REF!</definedName>
    <definedName name="BLPR2520040129204514662_4_5" localSheetId="29" hidden="1">'[4]Spread Sheet'!#REF!</definedName>
    <definedName name="BLPR2520040129204514662_4_5" localSheetId="30" hidden="1">'[4]Spread Sheet'!#REF!</definedName>
    <definedName name="BLPR2520040129204514662_4_5" localSheetId="37" hidden="1">'[4]Spread Sheet'!#REF!</definedName>
    <definedName name="BLPR2520040129204514662_4_5" hidden="1">'[4]Spread Sheet'!#REF!</definedName>
    <definedName name="BLPR2520040129204514662_5_5" localSheetId="27" hidden="1">'[4]Spread Sheet'!#REF!</definedName>
    <definedName name="BLPR2520040129204514662_5_5" localSheetId="28" hidden="1">'[4]Spread Sheet'!#REF!</definedName>
    <definedName name="BLPR2520040129204514662_5_5" localSheetId="29" hidden="1">'[4]Spread Sheet'!#REF!</definedName>
    <definedName name="BLPR2520040129204514662_5_5" localSheetId="30" hidden="1">'[4]Spread Sheet'!#REF!</definedName>
    <definedName name="BLPR2520040129204514662_5_5" localSheetId="37" hidden="1">'[4]Spread Sheet'!#REF!</definedName>
    <definedName name="BLPR2520040129204514662_5_5" hidden="1">'[4]Spread Sheet'!#REF!</definedName>
    <definedName name="BLPR2620040129204514662" localSheetId="27" hidden="1">'[4]Spread Sheet'!#REF!</definedName>
    <definedName name="BLPR2620040129204514662" localSheetId="28" hidden="1">'[4]Spread Sheet'!#REF!</definedName>
    <definedName name="BLPR2620040129204514662" localSheetId="29" hidden="1">'[4]Spread Sheet'!#REF!</definedName>
    <definedName name="BLPR2620040129204514662" localSheetId="30" hidden="1">'[4]Spread Sheet'!#REF!</definedName>
    <definedName name="BLPR2620040129204514662" localSheetId="37" hidden="1">'[4]Spread Sheet'!#REF!</definedName>
    <definedName name="BLPR2620040129204514662" hidden="1">'[4]Spread Sheet'!#REF!</definedName>
    <definedName name="BLPR2620040129204514662_1_5" localSheetId="27" hidden="1">'[4]Spread Sheet'!#REF!</definedName>
    <definedName name="BLPR2620040129204514662_1_5" localSheetId="28" hidden="1">'[4]Spread Sheet'!#REF!</definedName>
    <definedName name="BLPR2620040129204514662_1_5" localSheetId="29" hidden="1">'[4]Spread Sheet'!#REF!</definedName>
    <definedName name="BLPR2620040129204514662_1_5" localSheetId="30" hidden="1">'[4]Spread Sheet'!#REF!</definedName>
    <definedName name="BLPR2620040129204514662_1_5" localSheetId="37" hidden="1">'[4]Spread Sheet'!#REF!</definedName>
    <definedName name="BLPR2620040129204514662_1_5" hidden="1">'[4]Spread Sheet'!#REF!</definedName>
    <definedName name="BLPR2620040129204514662_2_5" localSheetId="27" hidden="1">'[4]Spread Sheet'!#REF!</definedName>
    <definedName name="BLPR2620040129204514662_2_5" localSheetId="28" hidden="1">'[4]Spread Sheet'!#REF!</definedName>
    <definedName name="BLPR2620040129204514662_2_5" localSheetId="29" hidden="1">'[4]Spread Sheet'!#REF!</definedName>
    <definedName name="BLPR2620040129204514662_2_5" localSheetId="30" hidden="1">'[4]Spread Sheet'!#REF!</definedName>
    <definedName name="BLPR2620040129204514662_2_5" localSheetId="37" hidden="1">'[4]Spread Sheet'!#REF!</definedName>
    <definedName name="BLPR2620040129204514662_2_5" hidden="1">'[4]Spread Sheet'!#REF!</definedName>
    <definedName name="BLPR2620040129204514662_3_5" localSheetId="27" hidden="1">'[4]Spread Sheet'!#REF!</definedName>
    <definedName name="BLPR2620040129204514662_3_5" localSheetId="28" hidden="1">'[4]Spread Sheet'!#REF!</definedName>
    <definedName name="BLPR2620040129204514662_3_5" localSheetId="29" hidden="1">'[4]Spread Sheet'!#REF!</definedName>
    <definedName name="BLPR2620040129204514662_3_5" localSheetId="30" hidden="1">'[4]Spread Sheet'!#REF!</definedName>
    <definedName name="BLPR2620040129204514662_3_5" localSheetId="37" hidden="1">'[4]Spread Sheet'!#REF!</definedName>
    <definedName name="BLPR2620040129204514662_3_5" hidden="1">'[4]Spread Sheet'!#REF!</definedName>
    <definedName name="BLPR2620040129204514662_4_5" localSheetId="27" hidden="1">'[4]Spread Sheet'!#REF!</definedName>
    <definedName name="BLPR2620040129204514662_4_5" localSheetId="28" hidden="1">'[4]Spread Sheet'!#REF!</definedName>
    <definedName name="BLPR2620040129204514662_4_5" localSheetId="29" hidden="1">'[4]Spread Sheet'!#REF!</definedName>
    <definedName name="BLPR2620040129204514662_4_5" localSheetId="30" hidden="1">'[4]Spread Sheet'!#REF!</definedName>
    <definedName name="BLPR2620040129204514662_4_5" localSheetId="37" hidden="1">'[4]Spread Sheet'!#REF!</definedName>
    <definedName name="BLPR2620040129204514662_4_5" hidden="1">'[4]Spread Sheet'!#REF!</definedName>
    <definedName name="BLPR2620040129204514662_5_5" localSheetId="27" hidden="1">'[4]Spread Sheet'!#REF!</definedName>
    <definedName name="BLPR2620040129204514662_5_5" localSheetId="28" hidden="1">'[4]Spread Sheet'!#REF!</definedName>
    <definedName name="BLPR2620040129204514662_5_5" localSheetId="29" hidden="1">'[4]Spread Sheet'!#REF!</definedName>
    <definedName name="BLPR2620040129204514662_5_5" localSheetId="30" hidden="1">'[4]Spread Sheet'!#REF!</definedName>
    <definedName name="BLPR2620040129204514662_5_5" localSheetId="37" hidden="1">'[4]Spread Sheet'!#REF!</definedName>
    <definedName name="BLPR2620040129204514662_5_5" hidden="1">'[4]Spread Sheet'!#REF!</definedName>
    <definedName name="BLPR2720040129204514662" localSheetId="27" hidden="1">'[4]Spread Sheet'!#REF!</definedName>
    <definedName name="BLPR2720040129204514662" localSheetId="28" hidden="1">'[4]Spread Sheet'!#REF!</definedName>
    <definedName name="BLPR2720040129204514662" localSheetId="29" hidden="1">'[4]Spread Sheet'!#REF!</definedName>
    <definedName name="BLPR2720040129204514662" localSheetId="30" hidden="1">'[4]Spread Sheet'!#REF!</definedName>
    <definedName name="BLPR2720040129204514662" localSheetId="37" hidden="1">'[4]Spread Sheet'!#REF!</definedName>
    <definedName name="BLPR2720040129204514662" hidden="1">'[4]Spread Sheet'!#REF!</definedName>
    <definedName name="BLPR2720040129204514662_1_5" localSheetId="27" hidden="1">'[4]Spread Sheet'!#REF!</definedName>
    <definedName name="BLPR2720040129204514662_1_5" localSheetId="28" hidden="1">'[4]Spread Sheet'!#REF!</definedName>
    <definedName name="BLPR2720040129204514662_1_5" localSheetId="29" hidden="1">'[4]Spread Sheet'!#REF!</definedName>
    <definedName name="BLPR2720040129204514662_1_5" localSheetId="30" hidden="1">'[4]Spread Sheet'!#REF!</definedName>
    <definedName name="BLPR2720040129204514662_1_5" localSheetId="37" hidden="1">'[4]Spread Sheet'!#REF!</definedName>
    <definedName name="BLPR2720040129204514662_1_5" hidden="1">'[4]Spread Sheet'!#REF!</definedName>
    <definedName name="BLPR2720040129204514662_2_5" localSheetId="27" hidden="1">'[4]Spread Sheet'!#REF!</definedName>
    <definedName name="BLPR2720040129204514662_2_5" localSheetId="28" hidden="1">'[4]Spread Sheet'!#REF!</definedName>
    <definedName name="BLPR2720040129204514662_2_5" localSheetId="29" hidden="1">'[4]Spread Sheet'!#REF!</definedName>
    <definedName name="BLPR2720040129204514662_2_5" localSheetId="30" hidden="1">'[4]Spread Sheet'!#REF!</definedName>
    <definedName name="BLPR2720040129204514662_2_5" localSheetId="37" hidden="1">'[4]Spread Sheet'!#REF!</definedName>
    <definedName name="BLPR2720040129204514662_2_5" hidden="1">'[4]Spread Sheet'!#REF!</definedName>
    <definedName name="BLPR2720040129204514662_3_5" localSheetId="27" hidden="1">'[4]Spread Sheet'!#REF!</definedName>
    <definedName name="BLPR2720040129204514662_3_5" localSheetId="28" hidden="1">'[4]Spread Sheet'!#REF!</definedName>
    <definedName name="BLPR2720040129204514662_3_5" localSheetId="29" hidden="1">'[4]Spread Sheet'!#REF!</definedName>
    <definedName name="BLPR2720040129204514662_3_5" localSheetId="30" hidden="1">'[4]Spread Sheet'!#REF!</definedName>
    <definedName name="BLPR2720040129204514662_3_5" localSheetId="37" hidden="1">'[4]Spread Sheet'!#REF!</definedName>
    <definedName name="BLPR2720040129204514662_3_5" hidden="1">'[4]Spread Sheet'!#REF!</definedName>
    <definedName name="BLPR2720040129204514662_4_5" localSheetId="27" hidden="1">'[4]Spread Sheet'!#REF!</definedName>
    <definedName name="BLPR2720040129204514662_4_5" localSheetId="28" hidden="1">'[4]Spread Sheet'!#REF!</definedName>
    <definedName name="BLPR2720040129204514662_4_5" localSheetId="29" hidden="1">'[4]Spread Sheet'!#REF!</definedName>
    <definedName name="BLPR2720040129204514662_4_5" localSheetId="30" hidden="1">'[4]Spread Sheet'!#REF!</definedName>
    <definedName name="BLPR2720040129204514662_4_5" localSheetId="37" hidden="1">'[4]Spread Sheet'!#REF!</definedName>
    <definedName name="BLPR2720040129204514662_4_5" hidden="1">'[4]Spread Sheet'!#REF!</definedName>
    <definedName name="BLPR2720040129204514662_5_5" localSheetId="27" hidden="1">'[4]Spread Sheet'!#REF!</definedName>
    <definedName name="BLPR2720040129204514662_5_5" localSheetId="28" hidden="1">'[4]Spread Sheet'!#REF!</definedName>
    <definedName name="BLPR2720040129204514662_5_5" localSheetId="29" hidden="1">'[4]Spread Sheet'!#REF!</definedName>
    <definedName name="BLPR2720040129204514662_5_5" localSheetId="30" hidden="1">'[4]Spread Sheet'!#REF!</definedName>
    <definedName name="BLPR2720040129204514662_5_5" localSheetId="37" hidden="1">'[4]Spread Sheet'!#REF!</definedName>
    <definedName name="BLPR2720040129204514662_5_5" hidden="1">'[4]Spread Sheet'!#REF!</definedName>
    <definedName name="BLPR2820040129204514662" localSheetId="27" hidden="1">'[4]Spread Sheet'!#REF!</definedName>
    <definedName name="BLPR2820040129204514662" localSheetId="28" hidden="1">'[4]Spread Sheet'!#REF!</definedName>
    <definedName name="BLPR2820040129204514662" localSheetId="29" hidden="1">'[4]Spread Sheet'!#REF!</definedName>
    <definedName name="BLPR2820040129204514662" localSheetId="30" hidden="1">'[4]Spread Sheet'!#REF!</definedName>
    <definedName name="BLPR2820040129204514662" localSheetId="37" hidden="1">'[4]Spread Sheet'!#REF!</definedName>
    <definedName name="BLPR2820040129204514662" hidden="1">'[4]Spread Sheet'!#REF!</definedName>
    <definedName name="BLPR2820040129204514662_1_5" localSheetId="27" hidden="1">'[4]Spread Sheet'!#REF!</definedName>
    <definedName name="BLPR2820040129204514662_1_5" localSheetId="28" hidden="1">'[4]Spread Sheet'!#REF!</definedName>
    <definedName name="BLPR2820040129204514662_1_5" localSheetId="29" hidden="1">'[4]Spread Sheet'!#REF!</definedName>
    <definedName name="BLPR2820040129204514662_1_5" localSheetId="30" hidden="1">'[4]Spread Sheet'!#REF!</definedName>
    <definedName name="BLPR2820040129204514662_1_5" localSheetId="37" hidden="1">'[4]Spread Sheet'!#REF!</definedName>
    <definedName name="BLPR2820040129204514662_1_5" hidden="1">'[4]Spread Sheet'!#REF!</definedName>
    <definedName name="BLPR2820040129204514662_2_5" localSheetId="27" hidden="1">'[4]Spread Sheet'!#REF!</definedName>
    <definedName name="BLPR2820040129204514662_2_5" localSheetId="28" hidden="1">'[4]Spread Sheet'!#REF!</definedName>
    <definedName name="BLPR2820040129204514662_2_5" localSheetId="29" hidden="1">'[4]Spread Sheet'!#REF!</definedName>
    <definedName name="BLPR2820040129204514662_2_5" localSheetId="30" hidden="1">'[4]Spread Sheet'!#REF!</definedName>
    <definedName name="BLPR2820040129204514662_2_5" localSheetId="37" hidden="1">'[4]Spread Sheet'!#REF!</definedName>
    <definedName name="BLPR2820040129204514662_2_5" hidden="1">'[4]Spread Sheet'!#REF!</definedName>
    <definedName name="BLPR2820040129204514662_3_5" localSheetId="27" hidden="1">'[4]Spread Sheet'!#REF!</definedName>
    <definedName name="BLPR2820040129204514662_3_5" localSheetId="28" hidden="1">'[4]Spread Sheet'!#REF!</definedName>
    <definedName name="BLPR2820040129204514662_3_5" localSheetId="29" hidden="1">'[4]Spread Sheet'!#REF!</definedName>
    <definedName name="BLPR2820040129204514662_3_5" localSheetId="30" hidden="1">'[4]Spread Sheet'!#REF!</definedName>
    <definedName name="BLPR2820040129204514662_3_5" localSheetId="37" hidden="1">'[4]Spread Sheet'!#REF!</definedName>
    <definedName name="BLPR2820040129204514662_3_5" hidden="1">'[4]Spread Sheet'!#REF!</definedName>
    <definedName name="BLPR2820040129204514662_4_5" localSheetId="27" hidden="1">'[4]Spread Sheet'!#REF!</definedName>
    <definedName name="BLPR2820040129204514662_4_5" localSheetId="28" hidden="1">'[4]Spread Sheet'!#REF!</definedName>
    <definedName name="BLPR2820040129204514662_4_5" localSheetId="29" hidden="1">'[4]Spread Sheet'!#REF!</definedName>
    <definedName name="BLPR2820040129204514662_4_5" localSheetId="30" hidden="1">'[4]Spread Sheet'!#REF!</definedName>
    <definedName name="BLPR2820040129204514662_4_5" localSheetId="37" hidden="1">'[4]Spread Sheet'!#REF!</definedName>
    <definedName name="BLPR2820040129204514662_4_5" hidden="1">'[4]Spread Sheet'!#REF!</definedName>
    <definedName name="BLPR2820040129204514662_5_5" localSheetId="27" hidden="1">'[4]Spread Sheet'!#REF!</definedName>
    <definedName name="BLPR2820040129204514662_5_5" localSheetId="28" hidden="1">'[4]Spread Sheet'!#REF!</definedName>
    <definedName name="BLPR2820040129204514662_5_5" localSheetId="29" hidden="1">'[4]Spread Sheet'!#REF!</definedName>
    <definedName name="BLPR2820040129204514662_5_5" localSheetId="30" hidden="1">'[4]Spread Sheet'!#REF!</definedName>
    <definedName name="BLPR2820040129204514662_5_5" localSheetId="37" hidden="1">'[4]Spread Sheet'!#REF!</definedName>
    <definedName name="BLPR2820040129204514662_5_5" hidden="1">'[4]Spread Sheet'!#REF!</definedName>
    <definedName name="BLPR2920040129204514662" localSheetId="27" hidden="1">'[4]Spread Sheet'!#REF!</definedName>
    <definedName name="BLPR2920040129204514662" localSheetId="28" hidden="1">'[4]Spread Sheet'!#REF!</definedName>
    <definedName name="BLPR2920040129204514662" localSheetId="29" hidden="1">'[4]Spread Sheet'!#REF!</definedName>
    <definedName name="BLPR2920040129204514662" localSheetId="30" hidden="1">'[4]Spread Sheet'!#REF!</definedName>
    <definedName name="BLPR2920040129204514662" localSheetId="37" hidden="1">'[4]Spread Sheet'!#REF!</definedName>
    <definedName name="BLPR2920040129204514662" hidden="1">'[4]Spread Sheet'!#REF!</definedName>
    <definedName name="BLPR2920040129204514662_1_5" localSheetId="27" hidden="1">'[4]Spread Sheet'!#REF!</definedName>
    <definedName name="BLPR2920040129204514662_1_5" localSheetId="28" hidden="1">'[4]Spread Sheet'!#REF!</definedName>
    <definedName name="BLPR2920040129204514662_1_5" localSheetId="29" hidden="1">'[4]Spread Sheet'!#REF!</definedName>
    <definedName name="BLPR2920040129204514662_1_5" localSheetId="30" hidden="1">'[4]Spread Sheet'!#REF!</definedName>
    <definedName name="BLPR2920040129204514662_1_5" localSheetId="37" hidden="1">'[4]Spread Sheet'!#REF!</definedName>
    <definedName name="BLPR2920040129204514662_1_5" hidden="1">'[4]Spread Sheet'!#REF!</definedName>
    <definedName name="BLPR2920040129204514662_2_5" localSheetId="27" hidden="1">'[4]Spread Sheet'!#REF!</definedName>
    <definedName name="BLPR2920040129204514662_2_5" localSheetId="28" hidden="1">'[4]Spread Sheet'!#REF!</definedName>
    <definedName name="BLPR2920040129204514662_2_5" localSheetId="29" hidden="1">'[4]Spread Sheet'!#REF!</definedName>
    <definedName name="BLPR2920040129204514662_2_5" localSheetId="30" hidden="1">'[4]Spread Sheet'!#REF!</definedName>
    <definedName name="BLPR2920040129204514662_2_5" localSheetId="37" hidden="1">'[4]Spread Sheet'!#REF!</definedName>
    <definedName name="BLPR2920040129204514662_2_5" hidden="1">'[4]Spread Sheet'!#REF!</definedName>
    <definedName name="BLPR2920040129204514662_3_5" localSheetId="27" hidden="1">'[4]Spread Sheet'!#REF!</definedName>
    <definedName name="BLPR2920040129204514662_3_5" localSheetId="28" hidden="1">'[4]Spread Sheet'!#REF!</definedName>
    <definedName name="BLPR2920040129204514662_3_5" localSheetId="29" hidden="1">'[4]Spread Sheet'!#REF!</definedName>
    <definedName name="BLPR2920040129204514662_3_5" localSheetId="30" hidden="1">'[4]Spread Sheet'!#REF!</definedName>
    <definedName name="BLPR2920040129204514662_3_5" localSheetId="37" hidden="1">'[4]Spread Sheet'!#REF!</definedName>
    <definedName name="BLPR2920040129204514662_3_5" hidden="1">'[4]Spread Sheet'!#REF!</definedName>
    <definedName name="BLPR2920040129204514662_4_5" localSheetId="27" hidden="1">'[4]Spread Sheet'!#REF!</definedName>
    <definedName name="BLPR2920040129204514662_4_5" localSheetId="28" hidden="1">'[4]Spread Sheet'!#REF!</definedName>
    <definedName name="BLPR2920040129204514662_4_5" localSheetId="29" hidden="1">'[4]Spread Sheet'!#REF!</definedName>
    <definedName name="BLPR2920040129204514662_4_5" localSheetId="30" hidden="1">'[4]Spread Sheet'!#REF!</definedName>
    <definedName name="BLPR2920040129204514662_4_5" localSheetId="37" hidden="1">'[4]Spread Sheet'!#REF!</definedName>
    <definedName name="BLPR2920040129204514662_4_5" hidden="1">'[4]Spread Sheet'!#REF!</definedName>
    <definedName name="BLPR2920040129204514662_5_5" localSheetId="27" hidden="1">'[4]Spread Sheet'!#REF!</definedName>
    <definedName name="BLPR2920040129204514662_5_5" localSheetId="28" hidden="1">'[4]Spread Sheet'!#REF!</definedName>
    <definedName name="BLPR2920040129204514662_5_5" localSheetId="29" hidden="1">'[4]Spread Sheet'!#REF!</definedName>
    <definedName name="BLPR2920040129204514662_5_5" localSheetId="30" hidden="1">'[4]Spread Sheet'!#REF!</definedName>
    <definedName name="BLPR2920040129204514662_5_5" localSheetId="37" hidden="1">'[4]Spread Sheet'!#REF!</definedName>
    <definedName name="BLPR2920040129204514662_5_5" hidden="1">'[4]Spread Sheet'!#REF!</definedName>
    <definedName name="BLPR3020040129204514672" localSheetId="27" hidden="1">'[4]Spread Sheet'!#REF!</definedName>
    <definedName name="BLPR3020040129204514672" localSheetId="28" hidden="1">'[4]Spread Sheet'!#REF!</definedName>
    <definedName name="BLPR3020040129204514672" localSheetId="29" hidden="1">'[4]Spread Sheet'!#REF!</definedName>
    <definedName name="BLPR3020040129204514672" localSheetId="30" hidden="1">'[4]Spread Sheet'!#REF!</definedName>
    <definedName name="BLPR3020040129204514672" localSheetId="37" hidden="1">'[4]Spread Sheet'!#REF!</definedName>
    <definedName name="BLPR3020040129204514672" hidden="1">'[4]Spread Sheet'!#REF!</definedName>
    <definedName name="BLPR3020040129204514672_1_5" localSheetId="27" hidden="1">'[4]Spread Sheet'!#REF!</definedName>
    <definedName name="BLPR3020040129204514672_1_5" localSheetId="28" hidden="1">'[4]Spread Sheet'!#REF!</definedName>
    <definedName name="BLPR3020040129204514672_1_5" localSheetId="29" hidden="1">'[4]Spread Sheet'!#REF!</definedName>
    <definedName name="BLPR3020040129204514672_1_5" localSheetId="30" hidden="1">'[4]Spread Sheet'!#REF!</definedName>
    <definedName name="BLPR3020040129204514672_1_5" localSheetId="37" hidden="1">'[4]Spread Sheet'!#REF!</definedName>
    <definedName name="BLPR3020040129204514672_1_5" hidden="1">'[4]Spread Sheet'!#REF!</definedName>
    <definedName name="BLPR3020040129204514672_2_5" localSheetId="27" hidden="1">'[4]Spread Sheet'!#REF!</definedName>
    <definedName name="BLPR3020040129204514672_2_5" localSheetId="28" hidden="1">'[4]Spread Sheet'!#REF!</definedName>
    <definedName name="BLPR3020040129204514672_2_5" localSheetId="29" hidden="1">'[4]Spread Sheet'!#REF!</definedName>
    <definedName name="BLPR3020040129204514672_2_5" localSheetId="30" hidden="1">'[4]Spread Sheet'!#REF!</definedName>
    <definedName name="BLPR3020040129204514672_2_5" localSheetId="37" hidden="1">'[4]Spread Sheet'!#REF!</definedName>
    <definedName name="BLPR3020040129204514672_2_5" hidden="1">'[4]Spread Sheet'!#REF!</definedName>
    <definedName name="BLPR3020040129204514672_3_5" localSheetId="27" hidden="1">'[4]Spread Sheet'!#REF!</definedName>
    <definedName name="BLPR3020040129204514672_3_5" localSheetId="28" hidden="1">'[4]Spread Sheet'!#REF!</definedName>
    <definedName name="BLPR3020040129204514672_3_5" localSheetId="29" hidden="1">'[4]Spread Sheet'!#REF!</definedName>
    <definedName name="BLPR3020040129204514672_3_5" localSheetId="30" hidden="1">'[4]Spread Sheet'!#REF!</definedName>
    <definedName name="BLPR3020040129204514672_3_5" localSheetId="37" hidden="1">'[4]Spread Sheet'!#REF!</definedName>
    <definedName name="BLPR3020040129204514672_3_5" hidden="1">'[4]Spread Sheet'!#REF!</definedName>
    <definedName name="BLPR3020040129204514672_4_5" localSheetId="27" hidden="1">'[4]Spread Sheet'!#REF!</definedName>
    <definedName name="BLPR3020040129204514672_4_5" localSheetId="28" hidden="1">'[4]Spread Sheet'!#REF!</definedName>
    <definedName name="BLPR3020040129204514672_4_5" localSheetId="29" hidden="1">'[4]Spread Sheet'!#REF!</definedName>
    <definedName name="BLPR3020040129204514672_4_5" localSheetId="30" hidden="1">'[4]Spread Sheet'!#REF!</definedName>
    <definedName name="BLPR3020040129204514672_4_5" localSheetId="37" hidden="1">'[4]Spread Sheet'!#REF!</definedName>
    <definedName name="BLPR3020040129204514672_4_5" hidden="1">'[4]Spread Sheet'!#REF!</definedName>
    <definedName name="BLPR3020040129204514672_5_5" localSheetId="27" hidden="1">'[4]Spread Sheet'!#REF!</definedName>
    <definedName name="BLPR3020040129204514672_5_5" localSheetId="28" hidden="1">'[4]Spread Sheet'!#REF!</definedName>
    <definedName name="BLPR3020040129204514672_5_5" localSheetId="29" hidden="1">'[4]Spread Sheet'!#REF!</definedName>
    <definedName name="BLPR3020040129204514672_5_5" localSheetId="30" hidden="1">'[4]Spread Sheet'!#REF!</definedName>
    <definedName name="BLPR3020040129204514672_5_5" localSheetId="37" hidden="1">'[4]Spread Sheet'!#REF!</definedName>
    <definedName name="BLPR3020040129204514672_5_5" hidden="1">'[4]Spread Sheet'!#REF!</definedName>
    <definedName name="BLPR3120040129204514692" localSheetId="27" hidden="1">'[4]Spread Sheet'!#REF!</definedName>
    <definedName name="BLPR3120040129204514692" localSheetId="28" hidden="1">'[4]Spread Sheet'!#REF!</definedName>
    <definedName name="BLPR3120040129204514692" localSheetId="29" hidden="1">'[4]Spread Sheet'!#REF!</definedName>
    <definedName name="BLPR3120040129204514692" localSheetId="30" hidden="1">'[4]Spread Sheet'!#REF!</definedName>
    <definedName name="BLPR3120040129204514692" localSheetId="37" hidden="1">'[4]Spread Sheet'!#REF!</definedName>
    <definedName name="BLPR3120040129204514692" hidden="1">'[4]Spread Sheet'!#REF!</definedName>
    <definedName name="BLPR3120040129204514692_1_1" localSheetId="27" hidden="1">'[4]Spread Sheet'!#REF!</definedName>
    <definedName name="BLPR3120040129204514692_1_1" localSheetId="28" hidden="1">'[4]Spread Sheet'!#REF!</definedName>
    <definedName name="BLPR3120040129204514692_1_1" localSheetId="29" hidden="1">'[4]Spread Sheet'!#REF!</definedName>
    <definedName name="BLPR3120040129204514692_1_1" localSheetId="30" hidden="1">'[4]Spread Sheet'!#REF!</definedName>
    <definedName name="BLPR3120040129204514692_1_1" localSheetId="37" hidden="1">'[4]Spread Sheet'!#REF!</definedName>
    <definedName name="BLPR3120040129204514692_1_1" hidden="1">'[4]Spread Sheet'!#REF!</definedName>
    <definedName name="BLPR320040129203645431" localSheetId="27" hidden="1">'[4]Spread Sheet'!#REF!</definedName>
    <definedName name="BLPR320040129203645431" localSheetId="28" hidden="1">'[4]Spread Sheet'!#REF!</definedName>
    <definedName name="BLPR320040129203645431" localSheetId="29" hidden="1">'[4]Spread Sheet'!#REF!</definedName>
    <definedName name="BLPR320040129203645431" localSheetId="30" hidden="1">'[4]Spread Sheet'!#REF!</definedName>
    <definedName name="BLPR320040129203645431" localSheetId="37" hidden="1">'[4]Spread Sheet'!#REF!</definedName>
    <definedName name="BLPR320040129203645431" hidden="1">'[4]Spread Sheet'!#REF!</definedName>
    <definedName name="BLPR320040129203645431_1_4" localSheetId="27" hidden="1">'[4]Spread Sheet'!#REF!</definedName>
    <definedName name="BLPR320040129203645431_1_4" localSheetId="28" hidden="1">'[4]Spread Sheet'!#REF!</definedName>
    <definedName name="BLPR320040129203645431_1_4" localSheetId="29" hidden="1">'[4]Spread Sheet'!#REF!</definedName>
    <definedName name="BLPR320040129203645431_1_4" localSheetId="30" hidden="1">'[4]Spread Sheet'!#REF!</definedName>
    <definedName name="BLPR320040129203645431_1_4" localSheetId="37" hidden="1">'[4]Spread Sheet'!#REF!</definedName>
    <definedName name="BLPR320040129203645431_1_4" hidden="1">'[4]Spread Sheet'!#REF!</definedName>
    <definedName name="BLPR320040129203645431_2_4" localSheetId="27" hidden="1">'[4]Spread Sheet'!#REF!</definedName>
    <definedName name="BLPR320040129203645431_2_4" localSheetId="28" hidden="1">'[4]Spread Sheet'!#REF!</definedName>
    <definedName name="BLPR320040129203645431_2_4" localSheetId="29" hidden="1">'[4]Spread Sheet'!#REF!</definedName>
    <definedName name="BLPR320040129203645431_2_4" localSheetId="30" hidden="1">'[4]Spread Sheet'!#REF!</definedName>
    <definedName name="BLPR320040129203645431_2_4" localSheetId="37" hidden="1">'[4]Spread Sheet'!#REF!</definedName>
    <definedName name="BLPR320040129203645431_2_4" hidden="1">'[4]Spread Sheet'!#REF!</definedName>
    <definedName name="BLPR320040129203645431_3_4" localSheetId="27" hidden="1">'[4]Spread Sheet'!#REF!</definedName>
    <definedName name="BLPR320040129203645431_3_4" localSheetId="28" hidden="1">'[4]Spread Sheet'!#REF!</definedName>
    <definedName name="BLPR320040129203645431_3_4" localSheetId="29" hidden="1">'[4]Spread Sheet'!#REF!</definedName>
    <definedName name="BLPR320040129203645431_3_4" localSheetId="30" hidden="1">'[4]Spread Sheet'!#REF!</definedName>
    <definedName name="BLPR320040129203645431_3_4" localSheetId="37" hidden="1">'[4]Spread Sheet'!#REF!</definedName>
    <definedName name="BLPR320040129203645431_3_4" hidden="1">'[4]Spread Sheet'!#REF!</definedName>
    <definedName name="BLPR320040129203645431_4_4" localSheetId="27" hidden="1">'[4]Spread Sheet'!#REF!</definedName>
    <definedName name="BLPR320040129203645431_4_4" localSheetId="28" hidden="1">'[4]Spread Sheet'!#REF!</definedName>
    <definedName name="BLPR320040129203645431_4_4" localSheetId="29" hidden="1">'[4]Spread Sheet'!#REF!</definedName>
    <definedName name="BLPR320040129203645431_4_4" localSheetId="30" hidden="1">'[4]Spread Sheet'!#REF!</definedName>
    <definedName name="BLPR320040129203645431_4_4" localSheetId="37" hidden="1">'[4]Spread Sheet'!#REF!</definedName>
    <definedName name="BLPR320040129203645431_4_4" hidden="1">'[4]Spread Sheet'!#REF!</definedName>
    <definedName name="BLPR3220040129204514692" localSheetId="27" hidden="1">'[4]Spread Sheet'!#REF!</definedName>
    <definedName name="BLPR3220040129204514692" localSheetId="28" hidden="1">'[4]Spread Sheet'!#REF!</definedName>
    <definedName name="BLPR3220040129204514692" localSheetId="29" hidden="1">'[4]Spread Sheet'!#REF!</definedName>
    <definedName name="BLPR3220040129204514692" localSheetId="30" hidden="1">'[4]Spread Sheet'!#REF!</definedName>
    <definedName name="BLPR3220040129204514692" localSheetId="37" hidden="1">'[4]Spread Sheet'!#REF!</definedName>
    <definedName name="BLPR3220040129204514692" hidden="1">'[4]Spread Sheet'!#REF!</definedName>
    <definedName name="BLPR3220040129204514692_1_1" localSheetId="27" hidden="1">'[4]Spread Sheet'!#REF!</definedName>
    <definedName name="BLPR3220040129204514692_1_1" localSheetId="28" hidden="1">'[4]Spread Sheet'!#REF!</definedName>
    <definedName name="BLPR3220040129204514692_1_1" localSheetId="29" hidden="1">'[4]Spread Sheet'!#REF!</definedName>
    <definedName name="BLPR3220040129204514692_1_1" localSheetId="30" hidden="1">'[4]Spread Sheet'!#REF!</definedName>
    <definedName name="BLPR3220040129204514692_1_1" localSheetId="37" hidden="1">'[4]Spread Sheet'!#REF!</definedName>
    <definedName name="BLPR3220040129204514692_1_1" hidden="1">'[4]Spread Sheet'!#REF!</definedName>
    <definedName name="BLPR3320040129204514702" localSheetId="27" hidden="1">'[4]Spread Sheet'!#REF!</definedName>
    <definedName name="BLPR3320040129204514702" localSheetId="28" hidden="1">'[4]Spread Sheet'!#REF!</definedName>
    <definedName name="BLPR3320040129204514702" localSheetId="29" hidden="1">'[4]Spread Sheet'!#REF!</definedName>
    <definedName name="BLPR3320040129204514702" localSheetId="30" hidden="1">'[4]Spread Sheet'!#REF!</definedName>
    <definedName name="BLPR3320040129204514702" localSheetId="37" hidden="1">'[4]Spread Sheet'!#REF!</definedName>
    <definedName name="BLPR3320040129204514702" hidden="1">'[4]Spread Sheet'!#REF!</definedName>
    <definedName name="BLPR3320040129204514702_1_1" localSheetId="27" hidden="1">'[4]Spread Sheet'!#REF!</definedName>
    <definedName name="BLPR3320040129204514702_1_1" localSheetId="28" hidden="1">'[4]Spread Sheet'!#REF!</definedName>
    <definedName name="BLPR3320040129204514702_1_1" localSheetId="29" hidden="1">'[4]Spread Sheet'!#REF!</definedName>
    <definedName name="BLPR3320040129204514702_1_1" localSheetId="30" hidden="1">'[4]Spread Sheet'!#REF!</definedName>
    <definedName name="BLPR3320040129204514702_1_1" localSheetId="37" hidden="1">'[4]Spread Sheet'!#REF!</definedName>
    <definedName name="BLPR3320040129204514702_1_1" hidden="1">'[4]Spread Sheet'!#REF!</definedName>
    <definedName name="BLPR3420040129204514702" localSheetId="27" hidden="1">'[4]Spread Sheet'!#REF!</definedName>
    <definedName name="BLPR3420040129204514702" localSheetId="28" hidden="1">'[4]Spread Sheet'!#REF!</definedName>
    <definedName name="BLPR3420040129204514702" localSheetId="29" hidden="1">'[4]Spread Sheet'!#REF!</definedName>
    <definedName name="BLPR3420040129204514702" localSheetId="30" hidden="1">'[4]Spread Sheet'!#REF!</definedName>
    <definedName name="BLPR3420040129204514702" localSheetId="37" hidden="1">'[4]Spread Sheet'!#REF!</definedName>
    <definedName name="BLPR3420040129204514702" hidden="1">'[4]Spread Sheet'!#REF!</definedName>
    <definedName name="BLPR3420040129204514702_1_1" localSheetId="27" hidden="1">'[4]Spread Sheet'!#REF!</definedName>
    <definedName name="BLPR3420040129204514702_1_1" localSheetId="28" hidden="1">'[4]Spread Sheet'!#REF!</definedName>
    <definedName name="BLPR3420040129204514702_1_1" localSheetId="29" hidden="1">'[4]Spread Sheet'!#REF!</definedName>
    <definedName name="BLPR3420040129204514702_1_1" localSheetId="30" hidden="1">'[4]Spread Sheet'!#REF!</definedName>
    <definedName name="BLPR3420040129204514702_1_1" localSheetId="37" hidden="1">'[4]Spread Sheet'!#REF!</definedName>
    <definedName name="BLPR3420040129204514702_1_1" hidden="1">'[4]Spread Sheet'!#REF!</definedName>
    <definedName name="BLPR3520040129204514702" localSheetId="27" hidden="1">'[4]Spread Sheet'!#REF!</definedName>
    <definedName name="BLPR3520040129204514702" localSheetId="28" hidden="1">'[4]Spread Sheet'!#REF!</definedName>
    <definedName name="BLPR3520040129204514702" localSheetId="29" hidden="1">'[4]Spread Sheet'!#REF!</definedName>
    <definedName name="BLPR3520040129204514702" localSheetId="30" hidden="1">'[4]Spread Sheet'!#REF!</definedName>
    <definedName name="BLPR3520040129204514702" localSheetId="37" hidden="1">'[4]Spread Sheet'!#REF!</definedName>
    <definedName name="BLPR3520040129204514702" hidden="1">'[4]Spread Sheet'!#REF!</definedName>
    <definedName name="BLPR3520040129204514702_1_1" localSheetId="27" hidden="1">'[4]Spread Sheet'!#REF!</definedName>
    <definedName name="BLPR3520040129204514702_1_1" localSheetId="28" hidden="1">'[4]Spread Sheet'!#REF!</definedName>
    <definedName name="BLPR3520040129204514702_1_1" localSheetId="29" hidden="1">'[4]Spread Sheet'!#REF!</definedName>
    <definedName name="BLPR3520040129204514702_1_1" localSheetId="30" hidden="1">'[4]Spread Sheet'!#REF!</definedName>
    <definedName name="BLPR3520040129204514702_1_1" localSheetId="37" hidden="1">'[4]Spread Sheet'!#REF!</definedName>
    <definedName name="BLPR3520040129204514702_1_1" hidden="1">'[4]Spread Sheet'!#REF!</definedName>
    <definedName name="BLPR420040129203645431" localSheetId="27" hidden="1">'[4]Spread Sheet'!#REF!</definedName>
    <definedName name="BLPR420040129203645431" localSheetId="28" hidden="1">'[4]Spread Sheet'!#REF!</definedName>
    <definedName name="BLPR420040129203645431" localSheetId="29" hidden="1">'[4]Spread Sheet'!#REF!</definedName>
    <definedName name="BLPR420040129203645431" localSheetId="30" hidden="1">'[4]Spread Sheet'!#REF!</definedName>
    <definedName name="BLPR420040129203645431" localSheetId="37" hidden="1">'[4]Spread Sheet'!#REF!</definedName>
    <definedName name="BLPR420040129203645431" hidden="1">'[4]Spread Sheet'!#REF!</definedName>
    <definedName name="BLPR420040129203645431_1_4" localSheetId="27" hidden="1">'[4]Spread Sheet'!#REF!</definedName>
    <definedName name="BLPR420040129203645431_1_4" localSheetId="28" hidden="1">'[4]Spread Sheet'!#REF!</definedName>
    <definedName name="BLPR420040129203645431_1_4" localSheetId="29" hidden="1">'[4]Spread Sheet'!#REF!</definedName>
    <definedName name="BLPR420040129203645431_1_4" localSheetId="30" hidden="1">'[4]Spread Sheet'!#REF!</definedName>
    <definedName name="BLPR420040129203645431_1_4" localSheetId="37" hidden="1">'[4]Spread Sheet'!#REF!</definedName>
    <definedName name="BLPR420040129203645431_1_4" hidden="1">'[4]Spread Sheet'!#REF!</definedName>
    <definedName name="BLPR420040129203645431_2_4" localSheetId="27" hidden="1">'[4]Spread Sheet'!#REF!</definedName>
    <definedName name="BLPR420040129203645431_2_4" localSheetId="28" hidden="1">'[4]Spread Sheet'!#REF!</definedName>
    <definedName name="BLPR420040129203645431_2_4" localSheetId="29" hidden="1">'[4]Spread Sheet'!#REF!</definedName>
    <definedName name="BLPR420040129203645431_2_4" localSheetId="30" hidden="1">'[4]Spread Sheet'!#REF!</definedName>
    <definedName name="BLPR420040129203645431_2_4" localSheetId="37" hidden="1">'[4]Spread Sheet'!#REF!</definedName>
    <definedName name="BLPR420040129203645431_2_4" hidden="1">'[4]Spread Sheet'!#REF!</definedName>
    <definedName name="BLPR420040129203645431_3_4" localSheetId="27" hidden="1">'[4]Spread Sheet'!#REF!</definedName>
    <definedName name="BLPR420040129203645431_3_4" localSheetId="28" hidden="1">'[4]Spread Sheet'!#REF!</definedName>
    <definedName name="BLPR420040129203645431_3_4" localSheetId="29" hidden="1">'[4]Spread Sheet'!#REF!</definedName>
    <definedName name="BLPR420040129203645431_3_4" localSheetId="30" hidden="1">'[4]Spread Sheet'!#REF!</definedName>
    <definedName name="BLPR420040129203645431_3_4" localSheetId="37" hidden="1">'[4]Spread Sheet'!#REF!</definedName>
    <definedName name="BLPR420040129203645431_3_4" hidden="1">'[4]Spread Sheet'!#REF!</definedName>
    <definedName name="BLPR420040129203645431_4_4" localSheetId="27" hidden="1">'[4]Spread Sheet'!#REF!</definedName>
    <definedName name="BLPR420040129203645431_4_4" localSheetId="28" hidden="1">'[4]Spread Sheet'!#REF!</definedName>
    <definedName name="BLPR420040129203645431_4_4" localSheetId="29" hidden="1">'[4]Spread Sheet'!#REF!</definedName>
    <definedName name="BLPR420040129203645431_4_4" localSheetId="30" hidden="1">'[4]Spread Sheet'!#REF!</definedName>
    <definedName name="BLPR420040129203645431_4_4" localSheetId="37" hidden="1">'[4]Spread Sheet'!#REF!</definedName>
    <definedName name="BLPR420040129203645431_4_4" hidden="1">'[4]Spread Sheet'!#REF!</definedName>
    <definedName name="BLPR520040129203645441" localSheetId="27" hidden="1">'[4]Spread Sheet'!#REF!</definedName>
    <definedName name="BLPR520040129203645441" localSheetId="28" hidden="1">'[4]Spread Sheet'!#REF!</definedName>
    <definedName name="BLPR520040129203645441" localSheetId="29" hidden="1">'[4]Spread Sheet'!#REF!</definedName>
    <definedName name="BLPR520040129203645441" localSheetId="30" hidden="1">'[4]Spread Sheet'!#REF!</definedName>
    <definedName name="BLPR520040129203645441" localSheetId="37" hidden="1">'[4]Spread Sheet'!#REF!</definedName>
    <definedName name="BLPR520040129203645441" hidden="1">'[4]Spread Sheet'!#REF!</definedName>
    <definedName name="BLPR520040129203645441_1_4" localSheetId="27" hidden="1">'[4]Spread Sheet'!#REF!</definedName>
    <definedName name="BLPR520040129203645441_1_4" localSheetId="28" hidden="1">'[4]Spread Sheet'!#REF!</definedName>
    <definedName name="BLPR520040129203645441_1_4" localSheetId="29" hidden="1">'[4]Spread Sheet'!#REF!</definedName>
    <definedName name="BLPR520040129203645441_1_4" localSheetId="30" hidden="1">'[4]Spread Sheet'!#REF!</definedName>
    <definedName name="BLPR520040129203645441_1_4" localSheetId="37" hidden="1">'[4]Spread Sheet'!#REF!</definedName>
    <definedName name="BLPR520040129203645441_1_4" hidden="1">'[4]Spread Sheet'!#REF!</definedName>
    <definedName name="BLPR520040129203645441_2_4" localSheetId="27" hidden="1">'[4]Spread Sheet'!#REF!</definedName>
    <definedName name="BLPR520040129203645441_2_4" localSheetId="28" hidden="1">'[4]Spread Sheet'!#REF!</definedName>
    <definedName name="BLPR520040129203645441_2_4" localSheetId="29" hidden="1">'[4]Spread Sheet'!#REF!</definedName>
    <definedName name="BLPR520040129203645441_2_4" localSheetId="30" hidden="1">'[4]Spread Sheet'!#REF!</definedName>
    <definedName name="BLPR520040129203645441_2_4" localSheetId="37" hidden="1">'[4]Spread Sheet'!#REF!</definedName>
    <definedName name="BLPR520040129203645441_2_4" hidden="1">'[4]Spread Sheet'!#REF!</definedName>
    <definedName name="BLPR520040129203645441_3_4" localSheetId="27" hidden="1">'[4]Spread Sheet'!#REF!</definedName>
    <definedName name="BLPR520040129203645441_3_4" localSheetId="28" hidden="1">'[4]Spread Sheet'!#REF!</definedName>
    <definedName name="BLPR520040129203645441_3_4" localSheetId="29" hidden="1">'[4]Spread Sheet'!#REF!</definedName>
    <definedName name="BLPR520040129203645441_3_4" localSheetId="30" hidden="1">'[4]Spread Sheet'!#REF!</definedName>
    <definedName name="BLPR520040129203645441_3_4" localSheetId="37" hidden="1">'[4]Spread Sheet'!#REF!</definedName>
    <definedName name="BLPR520040129203645441_3_4" hidden="1">'[4]Spread Sheet'!#REF!</definedName>
    <definedName name="BLPR520040129203645441_4_4" localSheetId="27" hidden="1">'[4]Spread Sheet'!#REF!</definedName>
    <definedName name="BLPR520040129203645441_4_4" localSheetId="28" hidden="1">'[4]Spread Sheet'!#REF!</definedName>
    <definedName name="BLPR520040129203645441_4_4" localSheetId="29" hidden="1">'[4]Spread Sheet'!#REF!</definedName>
    <definedName name="BLPR520040129203645441_4_4" localSheetId="30" hidden="1">'[4]Spread Sheet'!#REF!</definedName>
    <definedName name="BLPR520040129203645441_4_4" localSheetId="37" hidden="1">'[4]Spread Sheet'!#REF!</definedName>
    <definedName name="BLPR520040129203645441_4_4" hidden="1">'[4]Spread Sheet'!#REF!</definedName>
    <definedName name="BLPR620040129204149993" localSheetId="27" hidden="1">'[4]Spread Sheet'!#REF!</definedName>
    <definedName name="BLPR620040129204149993" localSheetId="28" hidden="1">'[4]Spread Sheet'!#REF!</definedName>
    <definedName name="BLPR620040129204149993" localSheetId="29" hidden="1">'[4]Spread Sheet'!#REF!</definedName>
    <definedName name="BLPR620040129204149993" localSheetId="30" hidden="1">'[4]Spread Sheet'!#REF!</definedName>
    <definedName name="BLPR620040129204149993" localSheetId="37" hidden="1">'[4]Spread Sheet'!#REF!</definedName>
    <definedName name="BLPR620040129204149993" hidden="1">'[4]Spread Sheet'!#REF!</definedName>
    <definedName name="BLPR620040129204149993_1_5" localSheetId="27" hidden="1">'[4]Spread Sheet'!#REF!</definedName>
    <definedName name="BLPR620040129204149993_1_5" localSheetId="28" hidden="1">'[4]Spread Sheet'!#REF!</definedName>
    <definedName name="BLPR620040129204149993_1_5" localSheetId="29" hidden="1">'[4]Spread Sheet'!#REF!</definedName>
    <definedName name="BLPR620040129204149993_1_5" localSheetId="30" hidden="1">'[4]Spread Sheet'!#REF!</definedName>
    <definedName name="BLPR620040129204149993_1_5" localSheetId="37" hidden="1">'[4]Spread Sheet'!#REF!</definedName>
    <definedName name="BLPR620040129204149993_1_5" hidden="1">'[4]Spread Sheet'!#REF!</definedName>
    <definedName name="BLPR620040129204149993_2_5" localSheetId="27" hidden="1">'[4]Spread Sheet'!#REF!</definedName>
    <definedName name="BLPR620040129204149993_2_5" localSheetId="28" hidden="1">'[4]Spread Sheet'!#REF!</definedName>
    <definedName name="BLPR620040129204149993_2_5" localSheetId="29" hidden="1">'[4]Spread Sheet'!#REF!</definedName>
    <definedName name="BLPR620040129204149993_2_5" localSheetId="30" hidden="1">'[4]Spread Sheet'!#REF!</definedName>
    <definedName name="BLPR620040129204149993_2_5" localSheetId="37" hidden="1">'[4]Spread Sheet'!#REF!</definedName>
    <definedName name="BLPR620040129204149993_2_5" hidden="1">'[4]Spread Sheet'!#REF!</definedName>
    <definedName name="BLPR620040129204149993_3_5" localSheetId="27" hidden="1">'[4]Spread Sheet'!#REF!</definedName>
    <definedName name="BLPR620040129204149993_3_5" localSheetId="28" hidden="1">'[4]Spread Sheet'!#REF!</definedName>
    <definedName name="BLPR620040129204149993_3_5" localSheetId="29" hidden="1">'[4]Spread Sheet'!#REF!</definedName>
    <definedName name="BLPR620040129204149993_3_5" localSheetId="30" hidden="1">'[4]Spread Sheet'!#REF!</definedName>
    <definedName name="BLPR620040129204149993_3_5" localSheetId="37" hidden="1">'[4]Spread Sheet'!#REF!</definedName>
    <definedName name="BLPR620040129204149993_3_5" hidden="1">'[4]Spread Sheet'!#REF!</definedName>
    <definedName name="BLPR620040129204149993_4_5" localSheetId="27" hidden="1">'[4]Spread Sheet'!#REF!</definedName>
    <definedName name="BLPR620040129204149993_4_5" localSheetId="28" hidden="1">'[4]Spread Sheet'!#REF!</definedName>
    <definedName name="BLPR620040129204149993_4_5" localSheetId="29" hidden="1">'[4]Spread Sheet'!#REF!</definedName>
    <definedName name="BLPR620040129204149993_4_5" localSheetId="30" hidden="1">'[4]Spread Sheet'!#REF!</definedName>
    <definedName name="BLPR620040129204149993_4_5" localSheetId="37" hidden="1">'[4]Spread Sheet'!#REF!</definedName>
    <definedName name="BLPR620040129204149993_4_5" hidden="1">'[4]Spread Sheet'!#REF!</definedName>
    <definedName name="BLPR620040129204149993_5_5" localSheetId="27" hidden="1">'[4]Spread Sheet'!#REF!</definedName>
    <definedName name="BLPR620040129204149993_5_5" localSheetId="28" hidden="1">'[4]Spread Sheet'!#REF!</definedName>
    <definedName name="BLPR620040129204149993_5_5" localSheetId="29" hidden="1">'[4]Spread Sheet'!#REF!</definedName>
    <definedName name="BLPR620040129204149993_5_5" localSheetId="30" hidden="1">'[4]Spread Sheet'!#REF!</definedName>
    <definedName name="BLPR620040129204149993_5_5" localSheetId="37" hidden="1">'[4]Spread Sheet'!#REF!</definedName>
    <definedName name="BLPR620040129204149993_5_5" hidden="1">'[4]Spread Sheet'!#REF!</definedName>
    <definedName name="BLPR720040129204514631" localSheetId="27" hidden="1">'[4]Spread Sheet'!#REF!</definedName>
    <definedName name="BLPR720040129204514631" localSheetId="28" hidden="1">'[4]Spread Sheet'!#REF!</definedName>
    <definedName name="BLPR720040129204514631" localSheetId="29" hidden="1">'[4]Spread Sheet'!#REF!</definedName>
    <definedName name="BLPR720040129204514631" localSheetId="30" hidden="1">'[4]Spread Sheet'!#REF!</definedName>
    <definedName name="BLPR720040129204514631" localSheetId="37" hidden="1">'[4]Spread Sheet'!#REF!</definedName>
    <definedName name="BLPR720040129204514631" hidden="1">'[4]Spread Sheet'!#REF!</definedName>
    <definedName name="BLPR720040129204514631_1_5" localSheetId="27" hidden="1">'[4]Spread Sheet'!#REF!</definedName>
    <definedName name="BLPR720040129204514631_1_5" localSheetId="28" hidden="1">'[4]Spread Sheet'!#REF!</definedName>
    <definedName name="BLPR720040129204514631_1_5" localSheetId="29" hidden="1">'[4]Spread Sheet'!#REF!</definedName>
    <definedName name="BLPR720040129204514631_1_5" localSheetId="30" hidden="1">'[4]Spread Sheet'!#REF!</definedName>
    <definedName name="BLPR720040129204514631_1_5" localSheetId="37" hidden="1">'[4]Spread Sheet'!#REF!</definedName>
    <definedName name="BLPR720040129204514631_1_5" hidden="1">'[4]Spread Sheet'!#REF!</definedName>
    <definedName name="BLPR720040129204514631_2_5" localSheetId="27" hidden="1">'[4]Spread Sheet'!#REF!</definedName>
    <definedName name="BLPR720040129204514631_2_5" localSheetId="28" hidden="1">'[4]Spread Sheet'!#REF!</definedName>
    <definedName name="BLPR720040129204514631_2_5" localSheetId="29" hidden="1">'[4]Spread Sheet'!#REF!</definedName>
    <definedName name="BLPR720040129204514631_2_5" localSheetId="30" hidden="1">'[4]Spread Sheet'!#REF!</definedName>
    <definedName name="BLPR720040129204514631_2_5" localSheetId="37" hidden="1">'[4]Spread Sheet'!#REF!</definedName>
    <definedName name="BLPR720040129204514631_2_5" hidden="1">'[4]Spread Sheet'!#REF!</definedName>
    <definedName name="BLPR720040129204514631_3_5" localSheetId="27" hidden="1">'[4]Spread Sheet'!#REF!</definedName>
    <definedName name="BLPR720040129204514631_3_5" localSheetId="28" hidden="1">'[4]Spread Sheet'!#REF!</definedName>
    <definedName name="BLPR720040129204514631_3_5" localSheetId="29" hidden="1">'[4]Spread Sheet'!#REF!</definedName>
    <definedName name="BLPR720040129204514631_3_5" localSheetId="30" hidden="1">'[4]Spread Sheet'!#REF!</definedName>
    <definedName name="BLPR720040129204514631_3_5" localSheetId="37" hidden="1">'[4]Spread Sheet'!#REF!</definedName>
    <definedName name="BLPR720040129204514631_3_5" hidden="1">'[4]Spread Sheet'!#REF!</definedName>
    <definedName name="BLPR720040129204514631_4_5" localSheetId="27" hidden="1">'[4]Spread Sheet'!#REF!</definedName>
    <definedName name="BLPR720040129204514631_4_5" localSheetId="28" hidden="1">'[4]Spread Sheet'!#REF!</definedName>
    <definedName name="BLPR720040129204514631_4_5" localSheetId="29" hidden="1">'[4]Spread Sheet'!#REF!</definedName>
    <definedName name="BLPR720040129204514631_4_5" localSheetId="30" hidden="1">'[4]Spread Sheet'!#REF!</definedName>
    <definedName name="BLPR720040129204514631_4_5" localSheetId="37" hidden="1">'[4]Spread Sheet'!#REF!</definedName>
    <definedName name="BLPR720040129204514631_4_5" hidden="1">'[4]Spread Sheet'!#REF!</definedName>
    <definedName name="BLPR720040129204514631_5_5" localSheetId="27" hidden="1">'[4]Spread Sheet'!#REF!</definedName>
    <definedName name="BLPR720040129204514631_5_5" localSheetId="28" hidden="1">'[4]Spread Sheet'!#REF!</definedName>
    <definedName name="BLPR720040129204514631_5_5" localSheetId="29" hidden="1">'[4]Spread Sheet'!#REF!</definedName>
    <definedName name="BLPR720040129204514631_5_5" localSheetId="30" hidden="1">'[4]Spread Sheet'!#REF!</definedName>
    <definedName name="BLPR720040129204514631_5_5" localSheetId="37" hidden="1">'[4]Spread Sheet'!#REF!</definedName>
    <definedName name="BLPR720040129204514631_5_5" hidden="1">'[4]Spread Sheet'!#REF!</definedName>
    <definedName name="BLPR820040129204514642" localSheetId="27" hidden="1">'[4]Spread Sheet'!#REF!</definedName>
    <definedName name="BLPR820040129204514642" localSheetId="28" hidden="1">'[4]Spread Sheet'!#REF!</definedName>
    <definedName name="BLPR820040129204514642" localSheetId="29" hidden="1">'[4]Spread Sheet'!#REF!</definedName>
    <definedName name="BLPR820040129204514642" localSheetId="30" hidden="1">'[4]Spread Sheet'!#REF!</definedName>
    <definedName name="BLPR820040129204514642" localSheetId="37" hidden="1">'[4]Spread Sheet'!#REF!</definedName>
    <definedName name="BLPR820040129204514642" hidden="1">'[4]Spread Sheet'!#REF!</definedName>
    <definedName name="BLPR820040129204514642_1_5" localSheetId="27" hidden="1">'[4]Spread Sheet'!#REF!</definedName>
    <definedName name="BLPR820040129204514642_1_5" localSheetId="28" hidden="1">'[4]Spread Sheet'!#REF!</definedName>
    <definedName name="BLPR820040129204514642_1_5" localSheetId="29" hidden="1">'[4]Spread Sheet'!#REF!</definedName>
    <definedName name="BLPR820040129204514642_1_5" localSheetId="30" hidden="1">'[4]Spread Sheet'!#REF!</definedName>
    <definedName name="BLPR820040129204514642_1_5" localSheetId="37" hidden="1">'[4]Spread Sheet'!#REF!</definedName>
    <definedName name="BLPR820040129204514642_1_5" hidden="1">'[4]Spread Sheet'!#REF!</definedName>
    <definedName name="BLPR820040129204514642_2_5" localSheetId="27" hidden="1">'[4]Spread Sheet'!#REF!</definedName>
    <definedName name="BLPR820040129204514642_2_5" localSheetId="28" hidden="1">'[4]Spread Sheet'!#REF!</definedName>
    <definedName name="BLPR820040129204514642_2_5" localSheetId="29" hidden="1">'[4]Spread Sheet'!#REF!</definedName>
    <definedName name="BLPR820040129204514642_2_5" localSheetId="30" hidden="1">'[4]Spread Sheet'!#REF!</definedName>
    <definedName name="BLPR820040129204514642_2_5" localSheetId="37" hidden="1">'[4]Spread Sheet'!#REF!</definedName>
    <definedName name="BLPR820040129204514642_2_5" hidden="1">'[4]Spread Sheet'!#REF!</definedName>
    <definedName name="BLPR820040129204514642_3_5" localSheetId="27" hidden="1">'[4]Spread Sheet'!#REF!</definedName>
    <definedName name="BLPR820040129204514642_3_5" localSheetId="28" hidden="1">'[4]Spread Sheet'!#REF!</definedName>
    <definedName name="BLPR820040129204514642_3_5" localSheetId="29" hidden="1">'[4]Spread Sheet'!#REF!</definedName>
    <definedName name="BLPR820040129204514642_3_5" localSheetId="30" hidden="1">'[4]Spread Sheet'!#REF!</definedName>
    <definedName name="BLPR820040129204514642_3_5" localSheetId="37" hidden="1">'[4]Spread Sheet'!#REF!</definedName>
    <definedName name="BLPR820040129204514642_3_5" hidden="1">'[4]Spread Sheet'!#REF!</definedName>
    <definedName name="BLPR820040129204514642_4_5" localSheetId="27" hidden="1">'[4]Spread Sheet'!#REF!</definedName>
    <definedName name="BLPR820040129204514642_4_5" localSheetId="28" hidden="1">'[4]Spread Sheet'!#REF!</definedName>
    <definedName name="BLPR820040129204514642_4_5" localSheetId="29" hidden="1">'[4]Spread Sheet'!#REF!</definedName>
    <definedName name="BLPR820040129204514642_4_5" localSheetId="30" hidden="1">'[4]Spread Sheet'!#REF!</definedName>
    <definedName name="BLPR820040129204514642_4_5" localSheetId="37" hidden="1">'[4]Spread Sheet'!#REF!</definedName>
    <definedName name="BLPR820040129204514642_4_5" hidden="1">'[4]Spread Sheet'!#REF!</definedName>
    <definedName name="BLPR820040129204514642_5_5" localSheetId="27" hidden="1">'[4]Spread Sheet'!#REF!</definedName>
    <definedName name="BLPR820040129204514642_5_5" localSheetId="28" hidden="1">'[4]Spread Sheet'!#REF!</definedName>
    <definedName name="BLPR820040129204514642_5_5" localSheetId="29" hidden="1">'[4]Spread Sheet'!#REF!</definedName>
    <definedName name="BLPR820040129204514642_5_5" localSheetId="30" hidden="1">'[4]Spread Sheet'!#REF!</definedName>
    <definedName name="BLPR820040129204514642_5_5" localSheetId="37" hidden="1">'[4]Spread Sheet'!#REF!</definedName>
    <definedName name="BLPR820040129204514642_5_5" hidden="1">'[4]Spread Sheet'!#REF!</definedName>
    <definedName name="BLPR920040129204514642" localSheetId="27" hidden="1">'[4]Spread Sheet'!#REF!</definedName>
    <definedName name="BLPR920040129204514642" localSheetId="28" hidden="1">'[4]Spread Sheet'!#REF!</definedName>
    <definedName name="BLPR920040129204514642" localSheetId="29" hidden="1">'[4]Spread Sheet'!#REF!</definedName>
    <definedName name="BLPR920040129204514642" localSheetId="30" hidden="1">'[4]Spread Sheet'!#REF!</definedName>
    <definedName name="BLPR920040129204514642" localSheetId="37" hidden="1">'[4]Spread Sheet'!#REF!</definedName>
    <definedName name="BLPR920040129204514642" hidden="1">'[4]Spread Sheet'!#REF!</definedName>
    <definedName name="BLPR920040129204514642_1_5" localSheetId="27" hidden="1">'[4]Spread Sheet'!#REF!</definedName>
    <definedName name="BLPR920040129204514642_1_5" localSheetId="28" hidden="1">'[4]Spread Sheet'!#REF!</definedName>
    <definedName name="BLPR920040129204514642_1_5" localSheetId="29" hidden="1">'[4]Spread Sheet'!#REF!</definedName>
    <definedName name="BLPR920040129204514642_1_5" localSheetId="30" hidden="1">'[4]Spread Sheet'!#REF!</definedName>
    <definedName name="BLPR920040129204514642_1_5" localSheetId="37" hidden="1">'[4]Spread Sheet'!#REF!</definedName>
    <definedName name="BLPR920040129204514642_1_5" hidden="1">'[4]Spread Sheet'!#REF!</definedName>
    <definedName name="BLPR920040129204514642_2_5" localSheetId="27" hidden="1">'[4]Spread Sheet'!#REF!</definedName>
    <definedName name="BLPR920040129204514642_2_5" localSheetId="28" hidden="1">'[4]Spread Sheet'!#REF!</definedName>
    <definedName name="BLPR920040129204514642_2_5" localSheetId="29" hidden="1">'[4]Spread Sheet'!#REF!</definedName>
    <definedName name="BLPR920040129204514642_2_5" localSheetId="30" hidden="1">'[4]Spread Sheet'!#REF!</definedName>
    <definedName name="BLPR920040129204514642_2_5" localSheetId="37" hidden="1">'[4]Spread Sheet'!#REF!</definedName>
    <definedName name="BLPR920040129204514642_2_5" hidden="1">'[4]Spread Sheet'!#REF!</definedName>
    <definedName name="BLPR920040129204514642_3_5" localSheetId="27" hidden="1">'[4]Spread Sheet'!#REF!</definedName>
    <definedName name="BLPR920040129204514642_3_5" localSheetId="28" hidden="1">'[4]Spread Sheet'!#REF!</definedName>
    <definedName name="BLPR920040129204514642_3_5" localSheetId="29" hidden="1">'[4]Spread Sheet'!#REF!</definedName>
    <definedName name="BLPR920040129204514642_3_5" localSheetId="30" hidden="1">'[4]Spread Sheet'!#REF!</definedName>
    <definedName name="BLPR920040129204514642_3_5" localSheetId="37" hidden="1">'[4]Spread Sheet'!#REF!</definedName>
    <definedName name="BLPR920040129204514642_3_5" hidden="1">'[4]Spread Sheet'!#REF!</definedName>
    <definedName name="BLPR920040129204514642_4_5" localSheetId="27" hidden="1">'[4]Spread Sheet'!#REF!</definedName>
    <definedName name="BLPR920040129204514642_4_5" localSheetId="28" hidden="1">'[4]Spread Sheet'!#REF!</definedName>
    <definedName name="BLPR920040129204514642_4_5" localSheetId="29" hidden="1">'[4]Spread Sheet'!#REF!</definedName>
    <definedName name="BLPR920040129204514642_4_5" localSheetId="30" hidden="1">'[4]Spread Sheet'!#REF!</definedName>
    <definedName name="BLPR920040129204514642_4_5" localSheetId="37" hidden="1">'[4]Spread Sheet'!#REF!</definedName>
    <definedName name="BLPR920040129204514642_4_5" hidden="1">'[4]Spread Sheet'!#REF!</definedName>
    <definedName name="BLPR920040129204514642_5_5" localSheetId="27" hidden="1">'[4]Spread Sheet'!#REF!</definedName>
    <definedName name="BLPR920040129204514642_5_5" localSheetId="28" hidden="1">'[4]Spread Sheet'!#REF!</definedName>
    <definedName name="BLPR920040129204514642_5_5" localSheetId="29" hidden="1">'[4]Spread Sheet'!#REF!</definedName>
    <definedName name="BLPR920040129204514642_5_5" localSheetId="30" hidden="1">'[4]Spread Sheet'!#REF!</definedName>
    <definedName name="BLPR920040129204514642_5_5" localSheetId="37" hidden="1">'[4]Spread Sheet'!#REF!</definedName>
    <definedName name="BLPR920040129204514642_5_5" hidden="1">'[4]Spread Sheet'!#REF!</definedName>
    <definedName name="BNE_MESSAGES_HIDDEN" localSheetId="50" hidden="1">#REF!</definedName>
    <definedName name="BNE_MESSAGES_HIDDEN" localSheetId="27" hidden="1">#REF!</definedName>
    <definedName name="BNE_MESSAGES_HIDDEN" localSheetId="28" hidden="1">#REF!</definedName>
    <definedName name="BNE_MESSAGES_HIDDEN" localSheetId="29" hidden="1">#REF!</definedName>
    <definedName name="BNE_MESSAGES_HIDDEN" localSheetId="30" hidden="1">#REF!</definedName>
    <definedName name="BNE_MESSAGES_HIDDEN" localSheetId="37" hidden="1">#REF!</definedName>
    <definedName name="BNE_MESSAGES_HIDDEN" hidden="1">#REF!</definedName>
    <definedName name="canerun" localSheetId="27" hidden="1">#REF!</definedName>
    <definedName name="canerun" localSheetId="28" hidden="1">#REF!</definedName>
    <definedName name="canerun" localSheetId="29" hidden="1">#REF!</definedName>
    <definedName name="canerun" localSheetId="30" hidden="1">#REF!</definedName>
    <definedName name="canerun" localSheetId="37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50" hidden="1">#REF!</definedName>
    <definedName name="faf" localSheetId="52" hidden="1">#REF!</definedName>
    <definedName name="faf" localSheetId="27" hidden="1">#REF!</definedName>
    <definedName name="faf" localSheetId="28" hidden="1">#REF!</definedName>
    <definedName name="faf" localSheetId="29" hidden="1">#REF!</definedName>
    <definedName name="faf" localSheetId="30" hidden="1">#REF!</definedName>
    <definedName name="faf" localSheetId="37" hidden="1">#REF!</definedName>
    <definedName name="faf" hidden="1">#REF!</definedName>
    <definedName name="fl" hidden="1">[5]PopCache!$A$1:$A$2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2" hidden="1">{"'Server Configuration'!$A$1:$DB$281"}</definedName>
    <definedName name="HTML_Control" localSheetId="50" hidden="1">{"'SERC'!$E$1:$M$37"}</definedName>
    <definedName name="HTML_Control" localSheetId="41" hidden="1">{"'3-13-00'!$A$1:$A$2678"}</definedName>
    <definedName name="HTML_Control" localSheetId="57" hidden="1">{"'Server Configuration'!$A$1:$DB$281"}</definedName>
    <definedName name="HTML_Control" localSheetId="52" hidden="1">{"'Server Configuration'!$A$1:$DB$281"}</definedName>
    <definedName name="HTML_Control" localSheetId="46" hidden="1">{"'3-13-00'!$A$1:$A$2678"}</definedName>
    <definedName name="HTML_Control" localSheetId="49" hidden="1">{"'3-13-00'!$A$1:$A$2678"}</definedName>
    <definedName name="HTML_Control" localSheetId="45" hidden="1">{"'3-13-00'!$A$1:$A$2678"}</definedName>
    <definedName name="HTML_Control" localSheetId="48" hidden="1">{"'3-13-00'!$A$1:$A$2678"}</definedName>
    <definedName name="HTML_Control" localSheetId="47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0" hidden="1">"3-13-00"</definedName>
    <definedName name="HTML_Header" localSheetId="41" hidden="1">"3-13-00"</definedName>
    <definedName name="HTML_Header" localSheetId="46" hidden="1">"3-13-00"</definedName>
    <definedName name="HTML_Header" localSheetId="49" hidden="1">"3-13-00"</definedName>
    <definedName name="HTML_Header" localSheetId="45" hidden="1">"3-13-00"</definedName>
    <definedName name="HTML_Header" localSheetId="48" hidden="1">"3-13-00"</definedName>
    <definedName name="HTML_Header" localSheetId="47" hidden="1">"3-13-00"</definedName>
    <definedName name="HTML_Header" hidden="1">"Server Configuration"</definedName>
    <definedName name="HTML_LastUpdate" localSheetId="50" hidden="1">"03/13/2000"</definedName>
    <definedName name="HTML_LastUpdate" localSheetId="41" hidden="1">"03/13/2000"</definedName>
    <definedName name="HTML_LastUpdate" localSheetId="46" hidden="1">"03/13/2000"</definedName>
    <definedName name="HTML_LastUpdate" localSheetId="49" hidden="1">"03/13/2000"</definedName>
    <definedName name="HTML_LastUpdate" localSheetId="45" hidden="1">"03/13/2000"</definedName>
    <definedName name="HTML_LastUpdate" localSheetId="48" hidden="1">"03/13/2000"</definedName>
    <definedName name="HTML_LastUpdate" localSheetId="47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0" hidden="1">"Deb Kressley"</definedName>
    <definedName name="HTML_Name" localSheetId="41" hidden="1">"Deb Kressley"</definedName>
    <definedName name="HTML_Name" localSheetId="46" hidden="1">"Deb Kressley"</definedName>
    <definedName name="HTML_Name" localSheetId="49" hidden="1">"Deb Kressley"</definedName>
    <definedName name="HTML_Name" localSheetId="45" hidden="1">"Deb Kressley"</definedName>
    <definedName name="HTML_Name" localSheetId="48" hidden="1">"Deb Kressley"</definedName>
    <definedName name="HTML_Name" localSheetId="47" hidden="1">"Deb Kressley"</definedName>
    <definedName name="HTML_Name" hidden="1">"Corporate Network Services"</definedName>
    <definedName name="HTML_OBDlg2" localSheetId="50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0" hidden="1">"Z:\News_2001\kb01030515"</definedName>
    <definedName name="HTML_PathFile" localSheetId="41" hidden="1">"H:\DATA\MyHTML.htm"</definedName>
    <definedName name="HTML_PathFile" localSheetId="46" hidden="1">"H:\DATA\MyHTML.htm"</definedName>
    <definedName name="HTML_PathFile" localSheetId="49" hidden="1">"H:\DATA\MyHTML.htm"</definedName>
    <definedName name="HTML_PathFile" localSheetId="45" hidden="1">"H:\DATA\MyHTML.htm"</definedName>
    <definedName name="HTML_PathFile" localSheetId="48" hidden="1">"H:\DATA\MyHTML.htm"</definedName>
    <definedName name="HTML_PathFile" localSheetId="47" hidden="1">"H:\DATA\MyHTML.htm"</definedName>
    <definedName name="HTML_PathFile" hidden="1">"C:\WINNT\Profiles\E003999\Desktop\MyHTML.htm"</definedName>
    <definedName name="HTML_PathTemplate" hidden="1">"Z:\gochart.htm"</definedName>
    <definedName name="HTML_Title" localSheetId="50" hidden="1">"Account"</definedName>
    <definedName name="HTML_Title" localSheetId="41" hidden="1">"Account"</definedName>
    <definedName name="HTML_Title" localSheetId="46" hidden="1">"Account"</definedName>
    <definedName name="HTML_Title" localSheetId="49" hidden="1">"Account"</definedName>
    <definedName name="HTML_Title" localSheetId="45" hidden="1">"Account"</definedName>
    <definedName name="HTML_Title" localSheetId="48" hidden="1">"Account"</definedName>
    <definedName name="HTML_Title" localSheetId="47" hidden="1">"Account"</definedName>
    <definedName name="HTML_Title" hidden="1">"Asset Tracking 2_9_01"</definedName>
    <definedName name="HTML1_1" hidden="1">"[MWHCUST.XLW]Intranet!$A$1:$I$42"</definedName>
    <definedName name="HTML1_10" hidden="1">""</definedName>
    <definedName name="HTML1_11" hidden="1">1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1</definedName>
    <definedName name="HTML1_8" hidden="1">"10/10/96"</definedName>
    <definedName name="HTML1_9" hidden="1">"LGE Energy Division User"</definedName>
    <definedName name="HTML2_1" hidden="1">"[MWHCUST.XLW]Intranet!$A$1:$I$40"</definedName>
    <definedName name="HTML2_10" hidden="1">""</definedName>
    <definedName name="HTML2_11" hidden="1">1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"10/10/96"</definedName>
    <definedName name="HTML2_9" hidden="1">"LGE Energy Division User"</definedName>
    <definedName name="HTML3_1" hidden="1">"[MWHCUST.XLW]Intranet!$A$1:$J$40"</definedName>
    <definedName name="HTML3_10" hidden="1">""</definedName>
    <definedName name="HTML3_11" hidden="1">1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1</definedName>
    <definedName name="HTML3_8" hidden="1">"10/10/96"</definedName>
    <definedName name="HTML3_9" hidden="1">"LGE Energy Division User"</definedName>
    <definedName name="HTMLCount" hidden="1">3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50" hidden="1">#REF!</definedName>
    <definedName name="jijul" localSheetId="27" hidden="1">#REF!</definedName>
    <definedName name="jijul" localSheetId="28" hidden="1">#REF!</definedName>
    <definedName name="jijul" localSheetId="29" hidden="1">#REF!</definedName>
    <definedName name="jijul" localSheetId="30" hidden="1">#REF!</definedName>
    <definedName name="jijul" localSheetId="37" hidden="1">#REF!</definedName>
    <definedName name="jijul" hidden="1">#REF!</definedName>
    <definedName name="p" hidden="1">{#N/A,#N/A,TRUE,"Acq-Ass";#N/A,#N/A,TRUE,"Acq-IS";#N/A,#N/A,TRUE,"Acq-BS";#N/A,#N/A,TRUE,"Acq-CF"}</definedName>
    <definedName name="PopCache_GL_INTERFACE_REFERENCE7" hidden="1">[6]PopCache!$A$1:$A$2</definedName>
    <definedName name="_xlnm.Print_Area" localSheetId="50">AFUDC!$A$1:$H$58</definedName>
    <definedName name="_xlnm.Print_Area" localSheetId="53">'ECR EXP B'!$B$1:$O$25</definedName>
    <definedName name="_xlnm.Print_Area" localSheetId="54">'ECR EXP F'!$A$1:$N$25</definedName>
    <definedName name="_xlnm.Print_Area" localSheetId="4">'Index B'!$A$1:$C$42</definedName>
    <definedName name="_xlnm.Print_Area" localSheetId="42">'JURISSEP B'!$E$12:$Q$1403</definedName>
    <definedName name="_xlnm.Print_Area" localSheetId="43">'JURISSEP F'!$E$12:$Q$1420</definedName>
    <definedName name="_xlnm.Print_Area" localSheetId="58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B-2.2'!$A$1:$I$62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B-2.5'!$A$1:$I$30</definedName>
    <definedName name="_xlnm.Print_Area" localSheetId="14">'SCH B-2.6'!$A$1:$O$40</definedName>
    <definedName name="_xlnm.Print_Area" localSheetId="15">'SCH B-2.7'!$A$1:$L$94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B-3.1'!$A$1:$I$60</definedName>
    <definedName name="_xlnm.Print_Area" localSheetId="19">'SCH B-3.2 B'!$A$1:$K$110</definedName>
    <definedName name="_xlnm.Print_Area" localSheetId="20">'SCH B-3.2 F'!$A$1:$K$110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B'!$A$1:$J$364</definedName>
    <definedName name="_xlnm.Print_Area" localSheetId="24">'SCH B-4.2 F'!$A$1:$J$385</definedName>
    <definedName name="_xlnm.Print_Area" localSheetId="25">'SCH B-5'!$A$1:$H$52</definedName>
    <definedName name="_xlnm.Print_Area" localSheetId="26">'SCH B-5.1'!$A$1:$F$50</definedName>
    <definedName name="_xlnm.Print_Area" localSheetId="27">'SCH B-5.2 B (1)'!$A$1:$Q$82</definedName>
    <definedName name="_xlnm.Print_Area" localSheetId="28">'SCH B-5.2 B (2)'!$A$1:$W$38,'SCH B-5.2 B (2)'!$A$49:$W$66</definedName>
    <definedName name="_xlnm.Print_Area" localSheetId="29">'SCH B-5.2 F (1)'!$A$1:$Q$82</definedName>
    <definedName name="_xlnm.Print_Area" localSheetId="30">'SCH B-5.2 F (2)'!$A$1:$W$38,'SCH B-5.2 F (2)'!$A$49:$W$66</definedName>
    <definedName name="_xlnm.Print_Area" localSheetId="31">'SCH B-6'!$A$1:$I$43</definedName>
    <definedName name="_xlnm.Print_Area" localSheetId="32">'SCH B-7 B'!$A$1:$F$203</definedName>
    <definedName name="_xlnm.Print_Area" localSheetId="33">'SCH B-7 F'!$A$1:$F$203</definedName>
    <definedName name="_xlnm.Print_Area" localSheetId="34">'SCH B-7.1 B'!$A$1:$H$28</definedName>
    <definedName name="_xlnm.Print_Area" localSheetId="35">'SCH B-7.1 F'!$A$1:$H$28</definedName>
    <definedName name="_xlnm.Print_Area" localSheetId="36">'SCH B-7.2 B'!$A$1:$F$13</definedName>
    <definedName name="_xlnm.Print_Area" localSheetId="37">'SCH B-7.2 F'!$A$1:$F$13</definedName>
    <definedName name="_xlnm.Print_Area" localSheetId="39">'SCH B-8 KY'!$A$1:$P$123</definedName>
    <definedName name="_xlnm.Print_Area" localSheetId="38">'SCH B-8 TC'!$A$1:$P$121</definedName>
    <definedName name="_xlnm.Print_Area" localSheetId="0">'SUPP SCH B-1.1 B'!$A$1:$R$53</definedName>
    <definedName name="_xlnm.Print_Area" localSheetId="1">'SUPP SCH B-1.1 F'!$A$1:$R$53</definedName>
    <definedName name="Print_Area_MI" localSheetId="4">'Index B'!$A$1:$N$42</definedName>
    <definedName name="_xlnm.Print_Titles" localSheetId="45">'FCPIS B'!$1:$3</definedName>
    <definedName name="_xlnm.Print_Titles" localSheetId="42">'JURISSEP B'!$A:$D,'JURISSEP B'!$2:$11</definedName>
    <definedName name="_xlnm.Print_Titles" localSheetId="43">'JURISSEP F'!$A:$D,'JURISSEP F'!$2:$11</definedName>
    <definedName name="_xlnm.Print_Titles" localSheetId="59">'KU Proposed Depr Rates'!$1:$10</definedName>
    <definedName name="_xlnm.Print_Titles" localSheetId="44">'PIS B'!$1:$8</definedName>
    <definedName name="_xlnm.Print_Titles" localSheetId="47">'PIS F'!$1:$8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27" hidden="1">#REF!</definedName>
    <definedName name="solver_opt" localSheetId="28" hidden="1">#REF!</definedName>
    <definedName name="solver_opt" localSheetId="29" hidden="1">#REF!</definedName>
    <definedName name="solver_opt" localSheetId="30" hidden="1">#REF!</definedName>
    <definedName name="solver_opt" localSheetId="37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hidden="1">{#N/A,#N/A,FALSE,"Bal sht";"Qtrly Bal Sht",#N/A,FALSE,"Bal sht - QTR"}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hidden="1">{#N/A,#N/A,FALSE,"Brad_DCFM";#N/A,#N/A,FALSE,"Nick_DCFM";#N/A,#N/A,FALSE,"Mobile_DCFM"}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localSheetId="5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localSheetId="5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localSheetId="5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localSheetId="5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localSheetId="5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localSheetId="5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hidden="1">{"Wkp Unamort PreStock Exp",#N/A,FALSE,"Cap Struct WPs"}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KY'!$A$1:$P$129</definedName>
    <definedName name="Z_0827DD1F_A9BE_4D13_BDC7_18E2F5303A4C_.wvu.PrintArea" localSheetId="38" hidden="1">'SCH B-8 TC'!$A$1:$P$129</definedName>
    <definedName name="Z_17EC1D8B_C312_4928_92BF_E4B8E04733C9_.wvu.PrintArea" localSheetId="39" hidden="1">'SCH B-8 KY'!$A$1:$P$129</definedName>
    <definedName name="Z_17EC1D8B_C312_4928_92BF_E4B8E04733C9_.wvu.PrintArea" localSheetId="38" hidden="1">'SCH B-8 TC'!$A$1:$P$129</definedName>
    <definedName name="Z_17F81FAD_A804_409E_AD77_E4B3A0D493B1_.wvu.PrintArea" localSheetId="39" hidden="1">'SCH B-8 KY'!$A$1:$P$129</definedName>
    <definedName name="Z_17F81FAD_A804_409E_AD77_E4B3A0D493B1_.wvu.PrintArea" localSheetId="38" hidden="1">'SCH B-8 TC'!$A$1:$P$129</definedName>
    <definedName name="Z_2B785BFB_7564_44CF_85B0_B660EDED919E_.wvu.PrintArea" localSheetId="39" hidden="1">'SCH B-8 KY'!$A$1:$P$129</definedName>
    <definedName name="Z_2B785BFB_7564_44CF_85B0_B660EDED919E_.wvu.PrintArea" localSheetId="38" hidden="1">'SCH B-8 TC'!$A$1:$P$129</definedName>
    <definedName name="Z_30F99172_C4F2_44CA_968C_724910CD8C0D_.wvu.PrintArea" localSheetId="39" hidden="1">'SCH B-8 KY'!$A$1:$P$129</definedName>
    <definedName name="Z_30F99172_C4F2_44CA_968C_724910CD8C0D_.wvu.PrintArea" localSheetId="38" hidden="1">'SCH B-8 TC'!$A$1:$P$129</definedName>
    <definedName name="Z_4D71A4B5_3501_4D55_925A_603836C1CD6A_.wvu.PrintArea" localSheetId="39" hidden="1">'SCH B-8 KY'!$A$1:$P$129</definedName>
    <definedName name="Z_4D71A4B5_3501_4D55_925A_603836C1CD6A_.wvu.PrintArea" localSheetId="38" hidden="1">'SCH B-8 TC'!$A$1:$P$129</definedName>
    <definedName name="Z_4E8676F3_F8E9_4B82_A801_CEC84738F427_.wvu.PrintArea" localSheetId="39" hidden="1">'SCH B-8 KY'!$A$1:$P$129</definedName>
    <definedName name="Z_4E8676F3_F8E9_4B82_A801_CEC84738F427_.wvu.PrintArea" localSheetId="38" hidden="1">'SCH B-8 TC'!$A$1:$P$129</definedName>
    <definedName name="Z_50E30236_B87B_46B0_8AB7_5CB07C32AD51_.wvu.PrintArea" localSheetId="39" hidden="1">'SCH B-8 KY'!$A$1:$P$129</definedName>
    <definedName name="Z_50E30236_B87B_46B0_8AB7_5CB07C32AD51_.wvu.PrintArea" localSheetId="38" hidden="1">'SCH B-8 TC'!$A$1:$P$129</definedName>
    <definedName name="Z_5446BA9A_8B69_404B_A913_5A53E8937DEF_.wvu.PrintArea" localSheetId="39" hidden="1">'SCH B-8 KY'!$A$1:$P$129</definedName>
    <definedName name="Z_5446BA9A_8B69_404B_A913_5A53E8937DEF_.wvu.PrintArea" localSheetId="38" hidden="1">'SCH B-8 TC'!$A$1:$P$129</definedName>
    <definedName name="Z_5C6CC12D_4976_49E7_B4BF_0BC5FC5930C4_.wvu.PrintArea" localSheetId="39" hidden="1">'SCH B-8 KY'!$A$1:$P$129</definedName>
    <definedName name="Z_5C6CC12D_4976_49E7_B4BF_0BC5FC5930C4_.wvu.PrintArea" localSheetId="38" hidden="1">'SCH B-8 TC'!$A$1:$P$129</definedName>
    <definedName name="Z_650001A7_7F5D_4C25_A793_6874747A9BCA_.wvu.PrintArea" localSheetId="39" hidden="1">'SCH B-8 KY'!$A$1:$P$129</definedName>
    <definedName name="Z_650001A7_7F5D_4C25_A793_6874747A9BCA_.wvu.PrintArea" localSheetId="38" hidden="1">'SCH B-8 TC'!$A$1:$P$129</definedName>
    <definedName name="Z_6806E151_5E14_4AFD_87E4_963C9A6AC622_.wvu.PrintArea" localSheetId="39" hidden="1">'SCH B-8 KY'!$A$1:$P$129</definedName>
    <definedName name="Z_6806E151_5E14_4AFD_87E4_963C9A6AC622_.wvu.PrintArea" localSheetId="38" hidden="1">'SCH B-8 TC'!$A$1:$P$129</definedName>
    <definedName name="Z_6B73F06A_6B8B_492D_98E8_4B1867446724_.wvu.PrintArea" localSheetId="39" hidden="1">'SCH B-8 KY'!$A$1:$P$129</definedName>
    <definedName name="Z_6B73F06A_6B8B_492D_98E8_4B1867446724_.wvu.PrintArea" localSheetId="38" hidden="1">'SCH B-8 TC'!$A$1:$P$129</definedName>
    <definedName name="Z_6B79D4D5_16CF_4897_8F30_1E695809C85C_.wvu.PrintArea" localSheetId="39" hidden="1">'SCH B-8 KY'!$A$1:$P$129</definedName>
    <definedName name="Z_6B79D4D5_16CF_4897_8F30_1E695809C85C_.wvu.PrintArea" localSheetId="38" hidden="1">'SCH B-8 TC'!$A$1:$P$129</definedName>
    <definedName name="Z_7F548A59_6325_4863_A2CD_C4C2FE9990B9_.wvu.PrintArea" localSheetId="39" hidden="1">'SCH B-8 KY'!$A$1:$P$129</definedName>
    <definedName name="Z_7F548A59_6325_4863_A2CD_C4C2FE9990B9_.wvu.PrintArea" localSheetId="38" hidden="1">'SCH B-8 TC'!$A$1:$P$129</definedName>
    <definedName name="Z_949C0204_0136_46BF_80A5_3F78E0511D46_.wvu.PrintArea" localSheetId="39" hidden="1">'SCH B-8 KY'!$A$1:$P$129</definedName>
    <definedName name="Z_949C0204_0136_46BF_80A5_3F78E0511D46_.wvu.PrintArea" localSheetId="38" hidden="1">'SCH B-8 TC'!$A$1:$P$129</definedName>
    <definedName name="Z_9A6DA5E0_B602_4D30_BF57_B9A64673419A_.wvu.PrintArea" localSheetId="39" hidden="1">'SCH B-8 KY'!$A$1:$P$129</definedName>
    <definedName name="Z_9A6DA5E0_B602_4D30_BF57_B9A64673419A_.wvu.PrintArea" localSheetId="38" hidden="1">'SCH B-8 TC'!$A$1:$P$129</definedName>
    <definedName name="Z_9B3B6D0E_03C7_49B0_92DB_C4FD245E93BC_.wvu.PrintArea" localSheetId="39" hidden="1">'SCH B-8 KY'!$A$1:$P$129</definedName>
    <definedName name="Z_9B3B6D0E_03C7_49B0_92DB_C4FD245E93BC_.wvu.PrintArea" localSheetId="38" hidden="1">'SCH B-8 TC'!$A$1:$P$129</definedName>
    <definedName name="Z_B11022C5_E08B_4A9C_A0FF_33A3D6D2F386_.wvu.PrintArea" localSheetId="39" hidden="1">'SCH B-8 KY'!$A$1:$P$129</definedName>
    <definedName name="Z_B11022C5_E08B_4A9C_A0FF_33A3D6D2F386_.wvu.PrintArea" localSheetId="38" hidden="1">'SCH B-8 TC'!$A$1:$P$129</definedName>
    <definedName name="Z_B339DAC4_A962_4729_81C2_E354C0B54027_.wvu.PrintArea" localSheetId="39" hidden="1">'SCH B-8 KY'!$A$1:$P$129</definedName>
    <definedName name="Z_B339DAC4_A962_4729_81C2_E354C0B54027_.wvu.PrintArea" localSheetId="38" hidden="1">'SCH B-8 TC'!$A$1:$P$129</definedName>
    <definedName name="Z_B768E8BE_E40F_4622_8687_5C13CF63FEF1_.wvu.PrintArea" localSheetId="39" hidden="1">'SCH B-8 KY'!$A$1:$P$129</definedName>
    <definedName name="Z_B768E8BE_E40F_4622_8687_5C13CF63FEF1_.wvu.PrintArea" localSheetId="38" hidden="1">'SCH B-8 TC'!$A$1:$P$129</definedName>
    <definedName name="Z_B8F938A3_B40C_4099_ABD8_B6D835D2359F_.wvu.PrintArea" localSheetId="39" hidden="1">'SCH B-8 KY'!$A$1:$P$129</definedName>
    <definedName name="Z_B8F938A3_B40C_4099_ABD8_B6D835D2359F_.wvu.PrintArea" localSheetId="38" hidden="1">'SCH B-8 TC'!$A$1:$P$129</definedName>
    <definedName name="Z_BA17188F_41F9_429B_8466_0B115E6076C4_.wvu.PrintArea" localSheetId="39" hidden="1">'SCH B-8 KY'!$A$1:$P$129</definedName>
    <definedName name="Z_BA17188F_41F9_429B_8466_0B115E6076C4_.wvu.PrintArea" localSheetId="38" hidden="1">'SCH B-8 TC'!$A$1:$P$129</definedName>
    <definedName name="Z_BC5E0361_74E9_4A40_A93E_A28F6B6112CC_.wvu.PrintArea" localSheetId="39" hidden="1">'SCH B-8 KY'!$A$1:$P$129</definedName>
    <definedName name="Z_BC5E0361_74E9_4A40_A93E_A28F6B6112CC_.wvu.PrintArea" localSheetId="38" hidden="1">'SCH B-8 TC'!$A$1:$P$129</definedName>
    <definedName name="Z_BEA31234_456D_4B58_9D73_CDF96CBEAFF0_.wvu.PrintArea" localSheetId="39" hidden="1">'SCH B-8 KY'!$A$1:$P$129</definedName>
    <definedName name="Z_BEA31234_456D_4B58_9D73_CDF96CBEAFF0_.wvu.PrintArea" localSheetId="38" hidden="1">'SCH B-8 TC'!$A$1:$P$129</definedName>
    <definedName name="Z_C26CB08D_E75A_444E_97C0_685DE1198CEB_.wvu.PrintArea" localSheetId="39" hidden="1">'SCH B-8 KY'!$A$1:$P$129</definedName>
    <definedName name="Z_C26CB08D_E75A_444E_97C0_685DE1198CEB_.wvu.PrintArea" localSheetId="38" hidden="1">'SCH B-8 TC'!$A$1:$P$129</definedName>
    <definedName name="Z_CB2DDF95_6E3D_4BC1_9D30_54963EA34987_.wvu.PrintArea" localSheetId="39" hidden="1">'SCH B-8 KY'!$A$1:$P$129</definedName>
    <definedName name="Z_CB2DDF95_6E3D_4BC1_9D30_54963EA34987_.wvu.PrintArea" localSheetId="38" hidden="1">'SCH B-8 TC'!$A$1:$P$129</definedName>
    <definedName name="Z_DC435F00_643C_4507_82D4_894505D8FDA5_.wvu.PrintArea" localSheetId="39" hidden="1">'SCH B-8 KY'!$A$1:$P$129</definedName>
    <definedName name="Z_DC435F00_643C_4507_82D4_894505D8FDA5_.wvu.PrintArea" localSheetId="38" hidden="1">'SCH B-8 TC'!$A$1:$P$129</definedName>
    <definedName name="Z_DF50C4EA_FB13_4C2C_90E3_833D566A43BF_.wvu.PrintArea" localSheetId="39" hidden="1">'SCH B-8 KY'!$A$1:$P$129</definedName>
    <definedName name="Z_DF50C4EA_FB13_4C2C_90E3_833D566A43BF_.wvu.PrintArea" localSheetId="38" hidden="1">'SCH B-8 TC'!$A$1:$P$129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33" i="13" l="1"/>
  <c r="S14" i="82" l="1"/>
  <c r="S15" i="82"/>
  <c r="S16" i="82"/>
  <c r="G322" i="42" l="1"/>
  <c r="G323" i="42"/>
  <c r="G324" i="42"/>
  <c r="G325" i="42"/>
  <c r="G326" i="42"/>
  <c r="G327" i="42"/>
  <c r="G328" i="42"/>
  <c r="G329" i="42"/>
  <c r="G330" i="42"/>
  <c r="G331" i="42"/>
  <c r="A324" i="42"/>
  <c r="B324" i="42"/>
  <c r="C324" i="42"/>
  <c r="E324" i="42"/>
  <c r="U317" i="42"/>
  <c r="U318" i="42"/>
  <c r="U319" i="42"/>
  <c r="U320" i="42"/>
  <c r="U321" i="42"/>
  <c r="U322" i="42"/>
  <c r="U323" i="42"/>
  <c r="U325" i="42"/>
  <c r="U326" i="42"/>
  <c r="U327" i="42"/>
  <c r="U328" i="42"/>
  <c r="A322" i="42"/>
  <c r="B322" i="42"/>
  <c r="C322" i="42"/>
  <c r="E322" i="42"/>
  <c r="I144" i="43" l="1"/>
  <c r="J144" i="43"/>
  <c r="K144" i="43"/>
  <c r="L144" i="43"/>
  <c r="M144" i="43"/>
  <c r="N144" i="43"/>
  <c r="O144" i="43"/>
  <c r="P144" i="43"/>
  <c r="Q144" i="43"/>
  <c r="R144" i="43"/>
  <c r="S144" i="43"/>
  <c r="T144" i="43"/>
  <c r="H144" i="43"/>
  <c r="S16" i="80" l="1"/>
  <c r="S34" i="80" s="1"/>
  <c r="S14" i="80"/>
  <c r="S18" i="80" s="1"/>
  <c r="S33" i="82"/>
  <c r="S28" i="82"/>
  <c r="S29" i="82" l="1"/>
  <c r="S30" i="82"/>
  <c r="S34" i="82"/>
  <c r="S31" i="82"/>
  <c r="S32" i="82"/>
  <c r="S19" i="82"/>
  <c r="S17" i="82"/>
  <c r="S18" i="82"/>
  <c r="S28" i="80"/>
  <c r="S29" i="80"/>
  <c r="S31" i="80"/>
  <c r="S32" i="80"/>
  <c r="S15" i="80"/>
  <c r="S17" i="80"/>
  <c r="S33" i="80"/>
  <c r="S19" i="80"/>
  <c r="S30" i="80"/>
  <c r="F61" i="47"/>
  <c r="F60" i="47"/>
  <c r="F59" i="47"/>
  <c r="F58" i="47"/>
  <c r="F57" i="47"/>
  <c r="F56" i="47"/>
  <c r="F55" i="47"/>
  <c r="F54" i="47"/>
  <c r="J61" i="47"/>
  <c r="I61" i="47"/>
  <c r="H61" i="47"/>
  <c r="J60" i="47"/>
  <c r="I60" i="47"/>
  <c r="H60" i="47"/>
  <c r="J59" i="47"/>
  <c r="I59" i="47"/>
  <c r="H59" i="47"/>
  <c r="J58" i="47"/>
  <c r="I58" i="47"/>
  <c r="H58" i="47"/>
  <c r="J57" i="47"/>
  <c r="I57" i="47"/>
  <c r="H57" i="47"/>
  <c r="J56" i="47"/>
  <c r="I56" i="47"/>
  <c r="H56" i="47"/>
  <c r="J55" i="47"/>
  <c r="I55" i="47"/>
  <c r="H55" i="47"/>
  <c r="J54" i="47"/>
  <c r="I54" i="47"/>
  <c r="H54" i="47"/>
  <c r="J89" i="47"/>
  <c r="I89" i="47"/>
  <c r="H89" i="47"/>
  <c r="J88" i="47"/>
  <c r="I88" i="47"/>
  <c r="H88" i="47"/>
  <c r="J87" i="47"/>
  <c r="I87" i="47"/>
  <c r="H87" i="47"/>
  <c r="J86" i="47"/>
  <c r="I86" i="47"/>
  <c r="H86" i="47"/>
  <c r="J85" i="47"/>
  <c r="I85" i="47"/>
  <c r="H85" i="47"/>
  <c r="J84" i="47"/>
  <c r="I84" i="47"/>
  <c r="H84" i="47"/>
  <c r="J83" i="47"/>
  <c r="I83" i="47"/>
  <c r="H83" i="47"/>
  <c r="J82" i="47"/>
  <c r="I82" i="47"/>
  <c r="H82" i="47"/>
  <c r="J81" i="47"/>
  <c r="I81" i="47"/>
  <c r="H81" i="47"/>
  <c r="J80" i="47"/>
  <c r="I80" i="47"/>
  <c r="H80" i="47"/>
  <c r="J79" i="47"/>
  <c r="I79" i="47"/>
  <c r="H79" i="47"/>
  <c r="J78" i="47"/>
  <c r="I78" i="47"/>
  <c r="H78" i="47"/>
  <c r="J102" i="47"/>
  <c r="I102" i="47"/>
  <c r="H102" i="47"/>
  <c r="J101" i="47"/>
  <c r="I101" i="47"/>
  <c r="H101" i="47"/>
  <c r="J99" i="47"/>
  <c r="I99" i="47"/>
  <c r="H99" i="47"/>
  <c r="J98" i="47"/>
  <c r="I98" i="47"/>
  <c r="H98" i="47"/>
  <c r="J97" i="47"/>
  <c r="I97" i="47"/>
  <c r="H97" i="47"/>
  <c r="J96" i="47"/>
  <c r="I96" i="47"/>
  <c r="H96" i="47"/>
  <c r="J95" i="47"/>
  <c r="I95" i="47"/>
  <c r="H95" i="47"/>
  <c r="F102" i="47"/>
  <c r="F101" i="47"/>
  <c r="F99" i="47"/>
  <c r="F98" i="47"/>
  <c r="F97" i="47"/>
  <c r="F96" i="47"/>
  <c r="F95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H17" i="78" l="1"/>
  <c r="H95" i="23" l="1"/>
  <c r="H55" i="23"/>
  <c r="H56" i="23"/>
  <c r="AD8" i="55" l="1"/>
  <c r="M2" i="55"/>
  <c r="L27" i="58" l="1"/>
  <c r="O25" i="31" l="1"/>
  <c r="M25" i="31"/>
  <c r="K25" i="31"/>
  <c r="I25" i="31"/>
  <c r="G25" i="31"/>
  <c r="F25" i="31"/>
  <c r="F27" i="31"/>
  <c r="G27" i="31" l="1"/>
  <c r="D33" i="40" l="1"/>
  <c r="D32" i="40"/>
  <c r="D45" i="20"/>
  <c r="C45" i="20"/>
  <c r="D43" i="20"/>
  <c r="C43" i="20"/>
  <c r="I41" i="20" l="1"/>
  <c r="C33" i="40"/>
  <c r="C32" i="40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2" i="45"/>
  <c r="D40" i="45"/>
  <c r="D39" i="45"/>
  <c r="D37" i="45"/>
  <c r="D36" i="45"/>
  <c r="D35" i="45"/>
  <c r="D34" i="45"/>
  <c r="D33" i="45"/>
  <c r="D32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6" i="45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32" i="44"/>
  <c r="D33" i="44"/>
  <c r="D34" i="44"/>
  <c r="D35" i="44"/>
  <c r="D36" i="44"/>
  <c r="D37" i="44"/>
  <c r="D38" i="44"/>
  <c r="D39" i="44"/>
  <c r="D40" i="44"/>
  <c r="D41" i="44"/>
  <c r="D42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L6" i="76" l="1"/>
  <c r="M6" i="76" s="1"/>
  <c r="N6" i="76" s="1"/>
  <c r="O6" i="76" s="1"/>
  <c r="P6" i="76" s="1"/>
  <c r="Q6" i="76" s="1"/>
  <c r="R6" i="76" s="1"/>
  <c r="S6" i="76" s="1"/>
  <c r="T6" i="76" s="1"/>
  <c r="U6" i="76" s="1"/>
  <c r="V6" i="76" s="1"/>
  <c r="W6" i="76" s="1"/>
  <c r="P58" i="80" l="1"/>
  <c r="O58" i="80"/>
  <c r="N58" i="80"/>
  <c r="M58" i="80"/>
  <c r="L58" i="80"/>
  <c r="K58" i="80"/>
  <c r="J58" i="80"/>
  <c r="I58" i="80"/>
  <c r="H58" i="80"/>
  <c r="G58" i="80"/>
  <c r="F58" i="80"/>
  <c r="E58" i="80"/>
  <c r="D58" i="80"/>
  <c r="B584" i="48" l="1"/>
  <c r="B421" i="48"/>
  <c r="F35" i="31" l="1"/>
  <c r="G35" i="31" s="1"/>
  <c r="B577" i="13"/>
  <c r="B413" i="13"/>
  <c r="F90" i="31" l="1"/>
  <c r="F108" i="31" l="1"/>
  <c r="F38" i="31"/>
  <c r="AF286" i="72"/>
  <c r="AF285" i="72"/>
  <c r="AF284" i="72"/>
  <c r="AF283" i="72"/>
  <c r="AF282" i="72"/>
  <c r="AF281" i="72"/>
  <c r="AF280" i="72"/>
  <c r="AF279" i="72"/>
  <c r="AF278" i="72"/>
  <c r="AF277" i="72"/>
  <c r="AF276" i="72"/>
  <c r="AF275" i="72"/>
  <c r="AF274" i="72"/>
  <c r="AF273" i="72"/>
  <c r="AF272" i="72"/>
  <c r="AF271" i="72"/>
  <c r="AF270" i="72"/>
  <c r="AF269" i="72"/>
  <c r="AF268" i="72"/>
  <c r="AF267" i="72"/>
  <c r="AF266" i="72"/>
  <c r="AF265" i="72"/>
  <c r="AF264" i="72"/>
  <c r="AF263" i="72"/>
  <c r="AF262" i="72"/>
  <c r="AF261" i="72"/>
  <c r="AF260" i="72"/>
  <c r="AF259" i="72"/>
  <c r="AF258" i="72"/>
  <c r="AF257" i="72"/>
  <c r="AF256" i="72"/>
  <c r="AF255" i="72"/>
  <c r="AF254" i="72"/>
  <c r="AF253" i="72"/>
  <c r="AF252" i="72"/>
  <c r="AF251" i="72"/>
  <c r="AF250" i="72"/>
  <c r="AF249" i="72"/>
  <c r="AF248" i="72"/>
  <c r="AF247" i="72"/>
  <c r="AF246" i="72"/>
  <c r="AF245" i="72"/>
  <c r="AF244" i="72"/>
  <c r="AF243" i="72"/>
  <c r="AF242" i="72"/>
  <c r="AF241" i="72"/>
  <c r="AF240" i="72"/>
  <c r="AF239" i="72"/>
  <c r="AF238" i="72"/>
  <c r="AF237" i="72"/>
  <c r="AF236" i="72"/>
  <c r="AF235" i="72"/>
  <c r="AF234" i="72"/>
  <c r="AF233" i="72"/>
  <c r="AF232" i="72"/>
  <c r="AF231" i="72"/>
  <c r="AF230" i="72"/>
  <c r="AF229" i="72"/>
  <c r="AF228" i="72"/>
  <c r="AF227" i="72"/>
  <c r="AF226" i="72"/>
  <c r="AF225" i="72"/>
  <c r="AF224" i="72"/>
  <c r="D108" i="31" s="1"/>
  <c r="AF223" i="72"/>
  <c r="AF222" i="72"/>
  <c r="AF221" i="72"/>
  <c r="AF220" i="72"/>
  <c r="AF219" i="72"/>
  <c r="AF218" i="72"/>
  <c r="AF217" i="72"/>
  <c r="AF216" i="72"/>
  <c r="AF215" i="72"/>
  <c r="AF214" i="72"/>
  <c r="AF213" i="72"/>
  <c r="AF212" i="72"/>
  <c r="AF211" i="72"/>
  <c r="AF210" i="72"/>
  <c r="AF209" i="72"/>
  <c r="AF208" i="72"/>
  <c r="AF207" i="72"/>
  <c r="AF206" i="72"/>
  <c r="AF205" i="72"/>
  <c r="AF204" i="72"/>
  <c r="AF203" i="72"/>
  <c r="AF202" i="72"/>
  <c r="AF201" i="72"/>
  <c r="AF200" i="72"/>
  <c r="AF199" i="72"/>
  <c r="AF198" i="72"/>
  <c r="AF197" i="72"/>
  <c r="AF196" i="72"/>
  <c r="AF195" i="72"/>
  <c r="AF194" i="72"/>
  <c r="AF193" i="72"/>
  <c r="AF192" i="72"/>
  <c r="AF191" i="72"/>
  <c r="AF190" i="72"/>
  <c r="AF189" i="72"/>
  <c r="AF188" i="72"/>
  <c r="AF187" i="72"/>
  <c r="AF186" i="72"/>
  <c r="AF185" i="72"/>
  <c r="AF184" i="72"/>
  <c r="AF183" i="72"/>
  <c r="AF182" i="72"/>
  <c r="AF181" i="72"/>
  <c r="AF180" i="72"/>
  <c r="AF179" i="72"/>
  <c r="D90" i="31" s="1"/>
  <c r="AF178" i="72"/>
  <c r="AF177" i="72"/>
  <c r="AF176" i="72"/>
  <c r="AF175" i="72"/>
  <c r="AF174" i="72"/>
  <c r="AF173" i="72"/>
  <c r="AF172" i="72"/>
  <c r="AF171" i="72"/>
  <c r="AF170" i="72"/>
  <c r="AF169" i="72"/>
  <c r="AF168" i="72"/>
  <c r="AF167" i="72"/>
  <c r="AF166" i="72"/>
  <c r="AF165" i="72"/>
  <c r="AF164" i="72"/>
  <c r="AF163" i="72"/>
  <c r="AF162" i="72"/>
  <c r="AF161" i="72"/>
  <c r="AF160" i="72"/>
  <c r="AF159" i="72"/>
  <c r="AF158" i="72"/>
  <c r="AF157" i="72"/>
  <c r="AF156" i="72"/>
  <c r="AF155" i="72"/>
  <c r="AF154" i="72"/>
  <c r="AF153" i="72"/>
  <c r="AF152" i="72"/>
  <c r="AF151" i="72"/>
  <c r="AF150" i="72"/>
  <c r="AF149" i="72"/>
  <c r="AF148" i="72"/>
  <c r="AF147" i="72"/>
  <c r="AF146" i="72"/>
  <c r="AF145" i="72"/>
  <c r="AF144" i="72"/>
  <c r="AF143" i="72"/>
  <c r="AF142" i="72"/>
  <c r="AF141" i="72"/>
  <c r="AF140" i="72"/>
  <c r="AF139" i="72"/>
  <c r="AF138" i="72"/>
  <c r="AF137" i="72"/>
  <c r="AF136" i="72"/>
  <c r="AF135" i="72"/>
  <c r="AF134" i="72"/>
  <c r="AF133" i="72"/>
  <c r="AF132" i="72"/>
  <c r="AF131" i="72"/>
  <c r="AF130" i="72"/>
  <c r="AF129" i="72"/>
  <c r="AF128" i="72"/>
  <c r="AF127" i="72"/>
  <c r="AF126" i="72"/>
  <c r="AF125" i="72"/>
  <c r="AF124" i="72"/>
  <c r="AF123" i="72"/>
  <c r="AF122" i="72"/>
  <c r="AF121" i="72"/>
  <c r="AF120" i="72"/>
  <c r="AF119" i="72"/>
  <c r="AF118" i="72"/>
  <c r="AF117" i="72"/>
  <c r="AF116" i="72"/>
  <c r="AF115" i="72"/>
  <c r="AF114" i="72"/>
  <c r="AF113" i="72"/>
  <c r="AF112" i="72"/>
  <c r="AF111" i="72"/>
  <c r="AF110" i="72"/>
  <c r="AF109" i="72"/>
  <c r="AF108" i="72"/>
  <c r="AF107" i="72"/>
  <c r="AF106" i="72"/>
  <c r="AF105" i="72"/>
  <c r="AF104" i="72"/>
  <c r="AF103" i="72"/>
  <c r="AF102" i="72"/>
  <c r="AF101" i="72"/>
  <c r="AF100" i="72"/>
  <c r="AF99" i="72"/>
  <c r="AF98" i="72"/>
  <c r="AF97" i="72"/>
  <c r="AF96" i="72"/>
  <c r="AF95" i="72"/>
  <c r="AF94" i="72"/>
  <c r="AF93" i="72"/>
  <c r="AF92" i="72"/>
  <c r="AF91" i="72"/>
  <c r="AF90" i="72"/>
  <c r="AF89" i="72"/>
  <c r="AF88" i="72"/>
  <c r="AF87" i="72"/>
  <c r="AF86" i="72"/>
  <c r="AF85" i="72"/>
  <c r="AF84" i="72"/>
  <c r="AF83" i="72"/>
  <c r="AF82" i="72"/>
  <c r="D38" i="31" s="1"/>
  <c r="AF81" i="72"/>
  <c r="AF80" i="72"/>
  <c r="AF79" i="72"/>
  <c r="AF78" i="72"/>
  <c r="AF77" i="72"/>
  <c r="AF76" i="72"/>
  <c r="AF75" i="72"/>
  <c r="AF74" i="72"/>
  <c r="AF73" i="72"/>
  <c r="AF72" i="72"/>
  <c r="AF71" i="72"/>
  <c r="AF70" i="72"/>
  <c r="AF69" i="72"/>
  <c r="AF68" i="72"/>
  <c r="D35" i="31" s="1"/>
  <c r="E35" i="31" s="1"/>
  <c r="AF67" i="72"/>
  <c r="AF66" i="72"/>
  <c r="AF65" i="72"/>
  <c r="AF64" i="72"/>
  <c r="AF63" i="72"/>
  <c r="AF62" i="72"/>
  <c r="AF61" i="72"/>
  <c r="AF60" i="72"/>
  <c r="AF59" i="72"/>
  <c r="AF58" i="72"/>
  <c r="AF57" i="72"/>
  <c r="AF56" i="72"/>
  <c r="AF55" i="72"/>
  <c r="AF54" i="72"/>
  <c r="AF53" i="72"/>
  <c r="AF52" i="72"/>
  <c r="AF51" i="72"/>
  <c r="AF50" i="72"/>
  <c r="AF49" i="72"/>
  <c r="AF48" i="72"/>
  <c r="AF47" i="72"/>
  <c r="AF46" i="72"/>
  <c r="AF45" i="72"/>
  <c r="AF44" i="72"/>
  <c r="D25" i="31" s="1"/>
  <c r="E25" i="31" s="1"/>
  <c r="AF43" i="72"/>
  <c r="AF42" i="72"/>
  <c r="AF41" i="72"/>
  <c r="AF40" i="72"/>
  <c r="AF39" i="72"/>
  <c r="AF38" i="72"/>
  <c r="AF37" i="72"/>
  <c r="AF36" i="72"/>
  <c r="AF35" i="72"/>
  <c r="AF34" i="72"/>
  <c r="AF33" i="72"/>
  <c r="AF32" i="72"/>
  <c r="AF31" i="72"/>
  <c r="AF30" i="72"/>
  <c r="AF29" i="72"/>
  <c r="AF28" i="72"/>
  <c r="AF27" i="72"/>
  <c r="AF26" i="72"/>
  <c r="AF25" i="72"/>
  <c r="AF24" i="72"/>
  <c r="AF23" i="72"/>
  <c r="AF22" i="72"/>
  <c r="AF21" i="72"/>
  <c r="AF20" i="72"/>
  <c r="AF19" i="72"/>
  <c r="AF18" i="72"/>
  <c r="AF17" i="72"/>
  <c r="AF16" i="72"/>
  <c r="AF15" i="72"/>
  <c r="AF14" i="72"/>
  <c r="AF13" i="72"/>
  <c r="AF12" i="72"/>
  <c r="AF11" i="72"/>
  <c r="O286" i="72"/>
  <c r="O285" i="72"/>
  <c r="O284" i="72"/>
  <c r="O283" i="72"/>
  <c r="O282" i="72"/>
  <c r="O281" i="72"/>
  <c r="O280" i="72"/>
  <c r="O279" i="72"/>
  <c r="O278" i="72"/>
  <c r="O277" i="72"/>
  <c r="O276" i="72"/>
  <c r="O275" i="72"/>
  <c r="O274" i="72"/>
  <c r="O273" i="72"/>
  <c r="O272" i="72"/>
  <c r="O271" i="72"/>
  <c r="O270" i="72"/>
  <c r="O269" i="72"/>
  <c r="O268" i="72"/>
  <c r="O267" i="72"/>
  <c r="O266" i="72"/>
  <c r="O265" i="72"/>
  <c r="O264" i="72"/>
  <c r="O263" i="72"/>
  <c r="O262" i="72"/>
  <c r="O261" i="72"/>
  <c r="O260" i="72"/>
  <c r="O259" i="72"/>
  <c r="O258" i="72"/>
  <c r="O257" i="72"/>
  <c r="O256" i="72"/>
  <c r="O255" i="72"/>
  <c r="O254" i="72"/>
  <c r="O253" i="72"/>
  <c r="O252" i="72"/>
  <c r="O251" i="72"/>
  <c r="O250" i="72"/>
  <c r="O249" i="72"/>
  <c r="O248" i="72"/>
  <c r="O247" i="72"/>
  <c r="O246" i="72"/>
  <c r="O245" i="72"/>
  <c r="O244" i="72"/>
  <c r="O243" i="72"/>
  <c r="O242" i="72"/>
  <c r="O241" i="72"/>
  <c r="O240" i="72"/>
  <c r="O239" i="72"/>
  <c r="O238" i="72"/>
  <c r="O237" i="72"/>
  <c r="O236" i="72"/>
  <c r="O235" i="72"/>
  <c r="O234" i="72"/>
  <c r="O233" i="72"/>
  <c r="O232" i="72"/>
  <c r="O231" i="72"/>
  <c r="O230" i="72"/>
  <c r="O229" i="72"/>
  <c r="O228" i="72"/>
  <c r="O227" i="72"/>
  <c r="O226" i="72"/>
  <c r="O225" i="72"/>
  <c r="O224" i="72"/>
  <c r="O223" i="72"/>
  <c r="O222" i="72"/>
  <c r="O221" i="72"/>
  <c r="O220" i="72"/>
  <c r="O219" i="72"/>
  <c r="O218" i="72"/>
  <c r="O217" i="72"/>
  <c r="O216" i="72"/>
  <c r="O215" i="72"/>
  <c r="O214" i="72"/>
  <c r="O213" i="72"/>
  <c r="O212" i="72"/>
  <c r="O211" i="72"/>
  <c r="O210" i="72"/>
  <c r="O209" i="72"/>
  <c r="O208" i="72"/>
  <c r="O207" i="72"/>
  <c r="O206" i="72"/>
  <c r="O205" i="72"/>
  <c r="O204" i="72"/>
  <c r="O203" i="72"/>
  <c r="O202" i="72"/>
  <c r="O201" i="72"/>
  <c r="O200" i="72"/>
  <c r="O199" i="72"/>
  <c r="O198" i="72"/>
  <c r="O197" i="72"/>
  <c r="O196" i="72"/>
  <c r="O195" i="72"/>
  <c r="O194" i="72"/>
  <c r="O193" i="72"/>
  <c r="O192" i="72"/>
  <c r="O191" i="72"/>
  <c r="O190" i="72"/>
  <c r="O189" i="72"/>
  <c r="O188" i="72"/>
  <c r="O187" i="72"/>
  <c r="O186" i="72"/>
  <c r="O185" i="72"/>
  <c r="O184" i="72"/>
  <c r="O183" i="72"/>
  <c r="O182" i="72"/>
  <c r="O181" i="72"/>
  <c r="O180" i="72"/>
  <c r="O179" i="72"/>
  <c r="O178" i="72"/>
  <c r="O177" i="72"/>
  <c r="O176" i="72"/>
  <c r="O175" i="72"/>
  <c r="O174" i="72"/>
  <c r="O173" i="72"/>
  <c r="O172" i="72"/>
  <c r="O171" i="72"/>
  <c r="O170" i="72"/>
  <c r="O169" i="72"/>
  <c r="O168" i="72"/>
  <c r="O167" i="72"/>
  <c r="O166" i="72"/>
  <c r="O165" i="72"/>
  <c r="O164" i="72"/>
  <c r="O163" i="72"/>
  <c r="O162" i="72"/>
  <c r="O161" i="72"/>
  <c r="O160" i="72"/>
  <c r="O159" i="72"/>
  <c r="O158" i="72"/>
  <c r="O157" i="72"/>
  <c r="O156" i="72"/>
  <c r="O155" i="72"/>
  <c r="O154" i="72"/>
  <c r="O153" i="72"/>
  <c r="O152" i="72"/>
  <c r="O151" i="72"/>
  <c r="O150" i="72"/>
  <c r="O149" i="72"/>
  <c r="O148" i="72"/>
  <c r="O147" i="72"/>
  <c r="O146" i="72"/>
  <c r="O145" i="72"/>
  <c r="O144" i="72"/>
  <c r="O143" i="72"/>
  <c r="O142" i="72"/>
  <c r="O141" i="72"/>
  <c r="O140" i="72"/>
  <c r="O139" i="72"/>
  <c r="O138" i="72"/>
  <c r="O137" i="72"/>
  <c r="O136" i="72"/>
  <c r="O135" i="72"/>
  <c r="O134" i="72"/>
  <c r="O133" i="72"/>
  <c r="O132" i="72"/>
  <c r="O131" i="72"/>
  <c r="O130" i="72"/>
  <c r="O129" i="72"/>
  <c r="O128" i="72"/>
  <c r="O127" i="72"/>
  <c r="O126" i="72"/>
  <c r="O125" i="72"/>
  <c r="O124" i="72"/>
  <c r="O123" i="72"/>
  <c r="O122" i="72"/>
  <c r="O121" i="72"/>
  <c r="O120" i="72"/>
  <c r="O119" i="72"/>
  <c r="O118" i="72"/>
  <c r="O117" i="72"/>
  <c r="O116" i="72"/>
  <c r="O115" i="72"/>
  <c r="O114" i="72"/>
  <c r="O113" i="72"/>
  <c r="O112" i="72"/>
  <c r="O111" i="72"/>
  <c r="O110" i="72"/>
  <c r="O109" i="72"/>
  <c r="O108" i="72"/>
  <c r="O107" i="72"/>
  <c r="O106" i="72"/>
  <c r="O105" i="72"/>
  <c r="O104" i="72"/>
  <c r="O103" i="72"/>
  <c r="O102" i="72"/>
  <c r="O101" i="72"/>
  <c r="O100" i="72"/>
  <c r="O99" i="72"/>
  <c r="O98" i="72"/>
  <c r="O97" i="72"/>
  <c r="O96" i="72"/>
  <c r="O95" i="72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G38" i="31" l="1"/>
  <c r="E38" i="31"/>
  <c r="G325" i="43"/>
  <c r="G326" i="43"/>
  <c r="G327" i="43"/>
  <c r="G329" i="43"/>
  <c r="G330" i="43"/>
  <c r="G332" i="43"/>
  <c r="G333" i="43"/>
  <c r="G335" i="43"/>
  <c r="G336" i="43"/>
  <c r="G338" i="43"/>
  <c r="G340" i="43"/>
  <c r="G341" i="43"/>
  <c r="G342" i="43"/>
  <c r="G343" i="43"/>
  <c r="G344" i="43"/>
  <c r="G345" i="43"/>
  <c r="G347" i="43"/>
  <c r="G350" i="43"/>
  <c r="G351" i="43"/>
  <c r="G352" i="43"/>
  <c r="G353" i="43"/>
  <c r="G354" i="43"/>
  <c r="G355" i="43"/>
  <c r="G356" i="43"/>
  <c r="G357" i="43"/>
  <c r="G358" i="43"/>
  <c r="G359" i="43"/>
  <c r="G360" i="43"/>
  <c r="G361" i="43"/>
  <c r="G362" i="43"/>
  <c r="G363" i="43"/>
  <c r="G364" i="43"/>
  <c r="V340" i="43" l="1"/>
  <c r="V341" i="43"/>
  <c r="V342" i="43"/>
  <c r="V343" i="43"/>
  <c r="V344" i="43"/>
  <c r="V345" i="43"/>
  <c r="V346" i="43"/>
  <c r="V347" i="43"/>
  <c r="V348" i="43"/>
  <c r="V349" i="43"/>
  <c r="V350" i="43"/>
  <c r="E340" i="43"/>
  <c r="C340" i="43"/>
  <c r="B340" i="43"/>
  <c r="A340" i="43"/>
  <c r="E342" i="43"/>
  <c r="C342" i="43"/>
  <c r="B342" i="43"/>
  <c r="A342" i="43"/>
  <c r="V333" i="43"/>
  <c r="V334" i="43"/>
  <c r="V335" i="43"/>
  <c r="V336" i="43"/>
  <c r="V337" i="43"/>
  <c r="V338" i="43"/>
  <c r="V339" i="43"/>
  <c r="E338" i="43"/>
  <c r="C338" i="43"/>
  <c r="B338" i="43"/>
  <c r="A338" i="43"/>
  <c r="A335" i="43"/>
  <c r="B335" i="43"/>
  <c r="C335" i="43"/>
  <c r="E335" i="43"/>
  <c r="V329" i="43"/>
  <c r="V330" i="43"/>
  <c r="V331" i="43"/>
  <c r="V332" i="43"/>
  <c r="E329" i="43"/>
  <c r="C329" i="43"/>
  <c r="B329" i="43"/>
  <c r="A329" i="43"/>
  <c r="G357" i="42"/>
  <c r="G358" i="42"/>
  <c r="G359" i="42"/>
  <c r="G360" i="42"/>
  <c r="G361" i="42"/>
  <c r="G362" i="42"/>
  <c r="G363" i="42"/>
  <c r="G364" i="42"/>
  <c r="G365" i="42"/>
  <c r="G366" i="42"/>
  <c r="G356" i="42"/>
  <c r="G355" i="42"/>
  <c r="G354" i="42"/>
  <c r="G353" i="42"/>
  <c r="G342" i="42"/>
  <c r="G343" i="42"/>
  <c r="G344" i="42"/>
  <c r="G345" i="42"/>
  <c r="G346" i="42"/>
  <c r="G347" i="42"/>
  <c r="G348" i="42"/>
  <c r="G349" i="42"/>
  <c r="G350" i="42"/>
  <c r="G351" i="42"/>
  <c r="G352" i="42"/>
  <c r="A359" i="42"/>
  <c r="B359" i="42"/>
  <c r="C359" i="42"/>
  <c r="E359" i="42"/>
  <c r="A357" i="42"/>
  <c r="B357" i="42"/>
  <c r="C357" i="42"/>
  <c r="E357" i="42"/>
  <c r="A355" i="42"/>
  <c r="B355" i="42"/>
  <c r="C355" i="42"/>
  <c r="E355" i="42"/>
  <c r="A353" i="42"/>
  <c r="B353" i="42"/>
  <c r="C353" i="42"/>
  <c r="E353" i="42"/>
  <c r="A351" i="42"/>
  <c r="B351" i="42"/>
  <c r="C351" i="42"/>
  <c r="E351" i="42"/>
  <c r="A345" i="42"/>
  <c r="B345" i="42"/>
  <c r="C345" i="42"/>
  <c r="E345" i="42"/>
  <c r="A42" i="50" l="1"/>
  <c r="A41" i="50" l="1"/>
  <c r="M355" i="64" l="1"/>
  <c r="O355" i="64"/>
  <c r="M356" i="64"/>
  <c r="O356" i="64"/>
  <c r="M357" i="64"/>
  <c r="O357" i="64"/>
  <c r="P357" i="64" s="1"/>
  <c r="M358" i="64"/>
  <c r="O358" i="64"/>
  <c r="M359" i="64"/>
  <c r="O359" i="64"/>
  <c r="P359" i="64"/>
  <c r="M360" i="64"/>
  <c r="O360" i="64"/>
  <c r="M361" i="64"/>
  <c r="P361" i="64" s="1"/>
  <c r="O361" i="64"/>
  <c r="M362" i="64"/>
  <c r="O362" i="64"/>
  <c r="P362" i="64" s="1"/>
  <c r="M363" i="64"/>
  <c r="O363" i="64"/>
  <c r="M364" i="64"/>
  <c r="O364" i="64"/>
  <c r="M365" i="64"/>
  <c r="O365" i="64"/>
  <c r="M366" i="64"/>
  <c r="O366" i="64"/>
  <c r="M367" i="64"/>
  <c r="O367" i="64"/>
  <c r="P367" i="64" s="1"/>
  <c r="M368" i="64"/>
  <c r="O368" i="64"/>
  <c r="M369" i="64"/>
  <c r="P369" i="64" s="1"/>
  <c r="O369" i="64"/>
  <c r="M370" i="64"/>
  <c r="P370" i="64" s="1"/>
  <c r="O370" i="64"/>
  <c r="M371" i="64"/>
  <c r="O371" i="64"/>
  <c r="M372" i="64"/>
  <c r="O372" i="64"/>
  <c r="M373" i="64"/>
  <c r="O373" i="64"/>
  <c r="P373" i="64" s="1"/>
  <c r="M374" i="64"/>
  <c r="O374" i="64"/>
  <c r="M375" i="64"/>
  <c r="O375" i="64"/>
  <c r="P375" i="64" s="1"/>
  <c r="M376" i="64"/>
  <c r="O376" i="64"/>
  <c r="M377" i="64"/>
  <c r="O377" i="64"/>
  <c r="M378" i="64"/>
  <c r="O378" i="64"/>
  <c r="P378" i="64"/>
  <c r="M379" i="64"/>
  <c r="O379" i="64"/>
  <c r="M380" i="64"/>
  <c r="O380" i="64"/>
  <c r="M381" i="64"/>
  <c r="O381" i="64"/>
  <c r="P381" i="64" s="1"/>
  <c r="M382" i="64"/>
  <c r="O382" i="64"/>
  <c r="M383" i="64"/>
  <c r="O383" i="64"/>
  <c r="P383" i="64" s="1"/>
  <c r="M384" i="64"/>
  <c r="P384" i="64" s="1"/>
  <c r="O384" i="64"/>
  <c r="M385" i="64"/>
  <c r="O385" i="64"/>
  <c r="J355" i="64"/>
  <c r="J356" i="64"/>
  <c r="J357" i="64"/>
  <c r="J358" i="64"/>
  <c r="J359" i="64"/>
  <c r="J360" i="64"/>
  <c r="J361" i="64"/>
  <c r="J362" i="64"/>
  <c r="J363" i="64"/>
  <c r="J364" i="64"/>
  <c r="J365" i="64"/>
  <c r="J366" i="64"/>
  <c r="J367" i="64"/>
  <c r="J368" i="64"/>
  <c r="J369" i="64"/>
  <c r="J370" i="64"/>
  <c r="J371" i="64"/>
  <c r="J372" i="64"/>
  <c r="J373" i="64"/>
  <c r="J374" i="64"/>
  <c r="J375" i="64"/>
  <c r="J376" i="64"/>
  <c r="J377" i="64"/>
  <c r="J378" i="64"/>
  <c r="J379" i="64"/>
  <c r="J380" i="64"/>
  <c r="J381" i="64"/>
  <c r="J382" i="64"/>
  <c r="J383" i="64"/>
  <c r="J384" i="64"/>
  <c r="J385" i="64"/>
  <c r="J294" i="63"/>
  <c r="J295" i="63"/>
  <c r="J296" i="63"/>
  <c r="J297" i="63"/>
  <c r="J298" i="63"/>
  <c r="J299" i="63"/>
  <c r="J300" i="63"/>
  <c r="J301" i="63"/>
  <c r="J302" i="63"/>
  <c r="J303" i="63"/>
  <c r="J304" i="63"/>
  <c r="J305" i="63"/>
  <c r="J306" i="63"/>
  <c r="J307" i="63"/>
  <c r="J308" i="63"/>
  <c r="J309" i="63"/>
  <c r="J310" i="63"/>
  <c r="J311" i="63"/>
  <c r="J312" i="63"/>
  <c r="J313" i="63"/>
  <c r="J314" i="63"/>
  <c r="J315" i="63"/>
  <c r="J316" i="63"/>
  <c r="J317" i="63"/>
  <c r="J318" i="63"/>
  <c r="J319" i="63"/>
  <c r="J320" i="63"/>
  <c r="J321" i="63"/>
  <c r="J322" i="63"/>
  <c r="J323" i="63"/>
  <c r="J324" i="63"/>
  <c r="J325" i="63"/>
  <c r="J326" i="63"/>
  <c r="J327" i="63"/>
  <c r="J328" i="63"/>
  <c r="J329" i="63"/>
  <c r="J330" i="63"/>
  <c r="J331" i="63"/>
  <c r="J332" i="63"/>
  <c r="J333" i="63"/>
  <c r="J334" i="63"/>
  <c r="J335" i="63"/>
  <c r="J336" i="63"/>
  <c r="J293" i="63"/>
  <c r="J238" i="63"/>
  <c r="J239" i="63"/>
  <c r="J240" i="63"/>
  <c r="J241" i="63"/>
  <c r="J242" i="63"/>
  <c r="J243" i="63"/>
  <c r="J244" i="63"/>
  <c r="J245" i="63"/>
  <c r="J246" i="63"/>
  <c r="J247" i="63"/>
  <c r="J248" i="63"/>
  <c r="J249" i="63"/>
  <c r="J250" i="63"/>
  <c r="J251" i="63"/>
  <c r="J252" i="63"/>
  <c r="J253" i="63"/>
  <c r="J254" i="63"/>
  <c r="J255" i="63"/>
  <c r="J256" i="63"/>
  <c r="J257" i="63"/>
  <c r="J258" i="63"/>
  <c r="J259" i="63"/>
  <c r="J260" i="63"/>
  <c r="J261" i="63"/>
  <c r="J262" i="63"/>
  <c r="J263" i="63"/>
  <c r="J264" i="63"/>
  <c r="J265" i="63"/>
  <c r="J266" i="63"/>
  <c r="J267" i="63"/>
  <c r="J268" i="63"/>
  <c r="J269" i="63"/>
  <c r="J270" i="63"/>
  <c r="J271" i="63"/>
  <c r="J272" i="63"/>
  <c r="J273" i="63"/>
  <c r="J274" i="63"/>
  <c r="J275" i="63"/>
  <c r="J276" i="63"/>
  <c r="J277" i="63"/>
  <c r="J278" i="63"/>
  <c r="J279" i="63"/>
  <c r="J280" i="63"/>
  <c r="J237" i="63"/>
  <c r="J182" i="63"/>
  <c r="J183" i="63"/>
  <c r="J184" i="63"/>
  <c r="J185" i="63"/>
  <c r="J186" i="63"/>
  <c r="J187" i="63"/>
  <c r="J188" i="63"/>
  <c r="J189" i="63"/>
  <c r="J190" i="63"/>
  <c r="J191" i="63"/>
  <c r="J192" i="63"/>
  <c r="J193" i="63"/>
  <c r="J194" i="63"/>
  <c r="J195" i="63"/>
  <c r="J196" i="63"/>
  <c r="J197" i="63"/>
  <c r="J198" i="63"/>
  <c r="J199" i="63"/>
  <c r="J200" i="63"/>
  <c r="J201" i="63"/>
  <c r="J202" i="63"/>
  <c r="J203" i="63"/>
  <c r="J204" i="63"/>
  <c r="J205" i="63"/>
  <c r="J206" i="63"/>
  <c r="J207" i="63"/>
  <c r="J208" i="63"/>
  <c r="J209" i="63"/>
  <c r="J210" i="63"/>
  <c r="J211" i="63"/>
  <c r="J212" i="63"/>
  <c r="J213" i="63"/>
  <c r="J214" i="63"/>
  <c r="J215" i="63"/>
  <c r="J216" i="63"/>
  <c r="J217" i="63"/>
  <c r="J218" i="63"/>
  <c r="J219" i="63"/>
  <c r="J220" i="63"/>
  <c r="J221" i="63"/>
  <c r="J222" i="63"/>
  <c r="J223" i="63"/>
  <c r="J224" i="63"/>
  <c r="J181" i="63"/>
  <c r="J126" i="63"/>
  <c r="J127" i="63"/>
  <c r="J128" i="63"/>
  <c r="J129" i="63"/>
  <c r="J130" i="63"/>
  <c r="J131" i="63"/>
  <c r="J132" i="63"/>
  <c r="J133" i="63"/>
  <c r="J134" i="63"/>
  <c r="J135" i="63"/>
  <c r="J136" i="63"/>
  <c r="J137" i="63"/>
  <c r="J138" i="63"/>
  <c r="J139" i="63"/>
  <c r="J140" i="63"/>
  <c r="J141" i="63"/>
  <c r="J142" i="63"/>
  <c r="J143" i="63"/>
  <c r="J144" i="63"/>
  <c r="J145" i="63"/>
  <c r="J146" i="63"/>
  <c r="J147" i="63"/>
  <c r="J148" i="63"/>
  <c r="J149" i="63"/>
  <c r="J150" i="63"/>
  <c r="J151" i="63"/>
  <c r="J152" i="63"/>
  <c r="J153" i="63"/>
  <c r="J154" i="63"/>
  <c r="J155" i="63"/>
  <c r="J156" i="63"/>
  <c r="J157" i="63"/>
  <c r="J158" i="63"/>
  <c r="J159" i="63"/>
  <c r="J160" i="63"/>
  <c r="J161" i="63"/>
  <c r="J162" i="63"/>
  <c r="J163" i="63"/>
  <c r="J164" i="63"/>
  <c r="J165" i="63"/>
  <c r="J166" i="63"/>
  <c r="J167" i="63"/>
  <c r="J168" i="63"/>
  <c r="J125" i="63"/>
  <c r="J70" i="63"/>
  <c r="J71" i="63"/>
  <c r="J72" i="63"/>
  <c r="J73" i="63"/>
  <c r="J74" i="63"/>
  <c r="J75" i="63"/>
  <c r="J76" i="63"/>
  <c r="J77" i="63"/>
  <c r="J78" i="63"/>
  <c r="J79" i="63"/>
  <c r="J80" i="63"/>
  <c r="J81" i="63"/>
  <c r="J82" i="63"/>
  <c r="J83" i="63"/>
  <c r="J84" i="63"/>
  <c r="J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J98" i="63"/>
  <c r="J99" i="63"/>
  <c r="J100" i="63"/>
  <c r="J101" i="63"/>
  <c r="J102" i="63"/>
  <c r="J103" i="63"/>
  <c r="J104" i="63"/>
  <c r="J105" i="63"/>
  <c r="J106" i="63"/>
  <c r="J107" i="63"/>
  <c r="J108" i="63"/>
  <c r="J109" i="63"/>
  <c r="J110" i="63"/>
  <c r="J111" i="63"/>
  <c r="J112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P220" i="63" s="1"/>
  <c r="M221" i="63"/>
  <c r="M222" i="63"/>
  <c r="M223" i="63"/>
  <c r="M224" i="63"/>
  <c r="O364" i="63"/>
  <c r="M364" i="63"/>
  <c r="P364" i="63" s="1"/>
  <c r="O363" i="63"/>
  <c r="M363" i="63"/>
  <c r="P363" i="63" s="1"/>
  <c r="O362" i="63"/>
  <c r="M362" i="63"/>
  <c r="O361" i="63"/>
  <c r="M361" i="63"/>
  <c r="P361" i="63" s="1"/>
  <c r="O360" i="63"/>
  <c r="M360" i="63"/>
  <c r="P360" i="63" s="1"/>
  <c r="O359" i="63"/>
  <c r="M359" i="63"/>
  <c r="P359" i="63" s="1"/>
  <c r="O358" i="63"/>
  <c r="M358" i="63"/>
  <c r="P358" i="63" s="1"/>
  <c r="O357" i="63"/>
  <c r="M357" i="63"/>
  <c r="P357" i="63" s="1"/>
  <c r="O356" i="63"/>
  <c r="M356" i="63"/>
  <c r="O355" i="63"/>
  <c r="M355" i="63"/>
  <c r="O354" i="63"/>
  <c r="P354" i="63" s="1"/>
  <c r="M354" i="63"/>
  <c r="O353" i="63"/>
  <c r="M353" i="63"/>
  <c r="P353" i="63" s="1"/>
  <c r="O352" i="63"/>
  <c r="M352" i="63"/>
  <c r="O351" i="63"/>
  <c r="M351" i="63"/>
  <c r="O350" i="63"/>
  <c r="M350" i="63"/>
  <c r="A350" i="63"/>
  <c r="A351" i="63" s="1"/>
  <c r="A352" i="63" s="1"/>
  <c r="A353" i="63" s="1"/>
  <c r="A354" i="63" s="1"/>
  <c r="A355" i="63" s="1"/>
  <c r="A356" i="63" s="1"/>
  <c r="A357" i="63" s="1"/>
  <c r="A358" i="63" s="1"/>
  <c r="A359" i="63" s="1"/>
  <c r="A360" i="63" s="1"/>
  <c r="A361" i="63" s="1"/>
  <c r="A362" i="63" s="1"/>
  <c r="A363" i="63" s="1"/>
  <c r="A364" i="63" s="1"/>
  <c r="O349" i="63"/>
  <c r="P349" i="63" s="1"/>
  <c r="M349" i="63"/>
  <c r="A349" i="63"/>
  <c r="J344" i="63"/>
  <c r="A344" i="63"/>
  <c r="A343" i="63"/>
  <c r="A342" i="63"/>
  <c r="A340" i="63"/>
  <c r="A338" i="63"/>
  <c r="A337" i="63"/>
  <c r="O336" i="63"/>
  <c r="M336" i="63"/>
  <c r="O335" i="63"/>
  <c r="M335" i="63"/>
  <c r="P335" i="63" s="1"/>
  <c r="O334" i="63"/>
  <c r="M334" i="63"/>
  <c r="P334" i="63" s="1"/>
  <c r="O333" i="63"/>
  <c r="M333" i="63"/>
  <c r="P333" i="63" s="1"/>
  <c r="O332" i="63"/>
  <c r="M332" i="63"/>
  <c r="O331" i="63"/>
  <c r="M331" i="63"/>
  <c r="O330" i="63"/>
  <c r="M330" i="63"/>
  <c r="O329" i="63"/>
  <c r="M329" i="63"/>
  <c r="P329" i="63" s="1"/>
  <c r="O328" i="63"/>
  <c r="M328" i="63"/>
  <c r="O327" i="63"/>
  <c r="M327" i="63"/>
  <c r="P327" i="63" s="1"/>
  <c r="O326" i="63"/>
  <c r="M326" i="63"/>
  <c r="P326" i="63" s="1"/>
  <c r="O325" i="63"/>
  <c r="P325" i="63" s="1"/>
  <c r="M325" i="63"/>
  <c r="O324" i="63"/>
  <c r="M324" i="63"/>
  <c r="O323" i="63"/>
  <c r="M323" i="63"/>
  <c r="O322" i="63"/>
  <c r="M322" i="63"/>
  <c r="O321" i="63"/>
  <c r="M321" i="63"/>
  <c r="O320" i="63"/>
  <c r="M320" i="63"/>
  <c r="O319" i="63"/>
  <c r="M319" i="63"/>
  <c r="O318" i="63"/>
  <c r="M318" i="63"/>
  <c r="P318" i="63" s="1"/>
  <c r="P317" i="63"/>
  <c r="O317" i="63"/>
  <c r="M317" i="63"/>
  <c r="O316" i="63"/>
  <c r="M316" i="63"/>
  <c r="P316" i="63" s="1"/>
  <c r="O315" i="63"/>
  <c r="M315" i="63"/>
  <c r="P315" i="63" s="1"/>
  <c r="O314" i="63"/>
  <c r="M314" i="63"/>
  <c r="O313" i="63"/>
  <c r="M313" i="63"/>
  <c r="P313" i="63" s="1"/>
  <c r="O312" i="63"/>
  <c r="M312" i="63"/>
  <c r="P312" i="63" s="1"/>
  <c r="O311" i="63"/>
  <c r="M311" i="63"/>
  <c r="P311" i="63" s="1"/>
  <c r="O310" i="63"/>
  <c r="M310" i="63"/>
  <c r="P310" i="63" s="1"/>
  <c r="O309" i="63"/>
  <c r="M309" i="63"/>
  <c r="P309" i="63" s="1"/>
  <c r="O308" i="63"/>
  <c r="M308" i="63"/>
  <c r="O307" i="63"/>
  <c r="M307" i="63"/>
  <c r="P307" i="63" s="1"/>
  <c r="O306" i="63"/>
  <c r="P306" i="63" s="1"/>
  <c r="M306" i="63"/>
  <c r="O305" i="63"/>
  <c r="M305" i="63"/>
  <c r="O304" i="63"/>
  <c r="M304" i="63"/>
  <c r="P304" i="63" s="1"/>
  <c r="O303" i="63"/>
  <c r="M303" i="63"/>
  <c r="P303" i="63" s="1"/>
  <c r="O302" i="63"/>
  <c r="M302" i="63"/>
  <c r="O301" i="63"/>
  <c r="P301" i="63" s="1"/>
  <c r="M301" i="63"/>
  <c r="O300" i="63"/>
  <c r="M300" i="63"/>
  <c r="P300" i="63" s="1"/>
  <c r="O299" i="63"/>
  <c r="M299" i="63"/>
  <c r="P299" i="63" s="1"/>
  <c r="O298" i="63"/>
  <c r="M298" i="63"/>
  <c r="O297" i="63"/>
  <c r="M297" i="63"/>
  <c r="O296" i="63"/>
  <c r="M296" i="63"/>
  <c r="O295" i="63"/>
  <c r="M295" i="63"/>
  <c r="P295" i="63" s="1"/>
  <c r="O294" i="63"/>
  <c r="M294" i="63"/>
  <c r="A294" i="63"/>
  <c r="A295" i="63" s="1"/>
  <c r="A296" i="63" s="1"/>
  <c r="A297" i="63" s="1"/>
  <c r="A298" i="63" s="1"/>
  <c r="A299" i="63" s="1"/>
  <c r="A300" i="63" s="1"/>
  <c r="A301" i="63" s="1"/>
  <c r="A302" i="63" s="1"/>
  <c r="A303" i="63" s="1"/>
  <c r="A304" i="63" s="1"/>
  <c r="A305" i="63" s="1"/>
  <c r="A306" i="63" s="1"/>
  <c r="A307" i="63" s="1"/>
  <c r="A308" i="63" s="1"/>
  <c r="A309" i="63" s="1"/>
  <c r="A310" i="63" s="1"/>
  <c r="A311" i="63" s="1"/>
  <c r="A312" i="63" s="1"/>
  <c r="A313" i="63" s="1"/>
  <c r="A314" i="63" s="1"/>
  <c r="A315" i="63" s="1"/>
  <c r="A316" i="63" s="1"/>
  <c r="A317" i="63" s="1"/>
  <c r="A318" i="63" s="1"/>
  <c r="A319" i="63" s="1"/>
  <c r="A320" i="63" s="1"/>
  <c r="A321" i="63" s="1"/>
  <c r="A322" i="63" s="1"/>
  <c r="A323" i="63" s="1"/>
  <c r="A324" i="63" s="1"/>
  <c r="A325" i="63" s="1"/>
  <c r="A326" i="63" s="1"/>
  <c r="A327" i="63" s="1"/>
  <c r="A328" i="63" s="1"/>
  <c r="A329" i="63" s="1"/>
  <c r="A330" i="63" s="1"/>
  <c r="A331" i="63" s="1"/>
  <c r="A332" i="63" s="1"/>
  <c r="A333" i="63" s="1"/>
  <c r="A334" i="63" s="1"/>
  <c r="A335" i="63" s="1"/>
  <c r="A336" i="63" s="1"/>
  <c r="O293" i="63"/>
  <c r="M293" i="63"/>
  <c r="P293" i="63" s="1"/>
  <c r="A293" i="63"/>
  <c r="J288" i="63"/>
  <c r="A288" i="63"/>
  <c r="A287" i="63"/>
  <c r="A286" i="63"/>
  <c r="A284" i="63"/>
  <c r="A282" i="63"/>
  <c r="A281" i="63"/>
  <c r="O280" i="63"/>
  <c r="M280" i="63"/>
  <c r="P280" i="63" s="1"/>
  <c r="O279" i="63"/>
  <c r="M279" i="63"/>
  <c r="P279" i="63" s="1"/>
  <c r="O278" i="63"/>
  <c r="M278" i="63"/>
  <c r="P278" i="63" s="1"/>
  <c r="O277" i="63"/>
  <c r="M277" i="63"/>
  <c r="P277" i="63" s="1"/>
  <c r="O276" i="63"/>
  <c r="M276" i="63"/>
  <c r="P276" i="63" s="1"/>
  <c r="O275" i="63"/>
  <c r="M275" i="63"/>
  <c r="P275" i="63" s="1"/>
  <c r="O274" i="63"/>
  <c r="P274" i="63" s="1"/>
  <c r="M274" i="63"/>
  <c r="O273" i="63"/>
  <c r="M273" i="63"/>
  <c r="P273" i="63" s="1"/>
  <c r="O272" i="63"/>
  <c r="M272" i="63"/>
  <c r="P272" i="63" s="1"/>
  <c r="O271" i="63"/>
  <c r="M271" i="63"/>
  <c r="P271" i="63" s="1"/>
  <c r="O270" i="63"/>
  <c r="M270" i="63"/>
  <c r="P270" i="63" s="1"/>
  <c r="O269" i="63"/>
  <c r="M269" i="63"/>
  <c r="P269" i="63" s="1"/>
  <c r="O268" i="63"/>
  <c r="M268" i="63"/>
  <c r="P268" i="63" s="1"/>
  <c r="O267" i="63"/>
  <c r="P267" i="63" s="1"/>
  <c r="M267" i="63"/>
  <c r="O266" i="63"/>
  <c r="P266" i="63" s="1"/>
  <c r="M266" i="63"/>
  <c r="O265" i="63"/>
  <c r="M265" i="63"/>
  <c r="P265" i="63" s="1"/>
  <c r="O264" i="63"/>
  <c r="M264" i="63"/>
  <c r="P264" i="63" s="1"/>
  <c r="O263" i="63"/>
  <c r="M263" i="63"/>
  <c r="P263" i="63" s="1"/>
  <c r="O262" i="63"/>
  <c r="M262" i="63"/>
  <c r="P262" i="63" s="1"/>
  <c r="O261" i="63"/>
  <c r="M261" i="63"/>
  <c r="P261" i="63" s="1"/>
  <c r="O260" i="63"/>
  <c r="M260" i="63"/>
  <c r="P260" i="63" s="1"/>
  <c r="O259" i="63"/>
  <c r="M259" i="63"/>
  <c r="P259" i="63" s="1"/>
  <c r="O258" i="63"/>
  <c r="P258" i="63" s="1"/>
  <c r="M258" i="63"/>
  <c r="P257" i="63"/>
  <c r="O257" i="63"/>
  <c r="M257" i="63"/>
  <c r="O256" i="63"/>
  <c r="M256" i="63"/>
  <c r="P256" i="63" s="1"/>
  <c r="O255" i="63"/>
  <c r="M255" i="63"/>
  <c r="P255" i="63" s="1"/>
  <c r="O254" i="63"/>
  <c r="M254" i="63"/>
  <c r="P254" i="63" s="1"/>
  <c r="O253" i="63"/>
  <c r="M253" i="63"/>
  <c r="P253" i="63" s="1"/>
  <c r="O252" i="63"/>
  <c r="M252" i="63"/>
  <c r="P252" i="63" s="1"/>
  <c r="O251" i="63"/>
  <c r="M251" i="63"/>
  <c r="P251" i="63" s="1"/>
  <c r="O250" i="63"/>
  <c r="P250" i="63" s="1"/>
  <c r="M250" i="63"/>
  <c r="P249" i="63"/>
  <c r="O249" i="63"/>
  <c r="M249" i="63"/>
  <c r="O248" i="63"/>
  <c r="M248" i="63"/>
  <c r="P248" i="63" s="1"/>
  <c r="O247" i="63"/>
  <c r="M247" i="63"/>
  <c r="P247" i="63" s="1"/>
  <c r="O246" i="63"/>
  <c r="M246" i="63"/>
  <c r="P246" i="63" s="1"/>
  <c r="O245" i="63"/>
  <c r="M245" i="63"/>
  <c r="P245" i="63" s="1"/>
  <c r="O244" i="63"/>
  <c r="M244" i="63"/>
  <c r="P244" i="63" s="1"/>
  <c r="O243" i="63"/>
  <c r="M243" i="63"/>
  <c r="P243" i="63" s="1"/>
  <c r="O242" i="63"/>
  <c r="P242" i="63" s="1"/>
  <c r="M242" i="63"/>
  <c r="O241" i="63"/>
  <c r="M241" i="63"/>
  <c r="P241" i="63" s="1"/>
  <c r="O240" i="63"/>
  <c r="M240" i="63"/>
  <c r="P240" i="63" s="1"/>
  <c r="O239" i="63"/>
  <c r="M239" i="63"/>
  <c r="P239" i="63" s="1"/>
  <c r="O238" i="63"/>
  <c r="M238" i="63"/>
  <c r="P238" i="63" s="1"/>
  <c r="O237" i="63"/>
  <c r="M237" i="63"/>
  <c r="P237" i="63" s="1"/>
  <c r="A237" i="63"/>
  <c r="A238" i="63" s="1"/>
  <c r="A239" i="63" s="1"/>
  <c r="A240" i="63" s="1"/>
  <c r="A241" i="63" s="1"/>
  <c r="A242" i="63" s="1"/>
  <c r="A243" i="63" s="1"/>
  <c r="A244" i="63" s="1"/>
  <c r="A245" i="63" s="1"/>
  <c r="A246" i="63" s="1"/>
  <c r="A247" i="63" s="1"/>
  <c r="A248" i="63" s="1"/>
  <c r="A249" i="63" s="1"/>
  <c r="A250" i="63" s="1"/>
  <c r="A251" i="63" s="1"/>
  <c r="A252" i="63" s="1"/>
  <c r="A253" i="63" s="1"/>
  <c r="A254" i="63" s="1"/>
  <c r="A255" i="63" s="1"/>
  <c r="A256" i="63" s="1"/>
  <c r="A257" i="63" s="1"/>
  <c r="A258" i="63" s="1"/>
  <c r="A259" i="63" s="1"/>
  <c r="A260" i="63" s="1"/>
  <c r="A261" i="63" s="1"/>
  <c r="A262" i="63" s="1"/>
  <c r="A263" i="63" s="1"/>
  <c r="A264" i="63" s="1"/>
  <c r="A265" i="63" s="1"/>
  <c r="A266" i="63" s="1"/>
  <c r="A267" i="63" s="1"/>
  <c r="A268" i="63" s="1"/>
  <c r="A269" i="63" s="1"/>
  <c r="A270" i="63" s="1"/>
  <c r="A271" i="63" s="1"/>
  <c r="A272" i="63" s="1"/>
  <c r="A273" i="63" s="1"/>
  <c r="A274" i="63" s="1"/>
  <c r="A275" i="63" s="1"/>
  <c r="A276" i="63" s="1"/>
  <c r="A277" i="63" s="1"/>
  <c r="A278" i="63" s="1"/>
  <c r="A279" i="63" s="1"/>
  <c r="A280" i="63" s="1"/>
  <c r="J232" i="63"/>
  <c r="A232" i="63"/>
  <c r="A231" i="63"/>
  <c r="A230" i="63"/>
  <c r="A228" i="63"/>
  <c r="A226" i="63"/>
  <c r="A225" i="63"/>
  <c r="O224" i="63"/>
  <c r="O223" i="63"/>
  <c r="P223" i="63" s="1"/>
  <c r="O222" i="63"/>
  <c r="P222" i="63" s="1"/>
  <c r="O221" i="63"/>
  <c r="P221" i="63" s="1"/>
  <c r="O220" i="63"/>
  <c r="O219" i="63"/>
  <c r="P219" i="63" s="1"/>
  <c r="O218" i="63"/>
  <c r="P218" i="63" s="1"/>
  <c r="O217" i="63"/>
  <c r="P217" i="63" s="1"/>
  <c r="O216" i="63"/>
  <c r="P216" i="63" s="1"/>
  <c r="O215" i="63"/>
  <c r="P215" i="63" s="1"/>
  <c r="O214" i="63"/>
  <c r="P214" i="63" s="1"/>
  <c r="O213" i="63"/>
  <c r="P213" i="63" s="1"/>
  <c r="O212" i="63"/>
  <c r="O211" i="63"/>
  <c r="P211" i="63" s="1"/>
  <c r="O210" i="63"/>
  <c r="P210" i="63" s="1"/>
  <c r="O209" i="63"/>
  <c r="P209" i="63" s="1"/>
  <c r="O208" i="63"/>
  <c r="P208" i="63" s="1"/>
  <c r="O207" i="63"/>
  <c r="P207" i="63" s="1"/>
  <c r="O206" i="63"/>
  <c r="P206" i="63" s="1"/>
  <c r="O205" i="63"/>
  <c r="P205" i="63" s="1"/>
  <c r="O204" i="63"/>
  <c r="O203" i="63"/>
  <c r="P203" i="63"/>
  <c r="O202" i="63"/>
  <c r="P202" i="63" s="1"/>
  <c r="O201" i="63"/>
  <c r="P201" i="63" s="1"/>
  <c r="O200" i="63"/>
  <c r="O199" i="63"/>
  <c r="P199" i="63" s="1"/>
  <c r="O198" i="63"/>
  <c r="P198" i="63" s="1"/>
  <c r="O197" i="63"/>
  <c r="P197" i="63" s="1"/>
  <c r="O196" i="63"/>
  <c r="P196" i="63" s="1"/>
  <c r="O195" i="63"/>
  <c r="P195" i="63" s="1"/>
  <c r="O194" i="63"/>
  <c r="P194" i="63" s="1"/>
  <c r="O193" i="63"/>
  <c r="P193" i="63" s="1"/>
  <c r="O192" i="63"/>
  <c r="P192" i="63" s="1"/>
  <c r="O191" i="63"/>
  <c r="P191" i="63" s="1"/>
  <c r="O190" i="63"/>
  <c r="P190" i="63" s="1"/>
  <c r="O189" i="63"/>
  <c r="P189" i="63" s="1"/>
  <c r="O188" i="63"/>
  <c r="P188" i="63" s="1"/>
  <c r="O187" i="63"/>
  <c r="P187" i="63" s="1"/>
  <c r="O186" i="63"/>
  <c r="P186" i="63" s="1"/>
  <c r="O185" i="63"/>
  <c r="P185" i="63" s="1"/>
  <c r="O184" i="63"/>
  <c r="P184" i="63" s="1"/>
  <c r="O183" i="63"/>
  <c r="P183" i="63" s="1"/>
  <c r="O182" i="63"/>
  <c r="P182" i="63" s="1"/>
  <c r="A182" i="63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A213" i="63" s="1"/>
  <c r="A214" i="63" s="1"/>
  <c r="A215" i="63" s="1"/>
  <c r="A216" i="63" s="1"/>
  <c r="A217" i="63" s="1"/>
  <c r="A218" i="63" s="1"/>
  <c r="A219" i="63" s="1"/>
  <c r="A220" i="63" s="1"/>
  <c r="A221" i="63" s="1"/>
  <c r="A222" i="63" s="1"/>
  <c r="A223" i="63" s="1"/>
  <c r="A224" i="63" s="1"/>
  <c r="O181" i="63"/>
  <c r="P181" i="63" s="1"/>
  <c r="A181" i="63"/>
  <c r="J176" i="63"/>
  <c r="A176" i="63"/>
  <c r="A175" i="63"/>
  <c r="A174" i="63"/>
  <c r="A172" i="63"/>
  <c r="A170" i="63"/>
  <c r="A169" i="63"/>
  <c r="J13" i="63"/>
  <c r="P365" i="64" l="1"/>
  <c r="P376" i="64"/>
  <c r="P368" i="64"/>
  <c r="P379" i="64"/>
  <c r="P372" i="64"/>
  <c r="P358" i="64"/>
  <c r="P382" i="64"/>
  <c r="P371" i="64"/>
  <c r="P385" i="64"/>
  <c r="P360" i="64"/>
  <c r="P364" i="64"/>
  <c r="P374" i="64"/>
  <c r="P363" i="64"/>
  <c r="P356" i="64"/>
  <c r="P377" i="64"/>
  <c r="P380" i="64"/>
  <c r="P366" i="64"/>
  <c r="P355" i="64"/>
  <c r="P352" i="63"/>
  <c r="P356" i="63"/>
  <c r="P350" i="63"/>
  <c r="P351" i="63"/>
  <c r="P355" i="63"/>
  <c r="P362" i="63"/>
  <c r="P322" i="63"/>
  <c r="P296" i="63"/>
  <c r="P308" i="63"/>
  <c r="P319" i="63"/>
  <c r="P323" i="63"/>
  <c r="P330" i="63"/>
  <c r="P297" i="63"/>
  <c r="P331" i="63"/>
  <c r="P314" i="63"/>
  <c r="P305" i="63"/>
  <c r="P320" i="63"/>
  <c r="P324" i="63"/>
  <c r="P294" i="63"/>
  <c r="P328" i="63"/>
  <c r="P332" i="63"/>
  <c r="P298" i="63"/>
  <c r="P302" i="63"/>
  <c r="P321" i="63"/>
  <c r="P336" i="63"/>
  <c r="P224" i="63"/>
  <c r="P204" i="63"/>
  <c r="P200" i="63"/>
  <c r="P212" i="63"/>
  <c r="N6" i="51" l="1"/>
  <c r="N7" i="51"/>
  <c r="N8" i="51"/>
  <c r="N9" i="51"/>
  <c r="N10" i="51"/>
  <c r="N11" i="51"/>
  <c r="N12" i="51"/>
  <c r="N13" i="51"/>
  <c r="N14" i="51"/>
  <c r="N15" i="51"/>
  <c r="AD2" i="55" l="1"/>
  <c r="M10" i="56" l="1"/>
  <c r="M2" i="56"/>
  <c r="H379" i="46" l="1"/>
  <c r="P147" i="46" l="1"/>
  <c r="G63" i="10" l="1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G29" i="10"/>
  <c r="G30" i="10"/>
  <c r="G31" i="10"/>
  <c r="G32" i="10"/>
  <c r="G33" i="10"/>
  <c r="G34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B56" i="11" l="1"/>
  <c r="R49" i="45" l="1"/>
  <c r="R50" i="45"/>
  <c r="R51" i="45"/>
  <c r="R52" i="45"/>
  <c r="R53" i="45"/>
  <c r="R54" i="45"/>
  <c r="R55" i="45"/>
  <c r="R56" i="45"/>
  <c r="R57" i="45"/>
  <c r="R58" i="45"/>
  <c r="R59" i="45"/>
  <c r="R60" i="45"/>
  <c r="A49" i="45"/>
  <c r="B49" i="45"/>
  <c r="A50" i="45"/>
  <c r="B50" i="45"/>
  <c r="A51" i="45"/>
  <c r="B51" i="45"/>
  <c r="A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E43" i="45"/>
  <c r="R33" i="45"/>
  <c r="R34" i="45"/>
  <c r="R35" i="45"/>
  <c r="R36" i="45"/>
  <c r="R37" i="45"/>
  <c r="R38" i="45"/>
  <c r="R39" i="45"/>
  <c r="R40" i="45"/>
  <c r="R41" i="45"/>
  <c r="R42" i="45"/>
  <c r="R32" i="45"/>
  <c r="A33" i="45"/>
  <c r="B33" i="45"/>
  <c r="A34" i="45"/>
  <c r="B34" i="45"/>
  <c r="A35" i="45"/>
  <c r="B35" i="45"/>
  <c r="A36" i="45"/>
  <c r="B36" i="45"/>
  <c r="A37" i="45"/>
  <c r="B37" i="45"/>
  <c r="A38" i="45"/>
  <c r="B38" i="45"/>
  <c r="A39" i="45"/>
  <c r="B39" i="45"/>
  <c r="A40" i="45"/>
  <c r="B40" i="45"/>
  <c r="A41" i="45"/>
  <c r="B41" i="45"/>
  <c r="A42" i="45"/>
  <c r="B42" i="45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A9" i="45"/>
  <c r="B9" i="45"/>
  <c r="A10" i="45"/>
  <c r="B10" i="45"/>
  <c r="A11" i="45"/>
  <c r="B11" i="45"/>
  <c r="A12" i="45"/>
  <c r="B12" i="45"/>
  <c r="A13" i="45"/>
  <c r="B13" i="45"/>
  <c r="A14" i="45"/>
  <c r="B14" i="45"/>
  <c r="A15" i="45"/>
  <c r="B15" i="45"/>
  <c r="A49" i="44"/>
  <c r="B49" i="44"/>
  <c r="A50" i="44"/>
  <c r="B50" i="44"/>
  <c r="A51" i="44"/>
  <c r="A52" i="44"/>
  <c r="B52" i="44"/>
  <c r="A53" i="44"/>
  <c r="B53" i="44"/>
  <c r="A54" i="44"/>
  <c r="B54" i="44"/>
  <c r="A55" i="44"/>
  <c r="B55" i="44"/>
  <c r="A56" i="44"/>
  <c r="B56" i="44"/>
  <c r="A57" i="44"/>
  <c r="B57" i="44"/>
  <c r="A58" i="44"/>
  <c r="B58" i="44"/>
  <c r="A59" i="44"/>
  <c r="B59" i="44"/>
  <c r="A60" i="44"/>
  <c r="B60" i="44"/>
  <c r="A37" i="44"/>
  <c r="B37" i="44"/>
  <c r="A38" i="44"/>
  <c r="B38" i="44"/>
  <c r="A39" i="44"/>
  <c r="B39" i="44"/>
  <c r="A40" i="44"/>
  <c r="B40" i="44"/>
  <c r="A41" i="44"/>
  <c r="B41" i="44"/>
  <c r="A42" i="44"/>
  <c r="B42" i="44"/>
  <c r="A33" i="44"/>
  <c r="B33" i="44"/>
  <c r="A34" i="44"/>
  <c r="B34" i="44"/>
  <c r="A35" i="44"/>
  <c r="B35" i="44"/>
  <c r="A36" i="44"/>
  <c r="B36" i="44"/>
  <c r="B32" i="45"/>
  <c r="A32" i="45"/>
  <c r="A11" i="44"/>
  <c r="B11" i="44"/>
  <c r="A12" i="44"/>
  <c r="B12" i="44"/>
  <c r="A13" i="44"/>
  <c r="B13" i="44"/>
  <c r="A14" i="44"/>
  <c r="B14" i="44"/>
  <c r="A15" i="44"/>
  <c r="B15" i="44"/>
  <c r="A16" i="44"/>
  <c r="B16" i="44"/>
  <c r="A17" i="44"/>
  <c r="B17" i="44"/>
  <c r="U299" i="43"/>
  <c r="V299" i="43"/>
  <c r="U300" i="43"/>
  <c r="V300" i="43"/>
  <c r="U301" i="43"/>
  <c r="V301" i="43"/>
  <c r="U302" i="43"/>
  <c r="V302" i="43"/>
  <c r="U303" i="43"/>
  <c r="V303" i="43"/>
  <c r="U304" i="43"/>
  <c r="V304" i="43"/>
  <c r="U305" i="43"/>
  <c r="V305" i="43"/>
  <c r="U306" i="43"/>
  <c r="V306" i="43"/>
  <c r="U307" i="43"/>
  <c r="V307" i="43"/>
  <c r="U308" i="43"/>
  <c r="V308" i="43"/>
  <c r="U309" i="43"/>
  <c r="V309" i="43"/>
  <c r="U310" i="43"/>
  <c r="V310" i="43"/>
  <c r="U311" i="43"/>
  <c r="V311" i="43"/>
  <c r="U312" i="43"/>
  <c r="V312" i="43"/>
  <c r="I704" i="43"/>
  <c r="J704" i="43"/>
  <c r="K704" i="43"/>
  <c r="L704" i="43"/>
  <c r="M704" i="43"/>
  <c r="N704" i="43"/>
  <c r="O704" i="43"/>
  <c r="P704" i="43"/>
  <c r="Q704" i="43"/>
  <c r="R704" i="43"/>
  <c r="S704" i="43"/>
  <c r="T704" i="43"/>
  <c r="H704" i="43"/>
  <c r="U694" i="43"/>
  <c r="U695" i="43"/>
  <c r="U696" i="43"/>
  <c r="U697" i="43"/>
  <c r="U698" i="43"/>
  <c r="V694" i="43"/>
  <c r="V695" i="43"/>
  <c r="V696" i="43"/>
  <c r="V697" i="43"/>
  <c r="V698" i="43"/>
  <c r="A694" i="43"/>
  <c r="B694" i="43"/>
  <c r="C694" i="43"/>
  <c r="E694" i="43"/>
  <c r="A695" i="43"/>
  <c r="B695" i="43"/>
  <c r="C695" i="43"/>
  <c r="E695" i="43"/>
  <c r="A696" i="43"/>
  <c r="B696" i="43"/>
  <c r="C696" i="43"/>
  <c r="E696" i="43"/>
  <c r="A697" i="43"/>
  <c r="B697" i="43"/>
  <c r="C697" i="43"/>
  <c r="E697" i="43"/>
  <c r="A698" i="43"/>
  <c r="B698" i="43"/>
  <c r="C698" i="43"/>
  <c r="E698" i="43"/>
  <c r="G695" i="43"/>
  <c r="G698" i="43"/>
  <c r="G699" i="43"/>
  <c r="G701" i="43"/>
  <c r="G702" i="43"/>
  <c r="I688" i="43"/>
  <c r="J688" i="43"/>
  <c r="K688" i="43"/>
  <c r="L688" i="43"/>
  <c r="M688" i="43"/>
  <c r="N688" i="43"/>
  <c r="O688" i="43"/>
  <c r="P688" i="43"/>
  <c r="Q688" i="43"/>
  <c r="R688" i="43"/>
  <c r="S688" i="43"/>
  <c r="T688" i="43"/>
  <c r="H688" i="43"/>
  <c r="I681" i="43"/>
  <c r="J681" i="43"/>
  <c r="K681" i="43"/>
  <c r="L681" i="43"/>
  <c r="M681" i="43"/>
  <c r="N681" i="43"/>
  <c r="O681" i="43"/>
  <c r="P681" i="43"/>
  <c r="Q681" i="43"/>
  <c r="R681" i="43"/>
  <c r="S681" i="43"/>
  <c r="T681" i="43"/>
  <c r="H681" i="43"/>
  <c r="V671" i="43"/>
  <c r="V672" i="43"/>
  <c r="V673" i="43"/>
  <c r="V674" i="43"/>
  <c r="V675" i="43"/>
  <c r="U671" i="43"/>
  <c r="U672" i="43"/>
  <c r="U673" i="43"/>
  <c r="U674" i="43"/>
  <c r="U675" i="43"/>
  <c r="G672" i="43"/>
  <c r="G675" i="43"/>
  <c r="A671" i="43"/>
  <c r="B671" i="43"/>
  <c r="C671" i="43"/>
  <c r="E671" i="43"/>
  <c r="A672" i="43"/>
  <c r="B672" i="43"/>
  <c r="C672" i="43"/>
  <c r="E672" i="43"/>
  <c r="A673" i="43"/>
  <c r="B673" i="43"/>
  <c r="C673" i="43"/>
  <c r="E673" i="43"/>
  <c r="A674" i="43"/>
  <c r="B674" i="43"/>
  <c r="C674" i="43"/>
  <c r="E674" i="43"/>
  <c r="A675" i="43"/>
  <c r="B675" i="43"/>
  <c r="C675" i="43"/>
  <c r="E675" i="43"/>
  <c r="I665" i="43"/>
  <c r="J665" i="43"/>
  <c r="K665" i="43"/>
  <c r="L665" i="43"/>
  <c r="M665" i="43"/>
  <c r="N665" i="43"/>
  <c r="O665" i="43"/>
  <c r="P665" i="43"/>
  <c r="Q665" i="43"/>
  <c r="R665" i="43"/>
  <c r="S665" i="43"/>
  <c r="T665" i="43"/>
  <c r="H665" i="43"/>
  <c r="I658" i="43"/>
  <c r="J658" i="43"/>
  <c r="K658" i="43"/>
  <c r="L658" i="43"/>
  <c r="M658" i="43"/>
  <c r="N658" i="43"/>
  <c r="O658" i="43"/>
  <c r="P658" i="43"/>
  <c r="Q658" i="43"/>
  <c r="R658" i="43"/>
  <c r="S658" i="43"/>
  <c r="T658" i="43"/>
  <c r="H658" i="43"/>
  <c r="I625" i="43"/>
  <c r="J625" i="43"/>
  <c r="K625" i="43"/>
  <c r="L625" i="43"/>
  <c r="M625" i="43"/>
  <c r="N625" i="43"/>
  <c r="O625" i="43"/>
  <c r="P625" i="43"/>
  <c r="Q625" i="43"/>
  <c r="R625" i="43"/>
  <c r="S625" i="43"/>
  <c r="T625" i="43"/>
  <c r="H625" i="43"/>
  <c r="E140" i="42"/>
  <c r="E234" i="42"/>
  <c r="E596" i="42"/>
  <c r="E471" i="42"/>
  <c r="U571" i="43"/>
  <c r="U572" i="43"/>
  <c r="U573" i="43"/>
  <c r="G571" i="43"/>
  <c r="G572" i="43"/>
  <c r="G573" i="43"/>
  <c r="G574" i="43"/>
  <c r="G575" i="43"/>
  <c r="G576" i="43"/>
  <c r="G577" i="43"/>
  <c r="G578" i="43"/>
  <c r="G579" i="43"/>
  <c r="G580" i="43"/>
  <c r="G581" i="43"/>
  <c r="A571" i="43"/>
  <c r="B571" i="43"/>
  <c r="C571" i="43"/>
  <c r="E571" i="43"/>
  <c r="A572" i="43"/>
  <c r="B572" i="43"/>
  <c r="C572" i="43"/>
  <c r="E572" i="43"/>
  <c r="A573" i="43"/>
  <c r="B573" i="43"/>
  <c r="C573" i="43"/>
  <c r="E573" i="43"/>
  <c r="I457" i="43"/>
  <c r="J457" i="43"/>
  <c r="K457" i="43"/>
  <c r="L457" i="43"/>
  <c r="M457" i="43"/>
  <c r="N457" i="43"/>
  <c r="O457" i="43"/>
  <c r="P457" i="43"/>
  <c r="Q457" i="43"/>
  <c r="R457" i="43"/>
  <c r="S457" i="43"/>
  <c r="T457" i="43"/>
  <c r="H457" i="43"/>
  <c r="V446" i="43"/>
  <c r="V447" i="43"/>
  <c r="V448" i="43"/>
  <c r="G365" i="43"/>
  <c r="G366" i="43"/>
  <c r="G367" i="43"/>
  <c r="G368" i="43"/>
  <c r="G369" i="43"/>
  <c r="G370" i="43"/>
  <c r="G371" i="43"/>
  <c r="G372" i="43"/>
  <c r="G373" i="43"/>
  <c r="G374" i="43"/>
  <c r="G375" i="43"/>
  <c r="G376" i="43"/>
  <c r="G377" i="43"/>
  <c r="G378" i="43"/>
  <c r="G379" i="43"/>
  <c r="G380" i="43"/>
  <c r="G381" i="43"/>
  <c r="G382" i="43"/>
  <c r="G383" i="43"/>
  <c r="G384" i="43"/>
  <c r="G385" i="43"/>
  <c r="G386" i="43"/>
  <c r="G387" i="43"/>
  <c r="G388" i="43"/>
  <c r="G389" i="43"/>
  <c r="G390" i="43"/>
  <c r="G391" i="43"/>
  <c r="G392" i="43"/>
  <c r="G393" i="43"/>
  <c r="G394" i="43"/>
  <c r="G395" i="43"/>
  <c r="G396" i="43"/>
  <c r="G397" i="43"/>
  <c r="G398" i="43"/>
  <c r="G399" i="43"/>
  <c r="G400" i="43"/>
  <c r="G401" i="43"/>
  <c r="G402" i="43"/>
  <c r="G403" i="43"/>
  <c r="G404" i="43"/>
  <c r="G405" i="43"/>
  <c r="G406" i="43"/>
  <c r="G407" i="43"/>
  <c r="G408" i="43"/>
  <c r="G409" i="43"/>
  <c r="G411" i="43"/>
  <c r="G412" i="43"/>
  <c r="G413" i="43"/>
  <c r="G415" i="43"/>
  <c r="G416" i="43"/>
  <c r="G417" i="43"/>
  <c r="G419" i="43"/>
  <c r="G421" i="43"/>
  <c r="G422" i="43"/>
  <c r="G423" i="43"/>
  <c r="G424" i="43"/>
  <c r="G425" i="43"/>
  <c r="G426" i="43"/>
  <c r="G427" i="43"/>
  <c r="G428" i="43"/>
  <c r="G429" i="43"/>
  <c r="G430" i="43"/>
  <c r="G431" i="43"/>
  <c r="G432" i="43"/>
  <c r="G433" i="43"/>
  <c r="G434" i="43"/>
  <c r="G435" i="43"/>
  <c r="G436" i="43"/>
  <c r="G437" i="43"/>
  <c r="G438" i="43"/>
  <c r="G439" i="43"/>
  <c r="G440" i="43"/>
  <c r="G441" i="43"/>
  <c r="G442" i="43"/>
  <c r="G443" i="43"/>
  <c r="G444" i="43"/>
  <c r="G445" i="43"/>
  <c r="G446" i="43"/>
  <c r="G447" i="43"/>
  <c r="G448" i="43"/>
  <c r="G449" i="43"/>
  <c r="G450" i="43"/>
  <c r="G451" i="43"/>
  <c r="G452" i="43"/>
  <c r="G453" i="43"/>
  <c r="G454" i="43"/>
  <c r="G455" i="43"/>
  <c r="G456" i="43"/>
  <c r="A446" i="43"/>
  <c r="B446" i="43"/>
  <c r="C446" i="43"/>
  <c r="E446" i="43"/>
  <c r="A447" i="43"/>
  <c r="B447" i="43"/>
  <c r="C447" i="43"/>
  <c r="E447" i="43"/>
  <c r="A448" i="43"/>
  <c r="B448" i="43"/>
  <c r="C448" i="43"/>
  <c r="E448" i="43"/>
  <c r="A313" i="43"/>
  <c r="B313" i="43"/>
  <c r="C313" i="43"/>
  <c r="E313" i="43"/>
  <c r="A314" i="43"/>
  <c r="B314" i="43"/>
  <c r="C314" i="43"/>
  <c r="E314" i="43"/>
  <c r="A315" i="43"/>
  <c r="B315" i="43"/>
  <c r="C315" i="43"/>
  <c r="E315" i="43"/>
  <c r="A316" i="43"/>
  <c r="B316" i="43"/>
  <c r="C316" i="43"/>
  <c r="E316" i="43"/>
  <c r="A317" i="43"/>
  <c r="B317" i="43"/>
  <c r="C317" i="43"/>
  <c r="E317" i="43"/>
  <c r="A318" i="43"/>
  <c r="B318" i="43"/>
  <c r="C318" i="43"/>
  <c r="E318" i="43"/>
  <c r="A319" i="43"/>
  <c r="B319" i="43"/>
  <c r="C319" i="43"/>
  <c r="E319" i="43"/>
  <c r="A320" i="43"/>
  <c r="B320" i="43"/>
  <c r="C320" i="43"/>
  <c r="E320" i="43"/>
  <c r="A299" i="43"/>
  <c r="B299" i="43"/>
  <c r="C299" i="43"/>
  <c r="E299" i="43"/>
  <c r="A300" i="43"/>
  <c r="B300" i="43"/>
  <c r="C300" i="43"/>
  <c r="E300" i="43"/>
  <c r="A301" i="43"/>
  <c r="B301" i="43"/>
  <c r="C301" i="43"/>
  <c r="E301" i="43"/>
  <c r="A302" i="43"/>
  <c r="B302" i="43"/>
  <c r="C302" i="43"/>
  <c r="E302" i="43"/>
  <c r="A303" i="43"/>
  <c r="B303" i="43"/>
  <c r="C303" i="43"/>
  <c r="E303" i="43"/>
  <c r="A304" i="43"/>
  <c r="B304" i="43"/>
  <c r="C304" i="43"/>
  <c r="E304" i="43"/>
  <c r="A305" i="43"/>
  <c r="B305" i="43"/>
  <c r="C305" i="43"/>
  <c r="E305" i="43"/>
  <c r="A306" i="43"/>
  <c r="B306" i="43"/>
  <c r="C306" i="43"/>
  <c r="E306" i="43"/>
  <c r="A307" i="43"/>
  <c r="B307" i="43"/>
  <c r="C307" i="43"/>
  <c r="E307" i="43"/>
  <c r="A308" i="43"/>
  <c r="B308" i="43"/>
  <c r="C308" i="43"/>
  <c r="E308" i="43"/>
  <c r="A309" i="43"/>
  <c r="B309" i="43"/>
  <c r="C309" i="43"/>
  <c r="E309" i="43"/>
  <c r="A310" i="43"/>
  <c r="B310" i="43"/>
  <c r="C310" i="43"/>
  <c r="E310" i="43"/>
  <c r="A311" i="43"/>
  <c r="B311" i="43"/>
  <c r="C311" i="43"/>
  <c r="E311" i="43"/>
  <c r="A312" i="43"/>
  <c r="B312" i="43"/>
  <c r="C312" i="43"/>
  <c r="E312" i="43"/>
  <c r="G300" i="43"/>
  <c r="G303" i="43"/>
  <c r="G304" i="43"/>
  <c r="G308" i="43"/>
  <c r="G312" i="43"/>
  <c r="G314" i="43"/>
  <c r="G316" i="43"/>
  <c r="G318" i="43"/>
  <c r="G320" i="43"/>
  <c r="G321" i="43"/>
  <c r="G322" i="43"/>
  <c r="G323" i="43"/>
  <c r="G324" i="43"/>
  <c r="G457" i="43"/>
  <c r="G458" i="43"/>
  <c r="G459" i="43"/>
  <c r="G460" i="43"/>
  <c r="G461" i="43"/>
  <c r="G462" i="43"/>
  <c r="G463" i="43"/>
  <c r="G464" i="43"/>
  <c r="G465" i="43"/>
  <c r="G466" i="43"/>
  <c r="G467" i="43"/>
  <c r="G468" i="43"/>
  <c r="G469" i="43"/>
  <c r="G470" i="43"/>
  <c r="G471" i="43"/>
  <c r="G472" i="43"/>
  <c r="G473" i="43"/>
  <c r="G474" i="43"/>
  <c r="G475" i="43"/>
  <c r="G476" i="43"/>
  <c r="G477" i="43"/>
  <c r="G478" i="43"/>
  <c r="G479" i="43"/>
  <c r="G480" i="43"/>
  <c r="G481" i="43"/>
  <c r="G482" i="43"/>
  <c r="G483" i="43"/>
  <c r="G484" i="43"/>
  <c r="G485" i="43"/>
  <c r="G486" i="43"/>
  <c r="G487" i="43"/>
  <c r="G488" i="43"/>
  <c r="G489" i="43"/>
  <c r="G490" i="43"/>
  <c r="G491" i="43"/>
  <c r="G492" i="43"/>
  <c r="G493" i="43"/>
  <c r="G494" i="43"/>
  <c r="G495" i="43"/>
  <c r="G496" i="43"/>
  <c r="G497" i="43"/>
  <c r="G498" i="43"/>
  <c r="G499" i="43"/>
  <c r="G500" i="43"/>
  <c r="G501" i="43"/>
  <c r="G502" i="43"/>
  <c r="G503" i="43"/>
  <c r="G504" i="43"/>
  <c r="G505" i="43"/>
  <c r="G506" i="43"/>
  <c r="G507" i="43"/>
  <c r="G508" i="43"/>
  <c r="G509" i="43"/>
  <c r="G510" i="43"/>
  <c r="G511" i="43"/>
  <c r="G512" i="43"/>
  <c r="G513" i="43"/>
  <c r="G514" i="43"/>
  <c r="G515" i="43"/>
  <c r="G516" i="43"/>
  <c r="G517" i="43"/>
  <c r="G518" i="43"/>
  <c r="G519" i="43"/>
  <c r="G520" i="43"/>
  <c r="G521" i="43"/>
  <c r="G522" i="43"/>
  <c r="G523" i="43"/>
  <c r="G524" i="43"/>
  <c r="G525" i="43"/>
  <c r="G526" i="43"/>
  <c r="G527" i="43"/>
  <c r="G528" i="43"/>
  <c r="G529" i="43"/>
  <c r="G530" i="43"/>
  <c r="G531" i="43"/>
  <c r="G532" i="43"/>
  <c r="G533" i="43"/>
  <c r="G534" i="43"/>
  <c r="G535" i="43"/>
  <c r="G536" i="43"/>
  <c r="G537" i="43"/>
  <c r="G538" i="43"/>
  <c r="G539" i="43"/>
  <c r="G540" i="43"/>
  <c r="G541" i="43"/>
  <c r="G542" i="43"/>
  <c r="G543" i="43"/>
  <c r="G544" i="43"/>
  <c r="G545" i="43"/>
  <c r="G546" i="43"/>
  <c r="G547" i="43"/>
  <c r="G548" i="43"/>
  <c r="G549" i="43"/>
  <c r="G550" i="43"/>
  <c r="G551" i="43"/>
  <c r="G552" i="43"/>
  <c r="G553" i="43"/>
  <c r="G554" i="43"/>
  <c r="G555" i="43"/>
  <c r="G556" i="43"/>
  <c r="G557" i="43"/>
  <c r="G558" i="43"/>
  <c r="G559" i="43"/>
  <c r="G560" i="43"/>
  <c r="G561" i="43"/>
  <c r="G562" i="43"/>
  <c r="G563" i="43"/>
  <c r="G564" i="43"/>
  <c r="G565" i="43"/>
  <c r="G566" i="43"/>
  <c r="G567" i="43"/>
  <c r="G568" i="43"/>
  <c r="G569" i="43"/>
  <c r="G570" i="43"/>
  <c r="G582" i="43"/>
  <c r="G583" i="43"/>
  <c r="G584" i="43"/>
  <c r="G585" i="43"/>
  <c r="G586" i="43"/>
  <c r="G587" i="43"/>
  <c r="G588" i="43"/>
  <c r="G589" i="43"/>
  <c r="G590" i="43"/>
  <c r="G591" i="43"/>
  <c r="G592" i="43"/>
  <c r="G593" i="43"/>
  <c r="G594" i="43"/>
  <c r="G595" i="43"/>
  <c r="G596" i="43"/>
  <c r="G597" i="43"/>
  <c r="G598" i="43"/>
  <c r="G599" i="43"/>
  <c r="G600" i="43"/>
  <c r="G601" i="43"/>
  <c r="G602" i="43"/>
  <c r="G603" i="43"/>
  <c r="G604" i="43"/>
  <c r="G605" i="43"/>
  <c r="G606" i="43"/>
  <c r="G607" i="43"/>
  <c r="G608" i="43"/>
  <c r="G609" i="43"/>
  <c r="G610" i="43"/>
  <c r="G611" i="43"/>
  <c r="G612" i="43"/>
  <c r="G613" i="43"/>
  <c r="G614" i="43"/>
  <c r="G615" i="43"/>
  <c r="G616" i="43"/>
  <c r="G617" i="43"/>
  <c r="G618" i="43"/>
  <c r="G619" i="43"/>
  <c r="G620" i="43"/>
  <c r="G621" i="43"/>
  <c r="G622" i="43"/>
  <c r="G623" i="43"/>
  <c r="G624" i="43"/>
  <c r="G625" i="43"/>
  <c r="G626" i="43"/>
  <c r="G627" i="43"/>
  <c r="G629" i="43"/>
  <c r="G630" i="43"/>
  <c r="G632" i="43"/>
  <c r="G635" i="43"/>
  <c r="G636" i="43"/>
  <c r="G637" i="43"/>
  <c r="G639" i="43"/>
  <c r="G640" i="43"/>
  <c r="G641" i="43"/>
  <c r="G642" i="43"/>
  <c r="G643" i="43"/>
  <c r="G644" i="43"/>
  <c r="G645" i="43"/>
  <c r="G646" i="43"/>
  <c r="G647" i="43"/>
  <c r="G648" i="43"/>
  <c r="G649" i="43"/>
  <c r="G650" i="43"/>
  <c r="G651" i="43"/>
  <c r="G652" i="43"/>
  <c r="G653" i="43"/>
  <c r="G654" i="43"/>
  <c r="G655" i="43"/>
  <c r="G656" i="43"/>
  <c r="G657" i="43"/>
  <c r="G658" i="43"/>
  <c r="G659" i="43"/>
  <c r="G660" i="43"/>
  <c r="G661" i="43"/>
  <c r="G662" i="43"/>
  <c r="G663" i="43"/>
  <c r="G664" i="43"/>
  <c r="G665" i="43"/>
  <c r="G666" i="43"/>
  <c r="G667" i="43"/>
  <c r="G669" i="43"/>
  <c r="G670" i="43"/>
  <c r="G676" i="43"/>
  <c r="G678" i="43"/>
  <c r="G679" i="43"/>
  <c r="G680" i="43"/>
  <c r="G681" i="43"/>
  <c r="G682" i="43"/>
  <c r="G683" i="43"/>
  <c r="G684" i="43"/>
  <c r="G685" i="43"/>
  <c r="G686" i="43"/>
  <c r="G687" i="43"/>
  <c r="G688" i="43"/>
  <c r="G689" i="43"/>
  <c r="G690" i="43"/>
  <c r="G692" i="43"/>
  <c r="G693" i="43"/>
  <c r="G703" i="43"/>
  <c r="G704" i="43"/>
  <c r="G273" i="43"/>
  <c r="G274" i="43"/>
  <c r="G275" i="43"/>
  <c r="G276" i="43"/>
  <c r="G277" i="43"/>
  <c r="G19" i="43"/>
  <c r="G21" i="43"/>
  <c r="G22" i="43"/>
  <c r="G24" i="43"/>
  <c r="G27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H295" i="43"/>
  <c r="U273" i="43"/>
  <c r="U274" i="43"/>
  <c r="U275" i="43"/>
  <c r="U276" i="43"/>
  <c r="U277" i="43"/>
  <c r="U270" i="43"/>
  <c r="U271" i="43"/>
  <c r="U272" i="43"/>
  <c r="A273" i="43"/>
  <c r="B273" i="43"/>
  <c r="C273" i="43"/>
  <c r="E273" i="43"/>
  <c r="A274" i="43"/>
  <c r="B274" i="43"/>
  <c r="C274" i="43"/>
  <c r="E274" i="43"/>
  <c r="A275" i="43"/>
  <c r="B275" i="43"/>
  <c r="C275" i="43"/>
  <c r="E275" i="43"/>
  <c r="A276" i="43"/>
  <c r="B276" i="43"/>
  <c r="C276" i="43"/>
  <c r="E276" i="43"/>
  <c r="A277" i="43"/>
  <c r="B277" i="43"/>
  <c r="C277" i="43"/>
  <c r="E27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H237" i="43"/>
  <c r="A19" i="43"/>
  <c r="B19" i="43"/>
  <c r="C19" i="43"/>
  <c r="E19" i="43"/>
  <c r="A20" i="43"/>
  <c r="B20" i="43"/>
  <c r="C20" i="43"/>
  <c r="E20" i="43"/>
  <c r="A21" i="43"/>
  <c r="B21" i="43"/>
  <c r="C21" i="43"/>
  <c r="E21" i="43"/>
  <c r="A22" i="43"/>
  <c r="B22" i="43"/>
  <c r="C22" i="43"/>
  <c r="E22" i="43"/>
  <c r="A23" i="43"/>
  <c r="B23" i="43"/>
  <c r="C23" i="43"/>
  <c r="E23" i="43"/>
  <c r="A24" i="43"/>
  <c r="B24" i="43"/>
  <c r="C24" i="43"/>
  <c r="E24" i="43"/>
  <c r="A25" i="43"/>
  <c r="B25" i="43"/>
  <c r="C25" i="43"/>
  <c r="E25" i="43"/>
  <c r="A26" i="43"/>
  <c r="B26" i="43"/>
  <c r="C26" i="43"/>
  <c r="E26" i="43"/>
  <c r="A27" i="43"/>
  <c r="B27" i="43"/>
  <c r="C27" i="43"/>
  <c r="E27" i="43"/>
  <c r="V19" i="43"/>
  <c r="V20" i="43"/>
  <c r="V21" i="43"/>
  <c r="V22" i="43"/>
  <c r="V23" i="43"/>
  <c r="V24" i="43"/>
  <c r="V25" i="43"/>
  <c r="V26" i="43"/>
  <c r="V27" i="43"/>
  <c r="V28" i="43"/>
  <c r="G572" i="42"/>
  <c r="G573" i="42"/>
  <c r="G574" i="42"/>
  <c r="G575" i="42"/>
  <c r="G576" i="42"/>
  <c r="G577" i="42"/>
  <c r="G578" i="42"/>
  <c r="G579" i="42"/>
  <c r="G580" i="42"/>
  <c r="G581" i="42"/>
  <c r="G582" i="42"/>
  <c r="G583" i="42"/>
  <c r="G584" i="42"/>
  <c r="G585" i="42"/>
  <c r="G586" i="42"/>
  <c r="G587" i="42"/>
  <c r="G588" i="42"/>
  <c r="G589" i="42"/>
  <c r="G590" i="42"/>
  <c r="G591" i="42"/>
  <c r="G592" i="42"/>
  <c r="G593" i="42"/>
  <c r="G594" i="42"/>
  <c r="G595" i="42"/>
  <c r="G596" i="42"/>
  <c r="G597" i="42"/>
  <c r="G598" i="42"/>
  <c r="U582" i="42"/>
  <c r="U583" i="42"/>
  <c r="U584" i="42"/>
  <c r="A582" i="42"/>
  <c r="B582" i="42"/>
  <c r="C582" i="42"/>
  <c r="E582" i="42"/>
  <c r="A583" i="42"/>
  <c r="B583" i="42"/>
  <c r="C583" i="42"/>
  <c r="E583" i="42"/>
  <c r="A584" i="42"/>
  <c r="B584" i="42"/>
  <c r="C584" i="42"/>
  <c r="E584" i="42"/>
  <c r="I582" i="43"/>
  <c r="J582" i="43"/>
  <c r="K582" i="43"/>
  <c r="L582" i="43"/>
  <c r="M582" i="43"/>
  <c r="N582" i="43"/>
  <c r="O582" i="43"/>
  <c r="P582" i="43"/>
  <c r="Q582" i="43"/>
  <c r="R582" i="43"/>
  <c r="S582" i="43"/>
  <c r="T582" i="43"/>
  <c r="R43" i="45" l="1"/>
  <c r="H582" i="43" l="1"/>
  <c r="G705" i="42" l="1"/>
  <c r="G706" i="42"/>
  <c r="G707" i="42"/>
  <c r="G708" i="42"/>
  <c r="G709" i="42"/>
  <c r="G710" i="42"/>
  <c r="G711" i="42"/>
  <c r="G712" i="42"/>
  <c r="G713" i="42"/>
  <c r="G714" i="42"/>
  <c r="G715" i="42"/>
  <c r="G716" i="42"/>
  <c r="G717" i="42"/>
  <c r="G718" i="42"/>
  <c r="G719" i="42"/>
  <c r="G720" i="42"/>
  <c r="G721" i="42"/>
  <c r="A710" i="42"/>
  <c r="B710" i="42"/>
  <c r="C710" i="42"/>
  <c r="E710" i="42"/>
  <c r="A711" i="42"/>
  <c r="B711" i="42"/>
  <c r="C711" i="42"/>
  <c r="E711" i="42"/>
  <c r="A712" i="42"/>
  <c r="B712" i="42"/>
  <c r="C712" i="42"/>
  <c r="E712" i="42"/>
  <c r="A713" i="42"/>
  <c r="B713" i="42"/>
  <c r="C713" i="42"/>
  <c r="E713" i="42"/>
  <c r="A714" i="42"/>
  <c r="B714" i="42"/>
  <c r="C714" i="42"/>
  <c r="E714" i="42"/>
  <c r="U687" i="42"/>
  <c r="U688" i="42"/>
  <c r="U689" i="42"/>
  <c r="U690" i="42"/>
  <c r="U691" i="42"/>
  <c r="G687" i="42"/>
  <c r="G688" i="42"/>
  <c r="G689" i="42"/>
  <c r="G690" i="42"/>
  <c r="G691" i="42"/>
  <c r="A687" i="42"/>
  <c r="B687" i="42"/>
  <c r="C687" i="42"/>
  <c r="E687" i="42"/>
  <c r="A688" i="42"/>
  <c r="B688" i="42"/>
  <c r="C688" i="42"/>
  <c r="E688" i="42"/>
  <c r="A689" i="42"/>
  <c r="B689" i="42"/>
  <c r="C689" i="42"/>
  <c r="E689" i="42"/>
  <c r="A690" i="42"/>
  <c r="B690" i="42"/>
  <c r="C690" i="42"/>
  <c r="E690" i="42"/>
  <c r="A691" i="42"/>
  <c r="B691" i="42"/>
  <c r="C691" i="42"/>
  <c r="E691" i="42"/>
  <c r="A653" i="42"/>
  <c r="B653" i="42"/>
  <c r="C653" i="42"/>
  <c r="E653" i="42"/>
  <c r="A654" i="42"/>
  <c r="B654" i="42"/>
  <c r="C654" i="42"/>
  <c r="E654" i="42"/>
  <c r="A655" i="42"/>
  <c r="B655" i="42"/>
  <c r="C655" i="42"/>
  <c r="E655" i="42"/>
  <c r="A656" i="42"/>
  <c r="B656" i="42"/>
  <c r="C656" i="42"/>
  <c r="E656" i="42"/>
  <c r="A657" i="42"/>
  <c r="B657" i="42"/>
  <c r="C657" i="42"/>
  <c r="E657" i="42"/>
  <c r="A658" i="42"/>
  <c r="B658" i="42"/>
  <c r="C658" i="42"/>
  <c r="E658" i="42"/>
  <c r="G653" i="42"/>
  <c r="G654" i="42"/>
  <c r="G655" i="42"/>
  <c r="G656" i="42"/>
  <c r="G657" i="42"/>
  <c r="G658" i="42"/>
  <c r="G460" i="42"/>
  <c r="G461" i="42"/>
  <c r="G462" i="42"/>
  <c r="G463" i="42"/>
  <c r="G464" i="42"/>
  <c r="G465" i="42"/>
  <c r="G466" i="42"/>
  <c r="G467" i="42"/>
  <c r="G468" i="42"/>
  <c r="G469" i="42"/>
  <c r="G470" i="42"/>
  <c r="G471" i="42"/>
  <c r="G472" i="42"/>
  <c r="G473" i="42"/>
  <c r="G474" i="42"/>
  <c r="G475" i="42"/>
  <c r="G476" i="42"/>
  <c r="G477" i="42"/>
  <c r="G478" i="42"/>
  <c r="G479" i="42"/>
  <c r="G480" i="42"/>
  <c r="G481" i="42"/>
  <c r="G482" i="42"/>
  <c r="G483" i="42"/>
  <c r="G484" i="42"/>
  <c r="G485" i="42"/>
  <c r="G486" i="42"/>
  <c r="G487" i="42"/>
  <c r="G488" i="42"/>
  <c r="G489" i="42"/>
  <c r="G490" i="42"/>
  <c r="G491" i="42"/>
  <c r="G492" i="42"/>
  <c r="G493" i="42"/>
  <c r="G494" i="42"/>
  <c r="G495" i="42"/>
  <c r="G496" i="42"/>
  <c r="G497" i="42"/>
  <c r="G498" i="42"/>
  <c r="G499" i="42"/>
  <c r="G500" i="42"/>
  <c r="G501" i="42"/>
  <c r="G502" i="42"/>
  <c r="G503" i="42"/>
  <c r="G504" i="42"/>
  <c r="G505" i="42"/>
  <c r="G506" i="42"/>
  <c r="G507" i="42"/>
  <c r="G508" i="42"/>
  <c r="G509" i="42"/>
  <c r="G510" i="42"/>
  <c r="G511" i="42"/>
  <c r="G512" i="42"/>
  <c r="G513" i="42"/>
  <c r="G514" i="42"/>
  <c r="G515" i="42"/>
  <c r="G516" i="42"/>
  <c r="G517" i="42"/>
  <c r="G518" i="42"/>
  <c r="G519" i="42"/>
  <c r="G520" i="42"/>
  <c r="G521" i="42"/>
  <c r="G522" i="42"/>
  <c r="G523" i="42"/>
  <c r="G524" i="42"/>
  <c r="G525" i="42"/>
  <c r="G526" i="42"/>
  <c r="G527" i="42"/>
  <c r="G528" i="42"/>
  <c r="G529" i="42"/>
  <c r="G530" i="42"/>
  <c r="G531" i="42"/>
  <c r="G532" i="42"/>
  <c r="G533" i="42"/>
  <c r="G534" i="42"/>
  <c r="G535" i="42"/>
  <c r="G536" i="42"/>
  <c r="G537" i="42"/>
  <c r="G538" i="42"/>
  <c r="G539" i="42"/>
  <c r="G540" i="42"/>
  <c r="G541" i="42"/>
  <c r="G542" i="42"/>
  <c r="G543" i="42"/>
  <c r="G544" i="42"/>
  <c r="G545" i="42"/>
  <c r="G546" i="42"/>
  <c r="G547" i="42"/>
  <c r="G548" i="42"/>
  <c r="G549" i="42"/>
  <c r="G550" i="42"/>
  <c r="G551" i="42"/>
  <c r="G552" i="42"/>
  <c r="G553" i="42"/>
  <c r="G554" i="42"/>
  <c r="G555" i="42"/>
  <c r="G556" i="42"/>
  <c r="G557" i="42"/>
  <c r="G558" i="42"/>
  <c r="G559" i="42"/>
  <c r="G560" i="42"/>
  <c r="G561" i="42"/>
  <c r="G562" i="42"/>
  <c r="G563" i="42"/>
  <c r="G564" i="42"/>
  <c r="G565" i="42"/>
  <c r="G566" i="42"/>
  <c r="G567" i="42"/>
  <c r="G568" i="42"/>
  <c r="G569" i="42"/>
  <c r="G570" i="42"/>
  <c r="G571" i="42"/>
  <c r="G599" i="42"/>
  <c r="G600" i="42"/>
  <c r="G601" i="42"/>
  <c r="G602" i="42"/>
  <c r="G603" i="42"/>
  <c r="G604" i="42"/>
  <c r="G605" i="42"/>
  <c r="G606" i="42"/>
  <c r="G607" i="42"/>
  <c r="G608" i="42"/>
  <c r="G609" i="42"/>
  <c r="G610" i="42"/>
  <c r="G611" i="42"/>
  <c r="G612" i="42"/>
  <c r="G613" i="42"/>
  <c r="G614" i="42"/>
  <c r="G457" i="42"/>
  <c r="G458" i="42"/>
  <c r="G459" i="42"/>
  <c r="G456" i="42"/>
  <c r="A457" i="42"/>
  <c r="B457" i="42"/>
  <c r="C457" i="42"/>
  <c r="E457" i="42"/>
  <c r="A458" i="42"/>
  <c r="B458" i="42"/>
  <c r="C458" i="42"/>
  <c r="E458" i="42"/>
  <c r="A459" i="42"/>
  <c r="B459" i="42"/>
  <c r="C459" i="42"/>
  <c r="E459" i="42"/>
  <c r="U330" i="42"/>
  <c r="U331" i="42"/>
  <c r="U332" i="42"/>
  <c r="U333" i="42"/>
  <c r="U334" i="42"/>
  <c r="U335" i="42"/>
  <c r="U336" i="42"/>
  <c r="U338" i="42"/>
  <c r="U302" i="42"/>
  <c r="U303" i="42"/>
  <c r="U304" i="42"/>
  <c r="U305" i="42"/>
  <c r="U306" i="42"/>
  <c r="U307" i="42"/>
  <c r="U308" i="42"/>
  <c r="U309" i="42"/>
  <c r="U310" i="42"/>
  <c r="U311" i="42"/>
  <c r="U312" i="42"/>
  <c r="U313" i="42"/>
  <c r="U314" i="42"/>
  <c r="U315" i="42"/>
  <c r="U316" i="42"/>
  <c r="U329" i="42"/>
  <c r="U299" i="42"/>
  <c r="U300" i="42"/>
  <c r="U301" i="42"/>
  <c r="G332" i="42"/>
  <c r="G333" i="42"/>
  <c r="G334" i="42"/>
  <c r="G335" i="42"/>
  <c r="G336" i="42"/>
  <c r="G337" i="42"/>
  <c r="G338" i="42"/>
  <c r="G339" i="42"/>
  <c r="G340" i="42"/>
  <c r="G341" i="42"/>
  <c r="G367" i="42"/>
  <c r="G368" i="42"/>
  <c r="G369" i="42"/>
  <c r="G370" i="42"/>
  <c r="G371" i="42"/>
  <c r="G372" i="42"/>
  <c r="G373" i="42"/>
  <c r="G374" i="42"/>
  <c r="G375" i="42"/>
  <c r="G376" i="42"/>
  <c r="G377" i="42"/>
  <c r="G378" i="42"/>
  <c r="G379" i="42"/>
  <c r="G380" i="42"/>
  <c r="G381" i="42"/>
  <c r="G382" i="42"/>
  <c r="G383" i="42"/>
  <c r="G384" i="42"/>
  <c r="G385" i="42"/>
  <c r="G386" i="42"/>
  <c r="G387" i="42"/>
  <c r="G388" i="42"/>
  <c r="G389" i="42"/>
  <c r="G390" i="42"/>
  <c r="G391" i="42"/>
  <c r="G392" i="42"/>
  <c r="G393" i="42"/>
  <c r="G394" i="42"/>
  <c r="G395" i="42"/>
  <c r="G396" i="42"/>
  <c r="G397" i="42"/>
  <c r="G398" i="42"/>
  <c r="G399" i="42"/>
  <c r="G400" i="42"/>
  <c r="G401" i="42"/>
  <c r="G402" i="42"/>
  <c r="G403" i="42"/>
  <c r="G404" i="42"/>
  <c r="G405" i="42"/>
  <c r="G406" i="42"/>
  <c r="G407" i="42"/>
  <c r="G408" i="42"/>
  <c r="G409" i="42"/>
  <c r="G410" i="42"/>
  <c r="G411" i="42"/>
  <c r="G412" i="42"/>
  <c r="G413" i="42"/>
  <c r="G414" i="42"/>
  <c r="G415" i="42"/>
  <c r="G416" i="42"/>
  <c r="G417" i="42"/>
  <c r="G418" i="42"/>
  <c r="G419" i="42"/>
  <c r="G420" i="42"/>
  <c r="G421" i="42"/>
  <c r="G422" i="42"/>
  <c r="G423" i="42"/>
  <c r="G424" i="42"/>
  <c r="G425" i="42"/>
  <c r="G426" i="42"/>
  <c r="G427" i="42"/>
  <c r="G428" i="42"/>
  <c r="G429" i="42"/>
  <c r="G430" i="42"/>
  <c r="G431" i="42"/>
  <c r="G432" i="42"/>
  <c r="G433" i="42"/>
  <c r="G434" i="42"/>
  <c r="G435" i="42"/>
  <c r="G436" i="42"/>
  <c r="G437" i="42"/>
  <c r="G438" i="42"/>
  <c r="G439" i="42"/>
  <c r="G440" i="42"/>
  <c r="G441" i="42"/>
  <c r="G442" i="42"/>
  <c r="G443" i="42"/>
  <c r="G444" i="42"/>
  <c r="G445" i="42"/>
  <c r="G446" i="42"/>
  <c r="G447" i="42"/>
  <c r="G448" i="42"/>
  <c r="G449" i="42"/>
  <c r="G450" i="42"/>
  <c r="G451" i="42"/>
  <c r="G452" i="42"/>
  <c r="G453" i="42"/>
  <c r="G454" i="42"/>
  <c r="G455" i="42"/>
  <c r="G302" i="42"/>
  <c r="G303" i="42"/>
  <c r="G304" i="42"/>
  <c r="G305" i="42"/>
  <c r="G306" i="42"/>
  <c r="G307" i="42"/>
  <c r="G308" i="42"/>
  <c r="G309" i="42"/>
  <c r="G310" i="42"/>
  <c r="G311" i="42"/>
  <c r="G312" i="42"/>
  <c r="G313" i="42"/>
  <c r="G314" i="42"/>
  <c r="G315" i="42"/>
  <c r="G316" i="42"/>
  <c r="G317" i="42"/>
  <c r="G318" i="42"/>
  <c r="G319" i="42"/>
  <c r="G320" i="42"/>
  <c r="G321" i="42"/>
  <c r="A302" i="42"/>
  <c r="B302" i="42"/>
  <c r="C302" i="42"/>
  <c r="E302" i="42"/>
  <c r="A303" i="42"/>
  <c r="B303" i="42"/>
  <c r="C303" i="42"/>
  <c r="E303" i="42"/>
  <c r="A304" i="42"/>
  <c r="B304" i="42"/>
  <c r="C304" i="42"/>
  <c r="E304" i="42"/>
  <c r="A305" i="42"/>
  <c r="B305" i="42"/>
  <c r="C305" i="42"/>
  <c r="E305" i="42"/>
  <c r="A306" i="42"/>
  <c r="B306" i="42"/>
  <c r="C306" i="42"/>
  <c r="E306" i="42"/>
  <c r="A307" i="42"/>
  <c r="B307" i="42"/>
  <c r="C307" i="42"/>
  <c r="E307" i="42"/>
  <c r="A308" i="42"/>
  <c r="B308" i="42"/>
  <c r="C308" i="42"/>
  <c r="E308" i="42"/>
  <c r="A309" i="42"/>
  <c r="B309" i="42"/>
  <c r="C309" i="42"/>
  <c r="E309" i="42"/>
  <c r="A310" i="42"/>
  <c r="B310" i="42"/>
  <c r="C310" i="42"/>
  <c r="E310" i="42"/>
  <c r="A311" i="42"/>
  <c r="B311" i="42"/>
  <c r="C311" i="42"/>
  <c r="E311" i="42"/>
  <c r="A312" i="42"/>
  <c r="B312" i="42"/>
  <c r="C312" i="42"/>
  <c r="E312" i="42"/>
  <c r="A313" i="42"/>
  <c r="B313" i="42"/>
  <c r="C313" i="42"/>
  <c r="E313" i="42"/>
  <c r="A314" i="42"/>
  <c r="B314" i="42"/>
  <c r="C314" i="42"/>
  <c r="E314" i="42"/>
  <c r="A315" i="42"/>
  <c r="B315" i="42"/>
  <c r="C315" i="42"/>
  <c r="E315" i="42"/>
  <c r="A316" i="42"/>
  <c r="B316" i="42"/>
  <c r="C316" i="42"/>
  <c r="E316" i="42"/>
  <c r="A317" i="42"/>
  <c r="B317" i="42"/>
  <c r="C317" i="42"/>
  <c r="E317" i="42"/>
  <c r="A318" i="42"/>
  <c r="B318" i="42"/>
  <c r="C318" i="42"/>
  <c r="E318" i="42"/>
  <c r="A319" i="42"/>
  <c r="B319" i="42"/>
  <c r="C319" i="42"/>
  <c r="E319" i="42"/>
  <c r="A320" i="42"/>
  <c r="B320" i="42"/>
  <c r="C320" i="42"/>
  <c r="E320" i="42"/>
  <c r="A321" i="42"/>
  <c r="B321" i="42"/>
  <c r="C321" i="42"/>
  <c r="E321" i="42"/>
  <c r="A323" i="42"/>
  <c r="B323" i="42"/>
  <c r="C323" i="42"/>
  <c r="E323" i="42"/>
  <c r="A325" i="42"/>
  <c r="B325" i="42"/>
  <c r="C325" i="42"/>
  <c r="E325" i="42"/>
  <c r="A326" i="42"/>
  <c r="B326" i="42"/>
  <c r="C326" i="42"/>
  <c r="E326" i="42"/>
  <c r="A327" i="42"/>
  <c r="B327" i="42"/>
  <c r="C327" i="42"/>
  <c r="E327" i="42"/>
  <c r="A328" i="42"/>
  <c r="B328" i="42"/>
  <c r="C328" i="42"/>
  <c r="E328" i="42"/>
  <c r="A329" i="42"/>
  <c r="B329" i="42"/>
  <c r="C329" i="42"/>
  <c r="E329" i="42"/>
  <c r="U276" i="42" l="1"/>
  <c r="U277" i="42"/>
  <c r="U278" i="42"/>
  <c r="U279" i="42"/>
  <c r="U280" i="42"/>
  <c r="G276" i="42"/>
  <c r="G277" i="42"/>
  <c r="G278" i="42"/>
  <c r="G279" i="42"/>
  <c r="G280" i="42"/>
  <c r="A276" i="42"/>
  <c r="B276" i="42"/>
  <c r="C276" i="42"/>
  <c r="E276" i="42"/>
  <c r="A277" i="42"/>
  <c r="B277" i="42"/>
  <c r="C277" i="42"/>
  <c r="E277" i="42"/>
  <c r="A278" i="42"/>
  <c r="B278" i="42"/>
  <c r="C278" i="42"/>
  <c r="E278" i="42"/>
  <c r="A279" i="42"/>
  <c r="B279" i="42"/>
  <c r="C279" i="42"/>
  <c r="E279" i="42"/>
  <c r="A280" i="42"/>
  <c r="B280" i="42"/>
  <c r="C280" i="42"/>
  <c r="E280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5" i="42"/>
  <c r="G16" i="42"/>
  <c r="G17" i="42"/>
  <c r="G18" i="42"/>
  <c r="G19" i="42"/>
  <c r="G20" i="42"/>
  <c r="G21" i="42"/>
  <c r="A15" i="42"/>
  <c r="B15" i="42"/>
  <c r="C15" i="42"/>
  <c r="E15" i="42"/>
  <c r="A16" i="42"/>
  <c r="B16" i="42"/>
  <c r="C16" i="42"/>
  <c r="E16" i="42"/>
  <c r="A17" i="42"/>
  <c r="B17" i="42"/>
  <c r="C17" i="42"/>
  <c r="E17" i="42"/>
  <c r="A18" i="42"/>
  <c r="B18" i="42"/>
  <c r="C18" i="42"/>
  <c r="E18" i="42"/>
  <c r="A19" i="42"/>
  <c r="B19" i="42"/>
  <c r="C19" i="42"/>
  <c r="E19" i="42"/>
  <c r="A20" i="42"/>
  <c r="B20" i="42"/>
  <c r="C20" i="42"/>
  <c r="E20" i="42"/>
  <c r="A21" i="42"/>
  <c r="B21" i="42"/>
  <c r="C21" i="42"/>
  <c r="E21" i="42"/>
  <c r="O52" i="31" l="1"/>
  <c r="O53" i="31"/>
  <c r="O55" i="31"/>
  <c r="O56" i="31"/>
  <c r="O57" i="31"/>
  <c r="M52" i="31"/>
  <c r="M53" i="31"/>
  <c r="M55" i="31"/>
  <c r="M56" i="31"/>
  <c r="M57" i="31"/>
  <c r="K52" i="31"/>
  <c r="K53" i="31"/>
  <c r="K55" i="31"/>
  <c r="K56" i="31"/>
  <c r="K57" i="31"/>
  <c r="I52" i="31"/>
  <c r="I53" i="31"/>
  <c r="I55" i="31"/>
  <c r="I56" i="31"/>
  <c r="I57" i="31"/>
  <c r="I40" i="31"/>
  <c r="I41" i="31"/>
  <c r="I42" i="31"/>
  <c r="I43" i="31"/>
  <c r="I44" i="31"/>
  <c r="I45" i="31"/>
  <c r="I46" i="31"/>
  <c r="O42" i="31"/>
  <c r="O43" i="31"/>
  <c r="O44" i="31"/>
  <c r="O45" i="31"/>
  <c r="O46" i="31"/>
  <c r="K43" i="31"/>
  <c r="K44" i="31"/>
  <c r="K45" i="31"/>
  <c r="K46" i="31"/>
  <c r="A91" i="66" l="1"/>
  <c r="A90" i="66"/>
  <c r="D90" i="66"/>
  <c r="F90" i="66"/>
  <c r="H90" i="66"/>
  <c r="J90" i="66"/>
  <c r="L90" i="66"/>
  <c r="N90" i="66"/>
  <c r="P90" i="66"/>
  <c r="O113" i="66"/>
  <c r="O114" i="66"/>
  <c r="O115" i="66"/>
  <c r="O116" i="66"/>
  <c r="O118" i="66"/>
  <c r="M113" i="66"/>
  <c r="M114" i="66"/>
  <c r="M115" i="66"/>
  <c r="M116" i="66"/>
  <c r="M118" i="66"/>
  <c r="K113" i="66"/>
  <c r="K114" i="66"/>
  <c r="K115" i="66"/>
  <c r="K116" i="66"/>
  <c r="K118" i="66"/>
  <c r="O108" i="66"/>
  <c r="O107" i="66"/>
  <c r="O106" i="66"/>
  <c r="O105" i="66"/>
  <c r="O104" i="66"/>
  <c r="O101" i="66"/>
  <c r="O100" i="66"/>
  <c r="M101" i="66"/>
  <c r="M104" i="66"/>
  <c r="M105" i="66"/>
  <c r="M106" i="66"/>
  <c r="M107" i="66"/>
  <c r="M108" i="66"/>
  <c r="K101" i="66"/>
  <c r="K104" i="66"/>
  <c r="K105" i="66"/>
  <c r="K106" i="66"/>
  <c r="K107" i="66"/>
  <c r="K108" i="66"/>
  <c r="V78" i="66"/>
  <c r="W78" i="66"/>
  <c r="X78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D38" i="66"/>
  <c r="F38" i="66"/>
  <c r="H38" i="66"/>
  <c r="L38" i="66"/>
  <c r="N38" i="66"/>
  <c r="P38" i="66"/>
  <c r="E90" i="66" l="1"/>
  <c r="G90" i="66"/>
  <c r="G38" i="66"/>
  <c r="E38" i="66"/>
  <c r="O24" i="31"/>
  <c r="M24" i="31"/>
  <c r="K24" i="31"/>
  <c r="I24" i="31"/>
  <c r="O119" i="31"/>
  <c r="O118" i="31"/>
  <c r="O116" i="31"/>
  <c r="O115" i="31"/>
  <c r="O114" i="31"/>
  <c r="O113" i="31"/>
  <c r="O112" i="31"/>
  <c r="M119" i="31"/>
  <c r="M118" i="31"/>
  <c r="M116" i="31"/>
  <c r="M115" i="31"/>
  <c r="M114" i="31"/>
  <c r="M113" i="31"/>
  <c r="M112" i="31"/>
  <c r="K119" i="31"/>
  <c r="K118" i="31"/>
  <c r="K116" i="31"/>
  <c r="K115" i="31"/>
  <c r="K114" i="31"/>
  <c r="K113" i="31"/>
  <c r="K112" i="31"/>
  <c r="I119" i="31"/>
  <c r="I118" i="31"/>
  <c r="I116" i="31"/>
  <c r="I115" i="31"/>
  <c r="I114" i="31"/>
  <c r="I113" i="31"/>
  <c r="I112" i="31"/>
  <c r="O109" i="31"/>
  <c r="O108" i="31"/>
  <c r="O107" i="31"/>
  <c r="O106" i="31"/>
  <c r="O105" i="31"/>
  <c r="O104" i="31"/>
  <c r="O103" i="31"/>
  <c r="O101" i="31"/>
  <c r="O100" i="31"/>
  <c r="M109" i="31"/>
  <c r="M108" i="31"/>
  <c r="M107" i="31"/>
  <c r="M106" i="31"/>
  <c r="M105" i="31"/>
  <c r="M104" i="31"/>
  <c r="M103" i="31"/>
  <c r="M101" i="31"/>
  <c r="M100" i="31"/>
  <c r="K109" i="31"/>
  <c r="K108" i="31"/>
  <c r="K107" i="31"/>
  <c r="K106" i="31"/>
  <c r="K105" i="31"/>
  <c r="K104" i="31"/>
  <c r="K103" i="31"/>
  <c r="K101" i="31"/>
  <c r="K100" i="31"/>
  <c r="I109" i="31"/>
  <c r="I108" i="31"/>
  <c r="I107" i="31"/>
  <c r="I106" i="31"/>
  <c r="I105" i="31"/>
  <c r="I104" i="31"/>
  <c r="I103" i="31"/>
  <c r="I101" i="31"/>
  <c r="I100" i="31"/>
  <c r="O97" i="31"/>
  <c r="O96" i="31"/>
  <c r="O95" i="31"/>
  <c r="M97" i="31"/>
  <c r="M96" i="31"/>
  <c r="M95" i="31"/>
  <c r="K97" i="31"/>
  <c r="K96" i="31"/>
  <c r="K95" i="31"/>
  <c r="I97" i="31"/>
  <c r="I96" i="31"/>
  <c r="I95" i="31"/>
  <c r="O92" i="31"/>
  <c r="O91" i="31"/>
  <c r="O88" i="31"/>
  <c r="M92" i="31"/>
  <c r="M91" i="31"/>
  <c r="M88" i="31"/>
  <c r="K92" i="31"/>
  <c r="K91" i="31"/>
  <c r="K88" i="31"/>
  <c r="I92" i="31"/>
  <c r="I91" i="31"/>
  <c r="I88" i="31"/>
  <c r="G90" i="31"/>
  <c r="E90" i="31"/>
  <c r="O85" i="31"/>
  <c r="O83" i="31"/>
  <c r="O82" i="31"/>
  <c r="O81" i="31"/>
  <c r="O80" i="31"/>
  <c r="O79" i="31"/>
  <c r="M85" i="31"/>
  <c r="M83" i="31"/>
  <c r="M82" i="31"/>
  <c r="M81" i="31"/>
  <c r="M80" i="31"/>
  <c r="M79" i="31"/>
  <c r="K85" i="31"/>
  <c r="K83" i="31"/>
  <c r="K81" i="31"/>
  <c r="K80" i="31"/>
  <c r="K79" i="31"/>
  <c r="I85" i="31"/>
  <c r="I83" i="31"/>
  <c r="I82" i="31"/>
  <c r="I81" i="31"/>
  <c r="I80" i="31"/>
  <c r="I79" i="31"/>
  <c r="N48" i="31" l="1"/>
  <c r="P48" i="31"/>
  <c r="L48" i="31"/>
  <c r="J48" i="31"/>
  <c r="H48" i="31"/>
  <c r="A90" i="31"/>
  <c r="A91" i="31"/>
  <c r="A92" i="31"/>
  <c r="H17" i="31" l="1"/>
  <c r="J24" i="31" l="1"/>
  <c r="J17" i="31" l="1"/>
  <c r="L109" i="31" l="1"/>
  <c r="L97" i="31"/>
  <c r="L92" i="31"/>
  <c r="L85" i="31"/>
  <c r="N109" i="31"/>
  <c r="N97" i="31"/>
  <c r="N92" i="31"/>
  <c r="N85" i="31"/>
  <c r="P109" i="31"/>
  <c r="P97" i="31"/>
  <c r="P92" i="31"/>
  <c r="P85" i="31"/>
  <c r="L58" i="31"/>
  <c r="L28" i="31"/>
  <c r="L17" i="31"/>
  <c r="L19" i="31" s="1"/>
  <c r="L21" i="31" s="1"/>
  <c r="N58" i="31"/>
  <c r="N28" i="31"/>
  <c r="N17" i="31"/>
  <c r="N19" i="31" s="1"/>
  <c r="N21" i="31" s="1"/>
  <c r="P58" i="31"/>
  <c r="P28" i="31"/>
  <c r="P19" i="31"/>
  <c r="P21" i="31" s="1"/>
  <c r="P17" i="31"/>
  <c r="P60" i="31" l="1"/>
  <c r="O28" i="31"/>
  <c r="N60" i="31"/>
  <c r="M28" i="31"/>
  <c r="L60" i="31"/>
  <c r="A7" i="58"/>
  <c r="A7" i="59"/>
  <c r="B48" i="45" l="1"/>
  <c r="B47" i="45"/>
  <c r="B46" i="45"/>
  <c r="B45" i="45"/>
  <c r="B44" i="45"/>
  <c r="B43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8" i="45"/>
  <c r="B7" i="45"/>
  <c r="B6" i="45"/>
  <c r="A48" i="45"/>
  <c r="A47" i="45"/>
  <c r="A46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8" i="45"/>
  <c r="A7" i="45"/>
  <c r="A6" i="45"/>
  <c r="E344" i="43"/>
  <c r="C344" i="43"/>
  <c r="B344" i="43"/>
  <c r="A344" i="43"/>
  <c r="E336" i="43"/>
  <c r="C336" i="43"/>
  <c r="B336" i="43"/>
  <c r="A336" i="43"/>
  <c r="E334" i="43"/>
  <c r="C334" i="43"/>
  <c r="B334" i="43"/>
  <c r="A334" i="43"/>
  <c r="E235" i="43"/>
  <c r="E454" i="43"/>
  <c r="E579" i="43"/>
  <c r="V704" i="43"/>
  <c r="U704" i="43"/>
  <c r="V703" i="43"/>
  <c r="U703" i="43"/>
  <c r="E703" i="43"/>
  <c r="C703" i="43"/>
  <c r="B703" i="43"/>
  <c r="A703" i="43"/>
  <c r="V702" i="43"/>
  <c r="U702" i="43"/>
  <c r="E702" i="43"/>
  <c r="C702" i="43"/>
  <c r="B702" i="43"/>
  <c r="A702" i="43"/>
  <c r="V701" i="43"/>
  <c r="U701" i="43"/>
  <c r="E701" i="43"/>
  <c r="C701" i="43"/>
  <c r="B701" i="43"/>
  <c r="A701" i="43"/>
  <c r="V700" i="43"/>
  <c r="U700" i="43"/>
  <c r="E700" i="43"/>
  <c r="C700" i="43"/>
  <c r="B700" i="43"/>
  <c r="A700" i="43"/>
  <c r="V699" i="43"/>
  <c r="U699" i="43"/>
  <c r="E699" i="43"/>
  <c r="C699" i="43"/>
  <c r="B699" i="43"/>
  <c r="A699" i="43"/>
  <c r="V693" i="43"/>
  <c r="U693" i="43"/>
  <c r="E693" i="43"/>
  <c r="C693" i="43"/>
  <c r="B693" i="43"/>
  <c r="A693" i="43"/>
  <c r="V692" i="43"/>
  <c r="U692" i="43"/>
  <c r="E692" i="43"/>
  <c r="C692" i="43"/>
  <c r="B692" i="43"/>
  <c r="A692" i="43"/>
  <c r="V691" i="43"/>
  <c r="U691" i="43"/>
  <c r="E691" i="43"/>
  <c r="C691" i="43"/>
  <c r="B691" i="43"/>
  <c r="A691" i="43"/>
  <c r="V690" i="43"/>
  <c r="U690" i="43"/>
  <c r="V689" i="43"/>
  <c r="U689" i="43"/>
  <c r="V688" i="43"/>
  <c r="U688" i="43"/>
  <c r="V687" i="43"/>
  <c r="U687" i="43"/>
  <c r="E687" i="43"/>
  <c r="C687" i="43"/>
  <c r="B687" i="43"/>
  <c r="A687" i="43"/>
  <c r="V686" i="43"/>
  <c r="U686" i="43"/>
  <c r="E686" i="43"/>
  <c r="C686" i="43"/>
  <c r="B686" i="43"/>
  <c r="A686" i="43"/>
  <c r="V685" i="43"/>
  <c r="U685" i="43"/>
  <c r="E685" i="43"/>
  <c r="C685" i="43"/>
  <c r="B685" i="43"/>
  <c r="A685" i="43"/>
  <c r="V684" i="43"/>
  <c r="U684" i="43"/>
  <c r="E684" i="43"/>
  <c r="C684" i="43"/>
  <c r="B684" i="43"/>
  <c r="A684" i="43"/>
  <c r="V683" i="43"/>
  <c r="U683" i="43"/>
  <c r="V682" i="43"/>
  <c r="U682" i="43"/>
  <c r="V681" i="43"/>
  <c r="U681" i="43"/>
  <c r="V680" i="43"/>
  <c r="U680" i="43"/>
  <c r="E680" i="43"/>
  <c r="C680" i="43"/>
  <c r="B680" i="43"/>
  <c r="A680" i="43"/>
  <c r="V679" i="43"/>
  <c r="U679" i="43"/>
  <c r="E679" i="43"/>
  <c r="C679" i="43"/>
  <c r="B679" i="43"/>
  <c r="A679" i="43"/>
  <c r="V678" i="43"/>
  <c r="U678" i="43"/>
  <c r="E678" i="43"/>
  <c r="C678" i="43"/>
  <c r="B678" i="43"/>
  <c r="A678" i="43"/>
  <c r="V677" i="43"/>
  <c r="U677" i="43"/>
  <c r="E677" i="43"/>
  <c r="C677" i="43"/>
  <c r="B677" i="43"/>
  <c r="A677" i="43"/>
  <c r="V676" i="43"/>
  <c r="U676" i="43"/>
  <c r="E676" i="43"/>
  <c r="C676" i="43"/>
  <c r="B676" i="43"/>
  <c r="A676" i="43"/>
  <c r="V670" i="43"/>
  <c r="U670" i="43"/>
  <c r="E670" i="43"/>
  <c r="C670" i="43"/>
  <c r="B670" i="43"/>
  <c r="A670" i="43"/>
  <c r="V669" i="43"/>
  <c r="U669" i="43"/>
  <c r="E669" i="43"/>
  <c r="C669" i="43"/>
  <c r="B669" i="43"/>
  <c r="A669" i="43"/>
  <c r="V668" i="43"/>
  <c r="U668" i="43"/>
  <c r="E668" i="43"/>
  <c r="C668" i="43"/>
  <c r="B668" i="43"/>
  <c r="A668" i="43"/>
  <c r="V667" i="43"/>
  <c r="U667" i="43"/>
  <c r="V666" i="43"/>
  <c r="U666" i="43"/>
  <c r="V665" i="43"/>
  <c r="U665" i="43"/>
  <c r="V664" i="43"/>
  <c r="U664" i="43"/>
  <c r="E664" i="43"/>
  <c r="C664" i="43"/>
  <c r="B664" i="43"/>
  <c r="A664" i="43"/>
  <c r="V663" i="43"/>
  <c r="U663" i="43"/>
  <c r="E663" i="43"/>
  <c r="C663" i="43"/>
  <c r="B663" i="43"/>
  <c r="A663" i="43"/>
  <c r="V662" i="43"/>
  <c r="U662" i="43"/>
  <c r="E662" i="43"/>
  <c r="C662" i="43"/>
  <c r="B662" i="43"/>
  <c r="A662" i="43"/>
  <c r="V661" i="43"/>
  <c r="U661" i="43"/>
  <c r="E661" i="43"/>
  <c r="C661" i="43"/>
  <c r="B661" i="43"/>
  <c r="A661" i="43"/>
  <c r="V660" i="43"/>
  <c r="U660" i="43"/>
  <c r="V659" i="43"/>
  <c r="U659" i="43"/>
  <c r="V658" i="43"/>
  <c r="U658" i="43"/>
  <c r="V657" i="43"/>
  <c r="U657" i="43"/>
  <c r="E657" i="43"/>
  <c r="C657" i="43"/>
  <c r="B657" i="43"/>
  <c r="A657" i="43"/>
  <c r="V656" i="43"/>
  <c r="U656" i="43"/>
  <c r="E656" i="43"/>
  <c r="C656" i="43"/>
  <c r="B656" i="43"/>
  <c r="A656" i="43"/>
  <c r="V655" i="43"/>
  <c r="U655" i="43"/>
  <c r="E655" i="43"/>
  <c r="C655" i="43"/>
  <c r="B655" i="43"/>
  <c r="A655" i="43"/>
  <c r="V654" i="43"/>
  <c r="U654" i="43"/>
  <c r="E654" i="43"/>
  <c r="C654" i="43"/>
  <c r="B654" i="43"/>
  <c r="A654" i="43"/>
  <c r="V653" i="43"/>
  <c r="U653" i="43"/>
  <c r="E653" i="43"/>
  <c r="C653" i="43"/>
  <c r="B653" i="43"/>
  <c r="A653" i="43"/>
  <c r="V652" i="43"/>
  <c r="U652" i="43"/>
  <c r="E652" i="43"/>
  <c r="C652" i="43"/>
  <c r="B652" i="43"/>
  <c r="A652" i="43"/>
  <c r="V651" i="43"/>
  <c r="U651" i="43"/>
  <c r="E651" i="43"/>
  <c r="C651" i="43"/>
  <c r="B651" i="43"/>
  <c r="A651" i="43"/>
  <c r="V650" i="43"/>
  <c r="U650" i="43"/>
  <c r="E650" i="43"/>
  <c r="C650" i="43"/>
  <c r="B650" i="43"/>
  <c r="A650" i="43"/>
  <c r="V649" i="43"/>
  <c r="U649" i="43"/>
  <c r="E649" i="43"/>
  <c r="C649" i="43"/>
  <c r="B649" i="43"/>
  <c r="A649" i="43"/>
  <c r="V648" i="43"/>
  <c r="U648" i="43"/>
  <c r="E648" i="43"/>
  <c r="C648" i="43"/>
  <c r="B648" i="43"/>
  <c r="A648" i="43"/>
  <c r="V647" i="43"/>
  <c r="U647" i="43"/>
  <c r="E647" i="43"/>
  <c r="C647" i="43"/>
  <c r="B647" i="43"/>
  <c r="A647" i="43"/>
  <c r="V646" i="43"/>
  <c r="U646" i="43"/>
  <c r="E646" i="43"/>
  <c r="C646" i="43"/>
  <c r="B646" i="43"/>
  <c r="A646" i="43"/>
  <c r="V645" i="43"/>
  <c r="U645" i="43"/>
  <c r="E645" i="43"/>
  <c r="C645" i="43"/>
  <c r="B645" i="43"/>
  <c r="A645" i="43"/>
  <c r="V644" i="43"/>
  <c r="U644" i="43"/>
  <c r="E644" i="43"/>
  <c r="C644" i="43"/>
  <c r="B644" i="43"/>
  <c r="A644" i="43"/>
  <c r="V643" i="43"/>
  <c r="U643" i="43"/>
  <c r="E643" i="43"/>
  <c r="C643" i="43"/>
  <c r="B643" i="43"/>
  <c r="A643" i="43"/>
  <c r="V642" i="43"/>
  <c r="U642" i="43"/>
  <c r="E642" i="43"/>
  <c r="C642" i="43"/>
  <c r="B642" i="43"/>
  <c r="A642" i="43"/>
  <c r="V641" i="43"/>
  <c r="U641" i="43"/>
  <c r="E641" i="43"/>
  <c r="C641" i="43"/>
  <c r="B641" i="43"/>
  <c r="A641" i="43"/>
  <c r="V640" i="43"/>
  <c r="U640" i="43"/>
  <c r="E640" i="43"/>
  <c r="C640" i="43"/>
  <c r="B640" i="43"/>
  <c r="A640" i="43"/>
  <c r="V639" i="43"/>
  <c r="U639" i="43"/>
  <c r="E639" i="43"/>
  <c r="C639" i="43"/>
  <c r="B639" i="43"/>
  <c r="A639" i="43"/>
  <c r="V638" i="43"/>
  <c r="U638" i="43"/>
  <c r="E638" i="43"/>
  <c r="C638" i="43"/>
  <c r="B638" i="43"/>
  <c r="A638" i="43"/>
  <c r="V637" i="43"/>
  <c r="U637" i="43"/>
  <c r="E637" i="43"/>
  <c r="C637" i="43"/>
  <c r="B637" i="43"/>
  <c r="A637" i="43"/>
  <c r="V636" i="43"/>
  <c r="U636" i="43"/>
  <c r="E636" i="43"/>
  <c r="C636" i="43"/>
  <c r="B636" i="43"/>
  <c r="A636" i="43"/>
  <c r="V635" i="43"/>
  <c r="U635" i="43"/>
  <c r="E635" i="43"/>
  <c r="C635" i="43"/>
  <c r="B635" i="43"/>
  <c r="A635" i="43"/>
  <c r="V634" i="43"/>
  <c r="U634" i="43"/>
  <c r="E634" i="43"/>
  <c r="C634" i="43"/>
  <c r="B634" i="43"/>
  <c r="A634" i="43"/>
  <c r="V633" i="43"/>
  <c r="U633" i="43"/>
  <c r="E633" i="43"/>
  <c r="C633" i="43"/>
  <c r="B633" i="43"/>
  <c r="A633" i="43"/>
  <c r="V632" i="43"/>
  <c r="U632" i="43"/>
  <c r="E632" i="43"/>
  <c r="C632" i="43"/>
  <c r="B632" i="43"/>
  <c r="A632" i="43"/>
  <c r="V631" i="43"/>
  <c r="U631" i="43"/>
  <c r="E631" i="43"/>
  <c r="C631" i="43"/>
  <c r="B631" i="43"/>
  <c r="A631" i="43"/>
  <c r="V630" i="43"/>
  <c r="U630" i="43"/>
  <c r="E630" i="43"/>
  <c r="C630" i="43"/>
  <c r="B630" i="43"/>
  <c r="A630" i="43"/>
  <c r="V629" i="43"/>
  <c r="U629" i="43"/>
  <c r="E629" i="43"/>
  <c r="C629" i="43"/>
  <c r="B629" i="43"/>
  <c r="A629" i="43"/>
  <c r="V628" i="43"/>
  <c r="U628" i="43"/>
  <c r="E628" i="43"/>
  <c r="C628" i="43"/>
  <c r="B628" i="43"/>
  <c r="A628" i="43"/>
  <c r="V627" i="43"/>
  <c r="U627" i="43"/>
  <c r="V626" i="43"/>
  <c r="U626" i="43"/>
  <c r="V625" i="43"/>
  <c r="U625" i="43"/>
  <c r="V624" i="43"/>
  <c r="U624" i="43"/>
  <c r="E624" i="43"/>
  <c r="C624" i="43"/>
  <c r="B624" i="43"/>
  <c r="A624" i="43"/>
  <c r="V623" i="43"/>
  <c r="U623" i="43"/>
  <c r="E623" i="43"/>
  <c r="C623" i="43"/>
  <c r="B623" i="43"/>
  <c r="A623" i="43"/>
  <c r="V622" i="43"/>
  <c r="U622" i="43"/>
  <c r="E622" i="43"/>
  <c r="C622" i="43"/>
  <c r="B622" i="43"/>
  <c r="A622" i="43"/>
  <c r="V621" i="43"/>
  <c r="U621" i="43"/>
  <c r="E621" i="43"/>
  <c r="C621" i="43"/>
  <c r="B621" i="43"/>
  <c r="A621" i="43"/>
  <c r="V620" i="43"/>
  <c r="U620" i="43"/>
  <c r="E620" i="43"/>
  <c r="C620" i="43"/>
  <c r="B620" i="43"/>
  <c r="A620" i="43"/>
  <c r="V619" i="43"/>
  <c r="U619" i="43"/>
  <c r="E619" i="43"/>
  <c r="C619" i="43"/>
  <c r="B619" i="43"/>
  <c r="A619" i="43"/>
  <c r="V618" i="43"/>
  <c r="U618" i="43"/>
  <c r="E618" i="43"/>
  <c r="C618" i="43"/>
  <c r="B618" i="43"/>
  <c r="A618" i="43"/>
  <c r="V617" i="43"/>
  <c r="U617" i="43"/>
  <c r="E617" i="43"/>
  <c r="C617" i="43"/>
  <c r="B617" i="43"/>
  <c r="A617" i="43"/>
  <c r="V616" i="43"/>
  <c r="U616" i="43"/>
  <c r="E616" i="43"/>
  <c r="C616" i="43"/>
  <c r="B616" i="43"/>
  <c r="A616" i="43"/>
  <c r="V615" i="43"/>
  <c r="U615" i="43"/>
  <c r="E615" i="43"/>
  <c r="C615" i="43"/>
  <c r="B615" i="43"/>
  <c r="A615" i="43"/>
  <c r="V614" i="43"/>
  <c r="U614" i="43"/>
  <c r="E614" i="43"/>
  <c r="C614" i="43"/>
  <c r="B614" i="43"/>
  <c r="A614" i="43"/>
  <c r="V613" i="43"/>
  <c r="U613" i="43"/>
  <c r="E613" i="43"/>
  <c r="C613" i="43"/>
  <c r="B613" i="43"/>
  <c r="A613" i="43"/>
  <c r="V612" i="43"/>
  <c r="U612" i="43"/>
  <c r="E612" i="43"/>
  <c r="C612" i="43"/>
  <c r="B612" i="43"/>
  <c r="A612" i="43"/>
  <c r="V611" i="43"/>
  <c r="U611" i="43"/>
  <c r="E611" i="43"/>
  <c r="C611" i="43"/>
  <c r="B611" i="43"/>
  <c r="A611" i="43"/>
  <c r="V610" i="43"/>
  <c r="U610" i="43"/>
  <c r="E610" i="43"/>
  <c r="C610" i="43"/>
  <c r="B610" i="43"/>
  <c r="A610" i="43"/>
  <c r="V609" i="43"/>
  <c r="U609" i="43"/>
  <c r="E609" i="43"/>
  <c r="C609" i="43"/>
  <c r="B609" i="43"/>
  <c r="A609" i="43"/>
  <c r="V608" i="43"/>
  <c r="U608" i="43"/>
  <c r="E608" i="43"/>
  <c r="C608" i="43"/>
  <c r="B608" i="43"/>
  <c r="A608" i="43"/>
  <c r="V607" i="43"/>
  <c r="U607" i="43"/>
  <c r="E607" i="43"/>
  <c r="C607" i="43"/>
  <c r="B607" i="43"/>
  <c r="A607" i="43"/>
  <c r="V606" i="43"/>
  <c r="U606" i="43"/>
  <c r="E606" i="43"/>
  <c r="C606" i="43"/>
  <c r="B606" i="43"/>
  <c r="A606" i="43"/>
  <c r="V605" i="43"/>
  <c r="U605" i="43"/>
  <c r="E605" i="43"/>
  <c r="C605" i="43"/>
  <c r="B605" i="43"/>
  <c r="A605" i="43"/>
  <c r="V604" i="43"/>
  <c r="V603" i="43"/>
  <c r="V602" i="43"/>
  <c r="V601" i="43"/>
  <c r="U599" i="43"/>
  <c r="T598" i="43"/>
  <c r="T600" i="43" s="1"/>
  <c r="S598" i="43"/>
  <c r="S600" i="43" s="1"/>
  <c r="R598" i="43"/>
  <c r="R600" i="43" s="1"/>
  <c r="Q598" i="43"/>
  <c r="Q600" i="43" s="1"/>
  <c r="P598" i="43"/>
  <c r="P600" i="43" s="1"/>
  <c r="O598" i="43"/>
  <c r="O600" i="43" s="1"/>
  <c r="N598" i="43"/>
  <c r="N600" i="43" s="1"/>
  <c r="M598" i="43"/>
  <c r="M600" i="43" s="1"/>
  <c r="L598" i="43"/>
  <c r="L600" i="43" s="1"/>
  <c r="K598" i="43"/>
  <c r="K600" i="43" s="1"/>
  <c r="J598" i="43"/>
  <c r="J600" i="43" s="1"/>
  <c r="I598" i="43"/>
  <c r="I600" i="43" s="1"/>
  <c r="U597" i="43"/>
  <c r="E597" i="43"/>
  <c r="C597" i="43"/>
  <c r="B597" i="43"/>
  <c r="A597" i="43"/>
  <c r="U596" i="43"/>
  <c r="E596" i="43"/>
  <c r="C596" i="43"/>
  <c r="B596" i="43"/>
  <c r="A596" i="43"/>
  <c r="U595" i="43"/>
  <c r="E595" i="43"/>
  <c r="C595" i="43"/>
  <c r="B595" i="43"/>
  <c r="A595" i="43"/>
  <c r="U594" i="43"/>
  <c r="E594" i="43"/>
  <c r="C594" i="43"/>
  <c r="B594" i="43"/>
  <c r="A594" i="43"/>
  <c r="U593" i="43"/>
  <c r="E593" i="43"/>
  <c r="C593" i="43"/>
  <c r="B593" i="43"/>
  <c r="A593" i="43"/>
  <c r="U592" i="43"/>
  <c r="E592" i="43"/>
  <c r="C592" i="43"/>
  <c r="B592" i="43"/>
  <c r="A592" i="43"/>
  <c r="U591" i="43"/>
  <c r="E591" i="43"/>
  <c r="C591" i="43"/>
  <c r="B591" i="43"/>
  <c r="A591" i="43"/>
  <c r="U590" i="43"/>
  <c r="E590" i="43"/>
  <c r="C590" i="43"/>
  <c r="B590" i="43"/>
  <c r="A590" i="43"/>
  <c r="U589" i="43"/>
  <c r="E589" i="43"/>
  <c r="C589" i="43"/>
  <c r="B589" i="43"/>
  <c r="A589" i="43"/>
  <c r="U588" i="43"/>
  <c r="E588" i="43"/>
  <c r="C588" i="43"/>
  <c r="B588" i="43"/>
  <c r="A588" i="43"/>
  <c r="U587" i="43"/>
  <c r="E587" i="43"/>
  <c r="C587" i="43"/>
  <c r="B587" i="43"/>
  <c r="A587" i="43"/>
  <c r="U586" i="43"/>
  <c r="E586" i="43"/>
  <c r="C586" i="43"/>
  <c r="B586" i="43"/>
  <c r="A586" i="43"/>
  <c r="V585" i="43"/>
  <c r="U584" i="43"/>
  <c r="U582" i="43"/>
  <c r="U581" i="43"/>
  <c r="E581" i="43"/>
  <c r="C581" i="43"/>
  <c r="B581" i="43"/>
  <c r="A581" i="43"/>
  <c r="U580" i="43"/>
  <c r="E580" i="43"/>
  <c r="C580" i="43"/>
  <c r="B580" i="43"/>
  <c r="A580" i="43"/>
  <c r="U579" i="43"/>
  <c r="C579" i="43"/>
  <c r="B579" i="43"/>
  <c r="A579" i="43"/>
  <c r="U578" i="43"/>
  <c r="E578" i="43"/>
  <c r="C578" i="43"/>
  <c r="B578" i="43"/>
  <c r="A578" i="43"/>
  <c r="U577" i="43"/>
  <c r="E577" i="43"/>
  <c r="C577" i="43"/>
  <c r="B577" i="43"/>
  <c r="A577" i="43"/>
  <c r="U576" i="43"/>
  <c r="E576" i="43"/>
  <c r="C576" i="43"/>
  <c r="B576" i="43"/>
  <c r="A576" i="43"/>
  <c r="U575" i="43"/>
  <c r="E575" i="43"/>
  <c r="C575" i="43"/>
  <c r="B575" i="43"/>
  <c r="A575" i="43"/>
  <c r="U574" i="43"/>
  <c r="E574" i="43"/>
  <c r="C574" i="43"/>
  <c r="B574" i="43"/>
  <c r="A574" i="43"/>
  <c r="U570" i="43"/>
  <c r="E570" i="43"/>
  <c r="C570" i="43"/>
  <c r="B570" i="43"/>
  <c r="A570" i="43"/>
  <c r="U569" i="43"/>
  <c r="E569" i="43"/>
  <c r="C569" i="43"/>
  <c r="B569" i="43"/>
  <c r="A569" i="43"/>
  <c r="U568" i="43"/>
  <c r="E568" i="43"/>
  <c r="C568" i="43"/>
  <c r="B568" i="43"/>
  <c r="A568" i="43"/>
  <c r="U567" i="43"/>
  <c r="E567" i="43"/>
  <c r="C567" i="43"/>
  <c r="B567" i="43"/>
  <c r="A567" i="43"/>
  <c r="U566" i="43"/>
  <c r="E566" i="43"/>
  <c r="C566" i="43"/>
  <c r="B566" i="43"/>
  <c r="A566" i="43"/>
  <c r="U565" i="43"/>
  <c r="E565" i="43"/>
  <c r="C565" i="43"/>
  <c r="B565" i="43"/>
  <c r="A565" i="43"/>
  <c r="U564" i="43"/>
  <c r="E564" i="43"/>
  <c r="C564" i="43"/>
  <c r="B564" i="43"/>
  <c r="A564" i="43"/>
  <c r="U563" i="43"/>
  <c r="E563" i="43"/>
  <c r="C563" i="43"/>
  <c r="B563" i="43"/>
  <c r="A563" i="43"/>
  <c r="U562" i="43"/>
  <c r="E562" i="43"/>
  <c r="C562" i="43"/>
  <c r="B562" i="43"/>
  <c r="A562" i="43"/>
  <c r="U561" i="43"/>
  <c r="E561" i="43"/>
  <c r="C561" i="43"/>
  <c r="B561" i="43"/>
  <c r="A561" i="43"/>
  <c r="U560" i="43"/>
  <c r="E560" i="43"/>
  <c r="C560" i="43"/>
  <c r="B560" i="43"/>
  <c r="A560" i="43"/>
  <c r="U559" i="43"/>
  <c r="E559" i="43"/>
  <c r="C559" i="43"/>
  <c r="B559" i="43"/>
  <c r="A559" i="43"/>
  <c r="U558" i="43"/>
  <c r="E558" i="43"/>
  <c r="C558" i="43"/>
  <c r="B558" i="43"/>
  <c r="A558" i="43"/>
  <c r="U557" i="43"/>
  <c r="E557" i="43"/>
  <c r="C557" i="43"/>
  <c r="B557" i="43"/>
  <c r="A557" i="43"/>
  <c r="U556" i="43"/>
  <c r="E556" i="43"/>
  <c r="C556" i="43"/>
  <c r="B556" i="43"/>
  <c r="A556" i="43"/>
  <c r="U555" i="43"/>
  <c r="E555" i="43"/>
  <c r="C555" i="43"/>
  <c r="B555" i="43"/>
  <c r="A555" i="43"/>
  <c r="U554" i="43"/>
  <c r="E554" i="43"/>
  <c r="C554" i="43"/>
  <c r="B554" i="43"/>
  <c r="A554" i="43"/>
  <c r="U553" i="43"/>
  <c r="E553" i="43"/>
  <c r="C553" i="43"/>
  <c r="B553" i="43"/>
  <c r="A553" i="43"/>
  <c r="U552" i="43"/>
  <c r="E552" i="43"/>
  <c r="C552" i="43"/>
  <c r="B552" i="43"/>
  <c r="A552" i="43"/>
  <c r="U551" i="43"/>
  <c r="E551" i="43"/>
  <c r="C551" i="43"/>
  <c r="B551" i="43"/>
  <c r="A551" i="43"/>
  <c r="U550" i="43"/>
  <c r="E550" i="43"/>
  <c r="C550" i="43"/>
  <c r="B550" i="43"/>
  <c r="A550" i="43"/>
  <c r="U549" i="43"/>
  <c r="E549" i="43"/>
  <c r="C549" i="43"/>
  <c r="B549" i="43"/>
  <c r="A549" i="43"/>
  <c r="U548" i="43"/>
  <c r="E548" i="43"/>
  <c r="C548" i="43"/>
  <c r="B548" i="43"/>
  <c r="A548" i="43"/>
  <c r="U547" i="43"/>
  <c r="E547" i="43"/>
  <c r="C547" i="43"/>
  <c r="B547" i="43"/>
  <c r="A547" i="43"/>
  <c r="U546" i="43"/>
  <c r="E546" i="43"/>
  <c r="C546" i="43"/>
  <c r="B546" i="43"/>
  <c r="A546" i="43"/>
  <c r="U545" i="43"/>
  <c r="E545" i="43"/>
  <c r="C545" i="43"/>
  <c r="B545" i="43"/>
  <c r="A545" i="43"/>
  <c r="U544" i="43"/>
  <c r="E544" i="43"/>
  <c r="C544" i="43"/>
  <c r="B544" i="43"/>
  <c r="A544" i="43"/>
  <c r="U543" i="43"/>
  <c r="E543" i="43"/>
  <c r="C543" i="43"/>
  <c r="B543" i="43"/>
  <c r="A543" i="43"/>
  <c r="U542" i="43"/>
  <c r="E542" i="43"/>
  <c r="C542" i="43"/>
  <c r="B542" i="43"/>
  <c r="A542" i="43"/>
  <c r="U541" i="43"/>
  <c r="E541" i="43"/>
  <c r="C541" i="43"/>
  <c r="B541" i="43"/>
  <c r="A541" i="43"/>
  <c r="U540" i="43"/>
  <c r="E540" i="43"/>
  <c r="C540" i="43"/>
  <c r="B540" i="43"/>
  <c r="A540" i="43"/>
  <c r="U539" i="43"/>
  <c r="E539" i="43"/>
  <c r="C539" i="43"/>
  <c r="B539" i="43"/>
  <c r="A539" i="43"/>
  <c r="U538" i="43"/>
  <c r="E538" i="43"/>
  <c r="C538" i="43"/>
  <c r="B538" i="43"/>
  <c r="A538" i="43"/>
  <c r="U537" i="43"/>
  <c r="E537" i="43"/>
  <c r="C537" i="43"/>
  <c r="B537" i="43"/>
  <c r="A537" i="43"/>
  <c r="U536" i="43"/>
  <c r="E536" i="43"/>
  <c r="C536" i="43"/>
  <c r="B536" i="43"/>
  <c r="A536" i="43"/>
  <c r="U535" i="43"/>
  <c r="E535" i="43"/>
  <c r="C535" i="43"/>
  <c r="B535" i="43"/>
  <c r="A535" i="43"/>
  <c r="U534" i="43"/>
  <c r="E534" i="43"/>
  <c r="C534" i="43"/>
  <c r="B534" i="43"/>
  <c r="A534" i="43"/>
  <c r="U533" i="43"/>
  <c r="E533" i="43"/>
  <c r="C533" i="43"/>
  <c r="B533" i="43"/>
  <c r="A533" i="43"/>
  <c r="U532" i="43"/>
  <c r="E532" i="43"/>
  <c r="C532" i="43"/>
  <c r="B532" i="43"/>
  <c r="A532" i="43"/>
  <c r="U531" i="43"/>
  <c r="E531" i="43"/>
  <c r="C531" i="43"/>
  <c r="B531" i="43"/>
  <c r="A531" i="43"/>
  <c r="U530" i="43"/>
  <c r="E530" i="43"/>
  <c r="C530" i="43"/>
  <c r="B530" i="43"/>
  <c r="A530" i="43"/>
  <c r="U529" i="43"/>
  <c r="E529" i="43"/>
  <c r="C529" i="43"/>
  <c r="B529" i="43"/>
  <c r="A529" i="43"/>
  <c r="U528" i="43"/>
  <c r="E528" i="43"/>
  <c r="C528" i="43"/>
  <c r="B528" i="43"/>
  <c r="A528" i="43"/>
  <c r="U527" i="43"/>
  <c r="E527" i="43"/>
  <c r="C527" i="43"/>
  <c r="B527" i="43"/>
  <c r="A527" i="43"/>
  <c r="U526" i="43"/>
  <c r="E526" i="43"/>
  <c r="C526" i="43"/>
  <c r="B526" i="43"/>
  <c r="A526" i="43"/>
  <c r="U525" i="43"/>
  <c r="E525" i="43"/>
  <c r="C525" i="43"/>
  <c r="B525" i="43"/>
  <c r="A525" i="43"/>
  <c r="U524" i="43"/>
  <c r="E524" i="43"/>
  <c r="C524" i="43"/>
  <c r="B524" i="43"/>
  <c r="A524" i="43"/>
  <c r="U523" i="43"/>
  <c r="E523" i="43"/>
  <c r="C523" i="43"/>
  <c r="B523" i="43"/>
  <c r="A523" i="43"/>
  <c r="U522" i="43"/>
  <c r="E522" i="43"/>
  <c r="C522" i="43"/>
  <c r="B522" i="43"/>
  <c r="A522" i="43"/>
  <c r="U521" i="43"/>
  <c r="E521" i="43"/>
  <c r="C521" i="43"/>
  <c r="B521" i="43"/>
  <c r="A521" i="43"/>
  <c r="U520" i="43"/>
  <c r="E520" i="43"/>
  <c r="C520" i="43"/>
  <c r="B520" i="43"/>
  <c r="A520" i="43"/>
  <c r="U519" i="43"/>
  <c r="E519" i="43"/>
  <c r="C519" i="43"/>
  <c r="B519" i="43"/>
  <c r="A519" i="43"/>
  <c r="U518" i="43"/>
  <c r="E518" i="43"/>
  <c r="C518" i="43"/>
  <c r="B518" i="43"/>
  <c r="A518" i="43"/>
  <c r="U517" i="43"/>
  <c r="E517" i="43"/>
  <c r="C517" i="43"/>
  <c r="B517" i="43"/>
  <c r="A517" i="43"/>
  <c r="U516" i="43"/>
  <c r="E516" i="43"/>
  <c r="C516" i="43"/>
  <c r="B516" i="43"/>
  <c r="A516" i="43"/>
  <c r="U515" i="43"/>
  <c r="E515" i="43"/>
  <c r="C515" i="43"/>
  <c r="B515" i="43"/>
  <c r="A515" i="43"/>
  <c r="U514" i="43"/>
  <c r="E514" i="43"/>
  <c r="C514" i="43"/>
  <c r="B514" i="43"/>
  <c r="A514" i="43"/>
  <c r="U513" i="43"/>
  <c r="E513" i="43"/>
  <c r="C513" i="43"/>
  <c r="B513" i="43"/>
  <c r="A513" i="43"/>
  <c r="U512" i="43"/>
  <c r="E512" i="43"/>
  <c r="C512" i="43"/>
  <c r="B512" i="43"/>
  <c r="A512" i="43"/>
  <c r="U511" i="43"/>
  <c r="E511" i="43"/>
  <c r="C511" i="43"/>
  <c r="B511" i="43"/>
  <c r="A511" i="43"/>
  <c r="U510" i="43"/>
  <c r="E510" i="43"/>
  <c r="C510" i="43"/>
  <c r="B510" i="43"/>
  <c r="A510" i="43"/>
  <c r="U509" i="43"/>
  <c r="E509" i="43"/>
  <c r="C509" i="43"/>
  <c r="B509" i="43"/>
  <c r="A509" i="43"/>
  <c r="U508" i="43"/>
  <c r="E508" i="43"/>
  <c r="C508" i="43"/>
  <c r="B508" i="43"/>
  <c r="A508" i="43"/>
  <c r="U507" i="43"/>
  <c r="E507" i="43"/>
  <c r="C507" i="43"/>
  <c r="B507" i="43"/>
  <c r="A507" i="43"/>
  <c r="U506" i="43"/>
  <c r="E506" i="43"/>
  <c r="C506" i="43"/>
  <c r="B506" i="43"/>
  <c r="A506" i="43"/>
  <c r="U505" i="43"/>
  <c r="E505" i="43"/>
  <c r="C505" i="43"/>
  <c r="B505" i="43"/>
  <c r="A505" i="43"/>
  <c r="U504" i="43"/>
  <c r="E504" i="43"/>
  <c r="C504" i="43"/>
  <c r="B504" i="43"/>
  <c r="A504" i="43"/>
  <c r="U503" i="43"/>
  <c r="E503" i="43"/>
  <c r="C503" i="43"/>
  <c r="B503" i="43"/>
  <c r="A503" i="43"/>
  <c r="U502" i="43"/>
  <c r="E502" i="43"/>
  <c r="C502" i="43"/>
  <c r="B502" i="43"/>
  <c r="A502" i="43"/>
  <c r="U501" i="43"/>
  <c r="E501" i="43"/>
  <c r="C501" i="43"/>
  <c r="B501" i="43"/>
  <c r="A501" i="43"/>
  <c r="U500" i="43"/>
  <c r="E500" i="43"/>
  <c r="C500" i="43"/>
  <c r="B500" i="43"/>
  <c r="A500" i="43"/>
  <c r="U499" i="43"/>
  <c r="E499" i="43"/>
  <c r="C499" i="43"/>
  <c r="B499" i="43"/>
  <c r="A499" i="43"/>
  <c r="U498" i="43"/>
  <c r="E498" i="43"/>
  <c r="C498" i="43"/>
  <c r="B498" i="43"/>
  <c r="A498" i="43"/>
  <c r="U497" i="43"/>
  <c r="E497" i="43"/>
  <c r="C497" i="43"/>
  <c r="B497" i="43"/>
  <c r="A497" i="43"/>
  <c r="U496" i="43"/>
  <c r="E496" i="43"/>
  <c r="C496" i="43"/>
  <c r="B496" i="43"/>
  <c r="A496" i="43"/>
  <c r="U495" i="43"/>
  <c r="E495" i="43"/>
  <c r="C495" i="43"/>
  <c r="B495" i="43"/>
  <c r="A495" i="43"/>
  <c r="U494" i="43"/>
  <c r="E494" i="43"/>
  <c r="C494" i="43"/>
  <c r="B494" i="43"/>
  <c r="A494" i="43"/>
  <c r="U493" i="43"/>
  <c r="E493" i="43"/>
  <c r="C493" i="43"/>
  <c r="B493" i="43"/>
  <c r="A493" i="43"/>
  <c r="U492" i="43"/>
  <c r="E492" i="43"/>
  <c r="C492" i="43"/>
  <c r="B492" i="43"/>
  <c r="A492" i="43"/>
  <c r="U491" i="43"/>
  <c r="E491" i="43"/>
  <c r="C491" i="43"/>
  <c r="B491" i="43"/>
  <c r="A491" i="43"/>
  <c r="U490" i="43"/>
  <c r="E490" i="43"/>
  <c r="C490" i="43"/>
  <c r="B490" i="43"/>
  <c r="A490" i="43"/>
  <c r="U489" i="43"/>
  <c r="E489" i="43"/>
  <c r="C489" i="43"/>
  <c r="B489" i="43"/>
  <c r="A489" i="43"/>
  <c r="U488" i="43"/>
  <c r="E488" i="43"/>
  <c r="C488" i="43"/>
  <c r="B488" i="43"/>
  <c r="A488" i="43"/>
  <c r="U487" i="43"/>
  <c r="E487" i="43"/>
  <c r="C487" i="43"/>
  <c r="B487" i="43"/>
  <c r="A487" i="43"/>
  <c r="U486" i="43"/>
  <c r="E486" i="43"/>
  <c r="C486" i="43"/>
  <c r="B486" i="43"/>
  <c r="A486" i="43"/>
  <c r="U485" i="43"/>
  <c r="E485" i="43"/>
  <c r="C485" i="43"/>
  <c r="B485" i="43"/>
  <c r="A485" i="43"/>
  <c r="U484" i="43"/>
  <c r="E484" i="43"/>
  <c r="C484" i="43"/>
  <c r="B484" i="43"/>
  <c r="A484" i="43"/>
  <c r="U483" i="43"/>
  <c r="E483" i="43"/>
  <c r="C483" i="43"/>
  <c r="B483" i="43"/>
  <c r="A483" i="43"/>
  <c r="U482" i="43"/>
  <c r="E482" i="43"/>
  <c r="C482" i="43"/>
  <c r="B482" i="43"/>
  <c r="A482" i="43"/>
  <c r="U481" i="43"/>
  <c r="E481" i="43"/>
  <c r="C481" i="43"/>
  <c r="B481" i="43"/>
  <c r="A481" i="43"/>
  <c r="U480" i="43"/>
  <c r="E480" i="43"/>
  <c r="C480" i="43"/>
  <c r="B480" i="43"/>
  <c r="A480" i="43"/>
  <c r="U479" i="43"/>
  <c r="E479" i="43"/>
  <c r="C479" i="43"/>
  <c r="B479" i="43"/>
  <c r="A479" i="43"/>
  <c r="U478" i="43"/>
  <c r="E478" i="43"/>
  <c r="C478" i="43"/>
  <c r="B478" i="43"/>
  <c r="A478" i="43"/>
  <c r="U477" i="43"/>
  <c r="E477" i="43"/>
  <c r="C477" i="43"/>
  <c r="B477" i="43"/>
  <c r="A477" i="43"/>
  <c r="U476" i="43"/>
  <c r="E476" i="43"/>
  <c r="C476" i="43"/>
  <c r="B476" i="43"/>
  <c r="A476" i="43"/>
  <c r="U475" i="43"/>
  <c r="E475" i="43"/>
  <c r="C475" i="43"/>
  <c r="B475" i="43"/>
  <c r="A475" i="43"/>
  <c r="U474" i="43"/>
  <c r="E474" i="43"/>
  <c r="C474" i="43"/>
  <c r="B474" i="43"/>
  <c r="A474" i="43"/>
  <c r="U473" i="43"/>
  <c r="E473" i="43"/>
  <c r="C473" i="43"/>
  <c r="B473" i="43"/>
  <c r="A473" i="43"/>
  <c r="U472" i="43"/>
  <c r="E472" i="43"/>
  <c r="C472" i="43"/>
  <c r="B472" i="43"/>
  <c r="A472" i="43"/>
  <c r="U471" i="43"/>
  <c r="E471" i="43"/>
  <c r="C471" i="43"/>
  <c r="B471" i="43"/>
  <c r="A471" i="43"/>
  <c r="U470" i="43"/>
  <c r="E470" i="43"/>
  <c r="C470" i="43"/>
  <c r="B470" i="43"/>
  <c r="A470" i="43"/>
  <c r="U469" i="43"/>
  <c r="E469" i="43"/>
  <c r="C469" i="43"/>
  <c r="B469" i="43"/>
  <c r="A469" i="43"/>
  <c r="U468" i="43"/>
  <c r="E468" i="43"/>
  <c r="C468" i="43"/>
  <c r="B468" i="43"/>
  <c r="A468" i="43"/>
  <c r="U467" i="43"/>
  <c r="E467" i="43"/>
  <c r="C467" i="43"/>
  <c r="B467" i="43"/>
  <c r="A467" i="43"/>
  <c r="U466" i="43"/>
  <c r="E466" i="43"/>
  <c r="C466" i="43"/>
  <c r="B466" i="43"/>
  <c r="A466" i="43"/>
  <c r="U465" i="43"/>
  <c r="E465" i="43"/>
  <c r="C465" i="43"/>
  <c r="B465" i="43"/>
  <c r="A465" i="43"/>
  <c r="U464" i="43"/>
  <c r="E464" i="43"/>
  <c r="C464" i="43"/>
  <c r="B464" i="43"/>
  <c r="A464" i="43"/>
  <c r="U463" i="43"/>
  <c r="E463" i="43"/>
  <c r="C463" i="43"/>
  <c r="B463" i="43"/>
  <c r="A463" i="43"/>
  <c r="U462" i="43"/>
  <c r="E462" i="43"/>
  <c r="C462" i="43"/>
  <c r="B462" i="43"/>
  <c r="A462" i="43"/>
  <c r="U461" i="43"/>
  <c r="E461" i="43"/>
  <c r="C461" i="43"/>
  <c r="B461" i="43"/>
  <c r="A461" i="43"/>
  <c r="U460" i="43"/>
  <c r="E460" i="43"/>
  <c r="C460" i="43"/>
  <c r="B460" i="43"/>
  <c r="A460" i="43"/>
  <c r="U459" i="43"/>
  <c r="U458" i="43"/>
  <c r="V457" i="43"/>
  <c r="V456" i="43"/>
  <c r="E456" i="43"/>
  <c r="C456" i="43"/>
  <c r="B456" i="43"/>
  <c r="A456" i="43"/>
  <c r="V455" i="43"/>
  <c r="E455" i="43"/>
  <c r="C455" i="43"/>
  <c r="B455" i="43"/>
  <c r="A455" i="43"/>
  <c r="V454" i="43"/>
  <c r="C454" i="43"/>
  <c r="B454" i="43"/>
  <c r="A454" i="43"/>
  <c r="V453" i="43"/>
  <c r="E453" i="43"/>
  <c r="C453" i="43"/>
  <c r="B453" i="43"/>
  <c r="A453" i="43"/>
  <c r="V452" i="43"/>
  <c r="E452" i="43"/>
  <c r="C452" i="43"/>
  <c r="B452" i="43"/>
  <c r="A452" i="43"/>
  <c r="V451" i="43"/>
  <c r="E451" i="43"/>
  <c r="C451" i="43"/>
  <c r="B451" i="43"/>
  <c r="A451" i="43"/>
  <c r="V450" i="43"/>
  <c r="E450" i="43"/>
  <c r="C450" i="43"/>
  <c r="B450" i="43"/>
  <c r="A450" i="43"/>
  <c r="V449" i="43"/>
  <c r="E449" i="43"/>
  <c r="C449" i="43"/>
  <c r="B449" i="43"/>
  <c r="A449" i="43"/>
  <c r="V445" i="43"/>
  <c r="E445" i="43"/>
  <c r="C445" i="43"/>
  <c r="B445" i="43"/>
  <c r="A445" i="43"/>
  <c r="V444" i="43"/>
  <c r="E444" i="43"/>
  <c r="C444" i="43"/>
  <c r="B444" i="43"/>
  <c r="A444" i="43"/>
  <c r="V443" i="43"/>
  <c r="E443" i="43"/>
  <c r="C443" i="43"/>
  <c r="B443" i="43"/>
  <c r="A443" i="43"/>
  <c r="V442" i="43"/>
  <c r="E442" i="43"/>
  <c r="C442" i="43"/>
  <c r="B442" i="43"/>
  <c r="A442" i="43"/>
  <c r="V441" i="43"/>
  <c r="E441" i="43"/>
  <c r="C441" i="43"/>
  <c r="B441" i="43"/>
  <c r="A441" i="43"/>
  <c r="V440" i="43"/>
  <c r="E440" i="43"/>
  <c r="C440" i="43"/>
  <c r="B440" i="43"/>
  <c r="A440" i="43"/>
  <c r="V439" i="43"/>
  <c r="E439" i="43"/>
  <c r="C439" i="43"/>
  <c r="B439" i="43"/>
  <c r="A439" i="43"/>
  <c r="V438" i="43"/>
  <c r="E438" i="43"/>
  <c r="C438" i="43"/>
  <c r="B438" i="43"/>
  <c r="A438" i="43"/>
  <c r="V437" i="43"/>
  <c r="E437" i="43"/>
  <c r="C437" i="43"/>
  <c r="B437" i="43"/>
  <c r="A437" i="43"/>
  <c r="V436" i="43"/>
  <c r="E436" i="43"/>
  <c r="C436" i="43"/>
  <c r="B436" i="43"/>
  <c r="A436" i="43"/>
  <c r="V435" i="43"/>
  <c r="E435" i="43"/>
  <c r="C435" i="43"/>
  <c r="B435" i="43"/>
  <c r="A435" i="43"/>
  <c r="V434" i="43"/>
  <c r="E434" i="43"/>
  <c r="C434" i="43"/>
  <c r="B434" i="43"/>
  <c r="A434" i="43"/>
  <c r="V433" i="43"/>
  <c r="E433" i="43"/>
  <c r="C433" i="43"/>
  <c r="B433" i="43"/>
  <c r="A433" i="43"/>
  <c r="V432" i="43"/>
  <c r="E432" i="43"/>
  <c r="C432" i="43"/>
  <c r="B432" i="43"/>
  <c r="A432" i="43"/>
  <c r="V431" i="43"/>
  <c r="E431" i="43"/>
  <c r="C431" i="43"/>
  <c r="B431" i="43"/>
  <c r="A431" i="43"/>
  <c r="V430" i="43"/>
  <c r="E430" i="43"/>
  <c r="C430" i="43"/>
  <c r="B430" i="43"/>
  <c r="A430" i="43"/>
  <c r="V429" i="43"/>
  <c r="E429" i="43"/>
  <c r="C429" i="43"/>
  <c r="B429" i="43"/>
  <c r="A429" i="43"/>
  <c r="V428" i="43"/>
  <c r="E428" i="43"/>
  <c r="C428" i="43"/>
  <c r="B428" i="43"/>
  <c r="A428" i="43"/>
  <c r="V427" i="43"/>
  <c r="E427" i="43"/>
  <c r="C427" i="43"/>
  <c r="B427" i="43"/>
  <c r="A427" i="43"/>
  <c r="V426" i="43"/>
  <c r="E426" i="43"/>
  <c r="C426" i="43"/>
  <c r="B426" i="43"/>
  <c r="A426" i="43"/>
  <c r="V425" i="43"/>
  <c r="E425" i="43"/>
  <c r="C425" i="43"/>
  <c r="B425" i="43"/>
  <c r="A425" i="43"/>
  <c r="V424" i="43"/>
  <c r="E424" i="43"/>
  <c r="C424" i="43"/>
  <c r="B424" i="43"/>
  <c r="A424" i="43"/>
  <c r="V423" i="43"/>
  <c r="E423" i="43"/>
  <c r="C423" i="43"/>
  <c r="B423" i="43"/>
  <c r="A423" i="43"/>
  <c r="V422" i="43"/>
  <c r="E422" i="43"/>
  <c r="C422" i="43"/>
  <c r="B422" i="43"/>
  <c r="A422" i="43"/>
  <c r="V421" i="43"/>
  <c r="E421" i="43"/>
  <c r="C421" i="43"/>
  <c r="B421" i="43"/>
  <c r="A421" i="43"/>
  <c r="V420" i="43"/>
  <c r="E420" i="43"/>
  <c r="C420" i="43"/>
  <c r="B420" i="43"/>
  <c r="A420" i="43"/>
  <c r="V419" i="43"/>
  <c r="E419" i="43"/>
  <c r="C419" i="43"/>
  <c r="B419" i="43"/>
  <c r="A419" i="43"/>
  <c r="V418" i="43"/>
  <c r="E418" i="43"/>
  <c r="C418" i="43"/>
  <c r="B418" i="43"/>
  <c r="A418" i="43"/>
  <c r="V417" i="43"/>
  <c r="E417" i="43"/>
  <c r="C417" i="43"/>
  <c r="B417" i="43"/>
  <c r="A417" i="43"/>
  <c r="V416" i="43"/>
  <c r="E416" i="43"/>
  <c r="C416" i="43"/>
  <c r="B416" i="43"/>
  <c r="A416" i="43"/>
  <c r="V415" i="43"/>
  <c r="E415" i="43"/>
  <c r="C415" i="43"/>
  <c r="B415" i="43"/>
  <c r="A415" i="43"/>
  <c r="V414" i="43"/>
  <c r="E414" i="43"/>
  <c r="C414" i="43"/>
  <c r="B414" i="43"/>
  <c r="A414" i="43"/>
  <c r="V413" i="43"/>
  <c r="E413" i="43"/>
  <c r="C413" i="43"/>
  <c r="B413" i="43"/>
  <c r="A413" i="43"/>
  <c r="V412" i="43"/>
  <c r="E412" i="43"/>
  <c r="C412" i="43"/>
  <c r="B412" i="43"/>
  <c r="A412" i="43"/>
  <c r="V411" i="43"/>
  <c r="E411" i="43"/>
  <c r="C411" i="43"/>
  <c r="B411" i="43"/>
  <c r="A411" i="43"/>
  <c r="V410" i="43"/>
  <c r="E410" i="43"/>
  <c r="C410" i="43"/>
  <c r="B410" i="43"/>
  <c r="A410" i="43"/>
  <c r="V409" i="43"/>
  <c r="E409" i="43"/>
  <c r="C409" i="43"/>
  <c r="B409" i="43"/>
  <c r="A409" i="43"/>
  <c r="V408" i="43"/>
  <c r="E408" i="43"/>
  <c r="C408" i="43"/>
  <c r="B408" i="43"/>
  <c r="A408" i="43"/>
  <c r="V407" i="43"/>
  <c r="E407" i="43"/>
  <c r="C407" i="43"/>
  <c r="B407" i="43"/>
  <c r="A407" i="43"/>
  <c r="V406" i="43"/>
  <c r="E406" i="43"/>
  <c r="C406" i="43"/>
  <c r="B406" i="43"/>
  <c r="A406" i="43"/>
  <c r="V405" i="43"/>
  <c r="E405" i="43"/>
  <c r="C405" i="43"/>
  <c r="B405" i="43"/>
  <c r="A405" i="43"/>
  <c r="V404" i="43"/>
  <c r="E404" i="43"/>
  <c r="C404" i="43"/>
  <c r="B404" i="43"/>
  <c r="A404" i="43"/>
  <c r="V403" i="43"/>
  <c r="E403" i="43"/>
  <c r="C403" i="43"/>
  <c r="B403" i="43"/>
  <c r="A403" i="43"/>
  <c r="V402" i="43"/>
  <c r="E402" i="43"/>
  <c r="C402" i="43"/>
  <c r="B402" i="43"/>
  <c r="A402" i="43"/>
  <c r="V401" i="43"/>
  <c r="E401" i="43"/>
  <c r="C401" i="43"/>
  <c r="B401" i="43"/>
  <c r="A401" i="43"/>
  <c r="V400" i="43"/>
  <c r="E400" i="43"/>
  <c r="C400" i="43"/>
  <c r="B400" i="43"/>
  <c r="A400" i="43"/>
  <c r="V399" i="43"/>
  <c r="E399" i="43"/>
  <c r="C399" i="43"/>
  <c r="B399" i="43"/>
  <c r="A399" i="43"/>
  <c r="V398" i="43"/>
  <c r="E398" i="43"/>
  <c r="C398" i="43"/>
  <c r="B398" i="43"/>
  <c r="A398" i="43"/>
  <c r="V397" i="43"/>
  <c r="E397" i="43"/>
  <c r="C397" i="43"/>
  <c r="B397" i="43"/>
  <c r="A397" i="43"/>
  <c r="V396" i="43"/>
  <c r="E396" i="43"/>
  <c r="C396" i="43"/>
  <c r="B396" i="43"/>
  <c r="A396" i="43"/>
  <c r="V395" i="43"/>
  <c r="E395" i="43"/>
  <c r="C395" i="43"/>
  <c r="B395" i="43"/>
  <c r="A395" i="43"/>
  <c r="V394" i="43"/>
  <c r="E394" i="43"/>
  <c r="C394" i="43"/>
  <c r="B394" i="43"/>
  <c r="A394" i="43"/>
  <c r="V393" i="43"/>
  <c r="E393" i="43"/>
  <c r="C393" i="43"/>
  <c r="B393" i="43"/>
  <c r="A393" i="43"/>
  <c r="V392" i="43"/>
  <c r="E392" i="43"/>
  <c r="C392" i="43"/>
  <c r="B392" i="43"/>
  <c r="A392" i="43"/>
  <c r="V391" i="43"/>
  <c r="E391" i="43"/>
  <c r="C391" i="43"/>
  <c r="B391" i="43"/>
  <c r="A391" i="43"/>
  <c r="V390" i="43"/>
  <c r="E390" i="43"/>
  <c r="C390" i="43"/>
  <c r="B390" i="43"/>
  <c r="A390" i="43"/>
  <c r="V389" i="43"/>
  <c r="E389" i="43"/>
  <c r="C389" i="43"/>
  <c r="B389" i="43"/>
  <c r="A389" i="43"/>
  <c r="V388" i="43"/>
  <c r="E388" i="43"/>
  <c r="C388" i="43"/>
  <c r="B388" i="43"/>
  <c r="A388" i="43"/>
  <c r="V387" i="43"/>
  <c r="E387" i="43"/>
  <c r="C387" i="43"/>
  <c r="B387" i="43"/>
  <c r="A387" i="43"/>
  <c r="V386" i="43"/>
  <c r="E386" i="43"/>
  <c r="C386" i="43"/>
  <c r="B386" i="43"/>
  <c r="A386" i="43"/>
  <c r="V385" i="43"/>
  <c r="E385" i="43"/>
  <c r="C385" i="43"/>
  <c r="B385" i="43"/>
  <c r="A385" i="43"/>
  <c r="V384" i="43"/>
  <c r="E384" i="43"/>
  <c r="C384" i="43"/>
  <c r="B384" i="43"/>
  <c r="A384" i="43"/>
  <c r="V383" i="43"/>
  <c r="E383" i="43"/>
  <c r="C383" i="43"/>
  <c r="B383" i="43"/>
  <c r="A383" i="43"/>
  <c r="V382" i="43"/>
  <c r="E382" i="43"/>
  <c r="C382" i="43"/>
  <c r="B382" i="43"/>
  <c r="A382" i="43"/>
  <c r="V381" i="43"/>
  <c r="E381" i="43"/>
  <c r="C381" i="43"/>
  <c r="B381" i="43"/>
  <c r="A381" i="43"/>
  <c r="V380" i="43"/>
  <c r="E380" i="43"/>
  <c r="C380" i="43"/>
  <c r="B380" i="43"/>
  <c r="A380" i="43"/>
  <c r="V379" i="43"/>
  <c r="E379" i="43"/>
  <c r="C379" i="43"/>
  <c r="B379" i="43"/>
  <c r="A379" i="43"/>
  <c r="V378" i="43"/>
  <c r="E378" i="43"/>
  <c r="C378" i="43"/>
  <c r="B378" i="43"/>
  <c r="A378" i="43"/>
  <c r="V377" i="43"/>
  <c r="E377" i="43"/>
  <c r="C377" i="43"/>
  <c r="B377" i="43"/>
  <c r="A377" i="43"/>
  <c r="V376" i="43"/>
  <c r="E376" i="43"/>
  <c r="C376" i="43"/>
  <c r="B376" i="43"/>
  <c r="A376" i="43"/>
  <c r="V375" i="43"/>
  <c r="E375" i="43"/>
  <c r="C375" i="43"/>
  <c r="B375" i="43"/>
  <c r="A375" i="43"/>
  <c r="V374" i="43"/>
  <c r="E374" i="43"/>
  <c r="C374" i="43"/>
  <c r="B374" i="43"/>
  <c r="A374" i="43"/>
  <c r="V373" i="43"/>
  <c r="E373" i="43"/>
  <c r="C373" i="43"/>
  <c r="B373" i="43"/>
  <c r="A373" i="43"/>
  <c r="V372" i="43"/>
  <c r="E372" i="43"/>
  <c r="C372" i="43"/>
  <c r="B372" i="43"/>
  <c r="A372" i="43"/>
  <c r="V371" i="43"/>
  <c r="E371" i="43"/>
  <c r="C371" i="43"/>
  <c r="B371" i="43"/>
  <c r="A371" i="43"/>
  <c r="V370" i="43"/>
  <c r="E370" i="43"/>
  <c r="C370" i="43"/>
  <c r="B370" i="43"/>
  <c r="A370" i="43"/>
  <c r="V369" i="43"/>
  <c r="E369" i="43"/>
  <c r="C369" i="43"/>
  <c r="B369" i="43"/>
  <c r="A369" i="43"/>
  <c r="V368" i="43"/>
  <c r="E368" i="43"/>
  <c r="C368" i="43"/>
  <c r="B368" i="43"/>
  <c r="A368" i="43"/>
  <c r="V367" i="43"/>
  <c r="E367" i="43"/>
  <c r="C367" i="43"/>
  <c r="B367" i="43"/>
  <c r="A367" i="43"/>
  <c r="V366" i="43"/>
  <c r="E366" i="43"/>
  <c r="C366" i="43"/>
  <c r="B366" i="43"/>
  <c r="A366" i="43"/>
  <c r="V365" i="43"/>
  <c r="E365" i="43"/>
  <c r="C365" i="43"/>
  <c r="B365" i="43"/>
  <c r="A365" i="43"/>
  <c r="V364" i="43"/>
  <c r="E364" i="43"/>
  <c r="C364" i="43"/>
  <c r="B364" i="43"/>
  <c r="A364" i="43"/>
  <c r="V363" i="43"/>
  <c r="E363" i="43"/>
  <c r="C363" i="43"/>
  <c r="B363" i="43"/>
  <c r="A363" i="43"/>
  <c r="V362" i="43"/>
  <c r="E362" i="43"/>
  <c r="C362" i="43"/>
  <c r="B362" i="43"/>
  <c r="A362" i="43"/>
  <c r="V361" i="43"/>
  <c r="E361" i="43"/>
  <c r="C361" i="43"/>
  <c r="B361" i="43"/>
  <c r="A361" i="43"/>
  <c r="V360" i="43"/>
  <c r="E360" i="43"/>
  <c r="C360" i="43"/>
  <c r="B360" i="43"/>
  <c r="A360" i="43"/>
  <c r="V359" i="43"/>
  <c r="E359" i="43"/>
  <c r="C359" i="43"/>
  <c r="B359" i="43"/>
  <c r="A359" i="43"/>
  <c r="V358" i="43"/>
  <c r="E358" i="43"/>
  <c r="C358" i="43"/>
  <c r="B358" i="43"/>
  <c r="A358" i="43"/>
  <c r="V357" i="43"/>
  <c r="E357" i="43"/>
  <c r="C357" i="43"/>
  <c r="B357" i="43"/>
  <c r="A357" i="43"/>
  <c r="V356" i="43"/>
  <c r="E356" i="43"/>
  <c r="C356" i="43"/>
  <c r="B356" i="43"/>
  <c r="A356" i="43"/>
  <c r="V355" i="43"/>
  <c r="E355" i="43"/>
  <c r="C355" i="43"/>
  <c r="B355" i="43"/>
  <c r="A355" i="43"/>
  <c r="V354" i="43"/>
  <c r="E354" i="43"/>
  <c r="C354" i="43"/>
  <c r="B354" i="43"/>
  <c r="A354" i="43"/>
  <c r="V353" i="43"/>
  <c r="E353" i="43"/>
  <c r="C353" i="43"/>
  <c r="B353" i="43"/>
  <c r="A353" i="43"/>
  <c r="V352" i="43"/>
  <c r="E352" i="43"/>
  <c r="C352" i="43"/>
  <c r="B352" i="43"/>
  <c r="A352" i="43"/>
  <c r="V351" i="43"/>
  <c r="E351" i="43"/>
  <c r="C351" i="43"/>
  <c r="B351" i="43"/>
  <c r="A351" i="43"/>
  <c r="E350" i="43"/>
  <c r="C350" i="43"/>
  <c r="B350" i="43"/>
  <c r="A350" i="43"/>
  <c r="E349" i="43"/>
  <c r="C349" i="43"/>
  <c r="B349" i="43"/>
  <c r="A349" i="43"/>
  <c r="E348" i="43"/>
  <c r="C348" i="43"/>
  <c r="B348" i="43"/>
  <c r="A348" i="43"/>
  <c r="E347" i="43"/>
  <c r="C347" i="43"/>
  <c r="B347" i="43"/>
  <c r="A347" i="43"/>
  <c r="E346" i="43"/>
  <c r="C346" i="43"/>
  <c r="B346" i="43"/>
  <c r="A346" i="43"/>
  <c r="E345" i="43"/>
  <c r="C345" i="43"/>
  <c r="B345" i="43"/>
  <c r="A345" i="43"/>
  <c r="E343" i="43"/>
  <c r="C343" i="43"/>
  <c r="B343" i="43"/>
  <c r="A343" i="43"/>
  <c r="E341" i="43"/>
  <c r="C341" i="43"/>
  <c r="B341" i="43"/>
  <c r="A341" i="43"/>
  <c r="E339" i="43"/>
  <c r="C339" i="43"/>
  <c r="B339" i="43"/>
  <c r="A339" i="43"/>
  <c r="E337" i="43"/>
  <c r="C337" i="43"/>
  <c r="B337" i="43"/>
  <c r="A337" i="43"/>
  <c r="E333" i="43"/>
  <c r="C333" i="43"/>
  <c r="B333" i="43"/>
  <c r="A333" i="43"/>
  <c r="E332" i="43"/>
  <c r="C332" i="43"/>
  <c r="B332" i="43"/>
  <c r="A332" i="43"/>
  <c r="E331" i="43"/>
  <c r="C331" i="43"/>
  <c r="B331" i="43"/>
  <c r="A331" i="43"/>
  <c r="E330" i="43"/>
  <c r="C330" i="43"/>
  <c r="B330" i="43"/>
  <c r="A330" i="43"/>
  <c r="V328" i="43"/>
  <c r="E328" i="43"/>
  <c r="C328" i="43"/>
  <c r="B328" i="43"/>
  <c r="A328" i="43"/>
  <c r="V327" i="43"/>
  <c r="E327" i="43"/>
  <c r="C327" i="43"/>
  <c r="B327" i="43"/>
  <c r="A327" i="43"/>
  <c r="V326" i="43"/>
  <c r="E326" i="43"/>
  <c r="C326" i="43"/>
  <c r="B326" i="43"/>
  <c r="A326" i="43"/>
  <c r="V325" i="43"/>
  <c r="E325" i="43"/>
  <c r="C325" i="43"/>
  <c r="B325" i="43"/>
  <c r="A325" i="43"/>
  <c r="V324" i="43"/>
  <c r="E324" i="43"/>
  <c r="C324" i="43"/>
  <c r="B324" i="43"/>
  <c r="A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298" i="43"/>
  <c r="U298" i="43"/>
  <c r="E298" i="43"/>
  <c r="C298" i="43"/>
  <c r="B298" i="43"/>
  <c r="A298" i="43"/>
  <c r="V297" i="43"/>
  <c r="U297" i="43"/>
  <c r="G297" i="43"/>
  <c r="V296" i="43"/>
  <c r="U296" i="43"/>
  <c r="G296" i="43"/>
  <c r="U295" i="43"/>
  <c r="G295" i="43"/>
  <c r="U294" i="43"/>
  <c r="G294" i="43"/>
  <c r="E294" i="43"/>
  <c r="C294" i="43"/>
  <c r="B294" i="43"/>
  <c r="A294" i="43"/>
  <c r="U293" i="43"/>
  <c r="G293" i="43"/>
  <c r="E293" i="43"/>
  <c r="C293" i="43"/>
  <c r="B293" i="43"/>
  <c r="A293" i="43"/>
  <c r="U292" i="43"/>
  <c r="G292" i="43"/>
  <c r="E292" i="43"/>
  <c r="C292" i="43"/>
  <c r="B292" i="43"/>
  <c r="A292" i="43"/>
  <c r="U291" i="43"/>
  <c r="G291" i="43"/>
  <c r="E291" i="43"/>
  <c r="C291" i="43"/>
  <c r="B291" i="43"/>
  <c r="A291" i="43"/>
  <c r="U290" i="43"/>
  <c r="G290" i="43"/>
  <c r="E290" i="43"/>
  <c r="C290" i="43"/>
  <c r="B290" i="43"/>
  <c r="A290" i="43"/>
  <c r="U289" i="43"/>
  <c r="G289" i="43"/>
  <c r="E289" i="43"/>
  <c r="C289" i="43"/>
  <c r="B289" i="43"/>
  <c r="A289" i="43"/>
  <c r="U288" i="43"/>
  <c r="G288" i="43"/>
  <c r="E288" i="43"/>
  <c r="C288" i="43"/>
  <c r="B288" i="43"/>
  <c r="A288" i="43"/>
  <c r="U287" i="43"/>
  <c r="G287" i="43"/>
  <c r="E287" i="43"/>
  <c r="C287" i="43"/>
  <c r="B287" i="43"/>
  <c r="A287" i="43"/>
  <c r="U286" i="43"/>
  <c r="G286" i="43"/>
  <c r="E286" i="43"/>
  <c r="C286" i="43"/>
  <c r="B286" i="43"/>
  <c r="A286" i="43"/>
  <c r="U285" i="43"/>
  <c r="G285" i="43"/>
  <c r="E285" i="43"/>
  <c r="C285" i="43"/>
  <c r="B285" i="43"/>
  <c r="A285" i="43"/>
  <c r="U284" i="43"/>
  <c r="G284" i="43"/>
  <c r="E284" i="43"/>
  <c r="C284" i="43"/>
  <c r="B284" i="43"/>
  <c r="A284" i="43"/>
  <c r="U283" i="43"/>
  <c r="G283" i="43"/>
  <c r="E283" i="43"/>
  <c r="C283" i="43"/>
  <c r="B283" i="43"/>
  <c r="A283" i="43"/>
  <c r="U282" i="43"/>
  <c r="G282" i="43"/>
  <c r="E282" i="43"/>
  <c r="C282" i="43"/>
  <c r="B282" i="43"/>
  <c r="A282" i="43"/>
  <c r="U281" i="43"/>
  <c r="G281" i="43"/>
  <c r="E281" i="43"/>
  <c r="C281" i="43"/>
  <c r="B281" i="43"/>
  <c r="A281" i="43"/>
  <c r="U280" i="43"/>
  <c r="G280" i="43"/>
  <c r="E280" i="43"/>
  <c r="C280" i="43"/>
  <c r="B280" i="43"/>
  <c r="A280" i="43"/>
  <c r="U279" i="43"/>
  <c r="G279" i="43"/>
  <c r="E279" i="43"/>
  <c r="C279" i="43"/>
  <c r="B279" i="43"/>
  <c r="A279" i="43"/>
  <c r="U278" i="43"/>
  <c r="G278" i="43"/>
  <c r="E278" i="43"/>
  <c r="C278" i="43"/>
  <c r="B278" i="43"/>
  <c r="A278" i="43"/>
  <c r="G272" i="43"/>
  <c r="E272" i="43"/>
  <c r="C272" i="43"/>
  <c r="B272" i="43"/>
  <c r="A272" i="43"/>
  <c r="G271" i="43"/>
  <c r="E271" i="43"/>
  <c r="C271" i="43"/>
  <c r="B271" i="43"/>
  <c r="A271" i="43"/>
  <c r="G270" i="43"/>
  <c r="E270" i="43"/>
  <c r="C270" i="43"/>
  <c r="B270" i="43"/>
  <c r="A270" i="43"/>
  <c r="U269" i="43"/>
  <c r="G269" i="43"/>
  <c r="E269" i="43"/>
  <c r="C269" i="43"/>
  <c r="B269" i="43"/>
  <c r="A269" i="43"/>
  <c r="U268" i="43"/>
  <c r="G268" i="43"/>
  <c r="E268" i="43"/>
  <c r="C268" i="43"/>
  <c r="B268" i="43"/>
  <c r="A268" i="43"/>
  <c r="U267" i="43"/>
  <c r="G267" i="43"/>
  <c r="E267" i="43"/>
  <c r="C267" i="43"/>
  <c r="B267" i="43"/>
  <c r="A267" i="43"/>
  <c r="U266" i="43"/>
  <c r="G266" i="43"/>
  <c r="E266" i="43"/>
  <c r="C266" i="43"/>
  <c r="B266" i="43"/>
  <c r="A266" i="43"/>
  <c r="U265" i="43"/>
  <c r="G265" i="43"/>
  <c r="E265" i="43"/>
  <c r="C265" i="43"/>
  <c r="B265" i="43"/>
  <c r="A265" i="43"/>
  <c r="U264" i="43"/>
  <c r="G264" i="43"/>
  <c r="E264" i="43"/>
  <c r="C264" i="43"/>
  <c r="B264" i="43"/>
  <c r="A264" i="43"/>
  <c r="U263" i="43"/>
  <c r="G263" i="43"/>
  <c r="E263" i="43"/>
  <c r="C263" i="43"/>
  <c r="B263" i="43"/>
  <c r="A263" i="43"/>
  <c r="U262" i="43"/>
  <c r="G262" i="43"/>
  <c r="E262" i="43"/>
  <c r="C262" i="43"/>
  <c r="B262" i="43"/>
  <c r="A262" i="43"/>
  <c r="U261" i="43"/>
  <c r="G261" i="43"/>
  <c r="E261" i="43"/>
  <c r="C261" i="43"/>
  <c r="B261" i="43"/>
  <c r="A261" i="43"/>
  <c r="U260" i="43"/>
  <c r="G260" i="43"/>
  <c r="E260" i="43"/>
  <c r="C260" i="43"/>
  <c r="B260" i="43"/>
  <c r="A260" i="43"/>
  <c r="U259" i="43"/>
  <c r="G259" i="43"/>
  <c r="E259" i="43"/>
  <c r="C259" i="43"/>
  <c r="B259" i="43"/>
  <c r="A259" i="43"/>
  <c r="U258" i="43"/>
  <c r="G258" i="43"/>
  <c r="E258" i="43"/>
  <c r="C258" i="43"/>
  <c r="B258" i="43"/>
  <c r="A258" i="43"/>
  <c r="U257" i="43"/>
  <c r="G257" i="43"/>
  <c r="E257" i="43"/>
  <c r="C257" i="43"/>
  <c r="B257" i="43"/>
  <c r="A257" i="43"/>
  <c r="U256" i="43"/>
  <c r="G256" i="43"/>
  <c r="E256" i="43"/>
  <c r="C256" i="43"/>
  <c r="B256" i="43"/>
  <c r="A256" i="43"/>
  <c r="U255" i="43"/>
  <c r="G255" i="43"/>
  <c r="E255" i="43"/>
  <c r="C255" i="43"/>
  <c r="B255" i="43"/>
  <c r="A255" i="43"/>
  <c r="U254" i="43"/>
  <c r="G254" i="43"/>
  <c r="E254" i="43"/>
  <c r="C254" i="43"/>
  <c r="B254" i="43"/>
  <c r="A254" i="43"/>
  <c r="U253" i="43"/>
  <c r="G253" i="43"/>
  <c r="E253" i="43"/>
  <c r="C253" i="43"/>
  <c r="B253" i="43"/>
  <c r="A253" i="43"/>
  <c r="U252" i="43"/>
  <c r="G252" i="43"/>
  <c r="E252" i="43"/>
  <c r="C252" i="43"/>
  <c r="B252" i="43"/>
  <c r="A252" i="43"/>
  <c r="U251" i="43"/>
  <c r="G251" i="43"/>
  <c r="E251" i="43"/>
  <c r="C251" i="43"/>
  <c r="B251" i="43"/>
  <c r="A251" i="43"/>
  <c r="U250" i="43"/>
  <c r="G250" i="43"/>
  <c r="E250" i="43"/>
  <c r="C250" i="43"/>
  <c r="B250" i="43"/>
  <c r="A250" i="43"/>
  <c r="U249" i="43"/>
  <c r="G249" i="43"/>
  <c r="E249" i="43"/>
  <c r="C249" i="43"/>
  <c r="B249" i="43"/>
  <c r="A249" i="43"/>
  <c r="U248" i="43"/>
  <c r="G248" i="43"/>
  <c r="E248" i="43"/>
  <c r="C248" i="43"/>
  <c r="B248" i="43"/>
  <c r="A248" i="43"/>
  <c r="U247" i="43"/>
  <c r="G247" i="43"/>
  <c r="E247" i="43"/>
  <c r="C247" i="43"/>
  <c r="B247" i="43"/>
  <c r="A247" i="43"/>
  <c r="U246" i="43"/>
  <c r="G246" i="43"/>
  <c r="E246" i="43"/>
  <c r="C246" i="43"/>
  <c r="B246" i="43"/>
  <c r="A246" i="43"/>
  <c r="U245" i="43"/>
  <c r="G245" i="43"/>
  <c r="E245" i="43"/>
  <c r="C245" i="43"/>
  <c r="B245" i="43"/>
  <c r="A245" i="43"/>
  <c r="U244" i="43"/>
  <c r="G244" i="43"/>
  <c r="E244" i="43"/>
  <c r="C244" i="43"/>
  <c r="B244" i="43"/>
  <c r="A244" i="43"/>
  <c r="U243" i="43"/>
  <c r="G243" i="43"/>
  <c r="E243" i="43"/>
  <c r="C243" i="43"/>
  <c r="B243" i="43"/>
  <c r="A243" i="43"/>
  <c r="U242" i="43"/>
  <c r="G242" i="43"/>
  <c r="E242" i="43"/>
  <c r="C242" i="43"/>
  <c r="B242" i="43"/>
  <c r="A242" i="43"/>
  <c r="U241" i="43"/>
  <c r="G241" i="43"/>
  <c r="E241" i="43"/>
  <c r="C241" i="43"/>
  <c r="B241" i="43"/>
  <c r="A241" i="43"/>
  <c r="U240" i="43"/>
  <c r="G240" i="43"/>
  <c r="E240" i="43"/>
  <c r="C240" i="43"/>
  <c r="B240" i="43"/>
  <c r="A240" i="43"/>
  <c r="U239" i="43"/>
  <c r="G239" i="43"/>
  <c r="U238" i="43"/>
  <c r="G238" i="43"/>
  <c r="U237" i="43"/>
  <c r="G237" i="43"/>
  <c r="U236" i="43"/>
  <c r="G236" i="43"/>
  <c r="E236" i="43"/>
  <c r="C236" i="43"/>
  <c r="B236" i="43"/>
  <c r="A236" i="43"/>
  <c r="U235" i="43"/>
  <c r="G235" i="43"/>
  <c r="C235" i="43"/>
  <c r="B235" i="43"/>
  <c r="A235" i="43"/>
  <c r="U234" i="43"/>
  <c r="G234" i="43"/>
  <c r="E234" i="43"/>
  <c r="C234" i="43"/>
  <c r="B234" i="43"/>
  <c r="A234" i="43"/>
  <c r="U233" i="43"/>
  <c r="G233" i="43"/>
  <c r="E233" i="43"/>
  <c r="C233" i="43"/>
  <c r="B233" i="43"/>
  <c r="A233" i="43"/>
  <c r="U232" i="43"/>
  <c r="G232" i="43"/>
  <c r="E232" i="43"/>
  <c r="C232" i="43"/>
  <c r="B232" i="43"/>
  <c r="A232" i="43"/>
  <c r="U231" i="43"/>
  <c r="G231" i="43"/>
  <c r="E231" i="43"/>
  <c r="C231" i="43"/>
  <c r="B231" i="43"/>
  <c r="A231" i="43"/>
  <c r="U230" i="43"/>
  <c r="G230" i="43"/>
  <c r="E230" i="43"/>
  <c r="C230" i="43"/>
  <c r="B230" i="43"/>
  <c r="A230" i="43"/>
  <c r="U229" i="43"/>
  <c r="G229" i="43"/>
  <c r="E229" i="43"/>
  <c r="C229" i="43"/>
  <c r="B229" i="43"/>
  <c r="A229" i="43"/>
  <c r="U228" i="43"/>
  <c r="G228" i="43"/>
  <c r="E228" i="43"/>
  <c r="C228" i="43"/>
  <c r="B228" i="43"/>
  <c r="A228" i="43"/>
  <c r="U227" i="43"/>
  <c r="G227" i="43"/>
  <c r="E227" i="43"/>
  <c r="C227" i="43"/>
  <c r="B227" i="43"/>
  <c r="A227" i="43"/>
  <c r="U226" i="43"/>
  <c r="G226" i="43"/>
  <c r="E226" i="43"/>
  <c r="C226" i="43"/>
  <c r="B226" i="43"/>
  <c r="A226" i="43"/>
  <c r="U225" i="43"/>
  <c r="G225" i="43"/>
  <c r="E225" i="43"/>
  <c r="C225" i="43"/>
  <c r="B225" i="43"/>
  <c r="A225" i="43"/>
  <c r="U224" i="43"/>
  <c r="G224" i="43"/>
  <c r="E224" i="43"/>
  <c r="C224" i="43"/>
  <c r="B224" i="43"/>
  <c r="A224" i="43"/>
  <c r="U223" i="43"/>
  <c r="G223" i="43"/>
  <c r="E223" i="43"/>
  <c r="C223" i="43"/>
  <c r="B223" i="43"/>
  <c r="A223" i="43"/>
  <c r="U222" i="43"/>
  <c r="G222" i="43"/>
  <c r="E222" i="43"/>
  <c r="C222" i="43"/>
  <c r="B222" i="43"/>
  <c r="A222" i="43"/>
  <c r="U221" i="43"/>
  <c r="G221" i="43"/>
  <c r="E221" i="43"/>
  <c r="C221" i="43"/>
  <c r="B221" i="43"/>
  <c r="A221" i="43"/>
  <c r="U220" i="43"/>
  <c r="G220" i="43"/>
  <c r="E220" i="43"/>
  <c r="C220" i="43"/>
  <c r="B220" i="43"/>
  <c r="A220" i="43"/>
  <c r="U219" i="43"/>
  <c r="G219" i="43"/>
  <c r="E219" i="43"/>
  <c r="C219" i="43"/>
  <c r="B219" i="43"/>
  <c r="A219" i="43"/>
  <c r="U218" i="43"/>
  <c r="G218" i="43"/>
  <c r="E218" i="43"/>
  <c r="C218" i="43"/>
  <c r="B218" i="43"/>
  <c r="A218" i="43"/>
  <c r="U217" i="43"/>
  <c r="G217" i="43"/>
  <c r="E217" i="43"/>
  <c r="C217" i="43"/>
  <c r="B217" i="43"/>
  <c r="A217" i="43"/>
  <c r="U216" i="43"/>
  <c r="G216" i="43"/>
  <c r="E216" i="43"/>
  <c r="C216" i="43"/>
  <c r="B216" i="43"/>
  <c r="A216" i="43"/>
  <c r="U215" i="43"/>
  <c r="G215" i="43"/>
  <c r="E215" i="43"/>
  <c r="C215" i="43"/>
  <c r="B215" i="43"/>
  <c r="A215" i="43"/>
  <c r="U214" i="43"/>
  <c r="G214" i="43"/>
  <c r="E214" i="43"/>
  <c r="C214" i="43"/>
  <c r="B214" i="43"/>
  <c r="A214" i="43"/>
  <c r="U213" i="43"/>
  <c r="G213" i="43"/>
  <c r="E213" i="43"/>
  <c r="C213" i="43"/>
  <c r="B213" i="43"/>
  <c r="A213" i="43"/>
  <c r="U212" i="43"/>
  <c r="G212" i="43"/>
  <c r="E212" i="43"/>
  <c r="C212" i="43"/>
  <c r="B212" i="43"/>
  <c r="A212" i="43"/>
  <c r="U211" i="43"/>
  <c r="G211" i="43"/>
  <c r="E211" i="43"/>
  <c r="C211" i="43"/>
  <c r="B211" i="43"/>
  <c r="A211" i="43"/>
  <c r="U210" i="43"/>
  <c r="G210" i="43"/>
  <c r="E210" i="43"/>
  <c r="C210" i="43"/>
  <c r="B210" i="43"/>
  <c r="A210" i="43"/>
  <c r="U209" i="43"/>
  <c r="G209" i="43"/>
  <c r="E209" i="43"/>
  <c r="C209" i="43"/>
  <c r="B209" i="43"/>
  <c r="A209" i="43"/>
  <c r="U208" i="43"/>
  <c r="G208" i="43"/>
  <c r="E208" i="43"/>
  <c r="C208" i="43"/>
  <c r="B208" i="43"/>
  <c r="A208" i="43"/>
  <c r="U207" i="43"/>
  <c r="G207" i="43"/>
  <c r="E207" i="43"/>
  <c r="C207" i="43"/>
  <c r="B207" i="43"/>
  <c r="A207" i="43"/>
  <c r="U206" i="43"/>
  <c r="G206" i="43"/>
  <c r="E206" i="43"/>
  <c r="C206" i="43"/>
  <c r="B206" i="43"/>
  <c r="A206" i="43"/>
  <c r="U205" i="43"/>
  <c r="G205" i="43"/>
  <c r="E205" i="43"/>
  <c r="C205" i="43"/>
  <c r="B205" i="43"/>
  <c r="A205" i="43"/>
  <c r="U204" i="43"/>
  <c r="G204" i="43"/>
  <c r="E204" i="43"/>
  <c r="C204" i="43"/>
  <c r="B204" i="43"/>
  <c r="A204" i="43"/>
  <c r="U203" i="43"/>
  <c r="G203" i="43"/>
  <c r="E203" i="43"/>
  <c r="C203" i="43"/>
  <c r="B203" i="43"/>
  <c r="A203" i="43"/>
  <c r="U202" i="43"/>
  <c r="G202" i="43"/>
  <c r="E202" i="43"/>
  <c r="C202" i="43"/>
  <c r="B202" i="43"/>
  <c r="A202" i="43"/>
  <c r="U201" i="43"/>
  <c r="G201" i="43"/>
  <c r="E201" i="43"/>
  <c r="C201" i="43"/>
  <c r="B201" i="43"/>
  <c r="A201" i="43"/>
  <c r="U200" i="43"/>
  <c r="G200" i="43"/>
  <c r="E200" i="43"/>
  <c r="C200" i="43"/>
  <c r="B200" i="43"/>
  <c r="A200" i="43"/>
  <c r="U199" i="43"/>
  <c r="G199" i="43"/>
  <c r="E199" i="43"/>
  <c r="C199" i="43"/>
  <c r="B199" i="43"/>
  <c r="A199" i="43"/>
  <c r="U198" i="43"/>
  <c r="G198" i="43"/>
  <c r="E198" i="43"/>
  <c r="C198" i="43"/>
  <c r="B198" i="43"/>
  <c r="A198" i="43"/>
  <c r="U197" i="43"/>
  <c r="G197" i="43"/>
  <c r="E197" i="43"/>
  <c r="C197" i="43"/>
  <c r="B197" i="43"/>
  <c r="A197" i="43"/>
  <c r="U196" i="43"/>
  <c r="G196" i="43"/>
  <c r="E196" i="43"/>
  <c r="C196" i="43"/>
  <c r="B196" i="43"/>
  <c r="A196" i="43"/>
  <c r="U195" i="43"/>
  <c r="G195" i="43"/>
  <c r="E195" i="43"/>
  <c r="C195" i="43"/>
  <c r="B195" i="43"/>
  <c r="A195" i="43"/>
  <c r="U194" i="43"/>
  <c r="G194" i="43"/>
  <c r="E194" i="43"/>
  <c r="C194" i="43"/>
  <c r="B194" i="43"/>
  <c r="A194" i="43"/>
  <c r="U193" i="43"/>
  <c r="G193" i="43"/>
  <c r="E193" i="43"/>
  <c r="C193" i="43"/>
  <c r="B193" i="43"/>
  <c r="A193" i="43"/>
  <c r="U192" i="43"/>
  <c r="G192" i="43"/>
  <c r="E192" i="43"/>
  <c r="C192" i="43"/>
  <c r="B192" i="43"/>
  <c r="A192" i="43"/>
  <c r="U191" i="43"/>
  <c r="G191" i="43"/>
  <c r="E191" i="43"/>
  <c r="C191" i="43"/>
  <c r="B191" i="43"/>
  <c r="A191" i="43"/>
  <c r="U190" i="43"/>
  <c r="G190" i="43"/>
  <c r="E190" i="43"/>
  <c r="C190" i="43"/>
  <c r="B190" i="43"/>
  <c r="A190" i="43"/>
  <c r="U189" i="43"/>
  <c r="G189" i="43"/>
  <c r="E189" i="43"/>
  <c r="C189" i="43"/>
  <c r="B189" i="43"/>
  <c r="A189" i="43"/>
  <c r="U188" i="43"/>
  <c r="G188" i="43"/>
  <c r="E188" i="43"/>
  <c r="C188" i="43"/>
  <c r="B188" i="43"/>
  <c r="A188" i="43"/>
  <c r="U187" i="43"/>
  <c r="G187" i="43"/>
  <c r="E187" i="43"/>
  <c r="C187" i="43"/>
  <c r="B187" i="43"/>
  <c r="A187" i="43"/>
  <c r="U186" i="43"/>
  <c r="G186" i="43"/>
  <c r="E186" i="43"/>
  <c r="C186" i="43"/>
  <c r="B186" i="43"/>
  <c r="A186" i="43"/>
  <c r="U185" i="43"/>
  <c r="G185" i="43"/>
  <c r="E185" i="43"/>
  <c r="C185" i="43"/>
  <c r="B185" i="43"/>
  <c r="A185" i="43"/>
  <c r="U184" i="43"/>
  <c r="G184" i="43"/>
  <c r="E184" i="43"/>
  <c r="C184" i="43"/>
  <c r="B184" i="43"/>
  <c r="A184" i="43"/>
  <c r="U183" i="43"/>
  <c r="G183" i="43"/>
  <c r="E183" i="43"/>
  <c r="C183" i="43"/>
  <c r="B183" i="43"/>
  <c r="A183" i="43"/>
  <c r="U182" i="43"/>
  <c r="G182" i="43"/>
  <c r="E182" i="43"/>
  <c r="C182" i="43"/>
  <c r="B182" i="43"/>
  <c r="A182" i="43"/>
  <c r="U181" i="43"/>
  <c r="G181" i="43"/>
  <c r="E181" i="43"/>
  <c r="C181" i="43"/>
  <c r="B181" i="43"/>
  <c r="A181" i="43"/>
  <c r="U180" i="43"/>
  <c r="G180" i="43"/>
  <c r="E180" i="43"/>
  <c r="C180" i="43"/>
  <c r="B180" i="43"/>
  <c r="A180" i="43"/>
  <c r="U179" i="43"/>
  <c r="G179" i="43"/>
  <c r="E179" i="43"/>
  <c r="C179" i="43"/>
  <c r="B179" i="43"/>
  <c r="A179" i="43"/>
  <c r="U178" i="43"/>
  <c r="G178" i="43"/>
  <c r="E178" i="43"/>
  <c r="C178" i="43"/>
  <c r="B178" i="43"/>
  <c r="A178" i="43"/>
  <c r="U177" i="43"/>
  <c r="G177" i="43"/>
  <c r="E177" i="43"/>
  <c r="C177" i="43"/>
  <c r="B177" i="43"/>
  <c r="A177" i="43"/>
  <c r="U176" i="43"/>
  <c r="G176" i="43"/>
  <c r="E176" i="43"/>
  <c r="C176" i="43"/>
  <c r="B176" i="43"/>
  <c r="A176" i="43"/>
  <c r="U175" i="43"/>
  <c r="G175" i="43"/>
  <c r="E175" i="43"/>
  <c r="C175" i="43"/>
  <c r="B175" i="43"/>
  <c r="A175" i="43"/>
  <c r="U174" i="43"/>
  <c r="G174" i="43"/>
  <c r="E174" i="43"/>
  <c r="C174" i="43"/>
  <c r="B174" i="43"/>
  <c r="A174" i="43"/>
  <c r="U173" i="43"/>
  <c r="G173" i="43"/>
  <c r="E173" i="43"/>
  <c r="C173" i="43"/>
  <c r="B173" i="43"/>
  <c r="A173" i="43"/>
  <c r="U172" i="43"/>
  <c r="G172" i="43"/>
  <c r="E172" i="43"/>
  <c r="C172" i="43"/>
  <c r="B172" i="43"/>
  <c r="A172" i="43"/>
  <c r="U171" i="43"/>
  <c r="G171" i="43"/>
  <c r="E171" i="43"/>
  <c r="C171" i="43"/>
  <c r="B171" i="43"/>
  <c r="A171" i="43"/>
  <c r="U170" i="43"/>
  <c r="G170" i="43"/>
  <c r="E170" i="43"/>
  <c r="C170" i="43"/>
  <c r="B170" i="43"/>
  <c r="A170" i="43"/>
  <c r="U169" i="43"/>
  <c r="G169" i="43"/>
  <c r="E169" i="43"/>
  <c r="C169" i="43"/>
  <c r="B169" i="43"/>
  <c r="A169" i="43"/>
  <c r="U168" i="43"/>
  <c r="G168" i="43"/>
  <c r="E168" i="43"/>
  <c r="C168" i="43"/>
  <c r="B168" i="43"/>
  <c r="A168" i="43"/>
  <c r="U167" i="43"/>
  <c r="G167" i="43"/>
  <c r="E167" i="43"/>
  <c r="C167" i="43"/>
  <c r="B167" i="43"/>
  <c r="A167" i="43"/>
  <c r="U166" i="43"/>
  <c r="G166" i="43"/>
  <c r="E166" i="43"/>
  <c r="C166" i="43"/>
  <c r="B166" i="43"/>
  <c r="A166" i="43"/>
  <c r="U165" i="43"/>
  <c r="G165" i="43"/>
  <c r="E165" i="43"/>
  <c r="C165" i="43"/>
  <c r="B165" i="43"/>
  <c r="A165" i="43"/>
  <c r="U164" i="43"/>
  <c r="G164" i="43"/>
  <c r="E164" i="43"/>
  <c r="C164" i="43"/>
  <c r="B164" i="43"/>
  <c r="A164" i="43"/>
  <c r="U163" i="43"/>
  <c r="G163" i="43"/>
  <c r="E163" i="43"/>
  <c r="C163" i="43"/>
  <c r="B163" i="43"/>
  <c r="A163" i="43"/>
  <c r="U162" i="43"/>
  <c r="G162" i="43"/>
  <c r="E162" i="43"/>
  <c r="C162" i="43"/>
  <c r="B162" i="43"/>
  <c r="A162" i="43"/>
  <c r="U161" i="43"/>
  <c r="G161" i="43"/>
  <c r="E161" i="43"/>
  <c r="C161" i="43"/>
  <c r="B161" i="43"/>
  <c r="A161" i="43"/>
  <c r="U160" i="43"/>
  <c r="G160" i="43"/>
  <c r="E160" i="43"/>
  <c r="C160" i="43"/>
  <c r="B160" i="43"/>
  <c r="A160" i="43"/>
  <c r="U159" i="43"/>
  <c r="G159" i="43"/>
  <c r="E159" i="43"/>
  <c r="C159" i="43"/>
  <c r="B159" i="43"/>
  <c r="A159" i="43"/>
  <c r="U158" i="43"/>
  <c r="G158" i="43"/>
  <c r="E158" i="43"/>
  <c r="C158" i="43"/>
  <c r="B158" i="43"/>
  <c r="A158" i="43"/>
  <c r="U157" i="43"/>
  <c r="G157" i="43"/>
  <c r="E157" i="43"/>
  <c r="C157" i="43"/>
  <c r="B157" i="43"/>
  <c r="A157" i="43"/>
  <c r="U156" i="43"/>
  <c r="G156" i="43"/>
  <c r="E156" i="43"/>
  <c r="C156" i="43"/>
  <c r="B156" i="43"/>
  <c r="A156" i="43"/>
  <c r="U155" i="43"/>
  <c r="G155" i="43"/>
  <c r="E155" i="43"/>
  <c r="C155" i="43"/>
  <c r="B155" i="43"/>
  <c r="A155" i="43"/>
  <c r="U154" i="43"/>
  <c r="G154" i="43"/>
  <c r="E154" i="43"/>
  <c r="C154" i="43"/>
  <c r="B154" i="43"/>
  <c r="A154" i="43"/>
  <c r="U153" i="43"/>
  <c r="G153" i="43"/>
  <c r="E153" i="43"/>
  <c r="C153" i="43"/>
  <c r="B153" i="43"/>
  <c r="A153" i="43"/>
  <c r="U152" i="43"/>
  <c r="G152" i="43"/>
  <c r="E152" i="43"/>
  <c r="C152" i="43"/>
  <c r="B152" i="43"/>
  <c r="A152" i="43"/>
  <c r="U151" i="43"/>
  <c r="G151" i="43"/>
  <c r="E151" i="43"/>
  <c r="C151" i="43"/>
  <c r="B151" i="43"/>
  <c r="A151" i="43"/>
  <c r="U150" i="43"/>
  <c r="G150" i="43"/>
  <c r="E150" i="43"/>
  <c r="C150" i="43"/>
  <c r="B150" i="43"/>
  <c r="A150" i="43"/>
  <c r="U149" i="43"/>
  <c r="G149" i="43"/>
  <c r="E149" i="43"/>
  <c r="C149" i="43"/>
  <c r="B149" i="43"/>
  <c r="A149" i="43"/>
  <c r="U148" i="43"/>
  <c r="G148" i="43"/>
  <c r="E148" i="43"/>
  <c r="C148" i="43"/>
  <c r="B148" i="43"/>
  <c r="A148" i="43"/>
  <c r="U147" i="43"/>
  <c r="G147" i="43"/>
  <c r="E147" i="43"/>
  <c r="C147" i="43"/>
  <c r="B147" i="43"/>
  <c r="A147" i="43"/>
  <c r="V146" i="43"/>
  <c r="U146" i="43"/>
  <c r="G146" i="43"/>
  <c r="V145" i="43"/>
  <c r="U145" i="43"/>
  <c r="G145" i="43"/>
  <c r="V144" i="43"/>
  <c r="V143" i="43"/>
  <c r="G143" i="43"/>
  <c r="E143" i="43"/>
  <c r="C143" i="43"/>
  <c r="B143" i="43"/>
  <c r="A143" i="43"/>
  <c r="V142" i="43"/>
  <c r="G142" i="43"/>
  <c r="E142" i="43"/>
  <c r="C142" i="43"/>
  <c r="B142" i="43"/>
  <c r="A142" i="43"/>
  <c r="V141" i="43"/>
  <c r="G141" i="43"/>
  <c r="E141" i="43"/>
  <c r="C141" i="43"/>
  <c r="B141" i="43"/>
  <c r="A141" i="43"/>
  <c r="V140" i="43"/>
  <c r="G140" i="43"/>
  <c r="E140" i="43"/>
  <c r="C140" i="43"/>
  <c r="B140" i="43"/>
  <c r="A140" i="43"/>
  <c r="V139" i="43"/>
  <c r="G139" i="43"/>
  <c r="E139" i="43"/>
  <c r="C139" i="43"/>
  <c r="B139" i="43"/>
  <c r="A139" i="43"/>
  <c r="V138" i="43"/>
  <c r="G138" i="43"/>
  <c r="E138" i="43"/>
  <c r="C138" i="43"/>
  <c r="B138" i="43"/>
  <c r="A138" i="43"/>
  <c r="V137" i="43"/>
  <c r="G137" i="43"/>
  <c r="E137" i="43"/>
  <c r="C137" i="43"/>
  <c r="B137" i="43"/>
  <c r="A137" i="43"/>
  <c r="V136" i="43"/>
  <c r="G136" i="43"/>
  <c r="E136" i="43"/>
  <c r="C136" i="43"/>
  <c r="B136" i="43"/>
  <c r="A136" i="43"/>
  <c r="V135" i="43"/>
  <c r="G135" i="43"/>
  <c r="E135" i="43"/>
  <c r="C135" i="43"/>
  <c r="B135" i="43"/>
  <c r="A135" i="43"/>
  <c r="V134" i="43"/>
  <c r="G134" i="43"/>
  <c r="E134" i="43"/>
  <c r="C134" i="43"/>
  <c r="B134" i="43"/>
  <c r="A134" i="43"/>
  <c r="V133" i="43"/>
  <c r="G133" i="43"/>
  <c r="E133" i="43"/>
  <c r="C133" i="43"/>
  <c r="B133" i="43"/>
  <c r="A133" i="43"/>
  <c r="V132" i="43"/>
  <c r="G132" i="43"/>
  <c r="E132" i="43"/>
  <c r="C132" i="43"/>
  <c r="B132" i="43"/>
  <c r="A132" i="43"/>
  <c r="V131" i="43"/>
  <c r="G131" i="43"/>
  <c r="E131" i="43"/>
  <c r="C131" i="43"/>
  <c r="B131" i="43"/>
  <c r="A131" i="43"/>
  <c r="V130" i="43"/>
  <c r="G130" i="43"/>
  <c r="E130" i="43"/>
  <c r="C130" i="43"/>
  <c r="B130" i="43"/>
  <c r="A130" i="43"/>
  <c r="V129" i="43"/>
  <c r="G129" i="43"/>
  <c r="E129" i="43"/>
  <c r="C129" i="43"/>
  <c r="B129" i="43"/>
  <c r="A129" i="43"/>
  <c r="V128" i="43"/>
  <c r="G128" i="43"/>
  <c r="E128" i="43"/>
  <c r="C128" i="43"/>
  <c r="B128" i="43"/>
  <c r="A128" i="43"/>
  <c r="V127" i="43"/>
  <c r="G127" i="43"/>
  <c r="E127" i="43"/>
  <c r="C127" i="43"/>
  <c r="B127" i="43"/>
  <c r="A127" i="43"/>
  <c r="V126" i="43"/>
  <c r="G126" i="43"/>
  <c r="E126" i="43"/>
  <c r="C126" i="43"/>
  <c r="B126" i="43"/>
  <c r="A126" i="43"/>
  <c r="V125" i="43"/>
  <c r="G125" i="43"/>
  <c r="E125" i="43"/>
  <c r="C125" i="43"/>
  <c r="B125" i="43"/>
  <c r="A125" i="43"/>
  <c r="V124" i="43"/>
  <c r="G124" i="43"/>
  <c r="E124" i="43"/>
  <c r="C124" i="43"/>
  <c r="B124" i="43"/>
  <c r="A124" i="43"/>
  <c r="V123" i="43"/>
  <c r="G123" i="43"/>
  <c r="E123" i="43"/>
  <c r="C123" i="43"/>
  <c r="B123" i="43"/>
  <c r="A123" i="43"/>
  <c r="V122" i="43"/>
  <c r="G122" i="43"/>
  <c r="E122" i="43"/>
  <c r="C122" i="43"/>
  <c r="B122" i="43"/>
  <c r="A122" i="43"/>
  <c r="V121" i="43"/>
  <c r="G121" i="43"/>
  <c r="E121" i="43"/>
  <c r="C121" i="43"/>
  <c r="B121" i="43"/>
  <c r="A121" i="43"/>
  <c r="V120" i="43"/>
  <c r="G120" i="43"/>
  <c r="E120" i="43"/>
  <c r="C120" i="43"/>
  <c r="B120" i="43"/>
  <c r="A120" i="43"/>
  <c r="V119" i="43"/>
  <c r="G119" i="43"/>
  <c r="E119" i="43"/>
  <c r="C119" i="43"/>
  <c r="B119" i="43"/>
  <c r="A119" i="43"/>
  <c r="V118" i="43"/>
  <c r="G118" i="43"/>
  <c r="E118" i="43"/>
  <c r="C118" i="43"/>
  <c r="B118" i="43"/>
  <c r="A118" i="43"/>
  <c r="V117" i="43"/>
  <c r="G117" i="43"/>
  <c r="E117" i="43"/>
  <c r="C117" i="43"/>
  <c r="B117" i="43"/>
  <c r="A117" i="43"/>
  <c r="V116" i="43"/>
  <c r="G116" i="43"/>
  <c r="E116" i="43"/>
  <c r="C116" i="43"/>
  <c r="B116" i="43"/>
  <c r="A116" i="43"/>
  <c r="V115" i="43"/>
  <c r="G115" i="43"/>
  <c r="E115" i="43"/>
  <c r="C115" i="43"/>
  <c r="B115" i="43"/>
  <c r="A115" i="43"/>
  <c r="V114" i="43"/>
  <c r="G114" i="43"/>
  <c r="E114" i="43"/>
  <c r="C114" i="43"/>
  <c r="B114" i="43"/>
  <c r="A114" i="43"/>
  <c r="V113" i="43"/>
  <c r="G113" i="43"/>
  <c r="E113" i="43"/>
  <c r="C113" i="43"/>
  <c r="B113" i="43"/>
  <c r="A113" i="43"/>
  <c r="V112" i="43"/>
  <c r="G112" i="43"/>
  <c r="E112" i="43"/>
  <c r="C112" i="43"/>
  <c r="B112" i="43"/>
  <c r="A112" i="43"/>
  <c r="V111" i="43"/>
  <c r="G111" i="43"/>
  <c r="E111" i="43"/>
  <c r="C111" i="43"/>
  <c r="B111" i="43"/>
  <c r="A111" i="43"/>
  <c r="V110" i="43"/>
  <c r="G110" i="43"/>
  <c r="E110" i="43"/>
  <c r="C110" i="43"/>
  <c r="B110" i="43"/>
  <c r="A110" i="43"/>
  <c r="V109" i="43"/>
  <c r="G109" i="43"/>
  <c r="E109" i="43"/>
  <c r="C109" i="43"/>
  <c r="B109" i="43"/>
  <c r="A109" i="43"/>
  <c r="V108" i="43"/>
  <c r="E108" i="43"/>
  <c r="C108" i="43"/>
  <c r="B108" i="43"/>
  <c r="A108" i="43"/>
  <c r="V107" i="43"/>
  <c r="G107" i="43"/>
  <c r="E107" i="43"/>
  <c r="C107" i="43"/>
  <c r="B107" i="43"/>
  <c r="A107" i="43"/>
  <c r="V106" i="43"/>
  <c r="E106" i="43"/>
  <c r="C106" i="43"/>
  <c r="B106" i="43"/>
  <c r="A106" i="43"/>
  <c r="V105" i="43"/>
  <c r="G105" i="43"/>
  <c r="E105" i="43"/>
  <c r="C105" i="43"/>
  <c r="B105" i="43"/>
  <c r="A105" i="43"/>
  <c r="V104" i="43"/>
  <c r="G104" i="43"/>
  <c r="E104" i="43"/>
  <c r="C104" i="43"/>
  <c r="B104" i="43"/>
  <c r="A104" i="43"/>
  <c r="V103" i="43"/>
  <c r="G103" i="43"/>
  <c r="E103" i="43"/>
  <c r="C103" i="43"/>
  <c r="B103" i="43"/>
  <c r="A103" i="43"/>
  <c r="V102" i="43"/>
  <c r="E102" i="43"/>
  <c r="C102" i="43"/>
  <c r="B102" i="43"/>
  <c r="A102" i="43"/>
  <c r="V101" i="43"/>
  <c r="G101" i="43"/>
  <c r="E101" i="43"/>
  <c r="C101" i="43"/>
  <c r="B101" i="43"/>
  <c r="A101" i="43"/>
  <c r="V100" i="43"/>
  <c r="G100" i="43"/>
  <c r="E100" i="43"/>
  <c r="C100" i="43"/>
  <c r="B100" i="43"/>
  <c r="A100" i="43"/>
  <c r="V99" i="43"/>
  <c r="G99" i="43"/>
  <c r="E99" i="43"/>
  <c r="C99" i="43"/>
  <c r="B99" i="43"/>
  <c r="A99" i="43"/>
  <c r="V98" i="43"/>
  <c r="E98" i="43"/>
  <c r="C98" i="43"/>
  <c r="B98" i="43"/>
  <c r="A98" i="43"/>
  <c r="V97" i="43"/>
  <c r="G97" i="43"/>
  <c r="E97" i="43"/>
  <c r="C97" i="43"/>
  <c r="B97" i="43"/>
  <c r="A97" i="43"/>
  <c r="V96" i="43"/>
  <c r="G96" i="43"/>
  <c r="E96" i="43"/>
  <c r="C96" i="43"/>
  <c r="B96" i="43"/>
  <c r="A96" i="43"/>
  <c r="V95" i="43"/>
  <c r="G95" i="43"/>
  <c r="E95" i="43"/>
  <c r="C95" i="43"/>
  <c r="B95" i="43"/>
  <c r="A95" i="43"/>
  <c r="V94" i="43"/>
  <c r="G94" i="43"/>
  <c r="E94" i="43"/>
  <c r="C94" i="43"/>
  <c r="B94" i="43"/>
  <c r="A94" i="43"/>
  <c r="V93" i="43"/>
  <c r="G93" i="43"/>
  <c r="E93" i="43"/>
  <c r="C93" i="43"/>
  <c r="B93" i="43"/>
  <c r="A93" i="43"/>
  <c r="V92" i="43"/>
  <c r="G92" i="43"/>
  <c r="E92" i="43"/>
  <c r="C92" i="43"/>
  <c r="B92" i="43"/>
  <c r="A92" i="43"/>
  <c r="V91" i="43"/>
  <c r="G91" i="43"/>
  <c r="E91" i="43"/>
  <c r="C91" i="43"/>
  <c r="B91" i="43"/>
  <c r="A91" i="43"/>
  <c r="V90" i="43"/>
  <c r="G90" i="43"/>
  <c r="E90" i="43"/>
  <c r="C90" i="43"/>
  <c r="B90" i="43"/>
  <c r="A90" i="43"/>
  <c r="V89" i="43"/>
  <c r="G89" i="43"/>
  <c r="E89" i="43"/>
  <c r="C89" i="43"/>
  <c r="B89" i="43"/>
  <c r="A89" i="43"/>
  <c r="V88" i="43"/>
  <c r="G88" i="43"/>
  <c r="E88" i="43"/>
  <c r="C88" i="43"/>
  <c r="B88" i="43"/>
  <c r="A88" i="43"/>
  <c r="V87" i="43"/>
  <c r="G87" i="43"/>
  <c r="E87" i="43"/>
  <c r="C87" i="43"/>
  <c r="B87" i="43"/>
  <c r="A87" i="43"/>
  <c r="V86" i="43"/>
  <c r="G86" i="43"/>
  <c r="E86" i="43"/>
  <c r="C86" i="43"/>
  <c r="B86" i="43"/>
  <c r="A86" i="43"/>
  <c r="V85" i="43"/>
  <c r="G85" i="43"/>
  <c r="E85" i="43"/>
  <c r="C85" i="43"/>
  <c r="B85" i="43"/>
  <c r="A85" i="43"/>
  <c r="V84" i="43"/>
  <c r="G84" i="43"/>
  <c r="E84" i="43"/>
  <c r="C84" i="43"/>
  <c r="B84" i="43"/>
  <c r="A84" i="43"/>
  <c r="V83" i="43"/>
  <c r="G83" i="43"/>
  <c r="E83" i="43"/>
  <c r="C83" i="43"/>
  <c r="B83" i="43"/>
  <c r="A83" i="43"/>
  <c r="V82" i="43"/>
  <c r="G82" i="43"/>
  <c r="E82" i="43"/>
  <c r="C82" i="43"/>
  <c r="B82" i="43"/>
  <c r="A82" i="43"/>
  <c r="V81" i="43"/>
  <c r="G81" i="43"/>
  <c r="E81" i="43"/>
  <c r="C81" i="43"/>
  <c r="B81" i="43"/>
  <c r="A81" i="43"/>
  <c r="V80" i="43"/>
  <c r="G80" i="43"/>
  <c r="E80" i="43"/>
  <c r="C80" i="43"/>
  <c r="B80" i="43"/>
  <c r="A80" i="43"/>
  <c r="V79" i="43"/>
  <c r="G79" i="43"/>
  <c r="E79" i="43"/>
  <c r="C79" i="43"/>
  <c r="B79" i="43"/>
  <c r="A79" i="43"/>
  <c r="V78" i="43"/>
  <c r="G78" i="43"/>
  <c r="E78" i="43"/>
  <c r="C78" i="43"/>
  <c r="B78" i="43"/>
  <c r="A78" i="43"/>
  <c r="V77" i="43"/>
  <c r="G77" i="43"/>
  <c r="E77" i="43"/>
  <c r="C77" i="43"/>
  <c r="B77" i="43"/>
  <c r="A77" i="43"/>
  <c r="V76" i="43"/>
  <c r="G76" i="43"/>
  <c r="E76" i="43"/>
  <c r="C76" i="43"/>
  <c r="B76" i="43"/>
  <c r="A76" i="43"/>
  <c r="V75" i="43"/>
  <c r="G75" i="43"/>
  <c r="E75" i="43"/>
  <c r="C75" i="43"/>
  <c r="B75" i="43"/>
  <c r="A75" i="43"/>
  <c r="V74" i="43"/>
  <c r="G74" i="43"/>
  <c r="E74" i="43"/>
  <c r="C74" i="43"/>
  <c r="B74" i="43"/>
  <c r="A74" i="43"/>
  <c r="V73" i="43"/>
  <c r="G73" i="43"/>
  <c r="E73" i="43"/>
  <c r="C73" i="43"/>
  <c r="B73" i="43"/>
  <c r="A73" i="43"/>
  <c r="V72" i="43"/>
  <c r="G72" i="43"/>
  <c r="E72" i="43"/>
  <c r="C72" i="43"/>
  <c r="B72" i="43"/>
  <c r="A72" i="43"/>
  <c r="V71" i="43"/>
  <c r="G71" i="43"/>
  <c r="E71" i="43"/>
  <c r="C71" i="43"/>
  <c r="B71" i="43"/>
  <c r="A71" i="43"/>
  <c r="V70" i="43"/>
  <c r="G70" i="43"/>
  <c r="E70" i="43"/>
  <c r="C70" i="43"/>
  <c r="B70" i="43"/>
  <c r="A70" i="43"/>
  <c r="V69" i="43"/>
  <c r="G69" i="43"/>
  <c r="E69" i="43"/>
  <c r="C69" i="43"/>
  <c r="B69" i="43"/>
  <c r="A69" i="43"/>
  <c r="V68" i="43"/>
  <c r="G68" i="43"/>
  <c r="E68" i="43"/>
  <c r="C68" i="43"/>
  <c r="B68" i="43"/>
  <c r="A68" i="43"/>
  <c r="V67" i="43"/>
  <c r="G67" i="43"/>
  <c r="E67" i="43"/>
  <c r="C67" i="43"/>
  <c r="B67" i="43"/>
  <c r="A67" i="43"/>
  <c r="V66" i="43"/>
  <c r="G66" i="43"/>
  <c r="E66" i="43"/>
  <c r="C66" i="43"/>
  <c r="B66" i="43"/>
  <c r="A66" i="43"/>
  <c r="V65" i="43"/>
  <c r="G65" i="43"/>
  <c r="E65" i="43"/>
  <c r="C65" i="43"/>
  <c r="B65" i="43"/>
  <c r="A65" i="43"/>
  <c r="V64" i="43"/>
  <c r="G64" i="43"/>
  <c r="E64" i="43"/>
  <c r="C64" i="43"/>
  <c r="B64" i="43"/>
  <c r="A64" i="43"/>
  <c r="V63" i="43"/>
  <c r="G63" i="43"/>
  <c r="E63" i="43"/>
  <c r="C63" i="43"/>
  <c r="B63" i="43"/>
  <c r="A63" i="43"/>
  <c r="V62" i="43"/>
  <c r="G62" i="43"/>
  <c r="E62" i="43"/>
  <c r="C62" i="43"/>
  <c r="B62" i="43"/>
  <c r="A62" i="43"/>
  <c r="V61" i="43"/>
  <c r="G61" i="43"/>
  <c r="E61" i="43"/>
  <c r="C61" i="43"/>
  <c r="B61" i="43"/>
  <c r="A61" i="43"/>
  <c r="V60" i="43"/>
  <c r="G60" i="43"/>
  <c r="E60" i="43"/>
  <c r="C60" i="43"/>
  <c r="B60" i="43"/>
  <c r="A60" i="43"/>
  <c r="V59" i="43"/>
  <c r="G59" i="43"/>
  <c r="E59" i="43"/>
  <c r="C59" i="43"/>
  <c r="B59" i="43"/>
  <c r="A59" i="43"/>
  <c r="V58" i="43"/>
  <c r="G58" i="43"/>
  <c r="E58" i="43"/>
  <c r="C58" i="43"/>
  <c r="B58" i="43"/>
  <c r="A58" i="43"/>
  <c r="V57" i="43"/>
  <c r="G57" i="43"/>
  <c r="E57" i="43"/>
  <c r="C57" i="43"/>
  <c r="B57" i="43"/>
  <c r="A57" i="43"/>
  <c r="V56" i="43"/>
  <c r="G56" i="43"/>
  <c r="E56" i="43"/>
  <c r="C56" i="43"/>
  <c r="B56" i="43"/>
  <c r="A56" i="43"/>
  <c r="V55" i="43"/>
  <c r="G55" i="43"/>
  <c r="E55" i="43"/>
  <c r="C55" i="43"/>
  <c r="B55" i="43"/>
  <c r="A55" i="43"/>
  <c r="V54" i="43"/>
  <c r="G54" i="43"/>
  <c r="E54" i="43"/>
  <c r="C54" i="43"/>
  <c r="B54" i="43"/>
  <c r="A54" i="43"/>
  <c r="V53" i="43"/>
  <c r="G53" i="43"/>
  <c r="E53" i="43"/>
  <c r="C53" i="43"/>
  <c r="B53" i="43"/>
  <c r="A53" i="43"/>
  <c r="V52" i="43"/>
  <c r="G52" i="43"/>
  <c r="E52" i="43"/>
  <c r="C52" i="43"/>
  <c r="B52" i="43"/>
  <c r="A52" i="43"/>
  <c r="V51" i="43"/>
  <c r="G51" i="43"/>
  <c r="E51" i="43"/>
  <c r="C51" i="43"/>
  <c r="B51" i="43"/>
  <c r="A51" i="43"/>
  <c r="V50" i="43"/>
  <c r="G50" i="43"/>
  <c r="E50" i="43"/>
  <c r="C50" i="43"/>
  <c r="B50" i="43"/>
  <c r="A50" i="43"/>
  <c r="V49" i="43"/>
  <c r="G49" i="43"/>
  <c r="E49" i="43"/>
  <c r="C49" i="43"/>
  <c r="B49" i="43"/>
  <c r="A49" i="43"/>
  <c r="V48" i="43"/>
  <c r="G48" i="43"/>
  <c r="E48" i="43"/>
  <c r="C48" i="43"/>
  <c r="B48" i="43"/>
  <c r="A48" i="43"/>
  <c r="V47" i="43"/>
  <c r="G47" i="43"/>
  <c r="E47" i="43"/>
  <c r="C47" i="43"/>
  <c r="B47" i="43"/>
  <c r="A47" i="43"/>
  <c r="V46" i="43"/>
  <c r="G46" i="43"/>
  <c r="E46" i="43"/>
  <c r="C46" i="43"/>
  <c r="B46" i="43"/>
  <c r="A46" i="43"/>
  <c r="V45" i="43"/>
  <c r="G45" i="43"/>
  <c r="E45" i="43"/>
  <c r="C45" i="43"/>
  <c r="B45" i="43"/>
  <c r="A45" i="43"/>
  <c r="V44" i="43"/>
  <c r="G44" i="43"/>
  <c r="E44" i="43"/>
  <c r="C44" i="43"/>
  <c r="B44" i="43"/>
  <c r="A44" i="43"/>
  <c r="V43" i="43"/>
  <c r="G43" i="43"/>
  <c r="E43" i="43"/>
  <c r="C43" i="43"/>
  <c r="B43" i="43"/>
  <c r="A43" i="43"/>
  <c r="V42" i="43"/>
  <c r="G42" i="43"/>
  <c r="E42" i="43"/>
  <c r="C42" i="43"/>
  <c r="B42" i="43"/>
  <c r="A42" i="43"/>
  <c r="V41" i="43"/>
  <c r="G41" i="43"/>
  <c r="E41" i="43"/>
  <c r="C41" i="43"/>
  <c r="B41" i="43"/>
  <c r="A41" i="43"/>
  <c r="V40" i="43"/>
  <c r="G40" i="43"/>
  <c r="E40" i="43"/>
  <c r="C40" i="43"/>
  <c r="B40" i="43"/>
  <c r="A40" i="43"/>
  <c r="V39" i="43"/>
  <c r="G39" i="43"/>
  <c r="E39" i="43"/>
  <c r="C39" i="43"/>
  <c r="B39" i="43"/>
  <c r="A39" i="43"/>
  <c r="V38" i="43"/>
  <c r="G38" i="43"/>
  <c r="E38" i="43"/>
  <c r="C38" i="43"/>
  <c r="B38" i="43"/>
  <c r="A38" i="43"/>
  <c r="V37" i="43"/>
  <c r="G37" i="43"/>
  <c r="E37" i="43"/>
  <c r="C37" i="43"/>
  <c r="B37" i="43"/>
  <c r="A37" i="43"/>
  <c r="V36" i="43"/>
  <c r="G36" i="43"/>
  <c r="E36" i="43"/>
  <c r="C36" i="43"/>
  <c r="B36" i="43"/>
  <c r="A36" i="43"/>
  <c r="V35" i="43"/>
  <c r="G35" i="43"/>
  <c r="E35" i="43"/>
  <c r="C35" i="43"/>
  <c r="B35" i="43"/>
  <c r="A35" i="43"/>
  <c r="V34" i="43"/>
  <c r="E34" i="43"/>
  <c r="C34" i="43"/>
  <c r="B34" i="43"/>
  <c r="A34" i="43"/>
  <c r="V33" i="43"/>
  <c r="E33" i="43"/>
  <c r="C33" i="43"/>
  <c r="B33" i="43"/>
  <c r="A33" i="43"/>
  <c r="V32" i="43"/>
  <c r="G32" i="43"/>
  <c r="E32" i="43"/>
  <c r="C32" i="43"/>
  <c r="B32" i="43"/>
  <c r="A32" i="43"/>
  <c r="V31" i="43"/>
  <c r="E31" i="43"/>
  <c r="C31" i="43"/>
  <c r="B31" i="43"/>
  <c r="A31" i="43"/>
  <c r="V30" i="43"/>
  <c r="G30" i="43"/>
  <c r="E30" i="43"/>
  <c r="C30" i="43"/>
  <c r="B30" i="43"/>
  <c r="A30" i="43"/>
  <c r="V29" i="43"/>
  <c r="G29" i="43"/>
  <c r="E29" i="43"/>
  <c r="C29" i="43"/>
  <c r="B29" i="43"/>
  <c r="A29" i="43"/>
  <c r="G28" i="43"/>
  <c r="E28" i="43"/>
  <c r="C28" i="43"/>
  <c r="B28" i="43"/>
  <c r="A28" i="43"/>
  <c r="V18" i="43"/>
  <c r="E18" i="43"/>
  <c r="C18" i="43"/>
  <c r="B18" i="43"/>
  <c r="A18" i="43"/>
  <c r="V17" i="43"/>
  <c r="G17" i="43"/>
  <c r="E17" i="43"/>
  <c r="C17" i="43"/>
  <c r="B17" i="43"/>
  <c r="A17" i="43"/>
  <c r="V16" i="43"/>
  <c r="G16" i="43"/>
  <c r="E16" i="43"/>
  <c r="C16" i="43"/>
  <c r="B16" i="43"/>
  <c r="A16" i="43"/>
  <c r="V15" i="43"/>
  <c r="E15" i="43"/>
  <c r="C15" i="43"/>
  <c r="B15" i="43"/>
  <c r="A15" i="43"/>
  <c r="V14" i="43"/>
  <c r="E14" i="43"/>
  <c r="C14" i="43"/>
  <c r="B14" i="43"/>
  <c r="A14" i="43"/>
  <c r="V13" i="43"/>
  <c r="G13" i="43"/>
  <c r="E13" i="43"/>
  <c r="C13" i="43"/>
  <c r="B13" i="43"/>
  <c r="A13" i="43"/>
  <c r="V12" i="43"/>
  <c r="E12" i="43"/>
  <c r="C12" i="43"/>
  <c r="B12" i="43"/>
  <c r="A12" i="43"/>
  <c r="V11" i="43"/>
  <c r="G11" i="43"/>
  <c r="E11" i="43"/>
  <c r="C11" i="43"/>
  <c r="B11" i="43"/>
  <c r="A11" i="43"/>
  <c r="V10" i="43"/>
  <c r="G10" i="43"/>
  <c r="E10" i="43"/>
  <c r="C10" i="43"/>
  <c r="B10" i="43"/>
  <c r="A10" i="43"/>
  <c r="V9" i="43"/>
  <c r="G9" i="43"/>
  <c r="E9" i="43"/>
  <c r="C9" i="43"/>
  <c r="B9" i="43"/>
  <c r="A9" i="43"/>
  <c r="V8" i="43"/>
  <c r="G8" i="43"/>
  <c r="E8" i="43"/>
  <c r="C8" i="43"/>
  <c r="B8" i="43"/>
  <c r="A8" i="43"/>
  <c r="V7" i="43"/>
  <c r="G7" i="43"/>
  <c r="E7" i="43"/>
  <c r="C7" i="43"/>
  <c r="B7" i="43"/>
  <c r="A7" i="43"/>
  <c r="V6" i="43"/>
  <c r="G6" i="43"/>
  <c r="E6" i="43"/>
  <c r="C6" i="43"/>
  <c r="B6" i="43"/>
  <c r="A6" i="43"/>
  <c r="E361" i="42"/>
  <c r="C361" i="42"/>
  <c r="B361" i="42"/>
  <c r="A361" i="42"/>
  <c r="E352" i="42"/>
  <c r="C352" i="42"/>
  <c r="B352" i="42"/>
  <c r="A352" i="42"/>
  <c r="E350" i="42"/>
  <c r="C350" i="42"/>
  <c r="B350" i="42"/>
  <c r="A350" i="42"/>
  <c r="D59" i="11" l="1"/>
  <c r="U583" i="43"/>
  <c r="K55" i="18"/>
  <c r="D54" i="18"/>
  <c r="K43" i="11"/>
  <c r="K48" i="11"/>
  <c r="K53" i="11"/>
  <c r="K43" i="18"/>
  <c r="K48" i="18"/>
  <c r="V582" i="43"/>
  <c r="D56" i="11"/>
  <c r="U600" i="43"/>
  <c r="U598" i="43"/>
  <c r="E235" i="42" l="1"/>
  <c r="B48" i="44"/>
  <c r="B47" i="44"/>
  <c r="B46" i="44"/>
  <c r="B45" i="44"/>
  <c r="A48" i="44"/>
  <c r="A47" i="44"/>
  <c r="A46" i="44"/>
  <c r="A45" i="44"/>
  <c r="B32" i="44"/>
  <c r="A32" i="44"/>
  <c r="B31" i="44"/>
  <c r="B30" i="44"/>
  <c r="B29" i="44"/>
  <c r="B28" i="44"/>
  <c r="B27" i="44"/>
  <c r="A27" i="44"/>
  <c r="B26" i="44"/>
  <c r="A26" i="44"/>
  <c r="B25" i="44"/>
  <c r="A25" i="44"/>
  <c r="B24" i="44"/>
  <c r="A24" i="44"/>
  <c r="B23" i="44"/>
  <c r="A23" i="44"/>
  <c r="B22" i="44"/>
  <c r="A22" i="44"/>
  <c r="B21" i="44"/>
  <c r="A21" i="44"/>
  <c r="B20" i="44"/>
  <c r="A20" i="44"/>
  <c r="B19" i="44"/>
  <c r="A19" i="44"/>
  <c r="B18" i="44"/>
  <c r="A18" i="44"/>
  <c r="B10" i="44"/>
  <c r="A10" i="44"/>
  <c r="B9" i="44"/>
  <c r="A9" i="44"/>
  <c r="B8" i="44"/>
  <c r="A8" i="44"/>
  <c r="B7" i="44"/>
  <c r="A7" i="44"/>
  <c r="B6" i="44"/>
  <c r="A6" i="44"/>
  <c r="T721" i="42"/>
  <c r="S721" i="42"/>
  <c r="R721" i="42"/>
  <c r="Q721" i="42"/>
  <c r="P721" i="42"/>
  <c r="O721" i="42"/>
  <c r="N721" i="42"/>
  <c r="M721" i="42"/>
  <c r="L721" i="42"/>
  <c r="K721" i="42"/>
  <c r="J721" i="42"/>
  <c r="I721" i="42"/>
  <c r="H721" i="42"/>
  <c r="E720" i="42"/>
  <c r="C720" i="42"/>
  <c r="B720" i="42"/>
  <c r="A720" i="42"/>
  <c r="E719" i="42"/>
  <c r="C719" i="42"/>
  <c r="B719" i="42"/>
  <c r="A719" i="42"/>
  <c r="E718" i="42"/>
  <c r="C718" i="42"/>
  <c r="B718" i="42"/>
  <c r="A718" i="42"/>
  <c r="E717" i="42"/>
  <c r="C717" i="42"/>
  <c r="B717" i="42"/>
  <c r="A717" i="42"/>
  <c r="E716" i="42"/>
  <c r="C716" i="42"/>
  <c r="B716" i="42"/>
  <c r="A716" i="42"/>
  <c r="E715" i="42"/>
  <c r="C715" i="42"/>
  <c r="B715" i="42"/>
  <c r="A715" i="42"/>
  <c r="E709" i="42"/>
  <c r="C709" i="42"/>
  <c r="B709" i="42"/>
  <c r="A709" i="42"/>
  <c r="E708" i="42"/>
  <c r="C708" i="42"/>
  <c r="B708" i="42"/>
  <c r="A708" i="42"/>
  <c r="T705" i="42"/>
  <c r="S705" i="42"/>
  <c r="R705" i="42"/>
  <c r="Q705" i="42"/>
  <c r="P705" i="42"/>
  <c r="O705" i="42"/>
  <c r="N705" i="42"/>
  <c r="M705" i="42"/>
  <c r="L705" i="42"/>
  <c r="K705" i="42"/>
  <c r="J705" i="42"/>
  <c r="I705" i="42"/>
  <c r="H705" i="42"/>
  <c r="G704" i="42"/>
  <c r="E704" i="42"/>
  <c r="C704" i="42"/>
  <c r="B704" i="42"/>
  <c r="A704" i="42"/>
  <c r="G703" i="42"/>
  <c r="E703" i="42"/>
  <c r="C703" i="42"/>
  <c r="B703" i="42"/>
  <c r="A703" i="42"/>
  <c r="G702" i="42"/>
  <c r="E702" i="42"/>
  <c r="C702" i="42"/>
  <c r="B702" i="42"/>
  <c r="A702" i="42"/>
  <c r="G701" i="42"/>
  <c r="E701" i="42"/>
  <c r="C701" i="42"/>
  <c r="B701" i="42"/>
  <c r="A701" i="42"/>
  <c r="G700" i="42"/>
  <c r="G699" i="42"/>
  <c r="T698" i="42"/>
  <c r="S698" i="42"/>
  <c r="R698" i="42"/>
  <c r="Q698" i="42"/>
  <c r="P698" i="42"/>
  <c r="O698" i="42"/>
  <c r="N698" i="42"/>
  <c r="M698" i="42"/>
  <c r="L698" i="42"/>
  <c r="K698" i="42"/>
  <c r="J698" i="42"/>
  <c r="I698" i="42"/>
  <c r="H698" i="42"/>
  <c r="G698" i="42"/>
  <c r="U697" i="42"/>
  <c r="G697" i="42"/>
  <c r="E697" i="42"/>
  <c r="C697" i="42"/>
  <c r="B697" i="42"/>
  <c r="A697" i="42"/>
  <c r="U696" i="42"/>
  <c r="G696" i="42"/>
  <c r="E696" i="42"/>
  <c r="C696" i="42"/>
  <c r="B696" i="42"/>
  <c r="A696" i="42"/>
  <c r="U695" i="42"/>
  <c r="G695" i="42"/>
  <c r="E695" i="42"/>
  <c r="C695" i="42"/>
  <c r="B695" i="42"/>
  <c r="A695" i="42"/>
  <c r="U694" i="42"/>
  <c r="G694" i="42"/>
  <c r="E694" i="42"/>
  <c r="C694" i="42"/>
  <c r="B694" i="42"/>
  <c r="A694" i="42"/>
  <c r="U693" i="42"/>
  <c r="G693" i="42"/>
  <c r="E693" i="42"/>
  <c r="C693" i="42"/>
  <c r="B693" i="42"/>
  <c r="A693" i="42"/>
  <c r="U692" i="42"/>
  <c r="G692" i="42"/>
  <c r="E692" i="42"/>
  <c r="C692" i="42"/>
  <c r="B692" i="42"/>
  <c r="A692" i="42"/>
  <c r="U686" i="42"/>
  <c r="G686" i="42"/>
  <c r="E686" i="42"/>
  <c r="C686" i="42"/>
  <c r="B686" i="42"/>
  <c r="A686" i="42"/>
  <c r="U685" i="42"/>
  <c r="G685" i="42"/>
  <c r="E685" i="42"/>
  <c r="C685" i="42"/>
  <c r="B685" i="42"/>
  <c r="A685" i="42"/>
  <c r="U684" i="42"/>
  <c r="G684" i="42"/>
  <c r="U683" i="42"/>
  <c r="G683" i="42"/>
  <c r="T682" i="42"/>
  <c r="S682" i="42"/>
  <c r="R682" i="42"/>
  <c r="Q682" i="42"/>
  <c r="P682" i="42"/>
  <c r="O682" i="42"/>
  <c r="N682" i="42"/>
  <c r="M682" i="42"/>
  <c r="L682" i="42"/>
  <c r="K682" i="42"/>
  <c r="J682" i="42"/>
  <c r="I682" i="42"/>
  <c r="H682" i="42"/>
  <c r="G682" i="42"/>
  <c r="U681" i="42"/>
  <c r="G681" i="42"/>
  <c r="E681" i="42"/>
  <c r="C681" i="42"/>
  <c r="B681" i="42"/>
  <c r="A681" i="42"/>
  <c r="U680" i="42"/>
  <c r="G680" i="42"/>
  <c r="E680" i="42"/>
  <c r="C680" i="42"/>
  <c r="B680" i="42"/>
  <c r="A680" i="42"/>
  <c r="U679" i="42"/>
  <c r="G679" i="42"/>
  <c r="E679" i="42"/>
  <c r="C679" i="42"/>
  <c r="B679" i="42"/>
  <c r="A679" i="42"/>
  <c r="U678" i="42"/>
  <c r="G678" i="42"/>
  <c r="E678" i="42"/>
  <c r="C678" i="42"/>
  <c r="B678" i="42"/>
  <c r="A678" i="42"/>
  <c r="G677" i="42"/>
  <c r="G676" i="42"/>
  <c r="T675" i="42"/>
  <c r="S675" i="42"/>
  <c r="R675" i="42"/>
  <c r="Q675" i="42"/>
  <c r="P675" i="42"/>
  <c r="O675" i="42"/>
  <c r="N675" i="42"/>
  <c r="M675" i="42"/>
  <c r="L675" i="42"/>
  <c r="K675" i="42"/>
  <c r="J675" i="42"/>
  <c r="I675" i="42"/>
  <c r="H675" i="42"/>
  <c r="G675" i="42"/>
  <c r="G674" i="42"/>
  <c r="E674" i="42"/>
  <c r="C674" i="42"/>
  <c r="B674" i="42"/>
  <c r="A674" i="42"/>
  <c r="G673" i="42"/>
  <c r="E673" i="42"/>
  <c r="C673" i="42"/>
  <c r="B673" i="42"/>
  <c r="A673" i="42"/>
  <c r="G672" i="42"/>
  <c r="E672" i="42"/>
  <c r="C672" i="42"/>
  <c r="B672" i="42"/>
  <c r="A672" i="42"/>
  <c r="G671" i="42"/>
  <c r="E671" i="42"/>
  <c r="C671" i="42"/>
  <c r="B671" i="42"/>
  <c r="A671" i="42"/>
  <c r="G670" i="42"/>
  <c r="E670" i="42"/>
  <c r="C670" i="42"/>
  <c r="B670" i="42"/>
  <c r="A670" i="42"/>
  <c r="G669" i="42"/>
  <c r="E669" i="42"/>
  <c r="C669" i="42"/>
  <c r="B669" i="42"/>
  <c r="A669" i="42"/>
  <c r="G668" i="42"/>
  <c r="E668" i="42"/>
  <c r="C668" i="42"/>
  <c r="B668" i="42"/>
  <c r="A668" i="42"/>
  <c r="G667" i="42"/>
  <c r="E667" i="42"/>
  <c r="C667" i="42"/>
  <c r="B667" i="42"/>
  <c r="A667" i="42"/>
  <c r="G666" i="42"/>
  <c r="E666" i="42"/>
  <c r="C666" i="42"/>
  <c r="B666" i="42"/>
  <c r="A666" i="42"/>
  <c r="G665" i="42"/>
  <c r="E665" i="42"/>
  <c r="C665" i="42"/>
  <c r="B665" i="42"/>
  <c r="A665" i="42"/>
  <c r="G664" i="42"/>
  <c r="E664" i="42"/>
  <c r="C664" i="42"/>
  <c r="B664" i="42"/>
  <c r="A664" i="42"/>
  <c r="G663" i="42"/>
  <c r="E663" i="42"/>
  <c r="C663" i="42"/>
  <c r="B663" i="42"/>
  <c r="A663" i="42"/>
  <c r="G662" i="42"/>
  <c r="E662" i="42"/>
  <c r="C662" i="42"/>
  <c r="B662" i="42"/>
  <c r="A662" i="42"/>
  <c r="G661" i="42"/>
  <c r="E661" i="42"/>
  <c r="C661" i="42"/>
  <c r="B661" i="42"/>
  <c r="A661" i="42"/>
  <c r="G660" i="42"/>
  <c r="E660" i="42"/>
  <c r="C660" i="42"/>
  <c r="B660" i="42"/>
  <c r="A660" i="42"/>
  <c r="G659" i="42"/>
  <c r="E659" i="42"/>
  <c r="C659" i="42"/>
  <c r="B659" i="42"/>
  <c r="A659" i="42"/>
  <c r="G652" i="42"/>
  <c r="E652" i="42"/>
  <c r="C652" i="42"/>
  <c r="B652" i="42"/>
  <c r="A652" i="42"/>
  <c r="G651" i="42"/>
  <c r="E651" i="42"/>
  <c r="C651" i="42"/>
  <c r="B651" i="42"/>
  <c r="A651" i="42"/>
  <c r="G650" i="42"/>
  <c r="E650" i="42"/>
  <c r="C650" i="42"/>
  <c r="B650" i="42"/>
  <c r="A650" i="42"/>
  <c r="G649" i="42"/>
  <c r="E649" i="42"/>
  <c r="C649" i="42"/>
  <c r="B649" i="42"/>
  <c r="A649" i="42"/>
  <c r="G648" i="42"/>
  <c r="E648" i="42"/>
  <c r="C648" i="42"/>
  <c r="B648" i="42"/>
  <c r="A648" i="42"/>
  <c r="G647" i="42"/>
  <c r="E647" i="42"/>
  <c r="C647" i="42"/>
  <c r="B647" i="42"/>
  <c r="A647" i="42"/>
  <c r="G646" i="42"/>
  <c r="E646" i="42"/>
  <c r="C646" i="42"/>
  <c r="B646" i="42"/>
  <c r="A646" i="42"/>
  <c r="G645" i="42"/>
  <c r="E645" i="42"/>
  <c r="C645" i="42"/>
  <c r="B645" i="42"/>
  <c r="A645" i="42"/>
  <c r="G644" i="42"/>
  <c r="G643" i="42"/>
  <c r="T642" i="42"/>
  <c r="S642" i="42"/>
  <c r="R642" i="42"/>
  <c r="Q642" i="42"/>
  <c r="P642" i="42"/>
  <c r="O642" i="42"/>
  <c r="N642" i="42"/>
  <c r="M642" i="42"/>
  <c r="L642" i="42"/>
  <c r="K642" i="42"/>
  <c r="J642" i="42"/>
  <c r="I642" i="42"/>
  <c r="H642" i="42"/>
  <c r="G642" i="42"/>
  <c r="G641" i="42"/>
  <c r="E641" i="42"/>
  <c r="C641" i="42"/>
  <c r="B641" i="42"/>
  <c r="A641" i="42"/>
  <c r="G640" i="42"/>
  <c r="E640" i="42"/>
  <c r="C640" i="42"/>
  <c r="B640" i="42"/>
  <c r="A640" i="42"/>
  <c r="G639" i="42"/>
  <c r="E639" i="42"/>
  <c r="C639" i="42"/>
  <c r="B639" i="42"/>
  <c r="A639" i="42"/>
  <c r="G638" i="42"/>
  <c r="E638" i="42"/>
  <c r="C638" i="42"/>
  <c r="B638" i="42"/>
  <c r="A638" i="42"/>
  <c r="G637" i="42"/>
  <c r="E637" i="42"/>
  <c r="C637" i="42"/>
  <c r="B637" i="42"/>
  <c r="A637" i="42"/>
  <c r="G636" i="42"/>
  <c r="E636" i="42"/>
  <c r="C636" i="42"/>
  <c r="B636" i="42"/>
  <c r="A636" i="42"/>
  <c r="G635" i="42"/>
  <c r="E635" i="42"/>
  <c r="C635" i="42"/>
  <c r="B635" i="42"/>
  <c r="A635" i="42"/>
  <c r="G634" i="42"/>
  <c r="E634" i="42"/>
  <c r="C634" i="42"/>
  <c r="B634" i="42"/>
  <c r="A634" i="42"/>
  <c r="G633" i="42"/>
  <c r="E633" i="42"/>
  <c r="C633" i="42"/>
  <c r="B633" i="42"/>
  <c r="A633" i="42"/>
  <c r="G632" i="42"/>
  <c r="E632" i="42"/>
  <c r="C632" i="42"/>
  <c r="B632" i="42"/>
  <c r="A632" i="42"/>
  <c r="G631" i="42"/>
  <c r="E631" i="42"/>
  <c r="C631" i="42"/>
  <c r="B631" i="42"/>
  <c r="A631" i="42"/>
  <c r="G630" i="42"/>
  <c r="E630" i="42"/>
  <c r="C630" i="42"/>
  <c r="B630" i="42"/>
  <c r="A630" i="42"/>
  <c r="G629" i="42"/>
  <c r="E629" i="42"/>
  <c r="C629" i="42"/>
  <c r="B629" i="42"/>
  <c r="A629" i="42"/>
  <c r="G628" i="42"/>
  <c r="E628" i="42"/>
  <c r="C628" i="42"/>
  <c r="B628" i="42"/>
  <c r="A628" i="42"/>
  <c r="G627" i="42"/>
  <c r="E627" i="42"/>
  <c r="C627" i="42"/>
  <c r="B627" i="42"/>
  <c r="A627" i="42"/>
  <c r="G626" i="42"/>
  <c r="E626" i="42"/>
  <c r="C626" i="42"/>
  <c r="B626" i="42"/>
  <c r="A626" i="42"/>
  <c r="G625" i="42"/>
  <c r="E625" i="42"/>
  <c r="C625" i="42"/>
  <c r="B625" i="42"/>
  <c r="A625" i="42"/>
  <c r="G624" i="42"/>
  <c r="E624" i="42"/>
  <c r="C624" i="42"/>
  <c r="B624" i="42"/>
  <c r="A624" i="42"/>
  <c r="G623" i="42"/>
  <c r="E623" i="42"/>
  <c r="C623" i="42"/>
  <c r="B623" i="42"/>
  <c r="A623" i="42"/>
  <c r="G622" i="42"/>
  <c r="E622" i="42"/>
  <c r="C622" i="42"/>
  <c r="B622" i="42"/>
  <c r="A622" i="42"/>
  <c r="U616" i="42"/>
  <c r="U614" i="42"/>
  <c r="E614" i="42"/>
  <c r="C614" i="42"/>
  <c r="B614" i="42"/>
  <c r="A614" i="42"/>
  <c r="U613" i="42"/>
  <c r="E613" i="42"/>
  <c r="C613" i="42"/>
  <c r="B613" i="42"/>
  <c r="A613" i="42"/>
  <c r="U612" i="42"/>
  <c r="E612" i="42"/>
  <c r="C612" i="42"/>
  <c r="B612" i="42"/>
  <c r="A612" i="42"/>
  <c r="U611" i="42"/>
  <c r="E611" i="42"/>
  <c r="C611" i="42"/>
  <c r="B611" i="42"/>
  <c r="A611" i="42"/>
  <c r="U610" i="42"/>
  <c r="E610" i="42"/>
  <c r="C610" i="42"/>
  <c r="B610" i="42"/>
  <c r="A610" i="42"/>
  <c r="U609" i="42"/>
  <c r="E609" i="42"/>
  <c r="C609" i="42"/>
  <c r="B609" i="42"/>
  <c r="A609" i="42"/>
  <c r="U608" i="42"/>
  <c r="E608" i="42"/>
  <c r="C608" i="42"/>
  <c r="B608" i="42"/>
  <c r="A608" i="42"/>
  <c r="U607" i="42"/>
  <c r="E607" i="42"/>
  <c r="C607" i="42"/>
  <c r="B607" i="42"/>
  <c r="A607" i="42"/>
  <c r="U606" i="42"/>
  <c r="E606" i="42"/>
  <c r="C606" i="42"/>
  <c r="B606" i="42"/>
  <c r="A606" i="42"/>
  <c r="U605" i="42"/>
  <c r="E605" i="42"/>
  <c r="C605" i="42"/>
  <c r="B605" i="42"/>
  <c r="A605" i="42"/>
  <c r="U604" i="42"/>
  <c r="E604" i="42"/>
  <c r="C604" i="42"/>
  <c r="B604" i="42"/>
  <c r="A604" i="42"/>
  <c r="U603" i="42"/>
  <c r="E603" i="42"/>
  <c r="C603" i="42"/>
  <c r="B603" i="42"/>
  <c r="A603" i="42"/>
  <c r="T601" i="42"/>
  <c r="T615" i="42" s="1"/>
  <c r="T617" i="42" s="1"/>
  <c r="S601" i="42"/>
  <c r="S615" i="42" s="1"/>
  <c r="S617" i="42" s="1"/>
  <c r="R601" i="42"/>
  <c r="R615" i="42" s="1"/>
  <c r="R617" i="42" s="1"/>
  <c r="Q601" i="42"/>
  <c r="Q615" i="42" s="1"/>
  <c r="Q617" i="42" s="1"/>
  <c r="P601" i="42"/>
  <c r="P615" i="42" s="1"/>
  <c r="P617" i="42" s="1"/>
  <c r="O601" i="42"/>
  <c r="O615" i="42" s="1"/>
  <c r="O617" i="42" s="1"/>
  <c r="N601" i="42"/>
  <c r="N615" i="42" s="1"/>
  <c r="N617" i="42" s="1"/>
  <c r="M601" i="42"/>
  <c r="M615" i="42" s="1"/>
  <c r="M617" i="42" s="1"/>
  <c r="L601" i="42"/>
  <c r="L615" i="42" s="1"/>
  <c r="L617" i="42" s="1"/>
  <c r="K601" i="42"/>
  <c r="K615" i="42" s="1"/>
  <c r="K617" i="42" s="1"/>
  <c r="J601" i="42"/>
  <c r="J615" i="42" s="1"/>
  <c r="J617" i="42" s="1"/>
  <c r="I601" i="42"/>
  <c r="I615" i="42" s="1"/>
  <c r="I617" i="42" s="1"/>
  <c r="U598" i="42"/>
  <c r="E598" i="42"/>
  <c r="C598" i="42"/>
  <c r="B598" i="42"/>
  <c r="A598" i="42"/>
  <c r="U597" i="42"/>
  <c r="E597" i="42"/>
  <c r="C597" i="42"/>
  <c r="B597" i="42"/>
  <c r="A597" i="42"/>
  <c r="U596" i="42"/>
  <c r="C596" i="42"/>
  <c r="B596" i="42"/>
  <c r="A596" i="42"/>
  <c r="U595" i="42"/>
  <c r="E595" i="42"/>
  <c r="C595" i="42"/>
  <c r="B595" i="42"/>
  <c r="A595" i="42"/>
  <c r="U594" i="42"/>
  <c r="E594" i="42"/>
  <c r="C594" i="42"/>
  <c r="B594" i="42"/>
  <c r="A594" i="42"/>
  <c r="U593" i="42"/>
  <c r="E593" i="42"/>
  <c r="C593" i="42"/>
  <c r="B593" i="42"/>
  <c r="A593" i="42"/>
  <c r="U592" i="42"/>
  <c r="E592" i="42"/>
  <c r="C592" i="42"/>
  <c r="B592" i="42"/>
  <c r="A592" i="42"/>
  <c r="U591" i="42"/>
  <c r="E591" i="42"/>
  <c r="C591" i="42"/>
  <c r="B591" i="42"/>
  <c r="A591" i="42"/>
  <c r="U590" i="42"/>
  <c r="E590" i="42"/>
  <c r="C590" i="42"/>
  <c r="B590" i="42"/>
  <c r="A590" i="42"/>
  <c r="U589" i="42"/>
  <c r="E589" i="42"/>
  <c r="C589" i="42"/>
  <c r="B589" i="42"/>
  <c r="A589" i="42"/>
  <c r="U588" i="42"/>
  <c r="E588" i="42"/>
  <c r="C588" i="42"/>
  <c r="B588" i="42"/>
  <c r="A588" i="42"/>
  <c r="U587" i="42"/>
  <c r="E587" i="42"/>
  <c r="C587" i="42"/>
  <c r="B587" i="42"/>
  <c r="A587" i="42"/>
  <c r="U586" i="42"/>
  <c r="E586" i="42"/>
  <c r="C586" i="42"/>
  <c r="B586" i="42"/>
  <c r="A586" i="42"/>
  <c r="U585" i="42"/>
  <c r="E585" i="42"/>
  <c r="C585" i="42"/>
  <c r="B585" i="42"/>
  <c r="A585" i="42"/>
  <c r="U581" i="42"/>
  <c r="E581" i="42"/>
  <c r="C581" i="42"/>
  <c r="B581" i="42"/>
  <c r="A581" i="42"/>
  <c r="U580" i="42"/>
  <c r="E580" i="42"/>
  <c r="C580" i="42"/>
  <c r="B580" i="42"/>
  <c r="A580" i="42"/>
  <c r="U579" i="42"/>
  <c r="E579" i="42"/>
  <c r="C579" i="42"/>
  <c r="B579" i="42"/>
  <c r="A579" i="42"/>
  <c r="U578" i="42"/>
  <c r="E578" i="42"/>
  <c r="C578" i="42"/>
  <c r="B578" i="42"/>
  <c r="A578" i="42"/>
  <c r="U577" i="42"/>
  <c r="E577" i="42"/>
  <c r="C577" i="42"/>
  <c r="B577" i="42"/>
  <c r="A577" i="42"/>
  <c r="U576" i="42"/>
  <c r="E576" i="42"/>
  <c r="C576" i="42"/>
  <c r="B576" i="42"/>
  <c r="A576" i="42"/>
  <c r="U575" i="42"/>
  <c r="E575" i="42"/>
  <c r="C575" i="42"/>
  <c r="B575" i="42"/>
  <c r="A575" i="42"/>
  <c r="U574" i="42"/>
  <c r="E574" i="42"/>
  <c r="C574" i="42"/>
  <c r="B574" i="42"/>
  <c r="A574" i="42"/>
  <c r="U573" i="42"/>
  <c r="E573" i="42"/>
  <c r="C573" i="42"/>
  <c r="B573" i="42"/>
  <c r="A573" i="42"/>
  <c r="U572" i="42"/>
  <c r="E572" i="42"/>
  <c r="C572" i="42"/>
  <c r="B572" i="42"/>
  <c r="A572" i="42"/>
  <c r="U571" i="42"/>
  <c r="E571" i="42"/>
  <c r="C571" i="42"/>
  <c r="B571" i="42"/>
  <c r="A571" i="42"/>
  <c r="U570" i="42"/>
  <c r="E570" i="42"/>
  <c r="C570" i="42"/>
  <c r="B570" i="42"/>
  <c r="A570" i="42"/>
  <c r="U569" i="42"/>
  <c r="E569" i="42"/>
  <c r="C569" i="42"/>
  <c r="B569" i="42"/>
  <c r="A569" i="42"/>
  <c r="U568" i="42"/>
  <c r="E568" i="42"/>
  <c r="C568" i="42"/>
  <c r="B568" i="42"/>
  <c r="A568" i="42"/>
  <c r="U567" i="42"/>
  <c r="E567" i="42"/>
  <c r="C567" i="42"/>
  <c r="B567" i="42"/>
  <c r="A567" i="42"/>
  <c r="U566" i="42"/>
  <c r="E566" i="42"/>
  <c r="C566" i="42"/>
  <c r="B566" i="42"/>
  <c r="A566" i="42"/>
  <c r="U565" i="42"/>
  <c r="E565" i="42"/>
  <c r="C565" i="42"/>
  <c r="B565" i="42"/>
  <c r="A565" i="42"/>
  <c r="U564" i="42"/>
  <c r="E564" i="42"/>
  <c r="C564" i="42"/>
  <c r="B564" i="42"/>
  <c r="A564" i="42"/>
  <c r="U563" i="42"/>
  <c r="E563" i="42"/>
  <c r="C563" i="42"/>
  <c r="B563" i="42"/>
  <c r="A563" i="42"/>
  <c r="U562" i="42"/>
  <c r="E562" i="42"/>
  <c r="C562" i="42"/>
  <c r="B562" i="42"/>
  <c r="A562" i="42"/>
  <c r="U561" i="42"/>
  <c r="E561" i="42"/>
  <c r="C561" i="42"/>
  <c r="B561" i="42"/>
  <c r="A561" i="42"/>
  <c r="U560" i="42"/>
  <c r="E560" i="42"/>
  <c r="C560" i="42"/>
  <c r="B560" i="42"/>
  <c r="A560" i="42"/>
  <c r="U559" i="42"/>
  <c r="E559" i="42"/>
  <c r="C559" i="42"/>
  <c r="B559" i="42"/>
  <c r="A559" i="42"/>
  <c r="U558" i="42"/>
  <c r="E558" i="42"/>
  <c r="C558" i="42"/>
  <c r="B558" i="42"/>
  <c r="A558" i="42"/>
  <c r="U557" i="42"/>
  <c r="E557" i="42"/>
  <c r="C557" i="42"/>
  <c r="B557" i="42"/>
  <c r="A557" i="42"/>
  <c r="U556" i="42"/>
  <c r="E556" i="42"/>
  <c r="C556" i="42"/>
  <c r="B556" i="42"/>
  <c r="A556" i="42"/>
  <c r="U555" i="42"/>
  <c r="E555" i="42"/>
  <c r="C555" i="42"/>
  <c r="B555" i="42"/>
  <c r="A555" i="42"/>
  <c r="U554" i="42"/>
  <c r="E554" i="42"/>
  <c r="C554" i="42"/>
  <c r="B554" i="42"/>
  <c r="A554" i="42"/>
  <c r="U553" i="42"/>
  <c r="E553" i="42"/>
  <c r="C553" i="42"/>
  <c r="B553" i="42"/>
  <c r="A553" i="42"/>
  <c r="U552" i="42"/>
  <c r="E552" i="42"/>
  <c r="C552" i="42"/>
  <c r="B552" i="42"/>
  <c r="A552" i="42"/>
  <c r="U551" i="42"/>
  <c r="E551" i="42"/>
  <c r="C551" i="42"/>
  <c r="B551" i="42"/>
  <c r="A551" i="42"/>
  <c r="U550" i="42"/>
  <c r="E550" i="42"/>
  <c r="C550" i="42"/>
  <c r="B550" i="42"/>
  <c r="A550" i="42"/>
  <c r="U549" i="42"/>
  <c r="E549" i="42"/>
  <c r="C549" i="42"/>
  <c r="B549" i="42"/>
  <c r="A549" i="42"/>
  <c r="U548" i="42"/>
  <c r="E548" i="42"/>
  <c r="C548" i="42"/>
  <c r="B548" i="42"/>
  <c r="A548" i="42"/>
  <c r="U547" i="42"/>
  <c r="E547" i="42"/>
  <c r="C547" i="42"/>
  <c r="B547" i="42"/>
  <c r="A547" i="42"/>
  <c r="U546" i="42"/>
  <c r="E546" i="42"/>
  <c r="C546" i="42"/>
  <c r="B546" i="42"/>
  <c r="A546" i="42"/>
  <c r="U545" i="42"/>
  <c r="E545" i="42"/>
  <c r="C545" i="42"/>
  <c r="B545" i="42"/>
  <c r="A545" i="42"/>
  <c r="U544" i="42"/>
  <c r="E544" i="42"/>
  <c r="C544" i="42"/>
  <c r="B544" i="42"/>
  <c r="A544" i="42"/>
  <c r="U543" i="42"/>
  <c r="E543" i="42"/>
  <c r="C543" i="42"/>
  <c r="B543" i="42"/>
  <c r="A543" i="42"/>
  <c r="U542" i="42"/>
  <c r="E542" i="42"/>
  <c r="C542" i="42"/>
  <c r="B542" i="42"/>
  <c r="A542" i="42"/>
  <c r="U541" i="42"/>
  <c r="E541" i="42"/>
  <c r="C541" i="42"/>
  <c r="B541" i="42"/>
  <c r="A541" i="42"/>
  <c r="U540" i="42"/>
  <c r="E540" i="42"/>
  <c r="C540" i="42"/>
  <c r="B540" i="42"/>
  <c r="A540" i="42"/>
  <c r="U539" i="42"/>
  <c r="E539" i="42"/>
  <c r="C539" i="42"/>
  <c r="B539" i="42"/>
  <c r="A539" i="42"/>
  <c r="U538" i="42"/>
  <c r="E538" i="42"/>
  <c r="C538" i="42"/>
  <c r="B538" i="42"/>
  <c r="A538" i="42"/>
  <c r="U537" i="42"/>
  <c r="E537" i="42"/>
  <c r="C537" i="42"/>
  <c r="B537" i="42"/>
  <c r="A537" i="42"/>
  <c r="U536" i="42"/>
  <c r="E536" i="42"/>
  <c r="C536" i="42"/>
  <c r="B536" i="42"/>
  <c r="A536" i="42"/>
  <c r="U535" i="42"/>
  <c r="E535" i="42"/>
  <c r="C535" i="42"/>
  <c r="B535" i="42"/>
  <c r="A535" i="42"/>
  <c r="U534" i="42"/>
  <c r="E534" i="42"/>
  <c r="C534" i="42"/>
  <c r="B534" i="42"/>
  <c r="A534" i="42"/>
  <c r="U533" i="42"/>
  <c r="E533" i="42"/>
  <c r="C533" i="42"/>
  <c r="B533" i="42"/>
  <c r="A533" i="42"/>
  <c r="U532" i="42"/>
  <c r="E532" i="42"/>
  <c r="C532" i="42"/>
  <c r="B532" i="42"/>
  <c r="A532" i="42"/>
  <c r="U531" i="42"/>
  <c r="E531" i="42"/>
  <c r="C531" i="42"/>
  <c r="B531" i="42"/>
  <c r="A531" i="42"/>
  <c r="U530" i="42"/>
  <c r="E530" i="42"/>
  <c r="C530" i="42"/>
  <c r="B530" i="42"/>
  <c r="A530" i="42"/>
  <c r="U529" i="42"/>
  <c r="E529" i="42"/>
  <c r="C529" i="42"/>
  <c r="B529" i="42"/>
  <c r="A529" i="42"/>
  <c r="U528" i="42"/>
  <c r="E528" i="42"/>
  <c r="C528" i="42"/>
  <c r="B528" i="42"/>
  <c r="A528" i="42"/>
  <c r="U527" i="42"/>
  <c r="E527" i="42"/>
  <c r="C527" i="42"/>
  <c r="B527" i="42"/>
  <c r="A527" i="42"/>
  <c r="U526" i="42"/>
  <c r="E526" i="42"/>
  <c r="C526" i="42"/>
  <c r="B526" i="42"/>
  <c r="A526" i="42"/>
  <c r="U525" i="42"/>
  <c r="E525" i="42"/>
  <c r="C525" i="42"/>
  <c r="B525" i="42"/>
  <c r="A525" i="42"/>
  <c r="U524" i="42"/>
  <c r="E524" i="42"/>
  <c r="C524" i="42"/>
  <c r="B524" i="42"/>
  <c r="A524" i="42"/>
  <c r="U523" i="42"/>
  <c r="E523" i="42"/>
  <c r="C523" i="42"/>
  <c r="B523" i="42"/>
  <c r="A523" i="42"/>
  <c r="U522" i="42"/>
  <c r="E522" i="42"/>
  <c r="C522" i="42"/>
  <c r="B522" i="42"/>
  <c r="A522" i="42"/>
  <c r="U521" i="42"/>
  <c r="E521" i="42"/>
  <c r="C521" i="42"/>
  <c r="B521" i="42"/>
  <c r="A521" i="42"/>
  <c r="U520" i="42"/>
  <c r="E520" i="42"/>
  <c r="C520" i="42"/>
  <c r="B520" i="42"/>
  <c r="A520" i="42"/>
  <c r="U519" i="42"/>
  <c r="E519" i="42"/>
  <c r="C519" i="42"/>
  <c r="B519" i="42"/>
  <c r="A519" i="42"/>
  <c r="U518" i="42"/>
  <c r="E518" i="42"/>
  <c r="C518" i="42"/>
  <c r="B518" i="42"/>
  <c r="A518" i="42"/>
  <c r="U517" i="42"/>
  <c r="E517" i="42"/>
  <c r="C517" i="42"/>
  <c r="B517" i="42"/>
  <c r="A517" i="42"/>
  <c r="U516" i="42"/>
  <c r="E516" i="42"/>
  <c r="C516" i="42"/>
  <c r="B516" i="42"/>
  <c r="A516" i="42"/>
  <c r="U515" i="42"/>
  <c r="E515" i="42"/>
  <c r="C515" i="42"/>
  <c r="B515" i="42"/>
  <c r="A515" i="42"/>
  <c r="U514" i="42"/>
  <c r="E514" i="42"/>
  <c r="C514" i="42"/>
  <c r="B514" i="42"/>
  <c r="A514" i="42"/>
  <c r="U513" i="42"/>
  <c r="E513" i="42"/>
  <c r="C513" i="42"/>
  <c r="B513" i="42"/>
  <c r="A513" i="42"/>
  <c r="U512" i="42"/>
  <c r="E512" i="42"/>
  <c r="C512" i="42"/>
  <c r="B512" i="42"/>
  <c r="A512" i="42"/>
  <c r="U511" i="42"/>
  <c r="E511" i="42"/>
  <c r="C511" i="42"/>
  <c r="B511" i="42"/>
  <c r="A511" i="42"/>
  <c r="U510" i="42"/>
  <c r="E510" i="42"/>
  <c r="C510" i="42"/>
  <c r="B510" i="42"/>
  <c r="A510" i="42"/>
  <c r="U509" i="42"/>
  <c r="E509" i="42"/>
  <c r="C509" i="42"/>
  <c r="B509" i="42"/>
  <c r="A509" i="42"/>
  <c r="U508" i="42"/>
  <c r="E508" i="42"/>
  <c r="C508" i="42"/>
  <c r="B508" i="42"/>
  <c r="A508" i="42"/>
  <c r="U507" i="42"/>
  <c r="E507" i="42"/>
  <c r="C507" i="42"/>
  <c r="B507" i="42"/>
  <c r="A507" i="42"/>
  <c r="U506" i="42"/>
  <c r="E506" i="42"/>
  <c r="C506" i="42"/>
  <c r="B506" i="42"/>
  <c r="A506" i="42"/>
  <c r="U505" i="42"/>
  <c r="E505" i="42"/>
  <c r="C505" i="42"/>
  <c r="B505" i="42"/>
  <c r="A505" i="42"/>
  <c r="U504" i="42"/>
  <c r="E504" i="42"/>
  <c r="C504" i="42"/>
  <c r="B504" i="42"/>
  <c r="A504" i="42"/>
  <c r="U503" i="42"/>
  <c r="E503" i="42"/>
  <c r="C503" i="42"/>
  <c r="B503" i="42"/>
  <c r="A503" i="42"/>
  <c r="U502" i="42"/>
  <c r="E502" i="42"/>
  <c r="C502" i="42"/>
  <c r="B502" i="42"/>
  <c r="A502" i="42"/>
  <c r="U501" i="42"/>
  <c r="E501" i="42"/>
  <c r="C501" i="42"/>
  <c r="B501" i="42"/>
  <c r="A501" i="42"/>
  <c r="U500" i="42"/>
  <c r="E500" i="42"/>
  <c r="C500" i="42"/>
  <c r="B500" i="42"/>
  <c r="A500" i="42"/>
  <c r="U499" i="42"/>
  <c r="E499" i="42"/>
  <c r="C499" i="42"/>
  <c r="B499" i="42"/>
  <c r="A499" i="42"/>
  <c r="U498" i="42"/>
  <c r="E498" i="42"/>
  <c r="C498" i="42"/>
  <c r="B498" i="42"/>
  <c r="A498" i="42"/>
  <c r="U497" i="42"/>
  <c r="E497" i="42"/>
  <c r="C497" i="42"/>
  <c r="B497" i="42"/>
  <c r="A497" i="42"/>
  <c r="U496" i="42"/>
  <c r="E496" i="42"/>
  <c r="C496" i="42"/>
  <c r="B496" i="42"/>
  <c r="A496" i="42"/>
  <c r="U495" i="42"/>
  <c r="E495" i="42"/>
  <c r="C495" i="42"/>
  <c r="B495" i="42"/>
  <c r="A495" i="42"/>
  <c r="U494" i="42"/>
  <c r="E494" i="42"/>
  <c r="C494" i="42"/>
  <c r="B494" i="42"/>
  <c r="A494" i="42"/>
  <c r="U493" i="42"/>
  <c r="E493" i="42"/>
  <c r="C493" i="42"/>
  <c r="B493" i="42"/>
  <c r="A493" i="42"/>
  <c r="U492" i="42"/>
  <c r="E492" i="42"/>
  <c r="C492" i="42"/>
  <c r="B492" i="42"/>
  <c r="A492" i="42"/>
  <c r="U491" i="42"/>
  <c r="E491" i="42"/>
  <c r="C491" i="42"/>
  <c r="B491" i="42"/>
  <c r="A491" i="42"/>
  <c r="U490" i="42"/>
  <c r="E490" i="42"/>
  <c r="C490" i="42"/>
  <c r="B490" i="42"/>
  <c r="A490" i="42"/>
  <c r="U489" i="42"/>
  <c r="E489" i="42"/>
  <c r="C489" i="42"/>
  <c r="B489" i="42"/>
  <c r="A489" i="42"/>
  <c r="U488" i="42"/>
  <c r="E488" i="42"/>
  <c r="C488" i="42"/>
  <c r="B488" i="42"/>
  <c r="A488" i="42"/>
  <c r="U487" i="42"/>
  <c r="E487" i="42"/>
  <c r="C487" i="42"/>
  <c r="B487" i="42"/>
  <c r="A487" i="42"/>
  <c r="U486" i="42"/>
  <c r="E486" i="42"/>
  <c r="C486" i="42"/>
  <c r="B486" i="42"/>
  <c r="A486" i="42"/>
  <c r="U485" i="42"/>
  <c r="E485" i="42"/>
  <c r="C485" i="42"/>
  <c r="B485" i="42"/>
  <c r="A485" i="42"/>
  <c r="U484" i="42"/>
  <c r="E484" i="42"/>
  <c r="C484" i="42"/>
  <c r="B484" i="42"/>
  <c r="A484" i="42"/>
  <c r="U483" i="42"/>
  <c r="E483" i="42"/>
  <c r="C483" i="42"/>
  <c r="B483" i="42"/>
  <c r="A483" i="42"/>
  <c r="U482" i="42"/>
  <c r="E482" i="42"/>
  <c r="C482" i="42"/>
  <c r="B482" i="42"/>
  <c r="A482" i="42"/>
  <c r="U481" i="42"/>
  <c r="E481" i="42"/>
  <c r="C481" i="42"/>
  <c r="B481" i="42"/>
  <c r="A481" i="42"/>
  <c r="U480" i="42"/>
  <c r="E480" i="42"/>
  <c r="C480" i="42"/>
  <c r="B480" i="42"/>
  <c r="A480" i="42"/>
  <c r="U479" i="42"/>
  <c r="E479" i="42"/>
  <c r="C479" i="42"/>
  <c r="B479" i="42"/>
  <c r="A479" i="42"/>
  <c r="U478" i="42"/>
  <c r="E478" i="42"/>
  <c r="C478" i="42"/>
  <c r="B478" i="42"/>
  <c r="A478" i="42"/>
  <c r="U477" i="42"/>
  <c r="E477" i="42"/>
  <c r="C477" i="42"/>
  <c r="B477" i="42"/>
  <c r="A477" i="42"/>
  <c r="U476" i="42"/>
  <c r="U475" i="42"/>
  <c r="T474" i="42"/>
  <c r="S474" i="42"/>
  <c r="R474" i="42"/>
  <c r="Q474" i="42"/>
  <c r="P474" i="42"/>
  <c r="O474" i="42"/>
  <c r="N474" i="42"/>
  <c r="M474" i="42"/>
  <c r="L474" i="42"/>
  <c r="K474" i="42"/>
  <c r="J474" i="42"/>
  <c r="I474" i="42"/>
  <c r="H474" i="42"/>
  <c r="E473" i="42"/>
  <c r="C473" i="42"/>
  <c r="B473" i="42"/>
  <c r="A473" i="42"/>
  <c r="E472" i="42"/>
  <c r="C472" i="42"/>
  <c r="B472" i="42"/>
  <c r="A472" i="42"/>
  <c r="C471" i="42"/>
  <c r="B471" i="42"/>
  <c r="A471" i="42"/>
  <c r="E470" i="42"/>
  <c r="C470" i="42"/>
  <c r="B470" i="42"/>
  <c r="A470" i="42"/>
  <c r="E469" i="42"/>
  <c r="C469" i="42"/>
  <c r="B469" i="42"/>
  <c r="A469" i="42"/>
  <c r="E468" i="42"/>
  <c r="C468" i="42"/>
  <c r="B468" i="42"/>
  <c r="A468" i="42"/>
  <c r="E467" i="42"/>
  <c r="C467" i="42"/>
  <c r="B467" i="42"/>
  <c r="A467" i="42"/>
  <c r="E466" i="42"/>
  <c r="C466" i="42"/>
  <c r="B466" i="42"/>
  <c r="A466" i="42"/>
  <c r="E465" i="42"/>
  <c r="C465" i="42"/>
  <c r="B465" i="42"/>
  <c r="A465" i="42"/>
  <c r="E464" i="42"/>
  <c r="C464" i="42"/>
  <c r="B464" i="42"/>
  <c r="A464" i="42"/>
  <c r="E463" i="42"/>
  <c r="C463" i="42"/>
  <c r="B463" i="42"/>
  <c r="A463" i="42"/>
  <c r="E462" i="42"/>
  <c r="C462" i="42"/>
  <c r="B462" i="42"/>
  <c r="A462" i="42"/>
  <c r="E461" i="42"/>
  <c r="C461" i="42"/>
  <c r="B461" i="42"/>
  <c r="A461" i="42"/>
  <c r="E460" i="42"/>
  <c r="C460" i="42"/>
  <c r="B460" i="42"/>
  <c r="A460" i="42"/>
  <c r="E456" i="42"/>
  <c r="C456" i="42"/>
  <c r="B456" i="42"/>
  <c r="A456" i="42"/>
  <c r="E455" i="42"/>
  <c r="C455" i="42"/>
  <c r="B455" i="42"/>
  <c r="A455" i="42"/>
  <c r="E454" i="42"/>
  <c r="C454" i="42"/>
  <c r="B454" i="42"/>
  <c r="A454" i="42"/>
  <c r="E453" i="42"/>
  <c r="C453" i="42"/>
  <c r="B453" i="42"/>
  <c r="A453" i="42"/>
  <c r="E452" i="42"/>
  <c r="C452" i="42"/>
  <c r="B452" i="42"/>
  <c r="A452" i="42"/>
  <c r="E451" i="42"/>
  <c r="C451" i="42"/>
  <c r="B451" i="42"/>
  <c r="A451" i="42"/>
  <c r="E450" i="42"/>
  <c r="C450" i="42"/>
  <c r="B450" i="42"/>
  <c r="A450" i="42"/>
  <c r="E449" i="42"/>
  <c r="C449" i="42"/>
  <c r="B449" i="42"/>
  <c r="A449" i="42"/>
  <c r="E448" i="42"/>
  <c r="C448" i="42"/>
  <c r="B448" i="42"/>
  <c r="A448" i="42"/>
  <c r="E447" i="42"/>
  <c r="C447" i="42"/>
  <c r="B447" i="42"/>
  <c r="A447" i="42"/>
  <c r="E446" i="42"/>
  <c r="C446" i="42"/>
  <c r="B446" i="42"/>
  <c r="A446" i="42"/>
  <c r="E445" i="42"/>
  <c r="C445" i="42"/>
  <c r="B445" i="42"/>
  <c r="A445" i="42"/>
  <c r="E444" i="42"/>
  <c r="C444" i="42"/>
  <c r="B444" i="42"/>
  <c r="A444" i="42"/>
  <c r="E443" i="42"/>
  <c r="C443" i="42"/>
  <c r="B443" i="42"/>
  <c r="A443" i="42"/>
  <c r="E442" i="42"/>
  <c r="C442" i="42"/>
  <c r="B442" i="42"/>
  <c r="A442" i="42"/>
  <c r="E441" i="42"/>
  <c r="C441" i="42"/>
  <c r="B441" i="42"/>
  <c r="A441" i="42"/>
  <c r="E440" i="42"/>
  <c r="C440" i="42"/>
  <c r="B440" i="42"/>
  <c r="A440" i="42"/>
  <c r="E439" i="42"/>
  <c r="C439" i="42"/>
  <c r="B439" i="42"/>
  <c r="A439" i="42"/>
  <c r="E438" i="42"/>
  <c r="C438" i="42"/>
  <c r="B438" i="42"/>
  <c r="A438" i="42"/>
  <c r="E437" i="42"/>
  <c r="C437" i="42"/>
  <c r="B437" i="42"/>
  <c r="A437" i="42"/>
  <c r="E436" i="42"/>
  <c r="C436" i="42"/>
  <c r="B436" i="42"/>
  <c r="A436" i="42"/>
  <c r="E435" i="42"/>
  <c r="C435" i="42"/>
  <c r="B435" i="42"/>
  <c r="A435" i="42"/>
  <c r="E434" i="42"/>
  <c r="C434" i="42"/>
  <c r="B434" i="42"/>
  <c r="A434" i="42"/>
  <c r="E433" i="42"/>
  <c r="C433" i="42"/>
  <c r="B433" i="42"/>
  <c r="A433" i="42"/>
  <c r="E432" i="42"/>
  <c r="C432" i="42"/>
  <c r="B432" i="42"/>
  <c r="A432" i="42"/>
  <c r="E431" i="42"/>
  <c r="C431" i="42"/>
  <c r="B431" i="42"/>
  <c r="A431" i="42"/>
  <c r="E430" i="42"/>
  <c r="C430" i="42"/>
  <c r="B430" i="42"/>
  <c r="A430" i="42"/>
  <c r="E429" i="42"/>
  <c r="C429" i="42"/>
  <c r="B429" i="42"/>
  <c r="A429" i="42"/>
  <c r="E428" i="42"/>
  <c r="C428" i="42"/>
  <c r="B428" i="42"/>
  <c r="A428" i="42"/>
  <c r="E427" i="42"/>
  <c r="C427" i="42"/>
  <c r="B427" i="42"/>
  <c r="A427" i="42"/>
  <c r="E426" i="42"/>
  <c r="C426" i="42"/>
  <c r="B426" i="42"/>
  <c r="A426" i="42"/>
  <c r="E425" i="42"/>
  <c r="C425" i="42"/>
  <c r="B425" i="42"/>
  <c r="A425" i="42"/>
  <c r="E424" i="42"/>
  <c r="C424" i="42"/>
  <c r="B424" i="42"/>
  <c r="A424" i="42"/>
  <c r="E423" i="42"/>
  <c r="C423" i="42"/>
  <c r="B423" i="42"/>
  <c r="A423" i="42"/>
  <c r="E422" i="42"/>
  <c r="C422" i="42"/>
  <c r="B422" i="42"/>
  <c r="A422" i="42"/>
  <c r="E421" i="42"/>
  <c r="C421" i="42"/>
  <c r="B421" i="42"/>
  <c r="A421" i="42"/>
  <c r="E420" i="42"/>
  <c r="C420" i="42"/>
  <c r="B420" i="42"/>
  <c r="A420" i="42"/>
  <c r="E419" i="42"/>
  <c r="C419" i="42"/>
  <c r="B419" i="42"/>
  <c r="A419" i="42"/>
  <c r="E418" i="42"/>
  <c r="C418" i="42"/>
  <c r="B418" i="42"/>
  <c r="A418" i="42"/>
  <c r="E417" i="42"/>
  <c r="C417" i="42"/>
  <c r="B417" i="42"/>
  <c r="A417" i="42"/>
  <c r="E416" i="42"/>
  <c r="C416" i="42"/>
  <c r="B416" i="42"/>
  <c r="A416" i="42"/>
  <c r="E415" i="42"/>
  <c r="C415" i="42"/>
  <c r="B415" i="42"/>
  <c r="A415" i="42"/>
  <c r="E414" i="42"/>
  <c r="C414" i="42"/>
  <c r="B414" i="42"/>
  <c r="A414" i="42"/>
  <c r="E413" i="42"/>
  <c r="C413" i="42"/>
  <c r="B413" i="42"/>
  <c r="A413" i="42"/>
  <c r="E412" i="42"/>
  <c r="C412" i="42"/>
  <c r="B412" i="42"/>
  <c r="A412" i="42"/>
  <c r="E411" i="42"/>
  <c r="C411" i="42"/>
  <c r="B411" i="42"/>
  <c r="A411" i="42"/>
  <c r="E410" i="42"/>
  <c r="C410" i="42"/>
  <c r="B410" i="42"/>
  <c r="A410" i="42"/>
  <c r="E409" i="42"/>
  <c r="C409" i="42"/>
  <c r="B409" i="42"/>
  <c r="A409" i="42"/>
  <c r="E408" i="42"/>
  <c r="C408" i="42"/>
  <c r="B408" i="42"/>
  <c r="A408" i="42"/>
  <c r="E407" i="42"/>
  <c r="C407" i="42"/>
  <c r="B407" i="42"/>
  <c r="A407" i="42"/>
  <c r="E406" i="42"/>
  <c r="C406" i="42"/>
  <c r="B406" i="42"/>
  <c r="A406" i="42"/>
  <c r="E405" i="42"/>
  <c r="C405" i="42"/>
  <c r="B405" i="42"/>
  <c r="A405" i="42"/>
  <c r="E404" i="42"/>
  <c r="C404" i="42"/>
  <c r="B404" i="42"/>
  <c r="A404" i="42"/>
  <c r="E403" i="42"/>
  <c r="C403" i="42"/>
  <c r="B403" i="42"/>
  <c r="A403" i="42"/>
  <c r="E402" i="42"/>
  <c r="C402" i="42"/>
  <c r="B402" i="42"/>
  <c r="A402" i="42"/>
  <c r="E401" i="42"/>
  <c r="C401" i="42"/>
  <c r="B401" i="42"/>
  <c r="A401" i="42"/>
  <c r="E400" i="42"/>
  <c r="C400" i="42"/>
  <c r="B400" i="42"/>
  <c r="A400" i="42"/>
  <c r="E399" i="42"/>
  <c r="C399" i="42"/>
  <c r="B399" i="42"/>
  <c r="A399" i="42"/>
  <c r="E398" i="42"/>
  <c r="C398" i="42"/>
  <c r="B398" i="42"/>
  <c r="A398" i="42"/>
  <c r="E397" i="42"/>
  <c r="C397" i="42"/>
  <c r="B397" i="42"/>
  <c r="A397" i="42"/>
  <c r="E396" i="42"/>
  <c r="C396" i="42"/>
  <c r="B396" i="42"/>
  <c r="A396" i="42"/>
  <c r="E395" i="42"/>
  <c r="C395" i="42"/>
  <c r="B395" i="42"/>
  <c r="A395" i="42"/>
  <c r="E394" i="42"/>
  <c r="C394" i="42"/>
  <c r="B394" i="42"/>
  <c r="A394" i="42"/>
  <c r="E393" i="42"/>
  <c r="C393" i="42"/>
  <c r="B393" i="42"/>
  <c r="A393" i="42"/>
  <c r="E392" i="42"/>
  <c r="C392" i="42"/>
  <c r="B392" i="42"/>
  <c r="A392" i="42"/>
  <c r="E391" i="42"/>
  <c r="C391" i="42"/>
  <c r="B391" i="42"/>
  <c r="A391" i="42"/>
  <c r="E390" i="42"/>
  <c r="C390" i="42"/>
  <c r="B390" i="42"/>
  <c r="A390" i="42"/>
  <c r="E389" i="42"/>
  <c r="C389" i="42"/>
  <c r="B389" i="42"/>
  <c r="A389" i="42"/>
  <c r="E388" i="42"/>
  <c r="C388" i="42"/>
  <c r="B388" i="42"/>
  <c r="A388" i="42"/>
  <c r="E387" i="42"/>
  <c r="C387" i="42"/>
  <c r="B387" i="42"/>
  <c r="A387" i="42"/>
  <c r="E386" i="42"/>
  <c r="C386" i="42"/>
  <c r="B386" i="42"/>
  <c r="A386" i="42"/>
  <c r="E385" i="42"/>
  <c r="C385" i="42"/>
  <c r="B385" i="42"/>
  <c r="A385" i="42"/>
  <c r="E384" i="42"/>
  <c r="C384" i="42"/>
  <c r="B384" i="42"/>
  <c r="A384" i="42"/>
  <c r="E383" i="42"/>
  <c r="C383" i="42"/>
  <c r="B383" i="42"/>
  <c r="A383" i="42"/>
  <c r="E382" i="42"/>
  <c r="C382" i="42"/>
  <c r="B382" i="42"/>
  <c r="A382" i="42"/>
  <c r="E381" i="42"/>
  <c r="C381" i="42"/>
  <c r="B381" i="42"/>
  <c r="A381" i="42"/>
  <c r="E380" i="42"/>
  <c r="C380" i="42"/>
  <c r="B380" i="42"/>
  <c r="A380" i="42"/>
  <c r="E379" i="42"/>
  <c r="C379" i="42"/>
  <c r="B379" i="42"/>
  <c r="A379" i="42"/>
  <c r="E378" i="42"/>
  <c r="C378" i="42"/>
  <c r="B378" i="42"/>
  <c r="A378" i="42"/>
  <c r="E377" i="42"/>
  <c r="C377" i="42"/>
  <c r="B377" i="42"/>
  <c r="A377" i="42"/>
  <c r="E376" i="42"/>
  <c r="C376" i="42"/>
  <c r="B376" i="42"/>
  <c r="A376" i="42"/>
  <c r="E375" i="42"/>
  <c r="C375" i="42"/>
  <c r="B375" i="42"/>
  <c r="A375" i="42"/>
  <c r="E374" i="42"/>
  <c r="C374" i="42"/>
  <c r="B374" i="42"/>
  <c r="A374" i="42"/>
  <c r="E373" i="42"/>
  <c r="C373" i="42"/>
  <c r="B373" i="42"/>
  <c r="A373" i="42"/>
  <c r="E372" i="42"/>
  <c r="C372" i="42"/>
  <c r="B372" i="42"/>
  <c r="A372" i="42"/>
  <c r="E371" i="42"/>
  <c r="C371" i="42"/>
  <c r="B371" i="42"/>
  <c r="A371" i="42"/>
  <c r="E370" i="42"/>
  <c r="C370" i="42"/>
  <c r="B370" i="42"/>
  <c r="A370" i="42"/>
  <c r="E369" i="42"/>
  <c r="C369" i="42"/>
  <c r="B369" i="42"/>
  <c r="A369" i="42"/>
  <c r="E368" i="42"/>
  <c r="C368" i="42"/>
  <c r="B368" i="42"/>
  <c r="A368" i="42"/>
  <c r="E367" i="42"/>
  <c r="C367" i="42"/>
  <c r="B367" i="42"/>
  <c r="A367" i="42"/>
  <c r="E366" i="42"/>
  <c r="C366" i="42"/>
  <c r="B366" i="42"/>
  <c r="A366" i="42"/>
  <c r="E365" i="42"/>
  <c r="C365" i="42"/>
  <c r="B365" i="42"/>
  <c r="A365" i="42"/>
  <c r="E364" i="42"/>
  <c r="C364" i="42"/>
  <c r="B364" i="42"/>
  <c r="A364" i="42"/>
  <c r="E363" i="42"/>
  <c r="C363" i="42"/>
  <c r="B363" i="42"/>
  <c r="A363" i="42"/>
  <c r="E362" i="42"/>
  <c r="C362" i="42"/>
  <c r="B362" i="42"/>
  <c r="A362" i="42"/>
  <c r="E360" i="42"/>
  <c r="C360" i="42"/>
  <c r="B360" i="42"/>
  <c r="A360" i="42"/>
  <c r="E358" i="42"/>
  <c r="C358" i="42"/>
  <c r="B358" i="42"/>
  <c r="A358" i="42"/>
  <c r="E356" i="42"/>
  <c r="C356" i="42"/>
  <c r="B356" i="42"/>
  <c r="A356" i="42"/>
  <c r="E354" i="42"/>
  <c r="C354" i="42"/>
  <c r="B354" i="42"/>
  <c r="A354" i="42"/>
  <c r="E349" i="42"/>
  <c r="C349" i="42"/>
  <c r="B349" i="42"/>
  <c r="A349" i="42"/>
  <c r="E348" i="42"/>
  <c r="C348" i="42"/>
  <c r="B348" i="42"/>
  <c r="A348" i="42"/>
  <c r="E347" i="42"/>
  <c r="C347" i="42"/>
  <c r="B347" i="42"/>
  <c r="A347" i="42"/>
  <c r="E346" i="42"/>
  <c r="C346" i="42"/>
  <c r="B346" i="42"/>
  <c r="A346" i="42"/>
  <c r="E344" i="42"/>
  <c r="C344" i="42"/>
  <c r="B344" i="42"/>
  <c r="A344" i="42"/>
  <c r="E343" i="42"/>
  <c r="C343" i="42"/>
  <c r="B343" i="42"/>
  <c r="A343" i="42"/>
  <c r="E342" i="42"/>
  <c r="C342" i="42"/>
  <c r="B342" i="42"/>
  <c r="A342" i="42"/>
  <c r="E341" i="42"/>
  <c r="C341" i="42"/>
  <c r="B341" i="42"/>
  <c r="A341" i="42"/>
  <c r="E340" i="42"/>
  <c r="C340" i="42"/>
  <c r="B340" i="42"/>
  <c r="A340" i="42"/>
  <c r="T337" i="42"/>
  <c r="S337" i="42"/>
  <c r="R337" i="42"/>
  <c r="Q337" i="42"/>
  <c r="P337" i="42"/>
  <c r="O337" i="42"/>
  <c r="N337" i="42"/>
  <c r="M337" i="42"/>
  <c r="L337" i="42"/>
  <c r="K337" i="42"/>
  <c r="J337" i="42"/>
  <c r="I337" i="42"/>
  <c r="H337" i="42"/>
  <c r="E336" i="42"/>
  <c r="C336" i="42"/>
  <c r="B336" i="42"/>
  <c r="A336" i="42"/>
  <c r="E335" i="42"/>
  <c r="C335" i="42"/>
  <c r="B335" i="42"/>
  <c r="A335" i="42"/>
  <c r="E334" i="42"/>
  <c r="C334" i="42"/>
  <c r="B334" i="42"/>
  <c r="A334" i="42"/>
  <c r="E333" i="42"/>
  <c r="C333" i="42"/>
  <c r="B333" i="42"/>
  <c r="A333" i="42"/>
  <c r="E332" i="42"/>
  <c r="C332" i="42"/>
  <c r="B332" i="42"/>
  <c r="A332" i="42"/>
  <c r="E331" i="42"/>
  <c r="C331" i="42"/>
  <c r="B331" i="42"/>
  <c r="A331" i="42"/>
  <c r="E330" i="42"/>
  <c r="C330" i="42"/>
  <c r="B330" i="42"/>
  <c r="A330" i="42"/>
  <c r="G301" i="42"/>
  <c r="E301" i="42"/>
  <c r="C301" i="42"/>
  <c r="B301" i="42"/>
  <c r="A301" i="42"/>
  <c r="G300" i="42"/>
  <c r="E300" i="42"/>
  <c r="C300" i="42"/>
  <c r="B300" i="42"/>
  <c r="A300" i="42"/>
  <c r="G299" i="42"/>
  <c r="E299" i="42"/>
  <c r="C299" i="42"/>
  <c r="B299" i="42"/>
  <c r="A299" i="42"/>
  <c r="U298" i="42"/>
  <c r="G298" i="42"/>
  <c r="E298" i="42"/>
  <c r="C298" i="42"/>
  <c r="B298" i="42"/>
  <c r="A298" i="42"/>
  <c r="U297" i="42"/>
  <c r="G297" i="42"/>
  <c r="U296" i="42"/>
  <c r="G296" i="42"/>
  <c r="T295" i="42"/>
  <c r="S295" i="42"/>
  <c r="R295" i="42"/>
  <c r="Q295" i="42"/>
  <c r="P295" i="42"/>
  <c r="O295" i="42"/>
  <c r="N295" i="42"/>
  <c r="M295" i="42"/>
  <c r="L295" i="42"/>
  <c r="K295" i="42"/>
  <c r="J295" i="42"/>
  <c r="I295" i="42"/>
  <c r="H295" i="42"/>
  <c r="G295" i="42"/>
  <c r="U294" i="42"/>
  <c r="G294" i="42"/>
  <c r="E294" i="42"/>
  <c r="C294" i="42"/>
  <c r="B294" i="42"/>
  <c r="A294" i="42"/>
  <c r="U293" i="42"/>
  <c r="G293" i="42"/>
  <c r="E293" i="42"/>
  <c r="C293" i="42"/>
  <c r="B293" i="42"/>
  <c r="A293" i="42"/>
  <c r="U292" i="42"/>
  <c r="G292" i="42"/>
  <c r="E292" i="42"/>
  <c r="C292" i="42"/>
  <c r="B292" i="42"/>
  <c r="A292" i="42"/>
  <c r="U291" i="42"/>
  <c r="G291" i="42"/>
  <c r="E291" i="42"/>
  <c r="C291" i="42"/>
  <c r="B291" i="42"/>
  <c r="A291" i="42"/>
  <c r="U290" i="42"/>
  <c r="G290" i="42"/>
  <c r="E290" i="42"/>
  <c r="C290" i="42"/>
  <c r="B290" i="42"/>
  <c r="A290" i="42"/>
  <c r="U289" i="42"/>
  <c r="G289" i="42"/>
  <c r="E289" i="42"/>
  <c r="C289" i="42"/>
  <c r="B289" i="42"/>
  <c r="A289" i="42"/>
  <c r="U288" i="42"/>
  <c r="G288" i="42"/>
  <c r="E288" i="42"/>
  <c r="C288" i="42"/>
  <c r="B288" i="42"/>
  <c r="A288" i="42"/>
  <c r="U287" i="42"/>
  <c r="G287" i="42"/>
  <c r="E287" i="42"/>
  <c r="C287" i="42"/>
  <c r="B287" i="42"/>
  <c r="A287" i="42"/>
  <c r="U286" i="42"/>
  <c r="G286" i="42"/>
  <c r="E286" i="42"/>
  <c r="C286" i="42"/>
  <c r="B286" i="42"/>
  <c r="A286" i="42"/>
  <c r="U285" i="42"/>
  <c r="G285" i="42"/>
  <c r="E285" i="42"/>
  <c r="C285" i="42"/>
  <c r="B285" i="42"/>
  <c r="A285" i="42"/>
  <c r="U284" i="42"/>
  <c r="G284" i="42"/>
  <c r="E284" i="42"/>
  <c r="C284" i="42"/>
  <c r="B284" i="42"/>
  <c r="A284" i="42"/>
  <c r="U283" i="42"/>
  <c r="G283" i="42"/>
  <c r="E283" i="42"/>
  <c r="C283" i="42"/>
  <c r="B283" i="42"/>
  <c r="A283" i="42"/>
  <c r="U282" i="42"/>
  <c r="G282" i="42"/>
  <c r="E282" i="42"/>
  <c r="C282" i="42"/>
  <c r="B282" i="42"/>
  <c r="A282" i="42"/>
  <c r="U281" i="42"/>
  <c r="G281" i="42"/>
  <c r="E281" i="42"/>
  <c r="C281" i="42"/>
  <c r="B281" i="42"/>
  <c r="A281" i="42"/>
  <c r="U275" i="42"/>
  <c r="G275" i="42"/>
  <c r="E275" i="42"/>
  <c r="C275" i="42"/>
  <c r="B275" i="42"/>
  <c r="A275" i="42"/>
  <c r="U274" i="42"/>
  <c r="G274" i="42"/>
  <c r="E274" i="42"/>
  <c r="C274" i="42"/>
  <c r="B274" i="42"/>
  <c r="A274" i="42"/>
  <c r="U273" i="42"/>
  <c r="G273" i="42"/>
  <c r="E273" i="42"/>
  <c r="C273" i="42"/>
  <c r="B273" i="42"/>
  <c r="A273" i="42"/>
  <c r="U272" i="42"/>
  <c r="G272" i="42"/>
  <c r="E272" i="42"/>
  <c r="C272" i="42"/>
  <c r="B272" i="42"/>
  <c r="A272" i="42"/>
  <c r="U271" i="42"/>
  <c r="G271" i="42"/>
  <c r="E271" i="42"/>
  <c r="C271" i="42"/>
  <c r="B271" i="42"/>
  <c r="A271" i="42"/>
  <c r="U270" i="42"/>
  <c r="G270" i="42"/>
  <c r="E270" i="42"/>
  <c r="C270" i="42"/>
  <c r="B270" i="42"/>
  <c r="A270" i="42"/>
  <c r="U269" i="42"/>
  <c r="G269" i="42"/>
  <c r="E269" i="42"/>
  <c r="C269" i="42"/>
  <c r="B269" i="42"/>
  <c r="A269" i="42"/>
  <c r="U268" i="42"/>
  <c r="G268" i="42"/>
  <c r="E268" i="42"/>
  <c r="C268" i="42"/>
  <c r="B268" i="42"/>
  <c r="A268" i="42"/>
  <c r="U267" i="42"/>
  <c r="G267" i="42"/>
  <c r="E267" i="42"/>
  <c r="C267" i="42"/>
  <c r="B267" i="42"/>
  <c r="A267" i="42"/>
  <c r="U266" i="42"/>
  <c r="G266" i="42"/>
  <c r="E266" i="42"/>
  <c r="C266" i="42"/>
  <c r="B266" i="42"/>
  <c r="A266" i="42"/>
  <c r="U265" i="42"/>
  <c r="G265" i="42"/>
  <c r="E265" i="42"/>
  <c r="C265" i="42"/>
  <c r="B265" i="42"/>
  <c r="A265" i="42"/>
  <c r="U264" i="42"/>
  <c r="G264" i="42"/>
  <c r="E264" i="42"/>
  <c r="C264" i="42"/>
  <c r="B264" i="42"/>
  <c r="A264" i="42"/>
  <c r="U263" i="42"/>
  <c r="G263" i="42"/>
  <c r="E263" i="42"/>
  <c r="C263" i="42"/>
  <c r="B263" i="42"/>
  <c r="A263" i="42"/>
  <c r="U262" i="42"/>
  <c r="G262" i="42"/>
  <c r="E262" i="42"/>
  <c r="C262" i="42"/>
  <c r="B262" i="42"/>
  <c r="A262" i="42"/>
  <c r="U261" i="42"/>
  <c r="G261" i="42"/>
  <c r="E261" i="42"/>
  <c r="C261" i="42"/>
  <c r="B261" i="42"/>
  <c r="A261" i="42"/>
  <c r="U260" i="42"/>
  <c r="G260" i="42"/>
  <c r="E260" i="42"/>
  <c r="C260" i="42"/>
  <c r="B260" i="42"/>
  <c r="A260" i="42"/>
  <c r="U259" i="42"/>
  <c r="G259" i="42"/>
  <c r="E259" i="42"/>
  <c r="C259" i="42"/>
  <c r="B259" i="42"/>
  <c r="A259" i="42"/>
  <c r="U258" i="42"/>
  <c r="G258" i="42"/>
  <c r="E258" i="42"/>
  <c r="C258" i="42"/>
  <c r="B258" i="42"/>
  <c r="A258" i="42"/>
  <c r="U257" i="42"/>
  <c r="G257" i="42"/>
  <c r="E257" i="42"/>
  <c r="C257" i="42"/>
  <c r="B257" i="42"/>
  <c r="A257" i="42"/>
  <c r="U256" i="42"/>
  <c r="G256" i="42"/>
  <c r="E256" i="42"/>
  <c r="C256" i="42"/>
  <c r="B256" i="42"/>
  <c r="A256" i="42"/>
  <c r="U255" i="42"/>
  <c r="G255" i="42"/>
  <c r="E255" i="42"/>
  <c r="C255" i="42"/>
  <c r="B255" i="42"/>
  <c r="A255" i="42"/>
  <c r="U254" i="42"/>
  <c r="G254" i="42"/>
  <c r="E254" i="42"/>
  <c r="C254" i="42"/>
  <c r="B254" i="42"/>
  <c r="A254" i="42"/>
  <c r="U253" i="42"/>
  <c r="G253" i="42"/>
  <c r="E253" i="42"/>
  <c r="C253" i="42"/>
  <c r="B253" i="42"/>
  <c r="A253" i="42"/>
  <c r="U252" i="42"/>
  <c r="G252" i="42"/>
  <c r="E252" i="42"/>
  <c r="C252" i="42"/>
  <c r="B252" i="42"/>
  <c r="A252" i="42"/>
  <c r="U251" i="42"/>
  <c r="G251" i="42"/>
  <c r="E251" i="42"/>
  <c r="C251" i="42"/>
  <c r="B251" i="42"/>
  <c r="A251" i="42"/>
  <c r="U250" i="42"/>
  <c r="G250" i="42"/>
  <c r="E250" i="42"/>
  <c r="C250" i="42"/>
  <c r="B250" i="42"/>
  <c r="A250" i="42"/>
  <c r="U249" i="42"/>
  <c r="G249" i="42"/>
  <c r="E249" i="42"/>
  <c r="C249" i="42"/>
  <c r="B249" i="42"/>
  <c r="A249" i="42"/>
  <c r="U248" i="42"/>
  <c r="G248" i="42"/>
  <c r="E248" i="42"/>
  <c r="C248" i="42"/>
  <c r="B248" i="42"/>
  <c r="A248" i="42"/>
  <c r="U247" i="42"/>
  <c r="G247" i="42"/>
  <c r="E247" i="42"/>
  <c r="C247" i="42"/>
  <c r="B247" i="42"/>
  <c r="A247" i="42"/>
  <c r="U246" i="42"/>
  <c r="G246" i="42"/>
  <c r="E246" i="42"/>
  <c r="C246" i="42"/>
  <c r="B246" i="42"/>
  <c r="A246" i="42"/>
  <c r="U245" i="42"/>
  <c r="G245" i="42"/>
  <c r="E245" i="42"/>
  <c r="C245" i="42"/>
  <c r="B245" i="42"/>
  <c r="A245" i="42"/>
  <c r="U244" i="42"/>
  <c r="G244" i="42"/>
  <c r="E244" i="42"/>
  <c r="C244" i="42"/>
  <c r="B244" i="42"/>
  <c r="A244" i="42"/>
  <c r="U243" i="42"/>
  <c r="G243" i="42"/>
  <c r="E243" i="42"/>
  <c r="C243" i="42"/>
  <c r="B243" i="42"/>
  <c r="A243" i="42"/>
  <c r="U242" i="42"/>
  <c r="G242" i="42"/>
  <c r="E242" i="42"/>
  <c r="C242" i="42"/>
  <c r="B242" i="42"/>
  <c r="A242" i="42"/>
  <c r="U241" i="42"/>
  <c r="G241" i="42"/>
  <c r="E241" i="42"/>
  <c r="C241" i="42"/>
  <c r="B241" i="42"/>
  <c r="A241" i="42"/>
  <c r="U240" i="42"/>
  <c r="G240" i="42"/>
  <c r="E240" i="42"/>
  <c r="C240" i="42"/>
  <c r="B240" i="42"/>
  <c r="A240" i="42"/>
  <c r="U239" i="42"/>
  <c r="G239" i="42"/>
  <c r="U238" i="42"/>
  <c r="G238" i="42"/>
  <c r="T237" i="42"/>
  <c r="S237" i="42"/>
  <c r="R237" i="42"/>
  <c r="Q237" i="42"/>
  <c r="P237" i="42"/>
  <c r="O237" i="42"/>
  <c r="N237" i="42"/>
  <c r="M237" i="42"/>
  <c r="L237" i="42"/>
  <c r="K237" i="42"/>
  <c r="J237" i="42"/>
  <c r="I237" i="42"/>
  <c r="H237" i="42"/>
  <c r="G237" i="42"/>
  <c r="U236" i="42"/>
  <c r="G236" i="42"/>
  <c r="E236" i="42"/>
  <c r="C236" i="42"/>
  <c r="B236" i="42"/>
  <c r="A236" i="42"/>
  <c r="U235" i="42"/>
  <c r="G235" i="42"/>
  <c r="C235" i="42"/>
  <c r="B235" i="42"/>
  <c r="A235" i="42"/>
  <c r="U234" i="42"/>
  <c r="G234" i="42"/>
  <c r="C234" i="42"/>
  <c r="B234" i="42"/>
  <c r="A234" i="42"/>
  <c r="U233" i="42"/>
  <c r="G233" i="42"/>
  <c r="E233" i="42"/>
  <c r="C233" i="42"/>
  <c r="B233" i="42"/>
  <c r="A233" i="42"/>
  <c r="U232" i="42"/>
  <c r="G232" i="42"/>
  <c r="E232" i="42"/>
  <c r="C232" i="42"/>
  <c r="B232" i="42"/>
  <c r="A232" i="42"/>
  <c r="U231" i="42"/>
  <c r="G231" i="42"/>
  <c r="E231" i="42"/>
  <c r="C231" i="42"/>
  <c r="B231" i="42"/>
  <c r="A231" i="42"/>
  <c r="U230" i="42"/>
  <c r="G230" i="42"/>
  <c r="E230" i="42"/>
  <c r="C230" i="42"/>
  <c r="B230" i="42"/>
  <c r="A230" i="42"/>
  <c r="U229" i="42"/>
  <c r="G229" i="42"/>
  <c r="E229" i="42"/>
  <c r="C229" i="42"/>
  <c r="B229" i="42"/>
  <c r="A229" i="42"/>
  <c r="U228" i="42"/>
  <c r="G228" i="42"/>
  <c r="E228" i="42"/>
  <c r="C228" i="42"/>
  <c r="B228" i="42"/>
  <c r="A228" i="42"/>
  <c r="U227" i="42"/>
  <c r="G227" i="42"/>
  <c r="E227" i="42"/>
  <c r="C227" i="42"/>
  <c r="B227" i="42"/>
  <c r="A227" i="42"/>
  <c r="U226" i="42"/>
  <c r="G226" i="42"/>
  <c r="E226" i="42"/>
  <c r="C226" i="42"/>
  <c r="B226" i="42"/>
  <c r="A226" i="42"/>
  <c r="U225" i="42"/>
  <c r="G225" i="42"/>
  <c r="E225" i="42"/>
  <c r="C225" i="42"/>
  <c r="B225" i="42"/>
  <c r="A225" i="42"/>
  <c r="U224" i="42"/>
  <c r="G224" i="42"/>
  <c r="E224" i="42"/>
  <c r="C224" i="42"/>
  <c r="B224" i="42"/>
  <c r="A224" i="42"/>
  <c r="U223" i="42"/>
  <c r="G223" i="42"/>
  <c r="E223" i="42"/>
  <c r="C223" i="42"/>
  <c r="B223" i="42"/>
  <c r="A223" i="42"/>
  <c r="U222" i="42"/>
  <c r="G222" i="42"/>
  <c r="E222" i="42"/>
  <c r="C222" i="42"/>
  <c r="B222" i="42"/>
  <c r="A222" i="42"/>
  <c r="U221" i="42"/>
  <c r="G221" i="42"/>
  <c r="E221" i="42"/>
  <c r="C221" i="42"/>
  <c r="B221" i="42"/>
  <c r="A221" i="42"/>
  <c r="U220" i="42"/>
  <c r="G220" i="42"/>
  <c r="E220" i="42"/>
  <c r="C220" i="42"/>
  <c r="B220" i="42"/>
  <c r="A220" i="42"/>
  <c r="U219" i="42"/>
  <c r="G219" i="42"/>
  <c r="E219" i="42"/>
  <c r="C219" i="42"/>
  <c r="B219" i="42"/>
  <c r="A219" i="42"/>
  <c r="U218" i="42"/>
  <c r="G218" i="42"/>
  <c r="E218" i="42"/>
  <c r="C218" i="42"/>
  <c r="B218" i="42"/>
  <c r="A218" i="42"/>
  <c r="U217" i="42"/>
  <c r="G217" i="42"/>
  <c r="E217" i="42"/>
  <c r="C217" i="42"/>
  <c r="B217" i="42"/>
  <c r="A217" i="42"/>
  <c r="U216" i="42"/>
  <c r="G216" i="42"/>
  <c r="E216" i="42"/>
  <c r="C216" i="42"/>
  <c r="B216" i="42"/>
  <c r="A216" i="42"/>
  <c r="U215" i="42"/>
  <c r="G215" i="42"/>
  <c r="E215" i="42"/>
  <c r="C215" i="42"/>
  <c r="B215" i="42"/>
  <c r="A215" i="42"/>
  <c r="U214" i="42"/>
  <c r="G214" i="42"/>
  <c r="E214" i="42"/>
  <c r="C214" i="42"/>
  <c r="B214" i="42"/>
  <c r="A214" i="42"/>
  <c r="U213" i="42"/>
  <c r="G213" i="42"/>
  <c r="E213" i="42"/>
  <c r="C213" i="42"/>
  <c r="B213" i="42"/>
  <c r="A213" i="42"/>
  <c r="U212" i="42"/>
  <c r="G212" i="42"/>
  <c r="E212" i="42"/>
  <c r="C212" i="42"/>
  <c r="B212" i="42"/>
  <c r="A212" i="42"/>
  <c r="U211" i="42"/>
  <c r="G211" i="42"/>
  <c r="E211" i="42"/>
  <c r="C211" i="42"/>
  <c r="B211" i="42"/>
  <c r="A211" i="42"/>
  <c r="U210" i="42"/>
  <c r="G210" i="42"/>
  <c r="E210" i="42"/>
  <c r="C210" i="42"/>
  <c r="B210" i="42"/>
  <c r="A210" i="42"/>
  <c r="U209" i="42"/>
  <c r="G209" i="42"/>
  <c r="E209" i="42"/>
  <c r="C209" i="42"/>
  <c r="B209" i="42"/>
  <c r="A209" i="42"/>
  <c r="U208" i="42"/>
  <c r="G208" i="42"/>
  <c r="E208" i="42"/>
  <c r="C208" i="42"/>
  <c r="B208" i="42"/>
  <c r="A208" i="42"/>
  <c r="U207" i="42"/>
  <c r="G207" i="42"/>
  <c r="E207" i="42"/>
  <c r="C207" i="42"/>
  <c r="B207" i="42"/>
  <c r="A207" i="42"/>
  <c r="U206" i="42"/>
  <c r="G206" i="42"/>
  <c r="E206" i="42"/>
  <c r="C206" i="42"/>
  <c r="B206" i="42"/>
  <c r="A206" i="42"/>
  <c r="U205" i="42"/>
  <c r="G205" i="42"/>
  <c r="E205" i="42"/>
  <c r="C205" i="42"/>
  <c r="B205" i="42"/>
  <c r="A205" i="42"/>
  <c r="U204" i="42"/>
  <c r="G204" i="42"/>
  <c r="E204" i="42"/>
  <c r="C204" i="42"/>
  <c r="B204" i="42"/>
  <c r="A204" i="42"/>
  <c r="U203" i="42"/>
  <c r="G203" i="42"/>
  <c r="E203" i="42"/>
  <c r="C203" i="42"/>
  <c r="B203" i="42"/>
  <c r="A203" i="42"/>
  <c r="U202" i="42"/>
  <c r="G202" i="42"/>
  <c r="E202" i="42"/>
  <c r="C202" i="42"/>
  <c r="B202" i="42"/>
  <c r="A202" i="42"/>
  <c r="U201" i="42"/>
  <c r="G201" i="42"/>
  <c r="E201" i="42"/>
  <c r="C201" i="42"/>
  <c r="B201" i="42"/>
  <c r="A201" i="42"/>
  <c r="U200" i="42"/>
  <c r="G200" i="42"/>
  <c r="E200" i="42"/>
  <c r="C200" i="42"/>
  <c r="B200" i="42"/>
  <c r="A200" i="42"/>
  <c r="U199" i="42"/>
  <c r="G199" i="42"/>
  <c r="E199" i="42"/>
  <c r="C199" i="42"/>
  <c r="B199" i="42"/>
  <c r="A199" i="42"/>
  <c r="U198" i="42"/>
  <c r="G198" i="42"/>
  <c r="E198" i="42"/>
  <c r="C198" i="42"/>
  <c r="B198" i="42"/>
  <c r="A198" i="42"/>
  <c r="U197" i="42"/>
  <c r="G197" i="42"/>
  <c r="E197" i="42"/>
  <c r="C197" i="42"/>
  <c r="B197" i="42"/>
  <c r="A197" i="42"/>
  <c r="U196" i="42"/>
  <c r="G196" i="42"/>
  <c r="E196" i="42"/>
  <c r="C196" i="42"/>
  <c r="B196" i="42"/>
  <c r="A196" i="42"/>
  <c r="U195" i="42"/>
  <c r="G195" i="42"/>
  <c r="E195" i="42"/>
  <c r="C195" i="42"/>
  <c r="B195" i="42"/>
  <c r="A195" i="42"/>
  <c r="U194" i="42"/>
  <c r="G194" i="42"/>
  <c r="E194" i="42"/>
  <c r="C194" i="42"/>
  <c r="B194" i="42"/>
  <c r="A194" i="42"/>
  <c r="U193" i="42"/>
  <c r="G193" i="42"/>
  <c r="E193" i="42"/>
  <c r="C193" i="42"/>
  <c r="B193" i="42"/>
  <c r="A193" i="42"/>
  <c r="U192" i="42"/>
  <c r="G192" i="42"/>
  <c r="E192" i="42"/>
  <c r="C192" i="42"/>
  <c r="B192" i="42"/>
  <c r="A192" i="42"/>
  <c r="U191" i="42"/>
  <c r="G191" i="42"/>
  <c r="E191" i="42"/>
  <c r="C191" i="42"/>
  <c r="B191" i="42"/>
  <c r="A191" i="42"/>
  <c r="U190" i="42"/>
  <c r="G190" i="42"/>
  <c r="E190" i="42"/>
  <c r="C190" i="42"/>
  <c r="B190" i="42"/>
  <c r="A190" i="42"/>
  <c r="U189" i="42"/>
  <c r="G189" i="42"/>
  <c r="E189" i="42"/>
  <c r="C189" i="42"/>
  <c r="B189" i="42"/>
  <c r="A189" i="42"/>
  <c r="U188" i="42"/>
  <c r="G188" i="42"/>
  <c r="E188" i="42"/>
  <c r="C188" i="42"/>
  <c r="B188" i="42"/>
  <c r="A188" i="42"/>
  <c r="U187" i="42"/>
  <c r="G187" i="42"/>
  <c r="E187" i="42"/>
  <c r="C187" i="42"/>
  <c r="B187" i="42"/>
  <c r="A187" i="42"/>
  <c r="U186" i="42"/>
  <c r="G186" i="42"/>
  <c r="E186" i="42"/>
  <c r="C186" i="42"/>
  <c r="B186" i="42"/>
  <c r="A186" i="42"/>
  <c r="U185" i="42"/>
  <c r="G185" i="42"/>
  <c r="E185" i="42"/>
  <c r="C185" i="42"/>
  <c r="B185" i="42"/>
  <c r="A185" i="42"/>
  <c r="U184" i="42"/>
  <c r="G184" i="42"/>
  <c r="E184" i="42"/>
  <c r="C184" i="42"/>
  <c r="B184" i="42"/>
  <c r="A184" i="42"/>
  <c r="U183" i="42"/>
  <c r="G183" i="42"/>
  <c r="E183" i="42"/>
  <c r="C183" i="42"/>
  <c r="B183" i="42"/>
  <c r="A183" i="42"/>
  <c r="U182" i="42"/>
  <c r="G182" i="42"/>
  <c r="E182" i="42"/>
  <c r="C182" i="42"/>
  <c r="B182" i="42"/>
  <c r="A182" i="42"/>
  <c r="U181" i="42"/>
  <c r="G181" i="42"/>
  <c r="E181" i="42"/>
  <c r="C181" i="42"/>
  <c r="B181" i="42"/>
  <c r="A181" i="42"/>
  <c r="U180" i="42"/>
  <c r="G180" i="42"/>
  <c r="E180" i="42"/>
  <c r="C180" i="42"/>
  <c r="B180" i="42"/>
  <c r="A180" i="42"/>
  <c r="U179" i="42"/>
  <c r="G179" i="42"/>
  <c r="E179" i="42"/>
  <c r="C179" i="42"/>
  <c r="B179" i="42"/>
  <c r="A179" i="42"/>
  <c r="U178" i="42"/>
  <c r="G178" i="42"/>
  <c r="E178" i="42"/>
  <c r="C178" i="42"/>
  <c r="B178" i="42"/>
  <c r="A178" i="42"/>
  <c r="U177" i="42"/>
  <c r="G177" i="42"/>
  <c r="E177" i="42"/>
  <c r="C177" i="42"/>
  <c r="B177" i="42"/>
  <c r="A177" i="42"/>
  <c r="U176" i="42"/>
  <c r="G176" i="42"/>
  <c r="E176" i="42"/>
  <c r="C176" i="42"/>
  <c r="B176" i="42"/>
  <c r="A176" i="42"/>
  <c r="U175" i="42"/>
  <c r="G175" i="42"/>
  <c r="E175" i="42"/>
  <c r="C175" i="42"/>
  <c r="B175" i="42"/>
  <c r="A175" i="42"/>
  <c r="U174" i="42"/>
  <c r="G174" i="42"/>
  <c r="E174" i="42"/>
  <c r="C174" i="42"/>
  <c r="B174" i="42"/>
  <c r="A174" i="42"/>
  <c r="U173" i="42"/>
  <c r="G173" i="42"/>
  <c r="E173" i="42"/>
  <c r="C173" i="42"/>
  <c r="B173" i="42"/>
  <c r="A173" i="42"/>
  <c r="U172" i="42"/>
  <c r="G172" i="42"/>
  <c r="E172" i="42"/>
  <c r="C172" i="42"/>
  <c r="B172" i="42"/>
  <c r="A172" i="42"/>
  <c r="U171" i="42"/>
  <c r="G171" i="42"/>
  <c r="E171" i="42"/>
  <c r="C171" i="42"/>
  <c r="B171" i="42"/>
  <c r="A171" i="42"/>
  <c r="U170" i="42"/>
  <c r="G170" i="42"/>
  <c r="E170" i="42"/>
  <c r="C170" i="42"/>
  <c r="B170" i="42"/>
  <c r="A170" i="42"/>
  <c r="U169" i="42"/>
  <c r="G169" i="42"/>
  <c r="E169" i="42"/>
  <c r="C169" i="42"/>
  <c r="B169" i="42"/>
  <c r="A169" i="42"/>
  <c r="U168" i="42"/>
  <c r="G168" i="42"/>
  <c r="E168" i="42"/>
  <c r="C168" i="42"/>
  <c r="B168" i="42"/>
  <c r="A168" i="42"/>
  <c r="U167" i="42"/>
  <c r="G167" i="42"/>
  <c r="E167" i="42"/>
  <c r="C167" i="42"/>
  <c r="B167" i="42"/>
  <c r="A167" i="42"/>
  <c r="U166" i="42"/>
  <c r="G166" i="42"/>
  <c r="E166" i="42"/>
  <c r="C166" i="42"/>
  <c r="B166" i="42"/>
  <c r="A166" i="42"/>
  <c r="U165" i="42"/>
  <c r="G165" i="42"/>
  <c r="E165" i="42"/>
  <c r="C165" i="42"/>
  <c r="B165" i="42"/>
  <c r="A165" i="42"/>
  <c r="U164" i="42"/>
  <c r="G164" i="42"/>
  <c r="E164" i="42"/>
  <c r="C164" i="42"/>
  <c r="B164" i="42"/>
  <c r="A164" i="42"/>
  <c r="U163" i="42"/>
  <c r="G163" i="42"/>
  <c r="E163" i="42"/>
  <c r="C163" i="42"/>
  <c r="B163" i="42"/>
  <c r="A163" i="42"/>
  <c r="U162" i="42"/>
  <c r="G162" i="42"/>
  <c r="E162" i="42"/>
  <c r="C162" i="42"/>
  <c r="B162" i="42"/>
  <c r="A162" i="42"/>
  <c r="U161" i="42"/>
  <c r="G161" i="42"/>
  <c r="E161" i="42"/>
  <c r="C161" i="42"/>
  <c r="B161" i="42"/>
  <c r="A161" i="42"/>
  <c r="U160" i="42"/>
  <c r="G160" i="42"/>
  <c r="E160" i="42"/>
  <c r="C160" i="42"/>
  <c r="B160" i="42"/>
  <c r="A160" i="42"/>
  <c r="U159" i="42"/>
  <c r="G159" i="42"/>
  <c r="E159" i="42"/>
  <c r="C159" i="42"/>
  <c r="B159" i="42"/>
  <c r="A159" i="42"/>
  <c r="U158" i="42"/>
  <c r="G158" i="42"/>
  <c r="E158" i="42"/>
  <c r="C158" i="42"/>
  <c r="B158" i="42"/>
  <c r="A158" i="42"/>
  <c r="U157" i="42"/>
  <c r="G157" i="42"/>
  <c r="E157" i="42"/>
  <c r="C157" i="42"/>
  <c r="B157" i="42"/>
  <c r="A157" i="42"/>
  <c r="U156" i="42"/>
  <c r="G156" i="42"/>
  <c r="E156" i="42"/>
  <c r="C156" i="42"/>
  <c r="B156" i="42"/>
  <c r="A156" i="42"/>
  <c r="U155" i="42"/>
  <c r="G155" i="42"/>
  <c r="E155" i="42"/>
  <c r="C155" i="42"/>
  <c r="B155" i="42"/>
  <c r="A155" i="42"/>
  <c r="U154" i="42"/>
  <c r="G154" i="42"/>
  <c r="E154" i="42"/>
  <c r="C154" i="42"/>
  <c r="B154" i="42"/>
  <c r="A154" i="42"/>
  <c r="U153" i="42"/>
  <c r="G153" i="42"/>
  <c r="E153" i="42"/>
  <c r="C153" i="42"/>
  <c r="B153" i="42"/>
  <c r="A153" i="42"/>
  <c r="U152" i="42"/>
  <c r="G152" i="42"/>
  <c r="E152" i="42"/>
  <c r="C152" i="42"/>
  <c r="B152" i="42"/>
  <c r="A152" i="42"/>
  <c r="U151" i="42"/>
  <c r="G151" i="42"/>
  <c r="E151" i="42"/>
  <c r="C151" i="42"/>
  <c r="B151" i="42"/>
  <c r="A151" i="42"/>
  <c r="U150" i="42"/>
  <c r="G150" i="42"/>
  <c r="E150" i="42"/>
  <c r="C150" i="42"/>
  <c r="B150" i="42"/>
  <c r="A150" i="42"/>
  <c r="U149" i="42"/>
  <c r="G149" i="42"/>
  <c r="E149" i="42"/>
  <c r="C149" i="42"/>
  <c r="B149" i="42"/>
  <c r="A149" i="42"/>
  <c r="U148" i="42"/>
  <c r="G148" i="42"/>
  <c r="E148" i="42"/>
  <c r="C148" i="42"/>
  <c r="B148" i="42"/>
  <c r="A148" i="42"/>
  <c r="U147" i="42"/>
  <c r="G147" i="42"/>
  <c r="E147" i="42"/>
  <c r="C147" i="42"/>
  <c r="B147" i="42"/>
  <c r="A147" i="42"/>
  <c r="U146" i="42"/>
  <c r="G146" i="42"/>
  <c r="G145" i="42"/>
  <c r="C145" i="42"/>
  <c r="B145" i="42"/>
  <c r="A145" i="42"/>
  <c r="C144" i="42"/>
  <c r="E143" i="42"/>
  <c r="C143" i="42"/>
  <c r="B143" i="42"/>
  <c r="A143" i="42"/>
  <c r="E142" i="42"/>
  <c r="C142" i="42"/>
  <c r="B142" i="42"/>
  <c r="A142" i="42"/>
  <c r="E141" i="42"/>
  <c r="C141" i="42"/>
  <c r="B141" i="42"/>
  <c r="A141" i="42"/>
  <c r="C140" i="42"/>
  <c r="B140" i="42"/>
  <c r="A140" i="42"/>
  <c r="E139" i="42"/>
  <c r="C139" i="42"/>
  <c r="B139" i="42"/>
  <c r="A139" i="42"/>
  <c r="E138" i="42"/>
  <c r="C138" i="42"/>
  <c r="B138" i="42"/>
  <c r="A138" i="42"/>
  <c r="E137" i="42"/>
  <c r="C137" i="42"/>
  <c r="B137" i="42"/>
  <c r="A137" i="42"/>
  <c r="E136" i="42"/>
  <c r="C136" i="42"/>
  <c r="B136" i="42"/>
  <c r="A136" i="42"/>
  <c r="E135" i="42"/>
  <c r="C135" i="42"/>
  <c r="B135" i="42"/>
  <c r="A135" i="42"/>
  <c r="E134" i="42"/>
  <c r="C134" i="42"/>
  <c r="B134" i="42"/>
  <c r="A134" i="42"/>
  <c r="E133" i="42"/>
  <c r="C133" i="42"/>
  <c r="B133" i="42"/>
  <c r="A133" i="42"/>
  <c r="E132" i="42"/>
  <c r="C132" i="42"/>
  <c r="B132" i="42"/>
  <c r="A132" i="42"/>
  <c r="E131" i="42"/>
  <c r="C131" i="42"/>
  <c r="B131" i="42"/>
  <c r="A131" i="42"/>
  <c r="E130" i="42"/>
  <c r="C130" i="42"/>
  <c r="B130" i="42"/>
  <c r="A130" i="42"/>
  <c r="E129" i="42"/>
  <c r="C129" i="42"/>
  <c r="B129" i="42"/>
  <c r="A129" i="42"/>
  <c r="E128" i="42"/>
  <c r="C128" i="42"/>
  <c r="B128" i="42"/>
  <c r="A128" i="42"/>
  <c r="E127" i="42"/>
  <c r="C127" i="42"/>
  <c r="B127" i="42"/>
  <c r="A127" i="42"/>
  <c r="E126" i="42"/>
  <c r="C126" i="42"/>
  <c r="B126" i="42"/>
  <c r="A126" i="42"/>
  <c r="E125" i="42"/>
  <c r="C125" i="42"/>
  <c r="B125" i="42"/>
  <c r="A125" i="42"/>
  <c r="E124" i="42"/>
  <c r="C124" i="42"/>
  <c r="B124" i="42"/>
  <c r="A124" i="42"/>
  <c r="E123" i="42"/>
  <c r="C123" i="42"/>
  <c r="B123" i="42"/>
  <c r="A123" i="42"/>
  <c r="E122" i="42"/>
  <c r="C122" i="42"/>
  <c r="B122" i="42"/>
  <c r="A122" i="42"/>
  <c r="E121" i="42"/>
  <c r="C121" i="42"/>
  <c r="B121" i="42"/>
  <c r="A121" i="42"/>
  <c r="E120" i="42"/>
  <c r="C120" i="42"/>
  <c r="B120" i="42"/>
  <c r="A120" i="42"/>
  <c r="E119" i="42"/>
  <c r="C119" i="42"/>
  <c r="B119" i="42"/>
  <c r="A119" i="42"/>
  <c r="E118" i="42"/>
  <c r="C118" i="42"/>
  <c r="B118" i="42"/>
  <c r="A118" i="42"/>
  <c r="E117" i="42"/>
  <c r="C117" i="42"/>
  <c r="B117" i="42"/>
  <c r="A117" i="42"/>
  <c r="E116" i="42"/>
  <c r="C116" i="42"/>
  <c r="B116" i="42"/>
  <c r="A116" i="42"/>
  <c r="E115" i="42"/>
  <c r="C115" i="42"/>
  <c r="B115" i="42"/>
  <c r="A115" i="42"/>
  <c r="E114" i="42"/>
  <c r="C114" i="42"/>
  <c r="B114" i="42"/>
  <c r="A114" i="42"/>
  <c r="E113" i="42"/>
  <c r="C113" i="42"/>
  <c r="B113" i="42"/>
  <c r="A113" i="42"/>
  <c r="E112" i="42"/>
  <c r="C112" i="42"/>
  <c r="B112" i="42"/>
  <c r="A112" i="42"/>
  <c r="E111" i="42"/>
  <c r="C111" i="42"/>
  <c r="B111" i="42"/>
  <c r="A111" i="42"/>
  <c r="E110" i="42"/>
  <c r="C110" i="42"/>
  <c r="B110" i="42"/>
  <c r="A110" i="42"/>
  <c r="E109" i="42"/>
  <c r="C109" i="42"/>
  <c r="B109" i="42"/>
  <c r="A109" i="42"/>
  <c r="E108" i="42"/>
  <c r="C108" i="42"/>
  <c r="B108" i="42"/>
  <c r="A108" i="42"/>
  <c r="E107" i="42"/>
  <c r="C107" i="42"/>
  <c r="B107" i="42"/>
  <c r="A107" i="42"/>
  <c r="E106" i="42"/>
  <c r="C106" i="42"/>
  <c r="B106" i="42"/>
  <c r="A106" i="42"/>
  <c r="E105" i="42"/>
  <c r="C105" i="42"/>
  <c r="B105" i="42"/>
  <c r="A105" i="42"/>
  <c r="E104" i="42"/>
  <c r="C104" i="42"/>
  <c r="B104" i="42"/>
  <c r="A104" i="42"/>
  <c r="E103" i="42"/>
  <c r="C103" i="42"/>
  <c r="B103" i="42"/>
  <c r="A103" i="42"/>
  <c r="E102" i="42"/>
  <c r="C102" i="42"/>
  <c r="B102" i="42"/>
  <c r="A102" i="42"/>
  <c r="E101" i="42"/>
  <c r="C101" i="42"/>
  <c r="B101" i="42"/>
  <c r="A101" i="42"/>
  <c r="E100" i="42"/>
  <c r="C100" i="42"/>
  <c r="B100" i="42"/>
  <c r="A100" i="42"/>
  <c r="E99" i="42"/>
  <c r="C99" i="42"/>
  <c r="B99" i="42"/>
  <c r="A99" i="42"/>
  <c r="E98" i="42"/>
  <c r="C98" i="42"/>
  <c r="B98" i="42"/>
  <c r="A98" i="42"/>
  <c r="E97" i="42"/>
  <c r="C97" i="42"/>
  <c r="B97" i="42"/>
  <c r="A97" i="42"/>
  <c r="E96" i="42"/>
  <c r="C96" i="42"/>
  <c r="B96" i="42"/>
  <c r="A96" i="42"/>
  <c r="E95" i="42"/>
  <c r="C95" i="42"/>
  <c r="B95" i="42"/>
  <c r="A95" i="42"/>
  <c r="E94" i="42"/>
  <c r="C94" i="42"/>
  <c r="B94" i="42"/>
  <c r="A94" i="42"/>
  <c r="E93" i="42"/>
  <c r="C93" i="42"/>
  <c r="B93" i="42"/>
  <c r="A93" i="42"/>
  <c r="E92" i="42"/>
  <c r="C92" i="42"/>
  <c r="B92" i="42"/>
  <c r="A92" i="42"/>
  <c r="E91" i="42"/>
  <c r="C91" i="42"/>
  <c r="B91" i="42"/>
  <c r="A91" i="42"/>
  <c r="E90" i="42"/>
  <c r="C90" i="42"/>
  <c r="B90" i="42"/>
  <c r="A90" i="42"/>
  <c r="E89" i="42"/>
  <c r="C89" i="42"/>
  <c r="B89" i="42"/>
  <c r="A89" i="42"/>
  <c r="E88" i="42"/>
  <c r="C88" i="42"/>
  <c r="B88" i="42"/>
  <c r="A88" i="42"/>
  <c r="E87" i="42"/>
  <c r="C87" i="42"/>
  <c r="B87" i="42"/>
  <c r="A87" i="42"/>
  <c r="T144" i="42"/>
  <c r="S144" i="42"/>
  <c r="R144" i="42"/>
  <c r="Q144" i="42"/>
  <c r="P144" i="42"/>
  <c r="O144" i="42"/>
  <c r="N144" i="42"/>
  <c r="M144" i="42"/>
  <c r="L144" i="42"/>
  <c r="K144" i="42"/>
  <c r="J144" i="42"/>
  <c r="I144" i="42"/>
  <c r="H144" i="42"/>
  <c r="E86" i="42"/>
  <c r="C86" i="42"/>
  <c r="B86" i="42"/>
  <c r="A86" i="42"/>
  <c r="E85" i="42"/>
  <c r="C85" i="42"/>
  <c r="B85" i="42"/>
  <c r="A85" i="42"/>
  <c r="E84" i="42"/>
  <c r="C84" i="42"/>
  <c r="B84" i="42"/>
  <c r="A84" i="42"/>
  <c r="E83" i="42"/>
  <c r="C83" i="42"/>
  <c r="B83" i="42"/>
  <c r="A83" i="42"/>
  <c r="E82" i="42"/>
  <c r="C82" i="42"/>
  <c r="B82" i="42"/>
  <c r="A82" i="42"/>
  <c r="E81" i="42"/>
  <c r="C81" i="42"/>
  <c r="B81" i="42"/>
  <c r="A81" i="42"/>
  <c r="E80" i="42"/>
  <c r="C80" i="42"/>
  <c r="B80" i="42"/>
  <c r="A80" i="42"/>
  <c r="E79" i="42"/>
  <c r="C79" i="42"/>
  <c r="B79" i="42"/>
  <c r="A79" i="42"/>
  <c r="E78" i="42"/>
  <c r="C78" i="42"/>
  <c r="B78" i="42"/>
  <c r="A78" i="42"/>
  <c r="E77" i="42"/>
  <c r="C77" i="42"/>
  <c r="B77" i="42"/>
  <c r="A77" i="42"/>
  <c r="E76" i="42"/>
  <c r="C76" i="42"/>
  <c r="B76" i="42"/>
  <c r="A76" i="42"/>
  <c r="E75" i="42"/>
  <c r="C75" i="42"/>
  <c r="B75" i="42"/>
  <c r="A75" i="42"/>
  <c r="E74" i="42"/>
  <c r="C74" i="42"/>
  <c r="B74" i="42"/>
  <c r="A74" i="42"/>
  <c r="E73" i="42"/>
  <c r="C73" i="42"/>
  <c r="B73" i="42"/>
  <c r="A73" i="42"/>
  <c r="E72" i="42"/>
  <c r="C72" i="42"/>
  <c r="B72" i="42"/>
  <c r="A72" i="42"/>
  <c r="E71" i="42"/>
  <c r="C71" i="42"/>
  <c r="B71" i="42"/>
  <c r="A71" i="42"/>
  <c r="E70" i="42"/>
  <c r="C70" i="42"/>
  <c r="B70" i="42"/>
  <c r="A70" i="42"/>
  <c r="E69" i="42"/>
  <c r="C69" i="42"/>
  <c r="B69" i="42"/>
  <c r="A69" i="42"/>
  <c r="E68" i="42"/>
  <c r="C68" i="42"/>
  <c r="B68" i="42"/>
  <c r="A68" i="42"/>
  <c r="E67" i="42"/>
  <c r="C67" i="42"/>
  <c r="B67" i="42"/>
  <c r="A67" i="42"/>
  <c r="E66" i="42"/>
  <c r="C66" i="42"/>
  <c r="B66" i="42"/>
  <c r="A66" i="42"/>
  <c r="E65" i="42"/>
  <c r="C65" i="42"/>
  <c r="B65" i="42"/>
  <c r="A65" i="42"/>
  <c r="E64" i="42"/>
  <c r="C64" i="42"/>
  <c r="B64" i="42"/>
  <c r="A64" i="42"/>
  <c r="E63" i="42"/>
  <c r="C63" i="42"/>
  <c r="B63" i="42"/>
  <c r="A63" i="42"/>
  <c r="E62" i="42"/>
  <c r="C62" i="42"/>
  <c r="B62" i="42"/>
  <c r="A62" i="42"/>
  <c r="E61" i="42"/>
  <c r="C61" i="42"/>
  <c r="B61" i="42"/>
  <c r="A61" i="42"/>
  <c r="E60" i="42"/>
  <c r="C60" i="42"/>
  <c r="B60" i="42"/>
  <c r="A60" i="42"/>
  <c r="E59" i="42"/>
  <c r="C59" i="42"/>
  <c r="B59" i="42"/>
  <c r="A59" i="42"/>
  <c r="E58" i="42"/>
  <c r="C58" i="42"/>
  <c r="B58" i="42"/>
  <c r="A58" i="42"/>
  <c r="E57" i="42"/>
  <c r="C57" i="42"/>
  <c r="B57" i="42"/>
  <c r="A57" i="42"/>
  <c r="E56" i="42"/>
  <c r="C56" i="42"/>
  <c r="B56" i="42"/>
  <c r="A56" i="42"/>
  <c r="E55" i="42"/>
  <c r="C55" i="42"/>
  <c r="B55" i="42"/>
  <c r="A55" i="42"/>
  <c r="E54" i="42"/>
  <c r="C54" i="42"/>
  <c r="B54" i="42"/>
  <c r="A54" i="42"/>
  <c r="E53" i="42"/>
  <c r="C53" i="42"/>
  <c r="B53" i="42"/>
  <c r="A53" i="42"/>
  <c r="E52" i="42"/>
  <c r="C52" i="42"/>
  <c r="B52" i="42"/>
  <c r="A52" i="42"/>
  <c r="E51" i="42"/>
  <c r="C51" i="42"/>
  <c r="B51" i="42"/>
  <c r="A51" i="42"/>
  <c r="E50" i="42"/>
  <c r="C50" i="42"/>
  <c r="B50" i="42"/>
  <c r="A50" i="42"/>
  <c r="E49" i="42"/>
  <c r="C49" i="42"/>
  <c r="B49" i="42"/>
  <c r="A49" i="42"/>
  <c r="E48" i="42"/>
  <c r="C48" i="42"/>
  <c r="B48" i="42"/>
  <c r="A48" i="42"/>
  <c r="E47" i="42"/>
  <c r="C47" i="42"/>
  <c r="B47" i="42"/>
  <c r="A47" i="42"/>
  <c r="E46" i="42"/>
  <c r="C46" i="42"/>
  <c r="B46" i="42"/>
  <c r="A46" i="42"/>
  <c r="E45" i="42"/>
  <c r="C45" i="42"/>
  <c r="B45" i="42"/>
  <c r="A45" i="42"/>
  <c r="E44" i="42"/>
  <c r="C44" i="42"/>
  <c r="B44" i="42"/>
  <c r="A44" i="42"/>
  <c r="E43" i="42"/>
  <c r="C43" i="42"/>
  <c r="B43" i="42"/>
  <c r="A43" i="42"/>
  <c r="E42" i="42"/>
  <c r="C42" i="42"/>
  <c r="B42" i="42"/>
  <c r="A42" i="42"/>
  <c r="E41" i="42"/>
  <c r="C41" i="42"/>
  <c r="B41" i="42"/>
  <c r="A41" i="42"/>
  <c r="E40" i="42"/>
  <c r="C40" i="42"/>
  <c r="B40" i="42"/>
  <c r="A40" i="42"/>
  <c r="E39" i="42"/>
  <c r="C39" i="42"/>
  <c r="B39" i="42"/>
  <c r="A39" i="42"/>
  <c r="E38" i="42"/>
  <c r="C38" i="42"/>
  <c r="B38" i="42"/>
  <c r="A38" i="42"/>
  <c r="E37" i="42"/>
  <c r="C37" i="42"/>
  <c r="B37" i="42"/>
  <c r="A37" i="42"/>
  <c r="E36" i="42"/>
  <c r="C36" i="42"/>
  <c r="B36" i="42"/>
  <c r="A36" i="42"/>
  <c r="E35" i="42"/>
  <c r="C35" i="42"/>
  <c r="B35" i="42"/>
  <c r="A35" i="42"/>
  <c r="E34" i="42"/>
  <c r="C34" i="42"/>
  <c r="B34" i="42"/>
  <c r="A34" i="42"/>
  <c r="E33" i="42"/>
  <c r="C33" i="42"/>
  <c r="B33" i="42"/>
  <c r="A33" i="42"/>
  <c r="E32" i="42"/>
  <c r="C32" i="42"/>
  <c r="B32" i="42"/>
  <c r="A32" i="42"/>
  <c r="E31" i="42"/>
  <c r="C31" i="42"/>
  <c r="B31" i="42"/>
  <c r="A31" i="42"/>
  <c r="E30" i="42"/>
  <c r="C30" i="42"/>
  <c r="B30" i="42"/>
  <c r="A30" i="42"/>
  <c r="E29" i="42"/>
  <c r="C29" i="42"/>
  <c r="B29" i="42"/>
  <c r="A29" i="42"/>
  <c r="E28" i="42"/>
  <c r="C28" i="42"/>
  <c r="B28" i="42"/>
  <c r="A28" i="42"/>
  <c r="E27" i="42"/>
  <c r="C27" i="42"/>
  <c r="B27" i="42"/>
  <c r="A27" i="42"/>
  <c r="E26" i="42"/>
  <c r="C26" i="42"/>
  <c r="B26" i="42"/>
  <c r="A26" i="42"/>
  <c r="E25" i="42"/>
  <c r="C25" i="42"/>
  <c r="B25" i="42"/>
  <c r="A25" i="42"/>
  <c r="E24" i="42"/>
  <c r="C24" i="42"/>
  <c r="B24" i="42"/>
  <c r="A24" i="42"/>
  <c r="E23" i="42"/>
  <c r="C23" i="42"/>
  <c r="B23" i="42"/>
  <c r="A23" i="42"/>
  <c r="E22" i="42"/>
  <c r="C22" i="42"/>
  <c r="B22" i="42"/>
  <c r="A22" i="42"/>
  <c r="G14" i="42"/>
  <c r="E14" i="42"/>
  <c r="C14" i="42"/>
  <c r="B14" i="42"/>
  <c r="A1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U337" i="42" l="1"/>
  <c r="U602" i="42"/>
  <c r="U237" i="42"/>
  <c r="U698" i="42"/>
  <c r="U295" i="42"/>
  <c r="U601" i="42"/>
  <c r="U682" i="42"/>
  <c r="K17" i="11"/>
  <c r="K18" i="18"/>
  <c r="K22" i="11"/>
  <c r="D27" i="11"/>
  <c r="D23" i="11"/>
  <c r="D15" i="11"/>
  <c r="D24" i="18"/>
  <c r="D28" i="11"/>
  <c r="K25" i="18"/>
  <c r="D22" i="11"/>
  <c r="D16" i="11"/>
  <c r="K12" i="11"/>
  <c r="D25" i="11"/>
  <c r="D21" i="11"/>
  <c r="D13" i="11"/>
  <c r="K13" i="18"/>
  <c r="D24" i="11"/>
  <c r="D12" i="11"/>
  <c r="U617" i="42"/>
  <c r="U615" i="42"/>
  <c r="D39" i="9" l="1"/>
  <c r="D19" i="9" l="1"/>
  <c r="H38" i="47" l="1"/>
  <c r="H37" i="47"/>
  <c r="H36" i="47"/>
  <c r="H35" i="47"/>
  <c r="H34" i="47"/>
  <c r="H33" i="47"/>
  <c r="A4" i="83" l="1"/>
  <c r="A8" i="83"/>
  <c r="A2" i="83"/>
  <c r="A1" i="83"/>
  <c r="J168" i="64" l="1"/>
  <c r="J167" i="64"/>
  <c r="J166" i="64"/>
  <c r="J165" i="64"/>
  <c r="J164" i="64"/>
  <c r="J163" i="64"/>
  <c r="J162" i="64"/>
  <c r="J161" i="64"/>
  <c r="J160" i="64"/>
  <c r="J159" i="64"/>
  <c r="J158" i="64"/>
  <c r="J157" i="64"/>
  <c r="J156" i="64"/>
  <c r="J155" i="64"/>
  <c r="J154" i="64"/>
  <c r="J153" i="64"/>
  <c r="J152" i="64"/>
  <c r="J151" i="64"/>
  <c r="J150" i="64"/>
  <c r="J149" i="64"/>
  <c r="J148" i="64"/>
  <c r="J147" i="64"/>
  <c r="J146" i="64"/>
  <c r="J145" i="64"/>
  <c r="J144" i="64"/>
  <c r="J143" i="64"/>
  <c r="J142" i="64"/>
  <c r="J141" i="64"/>
  <c r="J140" i="64"/>
  <c r="J139" i="64"/>
  <c r="J138" i="64"/>
  <c r="J137" i="64"/>
  <c r="J136" i="64"/>
  <c r="J135" i="64"/>
  <c r="J134" i="64"/>
  <c r="J133" i="64"/>
  <c r="J132" i="64"/>
  <c r="J131" i="64"/>
  <c r="J130" i="64"/>
  <c r="J129" i="64"/>
  <c r="J128" i="64"/>
  <c r="J127" i="64"/>
  <c r="J126" i="64"/>
  <c r="J125" i="64"/>
  <c r="J112" i="64"/>
  <c r="J111" i="64"/>
  <c r="J110" i="64"/>
  <c r="J109" i="64"/>
  <c r="J108" i="64"/>
  <c r="J107" i="64"/>
  <c r="J106" i="64"/>
  <c r="J105" i="64"/>
  <c r="J104" i="64"/>
  <c r="J103" i="64"/>
  <c r="J102" i="64"/>
  <c r="J101" i="64"/>
  <c r="J100" i="64"/>
  <c r="J99" i="64"/>
  <c r="J98" i="64"/>
  <c r="J97" i="64"/>
  <c r="J96" i="64"/>
  <c r="J95" i="64"/>
  <c r="J94" i="64"/>
  <c r="J93" i="64"/>
  <c r="J92" i="64"/>
  <c r="J91" i="64"/>
  <c r="J90" i="64"/>
  <c r="J89" i="64"/>
  <c r="J88" i="64"/>
  <c r="J87" i="64"/>
  <c r="J86" i="64"/>
  <c r="J85" i="64"/>
  <c r="J84" i="64"/>
  <c r="J83" i="64"/>
  <c r="J82" i="64"/>
  <c r="J81" i="64"/>
  <c r="J80" i="64"/>
  <c r="J79" i="64"/>
  <c r="J78" i="64"/>
  <c r="J77" i="64"/>
  <c r="J76" i="64"/>
  <c r="J75" i="64"/>
  <c r="J74" i="64"/>
  <c r="J73" i="64"/>
  <c r="J72" i="64"/>
  <c r="J71" i="64"/>
  <c r="J70" i="64"/>
  <c r="J69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O354" i="64"/>
  <c r="M354" i="64"/>
  <c r="J354" i="64"/>
  <c r="O353" i="64"/>
  <c r="M353" i="64"/>
  <c r="J353" i="64"/>
  <c r="O352" i="64"/>
  <c r="M352" i="64"/>
  <c r="J352" i="64"/>
  <c r="O351" i="64"/>
  <c r="M351" i="64"/>
  <c r="J351" i="64"/>
  <c r="O350" i="64"/>
  <c r="M350" i="64"/>
  <c r="J350" i="64"/>
  <c r="O349" i="64"/>
  <c r="M349" i="64"/>
  <c r="J349" i="64"/>
  <c r="A344" i="64"/>
  <c r="A342" i="64"/>
  <c r="O336" i="64"/>
  <c r="M336" i="64"/>
  <c r="J336" i="64"/>
  <c r="O335" i="64"/>
  <c r="M335" i="64"/>
  <c r="J335" i="64"/>
  <c r="O334" i="64"/>
  <c r="M334" i="64"/>
  <c r="J334" i="64"/>
  <c r="O333" i="64"/>
  <c r="M333" i="64"/>
  <c r="J333" i="64"/>
  <c r="O332" i="64"/>
  <c r="M332" i="64"/>
  <c r="J332" i="64"/>
  <c r="O331" i="64"/>
  <c r="P331" i="64" s="1"/>
  <c r="M331" i="64"/>
  <c r="J331" i="64"/>
  <c r="O330" i="64"/>
  <c r="M330" i="64"/>
  <c r="J330" i="64"/>
  <c r="O329" i="64"/>
  <c r="M329" i="64"/>
  <c r="J329" i="64"/>
  <c r="O328" i="64"/>
  <c r="M328" i="64"/>
  <c r="J328" i="64"/>
  <c r="O327" i="64"/>
  <c r="M327" i="64"/>
  <c r="J327" i="64"/>
  <c r="O326" i="64"/>
  <c r="M326" i="64"/>
  <c r="J326" i="64"/>
  <c r="O325" i="64"/>
  <c r="M325" i="64"/>
  <c r="J325" i="64"/>
  <c r="O324" i="64"/>
  <c r="M324" i="64"/>
  <c r="J324" i="64"/>
  <c r="O323" i="64"/>
  <c r="P323" i="64" s="1"/>
  <c r="M323" i="64"/>
  <c r="J323" i="64"/>
  <c r="O322" i="64"/>
  <c r="M322" i="64"/>
  <c r="J322" i="64"/>
  <c r="O321" i="64"/>
  <c r="M321" i="64"/>
  <c r="J321" i="64"/>
  <c r="O320" i="64"/>
  <c r="M320" i="64"/>
  <c r="J320" i="64"/>
  <c r="O319" i="64"/>
  <c r="M319" i="64"/>
  <c r="J319" i="64"/>
  <c r="O318" i="64"/>
  <c r="M318" i="64"/>
  <c r="J318" i="64"/>
  <c r="O317" i="64"/>
  <c r="M317" i="64"/>
  <c r="J317" i="64"/>
  <c r="O316" i="64"/>
  <c r="M316" i="64"/>
  <c r="J316" i="64"/>
  <c r="O315" i="64"/>
  <c r="P315" i="64" s="1"/>
  <c r="M315" i="64"/>
  <c r="J315" i="64"/>
  <c r="O314" i="64"/>
  <c r="M314" i="64"/>
  <c r="J314" i="64"/>
  <c r="O313" i="64"/>
  <c r="M313" i="64"/>
  <c r="J313" i="64"/>
  <c r="O312" i="64"/>
  <c r="M312" i="64"/>
  <c r="J312" i="64"/>
  <c r="O311" i="64"/>
  <c r="M311" i="64"/>
  <c r="J311" i="64"/>
  <c r="O310" i="64"/>
  <c r="M310" i="64"/>
  <c r="J310" i="64"/>
  <c r="O309" i="64"/>
  <c r="M309" i="64"/>
  <c r="J309" i="64"/>
  <c r="O308" i="64"/>
  <c r="M308" i="64"/>
  <c r="J308" i="64"/>
  <c r="O307" i="64"/>
  <c r="P307" i="64" s="1"/>
  <c r="M307" i="64"/>
  <c r="J307" i="64"/>
  <c r="O306" i="64"/>
  <c r="M306" i="64"/>
  <c r="J306" i="64"/>
  <c r="O305" i="64"/>
  <c r="M305" i="64"/>
  <c r="J305" i="64"/>
  <c r="O304" i="64"/>
  <c r="M304" i="64"/>
  <c r="J304" i="64"/>
  <c r="O303" i="64"/>
  <c r="M303" i="64"/>
  <c r="J303" i="64"/>
  <c r="O302" i="64"/>
  <c r="M302" i="64"/>
  <c r="J302" i="64"/>
  <c r="O301" i="64"/>
  <c r="M301" i="64"/>
  <c r="J301" i="64"/>
  <c r="O300" i="64"/>
  <c r="M300" i="64"/>
  <c r="J300" i="64"/>
  <c r="O299" i="64"/>
  <c r="P299" i="64" s="1"/>
  <c r="M299" i="64"/>
  <c r="J299" i="64"/>
  <c r="O298" i="64"/>
  <c r="M298" i="64"/>
  <c r="J298" i="64"/>
  <c r="O297" i="64"/>
  <c r="M297" i="64"/>
  <c r="J297" i="64"/>
  <c r="O296" i="64"/>
  <c r="M296" i="64"/>
  <c r="J296" i="64"/>
  <c r="O295" i="64"/>
  <c r="M295" i="64"/>
  <c r="J295" i="64"/>
  <c r="O294" i="64"/>
  <c r="M294" i="64"/>
  <c r="J294" i="64"/>
  <c r="O293" i="64"/>
  <c r="M293" i="64"/>
  <c r="J293" i="64"/>
  <c r="A288" i="64"/>
  <c r="A286" i="64"/>
  <c r="O280" i="64"/>
  <c r="M280" i="64"/>
  <c r="J280" i="64"/>
  <c r="O279" i="64"/>
  <c r="M279" i="64"/>
  <c r="J279" i="64"/>
  <c r="O278" i="64"/>
  <c r="M278" i="64"/>
  <c r="J278" i="64"/>
  <c r="O277" i="64"/>
  <c r="M277" i="64"/>
  <c r="J277" i="64"/>
  <c r="O276" i="64"/>
  <c r="M276" i="64"/>
  <c r="J276" i="64"/>
  <c r="O275" i="64"/>
  <c r="M275" i="64"/>
  <c r="J275" i="64"/>
  <c r="J274" i="64"/>
  <c r="M274" i="64"/>
  <c r="O274" i="64"/>
  <c r="P279" i="64" l="1"/>
  <c r="P350" i="64"/>
  <c r="P353" i="64"/>
  <c r="P295" i="64"/>
  <c r="P303" i="64"/>
  <c r="P311" i="64"/>
  <c r="P319" i="64"/>
  <c r="P327" i="64"/>
  <c r="P335" i="64"/>
  <c r="P293" i="64"/>
  <c r="P301" i="64"/>
  <c r="P309" i="64"/>
  <c r="P317" i="64"/>
  <c r="P325" i="64"/>
  <c r="P333" i="64"/>
  <c r="P275" i="64"/>
  <c r="P351" i="64"/>
  <c r="P297" i="64"/>
  <c r="P305" i="64"/>
  <c r="P313" i="64"/>
  <c r="P321" i="64"/>
  <c r="P329" i="64"/>
  <c r="P354" i="64"/>
  <c r="P349" i="64"/>
  <c r="P352" i="64"/>
  <c r="P294" i="64"/>
  <c r="P298" i="64"/>
  <c r="P302" i="64"/>
  <c r="P306" i="64"/>
  <c r="P310" i="64"/>
  <c r="P314" i="64"/>
  <c r="P318" i="64"/>
  <c r="P322" i="64"/>
  <c r="P326" i="64"/>
  <c r="P330" i="64"/>
  <c r="P334" i="64"/>
  <c r="P296" i="64"/>
  <c r="P300" i="64"/>
  <c r="P304" i="64"/>
  <c r="P308" i="64"/>
  <c r="P312" i="64"/>
  <c r="P316" i="64"/>
  <c r="P320" i="64"/>
  <c r="P324" i="64"/>
  <c r="P328" i="64"/>
  <c r="P332" i="64"/>
  <c r="P336" i="64"/>
  <c r="P278" i="64"/>
  <c r="P276" i="64"/>
  <c r="P280" i="64"/>
  <c r="P274" i="64"/>
  <c r="P277" i="64"/>
  <c r="J49" i="47" l="1"/>
  <c r="I49" i="47"/>
  <c r="H49" i="47"/>
  <c r="F49" i="47"/>
  <c r="J48" i="47"/>
  <c r="I48" i="47"/>
  <c r="H48" i="47"/>
  <c r="F48" i="47"/>
  <c r="J47" i="47"/>
  <c r="I47" i="47"/>
  <c r="H47" i="47"/>
  <c r="F47" i="47"/>
  <c r="J46" i="47"/>
  <c r="I46" i="47"/>
  <c r="H46" i="47"/>
  <c r="F46" i="47"/>
  <c r="J45" i="47"/>
  <c r="I45" i="47"/>
  <c r="H45" i="47"/>
  <c r="F45" i="47"/>
  <c r="J44" i="47"/>
  <c r="I44" i="47"/>
  <c r="H44" i="47"/>
  <c r="F44" i="47"/>
  <c r="J43" i="47"/>
  <c r="I43" i="47"/>
  <c r="H43" i="47"/>
  <c r="F43" i="47"/>
  <c r="J38" i="47"/>
  <c r="I38" i="47"/>
  <c r="F38" i="47"/>
  <c r="J37" i="47"/>
  <c r="I37" i="47"/>
  <c r="F37" i="47"/>
  <c r="J36" i="47"/>
  <c r="I36" i="47"/>
  <c r="F36" i="47"/>
  <c r="J35" i="47"/>
  <c r="I35" i="47"/>
  <c r="F35" i="47"/>
  <c r="J34" i="47"/>
  <c r="I34" i="47"/>
  <c r="F34" i="47"/>
  <c r="J33" i="47"/>
  <c r="I33" i="47"/>
  <c r="F33" i="47"/>
  <c r="J32" i="47"/>
  <c r="I32" i="47"/>
  <c r="H32" i="47"/>
  <c r="F32" i="47"/>
  <c r="I27" i="47"/>
  <c r="H27" i="47"/>
  <c r="F27" i="47"/>
  <c r="I26" i="47"/>
  <c r="H26" i="47"/>
  <c r="F26" i="47"/>
  <c r="J25" i="47"/>
  <c r="I25" i="47"/>
  <c r="H25" i="47"/>
  <c r="F25" i="47"/>
  <c r="J23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P159" i="74"/>
  <c r="J27" i="47" s="1"/>
  <c r="P137" i="74"/>
  <c r="J26" i="47" s="1"/>
  <c r="J78" i="23" l="1"/>
  <c r="I78" i="23"/>
  <c r="H78" i="23"/>
  <c r="F78" i="23"/>
  <c r="J54" i="23"/>
  <c r="I54" i="23"/>
  <c r="H54" i="23"/>
  <c r="F54" i="23"/>
  <c r="J102" i="23"/>
  <c r="I102" i="23"/>
  <c r="H102" i="23"/>
  <c r="F102" i="23"/>
  <c r="J101" i="23"/>
  <c r="I101" i="23"/>
  <c r="H101" i="23"/>
  <c r="F101" i="23"/>
  <c r="J99" i="23"/>
  <c r="I99" i="23"/>
  <c r="H99" i="23"/>
  <c r="F99" i="23"/>
  <c r="J98" i="23"/>
  <c r="I98" i="23"/>
  <c r="H98" i="23"/>
  <c r="F98" i="23"/>
  <c r="J97" i="23"/>
  <c r="I97" i="23"/>
  <c r="H97" i="23"/>
  <c r="F97" i="23"/>
  <c r="J96" i="23"/>
  <c r="I96" i="23"/>
  <c r="H96" i="23"/>
  <c r="F96" i="23"/>
  <c r="J95" i="23"/>
  <c r="I95" i="23"/>
  <c r="F95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J79" i="23"/>
  <c r="I79" i="23"/>
  <c r="H79" i="23"/>
  <c r="F79" i="23"/>
  <c r="J61" i="23"/>
  <c r="I61" i="23"/>
  <c r="H61" i="23"/>
  <c r="F61" i="23"/>
  <c r="J60" i="23"/>
  <c r="I60" i="23"/>
  <c r="H60" i="23"/>
  <c r="F60" i="23"/>
  <c r="J59" i="23"/>
  <c r="I59" i="23"/>
  <c r="H59" i="23"/>
  <c r="F59" i="23"/>
  <c r="J58" i="23"/>
  <c r="I58" i="23"/>
  <c r="H58" i="23"/>
  <c r="F58" i="23"/>
  <c r="J57" i="23"/>
  <c r="I57" i="23"/>
  <c r="H57" i="23"/>
  <c r="F57" i="23"/>
  <c r="J56" i="23"/>
  <c r="I56" i="23"/>
  <c r="F56" i="23"/>
  <c r="J55" i="23"/>
  <c r="I55" i="23"/>
  <c r="I49" i="23"/>
  <c r="H49" i="23"/>
  <c r="F49" i="23"/>
  <c r="I48" i="23"/>
  <c r="F48" i="23"/>
  <c r="I47" i="23"/>
  <c r="H47" i="23"/>
  <c r="F47" i="23"/>
  <c r="I46" i="23"/>
  <c r="H46" i="23"/>
  <c r="F46" i="23"/>
  <c r="I45" i="23"/>
  <c r="H45" i="23"/>
  <c r="F45" i="23"/>
  <c r="I44" i="23"/>
  <c r="H44" i="23"/>
  <c r="F44" i="23"/>
  <c r="J43" i="23"/>
  <c r="I43" i="23"/>
  <c r="H43" i="23"/>
  <c r="F43" i="23"/>
  <c r="J38" i="23"/>
  <c r="I38" i="23"/>
  <c r="H38" i="23"/>
  <c r="F38" i="23"/>
  <c r="J37" i="23"/>
  <c r="I37" i="23"/>
  <c r="H37" i="23"/>
  <c r="F37" i="23"/>
  <c r="J36" i="23"/>
  <c r="I36" i="23"/>
  <c r="H36" i="23"/>
  <c r="F36" i="23"/>
  <c r="J35" i="23"/>
  <c r="I35" i="23"/>
  <c r="H35" i="23"/>
  <c r="F35" i="23"/>
  <c r="J34" i="23"/>
  <c r="I34" i="23"/>
  <c r="H34" i="23"/>
  <c r="F34" i="23"/>
  <c r="J33" i="23"/>
  <c r="I33" i="23"/>
  <c r="H33" i="23"/>
  <c r="F33" i="23"/>
  <c r="J32" i="23"/>
  <c r="I32" i="23"/>
  <c r="H32" i="23"/>
  <c r="F32" i="23"/>
  <c r="I27" i="23"/>
  <c r="H27" i="23"/>
  <c r="F27" i="23"/>
  <c r="J26" i="23"/>
  <c r="I26" i="23"/>
  <c r="H26" i="23"/>
  <c r="F26" i="23"/>
  <c r="J25" i="23"/>
  <c r="I25" i="23"/>
  <c r="H25" i="23"/>
  <c r="F25" i="23"/>
  <c r="J23" i="23"/>
  <c r="I23" i="23"/>
  <c r="F23" i="23"/>
  <c r="J22" i="23"/>
  <c r="I22" i="23"/>
  <c r="H17" i="23"/>
  <c r="F22" i="23"/>
  <c r="J17" i="23"/>
  <c r="I17" i="23"/>
  <c r="F17" i="23"/>
  <c r="J16" i="23"/>
  <c r="I16" i="23"/>
  <c r="F16" i="23"/>
  <c r="H16" i="23"/>
  <c r="R452" i="46"/>
  <c r="P452" i="46"/>
  <c r="R451" i="46"/>
  <c r="P451" i="46"/>
  <c r="R450" i="46"/>
  <c r="P450" i="46"/>
  <c r="R446" i="46"/>
  <c r="P446" i="46"/>
  <c r="R445" i="46"/>
  <c r="P445" i="46"/>
  <c r="R441" i="46"/>
  <c r="P441" i="46"/>
  <c r="R440" i="46"/>
  <c r="P440" i="46"/>
  <c r="R439" i="46"/>
  <c r="P439" i="46"/>
  <c r="R436" i="46"/>
  <c r="P436" i="46"/>
  <c r="R435" i="46"/>
  <c r="P435" i="46"/>
  <c r="N452" i="46"/>
  <c r="L452" i="46"/>
  <c r="J452" i="46"/>
  <c r="H452" i="46"/>
  <c r="N451" i="46"/>
  <c r="L451" i="46"/>
  <c r="J451" i="46"/>
  <c r="H451" i="46"/>
  <c r="N450" i="46"/>
  <c r="L450" i="46"/>
  <c r="J450" i="46"/>
  <c r="H450" i="46"/>
  <c r="N446" i="46"/>
  <c r="L446" i="46"/>
  <c r="J446" i="46"/>
  <c r="H446" i="46"/>
  <c r="N445" i="46"/>
  <c r="L445" i="46"/>
  <c r="J445" i="46"/>
  <c r="H445" i="46"/>
  <c r="N441" i="46"/>
  <c r="L441" i="46"/>
  <c r="J441" i="46"/>
  <c r="H441" i="46"/>
  <c r="N440" i="46"/>
  <c r="L440" i="46"/>
  <c r="J440" i="46"/>
  <c r="H440" i="46"/>
  <c r="N439" i="46"/>
  <c r="L439" i="46"/>
  <c r="J439" i="46"/>
  <c r="H439" i="46"/>
  <c r="N436" i="46"/>
  <c r="L436" i="46"/>
  <c r="J436" i="46"/>
  <c r="H436" i="46"/>
  <c r="N435" i="46"/>
  <c r="L435" i="46"/>
  <c r="J435" i="46"/>
  <c r="H435" i="46"/>
  <c r="R382" i="46"/>
  <c r="P382" i="46"/>
  <c r="N382" i="46"/>
  <c r="L382" i="46"/>
  <c r="J382" i="46"/>
  <c r="H382" i="46"/>
  <c r="R381" i="46"/>
  <c r="P381" i="46"/>
  <c r="N381" i="46"/>
  <c r="L381" i="46"/>
  <c r="J381" i="46"/>
  <c r="H381" i="46"/>
  <c r="F55" i="23"/>
  <c r="P357" i="46"/>
  <c r="J49" i="23" s="1"/>
  <c r="P337" i="46"/>
  <c r="J48" i="23" s="1"/>
  <c r="F337" i="46"/>
  <c r="H48" i="23" s="1"/>
  <c r="P316" i="46"/>
  <c r="J47" i="23" s="1"/>
  <c r="P295" i="46"/>
  <c r="J46" i="23" s="1"/>
  <c r="P276" i="46"/>
  <c r="J45" i="23" s="1"/>
  <c r="P252" i="46"/>
  <c r="J44" i="23" s="1"/>
  <c r="P171" i="46"/>
  <c r="P182" i="46" s="1"/>
  <c r="J27" i="23" s="1"/>
  <c r="F107" i="46"/>
  <c r="H23" i="23" s="1"/>
  <c r="F62" i="46"/>
  <c r="H22" i="23" s="1"/>
  <c r="P60" i="46"/>
  <c r="F54" i="18" l="1"/>
  <c r="F56" i="11"/>
  <c r="AD3" i="55" l="1"/>
  <c r="M3" i="55"/>
  <c r="AF6" i="65"/>
  <c r="D197" i="30" l="1"/>
  <c r="D170" i="30"/>
  <c r="D161" i="30"/>
  <c r="D73" i="30"/>
  <c r="D49" i="30"/>
  <c r="D38" i="30"/>
  <c r="D27" i="30"/>
  <c r="D201" i="30"/>
  <c r="D199" i="30"/>
  <c r="D177" i="30"/>
  <c r="D176" i="30"/>
  <c r="D174" i="30"/>
  <c r="D173" i="30"/>
  <c r="D169" i="30"/>
  <c r="D196" i="30" s="1"/>
  <c r="D167" i="30"/>
  <c r="D194" i="30" s="1"/>
  <c r="D165" i="30"/>
  <c r="D181" i="30" s="1"/>
  <c r="D164" i="30"/>
  <c r="D160" i="30"/>
  <c r="D158" i="30"/>
  <c r="D157" i="30"/>
  <c r="D156" i="30"/>
  <c r="D155" i="30"/>
  <c r="D154" i="30"/>
  <c r="D153" i="30"/>
  <c r="D152" i="30"/>
  <c r="D151" i="30"/>
  <c r="D147" i="30"/>
  <c r="D146" i="30"/>
  <c r="D144" i="30"/>
  <c r="D143" i="30"/>
  <c r="D142" i="30"/>
  <c r="D141" i="30"/>
  <c r="D140" i="30"/>
  <c r="D139" i="30"/>
  <c r="D145" i="30" s="1"/>
  <c r="D180" i="30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53" i="30"/>
  <c r="D60" i="30" s="1"/>
  <c r="D19" i="30"/>
  <c r="D48" i="30" s="1"/>
  <c r="D14" i="30"/>
  <c r="D16" i="30" s="1"/>
  <c r="D201" i="69"/>
  <c r="D199" i="69"/>
  <c r="D177" i="69"/>
  <c r="D176" i="69"/>
  <c r="D174" i="69"/>
  <c r="D173" i="69"/>
  <c r="D169" i="69"/>
  <c r="D167" i="69"/>
  <c r="D165" i="69"/>
  <c r="D164" i="69"/>
  <c r="D157" i="69"/>
  <c r="D156" i="69"/>
  <c r="D155" i="69"/>
  <c r="D154" i="69"/>
  <c r="D153" i="69"/>
  <c r="D92" i="69"/>
  <c r="D91" i="69"/>
  <c r="D90" i="69"/>
  <c r="D89" i="69"/>
  <c r="D88" i="69"/>
  <c r="D87" i="69"/>
  <c r="D86" i="69"/>
  <c r="D53" i="69"/>
  <c r="D14" i="69"/>
  <c r="D19" i="69"/>
  <c r="D203" i="69" s="1"/>
  <c r="D56" i="30" l="1"/>
  <c r="D175" i="30"/>
  <c r="D33" i="30"/>
  <c r="D59" i="30"/>
  <c r="D72" i="30"/>
  <c r="D55" i="30"/>
  <c r="D22" i="30"/>
  <c r="D44" i="30"/>
  <c r="D203" i="30"/>
  <c r="D148" i="30"/>
  <c r="D21" i="30"/>
  <c r="D32" i="30"/>
  <c r="D43" i="30"/>
  <c r="D58" i="30"/>
  <c r="D25" i="30"/>
  <c r="D36" i="30"/>
  <c r="D47" i="30"/>
  <c r="D46" i="30"/>
  <c r="D26" i="30"/>
  <c r="D37" i="30"/>
  <c r="D23" i="30"/>
  <c r="D30" i="30"/>
  <c r="D34" i="30"/>
  <c r="D41" i="30"/>
  <c r="D45" i="30"/>
  <c r="D57" i="30"/>
  <c r="D20" i="30"/>
  <c r="D24" i="30"/>
  <c r="D31" i="30"/>
  <c r="D35" i="30"/>
  <c r="D42" i="30"/>
  <c r="D54" i="30"/>
  <c r="R46" i="45" l="1"/>
  <c r="R47" i="45"/>
  <c r="R48" i="45"/>
  <c r="R61" i="45"/>
  <c r="H19" i="31" l="1"/>
  <c r="H82" i="66" l="1"/>
  <c r="L82" i="66"/>
  <c r="J82" i="66"/>
  <c r="U78" i="66"/>
  <c r="T78" i="66"/>
  <c r="J19" i="31"/>
  <c r="L119" i="31" l="1"/>
  <c r="L121" i="31" s="1"/>
  <c r="P119" i="31"/>
  <c r="N119" i="31"/>
  <c r="N121" i="31" s="1"/>
  <c r="P121" i="31" l="1"/>
  <c r="Q17" i="82"/>
  <c r="W17" i="82" s="1"/>
  <c r="Q17" i="80"/>
  <c r="W17" i="80" s="1"/>
  <c r="C38" i="3" l="1"/>
  <c r="P58" i="82" l="1"/>
  <c r="O58" i="82"/>
  <c r="N58" i="82"/>
  <c r="M58" i="82"/>
  <c r="L58" i="82"/>
  <c r="K58" i="82"/>
  <c r="J58" i="82"/>
  <c r="I58" i="82"/>
  <c r="H58" i="82"/>
  <c r="G58" i="82"/>
  <c r="F58" i="82"/>
  <c r="E58" i="82"/>
  <c r="D58" i="82"/>
  <c r="A4" i="82"/>
  <c r="A52" i="82" s="1"/>
  <c r="A4" i="81"/>
  <c r="W62" i="82"/>
  <c r="Q62" i="82"/>
  <c r="A54" i="82"/>
  <c r="Q34" i="82"/>
  <c r="W34" i="82" s="1"/>
  <c r="Q33" i="82"/>
  <c r="W33" i="82" s="1"/>
  <c r="Q32" i="82"/>
  <c r="W32" i="82" s="1"/>
  <c r="Q31" i="82"/>
  <c r="W31" i="82" s="1"/>
  <c r="Q30" i="82"/>
  <c r="W30" i="82" s="1"/>
  <c r="Q29" i="82"/>
  <c r="W29" i="82" s="1"/>
  <c r="Q28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Q19" i="82"/>
  <c r="W19" i="82" s="1"/>
  <c r="Q18" i="82"/>
  <c r="W18" i="82" s="1"/>
  <c r="Q16" i="82"/>
  <c r="W16" i="82" s="1"/>
  <c r="Q15" i="82"/>
  <c r="W15" i="82" s="1"/>
  <c r="A15" i="82"/>
  <c r="A16" i="82" s="1"/>
  <c r="A17" i="82" s="1"/>
  <c r="A18" i="82" s="1"/>
  <c r="A19" i="82" s="1"/>
  <c r="A21" i="82" s="1"/>
  <c r="A28" i="82" s="1"/>
  <c r="A29" i="82" s="1"/>
  <c r="A30" i="82" s="1"/>
  <c r="A31" i="82" s="1"/>
  <c r="A32" i="82" s="1"/>
  <c r="A33" i="82" s="1"/>
  <c r="A34" i="82" s="1"/>
  <c r="A36" i="82" s="1"/>
  <c r="A38" i="82" s="1"/>
  <c r="Q14" i="82"/>
  <c r="W14" i="82" s="1"/>
  <c r="A7" i="82"/>
  <c r="A55" i="82" s="1"/>
  <c r="A2" i="82"/>
  <c r="A50" i="82" s="1"/>
  <c r="A1" i="82"/>
  <c r="A49" i="82" s="1"/>
  <c r="O72" i="81"/>
  <c r="Q72" i="81" s="1"/>
  <c r="O70" i="81"/>
  <c r="Q70" i="81" s="1"/>
  <c r="O68" i="81"/>
  <c r="Q68" i="81" s="1"/>
  <c r="O64" i="81"/>
  <c r="Q64" i="81" s="1"/>
  <c r="O62" i="81"/>
  <c r="Q62" i="81" s="1"/>
  <c r="O60" i="81"/>
  <c r="Q60" i="81" s="1"/>
  <c r="O58" i="81"/>
  <c r="Q58" i="81" s="1"/>
  <c r="O56" i="81"/>
  <c r="Q56" i="81" s="1"/>
  <c r="O54" i="81"/>
  <c r="Q54" i="81" s="1"/>
  <c r="O52" i="81"/>
  <c r="Q52" i="81" s="1"/>
  <c r="O50" i="81"/>
  <c r="Q50" i="81" s="1"/>
  <c r="O48" i="81"/>
  <c r="Q48" i="81" s="1"/>
  <c r="O45" i="81"/>
  <c r="Q45" i="81" s="1"/>
  <c r="O44" i="81"/>
  <c r="Q44" i="81" s="1"/>
  <c r="O43" i="81"/>
  <c r="Q43" i="81" s="1"/>
  <c r="O39" i="81"/>
  <c r="Q39" i="81" s="1"/>
  <c r="O38" i="81"/>
  <c r="Q38" i="81" s="1"/>
  <c r="O37" i="81"/>
  <c r="Q37" i="81" s="1"/>
  <c r="O33" i="81"/>
  <c r="Q33" i="81" s="1"/>
  <c r="O32" i="81"/>
  <c r="Q32" i="81" s="1"/>
  <c r="O31" i="81"/>
  <c r="Q31" i="81" s="1"/>
  <c r="O30" i="81"/>
  <c r="Q30" i="81" s="1"/>
  <c r="O26" i="81"/>
  <c r="Q26" i="81" s="1"/>
  <c r="O25" i="81"/>
  <c r="Q25" i="81" s="1"/>
  <c r="O24" i="81"/>
  <c r="Q24" i="81" s="1"/>
  <c r="O23" i="81"/>
  <c r="Q23" i="81" s="1"/>
  <c r="O22" i="81"/>
  <c r="Q22" i="81" s="1"/>
  <c r="O21" i="81"/>
  <c r="Q21" i="81" s="1"/>
  <c r="O20" i="81"/>
  <c r="Q20" i="81" s="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9" i="81" s="1"/>
  <c r="A30" i="81" s="1"/>
  <c r="A31" i="81" s="1"/>
  <c r="A32" i="81" s="1"/>
  <c r="A33" i="81" s="1"/>
  <c r="A34" i="81" s="1"/>
  <c r="A36" i="81" s="1"/>
  <c r="A37" i="81" s="1"/>
  <c r="A38" i="81" s="1"/>
  <c r="A39" i="81" s="1"/>
  <c r="A40" i="81" s="1"/>
  <c r="A42" i="81" s="1"/>
  <c r="A43" i="81" s="1"/>
  <c r="A44" i="81" s="1"/>
  <c r="A45" i="81" s="1"/>
  <c r="A46" i="81" s="1"/>
  <c r="A48" i="81" s="1"/>
  <c r="A50" i="81" s="1"/>
  <c r="A52" i="81" s="1"/>
  <c r="A54" i="81" s="1"/>
  <c r="A56" i="81" s="1"/>
  <c r="A58" i="81" s="1"/>
  <c r="A60" i="81" s="1"/>
  <c r="A62" i="81" s="1"/>
  <c r="A64" i="81" s="1"/>
  <c r="A66" i="81" s="1"/>
  <c r="A68" i="81" s="1"/>
  <c r="A70" i="81" s="1"/>
  <c r="A72" i="81" s="1"/>
  <c r="A74" i="81" s="1"/>
  <c r="A76" i="81" s="1"/>
  <c r="A78" i="81" s="1"/>
  <c r="A80" i="81" s="1"/>
  <c r="A82" i="81" s="1"/>
  <c r="O12" i="81"/>
  <c r="Q12" i="81" s="1"/>
  <c r="A7" i="81"/>
  <c r="A2" i="81"/>
  <c r="A1" i="81"/>
  <c r="E21" i="25"/>
  <c r="E47" i="25"/>
  <c r="A7" i="80"/>
  <c r="A4" i="80"/>
  <c r="A2" i="80"/>
  <c r="A1" i="80"/>
  <c r="Q16" i="80"/>
  <c r="Q36" i="82" l="1"/>
  <c r="Q40" i="81"/>
  <c r="W28" i="82"/>
  <c r="W36" i="82" s="1"/>
  <c r="Q21" i="82"/>
  <c r="Q27" i="81"/>
  <c r="Q38" i="82"/>
  <c r="W21" i="82"/>
  <c r="Q34" i="81"/>
  <c r="Q46" i="81"/>
  <c r="Q32" i="80"/>
  <c r="W32" i="80" s="1"/>
  <c r="Q66" i="81" l="1"/>
  <c r="Q74" i="81" s="1"/>
  <c r="W38" i="82"/>
  <c r="Q76" i="81" s="1"/>
  <c r="Q78" i="81" l="1"/>
  <c r="D38" i="59" s="1"/>
  <c r="O56" i="79"/>
  <c r="A4" i="79"/>
  <c r="A7" i="79"/>
  <c r="A2" i="79"/>
  <c r="A1" i="79"/>
  <c r="W62" i="80"/>
  <c r="Q62" i="80"/>
  <c r="A54" i="80"/>
  <c r="Q34" i="80"/>
  <c r="W34" i="80" s="1"/>
  <c r="Q33" i="80"/>
  <c r="W33" i="80" s="1"/>
  <c r="Q31" i="80"/>
  <c r="W31" i="80" s="1"/>
  <c r="Q30" i="80"/>
  <c r="W30" i="80" s="1"/>
  <c r="P24" i="80"/>
  <c r="O24" i="80"/>
  <c r="N24" i="80"/>
  <c r="M24" i="80"/>
  <c r="L24" i="80"/>
  <c r="K24" i="80"/>
  <c r="J24" i="80"/>
  <c r="I24" i="80"/>
  <c r="H24" i="80"/>
  <c r="G24" i="80"/>
  <c r="F24" i="80"/>
  <c r="E24" i="80"/>
  <c r="D24" i="80"/>
  <c r="Q19" i="80"/>
  <c r="W19" i="80" s="1"/>
  <c r="Q18" i="80"/>
  <c r="W18" i="80" s="1"/>
  <c r="W16" i="80"/>
  <c r="Q15" i="80"/>
  <c r="W15" i="80" s="1"/>
  <c r="A15" i="80"/>
  <c r="Q14" i="80"/>
  <c r="A55" i="80"/>
  <c r="A52" i="80"/>
  <c r="A50" i="80"/>
  <c r="A49" i="80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9" i="79" s="1"/>
  <c r="A30" i="79" s="1"/>
  <c r="A31" i="79" s="1"/>
  <c r="A32" i="79" s="1"/>
  <c r="A33" i="79" s="1"/>
  <c r="A34" i="79" s="1"/>
  <c r="A36" i="79" s="1"/>
  <c r="A37" i="79" s="1"/>
  <c r="A38" i="79" s="1"/>
  <c r="A39" i="79" s="1"/>
  <c r="A40" i="79" s="1"/>
  <c r="A42" i="79" s="1"/>
  <c r="A43" i="79" s="1"/>
  <c r="A44" i="79" s="1"/>
  <c r="A45" i="79" s="1"/>
  <c r="A46" i="79" s="1"/>
  <c r="A48" i="79" s="1"/>
  <c r="A50" i="79" s="1"/>
  <c r="A52" i="79" s="1"/>
  <c r="A54" i="79" s="1"/>
  <c r="A56" i="79" s="1"/>
  <c r="A58" i="79" s="1"/>
  <c r="A60" i="79" s="1"/>
  <c r="A62" i="79" s="1"/>
  <c r="A64" i="79" s="1"/>
  <c r="A66" i="79" s="1"/>
  <c r="A68" i="79" s="1"/>
  <c r="A70" i="79" s="1"/>
  <c r="A72" i="79" s="1"/>
  <c r="A74" i="79" s="1"/>
  <c r="A76" i="79" s="1"/>
  <c r="A78" i="79" s="1"/>
  <c r="A80" i="79" s="1"/>
  <c r="A82" i="79" s="1"/>
  <c r="A16" i="80" l="1"/>
  <c r="A17" i="80" s="1"/>
  <c r="A18" i="80" s="1"/>
  <c r="A19" i="80" s="1"/>
  <c r="A21" i="80" s="1"/>
  <c r="A28" i="80" s="1"/>
  <c r="A29" i="80" s="1"/>
  <c r="A30" i="80" s="1"/>
  <c r="A31" i="80" s="1"/>
  <c r="A32" i="80" s="1"/>
  <c r="A33" i="80" s="1"/>
  <c r="A34" i="80" s="1"/>
  <c r="A36" i="80" s="1"/>
  <c r="A38" i="80" s="1"/>
  <c r="Q28" i="80"/>
  <c r="Q29" i="80"/>
  <c r="W29" i="80" s="1"/>
  <c r="Q56" i="79"/>
  <c r="O44" i="79"/>
  <c r="O20" i="79"/>
  <c r="Q20" i="79" s="1"/>
  <c r="O25" i="79"/>
  <c r="Q25" i="79" s="1"/>
  <c r="W28" i="80"/>
  <c r="W14" i="80"/>
  <c r="W21" i="80" s="1"/>
  <c r="Q21" i="80"/>
  <c r="O13" i="79"/>
  <c r="Q13" i="79" s="1"/>
  <c r="O16" i="79"/>
  <c r="O22" i="79"/>
  <c r="Q22" i="79" s="1"/>
  <c r="O43" i="79"/>
  <c r="O31" i="79"/>
  <c r="Q31" i="79" s="1"/>
  <c r="O30" i="79"/>
  <c r="O24" i="79"/>
  <c r="O23" i="79"/>
  <c r="O15" i="79"/>
  <c r="Q15" i="79" s="1"/>
  <c r="O72" i="79"/>
  <c r="Q72" i="79" s="1"/>
  <c r="O70" i="79"/>
  <c r="Q70" i="79" s="1"/>
  <c r="O68" i="79"/>
  <c r="Q68" i="79" s="1"/>
  <c r="O45" i="79"/>
  <c r="O39" i="79"/>
  <c r="O38" i="79"/>
  <c r="O37" i="79"/>
  <c r="O33" i="79"/>
  <c r="Q33" i="79" s="1"/>
  <c r="O18" i="79"/>
  <c r="Q18" i="79" s="1"/>
  <c r="O12" i="79"/>
  <c r="Q12" i="79" s="1"/>
  <c r="O62" i="79"/>
  <c r="O14" i="79"/>
  <c r="Q14" i="79" s="1"/>
  <c r="O17" i="79"/>
  <c r="O19" i="79"/>
  <c r="Q19" i="79" s="1"/>
  <c r="O21" i="79"/>
  <c r="Q21" i="79" s="1"/>
  <c r="O26" i="79"/>
  <c r="Q26" i="79" s="1"/>
  <c r="O32" i="79"/>
  <c r="Q32" i="79" s="1"/>
  <c r="Q36" i="80" l="1"/>
  <c r="Q38" i="80" s="1"/>
  <c r="W36" i="80"/>
  <c r="W38" i="80" s="1"/>
  <c r="Q76" i="79" s="1"/>
  <c r="O64" i="79"/>
  <c r="O52" i="79"/>
  <c r="Q52" i="79" s="1"/>
  <c r="O60" i="79"/>
  <c r="O48" i="79"/>
  <c r="Q48" i="79" s="1"/>
  <c r="O54" i="79"/>
  <c r="Q23" i="79"/>
  <c r="Q30" i="79"/>
  <c r="Q34" i="79" s="1"/>
  <c r="O50" i="79"/>
  <c r="Q50" i="79" s="1"/>
  <c r="O58" i="79"/>
  <c r="Q58" i="79" s="1"/>
  <c r="AJ25" i="72"/>
  <c r="AI26" i="72" l="1"/>
  <c r="AH24" i="72"/>
  <c r="F118" i="31" l="1"/>
  <c r="G118" i="31" s="1"/>
  <c r="F117" i="31"/>
  <c r="G117" i="31" s="1"/>
  <c r="F116" i="31"/>
  <c r="G116" i="31" s="1"/>
  <c r="F115" i="31"/>
  <c r="G115" i="31" s="1"/>
  <c r="F114" i="31"/>
  <c r="G114" i="31" s="1"/>
  <c r="F113" i="31"/>
  <c r="G113" i="31" s="1"/>
  <c r="F112" i="31"/>
  <c r="G112" i="31" s="1"/>
  <c r="F95" i="31"/>
  <c r="G95" i="31" s="1"/>
  <c r="G108" i="31"/>
  <c r="F107" i="31"/>
  <c r="G107" i="31" s="1"/>
  <c r="F106" i="31"/>
  <c r="G106" i="31" s="1"/>
  <c r="F105" i="31"/>
  <c r="G105" i="31" s="1"/>
  <c r="F104" i="31"/>
  <c r="G104" i="31" s="1"/>
  <c r="F103" i="31"/>
  <c r="G103" i="31" s="1"/>
  <c r="F102" i="31"/>
  <c r="F101" i="31"/>
  <c r="G101" i="31" s="1"/>
  <c r="F100" i="31"/>
  <c r="G100" i="31" s="1"/>
  <c r="F96" i="31"/>
  <c r="G96" i="31" s="1"/>
  <c r="F91" i="31"/>
  <c r="G91" i="31" s="1"/>
  <c r="F88" i="31"/>
  <c r="G88" i="31" s="1"/>
  <c r="F83" i="31"/>
  <c r="G83" i="31" s="1"/>
  <c r="F82" i="31"/>
  <c r="F81" i="31"/>
  <c r="G81" i="31" s="1"/>
  <c r="F80" i="31"/>
  <c r="G80" i="31" s="1"/>
  <c r="F79" i="31"/>
  <c r="F54" i="31"/>
  <c r="G54" i="31" s="1"/>
  <c r="F55" i="31"/>
  <c r="F57" i="31"/>
  <c r="F51" i="31"/>
  <c r="F56" i="31"/>
  <c r="F47" i="31"/>
  <c r="F46" i="31"/>
  <c r="F45" i="31"/>
  <c r="F44" i="31"/>
  <c r="F43" i="31"/>
  <c r="F42" i="31"/>
  <c r="F41" i="31"/>
  <c r="F40" i="31"/>
  <c r="F36" i="31"/>
  <c r="F37" i="31"/>
  <c r="F39" i="31"/>
  <c r="F34" i="31"/>
  <c r="G34" i="31" s="1"/>
  <c r="F33" i="31"/>
  <c r="F31" i="31"/>
  <c r="G37" i="31" l="1"/>
  <c r="G46" i="31"/>
  <c r="G40" i="31"/>
  <c r="G41" i="31"/>
  <c r="G33" i="31"/>
  <c r="G44" i="31"/>
  <c r="G36" i="31"/>
  <c r="G42" i="31"/>
  <c r="G43" i="31"/>
  <c r="G39" i="31"/>
  <c r="G45" i="31"/>
  <c r="F48" i="31"/>
  <c r="K45" i="78"/>
  <c r="J45" i="78"/>
  <c r="K32" i="78"/>
  <c r="J32" i="78"/>
  <c r="K21" i="78"/>
  <c r="J21" i="78"/>
  <c r="K11" i="78"/>
  <c r="K17" i="78" s="1"/>
  <c r="J11" i="78"/>
  <c r="J17" i="78" s="1"/>
  <c r="D160" i="69"/>
  <c r="D158" i="69"/>
  <c r="D152" i="69"/>
  <c r="D151" i="69"/>
  <c r="D147" i="69"/>
  <c r="D146" i="69"/>
  <c r="D144" i="69"/>
  <c r="D143" i="69"/>
  <c r="D142" i="69"/>
  <c r="D141" i="69"/>
  <c r="D140" i="69"/>
  <c r="D139" i="69"/>
  <c r="D98" i="69"/>
  <c r="D97" i="69"/>
  <c r="D96" i="69"/>
  <c r="D95" i="69"/>
  <c r="D94" i="69"/>
  <c r="D93" i="69"/>
  <c r="C14" i="67"/>
  <c r="C14" i="68"/>
  <c r="L17" i="78" l="1"/>
  <c r="H53" i="78"/>
  <c r="H52" i="78"/>
  <c r="H51" i="78"/>
  <c r="H50" i="78"/>
  <c r="G45" i="78"/>
  <c r="H44" i="78"/>
  <c r="H43" i="78"/>
  <c r="H42" i="78"/>
  <c r="H41" i="78"/>
  <c r="H40" i="78"/>
  <c r="H39" i="78"/>
  <c r="H38" i="78"/>
  <c r="H37" i="78"/>
  <c r="E45" i="78"/>
  <c r="J46" i="78" s="1"/>
  <c r="E32" i="78"/>
  <c r="J33" i="78" s="1"/>
  <c r="H31" i="78"/>
  <c r="H29" i="78"/>
  <c r="H27" i="78"/>
  <c r="G32" i="78"/>
  <c r="K33" i="78" s="1"/>
  <c r="H20" i="78"/>
  <c r="H19" i="78"/>
  <c r="H18" i="78"/>
  <c r="G21" i="78"/>
  <c r="K22" i="78" s="1"/>
  <c r="H16" i="78"/>
  <c r="H9" i="78"/>
  <c r="H7" i="78"/>
  <c r="G11" i="78"/>
  <c r="K12" i="78" s="1"/>
  <c r="H45" i="78" l="1"/>
  <c r="H21" i="78"/>
  <c r="K43" i="78"/>
  <c r="K41" i="78"/>
  <c r="K39" i="78"/>
  <c r="K37" i="78"/>
  <c r="K20" i="78"/>
  <c r="K18" i="78"/>
  <c r="K31" i="78"/>
  <c r="K29" i="78"/>
  <c r="K27" i="78"/>
  <c r="K9" i="78"/>
  <c r="K7" i="78"/>
  <c r="K44" i="78"/>
  <c r="K42" i="78"/>
  <c r="K40" i="78"/>
  <c r="K38" i="78"/>
  <c r="K30" i="78"/>
  <c r="K28" i="78"/>
  <c r="K26" i="78"/>
  <c r="K19" i="78"/>
  <c r="K16" i="78"/>
  <c r="K10" i="78"/>
  <c r="K8" i="78"/>
  <c r="K6" i="78"/>
  <c r="E21" i="78"/>
  <c r="J22" i="78" s="1"/>
  <c r="H54" i="78"/>
  <c r="H26" i="78"/>
  <c r="H28" i="78"/>
  <c r="H30" i="78"/>
  <c r="G54" i="78"/>
  <c r="E54" i="78"/>
  <c r="K46" i="78"/>
  <c r="E11" i="78"/>
  <c r="J12" i="78" s="1"/>
  <c r="H6" i="78"/>
  <c r="H8" i="78"/>
  <c r="H10" i="78"/>
  <c r="H11" i="78" l="1"/>
  <c r="E57" i="78"/>
  <c r="H32" i="78"/>
  <c r="J30" i="78"/>
  <c r="L30" i="78" s="1"/>
  <c r="J28" i="78"/>
  <c r="L28" i="78" s="1"/>
  <c r="J26" i="78"/>
  <c r="L26" i="78" s="1"/>
  <c r="J10" i="78"/>
  <c r="L10" i="78" s="1"/>
  <c r="J8" i="78"/>
  <c r="L8" i="78" s="1"/>
  <c r="J6" i="78"/>
  <c r="L6" i="78" s="1"/>
  <c r="J43" i="78"/>
  <c r="L43" i="78" s="1"/>
  <c r="J41" i="78"/>
  <c r="L41" i="78" s="1"/>
  <c r="J39" i="78"/>
  <c r="L39" i="78" s="1"/>
  <c r="J37" i="78"/>
  <c r="L37" i="78" s="1"/>
  <c r="J20" i="78"/>
  <c r="L20" i="78" s="1"/>
  <c r="J18" i="78"/>
  <c r="L18" i="78" s="1"/>
  <c r="J31" i="78"/>
  <c r="L31" i="78" s="1"/>
  <c r="J42" i="78"/>
  <c r="L42" i="78" s="1"/>
  <c r="J38" i="78"/>
  <c r="L38" i="78" s="1"/>
  <c r="J44" i="78"/>
  <c r="L44" i="78" s="1"/>
  <c r="J40" i="78"/>
  <c r="L40" i="78" s="1"/>
  <c r="J29" i="78"/>
  <c r="L29" i="78" s="1"/>
  <c r="J27" i="78"/>
  <c r="L27" i="78" s="1"/>
  <c r="J19" i="78"/>
  <c r="L19" i="78" s="1"/>
  <c r="J16" i="78"/>
  <c r="L16" i="78" s="1"/>
  <c r="F31" i="14" s="1"/>
  <c r="J9" i="78"/>
  <c r="L9" i="78" s="1"/>
  <c r="J7" i="78"/>
  <c r="L7" i="78" s="1"/>
  <c r="G57" i="78"/>
  <c r="H57" i="78"/>
  <c r="L32" i="78" l="1"/>
  <c r="M32" i="78" s="1"/>
  <c r="L45" i="78"/>
  <c r="M45" i="78" s="1"/>
  <c r="L11" i="78"/>
  <c r="M11" i="78" s="1"/>
  <c r="L21" i="78"/>
  <c r="M21" i="78" s="1"/>
  <c r="G33" i="9" l="1"/>
  <c r="G37" i="9"/>
  <c r="F37" i="9" s="1"/>
  <c r="F35" i="9"/>
  <c r="G34" i="9"/>
  <c r="F34" i="9" s="1"/>
  <c r="F15" i="9"/>
  <c r="G17" i="9"/>
  <c r="F17" i="9" s="1"/>
  <c r="G14" i="9"/>
  <c r="G39" i="9" l="1"/>
  <c r="F39" i="9" s="1"/>
  <c r="F14" i="67"/>
  <c r="F33" i="9"/>
  <c r="F15" i="16"/>
  <c r="F40" i="28" l="1"/>
  <c r="D40" i="28"/>
  <c r="F18" i="28"/>
  <c r="D18" i="28"/>
  <c r="M4" i="55" l="1"/>
  <c r="AD4" i="55" l="1"/>
  <c r="G38" i="28" s="1"/>
  <c r="E40" i="28" l="1"/>
  <c r="E18" i="28"/>
  <c r="F21" i="76" l="1"/>
  <c r="B21" i="76"/>
  <c r="E20" i="76"/>
  <c r="E19" i="76"/>
  <c r="G19" i="76" s="1"/>
  <c r="K18" i="76"/>
  <c r="K13" i="76"/>
  <c r="F13" i="76"/>
  <c r="G12" i="76"/>
  <c r="B12" i="76"/>
  <c r="AB11" i="76"/>
  <c r="G11" i="76"/>
  <c r="AC11" i="76" s="1"/>
  <c r="E10" i="76"/>
  <c r="G10" i="76" s="1"/>
  <c r="G9" i="76"/>
  <c r="AC9" i="76" s="1"/>
  <c r="E8" i="76"/>
  <c r="X6" i="76"/>
  <c r="Y6" i="76" s="1"/>
  <c r="Z6" i="76" s="1"/>
  <c r="AA6" i="76" s="1"/>
  <c r="AB6" i="76" s="1"/>
  <c r="AC6" i="76" s="1"/>
  <c r="AD6" i="76" s="1"/>
  <c r="AE6" i="76" s="1"/>
  <c r="AF6" i="76" s="1"/>
  <c r="AG6" i="76" s="1"/>
  <c r="AH6" i="76" s="1"/>
  <c r="AI6" i="76" s="1"/>
  <c r="AJ6" i="76" s="1"/>
  <c r="AK6" i="76" s="1"/>
  <c r="AL6" i="76" s="1"/>
  <c r="AM6" i="76" s="1"/>
  <c r="AM19" i="76" s="1"/>
  <c r="F6" i="76"/>
  <c r="E5" i="76"/>
  <c r="G5" i="76" s="1"/>
  <c r="E4" i="76"/>
  <c r="G4" i="76" s="1"/>
  <c r="O9" i="76" l="1"/>
  <c r="W19" i="76"/>
  <c r="N12" i="76"/>
  <c r="AE9" i="76"/>
  <c r="AD11" i="76"/>
  <c r="O12" i="76"/>
  <c r="M9" i="76"/>
  <c r="AI9" i="76"/>
  <c r="L11" i="76"/>
  <c r="AD12" i="76"/>
  <c r="M11" i="76"/>
  <c r="P9" i="76"/>
  <c r="G6" i="76"/>
  <c r="G8" i="76"/>
  <c r="E13" i="76"/>
  <c r="AJ10" i="76"/>
  <c r="AF10" i="76"/>
  <c r="AB10" i="76"/>
  <c r="X10" i="76"/>
  <c r="T10" i="76"/>
  <c r="P10" i="76"/>
  <c r="L10" i="76"/>
  <c r="AI10" i="76"/>
  <c r="AD10" i="76"/>
  <c r="Y10" i="76"/>
  <c r="S10" i="76"/>
  <c r="N10" i="76"/>
  <c r="AL10" i="76"/>
  <c r="AE10" i="76"/>
  <c r="W10" i="76"/>
  <c r="Q10" i="76"/>
  <c r="U10" i="76"/>
  <c r="AC10" i="76"/>
  <c r="AM10" i="76"/>
  <c r="AJ9" i="76"/>
  <c r="M10" i="76"/>
  <c r="V10" i="76"/>
  <c r="AG10" i="76"/>
  <c r="AK9" i="76"/>
  <c r="O10" i="76"/>
  <c r="Z10" i="76"/>
  <c r="AH10" i="76"/>
  <c r="G21" i="76"/>
  <c r="E6" i="76"/>
  <c r="R10" i="76"/>
  <c r="AA10" i="76"/>
  <c r="AK10" i="76"/>
  <c r="G20" i="76"/>
  <c r="E21" i="76"/>
  <c r="AF11" i="76"/>
  <c r="P12" i="76"/>
  <c r="AE12" i="76"/>
  <c r="AL9" i="76"/>
  <c r="AH9" i="76"/>
  <c r="AD9" i="76"/>
  <c r="N9" i="76"/>
  <c r="AM9" i="76"/>
  <c r="AG9" i="76"/>
  <c r="AB9" i="76"/>
  <c r="L9" i="76"/>
  <c r="AF9" i="76"/>
  <c r="AC12" i="76"/>
  <c r="M12" i="76"/>
  <c r="AB12" i="76"/>
  <c r="L12" i="76"/>
  <c r="S12" i="76"/>
  <c r="AE11" i="76"/>
  <c r="D14" i="11" l="1"/>
  <c r="K13" i="11" s="1"/>
  <c r="Q12" i="76"/>
  <c r="AI12" i="76"/>
  <c r="T9" i="76"/>
  <c r="AG12" i="76"/>
  <c r="S9" i="76"/>
  <c r="R9" i="76"/>
  <c r="N11" i="76"/>
  <c r="AM8" i="76"/>
  <c r="AI8" i="76"/>
  <c r="AE8" i="76"/>
  <c r="AE13" i="76" s="1"/>
  <c r="AA8" i="76"/>
  <c r="W8" i="76"/>
  <c r="S8" i="76"/>
  <c r="AJ8" i="76"/>
  <c r="AD8" i="76"/>
  <c r="AD13" i="76" s="1"/>
  <c r="Y8" i="76"/>
  <c r="T8" i="76"/>
  <c r="O8" i="76"/>
  <c r="AG8" i="76"/>
  <c r="Z8" i="76"/>
  <c r="R8" i="76"/>
  <c r="M8" i="76"/>
  <c r="M13" i="76" s="1"/>
  <c r="AH8" i="76"/>
  <c r="X8" i="76"/>
  <c r="P8" i="76"/>
  <c r="G13" i="76"/>
  <c r="AF8" i="76"/>
  <c r="V8" i="76"/>
  <c r="N8" i="76"/>
  <c r="AL8" i="76"/>
  <c r="AC8" i="76"/>
  <c r="AC13" i="76" s="1"/>
  <c r="U8" i="76"/>
  <c r="L8" i="76"/>
  <c r="L13" i="76" s="1"/>
  <c r="L17" i="76" s="1"/>
  <c r="AK8" i="76"/>
  <c r="AB8" i="76"/>
  <c r="AB13" i="76" s="1"/>
  <c r="Q8" i="76"/>
  <c r="AH12" i="76"/>
  <c r="T12" i="76"/>
  <c r="AF12" i="76"/>
  <c r="R12" i="76"/>
  <c r="Q9" i="76"/>
  <c r="AG11" i="76"/>
  <c r="AF13" i="76" l="1"/>
  <c r="AG13" i="76"/>
  <c r="AH11" i="76"/>
  <c r="AH13" i="76"/>
  <c r="AJ12" i="76"/>
  <c r="U12" i="76"/>
  <c r="O11" i="76"/>
  <c r="O13" i="76" s="1"/>
  <c r="L18" i="76"/>
  <c r="M17" i="76"/>
  <c r="N13" i="76"/>
  <c r="U9" i="76"/>
  <c r="M18" i="76" l="1"/>
  <c r="N17" i="76"/>
  <c r="V9" i="76"/>
  <c r="V12" i="76"/>
  <c r="P11" i="76"/>
  <c r="P13" i="76" s="1"/>
  <c r="AK12" i="76"/>
  <c r="AI11" i="76"/>
  <c r="AI13" i="76" s="1"/>
  <c r="AJ11" i="76" l="1"/>
  <c r="AJ13" i="76" s="1"/>
  <c r="W9" i="76"/>
  <c r="O17" i="76"/>
  <c r="N18" i="76"/>
  <c r="AM12" i="76"/>
  <c r="AL12" i="76"/>
  <c r="W12" i="76"/>
  <c r="Q11" i="76"/>
  <c r="Q13" i="76" s="1"/>
  <c r="R11" i="76" l="1"/>
  <c r="R13" i="76" s="1"/>
  <c r="X9" i="76"/>
  <c r="X12" i="76"/>
  <c r="O18" i="76"/>
  <c r="P17" i="76"/>
  <c r="AK11" i="76"/>
  <c r="AK13" i="76" s="1"/>
  <c r="Y9" i="76" l="1"/>
  <c r="AM11" i="76"/>
  <c r="AM13" i="76" s="1"/>
  <c r="AL11" i="76"/>
  <c r="AL13" i="76" s="1"/>
  <c r="Y12" i="76"/>
  <c r="S11" i="76"/>
  <c r="S13" i="76" s="1"/>
  <c r="P18" i="76"/>
  <c r="Q17" i="76"/>
  <c r="T11" i="76" l="1"/>
  <c r="T13" i="76" s="1"/>
  <c r="Q18" i="76"/>
  <c r="R17" i="76"/>
  <c r="AA12" i="76"/>
  <c r="Z12" i="76"/>
  <c r="AA9" i="76"/>
  <c r="Z9" i="76"/>
  <c r="R18" i="76" l="1"/>
  <c r="S17" i="76"/>
  <c r="U11" i="76"/>
  <c r="U13" i="76" s="1"/>
  <c r="T17" i="76" l="1"/>
  <c r="S18" i="76"/>
  <c r="V11" i="76"/>
  <c r="V13" i="76" s="1"/>
  <c r="W11" i="76" l="1"/>
  <c r="W13" i="76" s="1"/>
  <c r="T18" i="76"/>
  <c r="U17" i="76"/>
  <c r="X11" i="76" l="1"/>
  <c r="X13" i="76" s="1"/>
  <c r="U18" i="76"/>
  <c r="V17" i="76"/>
  <c r="W17" i="76" l="1"/>
  <c r="V18" i="76"/>
  <c r="Y11" i="76"/>
  <c r="Y13" i="76" s="1"/>
  <c r="W18" i="76" l="1"/>
  <c r="X17" i="76"/>
  <c r="AA11" i="76"/>
  <c r="AA13" i="76" s="1"/>
  <c r="Z11" i="76"/>
  <c r="Z13" i="76" s="1"/>
  <c r="L13" i="18" l="1"/>
  <c r="X18" i="76"/>
  <c r="Y17" i="76"/>
  <c r="Z17" i="76" l="1"/>
  <c r="Y18" i="76"/>
  <c r="Z18" i="76" l="1"/>
  <c r="AA17" i="76"/>
  <c r="AA18" i="76" l="1"/>
  <c r="AB18" i="76" l="1"/>
  <c r="AC18" i="76" l="1"/>
  <c r="AD18" i="76" l="1"/>
  <c r="AE18" i="76" l="1"/>
  <c r="AF18" i="76" l="1"/>
  <c r="AG18" i="76" l="1"/>
  <c r="AH18" i="76" l="1"/>
  <c r="AI18" i="76" l="1"/>
  <c r="AJ18" i="76" l="1"/>
  <c r="AK18" i="76" l="1"/>
  <c r="AL18" i="76" l="1"/>
  <c r="AM17" i="76"/>
  <c r="AM18" i="76" l="1"/>
  <c r="AN18" i="76"/>
  <c r="L43" i="18" s="1"/>
  <c r="C41" i="20"/>
  <c r="H45" i="20"/>
  <c r="H43" i="20"/>
  <c r="H41" i="20"/>
  <c r="H39" i="20"/>
  <c r="D39" i="20"/>
  <c r="C39" i="20"/>
  <c r="L114" i="19"/>
  <c r="L90" i="19"/>
  <c r="L74" i="19"/>
  <c r="L62" i="19"/>
  <c r="L39" i="19"/>
  <c r="L28" i="19"/>
  <c r="L17" i="19"/>
  <c r="F38" i="28" l="1"/>
  <c r="F36" i="28"/>
  <c r="F34" i="28"/>
  <c r="D38" i="28"/>
  <c r="D36" i="28"/>
  <c r="D34" i="28"/>
  <c r="C43" i="26"/>
  <c r="E43" i="26"/>
  <c r="E41" i="26"/>
  <c r="C41" i="26"/>
  <c r="C39" i="26"/>
  <c r="E39" i="26"/>
  <c r="B601" i="48"/>
  <c r="B600" i="48"/>
  <c r="B599" i="48"/>
  <c r="B597" i="48"/>
  <c r="B596" i="48"/>
  <c r="B595" i="48"/>
  <c r="B594" i="48"/>
  <c r="B592" i="48"/>
  <c r="B591" i="48"/>
  <c r="B590" i="48"/>
  <c r="B225" i="48"/>
  <c r="B220" i="48"/>
  <c r="B205" i="48"/>
  <c r="B193" i="48"/>
  <c r="B185" i="48"/>
  <c r="B176" i="48"/>
  <c r="B167" i="48"/>
  <c r="B150" i="48"/>
  <c r="B141" i="48"/>
  <c r="B130" i="48"/>
  <c r="B111" i="48"/>
  <c r="B98" i="48"/>
  <c r="B85" i="48"/>
  <c r="B74" i="48"/>
  <c r="R63" i="45"/>
  <c r="G13" i="9"/>
  <c r="G19" i="9" s="1"/>
  <c r="F19" i="9" s="1"/>
  <c r="I116" i="5"/>
  <c r="H116" i="5"/>
  <c r="D116" i="5"/>
  <c r="C46" i="41"/>
  <c r="C310" i="41"/>
  <c r="C309" i="41"/>
  <c r="C308" i="41"/>
  <c r="C304" i="41"/>
  <c r="C302" i="41"/>
  <c r="C301" i="41"/>
  <c r="C300" i="41"/>
  <c r="C299" i="41"/>
  <c r="C298" i="41"/>
  <c r="C297" i="41"/>
  <c r="C296" i="41"/>
  <c r="C295" i="41"/>
  <c r="C294" i="41"/>
  <c r="C292" i="41"/>
  <c r="C244" i="41"/>
  <c r="C243" i="41"/>
  <c r="C242" i="41"/>
  <c r="C241" i="41"/>
  <c r="C240" i="41"/>
  <c r="C239" i="41"/>
  <c r="C238" i="41"/>
  <c r="C236" i="41"/>
  <c r="C232" i="41"/>
  <c r="C228" i="41"/>
  <c r="C226" i="41"/>
  <c r="C225" i="41"/>
  <c r="C224" i="41"/>
  <c r="C223" i="41"/>
  <c r="C222" i="41"/>
  <c r="C221" i="41"/>
  <c r="C219" i="41"/>
  <c r="C217" i="41"/>
  <c r="C216" i="41"/>
  <c r="C212" i="41"/>
  <c r="C211" i="41"/>
  <c r="C209" i="41"/>
  <c r="C208" i="41"/>
  <c r="C207" i="41"/>
  <c r="C206" i="41"/>
  <c r="C205" i="41"/>
  <c r="C204" i="41"/>
  <c r="C203" i="41"/>
  <c r="C202" i="41"/>
  <c r="C201" i="41"/>
  <c r="C199" i="41"/>
  <c r="C110" i="41"/>
  <c r="C109" i="41"/>
  <c r="C108" i="41"/>
  <c r="C107" i="41"/>
  <c r="C106" i="41"/>
  <c r="C105" i="41"/>
  <c r="C102" i="41"/>
  <c r="C100" i="41"/>
  <c r="C98" i="41"/>
  <c r="C96" i="41"/>
  <c r="C93" i="41"/>
  <c r="C92" i="41"/>
  <c r="C90" i="41"/>
  <c r="C88" i="41"/>
  <c r="C86" i="41"/>
  <c r="C84" i="41"/>
  <c r="C83" i="41"/>
  <c r="C79" i="41"/>
  <c r="C78" i="41"/>
  <c r="C76" i="41"/>
  <c r="C75" i="41"/>
  <c r="C74" i="41"/>
  <c r="C72" i="41"/>
  <c r="C71" i="41"/>
  <c r="C69" i="41"/>
  <c r="C64" i="41"/>
  <c r="C63" i="41"/>
  <c r="C62" i="41"/>
  <c r="C58" i="41"/>
  <c r="C57" i="41"/>
  <c r="C56" i="41"/>
  <c r="C55" i="41"/>
  <c r="C54" i="41"/>
  <c r="C53" i="41"/>
  <c r="C52" i="41"/>
  <c r="C51" i="41"/>
  <c r="C47" i="41"/>
  <c r="C44" i="41"/>
  <c r="C43" i="41"/>
  <c r="C42" i="41"/>
  <c r="C41" i="41"/>
  <c r="C40" i="41"/>
  <c r="C38" i="41"/>
  <c r="C34" i="41"/>
  <c r="C32" i="41"/>
  <c r="C31" i="41"/>
  <c r="C26" i="41"/>
  <c r="C25" i="41"/>
  <c r="C24" i="41"/>
  <c r="C21" i="41"/>
  <c r="C20" i="41"/>
  <c r="C19" i="41"/>
  <c r="C18" i="41"/>
  <c r="C17" i="41"/>
  <c r="C16" i="41"/>
  <c r="C15" i="41"/>
  <c r="C14" i="41"/>
  <c r="C13" i="41"/>
  <c r="C11" i="41"/>
  <c r="F14" i="68" l="1"/>
  <c r="D15" i="16"/>
  <c r="D45" i="26"/>
  <c r="F45" i="25"/>
  <c r="F24" i="31"/>
  <c r="G24" i="31" s="1"/>
  <c r="F20" i="31"/>
  <c r="F19" i="25" l="1"/>
  <c r="D20" i="26"/>
  <c r="N13" i="18" l="1"/>
  <c r="F16" i="28" l="1"/>
  <c r="D16" i="28"/>
  <c r="F14" i="28"/>
  <c r="D14" i="28"/>
  <c r="F12" i="28"/>
  <c r="D12" i="28"/>
  <c r="E18" i="26"/>
  <c r="C18" i="26"/>
  <c r="E16" i="26"/>
  <c r="C16" i="26"/>
  <c r="E14" i="26"/>
  <c r="C14" i="26"/>
  <c r="H20" i="20"/>
  <c r="H18" i="20"/>
  <c r="H16" i="20"/>
  <c r="C20" i="20"/>
  <c r="C18" i="20"/>
  <c r="C16" i="20"/>
  <c r="C14" i="20"/>
  <c r="H14" i="20"/>
  <c r="D14" i="20"/>
  <c r="L114" i="17"/>
  <c r="L90" i="17"/>
  <c r="L74" i="17"/>
  <c r="L62" i="17"/>
  <c r="L39" i="17"/>
  <c r="L28" i="17"/>
  <c r="L17" i="17"/>
  <c r="B594" i="13"/>
  <c r="B593" i="13"/>
  <c r="B592" i="13"/>
  <c r="B590" i="13"/>
  <c r="B589" i="13"/>
  <c r="B588" i="13"/>
  <c r="B587" i="13"/>
  <c r="B585" i="13"/>
  <c r="B584" i="13"/>
  <c r="B583" i="13"/>
  <c r="B225" i="13"/>
  <c r="B220" i="13"/>
  <c r="B205" i="13"/>
  <c r="B193" i="13"/>
  <c r="B185" i="13"/>
  <c r="B176" i="13"/>
  <c r="B167" i="13"/>
  <c r="B150" i="13"/>
  <c r="B141" i="13"/>
  <c r="B130" i="13"/>
  <c r="B111" i="13"/>
  <c r="B110" i="13"/>
  <c r="B109" i="13"/>
  <c r="B108" i="13"/>
  <c r="B107" i="13"/>
  <c r="B106" i="13"/>
  <c r="B105" i="13"/>
  <c r="B104" i="13"/>
  <c r="B102" i="13"/>
  <c r="B98" i="13"/>
  <c r="B97" i="13"/>
  <c r="B96" i="13"/>
  <c r="B95" i="13"/>
  <c r="B94" i="13"/>
  <c r="B93" i="13"/>
  <c r="B92" i="13"/>
  <c r="B91" i="13"/>
  <c r="B89" i="13"/>
  <c r="B85" i="13"/>
  <c r="B84" i="13"/>
  <c r="B83" i="13"/>
  <c r="B82" i="13"/>
  <c r="B81" i="13"/>
  <c r="B80" i="13"/>
  <c r="B79" i="13"/>
  <c r="B76" i="13"/>
  <c r="B74" i="13"/>
  <c r="B73" i="13"/>
  <c r="C310" i="1"/>
  <c r="C309" i="1"/>
  <c r="C308" i="1"/>
  <c r="C304" i="1"/>
  <c r="C302" i="1"/>
  <c r="C301" i="1"/>
  <c r="C300" i="1"/>
  <c r="C299" i="1"/>
  <c r="C298" i="1"/>
  <c r="C297" i="1"/>
  <c r="C296" i="1"/>
  <c r="C295" i="1"/>
  <c r="C294" i="1"/>
  <c r="C292" i="1"/>
  <c r="C244" i="1"/>
  <c r="C243" i="1"/>
  <c r="C242" i="1"/>
  <c r="C241" i="1"/>
  <c r="C240" i="1"/>
  <c r="C239" i="1"/>
  <c r="C238" i="1"/>
  <c r="C236" i="1"/>
  <c r="C232" i="1"/>
  <c r="C228" i="1"/>
  <c r="C226" i="1"/>
  <c r="C225" i="1"/>
  <c r="C224" i="1"/>
  <c r="C223" i="1"/>
  <c r="C222" i="1"/>
  <c r="C221" i="1"/>
  <c r="C219" i="1"/>
  <c r="C217" i="1"/>
  <c r="C216" i="1"/>
  <c r="C212" i="1"/>
  <c r="C211" i="1"/>
  <c r="C209" i="1"/>
  <c r="C208" i="1"/>
  <c r="C207" i="1"/>
  <c r="C206" i="1"/>
  <c r="C205" i="1"/>
  <c r="C204" i="1"/>
  <c r="C203" i="1"/>
  <c r="C202" i="1"/>
  <c r="C201" i="1"/>
  <c r="C199" i="1"/>
  <c r="C110" i="1"/>
  <c r="C109" i="1"/>
  <c r="C108" i="1"/>
  <c r="C107" i="1"/>
  <c r="C106" i="1"/>
  <c r="C105" i="1"/>
  <c r="C102" i="1"/>
  <c r="C100" i="1"/>
  <c r="C98" i="1"/>
  <c r="C96" i="1"/>
  <c r="C93" i="1"/>
  <c r="C92" i="1"/>
  <c r="C90" i="1"/>
  <c r="C88" i="1"/>
  <c r="C86" i="1"/>
  <c r="C84" i="1"/>
  <c r="C83" i="1"/>
  <c r="C79" i="1"/>
  <c r="C78" i="1"/>
  <c r="C76" i="1"/>
  <c r="C75" i="1"/>
  <c r="C74" i="1"/>
  <c r="C72" i="1"/>
  <c r="C71" i="1"/>
  <c r="C69" i="1"/>
  <c r="C64" i="1"/>
  <c r="C63" i="1"/>
  <c r="C62" i="1"/>
  <c r="C58" i="1"/>
  <c r="C57" i="1"/>
  <c r="C56" i="1"/>
  <c r="C55" i="1"/>
  <c r="C54" i="1"/>
  <c r="C53" i="1"/>
  <c r="C52" i="1"/>
  <c r="C51" i="1"/>
  <c r="C47" i="1"/>
  <c r="C44" i="1"/>
  <c r="C43" i="1"/>
  <c r="C42" i="1"/>
  <c r="C41" i="1"/>
  <c r="C40" i="1"/>
  <c r="C38" i="1"/>
  <c r="C34" i="1"/>
  <c r="C32" i="1"/>
  <c r="C31" i="1"/>
  <c r="C26" i="1"/>
  <c r="C25" i="1"/>
  <c r="C24" i="1"/>
  <c r="C21" i="1"/>
  <c r="C20" i="1"/>
  <c r="C19" i="1"/>
  <c r="C18" i="1"/>
  <c r="C17" i="1"/>
  <c r="C16" i="1"/>
  <c r="C15" i="1"/>
  <c r="C14" i="1"/>
  <c r="C13" i="1"/>
  <c r="C11" i="1"/>
  <c r="A39" i="50" l="1"/>
  <c r="A38" i="50"/>
  <c r="A32" i="50"/>
  <c r="D116" i="4" l="1"/>
  <c r="H116" i="4"/>
  <c r="D118" i="66" l="1"/>
  <c r="D117" i="66"/>
  <c r="D116" i="66"/>
  <c r="D115" i="66"/>
  <c r="D114" i="66"/>
  <c r="D113" i="66"/>
  <c r="D112" i="66"/>
  <c r="D108" i="66"/>
  <c r="D107" i="66"/>
  <c r="D106" i="66"/>
  <c r="D105" i="66"/>
  <c r="D104" i="66"/>
  <c r="D103" i="66"/>
  <c r="D102" i="66"/>
  <c r="D101" i="66"/>
  <c r="D100" i="66"/>
  <c r="E100" i="66" s="1"/>
  <c r="D96" i="66"/>
  <c r="D95" i="66"/>
  <c r="D91" i="66"/>
  <c r="D89" i="66"/>
  <c r="D88" i="66"/>
  <c r="D84" i="66"/>
  <c r="D83" i="66"/>
  <c r="D82" i="66"/>
  <c r="D81" i="66"/>
  <c r="D80" i="66"/>
  <c r="D79" i="66"/>
  <c r="D57" i="66"/>
  <c r="D56" i="66"/>
  <c r="D55" i="66"/>
  <c r="D54" i="66"/>
  <c r="D53" i="66"/>
  <c r="E53" i="66" s="1"/>
  <c r="D52" i="66"/>
  <c r="D51" i="66"/>
  <c r="D47" i="66"/>
  <c r="D46" i="66"/>
  <c r="D45" i="66"/>
  <c r="D44" i="66"/>
  <c r="D43" i="66"/>
  <c r="D42" i="66"/>
  <c r="D41" i="66"/>
  <c r="D40" i="66"/>
  <c r="D39" i="66"/>
  <c r="D37" i="66"/>
  <c r="D36" i="66"/>
  <c r="D35" i="66"/>
  <c r="D34" i="66"/>
  <c r="D33" i="66"/>
  <c r="E33" i="66" s="1"/>
  <c r="D32" i="66"/>
  <c r="D31" i="66"/>
  <c r="D27" i="66"/>
  <c r="D26" i="66"/>
  <c r="D25" i="66"/>
  <c r="D24" i="66"/>
  <c r="D20" i="66"/>
  <c r="D18" i="66"/>
  <c r="D17" i="66"/>
  <c r="F118" i="66"/>
  <c r="E118" i="66" s="1"/>
  <c r="F117" i="66"/>
  <c r="E117" i="66" s="1"/>
  <c r="F116" i="66"/>
  <c r="E116" i="66" s="1"/>
  <c r="F115" i="66"/>
  <c r="E115" i="66" s="1"/>
  <c r="F114" i="66"/>
  <c r="E114" i="66" s="1"/>
  <c r="F113" i="66"/>
  <c r="E113" i="66" s="1"/>
  <c r="F112" i="66"/>
  <c r="F108" i="66"/>
  <c r="F107" i="66"/>
  <c r="F106" i="66"/>
  <c r="F105" i="66"/>
  <c r="E105" i="66" s="1"/>
  <c r="F104" i="66"/>
  <c r="E104" i="66" s="1"/>
  <c r="F103" i="66"/>
  <c r="F102" i="66"/>
  <c r="F101" i="66"/>
  <c r="E101" i="66" s="1"/>
  <c r="F100" i="66"/>
  <c r="F96" i="66"/>
  <c r="F95" i="66"/>
  <c r="F91" i="66"/>
  <c r="F89" i="66"/>
  <c r="F88" i="66"/>
  <c r="F84" i="66"/>
  <c r="F83" i="66"/>
  <c r="F82" i="66"/>
  <c r="F81" i="66"/>
  <c r="F80" i="66"/>
  <c r="F79" i="66"/>
  <c r="F57" i="66"/>
  <c r="F56" i="66"/>
  <c r="F55" i="66"/>
  <c r="F54" i="66"/>
  <c r="F53" i="66"/>
  <c r="F52" i="66"/>
  <c r="F51" i="66"/>
  <c r="F47" i="66"/>
  <c r="F46" i="66"/>
  <c r="F45" i="66"/>
  <c r="F44" i="66"/>
  <c r="F43" i="66"/>
  <c r="F42" i="66"/>
  <c r="F41" i="66"/>
  <c r="F40" i="66"/>
  <c r="F39" i="66"/>
  <c r="F37" i="66"/>
  <c r="F36" i="66"/>
  <c r="F35" i="66"/>
  <c r="F34" i="66"/>
  <c r="F33" i="66"/>
  <c r="F32" i="66"/>
  <c r="F31" i="66"/>
  <c r="F27" i="66"/>
  <c r="F26" i="66"/>
  <c r="F25" i="66"/>
  <c r="F24" i="66"/>
  <c r="F20" i="66"/>
  <c r="F18" i="66"/>
  <c r="F17" i="66"/>
  <c r="E106" i="66" l="1"/>
  <c r="E107" i="66"/>
  <c r="E108" i="66"/>
  <c r="D97" i="66"/>
  <c r="E91" i="66"/>
  <c r="E42" i="66"/>
  <c r="E27" i="66"/>
  <c r="G27" i="66"/>
  <c r="E54" i="66"/>
  <c r="E35" i="66"/>
  <c r="E44" i="66"/>
  <c r="E55" i="66"/>
  <c r="E43" i="66"/>
  <c r="E36" i="66"/>
  <c r="E45" i="66"/>
  <c r="E56" i="66"/>
  <c r="E83" i="66"/>
  <c r="E37" i="66"/>
  <c r="E46" i="66"/>
  <c r="E57" i="66"/>
  <c r="F48" i="66"/>
  <c r="E39" i="66"/>
  <c r="D48" i="66"/>
  <c r="E40" i="66"/>
  <c r="E80" i="66"/>
  <c r="E41" i="66"/>
  <c r="E52" i="66"/>
  <c r="E81" i="66"/>
  <c r="D92" i="66"/>
  <c r="D119" i="66"/>
  <c r="D85" i="66"/>
  <c r="F85" i="66"/>
  <c r="D19" i="66"/>
  <c r="D21" i="66" s="1"/>
  <c r="D109" i="66"/>
  <c r="F58" i="66"/>
  <c r="F92" i="66"/>
  <c r="F19" i="66"/>
  <c r="F21" i="66" s="1"/>
  <c r="F97" i="66"/>
  <c r="F119" i="66"/>
  <c r="F109" i="66"/>
  <c r="D28" i="66"/>
  <c r="F28" i="66"/>
  <c r="D58" i="66"/>
  <c r="E28" i="66" l="1"/>
  <c r="G28" i="66"/>
  <c r="K114" i="19"/>
  <c r="G65" i="50" l="1"/>
  <c r="F65" i="50"/>
  <c r="E65" i="50"/>
  <c r="D65" i="50"/>
  <c r="C65" i="50"/>
  <c r="H65" i="50"/>
  <c r="A61" i="50"/>
  <c r="A60" i="50"/>
  <c r="A59" i="50"/>
  <c r="A58" i="50"/>
  <c r="A57" i="50"/>
  <c r="A56" i="50"/>
  <c r="A55" i="50"/>
  <c r="A54" i="50"/>
  <c r="A53" i="50"/>
  <c r="H5" i="50" l="1"/>
  <c r="G5" i="50"/>
  <c r="F5" i="50"/>
  <c r="E5" i="50"/>
  <c r="D5" i="50"/>
  <c r="C5" i="50"/>
  <c r="O15" i="50" l="1"/>
  <c r="O5" i="50"/>
  <c r="N22" i="50"/>
  <c r="M22" i="50"/>
  <c r="L22" i="50"/>
  <c r="K22" i="50"/>
  <c r="J22" i="50"/>
  <c r="I22" i="50"/>
  <c r="N21" i="50"/>
  <c r="M21" i="50"/>
  <c r="L21" i="50"/>
  <c r="K21" i="50"/>
  <c r="J21" i="50"/>
  <c r="I21" i="50"/>
  <c r="N20" i="50"/>
  <c r="M20" i="50"/>
  <c r="L20" i="50"/>
  <c r="K20" i="50"/>
  <c r="J20" i="50"/>
  <c r="I20" i="50"/>
  <c r="N19" i="50"/>
  <c r="M19" i="50"/>
  <c r="L19" i="50"/>
  <c r="K19" i="50"/>
  <c r="J19" i="50"/>
  <c r="I19" i="50"/>
  <c r="N5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M19" i="51"/>
  <c r="L19" i="51"/>
  <c r="K19" i="51"/>
  <c r="J19" i="51"/>
  <c r="I19" i="51"/>
  <c r="H19" i="51"/>
  <c r="H24" i="51" s="1"/>
  <c r="K60" i="80" s="1"/>
  <c r="G19" i="51"/>
  <c r="F19" i="51"/>
  <c r="F24" i="51" s="1"/>
  <c r="I60" i="80" s="1"/>
  <c r="E19" i="51"/>
  <c r="D19" i="51"/>
  <c r="C19" i="51"/>
  <c r="B19" i="51"/>
  <c r="A63" i="50"/>
  <c r="A62" i="50"/>
  <c r="A52" i="50"/>
  <c r="A51" i="50"/>
  <c r="A50" i="50"/>
  <c r="A49" i="50"/>
  <c r="A48" i="50"/>
  <c r="A47" i="50"/>
  <c r="A46" i="50"/>
  <c r="A45" i="50"/>
  <c r="A43" i="50"/>
  <c r="A37" i="50"/>
  <c r="A36" i="50"/>
  <c r="A35" i="50"/>
  <c r="A34" i="50"/>
  <c r="A33" i="50"/>
  <c r="A30" i="50"/>
  <c r="AD11" i="56"/>
  <c r="AD10" i="56"/>
  <c r="AD2" i="56"/>
  <c r="C24" i="51" l="1"/>
  <c r="F60" i="80" s="1"/>
  <c r="K24" i="51"/>
  <c r="N60" i="80" s="1"/>
  <c r="M24" i="51"/>
  <c r="P60" i="80" s="1"/>
  <c r="E24" i="51"/>
  <c r="H60" i="80" s="1"/>
  <c r="G24" i="51"/>
  <c r="J60" i="80" s="1"/>
  <c r="I24" i="51"/>
  <c r="L60" i="80" s="1"/>
  <c r="B24" i="51"/>
  <c r="E60" i="80" s="1"/>
  <c r="J24" i="51"/>
  <c r="M60" i="80" s="1"/>
  <c r="D24" i="51"/>
  <c r="G60" i="80" s="1"/>
  <c r="L24" i="51"/>
  <c r="O60" i="80" s="1"/>
  <c r="K24" i="50"/>
  <c r="M60" i="82" s="1"/>
  <c r="N20" i="51"/>
  <c r="N22" i="51"/>
  <c r="N21" i="51"/>
  <c r="J24" i="50"/>
  <c r="L60" i="82" s="1"/>
  <c r="N24" i="50"/>
  <c r="P60" i="82" s="1"/>
  <c r="L24" i="50"/>
  <c r="N60" i="82" s="1"/>
  <c r="I24" i="50"/>
  <c r="K60" i="82" s="1"/>
  <c r="M24" i="50"/>
  <c r="O60" i="82" s="1"/>
  <c r="N19" i="51"/>
  <c r="N16" i="51"/>
  <c r="N24" i="51" l="1"/>
  <c r="Q60" i="80"/>
  <c r="O6" i="50"/>
  <c r="W60" i="80" l="1"/>
  <c r="W64" i="80" s="1"/>
  <c r="W66" i="80" s="1"/>
  <c r="Q80" i="79" s="1"/>
  <c r="F38" i="58" s="1"/>
  <c r="Q64" i="80"/>
  <c r="Q66" i="80" s="1"/>
  <c r="D196" i="69" l="1"/>
  <c r="D194" i="69"/>
  <c r="D181" i="69"/>
  <c r="D180" i="69"/>
  <c r="D145" i="69" l="1"/>
  <c r="D148" i="69"/>
  <c r="D60" i="69"/>
  <c r="D16" i="69"/>
  <c r="L41" i="59"/>
  <c r="J41" i="59"/>
  <c r="H41" i="59"/>
  <c r="L41" i="58"/>
  <c r="J41" i="58"/>
  <c r="H41" i="58"/>
  <c r="D48" i="69" l="1"/>
  <c r="D175" i="69"/>
  <c r="D20" i="69"/>
  <c r="D54" i="69"/>
  <c r="D21" i="69"/>
  <c r="D25" i="69"/>
  <c r="D32" i="69"/>
  <c r="D36" i="69"/>
  <c r="D43" i="69"/>
  <c r="D47" i="69"/>
  <c r="D55" i="69"/>
  <c r="D59" i="69"/>
  <c r="D23" i="69"/>
  <c r="D30" i="69"/>
  <c r="D34" i="69"/>
  <c r="D41" i="69"/>
  <c r="D45" i="69"/>
  <c r="D57" i="69"/>
  <c r="D24" i="69"/>
  <c r="D31" i="69"/>
  <c r="D35" i="69"/>
  <c r="D42" i="69"/>
  <c r="D46" i="69"/>
  <c r="D58" i="69"/>
  <c r="D22" i="69"/>
  <c r="D26" i="69"/>
  <c r="D33" i="69"/>
  <c r="D37" i="69"/>
  <c r="D44" i="69"/>
  <c r="D56" i="69"/>
  <c r="C25" i="68" l="1"/>
  <c r="D25" i="68" s="1"/>
  <c r="R39" i="59"/>
  <c r="J21" i="31"/>
  <c r="D39" i="59" l="1"/>
  <c r="G18" i="28"/>
  <c r="F39" i="59" s="1"/>
  <c r="H21" i="31"/>
  <c r="H28" i="31"/>
  <c r="H58" i="31"/>
  <c r="P39" i="59" l="1"/>
  <c r="N39" i="59"/>
  <c r="H18" i="28"/>
  <c r="D26" i="16" s="1"/>
  <c r="H60" i="31"/>
  <c r="A4" i="67" l="1"/>
  <c r="A22" i="40"/>
  <c r="A29" i="20"/>
  <c r="A4" i="25"/>
  <c r="A25" i="28"/>
  <c r="A4" i="26"/>
  <c r="A30" i="25"/>
  <c r="A29" i="26"/>
  <c r="A7" i="66" l="1"/>
  <c r="F52" i="31" l="1"/>
  <c r="F53" i="31"/>
  <c r="B477" i="13"/>
  <c r="F14" i="9" l="1"/>
  <c r="F13" i="9" l="1"/>
  <c r="C48" i="18" l="1"/>
  <c r="B48" i="18"/>
  <c r="D48" i="18" s="1"/>
  <c r="C18" i="18"/>
  <c r="B18" i="18"/>
  <c r="D18" i="18" s="1"/>
  <c r="C50" i="11"/>
  <c r="B50" i="11"/>
  <c r="D50" i="11" s="1"/>
  <c r="C19" i="11"/>
  <c r="B19" i="11"/>
  <c r="D19" i="11" s="1"/>
  <c r="B59" i="11"/>
  <c r="B58" i="11"/>
  <c r="D58" i="11" s="1"/>
  <c r="B55" i="11"/>
  <c r="D55" i="11" s="1"/>
  <c r="B54" i="11"/>
  <c r="D54" i="11" s="1"/>
  <c r="B53" i="11"/>
  <c r="D53" i="11" s="1"/>
  <c r="B52" i="11"/>
  <c r="D52" i="11" s="1"/>
  <c r="B47" i="11"/>
  <c r="D47" i="11" s="1"/>
  <c r="B46" i="11"/>
  <c r="D46" i="11" s="1"/>
  <c r="B45" i="11"/>
  <c r="D45" i="11" s="1"/>
  <c r="B44" i="11"/>
  <c r="D44" i="11" s="1"/>
  <c r="B43" i="11"/>
  <c r="D43" i="11" s="1"/>
  <c r="B23" i="18"/>
  <c r="D23" i="18" s="1"/>
  <c r="B22" i="18"/>
  <c r="D22" i="18" s="1"/>
  <c r="B21" i="18"/>
  <c r="B20" i="18"/>
  <c r="D20" i="18" s="1"/>
  <c r="B15" i="18"/>
  <c r="D15" i="18" s="1"/>
  <c r="B51" i="18" l="1"/>
  <c r="D51" i="18" s="1"/>
  <c r="D21" i="18"/>
  <c r="K44" i="11"/>
  <c r="B45" i="18"/>
  <c r="D45" i="18" s="1"/>
  <c r="B50" i="18"/>
  <c r="D50" i="18" s="1"/>
  <c r="B52" i="18"/>
  <c r="D52" i="18" s="1"/>
  <c r="B53" i="18"/>
  <c r="D53" i="18" s="1"/>
  <c r="C48" i="3" l="1"/>
  <c r="C47" i="3"/>
  <c r="C46" i="3"/>
  <c r="C45" i="3"/>
  <c r="C44" i="3"/>
  <c r="C43" i="3"/>
  <c r="C42" i="3"/>
  <c r="C41" i="3"/>
  <c r="C40" i="3"/>
  <c r="C39" i="3"/>
  <c r="C37" i="3"/>
  <c r="E9" i="83" s="1"/>
  <c r="C36" i="3"/>
  <c r="Q8" i="81" l="1"/>
  <c r="W8" i="82"/>
  <c r="W56" i="82" s="1"/>
  <c r="W8" i="80"/>
  <c r="W56" i="80" s="1"/>
  <c r="Q8" i="79"/>
  <c r="R2" i="58"/>
  <c r="R2" i="59"/>
  <c r="B27" i="18"/>
  <c r="B26" i="18"/>
  <c r="B14" i="18"/>
  <c r="D14" i="18" s="1"/>
  <c r="B13" i="18"/>
  <c r="D13" i="18" s="1"/>
  <c r="B12" i="18"/>
  <c r="O288" i="72"/>
  <c r="O287" i="72"/>
  <c r="O10" i="72"/>
  <c r="AF288" i="72"/>
  <c r="AF287" i="72"/>
  <c r="D96" i="31"/>
  <c r="E96" i="31" s="1"/>
  <c r="D114" i="31"/>
  <c r="E114" i="31" s="1"/>
  <c r="D116" i="31"/>
  <c r="E116" i="31" s="1"/>
  <c r="D112" i="31"/>
  <c r="E112" i="31" s="1"/>
  <c r="D115" i="31"/>
  <c r="E115" i="31" s="1"/>
  <c r="D113" i="31"/>
  <c r="E113" i="31" s="1"/>
  <c r="D118" i="31"/>
  <c r="E118" i="31" s="1"/>
  <c r="AG227" i="72"/>
  <c r="D106" i="31"/>
  <c r="E106" i="31" s="1"/>
  <c r="D105" i="31"/>
  <c r="E105" i="31" s="1"/>
  <c r="D104" i="31"/>
  <c r="E104" i="31" s="1"/>
  <c r="D103" i="31"/>
  <c r="E103" i="31" s="1"/>
  <c r="D101" i="31"/>
  <c r="E101" i="31" s="1"/>
  <c r="D100" i="31"/>
  <c r="E100" i="31" s="1"/>
  <c r="D102" i="31"/>
  <c r="D91" i="31"/>
  <c r="E91" i="31" s="1"/>
  <c r="D82" i="31"/>
  <c r="E82" i="31" s="1"/>
  <c r="D83" i="31"/>
  <c r="E83" i="31" s="1"/>
  <c r="D80" i="31"/>
  <c r="E80" i="31" s="1"/>
  <c r="D81" i="31"/>
  <c r="E81" i="31" s="1"/>
  <c r="D79" i="31"/>
  <c r="AG138" i="72"/>
  <c r="D52" i="31"/>
  <c r="D57" i="31"/>
  <c r="D56" i="31"/>
  <c r="D47" i="31"/>
  <c r="D44" i="31"/>
  <c r="E44" i="31" s="1"/>
  <c r="D43" i="31"/>
  <c r="E43" i="31" s="1"/>
  <c r="D42" i="31"/>
  <c r="E42" i="31" s="1"/>
  <c r="D41" i="31"/>
  <c r="E41" i="31" s="1"/>
  <c r="D40" i="31"/>
  <c r="E40" i="31" s="1"/>
  <c r="D39" i="31"/>
  <c r="E39" i="31" s="1"/>
  <c r="D46" i="31"/>
  <c r="E46" i="31" s="1"/>
  <c r="D34" i="31"/>
  <c r="D33" i="31"/>
  <c r="E33" i="31" s="1"/>
  <c r="D31" i="31"/>
  <c r="D27" i="31"/>
  <c r="E27" i="31" s="1"/>
  <c r="D24" i="31"/>
  <c r="E24" i="31" s="1"/>
  <c r="D20" i="31"/>
  <c r="AG32" i="72"/>
  <c r="AG12" i="72"/>
  <c r="AF10" i="72"/>
  <c r="D45" i="45"/>
  <c r="D44" i="45"/>
  <c r="D43" i="45"/>
  <c r="D31" i="45"/>
  <c r="D30" i="45"/>
  <c r="R6" i="45"/>
  <c r="D51" i="31" l="1"/>
  <c r="AG34" i="72"/>
  <c r="B56" i="18"/>
  <c r="D56" i="18" s="1"/>
  <c r="D26" i="18"/>
  <c r="AJ24" i="72"/>
  <c r="AJ26" i="72" s="1"/>
  <c r="D54" i="31"/>
  <c r="E54" i="31" s="1"/>
  <c r="D95" i="31"/>
  <c r="B57" i="18"/>
  <c r="D57" i="18" s="1"/>
  <c r="D27" i="18"/>
  <c r="B42" i="18"/>
  <c r="D42" i="18" s="1"/>
  <c r="D12" i="18"/>
  <c r="D53" i="31"/>
  <c r="D107" i="31"/>
  <c r="E107" i="31" s="1"/>
  <c r="D28" i="31"/>
  <c r="D36" i="31"/>
  <c r="E36" i="31" s="1"/>
  <c r="D37" i="31"/>
  <c r="E37" i="31" s="1"/>
  <c r="D55" i="31"/>
  <c r="D85" i="31"/>
  <c r="D88" i="31"/>
  <c r="D45" i="31"/>
  <c r="E45" i="31" s="1"/>
  <c r="AG272" i="72"/>
  <c r="D117" i="31"/>
  <c r="E117" i="31" s="1"/>
  <c r="R28" i="45"/>
  <c r="C12" i="40"/>
  <c r="C30" i="40"/>
  <c r="B44" i="18"/>
  <c r="D44" i="18" s="1"/>
  <c r="B43" i="18"/>
  <c r="D43" i="18" s="1"/>
  <c r="D48" i="31" l="1"/>
  <c r="D97" i="31"/>
  <c r="E95" i="31"/>
  <c r="D109" i="31"/>
  <c r="E108" i="31"/>
  <c r="D92" i="31"/>
  <c r="E88" i="31"/>
  <c r="K44" i="18"/>
  <c r="K14" i="18"/>
  <c r="R39" i="58"/>
  <c r="C25" i="67"/>
  <c r="D25" i="67" s="1"/>
  <c r="G40" i="28" l="1"/>
  <c r="F39" i="58" s="1"/>
  <c r="D39" i="58"/>
  <c r="K54" i="11"/>
  <c r="K56" i="18"/>
  <c r="H40" i="28" l="1"/>
  <c r="F26" i="16" s="1"/>
  <c r="P39" i="58"/>
  <c r="N39" i="58"/>
  <c r="F25" i="11" l="1"/>
  <c r="F24" i="18" l="1"/>
  <c r="K26" i="18"/>
  <c r="K27" i="18" s="1"/>
  <c r="K15" i="18" l="1"/>
  <c r="N14" i="18"/>
  <c r="K23" i="11"/>
  <c r="K24" i="11" s="1"/>
  <c r="I96" i="19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72" i="69"/>
  <c r="A13" i="69"/>
  <c r="A14" i="69" s="1"/>
  <c r="A15" i="69" s="1"/>
  <c r="A16" i="69" s="1"/>
  <c r="A18" i="69" s="1"/>
  <c r="A19" i="69" s="1"/>
  <c r="A20" i="69" s="1"/>
  <c r="A7" i="69"/>
  <c r="A128" i="69" s="1"/>
  <c r="A4" i="69"/>
  <c r="A125" i="69" s="1"/>
  <c r="A2" i="69"/>
  <c r="A62" i="69" s="1"/>
  <c r="A1" i="69"/>
  <c r="A61" i="69" s="1"/>
  <c r="A184" i="69" l="1"/>
  <c r="A183" i="69"/>
  <c r="A189" i="69"/>
  <c r="A64" i="69"/>
  <c r="A186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203" i="69" s="1"/>
  <c r="A75" i="69"/>
  <c r="A76" i="69" s="1"/>
  <c r="A77" i="69" s="1"/>
  <c r="A78" i="69" s="1"/>
  <c r="A79" i="69" s="1"/>
  <c r="A80" i="69" s="1"/>
  <c r="A81" i="69" s="1"/>
  <c r="A82" i="69" s="1"/>
  <c r="A13" i="30"/>
  <c r="A14" i="30" l="1"/>
  <c r="A15" i="30" s="1"/>
  <c r="A16" i="30" s="1"/>
  <c r="D21" i="68"/>
  <c r="A18" i="30" l="1"/>
  <c r="A19" i="30" s="1"/>
  <c r="A20" i="30" s="1"/>
  <c r="A4" i="68"/>
  <c r="F25" i="68"/>
  <c r="E25" i="68"/>
  <c r="E14" i="68"/>
  <c r="A7" i="68"/>
  <c r="A2" i="68"/>
  <c r="A1" i="68"/>
  <c r="F25" i="67"/>
  <c r="E25" i="67"/>
  <c r="E14" i="67"/>
  <c r="A7" i="67"/>
  <c r="A2" i="67"/>
  <c r="A1" i="67"/>
  <c r="A21" i="30" l="1"/>
  <c r="A23" i="30" s="1"/>
  <c r="A24" i="30" s="1"/>
  <c r="A22" i="30"/>
  <c r="G14" i="68"/>
  <c r="G14" i="67"/>
  <c r="B2" i="58"/>
  <c r="B2" i="59"/>
  <c r="A25" i="30" l="1"/>
  <c r="A26" i="30" s="1"/>
  <c r="A27" i="30" s="1"/>
  <c r="A29" i="30" s="1"/>
  <c r="P118" i="66"/>
  <c r="P117" i="66"/>
  <c r="P116" i="66"/>
  <c r="P115" i="66"/>
  <c r="P114" i="66"/>
  <c r="P113" i="66"/>
  <c r="P112" i="66"/>
  <c r="P108" i="66"/>
  <c r="P107" i="66"/>
  <c r="P106" i="66"/>
  <c r="P105" i="66"/>
  <c r="P104" i="66"/>
  <c r="P103" i="66"/>
  <c r="P102" i="66"/>
  <c r="P101" i="66"/>
  <c r="P100" i="66"/>
  <c r="P96" i="66"/>
  <c r="P95" i="66"/>
  <c r="P91" i="66"/>
  <c r="P89" i="66"/>
  <c r="P88" i="66"/>
  <c r="P84" i="66"/>
  <c r="P83" i="66"/>
  <c r="P82" i="66"/>
  <c r="P81" i="66"/>
  <c r="P80" i="66"/>
  <c r="P79" i="66"/>
  <c r="P57" i="66"/>
  <c r="P56" i="66"/>
  <c r="P55" i="66"/>
  <c r="P54" i="66"/>
  <c r="P53" i="66"/>
  <c r="P52" i="66"/>
  <c r="P51" i="66"/>
  <c r="P47" i="66"/>
  <c r="P46" i="66"/>
  <c r="P45" i="66"/>
  <c r="P44" i="66"/>
  <c r="P43" i="66"/>
  <c r="P42" i="66"/>
  <c r="P41" i="66"/>
  <c r="P40" i="66"/>
  <c r="P39" i="66"/>
  <c r="P37" i="66"/>
  <c r="P36" i="66"/>
  <c r="P35" i="66"/>
  <c r="P34" i="66"/>
  <c r="P33" i="66"/>
  <c r="P32" i="66"/>
  <c r="P31" i="66"/>
  <c r="P48" i="66" s="1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8" i="66"/>
  <c r="N117" i="66"/>
  <c r="N116" i="66"/>
  <c r="N115" i="66"/>
  <c r="N114" i="66"/>
  <c r="N113" i="66"/>
  <c r="N112" i="66"/>
  <c r="N108" i="66"/>
  <c r="N107" i="66"/>
  <c r="N106" i="66"/>
  <c r="N105" i="66"/>
  <c r="N104" i="66"/>
  <c r="N103" i="66"/>
  <c r="N102" i="66"/>
  <c r="N101" i="66"/>
  <c r="N100" i="66"/>
  <c r="N96" i="66"/>
  <c r="N95" i="66"/>
  <c r="N91" i="66"/>
  <c r="O91" i="66" s="1"/>
  <c r="N89" i="66"/>
  <c r="N88" i="66"/>
  <c r="N84" i="66"/>
  <c r="N83" i="66"/>
  <c r="O83" i="66" s="1"/>
  <c r="N82" i="66"/>
  <c r="N81" i="66"/>
  <c r="O81" i="66" s="1"/>
  <c r="N80" i="66"/>
  <c r="O80" i="66" s="1"/>
  <c r="N79" i="66"/>
  <c r="N57" i="66"/>
  <c r="O57" i="66" s="1"/>
  <c r="N56" i="66"/>
  <c r="O56" i="66" s="1"/>
  <c r="N55" i="66"/>
  <c r="O55" i="66" s="1"/>
  <c r="N54" i="66"/>
  <c r="N53" i="66"/>
  <c r="O53" i="66" s="1"/>
  <c r="N52" i="66"/>
  <c r="O52" i="66" s="1"/>
  <c r="N51" i="66"/>
  <c r="N47" i="66"/>
  <c r="N46" i="66"/>
  <c r="O46" i="66" s="1"/>
  <c r="N45" i="66"/>
  <c r="O45" i="66" s="1"/>
  <c r="N44" i="66"/>
  <c r="O44" i="66" s="1"/>
  <c r="N43" i="66"/>
  <c r="O43" i="66" s="1"/>
  <c r="N42" i="66"/>
  <c r="O42" i="66" s="1"/>
  <c r="N41" i="66"/>
  <c r="O41" i="66" s="1"/>
  <c r="N40" i="66"/>
  <c r="O40" i="66" s="1"/>
  <c r="N39" i="66"/>
  <c r="O39" i="66" s="1"/>
  <c r="N37" i="66"/>
  <c r="O37" i="66" s="1"/>
  <c r="N36" i="66"/>
  <c r="O36" i="66" s="1"/>
  <c r="N35" i="66"/>
  <c r="O35" i="66" s="1"/>
  <c r="N34" i="66"/>
  <c r="O34" i="66" s="1"/>
  <c r="N33" i="66"/>
  <c r="O33" i="66" s="1"/>
  <c r="N32" i="66"/>
  <c r="N31" i="66"/>
  <c r="N27" i="66"/>
  <c r="N26" i="66"/>
  <c r="N25" i="66"/>
  <c r="N24" i="66"/>
  <c r="N20" i="66"/>
  <c r="N18" i="66"/>
  <c r="N17" i="66"/>
  <c r="N48" i="66" l="1"/>
  <c r="O82" i="66"/>
  <c r="M82" i="66"/>
  <c r="A40" i="30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8" i="66"/>
  <c r="L117" i="66"/>
  <c r="L116" i="66"/>
  <c r="L115" i="66"/>
  <c r="L114" i="66"/>
  <c r="L113" i="66"/>
  <c r="L112" i="66"/>
  <c r="L108" i="66"/>
  <c r="L107" i="66"/>
  <c r="L106" i="66"/>
  <c r="L105" i="66"/>
  <c r="L104" i="66"/>
  <c r="L103" i="66"/>
  <c r="L102" i="66"/>
  <c r="L101" i="66"/>
  <c r="L100" i="66"/>
  <c r="M100" i="66" s="1"/>
  <c r="L96" i="66"/>
  <c r="L95" i="66"/>
  <c r="L91" i="66"/>
  <c r="M91" i="66" s="1"/>
  <c r="L89" i="66"/>
  <c r="L88" i="66"/>
  <c r="L84" i="66"/>
  <c r="L83" i="66"/>
  <c r="M83" i="66" s="1"/>
  <c r="L81" i="66"/>
  <c r="M81" i="66" s="1"/>
  <c r="L80" i="66"/>
  <c r="M80" i="66" s="1"/>
  <c r="L79" i="66"/>
  <c r="L57" i="66"/>
  <c r="M57" i="66" s="1"/>
  <c r="L56" i="66"/>
  <c r="M56" i="66" s="1"/>
  <c r="L55" i="66"/>
  <c r="M55" i="66" s="1"/>
  <c r="L54" i="66"/>
  <c r="L53" i="66"/>
  <c r="M53" i="66" s="1"/>
  <c r="L52" i="66"/>
  <c r="M52" i="66" s="1"/>
  <c r="L51" i="66"/>
  <c r="L47" i="66"/>
  <c r="L46" i="66"/>
  <c r="L45" i="66"/>
  <c r="L44" i="66"/>
  <c r="L43" i="66"/>
  <c r="L42" i="66"/>
  <c r="L41" i="66"/>
  <c r="L40" i="66"/>
  <c r="L39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M37" i="66" l="1"/>
  <c r="K37" i="66"/>
  <c r="M46" i="66"/>
  <c r="K46" i="66"/>
  <c r="M39" i="66"/>
  <c r="L48" i="66"/>
  <c r="M48" i="66" s="1"/>
  <c r="M40" i="66"/>
  <c r="K40" i="66"/>
  <c r="M41" i="66"/>
  <c r="K41" i="66"/>
  <c r="M42" i="66"/>
  <c r="K42" i="66"/>
  <c r="M36" i="66"/>
  <c r="K36" i="66"/>
  <c r="M33" i="66"/>
  <c r="K33" i="66"/>
  <c r="M34" i="66"/>
  <c r="K34" i="66"/>
  <c r="M43" i="66"/>
  <c r="K43" i="66"/>
  <c r="M45" i="66"/>
  <c r="K45" i="66"/>
  <c r="M35" i="66"/>
  <c r="K35" i="66"/>
  <c r="M44" i="66"/>
  <c r="K44" i="66"/>
  <c r="A52" i="30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8" i="66"/>
  <c r="J117" i="66"/>
  <c r="J116" i="66"/>
  <c r="J115" i="66"/>
  <c r="J114" i="66"/>
  <c r="J113" i="66"/>
  <c r="J112" i="66"/>
  <c r="J108" i="66"/>
  <c r="J107" i="66"/>
  <c r="J106" i="66"/>
  <c r="J105" i="66"/>
  <c r="J104" i="66"/>
  <c r="J103" i="66"/>
  <c r="J102" i="66"/>
  <c r="J101" i="66"/>
  <c r="J100" i="66"/>
  <c r="K100" i="66" s="1"/>
  <c r="J96" i="66"/>
  <c r="J95" i="66"/>
  <c r="J91" i="66"/>
  <c r="K91" i="66" s="1"/>
  <c r="J89" i="66"/>
  <c r="J88" i="66"/>
  <c r="J84" i="66"/>
  <c r="J83" i="66"/>
  <c r="K83" i="66" s="1"/>
  <c r="J81" i="66"/>
  <c r="K81" i="66" s="1"/>
  <c r="J80" i="66"/>
  <c r="K80" i="66" s="1"/>
  <c r="J79" i="66"/>
  <c r="J57" i="66"/>
  <c r="K57" i="66" s="1"/>
  <c r="J56" i="66"/>
  <c r="K56" i="66" s="1"/>
  <c r="J55" i="66"/>
  <c r="K55" i="66" s="1"/>
  <c r="J54" i="66"/>
  <c r="J53" i="66"/>
  <c r="K53" i="66" s="1"/>
  <c r="J52" i="66"/>
  <c r="K52" i="66" s="1"/>
  <c r="J51" i="66"/>
  <c r="J31" i="66"/>
  <c r="J48" i="66" s="1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8" i="66"/>
  <c r="H117" i="66"/>
  <c r="H116" i="66"/>
  <c r="H115" i="66"/>
  <c r="H114" i="66"/>
  <c r="H113" i="66"/>
  <c r="H112" i="66"/>
  <c r="H108" i="66"/>
  <c r="H107" i="66"/>
  <c r="H106" i="66"/>
  <c r="H105" i="66"/>
  <c r="H104" i="66"/>
  <c r="H103" i="66"/>
  <c r="H102" i="66"/>
  <c r="H101" i="66"/>
  <c r="H100" i="66"/>
  <c r="H96" i="66"/>
  <c r="H95" i="66"/>
  <c r="H91" i="66"/>
  <c r="H89" i="66"/>
  <c r="H88" i="66"/>
  <c r="H84" i="66"/>
  <c r="H83" i="66"/>
  <c r="H81" i="66"/>
  <c r="H80" i="66"/>
  <c r="H79" i="66"/>
  <c r="H57" i="66"/>
  <c r="H56" i="66"/>
  <c r="H55" i="66"/>
  <c r="H54" i="66"/>
  <c r="H53" i="66"/>
  <c r="H52" i="66"/>
  <c r="H51" i="66"/>
  <c r="H47" i="66"/>
  <c r="H46" i="66"/>
  <c r="H45" i="66"/>
  <c r="H44" i="66"/>
  <c r="H43" i="66"/>
  <c r="H42" i="66"/>
  <c r="H41" i="66"/>
  <c r="H40" i="66"/>
  <c r="H39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G116" i="66" l="1"/>
  <c r="I116" i="66"/>
  <c r="I113" i="66"/>
  <c r="G113" i="66"/>
  <c r="G115" i="66"/>
  <c r="I115" i="66"/>
  <c r="G117" i="66"/>
  <c r="G118" i="66"/>
  <c r="I118" i="66"/>
  <c r="G114" i="66"/>
  <c r="I114" i="66"/>
  <c r="G107" i="66"/>
  <c r="I107" i="66"/>
  <c r="I108" i="66"/>
  <c r="G108" i="66"/>
  <c r="G104" i="66"/>
  <c r="I104" i="66"/>
  <c r="I105" i="66"/>
  <c r="G105" i="66"/>
  <c r="G101" i="66"/>
  <c r="I101" i="66"/>
  <c r="I106" i="66"/>
  <c r="G106" i="66"/>
  <c r="I53" i="66"/>
  <c r="G53" i="66"/>
  <c r="I35" i="66"/>
  <c r="G35" i="66"/>
  <c r="I44" i="66"/>
  <c r="G44" i="66"/>
  <c r="I55" i="66"/>
  <c r="G55" i="66"/>
  <c r="I83" i="66"/>
  <c r="G83" i="66"/>
  <c r="I43" i="66"/>
  <c r="G43" i="66"/>
  <c r="I36" i="66"/>
  <c r="G36" i="66"/>
  <c r="I45" i="66"/>
  <c r="G45" i="66"/>
  <c r="I56" i="66"/>
  <c r="G56" i="66"/>
  <c r="I91" i="66"/>
  <c r="G91" i="66"/>
  <c r="I33" i="66"/>
  <c r="G33" i="66"/>
  <c r="I34" i="66"/>
  <c r="G34" i="66"/>
  <c r="I37" i="66"/>
  <c r="G37" i="66"/>
  <c r="I39" i="66"/>
  <c r="G39" i="66"/>
  <c r="I42" i="66"/>
  <c r="G42" i="66"/>
  <c r="G54" i="66"/>
  <c r="I46" i="66"/>
  <c r="G46" i="66"/>
  <c r="I57" i="66"/>
  <c r="G57" i="66"/>
  <c r="H48" i="66"/>
  <c r="I40" i="66"/>
  <c r="G40" i="66"/>
  <c r="I80" i="66"/>
  <c r="G80" i="66"/>
  <c r="I41" i="66"/>
  <c r="G41" i="66"/>
  <c r="I52" i="66"/>
  <c r="G52" i="66"/>
  <c r="I81" i="66"/>
  <c r="G81" i="66"/>
  <c r="A85" i="30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E51" i="66"/>
  <c r="E20" i="66"/>
  <c r="P119" i="66"/>
  <c r="N119" i="66"/>
  <c r="L119" i="66"/>
  <c r="J119" i="66"/>
  <c r="H119" i="66"/>
  <c r="O112" i="66"/>
  <c r="M112" i="66"/>
  <c r="K112" i="66"/>
  <c r="I112" i="66"/>
  <c r="G112" i="66"/>
  <c r="E112" i="66"/>
  <c r="P109" i="66"/>
  <c r="N109" i="66"/>
  <c r="L109" i="66"/>
  <c r="J109" i="66"/>
  <c r="H109" i="66"/>
  <c r="G109" i="66" s="1"/>
  <c r="I100" i="66"/>
  <c r="G100" i="66"/>
  <c r="P97" i="66"/>
  <c r="N97" i="66"/>
  <c r="L97" i="66"/>
  <c r="J97" i="66"/>
  <c r="H97" i="66"/>
  <c r="G97" i="66" s="1"/>
  <c r="O96" i="66"/>
  <c r="M96" i="66"/>
  <c r="K96" i="66"/>
  <c r="I96" i="66"/>
  <c r="G96" i="66"/>
  <c r="E96" i="66"/>
  <c r="O95" i="66"/>
  <c r="M95" i="66"/>
  <c r="K95" i="66"/>
  <c r="I95" i="66"/>
  <c r="G95" i="66"/>
  <c r="E95" i="66"/>
  <c r="P92" i="66"/>
  <c r="N92" i="66"/>
  <c r="L92" i="66"/>
  <c r="J92" i="66"/>
  <c r="H92" i="66"/>
  <c r="O88" i="66"/>
  <c r="M88" i="66"/>
  <c r="K88" i="66"/>
  <c r="I88" i="66"/>
  <c r="P85" i="66"/>
  <c r="N85" i="66"/>
  <c r="L85" i="66"/>
  <c r="J85" i="66"/>
  <c r="H85" i="66"/>
  <c r="O79" i="66"/>
  <c r="M79" i="66"/>
  <c r="K79" i="66"/>
  <c r="I79" i="66"/>
  <c r="G79" i="66"/>
  <c r="E79" i="66"/>
  <c r="A78" i="66"/>
  <c r="A79" i="66" s="1"/>
  <c r="A80" i="66" s="1"/>
  <c r="A81" i="66" s="1"/>
  <c r="A82" i="66" s="1"/>
  <c r="A83" i="66" s="1"/>
  <c r="A84" i="66" s="1"/>
  <c r="A85" i="66" s="1"/>
  <c r="A87" i="66" s="1"/>
  <c r="A88" i="66" s="1"/>
  <c r="A89" i="66" s="1"/>
  <c r="A92" i="66" s="1"/>
  <c r="A94" i="66" s="1"/>
  <c r="A95" i="66" s="1"/>
  <c r="A96" i="66" s="1"/>
  <c r="A97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1" i="66" s="1"/>
  <c r="A123" i="66" s="1"/>
  <c r="P74" i="66"/>
  <c r="N74" i="66"/>
  <c r="L74" i="66"/>
  <c r="J74" i="66"/>
  <c r="H74" i="66"/>
  <c r="A70" i="66"/>
  <c r="A68" i="66"/>
  <c r="A66" i="66"/>
  <c r="A65" i="66"/>
  <c r="P58" i="66"/>
  <c r="N58" i="66"/>
  <c r="L58" i="66"/>
  <c r="J58" i="66"/>
  <c r="H58" i="66"/>
  <c r="O51" i="66"/>
  <c r="M51" i="66"/>
  <c r="K51" i="66"/>
  <c r="I51" i="66"/>
  <c r="G51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6" i="66"/>
  <c r="A17" i="66" s="1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69" i="66"/>
  <c r="A2" i="66"/>
  <c r="A64" i="66" s="1"/>
  <c r="A1" i="66"/>
  <c r="A63" i="66" s="1"/>
  <c r="A36" i="66" l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50" i="66" s="1"/>
  <c r="A51" i="66" s="1"/>
  <c r="A52" i="66" s="1"/>
  <c r="A53" i="66" s="1"/>
  <c r="A54" i="66" s="1"/>
  <c r="A55" i="66" s="1"/>
  <c r="A56" i="66" s="1"/>
  <c r="A57" i="66" s="1"/>
  <c r="A58" i="66" s="1"/>
  <c r="A60" i="66" s="1"/>
  <c r="I119" i="66"/>
  <c r="I92" i="66"/>
  <c r="G58" i="66"/>
  <c r="O58" i="66"/>
  <c r="K85" i="66"/>
  <c r="I109" i="66"/>
  <c r="M85" i="66"/>
  <c r="O92" i="66"/>
  <c r="K109" i="66"/>
  <c r="P60" i="66"/>
  <c r="K58" i="66"/>
  <c r="M119" i="66"/>
  <c r="A100" i="30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9" i="66"/>
  <c r="M109" i="66"/>
  <c r="O119" i="66"/>
  <c r="P121" i="66"/>
  <c r="O85" i="66"/>
  <c r="M92" i="66"/>
  <c r="N60" i="66"/>
  <c r="O19" i="66"/>
  <c r="M21" i="66"/>
  <c r="K119" i="66"/>
  <c r="K92" i="66"/>
  <c r="M19" i="66"/>
  <c r="K19" i="66"/>
  <c r="I85" i="66"/>
  <c r="I48" i="66"/>
  <c r="I19" i="66"/>
  <c r="L60" i="66"/>
  <c r="G92" i="66"/>
  <c r="G88" i="66"/>
  <c r="N121" i="66"/>
  <c r="O97" i="66"/>
  <c r="E18" i="66"/>
  <c r="J21" i="66"/>
  <c r="I21" i="66" s="1"/>
  <c r="K48" i="66"/>
  <c r="E58" i="66"/>
  <c r="M58" i="66"/>
  <c r="I97" i="66"/>
  <c r="H121" i="66"/>
  <c r="G18" i="66"/>
  <c r="H60" i="66"/>
  <c r="J121" i="66"/>
  <c r="K97" i="66"/>
  <c r="O21" i="66"/>
  <c r="G48" i="66"/>
  <c r="O48" i="66"/>
  <c r="I58" i="66"/>
  <c r="E88" i="66"/>
  <c r="E92" i="66"/>
  <c r="E97" i="66"/>
  <c r="M97" i="66"/>
  <c r="L121" i="66"/>
  <c r="E109" i="66"/>
  <c r="G119" i="66"/>
  <c r="O60" i="66" l="1"/>
  <c r="P123" i="66"/>
  <c r="A115" i="30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A203" i="30" s="1"/>
  <c r="O121" i="66"/>
  <c r="I121" i="66"/>
  <c r="E119" i="66"/>
  <c r="H123" i="66"/>
  <c r="M121" i="66"/>
  <c r="E48" i="66"/>
  <c r="F121" i="66"/>
  <c r="G121" i="66" s="1"/>
  <c r="G85" i="66"/>
  <c r="G17" i="66"/>
  <c r="K21" i="66"/>
  <c r="J60" i="66"/>
  <c r="I60" i="66" s="1"/>
  <c r="D121" i="66"/>
  <c r="E85" i="66"/>
  <c r="K121" i="66"/>
  <c r="E17" i="66"/>
  <c r="M60" i="66"/>
  <c r="L123" i="66"/>
  <c r="N123" i="66"/>
  <c r="E121" i="66" l="1"/>
  <c r="G19" i="66"/>
  <c r="E19" i="66"/>
  <c r="K60" i="66"/>
  <c r="J123" i="66"/>
  <c r="R37" i="58"/>
  <c r="R37" i="59"/>
  <c r="E21" i="66" l="1"/>
  <c r="D60" i="66"/>
  <c r="G21" i="66"/>
  <c r="F60" i="66"/>
  <c r="O5" i="65"/>
  <c r="C20" i="26" s="1"/>
  <c r="E19" i="25" s="1"/>
  <c r="AF5" i="65"/>
  <c r="C45" i="26" s="1"/>
  <c r="E45" i="25" s="1"/>
  <c r="D21" i="67" l="1"/>
  <c r="O7" i="65"/>
  <c r="E20" i="26" s="1"/>
  <c r="G19" i="25" s="1"/>
  <c r="AF7" i="65"/>
  <c r="E45" i="26" s="1"/>
  <c r="G45" i="25" s="1"/>
  <c r="F123" i="66"/>
  <c r="G60" i="66"/>
  <c r="E60" i="66"/>
  <c r="D123" i="66"/>
  <c r="A232" i="64"/>
  <c r="A230" i="64"/>
  <c r="A176" i="64"/>
  <c r="A174" i="64"/>
  <c r="A120" i="64"/>
  <c r="A118" i="64"/>
  <c r="A64" i="64"/>
  <c r="A62" i="64"/>
  <c r="A7" i="64"/>
  <c r="A343" i="64" s="1"/>
  <c r="A2" i="64"/>
  <c r="A338" i="64" s="1"/>
  <c r="A1" i="64"/>
  <c r="A337" i="64" s="1"/>
  <c r="A4" i="64"/>
  <c r="A340" i="64" s="1"/>
  <c r="O273" i="64"/>
  <c r="M273" i="64"/>
  <c r="J273" i="64"/>
  <c r="O272" i="64"/>
  <c r="M272" i="64"/>
  <c r="J272" i="64"/>
  <c r="O271" i="64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M255" i="64"/>
  <c r="J255" i="64"/>
  <c r="O254" i="64"/>
  <c r="M254" i="64"/>
  <c r="J254" i="64"/>
  <c r="O253" i="64"/>
  <c r="M253" i="64"/>
  <c r="J253" i="64"/>
  <c r="O252" i="64"/>
  <c r="M252" i="64"/>
  <c r="J252" i="64"/>
  <c r="O251" i="64"/>
  <c r="M251" i="64"/>
  <c r="J251" i="64"/>
  <c r="O250" i="64"/>
  <c r="M250" i="64"/>
  <c r="J250" i="64"/>
  <c r="O249" i="64"/>
  <c r="M249" i="64"/>
  <c r="J249" i="64"/>
  <c r="O248" i="64"/>
  <c r="M248" i="64"/>
  <c r="J248" i="64"/>
  <c r="O247" i="64"/>
  <c r="M247" i="64"/>
  <c r="J247" i="64"/>
  <c r="O246" i="64"/>
  <c r="M246" i="64"/>
  <c r="J246" i="64"/>
  <c r="O245" i="64"/>
  <c r="M245" i="64"/>
  <c r="J245" i="64"/>
  <c r="O244" i="64"/>
  <c r="M244" i="64"/>
  <c r="J244" i="64"/>
  <c r="O243" i="64"/>
  <c r="M243" i="64"/>
  <c r="J243" i="64"/>
  <c r="O242" i="64"/>
  <c r="M242" i="64"/>
  <c r="J242" i="64"/>
  <c r="O241" i="64"/>
  <c r="M241" i="64"/>
  <c r="J241" i="64"/>
  <c r="O240" i="64"/>
  <c r="M240" i="64"/>
  <c r="J240" i="64"/>
  <c r="O239" i="64"/>
  <c r="M239" i="64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J214" i="64"/>
  <c r="O213" i="64"/>
  <c r="M213" i="64"/>
  <c r="J213" i="64"/>
  <c r="O212" i="64"/>
  <c r="M212" i="64"/>
  <c r="J212" i="64"/>
  <c r="O211" i="64"/>
  <c r="M211" i="64"/>
  <c r="J211" i="64"/>
  <c r="O210" i="64"/>
  <c r="M210" i="64"/>
  <c r="J210" i="64"/>
  <c r="O209" i="64"/>
  <c r="M209" i="64"/>
  <c r="J209" i="64"/>
  <c r="O208" i="64"/>
  <c r="M208" i="64"/>
  <c r="J208" i="64"/>
  <c r="O207" i="64"/>
  <c r="M207" i="64"/>
  <c r="J207" i="64"/>
  <c r="O206" i="64"/>
  <c r="M206" i="64"/>
  <c r="J206" i="64"/>
  <c r="O205" i="64"/>
  <c r="M205" i="64"/>
  <c r="J205" i="64"/>
  <c r="O204" i="64"/>
  <c r="M204" i="64"/>
  <c r="J204" i="64"/>
  <c r="O203" i="64"/>
  <c r="M203" i="64"/>
  <c r="J203" i="64"/>
  <c r="O202" i="64"/>
  <c r="M202" i="64"/>
  <c r="J202" i="64"/>
  <c r="O201" i="64"/>
  <c r="M201" i="64"/>
  <c r="J201" i="64"/>
  <c r="O200" i="64"/>
  <c r="M200" i="64"/>
  <c r="J200" i="64"/>
  <c r="O199" i="64"/>
  <c r="M199" i="64"/>
  <c r="J199" i="64"/>
  <c r="O198" i="64"/>
  <c r="M198" i="64"/>
  <c r="J198" i="64"/>
  <c r="O197" i="64"/>
  <c r="M197" i="64"/>
  <c r="J197" i="64"/>
  <c r="O196" i="64"/>
  <c r="M196" i="64"/>
  <c r="J196" i="64"/>
  <c r="O195" i="64"/>
  <c r="M195" i="64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J185" i="64"/>
  <c r="O184" i="64"/>
  <c r="M184" i="64"/>
  <c r="J184" i="64"/>
  <c r="O183" i="64"/>
  <c r="M183" i="64"/>
  <c r="J183" i="64"/>
  <c r="O182" i="64"/>
  <c r="M182" i="64"/>
  <c r="J182" i="64"/>
  <c r="O181" i="64"/>
  <c r="M181" i="64"/>
  <c r="J181" i="64"/>
  <c r="O168" i="64"/>
  <c r="M168" i="64"/>
  <c r="O167" i="64"/>
  <c r="M167" i="64"/>
  <c r="O166" i="64"/>
  <c r="M166" i="64"/>
  <c r="O165" i="64"/>
  <c r="M165" i="64"/>
  <c r="O164" i="64"/>
  <c r="M164" i="64"/>
  <c r="O163" i="64"/>
  <c r="M163" i="64"/>
  <c r="O162" i="64"/>
  <c r="M162" i="64"/>
  <c r="O161" i="64"/>
  <c r="M161" i="64"/>
  <c r="O160" i="64"/>
  <c r="M160" i="64"/>
  <c r="O159" i="64"/>
  <c r="M159" i="64"/>
  <c r="O158" i="64"/>
  <c r="M158" i="64"/>
  <c r="O157" i="64"/>
  <c r="M157" i="64"/>
  <c r="O156" i="64"/>
  <c r="M156" i="64"/>
  <c r="O155" i="64"/>
  <c r="M155" i="64"/>
  <c r="O154" i="64"/>
  <c r="M154" i="64"/>
  <c r="O153" i="64"/>
  <c r="M153" i="64"/>
  <c r="O152" i="64"/>
  <c r="M152" i="64"/>
  <c r="O151" i="64"/>
  <c r="M151" i="64"/>
  <c r="O150" i="64"/>
  <c r="M150" i="64"/>
  <c r="O149" i="64"/>
  <c r="M149" i="64"/>
  <c r="O148" i="64"/>
  <c r="M148" i="64"/>
  <c r="O147" i="64"/>
  <c r="M147" i="64"/>
  <c r="O146" i="64"/>
  <c r="M146" i="64"/>
  <c r="O145" i="64"/>
  <c r="M145" i="64"/>
  <c r="O144" i="64"/>
  <c r="M144" i="64"/>
  <c r="O143" i="64"/>
  <c r="M143" i="64"/>
  <c r="O142" i="64"/>
  <c r="M142" i="64"/>
  <c r="O141" i="64"/>
  <c r="M141" i="64"/>
  <c r="O140" i="64"/>
  <c r="M140" i="64"/>
  <c r="O139" i="64"/>
  <c r="M139" i="64"/>
  <c r="O138" i="64"/>
  <c r="M138" i="64"/>
  <c r="O137" i="64"/>
  <c r="M137" i="64"/>
  <c r="O136" i="64"/>
  <c r="M136" i="64"/>
  <c r="O135" i="64"/>
  <c r="M135" i="64"/>
  <c r="O134" i="64"/>
  <c r="M134" i="64"/>
  <c r="O133" i="64"/>
  <c r="M133" i="64"/>
  <c r="O132" i="64"/>
  <c r="M132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M104" i="64"/>
  <c r="O103" i="64"/>
  <c r="M103" i="64"/>
  <c r="O102" i="64"/>
  <c r="M102" i="64"/>
  <c r="O101" i="64"/>
  <c r="M101" i="64"/>
  <c r="O100" i="64"/>
  <c r="M100" i="64"/>
  <c r="O99" i="64"/>
  <c r="M99" i="64"/>
  <c r="O98" i="64"/>
  <c r="M98" i="64"/>
  <c r="O97" i="64"/>
  <c r="M97" i="64"/>
  <c r="O96" i="64"/>
  <c r="M96" i="64"/>
  <c r="O95" i="64"/>
  <c r="M95" i="64"/>
  <c r="O94" i="64"/>
  <c r="M94" i="64"/>
  <c r="O93" i="64"/>
  <c r="M93" i="64"/>
  <c r="O92" i="64"/>
  <c r="M92" i="64"/>
  <c r="O91" i="64"/>
  <c r="M91" i="64"/>
  <c r="O90" i="64"/>
  <c r="M90" i="64"/>
  <c r="O89" i="64"/>
  <c r="M89" i="64"/>
  <c r="O88" i="64"/>
  <c r="M88" i="64"/>
  <c r="O87" i="64"/>
  <c r="M87" i="64"/>
  <c r="O86" i="64"/>
  <c r="M86" i="64"/>
  <c r="O85" i="64"/>
  <c r="M85" i="64"/>
  <c r="O84" i="64"/>
  <c r="M84" i="64"/>
  <c r="O83" i="64"/>
  <c r="M83" i="64"/>
  <c r="O82" i="64"/>
  <c r="M82" i="64"/>
  <c r="O81" i="64"/>
  <c r="M81" i="64"/>
  <c r="O80" i="64"/>
  <c r="M80" i="64"/>
  <c r="O79" i="64"/>
  <c r="M79" i="64"/>
  <c r="O78" i="64"/>
  <c r="M78" i="64"/>
  <c r="O77" i="64"/>
  <c r="M77" i="64"/>
  <c r="O76" i="64"/>
  <c r="M76" i="64"/>
  <c r="O75" i="64"/>
  <c r="M75" i="64"/>
  <c r="O74" i="64"/>
  <c r="M74" i="64"/>
  <c r="O73" i="64"/>
  <c r="M73" i="64"/>
  <c r="O72" i="64"/>
  <c r="M72" i="64"/>
  <c r="O71" i="64"/>
  <c r="M71" i="64"/>
  <c r="O70" i="64"/>
  <c r="M70" i="64"/>
  <c r="O69" i="64"/>
  <c r="M69" i="64"/>
  <c r="O56" i="64"/>
  <c r="M56" i="64"/>
  <c r="O55" i="64"/>
  <c r="M55" i="64"/>
  <c r="O54" i="64"/>
  <c r="M54" i="64"/>
  <c r="O53" i="64"/>
  <c r="M53" i="64"/>
  <c r="O52" i="64"/>
  <c r="M52" i="64"/>
  <c r="O51" i="64"/>
  <c r="M51" i="64"/>
  <c r="O50" i="64"/>
  <c r="M50" i="64"/>
  <c r="O49" i="64"/>
  <c r="M49" i="64"/>
  <c r="O48" i="64"/>
  <c r="M48" i="64"/>
  <c r="O47" i="64"/>
  <c r="M47" i="64"/>
  <c r="O46" i="64"/>
  <c r="M46" i="64"/>
  <c r="O45" i="64"/>
  <c r="M45" i="64"/>
  <c r="O44" i="64"/>
  <c r="M44" i="64"/>
  <c r="O43" i="64"/>
  <c r="M43" i="64"/>
  <c r="O42" i="64"/>
  <c r="M42" i="64"/>
  <c r="O41" i="64"/>
  <c r="M41" i="64"/>
  <c r="O40" i="64"/>
  <c r="M40" i="64"/>
  <c r="O39" i="64"/>
  <c r="M39" i="64"/>
  <c r="O38" i="64"/>
  <c r="M38" i="64"/>
  <c r="O37" i="64"/>
  <c r="M37" i="64"/>
  <c r="O36" i="64"/>
  <c r="M36" i="64"/>
  <c r="O35" i="64"/>
  <c r="M35" i="64"/>
  <c r="O34" i="64"/>
  <c r="M34" i="64"/>
  <c r="O33" i="64"/>
  <c r="M33" i="64"/>
  <c r="O32" i="64"/>
  <c r="M32" i="64"/>
  <c r="O31" i="64"/>
  <c r="M31" i="64"/>
  <c r="O30" i="64"/>
  <c r="M30" i="64"/>
  <c r="O29" i="64"/>
  <c r="M29" i="64"/>
  <c r="O28" i="64"/>
  <c r="M28" i="64"/>
  <c r="O27" i="64"/>
  <c r="M27" i="64"/>
  <c r="O26" i="64"/>
  <c r="M26" i="64"/>
  <c r="O25" i="64"/>
  <c r="M25" i="64"/>
  <c r="O24" i="64"/>
  <c r="M24" i="64"/>
  <c r="O23" i="64"/>
  <c r="M23" i="64"/>
  <c r="O22" i="64"/>
  <c r="M22" i="64"/>
  <c r="O21" i="64"/>
  <c r="M21" i="64"/>
  <c r="O20" i="64"/>
  <c r="M20" i="64"/>
  <c r="O19" i="64"/>
  <c r="M19" i="64"/>
  <c r="O18" i="64"/>
  <c r="M18" i="64"/>
  <c r="O17" i="64"/>
  <c r="M17" i="64"/>
  <c r="O16" i="64"/>
  <c r="M16" i="64"/>
  <c r="O15" i="64"/>
  <c r="M15" i="64"/>
  <c r="O14" i="64"/>
  <c r="M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A296" i="64" s="1"/>
  <c r="A297" i="64" s="1"/>
  <c r="A298" i="64" s="1"/>
  <c r="A299" i="64" s="1"/>
  <c r="A300" i="64" s="1"/>
  <c r="A301" i="64" s="1"/>
  <c r="A302" i="64" s="1"/>
  <c r="A303" i="64" s="1"/>
  <c r="A304" i="64" s="1"/>
  <c r="A305" i="64" s="1"/>
  <c r="A306" i="64" s="1"/>
  <c r="A307" i="64" s="1"/>
  <c r="A308" i="64" s="1"/>
  <c r="A309" i="64" s="1"/>
  <c r="A310" i="64" s="1"/>
  <c r="A311" i="64" s="1"/>
  <c r="A312" i="64" s="1"/>
  <c r="A313" i="64" s="1"/>
  <c r="A314" i="64" s="1"/>
  <c r="A315" i="64" s="1"/>
  <c r="A316" i="64" s="1"/>
  <c r="A317" i="64" s="1"/>
  <c r="A318" i="64" s="1"/>
  <c r="A319" i="64" s="1"/>
  <c r="A320" i="64" s="1"/>
  <c r="A321" i="64" s="1"/>
  <c r="A322" i="64" s="1"/>
  <c r="A323" i="64" s="1"/>
  <c r="A324" i="64" s="1"/>
  <c r="A325" i="64" s="1"/>
  <c r="A326" i="64" s="1"/>
  <c r="A327" i="64" s="1"/>
  <c r="A328" i="64" s="1"/>
  <c r="A329" i="64" s="1"/>
  <c r="A330" i="64" s="1"/>
  <c r="A331" i="64" s="1"/>
  <c r="A332" i="64" s="1"/>
  <c r="A333" i="64" s="1"/>
  <c r="A334" i="64" s="1"/>
  <c r="A335" i="64" s="1"/>
  <c r="A336" i="64" s="1"/>
  <c r="A349" i="64" s="1"/>
  <c r="A350" i="64" s="1"/>
  <c r="A351" i="64" s="1"/>
  <c r="A352" i="64" s="1"/>
  <c r="A353" i="64" s="1"/>
  <c r="A354" i="64" s="1"/>
  <c r="A355" i="64" s="1"/>
  <c r="A356" i="64" s="1"/>
  <c r="A357" i="64" s="1"/>
  <c r="A358" i="64" s="1"/>
  <c r="A359" i="64" s="1"/>
  <c r="A360" i="64" s="1"/>
  <c r="A361" i="64" s="1"/>
  <c r="A362" i="64" s="1"/>
  <c r="A363" i="64" s="1"/>
  <c r="A364" i="64" s="1"/>
  <c r="A365" i="64" s="1"/>
  <c r="A366" i="64" s="1"/>
  <c r="A367" i="64" s="1"/>
  <c r="A368" i="64" s="1"/>
  <c r="A369" i="64" s="1"/>
  <c r="A370" i="64" s="1"/>
  <c r="A371" i="64" s="1"/>
  <c r="A372" i="64" s="1"/>
  <c r="A373" i="64" s="1"/>
  <c r="A374" i="64" s="1"/>
  <c r="A375" i="64" s="1"/>
  <c r="A376" i="64" s="1"/>
  <c r="A377" i="64" s="1"/>
  <c r="A378" i="64" s="1"/>
  <c r="A379" i="64" s="1"/>
  <c r="A380" i="64" s="1"/>
  <c r="A381" i="64" s="1"/>
  <c r="A382" i="64" s="1"/>
  <c r="A383" i="64" s="1"/>
  <c r="A384" i="64" s="1"/>
  <c r="A385" i="64" s="1"/>
  <c r="O13" i="64"/>
  <c r="M13" i="64"/>
  <c r="A120" i="63"/>
  <c r="A118" i="63"/>
  <c r="A64" i="63"/>
  <c r="A62" i="63"/>
  <c r="A7" i="63"/>
  <c r="A63" i="63" s="1"/>
  <c r="A4" i="63"/>
  <c r="A60" i="63" s="1"/>
  <c r="A2" i="63"/>
  <c r="A114" i="63" s="1"/>
  <c r="A1" i="63"/>
  <c r="A57" i="63" s="1"/>
  <c r="O168" i="63"/>
  <c r="M168" i="63"/>
  <c r="O167" i="63"/>
  <c r="M167" i="63"/>
  <c r="O166" i="63"/>
  <c r="M166" i="63"/>
  <c r="O165" i="63"/>
  <c r="M165" i="63"/>
  <c r="O164" i="63"/>
  <c r="M164" i="63"/>
  <c r="O163" i="63"/>
  <c r="M163" i="63"/>
  <c r="O162" i="63"/>
  <c r="M162" i="63"/>
  <c r="O161" i="63"/>
  <c r="M161" i="63"/>
  <c r="O160" i="63"/>
  <c r="M160" i="63"/>
  <c r="O159" i="63"/>
  <c r="M159" i="63"/>
  <c r="O158" i="63"/>
  <c r="M158" i="63"/>
  <c r="O157" i="63"/>
  <c r="M157" i="63"/>
  <c r="O156" i="63"/>
  <c r="M156" i="63"/>
  <c r="O155" i="63"/>
  <c r="M155" i="63"/>
  <c r="O154" i="63"/>
  <c r="M154" i="63"/>
  <c r="O153" i="63"/>
  <c r="M153" i="63"/>
  <c r="O152" i="63"/>
  <c r="M152" i="63"/>
  <c r="O151" i="63"/>
  <c r="M151" i="63"/>
  <c r="O150" i="63"/>
  <c r="M150" i="63"/>
  <c r="O149" i="63"/>
  <c r="M149" i="63"/>
  <c r="O148" i="63"/>
  <c r="M148" i="63"/>
  <c r="O147" i="63"/>
  <c r="M147" i="63"/>
  <c r="O146" i="63"/>
  <c r="M146" i="63"/>
  <c r="O145" i="63"/>
  <c r="M145" i="63"/>
  <c r="O144" i="63"/>
  <c r="M144" i="63"/>
  <c r="O143" i="63"/>
  <c r="M143" i="63"/>
  <c r="O142" i="63"/>
  <c r="M142" i="63"/>
  <c r="O141" i="63"/>
  <c r="M141" i="63"/>
  <c r="O140" i="63"/>
  <c r="M140" i="63"/>
  <c r="O139" i="63"/>
  <c r="M139" i="63"/>
  <c r="O138" i="63"/>
  <c r="M138" i="63"/>
  <c r="O137" i="63"/>
  <c r="M137" i="63"/>
  <c r="O136" i="63"/>
  <c r="M136" i="63"/>
  <c r="O135" i="63"/>
  <c r="M135" i="63"/>
  <c r="O134" i="63"/>
  <c r="M134" i="63"/>
  <c r="O133" i="63"/>
  <c r="M133" i="63"/>
  <c r="O132" i="63"/>
  <c r="M132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M104" i="63"/>
  <c r="O103" i="63"/>
  <c r="M103" i="63"/>
  <c r="O102" i="63"/>
  <c r="M102" i="63"/>
  <c r="O101" i="63"/>
  <c r="M101" i="63"/>
  <c r="O100" i="63"/>
  <c r="M100" i="63"/>
  <c r="O99" i="63"/>
  <c r="M99" i="63"/>
  <c r="O98" i="63"/>
  <c r="M98" i="63"/>
  <c r="O97" i="63"/>
  <c r="M97" i="63"/>
  <c r="O96" i="63"/>
  <c r="M96" i="63"/>
  <c r="O95" i="63"/>
  <c r="M95" i="63"/>
  <c r="O94" i="63"/>
  <c r="M94" i="63"/>
  <c r="O93" i="63"/>
  <c r="M93" i="63"/>
  <c r="O92" i="63"/>
  <c r="M92" i="63"/>
  <c r="O91" i="63"/>
  <c r="M91" i="63"/>
  <c r="O90" i="63"/>
  <c r="M90" i="63"/>
  <c r="O89" i="63"/>
  <c r="M89" i="63"/>
  <c r="O88" i="63"/>
  <c r="M88" i="63"/>
  <c r="O87" i="63"/>
  <c r="M87" i="63"/>
  <c r="O86" i="63"/>
  <c r="M86" i="63"/>
  <c r="O85" i="63"/>
  <c r="M85" i="63"/>
  <c r="O84" i="63"/>
  <c r="M84" i="63"/>
  <c r="O83" i="63"/>
  <c r="M83" i="63"/>
  <c r="O82" i="63"/>
  <c r="M82" i="63"/>
  <c r="O81" i="63"/>
  <c r="M81" i="63"/>
  <c r="O80" i="63"/>
  <c r="M80" i="63"/>
  <c r="O79" i="63"/>
  <c r="M79" i="63"/>
  <c r="O78" i="63"/>
  <c r="M78" i="63"/>
  <c r="O77" i="63"/>
  <c r="M77" i="63"/>
  <c r="O76" i="63"/>
  <c r="M76" i="63"/>
  <c r="O75" i="63"/>
  <c r="M75" i="63"/>
  <c r="O74" i="63"/>
  <c r="M74" i="63"/>
  <c r="O73" i="63"/>
  <c r="M73" i="63"/>
  <c r="O72" i="63"/>
  <c r="M72" i="63"/>
  <c r="O71" i="63"/>
  <c r="M71" i="63"/>
  <c r="O70" i="63"/>
  <c r="M70" i="63"/>
  <c r="O69" i="63"/>
  <c r="M69" i="63"/>
  <c r="J69" i="63"/>
  <c r="O56" i="63"/>
  <c r="M56" i="63"/>
  <c r="O55" i="63"/>
  <c r="M55" i="63"/>
  <c r="O54" i="63"/>
  <c r="M54" i="63"/>
  <c r="O53" i="63"/>
  <c r="M53" i="63"/>
  <c r="O52" i="63"/>
  <c r="M52" i="63"/>
  <c r="O51" i="63"/>
  <c r="M51" i="63"/>
  <c r="O50" i="63"/>
  <c r="M50" i="63"/>
  <c r="O49" i="63"/>
  <c r="M49" i="63"/>
  <c r="O48" i="63"/>
  <c r="M48" i="63"/>
  <c r="O47" i="63"/>
  <c r="M47" i="63"/>
  <c r="O46" i="63"/>
  <c r="M46" i="63"/>
  <c r="O45" i="63"/>
  <c r="M45" i="63"/>
  <c r="O44" i="63"/>
  <c r="M44" i="63"/>
  <c r="O43" i="63"/>
  <c r="M43" i="63"/>
  <c r="O42" i="63"/>
  <c r="M42" i="63"/>
  <c r="O41" i="63"/>
  <c r="M41" i="63"/>
  <c r="O40" i="63"/>
  <c r="M40" i="63"/>
  <c r="O39" i="63"/>
  <c r="M39" i="63"/>
  <c r="O38" i="63"/>
  <c r="M38" i="63"/>
  <c r="O37" i="63"/>
  <c r="M37" i="63"/>
  <c r="O36" i="63"/>
  <c r="M36" i="63"/>
  <c r="O35" i="63"/>
  <c r="M35" i="63"/>
  <c r="O34" i="63"/>
  <c r="M34" i="63"/>
  <c r="O33" i="63"/>
  <c r="M33" i="63"/>
  <c r="O32" i="63"/>
  <c r="M32" i="63"/>
  <c r="O31" i="63"/>
  <c r="M31" i="63"/>
  <c r="O30" i="63"/>
  <c r="M30" i="63"/>
  <c r="O29" i="63"/>
  <c r="M29" i="63"/>
  <c r="O28" i="63"/>
  <c r="M28" i="63"/>
  <c r="O27" i="63"/>
  <c r="M27" i="63"/>
  <c r="O26" i="63"/>
  <c r="M26" i="63"/>
  <c r="O25" i="63"/>
  <c r="M25" i="63"/>
  <c r="O24" i="63"/>
  <c r="M24" i="63"/>
  <c r="O23" i="63"/>
  <c r="M23" i="63"/>
  <c r="O22" i="63"/>
  <c r="M22" i="63"/>
  <c r="O21" i="63"/>
  <c r="M21" i="63"/>
  <c r="O20" i="63"/>
  <c r="M20" i="63"/>
  <c r="O19" i="63"/>
  <c r="M19" i="63"/>
  <c r="O18" i="63"/>
  <c r="M18" i="63"/>
  <c r="O17" i="63"/>
  <c r="M17" i="63"/>
  <c r="O16" i="63"/>
  <c r="M16" i="63"/>
  <c r="O15" i="63"/>
  <c r="M15" i="63"/>
  <c r="O14" i="63"/>
  <c r="M14" i="63"/>
  <c r="A14" i="63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O13" i="63"/>
  <c r="M13" i="63"/>
  <c r="A60" i="64" l="1"/>
  <c r="A284" i="64"/>
  <c r="A113" i="64"/>
  <c r="A281" i="64"/>
  <c r="A63" i="64"/>
  <c r="A287" i="64"/>
  <c r="A58" i="64"/>
  <c r="A282" i="64"/>
  <c r="F37" i="58"/>
  <c r="F37" i="59"/>
  <c r="P43" i="64"/>
  <c r="P47" i="64"/>
  <c r="P51" i="64"/>
  <c r="P71" i="64"/>
  <c r="P75" i="64"/>
  <c r="P79" i="64"/>
  <c r="P83" i="64"/>
  <c r="P87" i="64"/>
  <c r="P91" i="64"/>
  <c r="P103" i="64"/>
  <c r="P195" i="64"/>
  <c r="P203" i="64"/>
  <c r="P211" i="64"/>
  <c r="P107" i="64"/>
  <c r="P25" i="63"/>
  <c r="P33" i="63"/>
  <c r="P49" i="63"/>
  <c r="P81" i="63"/>
  <c r="P85" i="63"/>
  <c r="P89" i="63"/>
  <c r="P93" i="63"/>
  <c r="P97" i="63"/>
  <c r="P109" i="63"/>
  <c r="P125" i="63"/>
  <c r="P132" i="63"/>
  <c r="P135" i="63"/>
  <c r="P139" i="63"/>
  <c r="P143" i="63"/>
  <c r="P147" i="63"/>
  <c r="P167" i="63"/>
  <c r="P134" i="63"/>
  <c r="P138" i="63"/>
  <c r="P129" i="63"/>
  <c r="P13" i="64"/>
  <c r="P18" i="64"/>
  <c r="P22" i="64"/>
  <c r="P125" i="64"/>
  <c r="P152" i="64"/>
  <c r="P201" i="64"/>
  <c r="P209" i="64"/>
  <c r="P103" i="63"/>
  <c r="P112" i="63"/>
  <c r="P153" i="63"/>
  <c r="P157" i="63"/>
  <c r="P161" i="63"/>
  <c r="P41" i="64"/>
  <c r="P69" i="64"/>
  <c r="P77" i="64"/>
  <c r="P156" i="64"/>
  <c r="P168" i="64"/>
  <c r="P15" i="64"/>
  <c r="P111" i="64"/>
  <c r="P128" i="63"/>
  <c r="P164" i="63"/>
  <c r="P214" i="64"/>
  <c r="P222" i="64"/>
  <c r="P242" i="64"/>
  <c r="P250" i="64"/>
  <c r="P148" i="63"/>
  <c r="P156" i="63"/>
  <c r="P160" i="63"/>
  <c r="P166" i="63"/>
  <c r="P101" i="63"/>
  <c r="P255" i="64"/>
  <c r="P259" i="64"/>
  <c r="P263" i="64"/>
  <c r="P267" i="64"/>
  <c r="P271" i="64"/>
  <c r="P27" i="63"/>
  <c r="P35" i="63"/>
  <c r="P43" i="63"/>
  <c r="P51" i="63"/>
  <c r="P71" i="63"/>
  <c r="P75" i="63"/>
  <c r="P79" i="63"/>
  <c r="P92" i="63"/>
  <c r="P99" i="63"/>
  <c r="P104" i="63"/>
  <c r="P107" i="63"/>
  <c r="P111" i="63"/>
  <c r="P127" i="63"/>
  <c r="P131" i="63"/>
  <c r="P133" i="63"/>
  <c r="P137" i="63"/>
  <c r="P141" i="63"/>
  <c r="P145" i="63"/>
  <c r="P151" i="63"/>
  <c r="P155" i="63"/>
  <c r="P159" i="63"/>
  <c r="P163" i="63"/>
  <c r="P165" i="63"/>
  <c r="P81" i="64"/>
  <c r="P85" i="64"/>
  <c r="P89" i="64"/>
  <c r="P99" i="64"/>
  <c r="P158" i="64"/>
  <c r="P162" i="64"/>
  <c r="P182" i="64"/>
  <c r="P183" i="64"/>
  <c r="P190" i="64"/>
  <c r="P198" i="64"/>
  <c r="P206" i="64"/>
  <c r="P245" i="64"/>
  <c r="P253" i="64"/>
  <c r="P18" i="63"/>
  <c r="P22" i="63"/>
  <c r="P30" i="63"/>
  <c r="P38" i="63"/>
  <c r="P42" i="63"/>
  <c r="P50" i="63"/>
  <c r="P86" i="63"/>
  <c r="P90" i="63"/>
  <c r="P94" i="63"/>
  <c r="P106" i="63"/>
  <c r="P110" i="63"/>
  <c r="P140" i="63"/>
  <c r="P144" i="63"/>
  <c r="P150" i="63"/>
  <c r="P154" i="63"/>
  <c r="P168" i="63"/>
  <c r="P93" i="64"/>
  <c r="P97" i="64"/>
  <c r="P101" i="64"/>
  <c r="P105" i="64"/>
  <c r="P165" i="64"/>
  <c r="P185" i="64"/>
  <c r="P239" i="64"/>
  <c r="P247" i="64"/>
  <c r="P272" i="64"/>
  <c r="P257" i="64"/>
  <c r="P261" i="64"/>
  <c r="P265" i="64"/>
  <c r="P269" i="64"/>
  <c r="P273" i="64"/>
  <c r="P23" i="64"/>
  <c r="P27" i="64"/>
  <c r="P127" i="64"/>
  <c r="P159" i="64"/>
  <c r="P163" i="64"/>
  <c r="P193" i="64"/>
  <c r="P217" i="64"/>
  <c r="P237" i="64"/>
  <c r="P254" i="64"/>
  <c r="P45" i="64"/>
  <c r="P73" i="64"/>
  <c r="P95" i="64"/>
  <c r="P109" i="64"/>
  <c r="P133" i="64"/>
  <c r="P141" i="64"/>
  <c r="P145" i="64"/>
  <c r="P149" i="64"/>
  <c r="P187" i="64"/>
  <c r="P219" i="64"/>
  <c r="P29" i="64"/>
  <c r="P33" i="64"/>
  <c r="P37" i="64"/>
  <c r="P55" i="64"/>
  <c r="P130" i="64"/>
  <c r="P136" i="64"/>
  <c r="P140" i="64"/>
  <c r="P157" i="64"/>
  <c r="P161" i="64"/>
  <c r="P191" i="64"/>
  <c r="P207" i="64"/>
  <c r="P223" i="64"/>
  <c r="P251" i="64"/>
  <c r="A169" i="64"/>
  <c r="A225" i="64"/>
  <c r="A231" i="64"/>
  <c r="A226" i="64"/>
  <c r="P39" i="64"/>
  <c r="P49" i="64"/>
  <c r="P53" i="64"/>
  <c r="P142" i="64"/>
  <c r="P143" i="64"/>
  <c r="P146" i="64"/>
  <c r="P147" i="64"/>
  <c r="P181" i="64"/>
  <c r="P199" i="64"/>
  <c r="P215" i="64"/>
  <c r="P243" i="64"/>
  <c r="A175" i="64"/>
  <c r="A228" i="64"/>
  <c r="P20" i="64"/>
  <c r="P25" i="64"/>
  <c r="P90" i="64"/>
  <c r="P92" i="64"/>
  <c r="P94" i="64"/>
  <c r="P96" i="64"/>
  <c r="P98" i="64"/>
  <c r="P100" i="64"/>
  <c r="P102" i="64"/>
  <c r="P104" i="64"/>
  <c r="P106" i="64"/>
  <c r="P108" i="64"/>
  <c r="P110" i="64"/>
  <c r="P112" i="64"/>
  <c r="P126" i="64"/>
  <c r="P128" i="64"/>
  <c r="P132" i="64"/>
  <c r="P134" i="64"/>
  <c r="P135" i="64"/>
  <c r="P138" i="64"/>
  <c r="P139" i="64"/>
  <c r="P144" i="64"/>
  <c r="P148" i="64"/>
  <c r="P150" i="64"/>
  <c r="P151" i="64"/>
  <c r="P154" i="64"/>
  <c r="P155" i="64"/>
  <c r="P160" i="64"/>
  <c r="P164" i="64"/>
  <c r="P166" i="64"/>
  <c r="P167" i="64"/>
  <c r="P184" i="64"/>
  <c r="P186" i="64"/>
  <c r="P189" i="64"/>
  <c r="P194" i="64"/>
  <c r="P197" i="64"/>
  <c r="P202" i="64"/>
  <c r="P205" i="64"/>
  <c r="P210" i="64"/>
  <c r="P213" i="64"/>
  <c r="P218" i="64"/>
  <c r="P221" i="64"/>
  <c r="P238" i="64"/>
  <c r="P241" i="64"/>
  <c r="P246" i="64"/>
  <c r="P249" i="64"/>
  <c r="A170" i="64"/>
  <c r="P31" i="64"/>
  <c r="P137" i="64"/>
  <c r="P153" i="64"/>
  <c r="A172" i="64"/>
  <c r="P17" i="64"/>
  <c r="P21" i="64"/>
  <c r="P30" i="64"/>
  <c r="P34" i="64"/>
  <c r="P35" i="64"/>
  <c r="A57" i="64"/>
  <c r="A119" i="64"/>
  <c r="A114" i="64"/>
  <c r="P19" i="64"/>
  <c r="P32" i="64"/>
  <c r="P129" i="64"/>
  <c r="P131" i="64"/>
  <c r="A116" i="64"/>
  <c r="P16" i="64"/>
  <c r="P28" i="64"/>
  <c r="P38" i="64"/>
  <c r="P40" i="64"/>
  <c r="P42" i="64"/>
  <c r="P44" i="64"/>
  <c r="P46" i="64"/>
  <c r="P48" i="64"/>
  <c r="P50" i="64"/>
  <c r="P52" i="64"/>
  <c r="P54" i="64"/>
  <c r="P56" i="64"/>
  <c r="P70" i="64"/>
  <c r="P72" i="64"/>
  <c r="P74" i="64"/>
  <c r="P76" i="64"/>
  <c r="P78" i="64"/>
  <c r="P80" i="64"/>
  <c r="P82" i="64"/>
  <c r="P84" i="64"/>
  <c r="P86" i="64"/>
  <c r="P88" i="64"/>
  <c r="P14" i="64"/>
  <c r="P24" i="64"/>
  <c r="P26" i="64"/>
  <c r="P36" i="64"/>
  <c r="P256" i="64"/>
  <c r="P258" i="64"/>
  <c r="P260" i="64"/>
  <c r="P262" i="64"/>
  <c r="P264" i="64"/>
  <c r="P266" i="64"/>
  <c r="P268" i="64"/>
  <c r="P270" i="64"/>
  <c r="P188" i="64"/>
  <c r="P192" i="64"/>
  <c r="P196" i="64"/>
  <c r="P200" i="64"/>
  <c r="P204" i="64"/>
  <c r="P208" i="64"/>
  <c r="P212" i="64"/>
  <c r="P216" i="64"/>
  <c r="P220" i="64"/>
  <c r="P224" i="64"/>
  <c r="P240" i="64"/>
  <c r="P244" i="64"/>
  <c r="P248" i="64"/>
  <c r="P252" i="64"/>
  <c r="P14" i="63"/>
  <c r="P19" i="63"/>
  <c r="P95" i="63"/>
  <c r="P36" i="63"/>
  <c r="P40" i="63"/>
  <c r="P48" i="63"/>
  <c r="P52" i="63"/>
  <c r="P56" i="63"/>
  <c r="P72" i="63"/>
  <c r="P76" i="63"/>
  <c r="P80" i="63"/>
  <c r="P84" i="63"/>
  <c r="P88" i="63"/>
  <c r="P96" i="63"/>
  <c r="P100" i="63"/>
  <c r="P102" i="63"/>
  <c r="P108" i="63"/>
  <c r="P126" i="63"/>
  <c r="P130" i="63"/>
  <c r="P136" i="63"/>
  <c r="P142" i="63"/>
  <c r="P146" i="63"/>
  <c r="P152" i="63"/>
  <c r="P158" i="63"/>
  <c r="P162" i="63"/>
  <c r="P44" i="63"/>
  <c r="A119" i="63"/>
  <c r="P17" i="63"/>
  <c r="P46" i="63"/>
  <c r="P54" i="63"/>
  <c r="P70" i="63"/>
  <c r="P149" i="63"/>
  <c r="A58" i="63"/>
  <c r="A113" i="63"/>
  <c r="P15" i="63"/>
  <c r="P20" i="63"/>
  <c r="P24" i="63"/>
  <c r="P28" i="63"/>
  <c r="P32" i="63"/>
  <c r="P41" i="63"/>
  <c r="P69" i="63"/>
  <c r="P73" i="63"/>
  <c r="P77" i="63"/>
  <c r="P83" i="63"/>
  <c r="P87" i="63"/>
  <c r="P91" i="63"/>
  <c r="P98" i="63"/>
  <c r="P105" i="63"/>
  <c r="A116" i="63"/>
  <c r="P23" i="63"/>
  <c r="P26" i="63"/>
  <c r="P29" i="63"/>
  <c r="P39" i="63"/>
  <c r="P45" i="63"/>
  <c r="P55" i="63"/>
  <c r="P78" i="63"/>
  <c r="P82" i="63"/>
  <c r="P16" i="63"/>
  <c r="P21" i="63"/>
  <c r="P31" i="63"/>
  <c r="P34" i="63"/>
  <c r="P37" i="63"/>
  <c r="P47" i="63"/>
  <c r="P53" i="63"/>
  <c r="P74" i="63"/>
  <c r="P13" i="63"/>
  <c r="K14" i="11" l="1"/>
  <c r="N43" i="18" l="1"/>
  <c r="N44" i="18" l="1"/>
  <c r="R45" i="58" l="1"/>
  <c r="R45" i="59"/>
  <c r="R38" i="59" l="1"/>
  <c r="L30" i="59"/>
  <c r="J30" i="59"/>
  <c r="L23" i="59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5" i="59"/>
  <c r="A5" i="58"/>
  <c r="R38" i="58"/>
  <c r="C20" i="67" s="1"/>
  <c r="A39" i="59" l="1"/>
  <c r="A41" i="59" s="1"/>
  <c r="A43" i="59" s="1"/>
  <c r="A45" i="59" s="1"/>
  <c r="A47" i="59" s="1"/>
  <c r="A49" i="59" s="1"/>
  <c r="L32" i="59"/>
  <c r="L43" i="59" s="1"/>
  <c r="L47" i="59" s="1"/>
  <c r="C20" i="68"/>
  <c r="K90" i="19"/>
  <c r="K74" i="19"/>
  <c r="K62" i="19"/>
  <c r="L30" i="58"/>
  <c r="J30" i="58"/>
  <c r="A18" i="58"/>
  <c r="A20" i="58" s="1"/>
  <c r="A21" i="58" l="1"/>
  <c r="A23" i="58" s="1"/>
  <c r="A25" i="58" s="1"/>
  <c r="A26" i="58" s="1"/>
  <c r="A27" i="58" s="1"/>
  <c r="A28" i="58" s="1"/>
  <c r="A30" i="58" s="1"/>
  <c r="A32" i="58" s="1"/>
  <c r="A34" i="58" s="1"/>
  <c r="A35" i="58" s="1"/>
  <c r="A36" i="58" s="1"/>
  <c r="A37" i="58" s="1"/>
  <c r="A38" i="58" s="1"/>
  <c r="A39" i="58" l="1"/>
  <c r="A41" i="58" s="1"/>
  <c r="A43" i="58" s="1"/>
  <c r="A45" i="58" s="1"/>
  <c r="A47" i="58" s="1"/>
  <c r="A49" i="58" s="1"/>
  <c r="D27" i="58"/>
  <c r="R27" i="58"/>
  <c r="C23" i="67" s="1"/>
  <c r="D27" i="59"/>
  <c r="R27" i="59"/>
  <c r="C23" i="68" l="1"/>
  <c r="P27" i="59"/>
  <c r="P27" i="58"/>
  <c r="H27" i="59"/>
  <c r="H30" i="59" s="1"/>
  <c r="H27" i="58"/>
  <c r="H30" i="58" s="1"/>
  <c r="D23" i="67" l="1"/>
  <c r="E23" i="67" s="1"/>
  <c r="D23" i="68"/>
  <c r="E23" i="68" s="1"/>
  <c r="F27" i="59" l="1"/>
  <c r="F27" i="58"/>
  <c r="M16" i="51"/>
  <c r="L16" i="51"/>
  <c r="K16" i="51"/>
  <c r="J16" i="51"/>
  <c r="I16" i="51"/>
  <c r="H16" i="51"/>
  <c r="G16" i="51"/>
  <c r="F16" i="51"/>
  <c r="E16" i="51"/>
  <c r="D16" i="51"/>
  <c r="C16" i="51"/>
  <c r="B16" i="51"/>
  <c r="G16" i="28" l="1"/>
  <c r="F30" i="59"/>
  <c r="N27" i="59"/>
  <c r="F30" i="58"/>
  <c r="N27" i="58"/>
  <c r="N16" i="50"/>
  <c r="M16" i="50"/>
  <c r="L16" i="50"/>
  <c r="K16" i="50"/>
  <c r="J16" i="50"/>
  <c r="I16" i="50"/>
  <c r="N25" i="51" l="1"/>
  <c r="D20" i="67" s="1"/>
  <c r="E20" i="67" l="1"/>
  <c r="A43" i="18"/>
  <c r="A44" i="18" s="1"/>
  <c r="F27" i="18"/>
  <c r="H21" i="59" s="1"/>
  <c r="A13" i="18"/>
  <c r="A14" i="18" s="1"/>
  <c r="B20" i="11"/>
  <c r="A44" i="1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B51" i="11" l="1"/>
  <c r="D51" i="11" s="1"/>
  <c r="D20" i="11"/>
  <c r="F41" i="58"/>
  <c r="A61" i="11"/>
  <c r="A45" i="18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15" i="18"/>
  <c r="A16" i="18" s="1"/>
  <c r="A17" i="18" s="1"/>
  <c r="A18" i="18" s="1"/>
  <c r="A19" i="18" s="1"/>
  <c r="A20" i="18" s="1"/>
  <c r="C35" i="40"/>
  <c r="D17" i="67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1" i="18" l="1"/>
  <c r="A22" i="18" s="1"/>
  <c r="A23" i="18" s="1"/>
  <c r="A24" i="18" s="1"/>
  <c r="A25" i="18" s="1"/>
  <c r="A26" i="18" s="1"/>
  <c r="A27" i="18" s="1"/>
  <c r="A30" i="11"/>
  <c r="C55" i="18"/>
  <c r="C49" i="18"/>
  <c r="C47" i="18"/>
  <c r="C46" i="18"/>
  <c r="C25" i="18"/>
  <c r="C19" i="18"/>
  <c r="C17" i="18"/>
  <c r="C16" i="18"/>
  <c r="B25" i="18"/>
  <c r="D25" i="18" s="1"/>
  <c r="B19" i="18"/>
  <c r="D19" i="18" s="1"/>
  <c r="B17" i="18"/>
  <c r="D17" i="18" s="1"/>
  <c r="B16" i="18"/>
  <c r="D16" i="18" s="1"/>
  <c r="C57" i="11"/>
  <c r="C51" i="11"/>
  <c r="C49" i="11"/>
  <c r="C48" i="11"/>
  <c r="C26" i="11"/>
  <c r="C20" i="11"/>
  <c r="C18" i="11"/>
  <c r="C17" i="11"/>
  <c r="B26" i="11"/>
  <c r="B18" i="11"/>
  <c r="B17" i="11"/>
  <c r="H38" i="28"/>
  <c r="F24" i="16" s="1"/>
  <c r="E38" i="28"/>
  <c r="R28" i="58"/>
  <c r="C24" i="67" s="1"/>
  <c r="E24" i="67" s="1"/>
  <c r="D28" i="59"/>
  <c r="N28" i="59" s="1"/>
  <c r="R26" i="59"/>
  <c r="R28" i="59"/>
  <c r="D37" i="58"/>
  <c r="D43" i="26"/>
  <c r="E43" i="25"/>
  <c r="R36" i="58" s="1"/>
  <c r="E41" i="25"/>
  <c r="G39" i="25"/>
  <c r="E39" i="25"/>
  <c r="D37" i="59"/>
  <c r="G15" i="25"/>
  <c r="G13" i="25"/>
  <c r="E17" i="25"/>
  <c r="R36" i="59" s="1"/>
  <c r="E15" i="25"/>
  <c r="E13" i="25"/>
  <c r="B589" i="48"/>
  <c r="B588" i="48"/>
  <c r="B587" i="48"/>
  <c r="B586" i="48"/>
  <c r="B585" i="48"/>
  <c r="B583" i="48"/>
  <c r="B582" i="48"/>
  <c r="B581" i="48"/>
  <c r="B580" i="48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6" i="48"/>
  <c r="B425" i="48"/>
  <c r="B424" i="48"/>
  <c r="B423" i="48"/>
  <c r="B422" i="48"/>
  <c r="B420" i="48"/>
  <c r="B419" i="48"/>
  <c r="B418" i="48"/>
  <c r="B417" i="48"/>
  <c r="B416" i="48"/>
  <c r="B415" i="48"/>
  <c r="B414" i="48"/>
  <c r="B413" i="48"/>
  <c r="B412" i="48"/>
  <c r="B410" i="48"/>
  <c r="B408" i="48"/>
  <c r="B407" i="48"/>
  <c r="B406" i="48"/>
  <c r="B404" i="48"/>
  <c r="B403" i="48"/>
  <c r="B401" i="48"/>
  <c r="B400" i="48"/>
  <c r="B399" i="48"/>
  <c r="B398" i="48"/>
  <c r="B397" i="48"/>
  <c r="B396" i="48"/>
  <c r="B395" i="48"/>
  <c r="B393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4" i="48"/>
  <c r="B183" i="48"/>
  <c r="B182" i="48"/>
  <c r="B181" i="48"/>
  <c r="B180" i="48"/>
  <c r="B179" i="48"/>
  <c r="B175" i="48"/>
  <c r="B174" i="48"/>
  <c r="B173" i="48"/>
  <c r="B172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84" i="48"/>
  <c r="B83" i="48"/>
  <c r="B82" i="48"/>
  <c r="B81" i="48"/>
  <c r="B80" i="48"/>
  <c r="B79" i="48"/>
  <c r="B73" i="48"/>
  <c r="B72" i="48"/>
  <c r="R1" i="48"/>
  <c r="S1" i="48" s="1"/>
  <c r="T1" i="48" s="1"/>
  <c r="F23" i="67" l="1"/>
  <c r="G23" i="67" s="1"/>
  <c r="B49" i="11"/>
  <c r="D49" i="11" s="1"/>
  <c r="D18" i="11"/>
  <c r="B57" i="11"/>
  <c r="D57" i="11" s="1"/>
  <c r="D26" i="11"/>
  <c r="B48" i="11"/>
  <c r="D48" i="11" s="1"/>
  <c r="D17" i="11"/>
  <c r="F22" i="14"/>
  <c r="F67" i="14"/>
  <c r="F42" i="14"/>
  <c r="F64" i="14"/>
  <c r="F20" i="14"/>
  <c r="F24" i="14"/>
  <c r="F65" i="14"/>
  <c r="F21" i="14"/>
  <c r="F25" i="14"/>
  <c r="F43" i="14"/>
  <c r="F34" i="14"/>
  <c r="F56" i="14"/>
  <c r="F44" i="14"/>
  <c r="F32" i="14"/>
  <c r="F23" i="14"/>
  <c r="F63" i="14"/>
  <c r="F35" i="14"/>
  <c r="F70" i="14"/>
  <c r="F68" i="14"/>
  <c r="F33" i="14"/>
  <c r="F66" i="14"/>
  <c r="F57" i="14"/>
  <c r="F69" i="14"/>
  <c r="F58" i="14"/>
  <c r="A29" i="18"/>
  <c r="A59" i="18"/>
  <c r="G17" i="25"/>
  <c r="D36" i="59" s="1"/>
  <c r="N36" i="59" s="1"/>
  <c r="D18" i="26"/>
  <c r="B55" i="18"/>
  <c r="D55" i="18" s="1"/>
  <c r="B46" i="18"/>
  <c r="D46" i="18" s="1"/>
  <c r="B49" i="18"/>
  <c r="D49" i="18" s="1"/>
  <c r="B47" i="18"/>
  <c r="D47" i="18" s="1"/>
  <c r="F101" i="14"/>
  <c r="F105" i="14"/>
  <c r="F110" i="14"/>
  <c r="F108" i="14"/>
  <c r="D26" i="59"/>
  <c r="N26" i="59" s="1"/>
  <c r="N30" i="59" s="1"/>
  <c r="E12" i="28"/>
  <c r="C24" i="68"/>
  <c r="E24" i="68" s="1"/>
  <c r="P28" i="59"/>
  <c r="F36" i="14"/>
  <c r="F109" i="14"/>
  <c r="C22" i="68"/>
  <c r="E22" i="68" s="1"/>
  <c r="R30" i="59"/>
  <c r="F15" i="14"/>
  <c r="F59" i="14"/>
  <c r="F81" i="14"/>
  <c r="F102" i="14"/>
  <c r="F19" i="14"/>
  <c r="F30" i="14"/>
  <c r="F41" i="14"/>
  <c r="F71" i="14"/>
  <c r="F78" i="14"/>
  <c r="F82" i="14"/>
  <c r="F86" i="14"/>
  <c r="F103" i="14"/>
  <c r="F107" i="14"/>
  <c r="F14" i="14"/>
  <c r="F76" i="14"/>
  <c r="F80" i="14"/>
  <c r="F84" i="14"/>
  <c r="F26" i="14"/>
  <c r="F37" i="14"/>
  <c r="F77" i="14"/>
  <c r="F85" i="14"/>
  <c r="F106" i="14"/>
  <c r="R35" i="59"/>
  <c r="R41" i="59" s="1"/>
  <c r="D35" i="59"/>
  <c r="N35" i="59" s="1"/>
  <c r="F13" i="14"/>
  <c r="F75" i="14"/>
  <c r="F79" i="14"/>
  <c r="F83" i="14"/>
  <c r="F87" i="14"/>
  <c r="F104" i="14"/>
  <c r="R35" i="58"/>
  <c r="C21" i="67" s="1"/>
  <c r="E21" i="67" s="1"/>
  <c r="H36" i="28"/>
  <c r="F25" i="16" s="1"/>
  <c r="D28" i="58"/>
  <c r="E34" i="28"/>
  <c r="R26" i="58"/>
  <c r="H34" i="28"/>
  <c r="F23" i="16" s="1"/>
  <c r="D26" i="58"/>
  <c r="N37" i="58"/>
  <c r="N37" i="59"/>
  <c r="P37" i="59"/>
  <c r="G43" i="25"/>
  <c r="D36" i="58" s="1"/>
  <c r="N36" i="58" s="1"/>
  <c r="D39" i="26"/>
  <c r="D41" i="26"/>
  <c r="G41" i="25"/>
  <c r="E36" i="28"/>
  <c r="F24" i="67" l="1"/>
  <c r="G24" i="67" s="1"/>
  <c r="F22" i="67"/>
  <c r="F22" i="16"/>
  <c r="P26" i="59"/>
  <c r="P30" i="59" s="1"/>
  <c r="P36" i="59"/>
  <c r="D41" i="59"/>
  <c r="R41" i="58"/>
  <c r="D30" i="59"/>
  <c r="R30" i="58"/>
  <c r="C22" i="67"/>
  <c r="E22" i="67" s="1"/>
  <c r="G22" i="67" s="1"/>
  <c r="C21" i="68"/>
  <c r="E21" i="68" s="1"/>
  <c r="P35" i="59"/>
  <c r="C17" i="40"/>
  <c r="D17" i="68"/>
  <c r="P38" i="59"/>
  <c r="P26" i="58"/>
  <c r="N26" i="58"/>
  <c r="D30" i="58"/>
  <c r="D35" i="58"/>
  <c r="P28" i="58"/>
  <c r="N28" i="58"/>
  <c r="F21" i="67" l="1"/>
  <c r="G21" i="67" s="1"/>
  <c r="P41" i="59"/>
  <c r="N35" i="58"/>
  <c r="N30" i="58"/>
  <c r="P30" i="58"/>
  <c r="A4" i="47"/>
  <c r="A67" i="47" s="1"/>
  <c r="A71" i="47"/>
  <c r="A69" i="47"/>
  <c r="A66" i="47"/>
  <c r="A15" i="47"/>
  <c r="A16" i="47" s="1"/>
  <c r="A17" i="47" s="1"/>
  <c r="A18" i="47" s="1"/>
  <c r="A20" i="47" s="1"/>
  <c r="A21" i="47" s="1"/>
  <c r="A22" i="47" s="1"/>
  <c r="A7" i="47"/>
  <c r="A70" i="47" s="1"/>
  <c r="A2" i="47"/>
  <c r="A65" i="47" s="1"/>
  <c r="A1" i="47"/>
  <c r="F57" i="18" l="1"/>
  <c r="H21" i="58" s="1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64" i="47"/>
  <c r="E67" i="5"/>
  <c r="K57" i="18" l="1"/>
  <c r="F59" i="11"/>
  <c r="G109" i="14" s="1"/>
  <c r="K45" i="11"/>
  <c r="K55" i="11"/>
  <c r="K45" i="18"/>
  <c r="E45" i="5"/>
  <c r="E23" i="5"/>
  <c r="E34" i="5"/>
  <c r="D19" i="5"/>
  <c r="E107" i="19"/>
  <c r="E59" i="19"/>
  <c r="E14" i="19"/>
  <c r="I95" i="5"/>
  <c r="I65" i="5"/>
  <c r="I43" i="5"/>
  <c r="I21" i="5"/>
  <c r="E97" i="5"/>
  <c r="E93" i="5"/>
  <c r="E86" i="5"/>
  <c r="E82" i="5"/>
  <c r="E78" i="5"/>
  <c r="E69" i="5"/>
  <c r="E58" i="19"/>
  <c r="E84" i="19"/>
  <c r="E26" i="19"/>
  <c r="I84" i="5"/>
  <c r="I76" i="5"/>
  <c r="I32" i="5"/>
  <c r="E99" i="5"/>
  <c r="E95" i="5"/>
  <c r="E91" i="5"/>
  <c r="E84" i="5"/>
  <c r="E80" i="5"/>
  <c r="E76" i="5"/>
  <c r="E71" i="5"/>
  <c r="D20" i="5"/>
  <c r="E47" i="5"/>
  <c r="D14" i="5"/>
  <c r="D21" i="5"/>
  <c r="E30" i="5"/>
  <c r="E41" i="5"/>
  <c r="E63" i="5"/>
  <c r="D13" i="5"/>
  <c r="E25" i="5"/>
  <c r="E36" i="5"/>
  <c r="E89" i="19"/>
  <c r="D15" i="5"/>
  <c r="D22" i="5"/>
  <c r="E32" i="5"/>
  <c r="E43" i="5"/>
  <c r="E65" i="5"/>
  <c r="E14" i="5"/>
  <c r="E19" i="5"/>
  <c r="E21" i="5"/>
  <c r="F23" i="5"/>
  <c r="F30" i="5"/>
  <c r="F34" i="5"/>
  <c r="F41" i="5"/>
  <c r="F45" i="5"/>
  <c r="F63" i="5"/>
  <c r="F67" i="5"/>
  <c r="F71" i="5"/>
  <c r="F78" i="5"/>
  <c r="F84" i="5"/>
  <c r="F91" i="5"/>
  <c r="F95" i="5"/>
  <c r="F99" i="5"/>
  <c r="I24" i="5"/>
  <c r="I46" i="5"/>
  <c r="I79" i="5"/>
  <c r="I98" i="5"/>
  <c r="E15" i="19"/>
  <c r="E87" i="19"/>
  <c r="E32" i="19"/>
  <c r="F13" i="5"/>
  <c r="F14" i="5"/>
  <c r="F15" i="5"/>
  <c r="F19" i="5"/>
  <c r="F20" i="5"/>
  <c r="F21" i="5"/>
  <c r="F22" i="5"/>
  <c r="E24" i="5"/>
  <c r="E26" i="5"/>
  <c r="E31" i="5"/>
  <c r="E33" i="5"/>
  <c r="E35" i="5"/>
  <c r="E37" i="5"/>
  <c r="E42" i="5"/>
  <c r="E44" i="5"/>
  <c r="E46" i="5"/>
  <c r="E48" i="5"/>
  <c r="E64" i="5"/>
  <c r="E66" i="5"/>
  <c r="E68" i="5"/>
  <c r="E70" i="5"/>
  <c r="E75" i="5"/>
  <c r="E77" i="5"/>
  <c r="E79" i="5"/>
  <c r="E81" i="5"/>
  <c r="E83" i="5"/>
  <c r="E85" i="5"/>
  <c r="E87" i="5"/>
  <c r="E92" i="5"/>
  <c r="E94" i="5"/>
  <c r="E96" i="5"/>
  <c r="E98" i="5"/>
  <c r="E111" i="5"/>
  <c r="I14" i="5"/>
  <c r="I25" i="5"/>
  <c r="I36" i="5"/>
  <c r="I47" i="5"/>
  <c r="I69" i="5"/>
  <c r="I80" i="5"/>
  <c r="I91" i="5"/>
  <c r="I99" i="5"/>
  <c r="E22" i="19"/>
  <c r="E35" i="19"/>
  <c r="E79" i="19"/>
  <c r="E109" i="19"/>
  <c r="E37" i="19"/>
  <c r="E108" i="19"/>
  <c r="E88" i="19"/>
  <c r="E112" i="19"/>
  <c r="E106" i="19"/>
  <c r="E83" i="19"/>
  <c r="E78" i="19"/>
  <c r="E45" i="19"/>
  <c r="E34" i="19"/>
  <c r="E25" i="19"/>
  <c r="E20" i="19"/>
  <c r="I97" i="5"/>
  <c r="I93" i="5"/>
  <c r="I86" i="5"/>
  <c r="I82" i="5"/>
  <c r="I78" i="5"/>
  <c r="I71" i="5"/>
  <c r="I67" i="5"/>
  <c r="I63" i="5"/>
  <c r="I45" i="5"/>
  <c r="I41" i="5"/>
  <c r="I34" i="5"/>
  <c r="I30" i="5"/>
  <c r="I23" i="5"/>
  <c r="I19" i="5"/>
  <c r="D111" i="5"/>
  <c r="D99" i="5"/>
  <c r="D98" i="5"/>
  <c r="D97" i="5"/>
  <c r="D96" i="5"/>
  <c r="D95" i="5"/>
  <c r="D94" i="5"/>
  <c r="D93" i="5"/>
  <c r="D92" i="5"/>
  <c r="D91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1" i="5"/>
  <c r="D70" i="5"/>
  <c r="D69" i="5"/>
  <c r="D68" i="5"/>
  <c r="D67" i="5"/>
  <c r="D66" i="5"/>
  <c r="D65" i="5"/>
  <c r="D64" i="5"/>
  <c r="D63" i="5"/>
  <c r="D48" i="5"/>
  <c r="D47" i="5"/>
  <c r="D46" i="5"/>
  <c r="D45" i="5"/>
  <c r="D44" i="5"/>
  <c r="D43" i="5"/>
  <c r="D42" i="5"/>
  <c r="D41" i="5"/>
  <c r="D37" i="5"/>
  <c r="D36" i="5"/>
  <c r="D35" i="5"/>
  <c r="D34" i="5"/>
  <c r="D33" i="5"/>
  <c r="D32" i="5"/>
  <c r="D31" i="5"/>
  <c r="D30" i="5"/>
  <c r="D26" i="5"/>
  <c r="D25" i="5"/>
  <c r="D24" i="5"/>
  <c r="D23" i="5"/>
  <c r="E110" i="19"/>
  <c r="E85" i="19"/>
  <c r="E44" i="19"/>
  <c r="E36" i="19"/>
  <c r="E104" i="19"/>
  <c r="E81" i="19"/>
  <c r="E73" i="19"/>
  <c r="E43" i="19"/>
  <c r="E33" i="19"/>
  <c r="E24" i="19"/>
  <c r="E16" i="19"/>
  <c r="I111" i="5"/>
  <c r="I96" i="5"/>
  <c r="I92" i="5"/>
  <c r="I85" i="5"/>
  <c r="I81" i="5"/>
  <c r="I77" i="5"/>
  <c r="I70" i="5"/>
  <c r="I66" i="5"/>
  <c r="I48" i="5"/>
  <c r="I44" i="5"/>
  <c r="I37" i="5"/>
  <c r="I33" i="5"/>
  <c r="I26" i="5"/>
  <c r="I22" i="5"/>
  <c r="I15" i="5"/>
  <c r="G111" i="5"/>
  <c r="G99" i="5"/>
  <c r="G98" i="5"/>
  <c r="G97" i="5"/>
  <c r="G96" i="5"/>
  <c r="G95" i="5"/>
  <c r="G94" i="5"/>
  <c r="G93" i="5"/>
  <c r="G92" i="5"/>
  <c r="G91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1" i="5"/>
  <c r="G70" i="5"/>
  <c r="G69" i="5"/>
  <c r="G68" i="5"/>
  <c r="G67" i="5"/>
  <c r="G66" i="5"/>
  <c r="G65" i="5"/>
  <c r="G64" i="5"/>
  <c r="G63" i="5"/>
  <c r="G48" i="5"/>
  <c r="G47" i="5"/>
  <c r="G46" i="5"/>
  <c r="G45" i="5"/>
  <c r="G44" i="5"/>
  <c r="G43" i="5"/>
  <c r="G42" i="5"/>
  <c r="G41" i="5"/>
  <c r="G37" i="5"/>
  <c r="G36" i="5"/>
  <c r="G35" i="5"/>
  <c r="G34" i="5"/>
  <c r="G33" i="5"/>
  <c r="G32" i="5"/>
  <c r="G31" i="5"/>
  <c r="G30" i="5"/>
  <c r="G26" i="5"/>
  <c r="G25" i="5"/>
  <c r="G24" i="5"/>
  <c r="G23" i="5"/>
  <c r="E13" i="5"/>
  <c r="E15" i="5"/>
  <c r="E20" i="5"/>
  <c r="E22" i="5"/>
  <c r="F25" i="5"/>
  <c r="F32" i="5"/>
  <c r="F36" i="5"/>
  <c r="F43" i="5"/>
  <c r="F47" i="5"/>
  <c r="F65" i="5"/>
  <c r="F69" i="5"/>
  <c r="F76" i="5"/>
  <c r="F80" i="5"/>
  <c r="F82" i="5"/>
  <c r="F86" i="5"/>
  <c r="F93" i="5"/>
  <c r="F97" i="5"/>
  <c r="I13" i="5"/>
  <c r="I35" i="5"/>
  <c r="I68" i="5"/>
  <c r="I87" i="5"/>
  <c r="E27" i="19"/>
  <c r="E61" i="19"/>
  <c r="E86" i="19"/>
  <c r="G13" i="5"/>
  <c r="G14" i="5"/>
  <c r="G15" i="5"/>
  <c r="G19" i="5"/>
  <c r="G20" i="5"/>
  <c r="G21" i="5"/>
  <c r="G22" i="5"/>
  <c r="F24" i="5"/>
  <c r="F26" i="5"/>
  <c r="F31" i="5"/>
  <c r="F33" i="5"/>
  <c r="F35" i="5"/>
  <c r="F37" i="5"/>
  <c r="F42" i="5"/>
  <c r="F44" i="5"/>
  <c r="F46" i="5"/>
  <c r="F48" i="5"/>
  <c r="F64" i="5"/>
  <c r="F66" i="5"/>
  <c r="F68" i="5"/>
  <c r="F70" i="5"/>
  <c r="F75" i="5"/>
  <c r="F77" i="5"/>
  <c r="F79" i="5"/>
  <c r="F81" i="5"/>
  <c r="F83" i="5"/>
  <c r="F85" i="5"/>
  <c r="F87" i="5"/>
  <c r="F92" i="5"/>
  <c r="F94" i="5"/>
  <c r="F96" i="5"/>
  <c r="F98" i="5"/>
  <c r="F111" i="5"/>
  <c r="I20" i="5"/>
  <c r="I31" i="5"/>
  <c r="I42" i="5"/>
  <c r="I64" i="5"/>
  <c r="I75" i="5"/>
  <c r="I83" i="5"/>
  <c r="I94" i="5"/>
  <c r="E23" i="19"/>
  <c r="E38" i="19"/>
  <c r="E80" i="19"/>
  <c r="E113" i="19"/>
  <c r="E60" i="19"/>
  <c r="E111" i="19"/>
  <c r="H42" i="19"/>
  <c r="H37" i="19"/>
  <c r="H32" i="19"/>
  <c r="H69" i="19"/>
  <c r="H33" i="19"/>
  <c r="H23" i="19"/>
  <c r="H20" i="19"/>
  <c r="H71" i="19"/>
  <c r="H65" i="19"/>
  <c r="H59" i="19"/>
  <c r="H105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43" i="19"/>
  <c r="H35" i="19"/>
  <c r="H44" i="19"/>
  <c r="H16" i="19"/>
  <c r="H15" i="19"/>
  <c r="H110" i="19"/>
  <c r="H111" i="19"/>
  <c r="H77" i="19"/>
  <c r="H104" i="19"/>
  <c r="H113" i="19"/>
  <c r="H14" i="19"/>
  <c r="H106" i="19"/>
  <c r="H85" i="19"/>
  <c r="H78" i="19"/>
  <c r="H72" i="19"/>
  <c r="H68" i="19"/>
  <c r="H112" i="19"/>
  <c r="H60" i="19"/>
  <c r="G34" i="14"/>
  <c r="G69" i="14"/>
  <c r="G13" i="14"/>
  <c r="G84" i="14"/>
  <c r="G14" i="14"/>
  <c r="G42" i="14"/>
  <c r="G77" i="14"/>
  <c r="G105" i="14"/>
  <c r="G57" i="14"/>
  <c r="G33" i="14"/>
  <c r="G41" i="14"/>
  <c r="G68" i="14"/>
  <c r="G103" i="14"/>
  <c r="G83" i="14"/>
  <c r="G65" i="14"/>
  <c r="G56" i="14"/>
  <c r="G76" i="14"/>
  <c r="G108" i="14"/>
  <c r="G22" i="14"/>
  <c r="G101" i="14"/>
  <c r="G75" i="14"/>
  <c r="G102" i="14"/>
  <c r="G32" i="14"/>
  <c r="G67" i="14"/>
  <c r="G23" i="14"/>
  <c r="G107" i="14"/>
  <c r="G36" i="14"/>
  <c r="G63" i="14"/>
  <c r="G64" i="14"/>
  <c r="G106" i="14"/>
  <c r="G66" i="14"/>
  <c r="G58" i="14"/>
  <c r="G30" i="14"/>
  <c r="G110" i="14"/>
  <c r="G43" i="14"/>
  <c r="G70" i="14"/>
  <c r="G15" i="14"/>
  <c r="G44" i="14"/>
  <c r="G35" i="14"/>
  <c r="G31" i="14"/>
  <c r="H87" i="17"/>
  <c r="H86" i="17"/>
  <c r="H68" i="17"/>
  <c r="H44" i="17"/>
  <c r="H109" i="17"/>
  <c r="H20" i="17"/>
  <c r="H43" i="17"/>
  <c r="H77" i="17"/>
  <c r="H110" i="17"/>
  <c r="H15" i="17"/>
  <c r="H31" i="17"/>
  <c r="H72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107" i="12"/>
  <c r="G63" i="12"/>
  <c r="G33" i="12"/>
  <c r="G58" i="12"/>
  <c r="G34" i="12"/>
  <c r="G103" i="12"/>
  <c r="G57" i="12"/>
  <c r="G67" i="12"/>
  <c r="G14" i="12"/>
  <c r="G42" i="12"/>
  <c r="G15" i="12"/>
  <c r="G43" i="12"/>
  <c r="G68" i="12"/>
  <c r="G77" i="12"/>
  <c r="G23" i="12"/>
  <c r="G76" i="12"/>
  <c r="G84" i="12"/>
  <c r="G75" i="12"/>
  <c r="G31" i="12"/>
  <c r="E77" i="19"/>
  <c r="E82" i="19"/>
  <c r="H18" i="58" l="1"/>
  <c r="H23" i="58" s="1"/>
  <c r="K49" i="18"/>
  <c r="K50" i="18" s="1"/>
  <c r="G85" i="14"/>
  <c r="I38" i="5"/>
  <c r="I16" i="5"/>
  <c r="I49" i="5"/>
  <c r="I27" i="5"/>
  <c r="D59" i="18"/>
  <c r="D15" i="67" s="1"/>
  <c r="E105" i="19"/>
  <c r="E31" i="19"/>
  <c r="E42" i="19"/>
  <c r="E21" i="19"/>
  <c r="H32" i="58" l="1"/>
  <c r="H43" i="58" s="1"/>
  <c r="H47" i="58" s="1"/>
  <c r="E67" i="19"/>
  <c r="E69" i="19"/>
  <c r="E72" i="19"/>
  <c r="E70" i="19"/>
  <c r="E66" i="19"/>
  <c r="E71" i="19"/>
  <c r="E68" i="19"/>
  <c r="E65" i="19" l="1"/>
  <c r="A7" i="40" l="1"/>
  <c r="A25" i="40" s="1"/>
  <c r="A4" i="40"/>
  <c r="A2" i="40"/>
  <c r="A20" i="40" s="1"/>
  <c r="A1" i="40"/>
  <c r="A19" i="40" s="1"/>
  <c r="E31" i="40"/>
  <c r="A31" i="40"/>
  <c r="A32" i="40" s="1"/>
  <c r="A33" i="40" s="1"/>
  <c r="A26" i="40"/>
  <c r="A21" i="40"/>
  <c r="E15" i="40"/>
  <c r="E14" i="40"/>
  <c r="E13" i="40"/>
  <c r="A13" i="40"/>
  <c r="A14" i="40" s="1"/>
  <c r="A15" i="40" s="1"/>
  <c r="J20" i="20"/>
  <c r="J18" i="20"/>
  <c r="J16" i="20"/>
  <c r="H93" i="10" l="1"/>
  <c r="E93" i="10"/>
  <c r="G93" i="10" s="1"/>
  <c r="G62" i="10"/>
  <c r="A62" i="10"/>
  <c r="A63" i="10" s="1"/>
  <c r="A64" i="10" s="1"/>
  <c r="A65" i="10" s="1"/>
  <c r="A66" i="10" s="1"/>
  <c r="A67" i="10" s="1"/>
  <c r="A68" i="10" s="1"/>
  <c r="A69" i="10" s="1"/>
  <c r="H46" i="10"/>
  <c r="E46" i="10"/>
  <c r="G46" i="10" s="1"/>
  <c r="G45" i="10"/>
  <c r="G44" i="10"/>
  <c r="G43" i="10"/>
  <c r="G42" i="10"/>
  <c r="G41" i="10"/>
  <c r="G40" i="10"/>
  <c r="G39" i="10"/>
  <c r="G38" i="10"/>
  <c r="G37" i="10"/>
  <c r="G36" i="10"/>
  <c r="G35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C13" i="37" l="1"/>
  <c r="C11" i="37"/>
  <c r="A9" i="37"/>
  <c r="A7" i="37"/>
  <c r="B582" i="13" l="1"/>
  <c r="B581" i="13"/>
  <c r="B580" i="13"/>
  <c r="B579" i="13"/>
  <c r="B578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3" i="13"/>
  <c r="B481" i="13"/>
  <c r="B480" i="13"/>
  <c r="B479" i="13"/>
  <c r="B478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5" i="13"/>
  <c r="B423" i="13"/>
  <c r="B422" i="13"/>
  <c r="B420" i="13"/>
  <c r="B418" i="13"/>
  <c r="B417" i="13"/>
  <c r="B416" i="13"/>
  <c r="B415" i="13"/>
  <c r="B414" i="13"/>
  <c r="B412" i="13"/>
  <c r="B411" i="13"/>
  <c r="B410" i="13"/>
  <c r="B409" i="13"/>
  <c r="B408" i="13"/>
  <c r="B407" i="13"/>
  <c r="B406" i="13"/>
  <c r="B405" i="13"/>
  <c r="B404" i="13"/>
  <c r="B402" i="13"/>
  <c r="B400" i="13"/>
  <c r="B399" i="13"/>
  <c r="B398" i="13"/>
  <c r="B396" i="13"/>
  <c r="B395" i="13"/>
  <c r="B393" i="13"/>
  <c r="B392" i="13"/>
  <c r="B391" i="13"/>
  <c r="B390" i="13"/>
  <c r="B389" i="13"/>
  <c r="B388" i="13"/>
  <c r="B387" i="13"/>
  <c r="B385" i="13"/>
  <c r="D119" i="31" l="1"/>
  <c r="F119" i="31"/>
  <c r="G119" i="31" s="1"/>
  <c r="F109" i="31"/>
  <c r="F97" i="31"/>
  <c r="F92" i="31"/>
  <c r="F85" i="31"/>
  <c r="E85" i="31" s="1"/>
  <c r="D58" i="31"/>
  <c r="F58" i="31"/>
  <c r="F28" i="31"/>
  <c r="G92" i="31" l="1"/>
  <c r="E92" i="31"/>
  <c r="G97" i="31"/>
  <c r="E97" i="31"/>
  <c r="G109" i="31"/>
  <c r="E109" i="31"/>
  <c r="G28" i="31"/>
  <c r="E28" i="31"/>
  <c r="E119" i="31"/>
  <c r="D121" i="31"/>
  <c r="F121" i="31"/>
  <c r="P123" i="31" l="1"/>
  <c r="O58" i="31" l="1"/>
  <c r="O48" i="31"/>
  <c r="O19" i="31"/>
  <c r="A78" i="31"/>
  <c r="A79" i="31" s="1"/>
  <c r="A80" i="31" s="1"/>
  <c r="A81" i="31" s="1"/>
  <c r="A82" i="31" s="1"/>
  <c r="A83" i="31" s="1"/>
  <c r="A84" i="31" s="1"/>
  <c r="A85" i="31" s="1"/>
  <c r="A87" i="31" s="1"/>
  <c r="E58" i="31"/>
  <c r="E57" i="31"/>
  <c r="E56" i="31"/>
  <c r="E55" i="31"/>
  <c r="E53" i="31"/>
  <c r="E52" i="31"/>
  <c r="E51" i="31"/>
  <c r="E48" i="31"/>
  <c r="E31" i="31"/>
  <c r="E20" i="31"/>
  <c r="G57" i="31"/>
  <c r="G56" i="31"/>
  <c r="G55" i="31"/>
  <c r="G53" i="31"/>
  <c r="G52" i="31"/>
  <c r="G51" i="31"/>
  <c r="G31" i="31"/>
  <c r="G20" i="31"/>
  <c r="O51" i="31"/>
  <c r="O41" i="31"/>
  <c r="O40" i="31"/>
  <c r="O39" i="31"/>
  <c r="O37" i="31"/>
  <c r="O36" i="31"/>
  <c r="O35" i="31"/>
  <c r="O34" i="31"/>
  <c r="O33" i="31"/>
  <c r="O31" i="31"/>
  <c r="O20" i="31"/>
  <c r="O18" i="31"/>
  <c r="O17" i="31"/>
  <c r="M51" i="31"/>
  <c r="M46" i="31"/>
  <c r="M45" i="31"/>
  <c r="M44" i="31"/>
  <c r="M43" i="31"/>
  <c r="M42" i="31"/>
  <c r="M41" i="31"/>
  <c r="M40" i="31"/>
  <c r="M39" i="31"/>
  <c r="M37" i="31"/>
  <c r="M36" i="31"/>
  <c r="M35" i="31"/>
  <c r="M34" i="31"/>
  <c r="M33" i="31"/>
  <c r="M31" i="31"/>
  <c r="M20" i="31"/>
  <c r="M18" i="31"/>
  <c r="M17" i="31"/>
  <c r="K51" i="31"/>
  <c r="K42" i="31"/>
  <c r="K41" i="31"/>
  <c r="K40" i="31"/>
  <c r="K37" i="31"/>
  <c r="K36" i="31"/>
  <c r="K35" i="31"/>
  <c r="K34" i="31"/>
  <c r="K33" i="31"/>
  <c r="K31" i="31"/>
  <c r="K20" i="31"/>
  <c r="K18" i="31"/>
  <c r="A88" i="31" l="1"/>
  <c r="A89" i="31" s="1"/>
  <c r="A94" i="31" s="1"/>
  <c r="A95" i="31" s="1"/>
  <c r="A96" i="31" s="1"/>
  <c r="A97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1" i="31" s="1"/>
  <c r="M58" i="31"/>
  <c r="M19" i="31"/>
  <c r="M48" i="31"/>
  <c r="L123" i="31" l="1"/>
  <c r="M21" i="31"/>
  <c r="O21" i="31"/>
  <c r="O60" i="31" l="1"/>
  <c r="N123" i="31"/>
  <c r="M60" i="31"/>
  <c r="O121" i="31" l="1"/>
  <c r="M121" i="31"/>
  <c r="E121" i="31"/>
  <c r="E79" i="31"/>
  <c r="G79" i="31"/>
  <c r="J119" i="31" l="1"/>
  <c r="J109" i="31"/>
  <c r="J97" i="31"/>
  <c r="J92" i="31"/>
  <c r="J85" i="31"/>
  <c r="H85" i="31"/>
  <c r="G85" i="31" s="1"/>
  <c r="H119" i="31"/>
  <c r="H109" i="31"/>
  <c r="H97" i="31"/>
  <c r="H92" i="31"/>
  <c r="H121" i="31" l="1"/>
  <c r="G121" i="31" s="1"/>
  <c r="J121" i="31"/>
  <c r="I121" i="31" l="1"/>
  <c r="K121" i="31"/>
  <c r="I51" i="31"/>
  <c r="I39" i="31"/>
  <c r="I37" i="31"/>
  <c r="I36" i="31"/>
  <c r="I35" i="31"/>
  <c r="I34" i="31"/>
  <c r="I33" i="31"/>
  <c r="I31" i="31"/>
  <c r="J58" i="31"/>
  <c r="K48" i="31"/>
  <c r="J28" i="31"/>
  <c r="I20" i="31"/>
  <c r="I18" i="31"/>
  <c r="K17" i="31"/>
  <c r="K28" i="31" l="1"/>
  <c r="I28" i="31"/>
  <c r="K58" i="31"/>
  <c r="G58" i="31" l="1"/>
  <c r="I58" i="31"/>
  <c r="K19" i="31"/>
  <c r="I17" i="31"/>
  <c r="G48" i="31"/>
  <c r="I48" i="31"/>
  <c r="I19" i="31" l="1"/>
  <c r="K21" i="31"/>
  <c r="J60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l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50" i="31" s="1"/>
  <c r="A51" i="31" s="1"/>
  <c r="A52" i="31" s="1"/>
  <c r="A53" i="31" s="1"/>
  <c r="A54" i="31" s="1"/>
  <c r="A55" i="31" s="1"/>
  <c r="A56" i="31" s="1"/>
  <c r="A57" i="31" s="1"/>
  <c r="A58" i="31" s="1"/>
  <c r="A60" i="31" s="1"/>
  <c r="K60" i="31"/>
  <c r="J123" i="31"/>
  <c r="I21" i="31"/>
  <c r="H123" i="31"/>
  <c r="D22" i="16"/>
  <c r="F21" i="68" s="1"/>
  <c r="G21" i="68" s="1"/>
  <c r="I60" i="31" l="1"/>
  <c r="A8" i="33"/>
  <c r="A4" i="33"/>
  <c r="A2" i="33"/>
  <c r="A1" i="33"/>
  <c r="A70" i="31"/>
  <c r="A68" i="31"/>
  <c r="A65" i="31"/>
  <c r="A66" i="31"/>
  <c r="A7" i="31"/>
  <c r="A69" i="31" s="1"/>
  <c r="A2" i="31"/>
  <c r="A64" i="31" s="1"/>
  <c r="A1" i="31"/>
  <c r="A63" i="31" s="1"/>
  <c r="P74" i="31"/>
  <c r="N74" i="31"/>
  <c r="L74" i="31"/>
  <c r="J74" i="31"/>
  <c r="H74" i="31"/>
  <c r="A4" i="30" l="1"/>
  <c r="A186" i="30" s="1"/>
  <c r="A7" i="30"/>
  <c r="A189" i="30" s="1"/>
  <c r="A2" i="30"/>
  <c r="A184" i="30" s="1"/>
  <c r="A1" i="30"/>
  <c r="A183" i="30" s="1"/>
  <c r="A24" i="28"/>
  <c r="H16" i="28"/>
  <c r="D24" i="16" s="1"/>
  <c r="F23" i="68" s="1"/>
  <c r="G23" i="68" s="1"/>
  <c r="E16" i="28"/>
  <c r="E14" i="28"/>
  <c r="A62" i="30" l="1"/>
  <c r="A123" i="30"/>
  <c r="A67" i="30"/>
  <c r="A128" i="30"/>
  <c r="A61" i="30"/>
  <c r="A122" i="30"/>
  <c r="A64" i="30"/>
  <c r="A125" i="30"/>
  <c r="H14" i="28"/>
  <c r="D25" i="16" s="1"/>
  <c r="F24" i="68" s="1"/>
  <c r="G24" i="68" s="1"/>
  <c r="H12" i="28"/>
  <c r="D23" i="16" s="1"/>
  <c r="F22" i="68" s="1"/>
  <c r="G22" i="68" s="1"/>
  <c r="A7" i="28"/>
  <c r="A28" i="28" s="1"/>
  <c r="A4" i="28"/>
  <c r="A2" i="28"/>
  <c r="A23" i="28" s="1"/>
  <c r="A1" i="28"/>
  <c r="A22" i="28" s="1"/>
  <c r="E49" i="25"/>
  <c r="E47" i="26"/>
  <c r="C47" i="26"/>
  <c r="E22" i="26"/>
  <c r="C22" i="26"/>
  <c r="A33" i="26"/>
  <c r="A28" i="26"/>
  <c r="D16" i="26"/>
  <c r="D14" i="26"/>
  <c r="A7" i="26"/>
  <c r="A32" i="26" s="1"/>
  <c r="A2" i="26"/>
  <c r="A27" i="26" s="1"/>
  <c r="A1" i="26"/>
  <c r="A26" i="26" s="1"/>
  <c r="F43" i="25"/>
  <c r="F41" i="25"/>
  <c r="F39" i="25"/>
  <c r="A34" i="25"/>
  <c r="A29" i="25"/>
  <c r="F17" i="25"/>
  <c r="F15" i="25"/>
  <c r="A7" i="25"/>
  <c r="A33" i="25" s="1"/>
  <c r="A2" i="25"/>
  <c r="A28" i="25" s="1"/>
  <c r="A1" i="25"/>
  <c r="A27" i="25" s="1"/>
  <c r="E23" i="25" l="1"/>
  <c r="F13" i="25"/>
  <c r="A71" i="23" l="1"/>
  <c r="A69" i="23"/>
  <c r="A66" i="23"/>
  <c r="A15" i="23"/>
  <c r="A16" i="23" s="1"/>
  <c r="A17" i="23" s="1"/>
  <c r="A18" i="23" s="1"/>
  <c r="A20" i="23" s="1"/>
  <c r="A21" i="23" s="1"/>
  <c r="A22" i="23" s="1"/>
  <c r="A7" i="23"/>
  <c r="A4" i="23"/>
  <c r="A67" i="23" s="1"/>
  <c r="A2" i="23"/>
  <c r="A1" i="23"/>
  <c r="A65" i="23" l="1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s="1"/>
  <c r="A24" i="23"/>
  <c r="A64" i="23"/>
  <c r="A70" i="23"/>
  <c r="E47" i="20" l="1"/>
  <c r="D47" i="20"/>
  <c r="C47" i="20"/>
  <c r="F45" i="20"/>
  <c r="F43" i="20"/>
  <c r="F41" i="20"/>
  <c r="F39" i="20"/>
  <c r="E22" i="20"/>
  <c r="D22" i="20"/>
  <c r="A33" i="20"/>
  <c r="A28" i="20"/>
  <c r="F20" i="20"/>
  <c r="G20" i="20" s="1"/>
  <c r="F18" i="20"/>
  <c r="G18" i="20" s="1"/>
  <c r="F16" i="20"/>
  <c r="G16" i="20" s="1"/>
  <c r="F14" i="20"/>
  <c r="G14" i="20" s="1"/>
  <c r="D12" i="40" s="1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A98" i="19"/>
  <c r="A96" i="19"/>
  <c r="A93" i="19"/>
  <c r="A53" i="19"/>
  <c r="A51" i="19"/>
  <c r="A48" i="19"/>
  <c r="H17" i="19"/>
  <c r="A14" i="19"/>
  <c r="A15" i="19" s="1"/>
  <c r="A16" i="19" s="1"/>
  <c r="A17" i="19" s="1"/>
  <c r="A19" i="19" s="1"/>
  <c r="A20" i="19" s="1"/>
  <c r="A21" i="19" s="1"/>
  <c r="A7" i="19"/>
  <c r="A52" i="19" s="1"/>
  <c r="A4" i="19"/>
  <c r="A94" i="19" s="1"/>
  <c r="A2" i="19"/>
  <c r="A92" i="19" s="1"/>
  <c r="A1" i="19"/>
  <c r="J41" i="20" l="1"/>
  <c r="G41" i="20"/>
  <c r="G43" i="20"/>
  <c r="E32" i="40" s="1"/>
  <c r="G45" i="20"/>
  <c r="E33" i="40" s="1"/>
  <c r="I45" i="20" s="1"/>
  <c r="J45" i="20" s="1"/>
  <c r="E114" i="19"/>
  <c r="O114" i="19" s="1"/>
  <c r="P114" i="19" s="1"/>
  <c r="E74" i="19"/>
  <c r="O74" i="19" s="1"/>
  <c r="P74" i="19" s="1"/>
  <c r="E90" i="19"/>
  <c r="E28" i="19"/>
  <c r="O28" i="19" s="1"/>
  <c r="P28" i="19" s="1"/>
  <c r="E62" i="19"/>
  <c r="O62" i="19" s="1"/>
  <c r="P62" i="19" s="1"/>
  <c r="F61" i="19" s="1"/>
  <c r="E39" i="19"/>
  <c r="O39" i="19" s="1"/>
  <c r="P39" i="19" s="1"/>
  <c r="F47" i="20"/>
  <c r="F22" i="20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91" i="19"/>
  <c r="A46" i="19"/>
  <c r="A49" i="19"/>
  <c r="A97" i="19"/>
  <c r="A38" i="18"/>
  <c r="A34" i="18"/>
  <c r="A33" i="18"/>
  <c r="A7" i="18"/>
  <c r="A37" i="18" s="1"/>
  <c r="A4" i="18"/>
  <c r="A2" i="18"/>
  <c r="A32" i="18" s="1"/>
  <c r="A1" i="18"/>
  <c r="A31" i="18" s="1"/>
  <c r="N114" i="17"/>
  <c r="N28" i="17"/>
  <c r="N39" i="17"/>
  <c r="N62" i="17"/>
  <c r="N74" i="17"/>
  <c r="I43" i="20" l="1"/>
  <c r="J43" i="20" s="1"/>
  <c r="L18" i="58"/>
  <c r="L23" i="58" s="1"/>
  <c r="C17" i="67"/>
  <c r="E17" i="67" s="1"/>
  <c r="E48" i="18"/>
  <c r="F48" i="18" s="1"/>
  <c r="H61" i="19" s="1"/>
  <c r="H62" i="19" s="1"/>
  <c r="G61" i="19"/>
  <c r="C17" i="68"/>
  <c r="E17" i="68" s="1"/>
  <c r="F18" i="31"/>
  <c r="F17" i="31" s="1"/>
  <c r="D18" i="31"/>
  <c r="D17" i="31" s="1"/>
  <c r="F113" i="19"/>
  <c r="F109" i="19"/>
  <c r="F105" i="19"/>
  <c r="F111" i="19"/>
  <c r="F110" i="19"/>
  <c r="G110" i="19" s="1"/>
  <c r="I110" i="19" s="1"/>
  <c r="E100" i="47" s="1"/>
  <c r="F106" i="19"/>
  <c r="F112" i="19"/>
  <c r="F108" i="19"/>
  <c r="F104" i="19"/>
  <c r="F107" i="19"/>
  <c r="E56" i="18" s="1"/>
  <c r="F56" i="18" s="1"/>
  <c r="E116" i="19"/>
  <c r="F71" i="19"/>
  <c r="F67" i="19"/>
  <c r="F70" i="19"/>
  <c r="F66" i="19"/>
  <c r="F73" i="19"/>
  <c r="E49" i="18" s="1"/>
  <c r="F49" i="18" s="1"/>
  <c r="H73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F22" i="19"/>
  <c r="F25" i="19"/>
  <c r="F21" i="19"/>
  <c r="F36" i="19"/>
  <c r="F32" i="19"/>
  <c r="F38" i="19"/>
  <c r="E47" i="18" s="1"/>
  <c r="F47" i="18" s="1"/>
  <c r="H38" i="19" s="1"/>
  <c r="H39" i="19" s="1"/>
  <c r="F35" i="19"/>
  <c r="F31" i="19"/>
  <c r="F34" i="19"/>
  <c r="F37" i="19"/>
  <c r="F33" i="19"/>
  <c r="I61" i="19" l="1"/>
  <c r="E50" i="47" s="1"/>
  <c r="G26" i="19"/>
  <c r="E45" i="18"/>
  <c r="F45" i="18" s="1"/>
  <c r="H26" i="19" s="1"/>
  <c r="H107" i="19"/>
  <c r="H114" i="19" s="1"/>
  <c r="H67" i="19"/>
  <c r="G18" i="31"/>
  <c r="R21" i="58"/>
  <c r="C15" i="67"/>
  <c r="E15" i="67" s="1"/>
  <c r="E18" i="31"/>
  <c r="G21" i="19"/>
  <c r="E42" i="18"/>
  <c r="F42" i="18" s="1"/>
  <c r="H70" i="19" s="1"/>
  <c r="G25" i="19"/>
  <c r="E44" i="18"/>
  <c r="F44" i="18" s="1"/>
  <c r="G27" i="19"/>
  <c r="E46" i="18"/>
  <c r="F46" i="18" s="1"/>
  <c r="G22" i="19"/>
  <c r="E43" i="18"/>
  <c r="F43" i="18" s="1"/>
  <c r="I20" i="19"/>
  <c r="E21" i="47" s="1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7" i="17"/>
  <c r="A52" i="17" s="1"/>
  <c r="A2" i="17"/>
  <c r="A47" i="17" s="1"/>
  <c r="A1" i="17"/>
  <c r="A91" i="17" s="1"/>
  <c r="I26" i="19" l="1"/>
  <c r="E27" i="47" s="1"/>
  <c r="H74" i="19"/>
  <c r="H22" i="19"/>
  <c r="I22" i="19" s="1"/>
  <c r="E23" i="47" s="1"/>
  <c r="H79" i="19"/>
  <c r="H25" i="19"/>
  <c r="I25" i="19" s="1"/>
  <c r="E26" i="47" s="1"/>
  <c r="F19" i="31"/>
  <c r="G17" i="31"/>
  <c r="D19" i="31"/>
  <c r="E17" i="31"/>
  <c r="G28" i="19"/>
  <c r="H27" i="19"/>
  <c r="I27" i="19" s="1"/>
  <c r="E28" i="47" s="1"/>
  <c r="H21" i="19"/>
  <c r="I21" i="19" s="1"/>
  <c r="E22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46" i="17"/>
  <c r="A49" i="17"/>
  <c r="F21" i="31" l="1"/>
  <c r="G19" i="31"/>
  <c r="D21" i="31"/>
  <c r="E19" i="31"/>
  <c r="H28" i="19"/>
  <c r="E29" i="47"/>
  <c r="I28" i="19"/>
  <c r="H17" i="17"/>
  <c r="F60" i="31" l="1"/>
  <c r="G21" i="31"/>
  <c r="D60" i="31"/>
  <c r="E21" i="31"/>
  <c r="F123" i="31" l="1"/>
  <c r="G60" i="31"/>
  <c r="D123" i="31"/>
  <c r="E60" i="31"/>
  <c r="A5" i="16" l="1"/>
  <c r="A8" i="16"/>
  <c r="A4" i="16"/>
  <c r="A2" i="16"/>
  <c r="A1" i="16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 s="1"/>
  <c r="H108" i="14"/>
  <c r="D101" i="47" s="1"/>
  <c r="G101" i="47" s="1"/>
  <c r="H102" i="14"/>
  <c r="D95" i="47" s="1"/>
  <c r="G95" i="47" s="1"/>
  <c r="A96" i="14"/>
  <c r="A94" i="14"/>
  <c r="A91" i="14"/>
  <c r="H70" i="14"/>
  <c r="D61" i="47" s="1"/>
  <c r="G61" i="47" s="1"/>
  <c r="H69" i="14"/>
  <c r="D60" i="47" s="1"/>
  <c r="G60" i="47" s="1"/>
  <c r="H68" i="14"/>
  <c r="D59" i="47" s="1"/>
  <c r="G59" i="47" s="1"/>
  <c r="H67" i="14"/>
  <c r="D58" i="47" s="1"/>
  <c r="G58" i="47" s="1"/>
  <c r="H66" i="14"/>
  <c r="D57" i="47" s="1"/>
  <c r="G57" i="47" s="1"/>
  <c r="H58" i="14"/>
  <c r="D49" i="47" s="1"/>
  <c r="G49" i="47" s="1"/>
  <c r="H57" i="14"/>
  <c r="D48" i="47" s="1"/>
  <c r="G48" i="47" s="1"/>
  <c r="H56" i="14"/>
  <c r="D47" i="47" s="1"/>
  <c r="G47" i="47" s="1"/>
  <c r="A52" i="14"/>
  <c r="A50" i="14"/>
  <c r="A47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B219" i="13"/>
  <c r="B218" i="13"/>
  <c r="B217" i="13"/>
  <c r="B216" i="13"/>
  <c r="B215" i="13"/>
  <c r="B214" i="13"/>
  <c r="B213" i="13"/>
  <c r="B204" i="13"/>
  <c r="B203" i="13"/>
  <c r="B202" i="13"/>
  <c r="B201" i="13"/>
  <c r="B200" i="13"/>
  <c r="B199" i="13"/>
  <c r="B198" i="13"/>
  <c r="B197" i="13"/>
  <c r="B192" i="13"/>
  <c r="B191" i="13"/>
  <c r="B190" i="13"/>
  <c r="B184" i="13"/>
  <c r="B183" i="13"/>
  <c r="B182" i="13"/>
  <c r="B181" i="13"/>
  <c r="B180" i="13"/>
  <c r="B175" i="13"/>
  <c r="B174" i="13"/>
  <c r="B173" i="13"/>
  <c r="B172" i="13"/>
  <c r="B166" i="13"/>
  <c r="B165" i="13"/>
  <c r="B164" i="13"/>
  <c r="B163" i="13"/>
  <c r="B162" i="13"/>
  <c r="B161" i="13"/>
  <c r="B149" i="13"/>
  <c r="B148" i="13"/>
  <c r="B147" i="13"/>
  <c r="B140" i="13"/>
  <c r="B139" i="13"/>
  <c r="B138" i="13"/>
  <c r="B137" i="13"/>
  <c r="B136" i="13"/>
  <c r="B129" i="13"/>
  <c r="B128" i="13"/>
  <c r="B127" i="13"/>
  <c r="B126" i="13"/>
  <c r="B125" i="13"/>
  <c r="B124" i="13"/>
  <c r="B123" i="13"/>
  <c r="B122" i="13"/>
  <c r="B72" i="13"/>
  <c r="R1" i="13"/>
  <c r="S1" i="13" s="1"/>
  <c r="T1" i="13" s="1"/>
  <c r="D61" i="19" l="1"/>
  <c r="E59" i="14"/>
  <c r="E50" i="11" s="1"/>
  <c r="F110" i="12"/>
  <c r="A95" i="14"/>
  <c r="F19" i="12"/>
  <c r="F34" i="12"/>
  <c r="F63" i="12"/>
  <c r="F78" i="12"/>
  <c r="F107" i="12"/>
  <c r="D27" i="19"/>
  <c r="D38" i="19"/>
  <c r="F23" i="12"/>
  <c r="F41" i="12"/>
  <c r="F67" i="12"/>
  <c r="F82" i="12"/>
  <c r="F103" i="12"/>
  <c r="F13" i="12"/>
  <c r="F24" i="12"/>
  <c r="F35" i="12"/>
  <c r="F57" i="12"/>
  <c r="F68" i="12"/>
  <c r="F79" i="12"/>
  <c r="F87" i="12"/>
  <c r="F108" i="12"/>
  <c r="F14" i="12"/>
  <c r="F21" i="12"/>
  <c r="F25" i="12"/>
  <c r="F32" i="12"/>
  <c r="F36" i="12"/>
  <c r="F43" i="12"/>
  <c r="F58" i="12"/>
  <c r="F65" i="12"/>
  <c r="F69" i="12"/>
  <c r="F76" i="12"/>
  <c r="F80" i="12"/>
  <c r="F84" i="12"/>
  <c r="F101" i="12"/>
  <c r="F105" i="12"/>
  <c r="F109" i="12"/>
  <c r="A45" i="14"/>
  <c r="E63" i="14"/>
  <c r="D89" i="19"/>
  <c r="D90" i="19" s="1"/>
  <c r="F30" i="12"/>
  <c r="F56" i="12"/>
  <c r="F71" i="12"/>
  <c r="F86" i="12"/>
  <c r="F20" i="12"/>
  <c r="F31" i="12"/>
  <c r="F42" i="12"/>
  <c r="F64" i="12"/>
  <c r="F75" i="12"/>
  <c r="F83" i="12"/>
  <c r="F104" i="12"/>
  <c r="D73" i="19"/>
  <c r="D74" i="19" s="1"/>
  <c r="F15" i="12"/>
  <c r="F22" i="12"/>
  <c r="F26" i="12"/>
  <c r="F33" i="12"/>
  <c r="F37" i="12"/>
  <c r="F44" i="12"/>
  <c r="F59" i="12"/>
  <c r="F66" i="12"/>
  <c r="F70" i="12"/>
  <c r="F77" i="12"/>
  <c r="F81" i="12"/>
  <c r="F85" i="12"/>
  <c r="F102" i="12"/>
  <c r="F106" i="12"/>
  <c r="E26" i="14"/>
  <c r="E48" i="11" s="1"/>
  <c r="E70" i="14"/>
  <c r="E109" i="14"/>
  <c r="E43" i="14"/>
  <c r="D17" i="19"/>
  <c r="E87" i="14"/>
  <c r="D60" i="14"/>
  <c r="C47" i="15" s="1"/>
  <c r="D114" i="19"/>
  <c r="E103" i="14"/>
  <c r="E85" i="14"/>
  <c r="E41" i="14"/>
  <c r="D42" i="19"/>
  <c r="D27" i="14"/>
  <c r="C43" i="15" s="1"/>
  <c r="D21" i="19"/>
  <c r="D28" i="19" s="1"/>
  <c r="D38" i="14"/>
  <c r="C45" i="15" s="1"/>
  <c r="D31" i="19"/>
  <c r="E19" i="14"/>
  <c r="E43" i="11" s="1"/>
  <c r="H109" i="14"/>
  <c r="D102" i="47" s="1"/>
  <c r="G102" i="47" s="1"/>
  <c r="E58" i="14"/>
  <c r="E68" i="14"/>
  <c r="E66" i="14"/>
  <c r="E56" i="14"/>
  <c r="E69" i="14"/>
  <c r="E34" i="14"/>
  <c r="E36" i="14"/>
  <c r="F41" i="15"/>
  <c r="A29" i="15"/>
  <c r="E81" i="14"/>
  <c r="E55" i="11" s="1"/>
  <c r="D72" i="14"/>
  <c r="C49" i="15" s="1"/>
  <c r="E30" i="14"/>
  <c r="D16" i="14"/>
  <c r="C41" i="15" s="1"/>
  <c r="E106" i="14"/>
  <c r="E77" i="14"/>
  <c r="E65" i="14"/>
  <c r="E32" i="14"/>
  <c r="E21" i="14"/>
  <c r="E45" i="11" s="1"/>
  <c r="A48" i="14"/>
  <c r="H31" i="14"/>
  <c r="D33" i="47" s="1"/>
  <c r="G33" i="47" s="1"/>
  <c r="E31" i="14"/>
  <c r="E24" i="14"/>
  <c r="E46" i="11" s="1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E44" i="11" s="1"/>
  <c r="F27" i="14"/>
  <c r="E43" i="15" s="1"/>
  <c r="E37" i="14"/>
  <c r="E49" i="11" s="1"/>
  <c r="F49" i="11" s="1"/>
  <c r="G37" i="14" s="1"/>
  <c r="G38" i="14" s="1"/>
  <c r="F45" i="15" s="1"/>
  <c r="F60" i="14"/>
  <c r="E47" i="15" s="1"/>
  <c r="H41" i="14"/>
  <c r="D43" i="47" s="1"/>
  <c r="G43" i="47" s="1"/>
  <c r="E42" i="14"/>
  <c r="E44" i="14"/>
  <c r="E57" i="14"/>
  <c r="E64" i="14"/>
  <c r="E67" i="14"/>
  <c r="E75" i="14"/>
  <c r="E79" i="14"/>
  <c r="E53" i="11" s="1"/>
  <c r="E83" i="14"/>
  <c r="A90" i="14"/>
  <c r="E104" i="14"/>
  <c r="E58" i="11" s="1"/>
  <c r="F58" i="11" s="1"/>
  <c r="H107" i="14"/>
  <c r="D100" i="47" s="1"/>
  <c r="E108" i="14"/>
  <c r="E110" i="14" s="1"/>
  <c r="E101" i="14"/>
  <c r="E25" i="14"/>
  <c r="E47" i="11" s="1"/>
  <c r="E71" i="14"/>
  <c r="E51" i="11" s="1"/>
  <c r="F51" i="11" s="1"/>
  <c r="G71" i="14" s="1"/>
  <c r="D88" i="14"/>
  <c r="C51" i="15" s="1"/>
  <c r="H77" i="14"/>
  <c r="D80" i="47" s="1"/>
  <c r="G80" i="47" s="1"/>
  <c r="E78" i="14"/>
  <c r="E52" i="11" s="1"/>
  <c r="E82" i="14"/>
  <c r="H85" i="14"/>
  <c r="D88" i="47" s="1"/>
  <c r="G88" i="47" s="1"/>
  <c r="E86" i="14"/>
  <c r="H101" i="14"/>
  <c r="D94" i="47" s="1"/>
  <c r="G94" i="47" s="1"/>
  <c r="E102" i="14"/>
  <c r="H106" i="14"/>
  <c r="D99" i="47" s="1"/>
  <c r="G99" i="47" s="1"/>
  <c r="F38" i="14"/>
  <c r="E45" i="15" s="1"/>
  <c r="H30" i="14"/>
  <c r="D32" i="47" s="1"/>
  <c r="G32" i="47" s="1"/>
  <c r="F72" i="14"/>
  <c r="E49" i="15" s="1"/>
  <c r="H63" i="14"/>
  <c r="D54" i="47" s="1"/>
  <c r="G54" i="47" s="1"/>
  <c r="H64" i="14"/>
  <c r="D55" i="47" s="1"/>
  <c r="G55" i="47" s="1"/>
  <c r="H65" i="14"/>
  <c r="D56" i="47" s="1"/>
  <c r="G56" i="47" s="1"/>
  <c r="H75" i="14"/>
  <c r="D78" i="47" s="1"/>
  <c r="G78" i="47" s="1"/>
  <c r="H83" i="14"/>
  <c r="D86" i="47" s="1"/>
  <c r="G86" i="47" s="1"/>
  <c r="D111" i="14"/>
  <c r="C53" i="15" s="1"/>
  <c r="H103" i="14"/>
  <c r="D96" i="47" s="1"/>
  <c r="G96" i="47" s="1"/>
  <c r="D62" i="19" l="1"/>
  <c r="F50" i="11"/>
  <c r="G59" i="14" s="1"/>
  <c r="H59" i="14" s="1"/>
  <c r="K49" i="11"/>
  <c r="K50" i="11" s="1"/>
  <c r="F47" i="11"/>
  <c r="G25" i="14" s="1"/>
  <c r="H25" i="14" s="1"/>
  <c r="D27" i="47" s="1"/>
  <c r="G27" i="47" s="1"/>
  <c r="F52" i="11"/>
  <c r="G78" i="14" s="1"/>
  <c r="H78" i="14" s="1"/>
  <c r="D81" i="47" s="1"/>
  <c r="G81" i="47" s="1"/>
  <c r="F55" i="11"/>
  <c r="G81" i="14" s="1"/>
  <c r="H81" i="14" s="1"/>
  <c r="D84" i="47" s="1"/>
  <c r="G84" i="47" s="1"/>
  <c r="F53" i="11"/>
  <c r="G79" i="14" s="1"/>
  <c r="H79" i="14" s="1"/>
  <c r="D82" i="47" s="1"/>
  <c r="G82" i="47" s="1"/>
  <c r="G104" i="14"/>
  <c r="G111" i="14" s="1"/>
  <c r="F53" i="15" s="1"/>
  <c r="G82" i="14"/>
  <c r="H82" i="14" s="1"/>
  <c r="D85" i="47" s="1"/>
  <c r="G85" i="47" s="1"/>
  <c r="D39" i="19"/>
  <c r="D116" i="19" s="1"/>
  <c r="F48" i="11"/>
  <c r="D61" i="11"/>
  <c r="D13" i="67" s="1"/>
  <c r="D16" i="67" s="1"/>
  <c r="D18" i="67" s="1"/>
  <c r="D27" i="67" s="1"/>
  <c r="G86" i="14"/>
  <c r="H86" i="14" s="1"/>
  <c r="D89" i="47" s="1"/>
  <c r="G89" i="47" s="1"/>
  <c r="F43" i="11"/>
  <c r="F45" i="11"/>
  <c r="G21" i="14" s="1"/>
  <c r="H21" i="14" s="1"/>
  <c r="D23" i="47" s="1"/>
  <c r="G23" i="47" s="1"/>
  <c r="F44" i="11"/>
  <c r="F46" i="11"/>
  <c r="G45" i="15"/>
  <c r="H37" i="14"/>
  <c r="D39" i="47" s="1"/>
  <c r="D40" i="47" s="1"/>
  <c r="F89" i="19"/>
  <c r="E55" i="18" s="1"/>
  <c r="F55" i="18" s="1"/>
  <c r="E57" i="11"/>
  <c r="F57" i="11" s="1"/>
  <c r="G87" i="14" s="1"/>
  <c r="H71" i="14"/>
  <c r="D62" i="47" s="1"/>
  <c r="G62" i="47" s="1"/>
  <c r="G72" i="14"/>
  <c r="F49" i="15" s="1"/>
  <c r="G49" i="15" s="1"/>
  <c r="G40" i="47"/>
  <c r="G51" i="47"/>
  <c r="C55" i="15"/>
  <c r="D49" i="15"/>
  <c r="D43" i="15"/>
  <c r="D45" i="15"/>
  <c r="D47" i="15"/>
  <c r="D113" i="14"/>
  <c r="R18" i="58" s="1"/>
  <c r="R23" i="58" s="1"/>
  <c r="E84" i="14"/>
  <c r="H84" i="14"/>
  <c r="D87" i="47" s="1"/>
  <c r="G87" i="47" s="1"/>
  <c r="E80" i="14"/>
  <c r="H15" i="14"/>
  <c r="D17" i="47" s="1"/>
  <c r="G17" i="47" s="1"/>
  <c r="E15" i="14"/>
  <c r="H110" i="14"/>
  <c r="D103" i="47" s="1"/>
  <c r="G103" i="47" s="1"/>
  <c r="F16" i="14"/>
  <c r="E13" i="14"/>
  <c r="H13" i="14"/>
  <c r="D15" i="47" s="1"/>
  <c r="E105" i="14"/>
  <c r="H105" i="14"/>
  <c r="D98" i="47" s="1"/>
  <c r="G98" i="47" s="1"/>
  <c r="E76" i="14"/>
  <c r="H76" i="14"/>
  <c r="D79" i="47" s="1"/>
  <c r="G79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G26" i="14" l="1"/>
  <c r="H26" i="14" s="1"/>
  <c r="D28" i="47" s="1"/>
  <c r="G19" i="14"/>
  <c r="H19" i="14" s="1"/>
  <c r="D21" i="47" s="1"/>
  <c r="G21" i="47" s="1"/>
  <c r="G60" i="14"/>
  <c r="F47" i="15" s="1"/>
  <c r="G47" i="15" s="1"/>
  <c r="D50" i="47"/>
  <c r="D51" i="47" s="1"/>
  <c r="H60" i="14"/>
  <c r="F82" i="19"/>
  <c r="E52" i="18" s="1"/>
  <c r="F52" i="18" s="1"/>
  <c r="H82" i="19" s="1"/>
  <c r="E54" i="11"/>
  <c r="F54" i="11" s="1"/>
  <c r="G80" i="14" s="1"/>
  <c r="H80" i="14" s="1"/>
  <c r="D83" i="47" s="1"/>
  <c r="G83" i="47" s="1"/>
  <c r="G24" i="14"/>
  <c r="H24" i="14" s="1"/>
  <c r="D26" i="47" s="1"/>
  <c r="G26" i="47" s="1"/>
  <c r="H104" i="14"/>
  <c r="D97" i="47" s="1"/>
  <c r="C13" i="67"/>
  <c r="R32" i="58"/>
  <c r="G20" i="14"/>
  <c r="H20" i="14" s="1"/>
  <c r="D22" i="47" s="1"/>
  <c r="G22" i="47" s="1"/>
  <c r="J18" i="58"/>
  <c r="D63" i="47"/>
  <c r="J21" i="58"/>
  <c r="G63" i="47"/>
  <c r="H72" i="14"/>
  <c r="H38" i="14"/>
  <c r="H89" i="19"/>
  <c r="H87" i="14"/>
  <c r="D90" i="47" s="1"/>
  <c r="G90" i="47" s="1"/>
  <c r="M17" i="19"/>
  <c r="I15" i="19"/>
  <c r="E16" i="47" s="1"/>
  <c r="G15" i="47"/>
  <c r="G18" i="47" s="1"/>
  <c r="D18" i="47"/>
  <c r="D53" i="15"/>
  <c r="G53" i="15"/>
  <c r="D51" i="15"/>
  <c r="F113" i="14"/>
  <c r="E41" i="15"/>
  <c r="H16" i="14"/>
  <c r="J23" i="58" l="1"/>
  <c r="J32" i="58" s="1"/>
  <c r="J43" i="58" s="1"/>
  <c r="J45" i="58" s="1"/>
  <c r="G97" i="47"/>
  <c r="G104" i="47" s="1"/>
  <c r="G29" i="47"/>
  <c r="G88" i="14"/>
  <c r="F51" i="15" s="1"/>
  <c r="G51" i="15" s="1"/>
  <c r="F61" i="11"/>
  <c r="G91" i="47"/>
  <c r="H111" i="14"/>
  <c r="D104" i="47"/>
  <c r="C16" i="67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D91" i="47"/>
  <c r="H88" i="14"/>
  <c r="N17" i="19"/>
  <c r="O17" i="19"/>
  <c r="E55" i="15"/>
  <c r="D41" i="15"/>
  <c r="G41" i="15"/>
  <c r="H110" i="12"/>
  <c r="D103" i="23" s="1"/>
  <c r="G103" i="23" s="1"/>
  <c r="H108" i="12"/>
  <c r="D101" i="23" s="1"/>
  <c r="G101" i="23" s="1"/>
  <c r="H107" i="12"/>
  <c r="D100" i="23" s="1"/>
  <c r="H106" i="12"/>
  <c r="D99" i="23" s="1"/>
  <c r="G99" i="23" s="1"/>
  <c r="H105" i="12"/>
  <c r="D98" i="23" s="1"/>
  <c r="G98" i="23" s="1"/>
  <c r="H103" i="12"/>
  <c r="D96" i="23" s="1"/>
  <c r="G96" i="23" s="1"/>
  <c r="H102" i="12"/>
  <c r="D95" i="23" s="1"/>
  <c r="H101" i="12"/>
  <c r="D94" i="23" s="1"/>
  <c r="G94" i="23" s="1"/>
  <c r="H86" i="12"/>
  <c r="D89" i="23" s="1"/>
  <c r="G89" i="23" s="1"/>
  <c r="H84" i="12"/>
  <c r="D87" i="23" s="1"/>
  <c r="G87" i="23" s="1"/>
  <c r="H83" i="12"/>
  <c r="D86" i="23" s="1"/>
  <c r="G86" i="23" s="1"/>
  <c r="H77" i="12"/>
  <c r="D80" i="23" s="1"/>
  <c r="G80" i="23" s="1"/>
  <c r="H76" i="12"/>
  <c r="D79" i="23" s="1"/>
  <c r="G79" i="23" s="1"/>
  <c r="H75" i="12"/>
  <c r="D78" i="23" s="1"/>
  <c r="G78" i="23" s="1"/>
  <c r="H70" i="12"/>
  <c r="D61" i="23" s="1"/>
  <c r="G61" i="23" s="1"/>
  <c r="H69" i="12"/>
  <c r="D60" i="23" s="1"/>
  <c r="G60" i="23" s="1"/>
  <c r="H68" i="12"/>
  <c r="D59" i="23" s="1"/>
  <c r="G59" i="23" s="1"/>
  <c r="H67" i="12"/>
  <c r="D58" i="23" s="1"/>
  <c r="G58" i="23" s="1"/>
  <c r="H66" i="12"/>
  <c r="D57" i="23" s="1"/>
  <c r="G57" i="23" s="1"/>
  <c r="H65" i="12"/>
  <c r="D56" i="23" s="1"/>
  <c r="G56" i="23" s="1"/>
  <c r="H64" i="12"/>
  <c r="D55" i="23" s="1"/>
  <c r="G55" i="23" s="1"/>
  <c r="H63" i="12"/>
  <c r="D54" i="23" s="1"/>
  <c r="G54" i="23" s="1"/>
  <c r="H58" i="12"/>
  <c r="D49" i="23" s="1"/>
  <c r="G49" i="23" s="1"/>
  <c r="H57" i="12"/>
  <c r="D48" i="23" s="1"/>
  <c r="G48" i="23" s="1"/>
  <c r="H56" i="12"/>
  <c r="D47" i="23" s="1"/>
  <c r="G47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9" i="11"/>
  <c r="A35" i="11"/>
  <c r="A34" i="11"/>
  <c r="A7" i="11"/>
  <c r="A38" i="11" s="1"/>
  <c r="A4" i="11"/>
  <c r="A2" i="11"/>
  <c r="A33" i="11" s="1"/>
  <c r="A1" i="11"/>
  <c r="A32" i="11" s="1"/>
  <c r="A51" i="10"/>
  <c r="A56" i="10"/>
  <c r="A52" i="10"/>
  <c r="A50" i="10"/>
  <c r="A8" i="10"/>
  <c r="A55" i="10" s="1"/>
  <c r="A5" i="10"/>
  <c r="A2" i="10"/>
  <c r="A49" i="10" s="1"/>
  <c r="A1" i="10"/>
  <c r="A48" i="10" s="1"/>
  <c r="A28" i="9"/>
  <c r="A24" i="9"/>
  <c r="A23" i="9"/>
  <c r="A7" i="9"/>
  <c r="A27" i="9" s="1"/>
  <c r="A4" i="9"/>
  <c r="A2" i="9"/>
  <c r="A22" i="9" s="1"/>
  <c r="A1" i="9"/>
  <c r="A21" i="9" s="1"/>
  <c r="A23" i="8"/>
  <c r="A19" i="8"/>
  <c r="A18" i="8"/>
  <c r="A7" i="8"/>
  <c r="A22" i="8" s="1"/>
  <c r="A4" i="8"/>
  <c r="A2" i="8"/>
  <c r="A17" i="8" s="1"/>
  <c r="A1" i="8"/>
  <c r="A16" i="8" s="1"/>
  <c r="A17" i="7"/>
  <c r="A21" i="7"/>
  <c r="A16" i="7"/>
  <c r="A4" i="7"/>
  <c r="A7" i="7"/>
  <c r="A20" i="7" s="1"/>
  <c r="A2" i="7"/>
  <c r="A15" i="7" s="1"/>
  <c r="A1" i="7"/>
  <c r="A14" i="7" s="1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G106" i="47" l="1"/>
  <c r="G113" i="14"/>
  <c r="A95" i="12"/>
  <c r="F55" i="15"/>
  <c r="H113" i="14"/>
  <c r="D106" i="47"/>
  <c r="A90" i="12"/>
  <c r="J47" i="58"/>
  <c r="G55" i="15"/>
  <c r="F14" i="16" s="1"/>
  <c r="P17" i="19"/>
  <c r="F14" i="19" s="1"/>
  <c r="G14" i="19" s="1"/>
  <c r="G95" i="23"/>
  <c r="G40" i="23"/>
  <c r="G51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F13" i="67" l="1"/>
  <c r="G13" i="67" s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3" i="15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D117" i="5" s="1"/>
  <c r="H114" i="5" l="1"/>
  <c r="H117" i="5" s="1"/>
  <c r="I114" i="5"/>
  <c r="I117" i="5" s="1"/>
  <c r="E63" i="4" l="1"/>
  <c r="D23" i="4"/>
  <c r="A13" i="4"/>
  <c r="A14" i="4" s="1"/>
  <c r="A15" i="4" s="1"/>
  <c r="A16" i="4" s="1"/>
  <c r="A7" i="4"/>
  <c r="A2" i="4"/>
  <c r="A1" i="4"/>
  <c r="F56" i="4" l="1"/>
  <c r="F31" i="4"/>
  <c r="F101" i="4"/>
  <c r="G69" i="4"/>
  <c r="D85" i="4"/>
  <c r="F66" i="4"/>
  <c r="D35" i="4"/>
  <c r="F32" i="4"/>
  <c r="G83" i="4"/>
  <c r="E68" i="4"/>
  <c r="E66" i="4"/>
  <c r="E86" i="4"/>
  <c r="F82" i="4"/>
  <c r="E23" i="17"/>
  <c r="E112" i="17"/>
  <c r="E108" i="17"/>
  <c r="E104" i="17"/>
  <c r="E89" i="17"/>
  <c r="E85" i="17"/>
  <c r="E81" i="17"/>
  <c r="E77" i="17"/>
  <c r="E70" i="17"/>
  <c r="E66" i="17"/>
  <c r="E59" i="17"/>
  <c r="E42" i="17"/>
  <c r="E35" i="17"/>
  <c r="E31" i="17"/>
  <c r="E24" i="17"/>
  <c r="E16" i="17"/>
  <c r="E78" i="17"/>
  <c r="E60" i="17"/>
  <c r="E36" i="17"/>
  <c r="E20" i="17"/>
  <c r="E111" i="17"/>
  <c r="E107" i="17"/>
  <c r="E88" i="17"/>
  <c r="E84" i="17"/>
  <c r="E80" i="17"/>
  <c r="E73" i="17"/>
  <c r="E69" i="17"/>
  <c r="E65" i="17"/>
  <c r="E58" i="17"/>
  <c r="E45" i="17"/>
  <c r="E38" i="17"/>
  <c r="E34" i="17"/>
  <c r="E27" i="17"/>
  <c r="E22" i="17"/>
  <c r="E15" i="17"/>
  <c r="E109" i="17"/>
  <c r="E86" i="17"/>
  <c r="E71" i="17"/>
  <c r="E43" i="17"/>
  <c r="E25" i="17"/>
  <c r="E110" i="17"/>
  <c r="E106" i="17"/>
  <c r="E87" i="17"/>
  <c r="E83" i="17"/>
  <c r="E79" i="17"/>
  <c r="E72" i="17"/>
  <c r="E68" i="17"/>
  <c r="E61" i="17"/>
  <c r="E44" i="17"/>
  <c r="E37" i="17"/>
  <c r="E33" i="17"/>
  <c r="E26" i="17"/>
  <c r="E21" i="17"/>
  <c r="E14" i="17"/>
  <c r="E113" i="17"/>
  <c r="E105" i="17"/>
  <c r="E82" i="17"/>
  <c r="E67" i="17"/>
  <c r="E32" i="17"/>
  <c r="G110" i="4"/>
  <c r="G109" i="4"/>
  <c r="G108" i="4"/>
  <c r="G107" i="4"/>
  <c r="G106" i="4"/>
  <c r="G105" i="4"/>
  <c r="G104" i="4"/>
  <c r="G103" i="4"/>
  <c r="G102" i="4"/>
  <c r="F85" i="4"/>
  <c r="F81" i="4"/>
  <c r="F77" i="4"/>
  <c r="D71" i="4"/>
  <c r="D67" i="4"/>
  <c r="D63" i="4"/>
  <c r="D34" i="4"/>
  <c r="D30" i="4"/>
  <c r="F110" i="4"/>
  <c r="F109" i="4"/>
  <c r="F108" i="4"/>
  <c r="F107" i="4"/>
  <c r="F106" i="4"/>
  <c r="F105" i="4"/>
  <c r="F104" i="4"/>
  <c r="F103" i="4"/>
  <c r="G101" i="4"/>
  <c r="F84" i="4"/>
  <c r="F80" i="4"/>
  <c r="F76" i="4"/>
  <c r="D70" i="4"/>
  <c r="D66" i="4"/>
  <c r="D37" i="4"/>
  <c r="D33" i="4"/>
  <c r="E110" i="4"/>
  <c r="E109" i="4"/>
  <c r="E108" i="4"/>
  <c r="E107" i="4"/>
  <c r="E106" i="4"/>
  <c r="E105" i="4"/>
  <c r="E104" i="4"/>
  <c r="E103" i="4"/>
  <c r="F87" i="4"/>
  <c r="F83" i="4"/>
  <c r="F79" i="4"/>
  <c r="D75" i="4"/>
  <c r="D69" i="4"/>
  <c r="D65" i="4"/>
  <c r="G36" i="4"/>
  <c r="G32" i="4"/>
  <c r="D110" i="4"/>
  <c r="D109" i="4"/>
  <c r="D108" i="4"/>
  <c r="D107" i="4"/>
  <c r="D106" i="4"/>
  <c r="D105" i="4"/>
  <c r="D104" i="4"/>
  <c r="D103" i="4"/>
  <c r="D86" i="4"/>
  <c r="D82" i="4"/>
  <c r="D78" i="4"/>
  <c r="E64" i="4"/>
  <c r="F68" i="4"/>
  <c r="F64" i="4"/>
  <c r="G35" i="4"/>
  <c r="G31" i="4"/>
  <c r="F42" i="4"/>
  <c r="G57" i="4"/>
  <c r="G34" i="4"/>
  <c r="F35" i="4"/>
  <c r="F30" i="4"/>
  <c r="E30" i="4"/>
  <c r="D102" i="4"/>
  <c r="E87" i="4"/>
  <c r="E81" i="4"/>
  <c r="E76" i="4"/>
  <c r="G67" i="4"/>
  <c r="E35" i="4"/>
  <c r="E102" i="4"/>
  <c r="D84" i="4"/>
  <c r="D79" i="4"/>
  <c r="F70" i="4"/>
  <c r="F65" i="4"/>
  <c r="E31" i="4"/>
  <c r="G87" i="4"/>
  <c r="F75" i="4"/>
  <c r="D101" i="4"/>
  <c r="G80" i="4"/>
  <c r="G64" i="4"/>
  <c r="F86" i="4"/>
  <c r="G78" i="4"/>
  <c r="E69" i="4"/>
  <c r="F41" i="4"/>
  <c r="F37" i="4"/>
  <c r="E32" i="4"/>
  <c r="E77" i="4"/>
  <c r="G81" i="4"/>
  <c r="F71" i="4"/>
  <c r="F78" i="4"/>
  <c r="G43" i="4"/>
  <c r="F58" i="4"/>
  <c r="G33" i="4"/>
  <c r="F34" i="4"/>
  <c r="E37" i="4"/>
  <c r="G77" i="4"/>
  <c r="E85" i="4"/>
  <c r="E80" i="4"/>
  <c r="G71" i="4"/>
  <c r="G66" i="4"/>
  <c r="D32" i="4"/>
  <c r="E101" i="4"/>
  <c r="D83" i="4"/>
  <c r="D77" i="4"/>
  <c r="F69" i="4"/>
  <c r="F63" i="4"/>
  <c r="E71" i="4"/>
  <c r="G84" i="4"/>
  <c r="G68" i="4"/>
  <c r="G76" i="4"/>
  <c r="E78" i="4"/>
  <c r="D31" i="4"/>
  <c r="G79" i="4"/>
  <c r="G82" i="4"/>
  <c r="D64" i="4"/>
  <c r="G37" i="4"/>
  <c r="E33" i="4"/>
  <c r="E83" i="4"/>
  <c r="G63" i="4"/>
  <c r="D80" i="4"/>
  <c r="P8" i="66"/>
  <c r="P70" i="66" s="1"/>
  <c r="J8" i="63"/>
  <c r="J8" i="64"/>
  <c r="J8" i="47"/>
  <c r="G8" i="40"/>
  <c r="G26" i="40" s="1"/>
  <c r="P8" i="31"/>
  <c r="P70" i="31" s="1"/>
  <c r="G8" i="25"/>
  <c r="G34" i="25" s="1"/>
  <c r="H8" i="28"/>
  <c r="H29" i="28" s="1"/>
  <c r="E8" i="26"/>
  <c r="E33" i="26" s="1"/>
  <c r="J8" i="23"/>
  <c r="J8" i="20"/>
  <c r="J33" i="20" s="1"/>
  <c r="I8" i="19"/>
  <c r="H8" i="18"/>
  <c r="H38" i="18" s="1"/>
  <c r="I8" i="17"/>
  <c r="F9" i="16"/>
  <c r="F8" i="69"/>
  <c r="G8" i="68"/>
  <c r="G8" i="67"/>
  <c r="F8" i="30"/>
  <c r="E9" i="33"/>
  <c r="F44" i="4"/>
  <c r="F59" i="4"/>
  <c r="G30" i="4"/>
  <c r="F33" i="4"/>
  <c r="E34" i="4"/>
  <c r="D36" i="4"/>
  <c r="F102" i="4"/>
  <c r="E84" i="4"/>
  <c r="E79" i="4"/>
  <c r="G70" i="4"/>
  <c r="G65" i="4"/>
  <c r="G85" i="4"/>
  <c r="D87" i="4"/>
  <c r="D81" i="4"/>
  <c r="D76" i="4"/>
  <c r="F67" i="4"/>
  <c r="F36" i="4"/>
  <c r="E67" i="4"/>
  <c r="E82" i="4"/>
  <c r="E65" i="4"/>
  <c r="G86" i="4"/>
  <c r="E75" i="4"/>
  <c r="E70" i="4"/>
  <c r="D68" i="4"/>
  <c r="G75" i="4"/>
  <c r="E36" i="4"/>
  <c r="G8" i="15"/>
  <c r="G36" i="15" s="1"/>
  <c r="H8" i="14"/>
  <c r="I8" i="7"/>
  <c r="I21" i="7" s="1"/>
  <c r="I8" i="5"/>
  <c r="H8" i="12"/>
  <c r="H8" i="11"/>
  <c r="H39" i="11" s="1"/>
  <c r="K9" i="10"/>
  <c r="K56" i="10" s="1"/>
  <c r="N8" i="9"/>
  <c r="N28" i="9" s="1"/>
  <c r="H8" i="8"/>
  <c r="H23" i="8" s="1"/>
  <c r="H8" i="4"/>
  <c r="H96" i="4" s="1"/>
  <c r="A89" i="4"/>
  <c r="A45" i="4"/>
  <c r="A95" i="4"/>
  <c r="A51" i="4"/>
  <c r="A90" i="4"/>
  <c r="A46" i="4"/>
  <c r="A92" i="4"/>
  <c r="A48" i="4"/>
  <c r="A18" i="4"/>
  <c r="A19" i="4" s="1"/>
  <c r="A20" i="4" s="1"/>
  <c r="D58" i="4"/>
  <c r="G58" i="4"/>
  <c r="G42" i="4"/>
  <c r="G59" i="4"/>
  <c r="D44" i="4"/>
  <c r="D41" i="4"/>
  <c r="E44" i="4"/>
  <c r="D59" i="4"/>
  <c r="G41" i="4"/>
  <c r="G44" i="4"/>
  <c r="E59" i="4"/>
  <c r="G56" i="4"/>
  <c r="D56" i="4"/>
  <c r="E41" i="4"/>
  <c r="E42" i="4"/>
  <c r="D42" i="4"/>
  <c r="E56" i="4"/>
  <c r="E58" i="4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J288" i="64" l="1"/>
  <c r="J344" i="64"/>
  <c r="K19" i="18"/>
  <c r="K20" i="18" s="1"/>
  <c r="H86" i="4"/>
  <c r="D86" i="12" s="1"/>
  <c r="E86" i="12" s="1"/>
  <c r="H87" i="4"/>
  <c r="D87" i="12" s="1"/>
  <c r="H106" i="4"/>
  <c r="D106" i="12" s="1"/>
  <c r="H110" i="4"/>
  <c r="D110" i="12" s="1"/>
  <c r="D113" i="17" s="1"/>
  <c r="H32" i="4"/>
  <c r="D32" i="12" s="1"/>
  <c r="D33" i="17" s="1"/>
  <c r="H68" i="4"/>
  <c r="D68" i="12" s="1"/>
  <c r="D70" i="17" s="1"/>
  <c r="H65" i="4"/>
  <c r="D65" i="12" s="1"/>
  <c r="D67" i="17" s="1"/>
  <c r="H105" i="4"/>
  <c r="D105" i="12" s="1"/>
  <c r="E105" i="12" s="1"/>
  <c r="F28" i="11" s="1"/>
  <c r="H109" i="4"/>
  <c r="D109" i="12" s="1"/>
  <c r="D112" i="17" s="1"/>
  <c r="G38" i="4"/>
  <c r="F72" i="4"/>
  <c r="H85" i="4"/>
  <c r="D85" i="12" s="1"/>
  <c r="E85" i="12" s="1"/>
  <c r="H33" i="4"/>
  <c r="D33" i="12" s="1"/>
  <c r="D34" i="17" s="1"/>
  <c r="H71" i="4"/>
  <c r="D71" i="12" s="1"/>
  <c r="H30" i="4"/>
  <c r="D30" i="12" s="1"/>
  <c r="D31" i="17" s="1"/>
  <c r="H70" i="4"/>
  <c r="D70" i="12" s="1"/>
  <c r="D72" i="17" s="1"/>
  <c r="H101" i="4"/>
  <c r="D101" i="12" s="1"/>
  <c r="D104" i="17" s="1"/>
  <c r="H76" i="4"/>
  <c r="D76" i="12" s="1"/>
  <c r="E76" i="12" s="1"/>
  <c r="G72" i="4"/>
  <c r="H83" i="4"/>
  <c r="D83" i="12" s="1"/>
  <c r="D85" i="17" s="1"/>
  <c r="H69" i="4"/>
  <c r="D69" i="12" s="1"/>
  <c r="D71" i="17" s="1"/>
  <c r="H82" i="4"/>
  <c r="D82" i="12" s="1"/>
  <c r="D84" i="17" s="1"/>
  <c r="H63" i="4"/>
  <c r="D63" i="12" s="1"/>
  <c r="E63" i="12" s="1"/>
  <c r="E111" i="4"/>
  <c r="G88" i="4"/>
  <c r="F38" i="4"/>
  <c r="E88" i="4"/>
  <c r="H80" i="4"/>
  <c r="D80" i="12" s="1"/>
  <c r="E80" i="12" s="1"/>
  <c r="E23" i="11" s="1"/>
  <c r="F23" i="11" s="1"/>
  <c r="G80" i="12" s="1"/>
  <c r="H80" i="12" s="1"/>
  <c r="D83" i="23" s="1"/>
  <c r="G83" i="23" s="1"/>
  <c r="H31" i="4"/>
  <c r="D31" i="12" s="1"/>
  <c r="D32" i="17" s="1"/>
  <c r="H84" i="4"/>
  <c r="D84" i="12" s="1"/>
  <c r="E84" i="12" s="1"/>
  <c r="D88" i="4"/>
  <c r="H66" i="4"/>
  <c r="D66" i="12" s="1"/>
  <c r="E66" i="12" s="1"/>
  <c r="H81" i="4"/>
  <c r="D81" i="12" s="1"/>
  <c r="D83" i="17" s="1"/>
  <c r="H64" i="4"/>
  <c r="D64" i="12" s="1"/>
  <c r="D66" i="17" s="1"/>
  <c r="D111" i="4"/>
  <c r="H78" i="4"/>
  <c r="D78" i="12" s="1"/>
  <c r="E78" i="12" s="1"/>
  <c r="E21" i="11" s="1"/>
  <c r="F21" i="11" s="1"/>
  <c r="G78" i="12" s="1"/>
  <c r="H78" i="12" s="1"/>
  <c r="D81" i="23" s="1"/>
  <c r="G81" i="23" s="1"/>
  <c r="H104" i="4"/>
  <c r="D104" i="12" s="1"/>
  <c r="D107" i="17" s="1"/>
  <c r="H108" i="4"/>
  <c r="D108" i="12" s="1"/>
  <c r="H37" i="4"/>
  <c r="D37" i="12" s="1"/>
  <c r="F111" i="4"/>
  <c r="H34" i="4"/>
  <c r="D34" i="12" s="1"/>
  <c r="D35" i="17" s="1"/>
  <c r="D72" i="4"/>
  <c r="H79" i="4"/>
  <c r="D79" i="12" s="1"/>
  <c r="E79" i="12" s="1"/>
  <c r="E22" i="11" s="1"/>
  <c r="F22" i="11" s="1"/>
  <c r="G79" i="12" s="1"/>
  <c r="H79" i="12" s="1"/>
  <c r="D82" i="23" s="1"/>
  <c r="G82" i="23" s="1"/>
  <c r="E72" i="4"/>
  <c r="E109" i="12"/>
  <c r="H77" i="4"/>
  <c r="D77" i="12" s="1"/>
  <c r="E77" i="12" s="1"/>
  <c r="H36" i="4"/>
  <c r="D36" i="12" s="1"/>
  <c r="E36" i="12" s="1"/>
  <c r="H75" i="4"/>
  <c r="D75" i="12" s="1"/>
  <c r="H67" i="4"/>
  <c r="D67" i="12" s="1"/>
  <c r="D69" i="17" s="1"/>
  <c r="E38" i="4"/>
  <c r="F88" i="4"/>
  <c r="H35" i="4"/>
  <c r="D35" i="12" s="1"/>
  <c r="D36" i="17" s="1"/>
  <c r="D38" i="4"/>
  <c r="H102" i="4"/>
  <c r="D102" i="12" s="1"/>
  <c r="D105" i="17" s="1"/>
  <c r="F129" i="69"/>
  <c r="F68" i="69"/>
  <c r="F190" i="69"/>
  <c r="I98" i="19"/>
  <c r="I53" i="19"/>
  <c r="E17" i="17"/>
  <c r="E39" i="17"/>
  <c r="O39" i="17" s="1"/>
  <c r="P39" i="17" s="1"/>
  <c r="J64" i="63"/>
  <c r="J120" i="63"/>
  <c r="F190" i="30"/>
  <c r="F68" i="30"/>
  <c r="F129" i="30"/>
  <c r="J71" i="47"/>
  <c r="G111" i="4"/>
  <c r="I98" i="17"/>
  <c r="I53" i="17"/>
  <c r="J71" i="23"/>
  <c r="J64" i="64"/>
  <c r="J120" i="64"/>
  <c r="J232" i="64"/>
  <c r="J176" i="64"/>
  <c r="H103" i="4"/>
  <c r="D103" i="12" s="1"/>
  <c r="H107" i="4"/>
  <c r="D107" i="12" s="1"/>
  <c r="D110" i="17" s="1"/>
  <c r="E74" i="17"/>
  <c r="O74" i="17" s="1"/>
  <c r="P74" i="17" s="1"/>
  <c r="E28" i="17"/>
  <c r="O28" i="17" s="1"/>
  <c r="P28" i="17" s="1"/>
  <c r="E62" i="17"/>
  <c r="O62" i="17" s="1"/>
  <c r="P62" i="17" s="1"/>
  <c r="E90" i="17"/>
  <c r="E114" i="17"/>
  <c r="O114" i="17" s="1"/>
  <c r="P114" i="17" s="1"/>
  <c r="F60" i="4"/>
  <c r="D60" i="4"/>
  <c r="E60" i="4"/>
  <c r="G60" i="4"/>
  <c r="H52" i="14"/>
  <c r="H96" i="14"/>
  <c r="H52" i="4"/>
  <c r="I107" i="5"/>
  <c r="I58" i="5"/>
  <c r="H52" i="12"/>
  <c r="H96" i="12"/>
  <c r="A21" i="4"/>
  <c r="A23" i="4" s="1"/>
  <c r="A24" i="4" s="1"/>
  <c r="A25" i="4" s="1"/>
  <c r="A26" i="4" s="1"/>
  <c r="A27" i="4" s="1"/>
  <c r="A22" i="4"/>
  <c r="H41" i="4"/>
  <c r="H44" i="4"/>
  <c r="D44" i="12" s="1"/>
  <c r="H58" i="4"/>
  <c r="D58" i="12" s="1"/>
  <c r="H59" i="4"/>
  <c r="D59" i="12" s="1"/>
  <c r="H42" i="4"/>
  <c r="D42" i="12" s="1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G85" i="12" l="1"/>
  <c r="H85" i="12" s="1"/>
  <c r="D88" i="23" s="1"/>
  <c r="G88" i="23" s="1"/>
  <c r="H18" i="59"/>
  <c r="H23" i="59" s="1"/>
  <c r="H32" i="59" s="1"/>
  <c r="H43" i="59" s="1"/>
  <c r="H47" i="59" s="1"/>
  <c r="D88" i="17"/>
  <c r="E32" i="12"/>
  <c r="E104" i="12"/>
  <c r="E27" i="11" s="1"/>
  <c r="F27" i="11" s="1"/>
  <c r="G104" i="12" s="1"/>
  <c r="H104" i="12" s="1"/>
  <c r="G109" i="12"/>
  <c r="H109" i="12" s="1"/>
  <c r="D102" i="23" s="1"/>
  <c r="G102" i="23" s="1"/>
  <c r="D61" i="17"/>
  <c r="D30" i="11"/>
  <c r="D13" i="68" s="1"/>
  <c r="E59" i="12"/>
  <c r="E19" i="11" s="1"/>
  <c r="E87" i="12"/>
  <c r="E26" i="11" s="1"/>
  <c r="F26" i="11" s="1"/>
  <c r="G87" i="12" s="1"/>
  <c r="E65" i="12"/>
  <c r="G82" i="12"/>
  <c r="H82" i="12" s="1"/>
  <c r="D85" i="23" s="1"/>
  <c r="G85" i="23" s="1"/>
  <c r="E71" i="12"/>
  <c r="E20" i="11" s="1"/>
  <c r="F20" i="11" s="1"/>
  <c r="G71" i="12" s="1"/>
  <c r="E68" i="12"/>
  <c r="D86" i="17"/>
  <c r="D89" i="17"/>
  <c r="D78" i="17"/>
  <c r="D73" i="17"/>
  <c r="D65" i="17"/>
  <c r="D79" i="17"/>
  <c r="E30" i="12"/>
  <c r="D109" i="17"/>
  <c r="E106" i="12"/>
  <c r="D87" i="17"/>
  <c r="E70" i="12"/>
  <c r="D38" i="17"/>
  <c r="D68" i="17"/>
  <c r="D82" i="17"/>
  <c r="D80" i="17"/>
  <c r="E83" i="12"/>
  <c r="E35" i="12"/>
  <c r="D108" i="17"/>
  <c r="E33" i="12"/>
  <c r="E69" i="12"/>
  <c r="E101" i="12"/>
  <c r="E31" i="12"/>
  <c r="E34" i="12"/>
  <c r="E81" i="12"/>
  <c r="E24" i="11" s="1"/>
  <c r="F24" i="11" s="1"/>
  <c r="G81" i="12" s="1"/>
  <c r="H81" i="12" s="1"/>
  <c r="D84" i="23" s="1"/>
  <c r="G84" i="23" s="1"/>
  <c r="E67" i="12"/>
  <c r="D72" i="12"/>
  <c r="C21" i="15" s="1"/>
  <c r="D21" i="15" s="1"/>
  <c r="H88" i="4"/>
  <c r="E64" i="12"/>
  <c r="E82" i="12"/>
  <c r="H72" i="4"/>
  <c r="D38" i="12"/>
  <c r="C17" i="15" s="1"/>
  <c r="D17" i="15" s="1"/>
  <c r="D37" i="17"/>
  <c r="D39" i="17" s="1"/>
  <c r="E37" i="12"/>
  <c r="E18" i="11" s="1"/>
  <c r="F18" i="11" s="1"/>
  <c r="G37" i="12" s="1"/>
  <c r="D81" i="17"/>
  <c r="E108" i="12"/>
  <c r="E110" i="12" s="1"/>
  <c r="D111" i="17"/>
  <c r="H38" i="4"/>
  <c r="F110" i="17"/>
  <c r="G110" i="17" s="1"/>
  <c r="I110" i="17" s="1"/>
  <c r="E100" i="23" s="1"/>
  <c r="F104" i="17"/>
  <c r="G104" i="17" s="1"/>
  <c r="F109" i="17"/>
  <c r="G109" i="17" s="1"/>
  <c r="I109" i="17" s="1"/>
  <c r="E99" i="23" s="1"/>
  <c r="F113" i="17"/>
  <c r="G113" i="17" s="1"/>
  <c r="I113" i="17" s="1"/>
  <c r="E103" i="23" s="1"/>
  <c r="F106" i="17"/>
  <c r="G106" i="17" s="1"/>
  <c r="I106" i="17" s="1"/>
  <c r="E96" i="23" s="1"/>
  <c r="F111" i="17"/>
  <c r="G111" i="17" s="1"/>
  <c r="I111" i="17" s="1"/>
  <c r="E101" i="23" s="1"/>
  <c r="F105" i="17"/>
  <c r="G105" i="17" s="1"/>
  <c r="I105" i="17" s="1"/>
  <c r="E95" i="23" s="1"/>
  <c r="F112" i="17"/>
  <c r="G112" i="17" s="1"/>
  <c r="I112" i="17" s="1"/>
  <c r="E102" i="23" s="1"/>
  <c r="F107" i="17"/>
  <c r="F108" i="17"/>
  <c r="G108" i="17" s="1"/>
  <c r="I108" i="17" s="1"/>
  <c r="E98" i="23" s="1"/>
  <c r="F37" i="17"/>
  <c r="G37" i="17" s="1"/>
  <c r="I37" i="17" s="1"/>
  <c r="E38" i="23" s="1"/>
  <c r="F38" i="17"/>
  <c r="F32" i="17"/>
  <c r="G32" i="17" s="1"/>
  <c r="I32" i="17" s="1"/>
  <c r="E33" i="23" s="1"/>
  <c r="F33" i="17"/>
  <c r="G33" i="17" s="1"/>
  <c r="I33" i="17" s="1"/>
  <c r="E34" i="23" s="1"/>
  <c r="F34" i="17"/>
  <c r="G34" i="17" s="1"/>
  <c r="I34" i="17" s="1"/>
  <c r="E35" i="23" s="1"/>
  <c r="F35" i="17"/>
  <c r="G35" i="17" s="1"/>
  <c r="I35" i="17" s="1"/>
  <c r="E36" i="23" s="1"/>
  <c r="F36" i="17"/>
  <c r="G36" i="17" s="1"/>
  <c r="I36" i="17" s="1"/>
  <c r="E37" i="23" s="1"/>
  <c r="F31" i="17"/>
  <c r="G31" i="17" s="1"/>
  <c r="I31" i="17" s="1"/>
  <c r="E102" i="12"/>
  <c r="F60" i="17"/>
  <c r="G60" i="17" s="1"/>
  <c r="I60" i="17" s="1"/>
  <c r="E49" i="23" s="1"/>
  <c r="F42" i="17"/>
  <c r="G42" i="17" s="1"/>
  <c r="F45" i="17"/>
  <c r="G45" i="17" s="1"/>
  <c r="I45" i="17" s="1"/>
  <c r="E46" i="23" s="1"/>
  <c r="F61" i="17"/>
  <c r="F44" i="17"/>
  <c r="G44" i="17" s="1"/>
  <c r="I44" i="17" s="1"/>
  <c r="E45" i="23" s="1"/>
  <c r="F43" i="17"/>
  <c r="G43" i="17" s="1"/>
  <c r="I43" i="17" s="1"/>
  <c r="E44" i="23" s="1"/>
  <c r="F59" i="17"/>
  <c r="G59" i="17" s="1"/>
  <c r="I59" i="17" s="1"/>
  <c r="E48" i="23" s="1"/>
  <c r="F58" i="17"/>
  <c r="G58" i="17" s="1"/>
  <c r="I58" i="17" s="1"/>
  <c r="E47" i="23" s="1"/>
  <c r="D29" i="18"/>
  <c r="D15" i="68" s="1"/>
  <c r="E116" i="17"/>
  <c r="F72" i="17"/>
  <c r="G72" i="17" s="1"/>
  <c r="I72" i="17" s="1"/>
  <c r="E61" i="23" s="1"/>
  <c r="F73" i="17"/>
  <c r="F68" i="17"/>
  <c r="G68" i="17" s="1"/>
  <c r="I68" i="17" s="1"/>
  <c r="E57" i="23" s="1"/>
  <c r="F69" i="17"/>
  <c r="G69" i="17" s="1"/>
  <c r="I69" i="17" s="1"/>
  <c r="E58" i="23" s="1"/>
  <c r="F70" i="17"/>
  <c r="G70" i="17" s="1"/>
  <c r="I70" i="17" s="1"/>
  <c r="E59" i="23" s="1"/>
  <c r="F71" i="17"/>
  <c r="G71" i="17" s="1"/>
  <c r="I71" i="17" s="1"/>
  <c r="E60" i="23" s="1"/>
  <c r="F65" i="17"/>
  <c r="G65" i="17" s="1"/>
  <c r="I65" i="17" s="1"/>
  <c r="F66" i="17"/>
  <c r="G66" i="17" s="1"/>
  <c r="I66" i="17" s="1"/>
  <c r="E55" i="23" s="1"/>
  <c r="F67" i="17"/>
  <c r="G67" i="17" s="1"/>
  <c r="I67" i="17" s="1"/>
  <c r="E56" i="23" s="1"/>
  <c r="H111" i="4"/>
  <c r="D111" i="12"/>
  <c r="C25" i="15" s="1"/>
  <c r="D25" i="15" s="1"/>
  <c r="F25" i="17"/>
  <c r="F26" i="17"/>
  <c r="F23" i="17"/>
  <c r="G23" i="17" s="1"/>
  <c r="I23" i="17" s="1"/>
  <c r="E24" i="23" s="1"/>
  <c r="F20" i="17"/>
  <c r="G20" i="17" s="1"/>
  <c r="F21" i="17"/>
  <c r="F22" i="17"/>
  <c r="F27" i="17"/>
  <c r="F24" i="17"/>
  <c r="G24" i="17" s="1"/>
  <c r="I24" i="17" s="1"/>
  <c r="E25" i="23" s="1"/>
  <c r="E103" i="12"/>
  <c r="D106" i="17"/>
  <c r="D77" i="17"/>
  <c r="E75" i="12"/>
  <c r="D88" i="12"/>
  <c r="C23" i="15" s="1"/>
  <c r="D23" i="15" s="1"/>
  <c r="D59" i="17"/>
  <c r="E57" i="12"/>
  <c r="D58" i="17"/>
  <c r="E56" i="12"/>
  <c r="D60" i="17"/>
  <c r="E58" i="12"/>
  <c r="F82" i="17"/>
  <c r="D16" i="17"/>
  <c r="E15" i="12"/>
  <c r="D14" i="17"/>
  <c r="E13" i="12"/>
  <c r="D16" i="12"/>
  <c r="D27" i="17"/>
  <c r="E26" i="12"/>
  <c r="E17" i="11" s="1"/>
  <c r="D45" i="17"/>
  <c r="E44" i="12"/>
  <c r="D24" i="17"/>
  <c r="E23" i="12"/>
  <c r="D22" i="17"/>
  <c r="E21" i="12"/>
  <c r="E14" i="11" s="1"/>
  <c r="D21" i="17"/>
  <c r="E20" i="12"/>
  <c r="E13" i="11" s="1"/>
  <c r="D43" i="17"/>
  <c r="E42" i="12"/>
  <c r="H60" i="4"/>
  <c r="D41" i="12"/>
  <c r="D20" i="17"/>
  <c r="E19" i="12"/>
  <c r="D27" i="12"/>
  <c r="C15" i="15" s="1"/>
  <c r="D15" i="15" s="1"/>
  <c r="E12" i="40" s="1"/>
  <c r="D25" i="17"/>
  <c r="E24" i="12"/>
  <c r="E15" i="11" s="1"/>
  <c r="D15" i="17"/>
  <c r="E14" i="12"/>
  <c r="F15" i="17" s="1"/>
  <c r="G15" i="17" s="1"/>
  <c r="D44" i="17"/>
  <c r="E43" i="12"/>
  <c r="D26" i="17"/>
  <c r="E25" i="12"/>
  <c r="E16" i="11" s="1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D117" i="4" s="1"/>
  <c r="E113" i="4"/>
  <c r="G113" i="4"/>
  <c r="F113" i="4"/>
  <c r="H16" i="4"/>
  <c r="H27" i="4"/>
  <c r="K18" i="11" l="1"/>
  <c r="K19" i="11" s="1"/>
  <c r="F89" i="17"/>
  <c r="E25" i="18" s="1"/>
  <c r="F25" i="18" s="1"/>
  <c r="H111" i="12"/>
  <c r="F19" i="11"/>
  <c r="G59" i="12" s="1"/>
  <c r="H59" i="12" s="1"/>
  <c r="G61" i="17"/>
  <c r="G62" i="17" s="1"/>
  <c r="E18" i="18"/>
  <c r="F18" i="18" s="1"/>
  <c r="H61" i="17" s="1"/>
  <c r="H62" i="17" s="1"/>
  <c r="G82" i="17"/>
  <c r="E22" i="18"/>
  <c r="F22" i="18" s="1"/>
  <c r="H82" i="17" s="1"/>
  <c r="G26" i="17"/>
  <c r="E15" i="18"/>
  <c r="F15" i="18" s="1"/>
  <c r="H26" i="17" s="1"/>
  <c r="F16" i="11"/>
  <c r="G25" i="12" s="1"/>
  <c r="H25" i="12" s="1"/>
  <c r="D27" i="23" s="1"/>
  <c r="G27" i="23" s="1"/>
  <c r="E12" i="11"/>
  <c r="F12" i="11" s="1"/>
  <c r="G111" i="12"/>
  <c r="F25" i="15" s="1"/>
  <c r="G25" i="15" s="1"/>
  <c r="D97" i="23"/>
  <c r="G97" i="23" s="1"/>
  <c r="G104" i="23" s="1"/>
  <c r="D74" i="17"/>
  <c r="D114" i="17"/>
  <c r="D90" i="17"/>
  <c r="D16" i="68"/>
  <c r="D18" i="68" s="1"/>
  <c r="E12" i="18"/>
  <c r="F12" i="18" s="1"/>
  <c r="G21" i="17"/>
  <c r="E14" i="18"/>
  <c r="F14" i="18" s="1"/>
  <c r="H25" i="17" s="1"/>
  <c r="G25" i="17"/>
  <c r="E17" i="18"/>
  <c r="F17" i="18" s="1"/>
  <c r="H38" i="17" s="1"/>
  <c r="H39" i="17" s="1"/>
  <c r="G38" i="17"/>
  <c r="I20" i="17"/>
  <c r="C15" i="68"/>
  <c r="E15" i="68" s="1"/>
  <c r="R21" i="59"/>
  <c r="F14" i="11"/>
  <c r="G21" i="12" s="1"/>
  <c r="H21" i="12" s="1"/>
  <c r="D23" i="23" s="1"/>
  <c r="G23" i="23" s="1"/>
  <c r="F13" i="11"/>
  <c r="E16" i="18"/>
  <c r="F16" i="18" s="1"/>
  <c r="H27" i="17" s="1"/>
  <c r="G27" i="17"/>
  <c r="E54" i="23"/>
  <c r="I42" i="17"/>
  <c r="E32" i="23"/>
  <c r="I104" i="17"/>
  <c r="F15" i="11"/>
  <c r="G24" i="12" s="1"/>
  <c r="H24" i="12" s="1"/>
  <c r="D26" i="23" s="1"/>
  <c r="G26" i="23" s="1"/>
  <c r="E13" i="18"/>
  <c r="F13" i="18" s="1"/>
  <c r="H22" i="17" s="1"/>
  <c r="G22" i="17"/>
  <c r="E19" i="18"/>
  <c r="F19" i="18" s="1"/>
  <c r="H73" i="17" s="1"/>
  <c r="H74" i="17" s="1"/>
  <c r="G73" i="17"/>
  <c r="E26" i="18"/>
  <c r="F26" i="18" s="1"/>
  <c r="G107" i="17"/>
  <c r="G114" i="17" s="1"/>
  <c r="I14" i="20"/>
  <c r="J14" i="20" s="1"/>
  <c r="E17" i="40"/>
  <c r="G72" i="12"/>
  <c r="F21" i="15" s="1"/>
  <c r="G21" i="15" s="1"/>
  <c r="H71" i="12"/>
  <c r="H72" i="12" s="1"/>
  <c r="F17" i="11"/>
  <c r="D28" i="17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H117" i="4" s="1"/>
  <c r="J18" i="59" l="1"/>
  <c r="J21" i="59"/>
  <c r="F18" i="59"/>
  <c r="G89" i="17"/>
  <c r="M90" i="17" s="1"/>
  <c r="I82" i="17"/>
  <c r="E83" i="23" s="1"/>
  <c r="G60" i="12"/>
  <c r="F19" i="15" s="1"/>
  <c r="G19" i="15" s="1"/>
  <c r="D50" i="23"/>
  <c r="D51" i="23" s="1"/>
  <c r="H60" i="12"/>
  <c r="I26" i="17"/>
  <c r="E27" i="23" s="1"/>
  <c r="I61" i="17"/>
  <c r="E50" i="23" s="1"/>
  <c r="D104" i="23"/>
  <c r="H107" i="17"/>
  <c r="H114" i="17" s="1"/>
  <c r="H85" i="17"/>
  <c r="I27" i="17"/>
  <c r="E28" i="23" s="1"/>
  <c r="I22" i="20"/>
  <c r="I22" i="17"/>
  <c r="E23" i="23" s="1"/>
  <c r="G28" i="17"/>
  <c r="G20" i="12"/>
  <c r="H20" i="12" s="1"/>
  <c r="D22" i="23" s="1"/>
  <c r="G22" i="23" s="1"/>
  <c r="F30" i="11"/>
  <c r="E21" i="23"/>
  <c r="G19" i="12"/>
  <c r="H19" i="12" s="1"/>
  <c r="D21" i="23" s="1"/>
  <c r="G21" i="23" s="1"/>
  <c r="G74" i="17"/>
  <c r="I73" i="17"/>
  <c r="G39" i="17"/>
  <c r="I38" i="17"/>
  <c r="H21" i="17"/>
  <c r="E94" i="23"/>
  <c r="E43" i="23"/>
  <c r="I25" i="17"/>
  <c r="E26" i="23" s="1"/>
  <c r="D62" i="23"/>
  <c r="G62" i="23" s="1"/>
  <c r="G63" i="23" s="1"/>
  <c r="H89" i="17"/>
  <c r="G26" i="12"/>
  <c r="H26" i="12" s="1"/>
  <c r="D90" i="23"/>
  <c r="H88" i="12"/>
  <c r="C27" i="15"/>
  <c r="R18" i="59" s="1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I62" i="17" l="1"/>
  <c r="R23" i="59"/>
  <c r="R32" i="59" s="1"/>
  <c r="R43" i="59" s="1"/>
  <c r="R47" i="59" s="1"/>
  <c r="E51" i="23"/>
  <c r="I107" i="17"/>
  <c r="E97" i="23" s="1"/>
  <c r="E104" i="23" s="1"/>
  <c r="G29" i="23"/>
  <c r="C16" i="68"/>
  <c r="C18" i="68" s="1"/>
  <c r="C27" i="68" s="1"/>
  <c r="E13" i="68"/>
  <c r="E16" i="68" s="1"/>
  <c r="E18" i="68" s="1"/>
  <c r="E62" i="23"/>
  <c r="E63" i="23" s="1"/>
  <c r="I74" i="17"/>
  <c r="E39" i="23"/>
  <c r="E40" i="23" s="1"/>
  <c r="I39" i="17"/>
  <c r="I21" i="17"/>
  <c r="H28" i="17"/>
  <c r="D63" i="23"/>
  <c r="H27" i="12"/>
  <c r="H113" i="12" s="1"/>
  <c r="D28" i="23"/>
  <c r="D29" i="23" s="1"/>
  <c r="G27" i="12"/>
  <c r="I89" i="17"/>
  <c r="E90" i="23" s="1"/>
  <c r="P17" i="17"/>
  <c r="F14" i="17" s="1"/>
  <c r="G14" i="17" s="1"/>
  <c r="D91" i="23"/>
  <c r="G90" i="23"/>
  <c r="G91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H49" i="59" l="1"/>
  <c r="R49" i="59"/>
  <c r="L49" i="59"/>
  <c r="I114" i="17"/>
  <c r="G106" i="23"/>
  <c r="F16" i="17"/>
  <c r="G16" i="17" s="1"/>
  <c r="I16" i="17" s="1"/>
  <c r="E17" i="23" s="1"/>
  <c r="E22" i="23"/>
  <c r="E29" i="23" s="1"/>
  <c r="I28" i="17"/>
  <c r="D106" i="23"/>
  <c r="F15" i="15"/>
  <c r="G113" i="12"/>
  <c r="P90" i="17"/>
  <c r="F86" i="17" s="1"/>
  <c r="G86" i="17" s="1"/>
  <c r="I86" i="17" s="1"/>
  <c r="E87" i="23" s="1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G17" i="17" l="1"/>
  <c r="G15" i="15"/>
  <c r="G27" i="15" s="1"/>
  <c r="D14" i="16" s="1"/>
  <c r="F13" i="68" s="1"/>
  <c r="G13" i="68" s="1"/>
  <c r="F27" i="15"/>
  <c r="F87" i="17"/>
  <c r="G87" i="17" s="1"/>
  <c r="I87" i="17" s="1"/>
  <c r="E88" i="23" s="1"/>
  <c r="F78" i="17"/>
  <c r="G78" i="17" s="1"/>
  <c r="I78" i="17" s="1"/>
  <c r="E79" i="23" s="1"/>
  <c r="F88" i="17"/>
  <c r="G88" i="17" s="1"/>
  <c r="I88" i="17" s="1"/>
  <c r="E89" i="23" s="1"/>
  <c r="F80" i="17"/>
  <c r="F81" i="17"/>
  <c r="F83" i="17"/>
  <c r="F79" i="17"/>
  <c r="G79" i="17" s="1"/>
  <c r="I79" i="17" s="1"/>
  <c r="E80" i="23" s="1"/>
  <c r="F77" i="17"/>
  <c r="G77" i="17" s="1"/>
  <c r="I77" i="17" s="1"/>
  <c r="F84" i="17"/>
  <c r="G84" i="17" s="1"/>
  <c r="I84" i="17" s="1"/>
  <c r="E85" i="23" s="1"/>
  <c r="F85" i="17"/>
  <c r="G85" i="17" s="1"/>
  <c r="I85" i="17" s="1"/>
  <c r="E86" i="23" s="1"/>
  <c r="G39" i="19"/>
  <c r="I17" i="17"/>
  <c r="E15" i="23"/>
  <c r="E18" i="23" s="1"/>
  <c r="I32" i="19"/>
  <c r="E33" i="47" s="1"/>
  <c r="E40" i="47" s="1"/>
  <c r="G89" i="19"/>
  <c r="I89" i="19" s="1"/>
  <c r="E90" i="47" s="1"/>
  <c r="G82" i="19"/>
  <c r="G80" i="17" l="1"/>
  <c r="E20" i="18"/>
  <c r="F20" i="18" s="1"/>
  <c r="G81" i="17"/>
  <c r="E21" i="18"/>
  <c r="F21" i="18" s="1"/>
  <c r="H81" i="17" s="1"/>
  <c r="G83" i="17"/>
  <c r="E23" i="18"/>
  <c r="F23" i="18" s="1"/>
  <c r="H83" i="17" s="1"/>
  <c r="I39" i="19"/>
  <c r="E78" i="23"/>
  <c r="I82" i="19"/>
  <c r="E83" i="47" s="1"/>
  <c r="M90" i="19"/>
  <c r="G66" i="19"/>
  <c r="I66" i="19" s="1"/>
  <c r="E55" i="47" s="1"/>
  <c r="G69" i="19"/>
  <c r="I69" i="19" s="1"/>
  <c r="E58" i="47" s="1"/>
  <c r="G72" i="19"/>
  <c r="I72" i="19" s="1"/>
  <c r="E61" i="47" s="1"/>
  <c r="G68" i="19"/>
  <c r="I68" i="19" s="1"/>
  <c r="E57" i="47" s="1"/>
  <c r="G71" i="19"/>
  <c r="I71" i="19" s="1"/>
  <c r="E60" i="47" s="1"/>
  <c r="G73" i="19"/>
  <c r="I73" i="19" s="1"/>
  <c r="E62" i="47" s="1"/>
  <c r="G70" i="19"/>
  <c r="I70" i="19" s="1"/>
  <c r="E59" i="47" s="1"/>
  <c r="G65" i="19"/>
  <c r="I65" i="19" s="1"/>
  <c r="E54" i="47" s="1"/>
  <c r="G67" i="19"/>
  <c r="I67" i="19" s="1"/>
  <c r="E56" i="47" s="1"/>
  <c r="F21" i="59" l="1"/>
  <c r="F23" i="59" s="1"/>
  <c r="F32" i="59" s="1"/>
  <c r="G90" i="17"/>
  <c r="G116" i="17" s="1"/>
  <c r="H80" i="17"/>
  <c r="H90" i="17" s="1"/>
  <c r="H116" i="17" s="1"/>
  <c r="F29" i="18"/>
  <c r="J23" i="59"/>
  <c r="J32" i="59" s="1"/>
  <c r="J43" i="59" s="1"/>
  <c r="I81" i="17"/>
  <c r="E82" i="23" s="1"/>
  <c r="I83" i="17"/>
  <c r="E84" i="23" s="1"/>
  <c r="E63" i="47"/>
  <c r="O90" i="19"/>
  <c r="N90" i="19"/>
  <c r="G74" i="19"/>
  <c r="I74" i="19"/>
  <c r="G60" i="19"/>
  <c r="I60" i="19" s="1"/>
  <c r="E49" i="47" s="1"/>
  <c r="G59" i="19"/>
  <c r="I59" i="19" s="1"/>
  <c r="E48" i="47" s="1"/>
  <c r="G58" i="19"/>
  <c r="I58" i="19" s="1"/>
  <c r="E47" i="47" s="1"/>
  <c r="D21" i="59" l="1"/>
  <c r="P21" i="59" s="1"/>
  <c r="I80" i="17"/>
  <c r="J45" i="59"/>
  <c r="N45" i="59" s="1"/>
  <c r="E51" i="47"/>
  <c r="P90" i="19"/>
  <c r="I62" i="19"/>
  <c r="G62" i="19"/>
  <c r="N21" i="59" l="1"/>
  <c r="J47" i="59"/>
  <c r="J49" i="59" s="1"/>
  <c r="E81" i="23"/>
  <c r="E91" i="23" s="1"/>
  <c r="E106" i="23" s="1"/>
  <c r="I90" i="17"/>
  <c r="I116" i="17" s="1"/>
  <c r="D16" i="16" s="1"/>
  <c r="F85" i="19"/>
  <c r="G85" i="19" s="1"/>
  <c r="I85" i="19" s="1"/>
  <c r="E86" i="47" s="1"/>
  <c r="F81" i="19"/>
  <c r="F77" i="19"/>
  <c r="G77" i="19" s="1"/>
  <c r="F87" i="19"/>
  <c r="G87" i="19" s="1"/>
  <c r="I87" i="19" s="1"/>
  <c r="E88" i="47" s="1"/>
  <c r="F79" i="19"/>
  <c r="G79" i="19" s="1"/>
  <c r="I79" i="19" s="1"/>
  <c r="E80" i="47" s="1"/>
  <c r="F86" i="19"/>
  <c r="G86" i="19" s="1"/>
  <c r="I86" i="19" s="1"/>
  <c r="E87" i="47" s="1"/>
  <c r="F78" i="19"/>
  <c r="G78" i="19" s="1"/>
  <c r="I78" i="19" s="1"/>
  <c r="E79" i="47" s="1"/>
  <c r="F88" i="19"/>
  <c r="F84" i="19"/>
  <c r="G84" i="19" s="1"/>
  <c r="I84" i="19" s="1"/>
  <c r="E85" i="47" s="1"/>
  <c r="F80" i="19"/>
  <c r="F83" i="19"/>
  <c r="F15" i="68" l="1"/>
  <c r="D17" i="16"/>
  <c r="G81" i="19"/>
  <c r="E51" i="18"/>
  <c r="F51" i="18" s="1"/>
  <c r="H81" i="19" s="1"/>
  <c r="G80" i="19"/>
  <c r="E50" i="18"/>
  <c r="F50" i="18" s="1"/>
  <c r="G83" i="19"/>
  <c r="E53" i="18"/>
  <c r="F53" i="18" s="1"/>
  <c r="H83" i="19" s="1"/>
  <c r="G88" i="19"/>
  <c r="I77" i="19"/>
  <c r="E78" i="47" s="1"/>
  <c r="G112" i="19"/>
  <c r="I112" i="19" s="1"/>
  <c r="E102" i="47" s="1"/>
  <c r="G105" i="19"/>
  <c r="I105" i="19" s="1"/>
  <c r="E95" i="47" s="1"/>
  <c r="G108" i="19"/>
  <c r="I108" i="19" s="1"/>
  <c r="E98" i="47" s="1"/>
  <c r="G107" i="19"/>
  <c r="I107" i="19" s="1"/>
  <c r="E97" i="47" s="1"/>
  <c r="G106" i="19"/>
  <c r="I106" i="19" s="1"/>
  <c r="E96" i="47" s="1"/>
  <c r="G109" i="19"/>
  <c r="I109" i="19" s="1"/>
  <c r="E99" i="47" s="1"/>
  <c r="G113" i="19"/>
  <c r="I113" i="19" s="1"/>
  <c r="E103" i="47" s="1"/>
  <c r="G111" i="19"/>
  <c r="I111" i="19" s="1"/>
  <c r="E101" i="47" s="1"/>
  <c r="G104" i="19"/>
  <c r="I104" i="19" s="1"/>
  <c r="E94" i="47" s="1"/>
  <c r="H80" i="19" l="1"/>
  <c r="I80" i="19" s="1"/>
  <c r="E81" i="47" s="1"/>
  <c r="F21" i="58"/>
  <c r="G90" i="19"/>
  <c r="G15" i="68"/>
  <c r="F16" i="68"/>
  <c r="G16" i="68" s="1"/>
  <c r="I83" i="19"/>
  <c r="E84" i="47" s="1"/>
  <c r="I81" i="19"/>
  <c r="E82" i="47" s="1"/>
  <c r="L32" i="58"/>
  <c r="L43" i="58" s="1"/>
  <c r="H88" i="19"/>
  <c r="F59" i="18"/>
  <c r="E104" i="47"/>
  <c r="I114" i="19"/>
  <c r="G114" i="19"/>
  <c r="J22" i="20"/>
  <c r="D18" i="16" s="1"/>
  <c r="H22" i="20"/>
  <c r="D18" i="59" s="1"/>
  <c r="H90" i="19" l="1"/>
  <c r="H116" i="19" s="1"/>
  <c r="G116" i="19"/>
  <c r="D19" i="16"/>
  <c r="F17" i="68"/>
  <c r="L47" i="58"/>
  <c r="N45" i="58"/>
  <c r="D23" i="59"/>
  <c r="D32" i="59" s="1"/>
  <c r="D43" i="59" s="1"/>
  <c r="D47" i="59" s="1"/>
  <c r="D49" i="59" s="1"/>
  <c r="P18" i="59"/>
  <c r="P23" i="59" s="1"/>
  <c r="P32" i="59" s="1"/>
  <c r="P43" i="59" s="1"/>
  <c r="P47" i="59" s="1"/>
  <c r="P49" i="59" s="1"/>
  <c r="N18" i="59"/>
  <c r="N23" i="59" s="1"/>
  <c r="N32" i="59" s="1"/>
  <c r="I88" i="19"/>
  <c r="D21" i="58" l="1"/>
  <c r="G17" i="68"/>
  <c r="F18" i="68"/>
  <c r="E89" i="47"/>
  <c r="E91" i="47" s="1"/>
  <c r="E106" i="47" s="1"/>
  <c r="I90" i="19"/>
  <c r="I116" i="19" s="1"/>
  <c r="F16" i="16" s="1"/>
  <c r="H47" i="20"/>
  <c r="D18" i="58" s="1"/>
  <c r="G39" i="20"/>
  <c r="D30" i="40" s="1"/>
  <c r="E30" i="40" s="1"/>
  <c r="F18" i="58" s="1"/>
  <c r="F23" i="58" s="1"/>
  <c r="D23" i="58" l="1"/>
  <c r="D32" i="58" s="1"/>
  <c r="P21" i="58"/>
  <c r="N21" i="58"/>
  <c r="G18" i="68"/>
  <c r="F17" i="16"/>
  <c r="F15" i="67"/>
  <c r="P18" i="58"/>
  <c r="N18" i="58"/>
  <c r="F32" i="58"/>
  <c r="F43" i="58" s="1"/>
  <c r="F47" i="58" s="1"/>
  <c r="I39" i="20"/>
  <c r="I47" i="20" s="1"/>
  <c r="E35" i="40"/>
  <c r="N23" i="58" l="1"/>
  <c r="N32" i="58" s="1"/>
  <c r="P23" i="58"/>
  <c r="P32" i="58" s="1"/>
  <c r="G15" i="67"/>
  <c r="F16" i="67"/>
  <c r="J39" i="20"/>
  <c r="J47" i="20" s="1"/>
  <c r="F18" i="16" s="1"/>
  <c r="F17" i="67" l="1"/>
  <c r="F19" i="16"/>
  <c r="G17" i="67"/>
  <c r="G16" i="67"/>
  <c r="P35" i="58"/>
  <c r="P36" i="58"/>
  <c r="P37" i="58"/>
  <c r="R43" i="58"/>
  <c r="F18" i="67" l="1"/>
  <c r="G18" i="67" s="1"/>
  <c r="R47" i="58"/>
  <c r="R49" i="58" l="1"/>
  <c r="H49" i="58"/>
  <c r="J49" i="58"/>
  <c r="L49" i="58"/>
  <c r="F49" i="58"/>
  <c r="Q17" i="79" l="1"/>
  <c r="Q16" i="79" l="1"/>
  <c r="Q54" i="79" l="1"/>
  <c r="Q24" i="79"/>
  <c r="Q27" i="79" s="1"/>
  <c r="Q45" i="79" l="1"/>
  <c r="Q43" i="79"/>
  <c r="Q44" i="79" l="1"/>
  <c r="Q46" i="79" s="1"/>
  <c r="Q37" i="79" l="1"/>
  <c r="Q38" i="79"/>
  <c r="Q39" i="79"/>
  <c r="Q60" i="79"/>
  <c r="Q62" i="79"/>
  <c r="Q64" i="79"/>
  <c r="Q40" i="79" l="1"/>
  <c r="Q66" i="79" s="1"/>
  <c r="Q74" i="79" s="1"/>
  <c r="Q78" i="79" s="1"/>
  <c r="Q82" i="79" l="1"/>
  <c r="G47" i="25" s="1"/>
  <c r="D38" i="58"/>
  <c r="N38" i="58" l="1"/>
  <c r="N41" i="58" s="1"/>
  <c r="N43" i="58" s="1"/>
  <c r="D41" i="58"/>
  <c r="D43" i="58" s="1"/>
  <c r="D47" i="58" s="1"/>
  <c r="D49" i="58" s="1"/>
  <c r="P38" i="58"/>
  <c r="P41" i="58" s="1"/>
  <c r="P43" i="58" s="1"/>
  <c r="P47" i="58" s="1"/>
  <c r="P49" i="58" s="1"/>
  <c r="F21" i="16"/>
  <c r="F47" i="25"/>
  <c r="G49" i="25"/>
  <c r="F20" i="67" l="1"/>
  <c r="F28" i="16"/>
  <c r="N47" i="58"/>
  <c r="N49" i="58" s="1"/>
  <c r="F29" i="67"/>
  <c r="G20" i="67" l="1"/>
  <c r="F27" i="67"/>
  <c r="G27" i="67" s="1"/>
  <c r="F30" i="67" l="1"/>
  <c r="A40" i="50"/>
  <c r="C70" i="50"/>
  <c r="D70" i="50"/>
  <c r="E70" i="50"/>
  <c r="F70" i="50"/>
  <c r="G70" i="50"/>
  <c r="H70" i="50"/>
  <c r="C71" i="50"/>
  <c r="C7" i="50" s="1"/>
  <c r="D71" i="50"/>
  <c r="D7" i="50" s="1"/>
  <c r="E71" i="50"/>
  <c r="E7" i="50" s="1"/>
  <c r="F71" i="50"/>
  <c r="F7" i="50" s="1"/>
  <c r="G71" i="50"/>
  <c r="G7" i="50" s="1"/>
  <c r="H71" i="50"/>
  <c r="H7" i="50" s="1"/>
  <c r="C72" i="50"/>
  <c r="C8" i="50" s="1"/>
  <c r="D72" i="50"/>
  <c r="D8" i="50" s="1"/>
  <c r="E72" i="50"/>
  <c r="E8" i="50" s="1"/>
  <c r="F72" i="50"/>
  <c r="F8" i="50" s="1"/>
  <c r="G72" i="50"/>
  <c r="G8" i="50" s="1"/>
  <c r="H72" i="50"/>
  <c r="H8" i="50" s="1"/>
  <c r="C73" i="50"/>
  <c r="C9" i="50" s="1"/>
  <c r="D73" i="50"/>
  <c r="D9" i="50" s="1"/>
  <c r="E73" i="50"/>
  <c r="E9" i="50" s="1"/>
  <c r="F73" i="50"/>
  <c r="F9" i="50" s="1"/>
  <c r="G73" i="50"/>
  <c r="G9" i="50" s="1"/>
  <c r="H73" i="50"/>
  <c r="H9" i="50" s="1"/>
  <c r="C74" i="50"/>
  <c r="C10" i="50" s="1"/>
  <c r="D74" i="50"/>
  <c r="D10" i="50" s="1"/>
  <c r="D19" i="50" s="1"/>
  <c r="E74" i="50"/>
  <c r="E10" i="50" s="1"/>
  <c r="E19" i="50" s="1"/>
  <c r="F74" i="50"/>
  <c r="F10" i="50" s="1"/>
  <c r="F19" i="50" s="1"/>
  <c r="G74" i="50"/>
  <c r="G10" i="50" s="1"/>
  <c r="G19" i="50" s="1"/>
  <c r="H74" i="50"/>
  <c r="H10" i="50" s="1"/>
  <c r="H19" i="50" s="1"/>
  <c r="C75" i="50"/>
  <c r="C11" i="50" s="1"/>
  <c r="D75" i="50"/>
  <c r="D11" i="50" s="1"/>
  <c r="D20" i="50" s="1"/>
  <c r="E75" i="50"/>
  <c r="E11" i="50" s="1"/>
  <c r="E20" i="50" s="1"/>
  <c r="F75" i="50"/>
  <c r="F11" i="50" s="1"/>
  <c r="F20" i="50" s="1"/>
  <c r="G75" i="50"/>
  <c r="G11" i="50" s="1"/>
  <c r="G20" i="50" s="1"/>
  <c r="H75" i="50"/>
  <c r="H11" i="50" s="1"/>
  <c r="H20" i="50" s="1"/>
  <c r="C76" i="50"/>
  <c r="C12" i="50" s="1"/>
  <c r="D76" i="50"/>
  <c r="D12" i="50" s="1"/>
  <c r="D21" i="50" s="1"/>
  <c r="E76" i="50"/>
  <c r="E12" i="50" s="1"/>
  <c r="E21" i="50" s="1"/>
  <c r="F76" i="50"/>
  <c r="F12" i="50" s="1"/>
  <c r="F21" i="50" s="1"/>
  <c r="G76" i="50"/>
  <c r="G12" i="50" s="1"/>
  <c r="G21" i="50" s="1"/>
  <c r="H76" i="50"/>
  <c r="H12" i="50" s="1"/>
  <c r="H21" i="50" s="1"/>
  <c r="C77" i="50"/>
  <c r="C13" i="50" s="1"/>
  <c r="D77" i="50"/>
  <c r="D13" i="50" s="1"/>
  <c r="E77" i="50"/>
  <c r="E13" i="50" s="1"/>
  <c r="F77" i="50"/>
  <c r="F13" i="50" s="1"/>
  <c r="G77" i="50"/>
  <c r="G13" i="50" s="1"/>
  <c r="H77" i="50"/>
  <c r="H13" i="50" s="1"/>
  <c r="C78" i="50"/>
  <c r="C14" i="50" s="1"/>
  <c r="D78" i="50"/>
  <c r="D14" i="50" s="1"/>
  <c r="D22" i="50" s="1"/>
  <c r="E78" i="50"/>
  <c r="E14" i="50" s="1"/>
  <c r="E22" i="50" s="1"/>
  <c r="F78" i="50"/>
  <c r="F14" i="50" s="1"/>
  <c r="F22" i="50" s="1"/>
  <c r="G78" i="50"/>
  <c r="G14" i="50" s="1"/>
  <c r="G22" i="50" s="1"/>
  <c r="H78" i="50"/>
  <c r="H14" i="50" s="1"/>
  <c r="H22" i="50" s="1"/>
  <c r="C79" i="50"/>
  <c r="D79" i="50"/>
  <c r="E79" i="50"/>
  <c r="F79" i="50"/>
  <c r="G79" i="50"/>
  <c r="H79" i="50"/>
  <c r="H81" i="50" l="1"/>
  <c r="C81" i="50"/>
  <c r="D16" i="50"/>
  <c r="D81" i="50"/>
  <c r="C80" i="50"/>
  <c r="G80" i="50"/>
  <c r="H80" i="50"/>
  <c r="E16" i="50"/>
  <c r="O11" i="50"/>
  <c r="C20" i="50"/>
  <c r="O20" i="50" s="1"/>
  <c r="O7" i="50"/>
  <c r="C16" i="50"/>
  <c r="H24" i="50"/>
  <c r="J60" i="82" s="1"/>
  <c r="O8" i="50"/>
  <c r="C22" i="50"/>
  <c r="O22" i="50" s="1"/>
  <c r="O14" i="50"/>
  <c r="G24" i="50"/>
  <c r="I60" i="82" s="1"/>
  <c r="F24" i="50"/>
  <c r="H60" i="82" s="1"/>
  <c r="O9" i="50"/>
  <c r="G16" i="50"/>
  <c r="O10" i="50"/>
  <c r="C19" i="50"/>
  <c r="C21" i="50"/>
  <c r="O21" i="50" s="1"/>
  <c r="O12" i="50"/>
  <c r="H16" i="50"/>
  <c r="O13" i="50"/>
  <c r="E24" i="50"/>
  <c r="G60" i="82" s="1"/>
  <c r="D24" i="50"/>
  <c r="F60" i="82" s="1"/>
  <c r="F16" i="50"/>
  <c r="F80" i="50"/>
  <c r="G81" i="50"/>
  <c r="E80" i="50"/>
  <c r="F81" i="50"/>
  <c r="D80" i="50"/>
  <c r="E81" i="50"/>
  <c r="C24" i="50" l="1"/>
  <c r="O19" i="50"/>
  <c r="O16" i="50"/>
  <c r="E60" i="82" l="1"/>
  <c r="Q60" i="82" s="1"/>
  <c r="O24" i="50"/>
  <c r="O25" i="50" s="1"/>
  <c r="D20" i="68" s="1"/>
  <c r="E20" i="68" l="1"/>
  <c r="E27" i="68" s="1"/>
  <c r="D27" i="68"/>
  <c r="W60" i="82"/>
  <c r="W64" i="82" s="1"/>
  <c r="W66" i="82" s="1"/>
  <c r="Q80" i="81" s="1"/>
  <c r="Q64" i="82"/>
  <c r="Q66" i="82" s="1"/>
  <c r="F38" i="59" l="1"/>
  <c r="Q82" i="81"/>
  <c r="G21" i="25" s="1"/>
  <c r="F21" i="25" l="1"/>
  <c r="G23" i="25"/>
  <c r="D21" i="16"/>
  <c r="N38" i="59"/>
  <c r="N41" i="59" s="1"/>
  <c r="N43" i="59" s="1"/>
  <c r="F41" i="59"/>
  <c r="F43" i="59" s="1"/>
  <c r="F47" i="59" s="1"/>
  <c r="F49" i="59" s="1"/>
  <c r="N47" i="59" l="1"/>
  <c r="N49" i="59" s="1"/>
  <c r="F29" i="68"/>
  <c r="F20" i="68"/>
  <c r="D28" i="16"/>
  <c r="G20" i="68" l="1"/>
  <c r="F27" i="68"/>
  <c r="G27" i="68" s="1"/>
</calcChain>
</file>

<file path=xl/sharedStrings.xml><?xml version="1.0" encoding="utf-8"?>
<sst xmlns="http://schemas.openxmlformats.org/spreadsheetml/2006/main" count="38813" uniqueCount="3754">
  <si>
    <t>KENTUCKY UTILITIES COMPANY</t>
  </si>
  <si>
    <t>KENTUCKY - TOTAL PLANT IN SERVICE - ELECTRIC - NBV - REGULATORY ACCOUNTING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</si>
  <si>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</si>
  <si>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</si>
  <si>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</si>
  <si>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</si>
  <si>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</si>
  <si>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</si>
  <si>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</si>
  <si>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</si>
  <si>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</si>
  <si>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</si>
  <si>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</si>
  <si>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</si>
  <si>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</si>
  <si>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</si>
  <si>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</si>
  <si>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</si>
  <si>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</si>
  <si>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</si>
  <si>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</si>
  <si>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</si>
  <si>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</si>
  <si>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</si>
  <si>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</si>
  <si>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</si>
  <si>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</si>
  <si>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</si>
  <si>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</si>
  <si>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</si>
  <si>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</si>
  <si>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</si>
  <si>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</si>
  <si>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</si>
  <si>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</si>
  <si>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</si>
  <si>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</si>
  <si>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</si>
  <si>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</si>
  <si>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</si>
  <si>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</si>
  <si>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</si>
  <si>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</si>
  <si>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</si>
  <si>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</si>
  <si>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</si>
  <si>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</si>
  <si>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</si>
  <si>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</si>
  <si>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</si>
  <si>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</si>
  <si>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</si>
  <si>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</si>
  <si>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</si>
  <si>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</si>
  <si>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</si>
  <si>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</si>
  <si>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</si>
  <si>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</si>
  <si>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</si>
  <si>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</si>
  <si>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</si>
  <si>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</si>
  <si>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</si>
  <si>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</si>
  <si>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</si>
  <si>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</si>
  <si>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</si>
  <si>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</si>
  <si>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</si>
  <si>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</si>
  <si>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</si>
  <si>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</si>
  <si>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</si>
  <si>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</si>
  <si>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</si>
  <si>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</si>
  <si>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</si>
  <si>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</si>
  <si>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</si>
  <si>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</si>
  <si>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</si>
  <si>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</si>
  <si>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</si>
  <si>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</si>
  <si>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</si>
  <si>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</si>
  <si>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</si>
  <si>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</si>
  <si>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</si>
  <si>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</si>
  <si>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</si>
  <si>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</si>
  <si>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</si>
  <si>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</si>
  <si>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</si>
  <si>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</si>
  <si>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</si>
  <si>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</si>
  <si>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</si>
  <si>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</si>
  <si>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</si>
  <si>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</si>
  <si>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</si>
  <si>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</si>
  <si>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</si>
  <si>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</si>
  <si>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</si>
  <si>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</si>
  <si>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</si>
  <si>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</si>
  <si>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</si>
  <si>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</si>
  <si>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</si>
  <si>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</si>
  <si>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</si>
  <si>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</si>
  <si>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</si>
  <si>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</si>
  <si>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</si>
  <si>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</si>
  <si>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</si>
  <si>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</si>
  <si>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</si>
  <si>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</si>
  <si>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</si>
  <si>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</si>
  <si>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</si>
  <si>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</si>
  <si>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</si>
  <si>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</si>
  <si>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</si>
  <si>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</si>
  <si>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</si>
  <si>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</si>
  <si>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</si>
  <si>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</si>
  <si>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</si>
  <si>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</si>
  <si>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</si>
  <si>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</si>
  <si>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</si>
  <si>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</si>
  <si>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</si>
  <si>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</si>
  <si>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</si>
  <si>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</si>
  <si>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</si>
  <si>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</si>
  <si>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</si>
  <si>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</si>
  <si>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</si>
  <si>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</si>
  <si>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</si>
  <si>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</si>
  <si>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</si>
  <si>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</si>
  <si>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</si>
  <si>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</si>
  <si>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</si>
  <si>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</si>
  <si>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</si>
  <si>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</si>
  <si>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</si>
  <si>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</si>
  <si>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</si>
  <si>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</si>
  <si>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</si>
  <si>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</si>
  <si>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</si>
  <si>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</si>
  <si>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</si>
  <si>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</si>
  <si>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</si>
  <si>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</si>
  <si>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</si>
  <si>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</si>
  <si>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</si>
  <si>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</si>
  <si>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</si>
  <si>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</si>
  <si>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</si>
  <si>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</si>
  <si>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</si>
  <si>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</si>
  <si>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</si>
  <si>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</si>
  <si>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</si>
  <si>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</si>
  <si>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</si>
  <si>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</si>
  <si>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</si>
  <si>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</si>
  <si>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</si>
  <si>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</si>
  <si>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</si>
  <si>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</si>
  <si>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</si>
  <si>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</si>
  <si>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</si>
  <si>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</si>
  <si>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</si>
  <si>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</si>
  <si>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</si>
  <si>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</si>
  <si>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</si>
  <si>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</si>
  <si>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</si>
  <si>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</si>
  <si>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</si>
  <si>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</si>
  <si>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</si>
  <si>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</si>
  <si>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</si>
  <si>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</si>
  <si>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</si>
  <si>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</si>
  <si>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</si>
  <si>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</si>
  <si>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</si>
  <si>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</si>
  <si>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</si>
  <si>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</si>
  <si>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</si>
  <si>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</si>
  <si>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</si>
  <si>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</si>
  <si>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</si>
  <si>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</si>
  <si>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</si>
  <si>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</si>
  <si>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</si>
  <si>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</si>
  <si>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</si>
  <si>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</si>
  <si>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</si>
  <si>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</si>
  <si>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</si>
  <si>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</si>
  <si>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</si>
  <si>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</si>
  <si>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</si>
  <si>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</si>
  <si>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</si>
  <si>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</si>
  <si>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</si>
  <si>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</si>
  <si>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</si>
  <si>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</si>
  <si>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</si>
  <si>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</si>
  <si>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</si>
  <si>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</si>
  <si>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</si>
  <si>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</si>
  <si>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</si>
  <si>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</si>
  <si>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</si>
  <si>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</si>
  <si>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</si>
  <si>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</si>
  <si>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</si>
  <si>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</si>
  <si>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</si>
  <si>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</si>
  <si>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</si>
  <si>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</si>
  <si>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</si>
  <si>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</si>
  <si>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</si>
  <si>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</si>
  <si>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</si>
  <si>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</si>
  <si>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</si>
  <si>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</si>
  <si>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</si>
  <si>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</si>
  <si>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</si>
  <si>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</si>
  <si>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</si>
  <si>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</si>
  <si>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</si>
  <si>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</si>
  <si>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</si>
  <si>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</si>
  <si>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</si>
  <si>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</si>
  <si>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</si>
  <si>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</si>
  <si>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</si>
  <si>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</si>
  <si>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</si>
  <si>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</si>
  <si>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</si>
  <si>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</si>
  <si>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</si>
  <si>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</si>
  <si>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</si>
  <si>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</si>
  <si>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</si>
  <si>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</si>
  <si>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</si>
  <si>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</si>
  <si>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</si>
  <si>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</si>
  <si>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</si>
  <si>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</si>
  <si>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</si>
  <si>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</si>
  <si>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</si>
  <si>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</si>
  <si>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</si>
  <si>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</si>
  <si>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</si>
  <si>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</si>
  <si>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</si>
  <si>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</si>
  <si>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</si>
  <si>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</si>
  <si>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</si>
  <si>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</si>
  <si>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</si>
  <si>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</si>
  <si>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</si>
  <si>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</si>
  <si>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</si>
  <si>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</si>
  <si>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</si>
  <si>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</si>
  <si>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</si>
  <si>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</si>
  <si>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</si>
  <si>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</si>
  <si>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</si>
  <si>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</si>
  <si>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</si>
  <si>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</si>
  <si>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</si>
  <si>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</si>
  <si>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</si>
  <si>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</si>
  <si>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</si>
  <si>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</si>
  <si>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</si>
  <si>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</si>
  <si>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</si>
  <si>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</si>
  <si>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</si>
  <si>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</si>
  <si>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</si>
  <si>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</si>
  <si>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</si>
  <si>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</si>
  <si>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</si>
  <si>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</si>
  <si>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</si>
  <si>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</si>
  <si>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</si>
  <si>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</si>
  <si>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</si>
  <si>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</si>
  <si>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</si>
  <si>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</si>
  <si>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</si>
  <si>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</si>
  <si>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</si>
  <si>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</si>
  <si>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</si>
  <si>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</si>
  <si>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</si>
  <si>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</si>
  <si>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</si>
  <si>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</si>
  <si>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</si>
  <si>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</si>
  <si>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</si>
  <si>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</si>
  <si>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</si>
  <si>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</si>
  <si>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</si>
  <si>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</si>
  <si>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</si>
  <si>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</si>
  <si>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</si>
  <si>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</si>
  <si>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</si>
  <si>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</si>
  <si>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</si>
  <si>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</si>
  <si>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</si>
  <si>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</si>
  <si>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</si>
  <si>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</si>
  <si>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</si>
  <si>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</si>
  <si>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</si>
  <si>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</si>
  <si>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</si>
  <si>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</si>
  <si>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</si>
  <si>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</si>
  <si>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</si>
  <si>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</si>
  <si>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</si>
  <si>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</si>
  <si>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</si>
  <si>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</si>
  <si>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</si>
  <si>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</si>
  <si>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</si>
  <si>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</si>
  <si>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</si>
  <si>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</si>
  <si>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</si>
  <si>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</si>
  <si>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</si>
  <si>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</si>
  <si>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</si>
  <si>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</si>
  <si>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</si>
  <si>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</si>
  <si>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</si>
  <si>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</si>
  <si>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</si>
  <si>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</si>
  <si>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</si>
  <si>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</si>
  <si>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</si>
  <si>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</si>
  <si>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</si>
  <si>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</si>
  <si>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</si>
  <si>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</si>
  <si>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</si>
  <si>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</si>
  <si>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</si>
  <si>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</si>
  <si>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</si>
  <si>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</si>
  <si>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</si>
  <si>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</si>
  <si>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</si>
  <si>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</si>
  <si>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</si>
  <si>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</si>
  <si>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</si>
  <si>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</si>
  <si>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</si>
  <si>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</si>
  <si>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</si>
  <si>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</si>
  <si>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</si>
  <si>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</si>
  <si>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</si>
  <si>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</si>
  <si>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</si>
  <si>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</si>
  <si>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</si>
  <si>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</si>
  <si>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</si>
  <si>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</si>
  <si>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</si>
  <si>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</si>
  <si>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</si>
  <si>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</si>
  <si>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</si>
  <si>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</si>
  <si>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</si>
  <si>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</si>
  <si>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</si>
  <si>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</si>
  <si>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</si>
  <si>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</si>
  <si>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</si>
  <si>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</si>
  <si>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</si>
  <si>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</si>
  <si>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</si>
  <si>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</si>
  <si>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</si>
  <si>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</si>
  <si>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</si>
  <si>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</si>
  <si>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</si>
  <si>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</si>
  <si>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</si>
  <si>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</si>
  <si>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</si>
  <si>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</si>
  <si>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</si>
  <si>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</si>
  <si>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</si>
  <si>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</si>
  <si>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</si>
  <si>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</si>
  <si>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</si>
  <si>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</si>
  <si>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</si>
  <si>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</si>
  <si>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</si>
  <si>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</si>
  <si>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</si>
  <si>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</si>
  <si>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</si>
  <si>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</si>
  <si>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</si>
  <si>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</si>
  <si>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</si>
  <si>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</si>
  <si>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</si>
  <si>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</si>
  <si>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</si>
  <si>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</si>
  <si>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</si>
  <si>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</si>
  <si>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</si>
  <si>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</si>
  <si>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</si>
  <si>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</si>
  <si>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</si>
  <si>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</si>
  <si>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</si>
  <si>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</si>
  <si>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</si>
  <si>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</si>
  <si>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</si>
  <si>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</si>
  <si>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</si>
  <si>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</si>
  <si>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</si>
  <si>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</si>
  <si>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</si>
  <si>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</si>
  <si>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</si>
  <si>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</si>
  <si>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</si>
  <si>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</si>
  <si>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</si>
  <si>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</si>
  <si>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</si>
  <si>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</si>
  <si>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</si>
  <si>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</si>
  <si>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</si>
  <si>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</si>
  <si>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</si>
  <si>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</si>
  <si>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</si>
  <si>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</si>
  <si>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</si>
  <si>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</si>
  <si>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</si>
  <si>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</si>
  <si>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</si>
  <si>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</si>
  <si>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</si>
  <si>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</si>
  <si>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</si>
  <si>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</si>
  <si>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</si>
  <si>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</si>
  <si>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</si>
  <si>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</si>
  <si>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</si>
  <si>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</si>
  <si>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</si>
  <si>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</si>
  <si>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</si>
  <si>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</si>
  <si>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</si>
  <si>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</si>
  <si>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</si>
  <si>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</si>
  <si>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</si>
  <si>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</si>
  <si>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</si>
  <si>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</si>
  <si>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</si>
  <si>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</si>
  <si>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</si>
  <si>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</si>
  <si>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</si>
  <si>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</si>
  <si>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</si>
  <si>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</si>
  <si>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</si>
  <si>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>REVFERC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</si>
  <si>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</si>
  <si>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</si>
  <si>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</si>
  <si>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</si>
  <si>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</si>
  <si>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</si>
  <si>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</si>
  <si>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</si>
  <si>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</si>
  <si>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</si>
  <si>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</si>
  <si>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</si>
  <si>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</si>
  <si>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</si>
  <si>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</si>
  <si>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</si>
  <si>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</si>
  <si>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</si>
  <si>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</si>
  <si>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</si>
  <si>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</si>
  <si>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</si>
  <si>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</si>
  <si>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</si>
  <si>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</si>
  <si>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</si>
  <si>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</si>
  <si>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</si>
  <si>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</si>
  <si>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</si>
  <si>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</si>
  <si>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</si>
  <si>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</si>
  <si>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</si>
  <si>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</si>
  <si>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</si>
  <si>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</si>
  <si>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</si>
  <si>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</si>
  <si>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</si>
  <si>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</si>
  <si>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</si>
  <si>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</si>
  <si>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</si>
  <si>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</si>
  <si>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</si>
  <si>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</si>
  <si>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</si>
  <si>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</si>
  <si>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</si>
  <si>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</si>
  <si>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</si>
  <si>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</si>
  <si>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</si>
  <si>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</si>
  <si>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</si>
  <si>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</si>
  <si>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</si>
  <si>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</si>
  <si>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</si>
  <si>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</si>
  <si>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</si>
  <si>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</si>
  <si>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</si>
  <si>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</si>
  <si>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</si>
  <si>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</si>
  <si>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</si>
  <si>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</si>
  <si>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</si>
  <si>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</si>
  <si>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</si>
  <si>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</si>
  <si>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</si>
  <si>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</si>
  <si>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</si>
  <si>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</si>
  <si>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</si>
  <si>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</si>
  <si>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</si>
  <si>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</si>
  <si>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</si>
  <si>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</si>
  <si>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</si>
  <si>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</si>
  <si>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</si>
  <si>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</si>
  <si>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</si>
  <si>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</si>
  <si>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</si>
  <si>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</si>
  <si>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</si>
  <si>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</si>
  <si>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</si>
  <si>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</si>
  <si>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</si>
  <si>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</si>
  <si>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</si>
  <si>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</si>
  <si>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</si>
  <si>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</si>
  <si>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</si>
  <si>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</si>
  <si>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</si>
  <si>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</si>
  <si>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</si>
  <si>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</si>
  <si>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</si>
  <si>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</si>
  <si>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</si>
  <si>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</si>
  <si>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</si>
  <si>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</si>
  <si>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</si>
  <si>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</si>
  <si>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</si>
  <si>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</si>
  <si>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</si>
  <si>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</si>
  <si>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</si>
  <si>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</si>
  <si>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</si>
  <si>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</si>
  <si>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</si>
  <si>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</si>
  <si>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</si>
  <si>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</si>
  <si>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</si>
  <si>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</si>
  <si>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</si>
  <si>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</si>
  <si>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</si>
  <si>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</si>
  <si>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</si>
  <si>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</si>
  <si>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</si>
  <si>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</si>
  <si>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</si>
  <si>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</si>
  <si>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</si>
  <si>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</si>
  <si>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</si>
  <si>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</si>
  <si>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</si>
  <si>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</si>
  <si>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</si>
  <si>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</si>
  <si>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</si>
  <si>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</si>
  <si>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</si>
  <si>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</si>
  <si>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</si>
  <si>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</si>
  <si>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</si>
  <si>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</si>
  <si>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</si>
  <si>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</si>
  <si>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</si>
  <si>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</si>
  <si>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</si>
  <si>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</si>
  <si>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</si>
  <si>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</si>
  <si>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</si>
  <si>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</si>
  <si>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 xml:space="preserve">  KENTUCKY DISTRIBUTION PROPERTY</t>
  </si>
  <si>
    <t xml:space="preserve">  VIRGINIA DISTRIBUTION PROPERTY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</si>
  <si>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</si>
  <si>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</si>
  <si>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</si>
  <si>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</si>
  <si>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</si>
  <si>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</si>
  <si>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</si>
  <si>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</si>
  <si>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</si>
  <si>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</si>
  <si>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</si>
  <si>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</si>
  <si>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</si>
  <si>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</si>
  <si>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</si>
  <si>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</si>
  <si>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</si>
  <si>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</si>
  <si>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</si>
  <si>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</si>
  <si>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</si>
  <si>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</si>
  <si>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</si>
  <si>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</si>
  <si>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</si>
  <si>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</si>
  <si>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</si>
  <si>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</si>
  <si>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</si>
  <si>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</si>
  <si>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</si>
  <si>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</si>
  <si>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</si>
  <si>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</si>
  <si>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</si>
  <si>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</si>
  <si>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</si>
  <si>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</si>
  <si>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>STATE TAXABLE INCOME</t>
  </si>
  <si>
    <t>STATE TAX</t>
  </si>
  <si>
    <t>STATE TAX ADJUSTMENTS</t>
  </si>
  <si>
    <t>KENTUCKY TAX CREDITS</t>
  </si>
  <si>
    <t>PLANTKF</t>
  </si>
  <si>
    <t>STATE TAX TOTAL</t>
  </si>
  <si>
    <t>SEC. 199 DEDUCTION-FEDERAL INCREMENT</t>
  </si>
  <si>
    <t>STATE TAX ADJUSTS FOR FEDERAL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</si>
  <si>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</si>
  <si>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</si>
  <si>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</si>
  <si>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</si>
  <si>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</si>
  <si>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</si>
  <si>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</si>
  <si>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</si>
  <si>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</si>
  <si>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</si>
  <si>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</si>
  <si>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</si>
  <si>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</si>
  <si>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</si>
  <si>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</si>
  <si>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</si>
  <si>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</si>
  <si>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</si>
  <si>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</si>
  <si>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</si>
  <si>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</si>
  <si>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</si>
  <si>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</si>
  <si>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</si>
  <si>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</si>
  <si>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</si>
  <si>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</si>
  <si>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</si>
  <si>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</si>
  <si>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</si>
  <si>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</si>
  <si>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</si>
  <si>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</si>
  <si>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</si>
  <si>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</si>
  <si>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</si>
  <si>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</si>
  <si>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</si>
  <si>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</si>
  <si>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</si>
  <si>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</si>
  <si>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</si>
  <si>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</si>
  <si>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</si>
  <si>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</si>
  <si>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</si>
  <si>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</si>
  <si>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</si>
  <si>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</si>
  <si>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</si>
  <si>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</si>
  <si>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</si>
  <si>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</si>
  <si>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</si>
  <si>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</si>
  <si>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</si>
  <si>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</si>
  <si>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</si>
  <si>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</si>
  <si>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</si>
  <si>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</si>
  <si>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</si>
  <si>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</si>
  <si>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</si>
  <si>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</si>
  <si>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</si>
  <si>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</si>
  <si>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</si>
  <si>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</si>
  <si>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</si>
  <si>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</si>
  <si>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</si>
  <si>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</si>
  <si>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</si>
  <si>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</si>
  <si>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</si>
  <si>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</si>
  <si>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</si>
  <si>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</si>
  <si>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</si>
  <si>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</si>
  <si>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</si>
  <si>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</si>
  <si>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</si>
  <si>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</si>
  <si>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</si>
  <si>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</si>
  <si>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</si>
  <si>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</si>
  <si>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</si>
  <si>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</si>
  <si>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</si>
  <si>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</si>
  <si>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</si>
  <si>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</si>
  <si>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</si>
  <si>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</si>
  <si>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</si>
  <si>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</si>
  <si>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</si>
  <si>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</si>
  <si>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</si>
  <si>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</si>
  <si>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</si>
  <si>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</si>
  <si>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</si>
  <si>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</si>
  <si>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</si>
  <si>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</si>
  <si>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</si>
  <si>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</si>
  <si>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</si>
  <si>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</si>
  <si>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</si>
  <si>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</si>
  <si>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</si>
  <si>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</si>
  <si>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</si>
  <si>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</si>
  <si>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</si>
  <si>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</si>
  <si>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</si>
  <si>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</si>
  <si>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</si>
  <si>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</si>
  <si>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</si>
  <si>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</si>
  <si>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</si>
  <si>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</si>
  <si>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</si>
  <si>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</si>
  <si>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</si>
  <si>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</si>
  <si>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</si>
  <si>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</si>
  <si>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</si>
  <si>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</si>
  <si>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</si>
  <si>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</si>
  <si>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</si>
  <si>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</si>
  <si>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</si>
  <si>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</si>
  <si>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</si>
  <si>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</si>
  <si>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</si>
  <si>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</si>
  <si>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</si>
  <si>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</si>
  <si>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</si>
  <si>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</si>
  <si>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</si>
  <si>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</si>
  <si>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</si>
  <si>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</si>
  <si>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</si>
  <si>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</si>
  <si>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</si>
  <si>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</si>
  <si>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</si>
  <si>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</si>
  <si>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</si>
  <si>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</si>
  <si>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</si>
  <si>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</si>
  <si>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</si>
  <si>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</si>
  <si>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</si>
  <si>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</si>
  <si>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</si>
  <si>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</si>
  <si>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</si>
  <si>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</si>
  <si>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</si>
  <si>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</si>
  <si>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</si>
  <si>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</si>
  <si>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</si>
  <si>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</si>
  <si>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</si>
  <si>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</si>
  <si>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</si>
  <si>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</si>
  <si>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</si>
  <si>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</si>
  <si>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</si>
  <si>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</si>
  <si>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</si>
  <si>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</si>
  <si>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</si>
  <si>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</si>
  <si>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</si>
  <si>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</si>
  <si>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</si>
  <si>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</si>
  <si>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</si>
  <si>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</si>
  <si>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</si>
  <si>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</si>
  <si>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</si>
  <si>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</si>
  <si>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</si>
  <si>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</si>
  <si>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</si>
  <si>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</si>
  <si>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</si>
  <si>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</si>
  <si>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</si>
  <si>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</si>
  <si>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</si>
  <si>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</si>
  <si>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</si>
  <si>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</si>
  <si>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</si>
  <si>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</si>
  <si>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</si>
  <si>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</si>
  <si>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</si>
  <si>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</si>
  <si>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</si>
  <si>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</si>
  <si>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</si>
  <si>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</si>
  <si>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</si>
  <si>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</si>
  <si>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</si>
  <si>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</si>
  <si>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</si>
  <si>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</si>
  <si>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</si>
  <si>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</si>
  <si>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</si>
  <si>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</si>
  <si>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</si>
  <si>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</si>
  <si>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</si>
  <si>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</si>
  <si>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</si>
  <si>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</si>
  <si>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</si>
  <si>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</si>
  <si>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</si>
  <si>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</si>
  <si>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</si>
  <si>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</si>
  <si>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</si>
  <si>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</si>
  <si>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</si>
  <si>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</si>
  <si>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</si>
  <si>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</si>
  <si>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</si>
  <si>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</si>
  <si>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</si>
  <si>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</si>
  <si>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</si>
  <si>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</si>
  <si>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</si>
  <si>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</si>
  <si>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</si>
  <si>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</si>
  <si>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</si>
  <si>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</si>
  <si>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</si>
  <si>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</si>
  <si>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</si>
  <si>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</si>
  <si>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</si>
  <si>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</si>
  <si>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</si>
  <si>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</si>
  <si>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</si>
  <si>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</si>
  <si>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</si>
  <si>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</si>
  <si>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</si>
  <si>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</si>
  <si>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</si>
  <si>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</si>
  <si>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</si>
  <si>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</si>
  <si>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</si>
  <si>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</si>
  <si>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</si>
  <si>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</si>
  <si>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</si>
  <si>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</si>
  <si>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</si>
  <si>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</si>
  <si>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</si>
  <si>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</si>
  <si>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</si>
  <si>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</si>
  <si>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</si>
  <si>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</si>
  <si>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</si>
  <si>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</si>
  <si>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</si>
  <si>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</si>
  <si>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</si>
  <si>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</si>
  <si>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</si>
  <si>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</si>
  <si>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</si>
  <si>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</si>
  <si>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</si>
  <si>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</si>
  <si>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</si>
  <si>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</si>
  <si>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</si>
  <si>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</si>
  <si>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</si>
  <si>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</si>
  <si>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</si>
  <si>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</si>
  <si>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</si>
  <si>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</si>
  <si>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</si>
  <si>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</si>
  <si>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</si>
  <si>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</si>
  <si>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</si>
  <si>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</si>
  <si>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</si>
  <si>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</si>
  <si>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</si>
  <si>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</si>
  <si>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</si>
  <si>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</si>
  <si>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</si>
  <si>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</si>
  <si>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</si>
  <si>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</si>
  <si>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</si>
  <si>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</si>
  <si>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</si>
  <si>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</si>
  <si>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</si>
  <si>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</si>
  <si>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</si>
  <si>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</si>
  <si>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</si>
  <si>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</si>
  <si>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</si>
  <si>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</si>
  <si>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</si>
  <si>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</si>
  <si>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</si>
  <si>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</si>
  <si>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</si>
  <si>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</si>
  <si>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</si>
  <si>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</si>
  <si>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</si>
  <si>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</si>
  <si>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</si>
  <si>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</si>
  <si>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</si>
  <si>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</si>
  <si>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</si>
  <si>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</si>
  <si>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</si>
  <si>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</si>
  <si>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</si>
  <si>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</si>
  <si>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</si>
  <si>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</si>
  <si>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</si>
  <si>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</si>
  <si>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</si>
  <si>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</si>
  <si>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</si>
  <si>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</si>
  <si>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</si>
  <si>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</si>
  <si>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</si>
  <si>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</si>
  <si>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</si>
  <si>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</si>
  <si>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</si>
  <si>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</si>
  <si>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</si>
  <si>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</si>
  <si>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</si>
  <si>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</si>
  <si>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</si>
  <si>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</si>
  <si>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</si>
  <si>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</si>
  <si>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</si>
  <si>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</si>
  <si>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</si>
  <si>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</si>
  <si>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</si>
  <si>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</si>
  <si>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</si>
  <si>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</si>
  <si>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</si>
  <si>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</si>
  <si>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</si>
  <si>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</si>
  <si>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</si>
  <si>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</si>
  <si>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</si>
  <si>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</si>
  <si>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</si>
  <si>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</si>
  <si>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</si>
  <si>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</si>
  <si>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</si>
  <si>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</si>
  <si>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</si>
  <si>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</si>
  <si>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</si>
  <si>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</si>
  <si>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</si>
  <si>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</si>
  <si>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</si>
  <si>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</si>
  <si>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</si>
  <si>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</si>
  <si>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</si>
  <si>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</si>
  <si>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</si>
  <si>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</si>
  <si>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</si>
  <si>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</si>
  <si>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</si>
  <si>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</si>
  <si>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</si>
  <si>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</si>
  <si>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</si>
  <si>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</si>
  <si>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</si>
  <si>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</si>
  <si>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</si>
  <si>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</si>
  <si>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</si>
  <si>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</si>
  <si>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</si>
  <si>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</si>
  <si>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</si>
  <si>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</si>
  <si>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</si>
  <si>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</si>
  <si>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</si>
  <si>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</si>
  <si>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</si>
  <si>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</si>
  <si>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</si>
  <si>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</si>
  <si>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</si>
  <si>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</si>
  <si>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</si>
  <si>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</si>
  <si>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</si>
  <si>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</si>
  <si>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</si>
  <si>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</si>
  <si>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</si>
  <si>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</si>
  <si>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</si>
  <si>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</si>
  <si>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</si>
  <si>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</si>
  <si>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</si>
  <si>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</si>
  <si>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</si>
  <si>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</si>
  <si>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</si>
  <si>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</si>
  <si>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</si>
  <si>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</si>
  <si>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</si>
  <si>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</si>
  <si>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</si>
  <si>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</si>
  <si>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</si>
  <si>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</si>
  <si>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 xml:space="preserve">  TRIMBLE COUNTY UNIT 2 SCRUBBER</t>
  </si>
  <si>
    <t xml:space="preserve">  SYSTEM LABORATORY</t>
  </si>
  <si>
    <t xml:space="preserve">  TYRONE UNIT 3</t>
  </si>
  <si>
    <t xml:space="preserve">  TYRONE UNITS 1 AND 2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</si>
  <si>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</si>
  <si>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</si>
  <si>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</si>
  <si>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</si>
  <si>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</si>
  <si>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</si>
  <si>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</si>
  <si>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</si>
  <si>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</si>
  <si>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</si>
  <si>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</si>
  <si>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</si>
  <si>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</si>
  <si>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</si>
  <si>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</si>
  <si>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</si>
  <si>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</si>
  <si>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</si>
  <si>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</si>
  <si>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</si>
  <si>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</si>
  <si>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</si>
  <si>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</si>
  <si>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</si>
  <si>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</si>
  <si>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70-R1.5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</si>
  <si>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</si>
  <si>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</si>
  <si>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</si>
  <si>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</si>
  <si>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</si>
  <si>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</si>
  <si>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</si>
  <si>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</si>
  <si>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</si>
  <si>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</si>
  <si>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</si>
  <si>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</si>
  <si>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</si>
  <si>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</si>
  <si>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</si>
  <si>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</si>
  <si>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</si>
  <si>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</si>
  <si>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</si>
  <si>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</si>
  <si>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</si>
  <si>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</si>
  <si>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</si>
  <si>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</si>
  <si>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</si>
  <si>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</si>
  <si>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</si>
  <si>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</si>
  <si>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</si>
  <si>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</si>
  <si>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</si>
  <si>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</si>
  <si>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</si>
  <si>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</si>
  <si>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</si>
  <si>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</si>
  <si>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</si>
  <si>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</si>
  <si>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</si>
  <si>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</si>
  <si>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</si>
  <si>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</si>
  <si>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</si>
  <si>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</si>
  <si>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</si>
  <si>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</si>
  <si>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</si>
  <si>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</si>
  <si>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</si>
  <si>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TOTAL ACCOUNT 344 - GENERATORS</t>
  </si>
  <si>
    <t xml:space="preserve">ACCESSORY ELECTRIC EQUIPMENT                  </t>
  </si>
  <si>
    <t>TOTAL ACCOUNT 345 - ACCESSORY ELECTRIC EQUIPMENT</t>
  </si>
  <si>
    <t xml:space="preserve">MISCELLANEOUS POWER PLANT EQUIPMENT                 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</si>
  <si>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</si>
  <si>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</si>
  <si>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</si>
  <si>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</si>
  <si>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STRUCTURES AND IMPROVEMENTS - NON SYS CONTROL/COM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</si>
  <si>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</si>
  <si>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</si>
  <si>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</si>
  <si>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</si>
  <si>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 xml:space="preserve">TOWERS AND FIXTURES                          </t>
  </si>
  <si>
    <t>70-R4</t>
  </si>
  <si>
    <t xml:space="preserve">POLES AND FIXTURES                           </t>
  </si>
  <si>
    <t xml:space="preserve">OVERHEAD CONDUCTORS AND DEVICES              </t>
  </si>
  <si>
    <t xml:space="preserve">UNDERGROUND CONDUIT                          </t>
  </si>
  <si>
    <t xml:space="preserve">UNDERGROUND CONDUCTORS AND DEVICES           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</si>
  <si>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</si>
  <si>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</si>
  <si>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</si>
  <si>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</si>
  <si>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</si>
  <si>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</si>
  <si>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</si>
  <si>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</si>
  <si>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 xml:space="preserve">OVERHEAD CONDUCTORS AND DEVICES    </t>
  </si>
  <si>
    <t xml:space="preserve">UNDERGROUND CONDUIT                 </t>
  </si>
  <si>
    <t>50-R4</t>
  </si>
  <si>
    <t xml:space="preserve">UNDERGROUND CONDUCTORS AND DEVICES </t>
  </si>
  <si>
    <t xml:space="preserve">LINE TRANSFORMERS                  </t>
  </si>
  <si>
    <t xml:space="preserve">SERVICES                           </t>
  </si>
  <si>
    <t xml:space="preserve">METERS                             </t>
  </si>
  <si>
    <t xml:space="preserve">INSTALLATIONS ON CUSTOMER PREMISES </t>
  </si>
  <si>
    <t xml:space="preserve">STREET LIGHTING AND SIGNAL SYSTEMS </t>
  </si>
  <si>
    <t xml:space="preserve">    TOTAL DISTRIBUTION PLANT </t>
  </si>
  <si>
    <t xml:space="preserve">GENERAL PLANT </t>
  </si>
  <si>
    <t>STRUCTURES AND IMPROVEMENTS - TO OWNED PROPERTY</t>
  </si>
  <si>
    <t>STRUCTURES AND IMPROVEMENTS - LEASEHOLDS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</si>
  <si>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</si>
  <si>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</si>
  <si>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</si>
  <si>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</si>
  <si>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</si>
  <si>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TRANSPORTATION EQUIPMENT - HEAVY TRUCKS AND OTHER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</si>
  <si>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</si>
  <si>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</si>
  <si>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</si>
  <si>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</si>
  <si>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10-SQ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</si>
  <si>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</si>
  <si>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</si>
  <si>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</si>
  <si>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</si>
  <si>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</si>
  <si>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</si>
  <si>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</si>
  <si>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</si>
  <si>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</si>
  <si>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</si>
  <si>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</si>
  <si>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</si>
  <si>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</si>
  <si>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</si>
  <si>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</si>
  <si>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</si>
  <si>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</si>
  <si>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</si>
  <si>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</si>
  <si>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</si>
  <si>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</si>
  <si>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</si>
  <si>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</si>
  <si>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</si>
  <si>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</si>
  <si>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</si>
  <si>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</si>
  <si>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</si>
  <si>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</si>
  <si>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</si>
  <si>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</si>
  <si>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</si>
  <si>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</si>
  <si>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</si>
  <si>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</si>
  <si>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</si>
  <si>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</si>
  <si>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</si>
  <si>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</si>
  <si>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</si>
  <si>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</si>
  <si>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</si>
  <si>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</si>
  <si>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</si>
  <si>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</si>
  <si>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</si>
  <si>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</si>
  <si>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</si>
  <si>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</si>
  <si>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</si>
  <si>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</si>
  <si>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</si>
  <si>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</si>
  <si>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</si>
  <si>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</si>
  <si>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</si>
  <si>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</si>
  <si>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</si>
  <si>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</si>
  <si>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</si>
  <si>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</si>
  <si>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</si>
  <si>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</si>
  <si>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</si>
  <si>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</si>
  <si>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</si>
  <si>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</si>
  <si>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</si>
  <si>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</si>
  <si>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</si>
  <si>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</si>
  <si>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</si>
  <si>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</si>
  <si>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</si>
  <si>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</si>
  <si>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</si>
  <si>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</si>
  <si>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</si>
  <si>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</si>
  <si>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</si>
  <si>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</si>
  <si>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</si>
  <si>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</si>
  <si>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</si>
  <si>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</si>
  <si>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</si>
  <si>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</si>
  <si>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</si>
  <si>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</si>
  <si>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</si>
  <si>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</si>
  <si>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</si>
  <si>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</si>
  <si>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</si>
  <si>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</si>
  <si>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</si>
  <si>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</si>
  <si>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</si>
  <si>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</si>
  <si>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</si>
  <si>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</si>
  <si>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</si>
  <si>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</si>
  <si>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</si>
  <si>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</si>
  <si>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</si>
  <si>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</si>
  <si>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</si>
  <si>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</si>
  <si>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</si>
  <si>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</si>
  <si>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</si>
  <si>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</si>
  <si>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</si>
  <si>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</si>
  <si>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</si>
  <si>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</si>
  <si>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</si>
  <si>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</si>
  <si>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</si>
  <si>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</si>
  <si>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</si>
  <si>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</si>
  <si>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</si>
  <si>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</si>
  <si>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</si>
  <si>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</si>
  <si>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</si>
  <si>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</si>
  <si>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</si>
  <si>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</si>
  <si>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</si>
  <si>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</si>
  <si>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</si>
  <si>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</si>
  <si>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</si>
  <si>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</si>
  <si>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</si>
  <si>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</si>
  <si>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</si>
  <si>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</si>
  <si>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</si>
  <si>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</si>
  <si>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</si>
  <si>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</si>
  <si>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</si>
  <si>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</si>
  <si>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</si>
  <si>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</si>
  <si>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</si>
  <si>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</si>
  <si>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</si>
  <si>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</si>
  <si>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</si>
  <si>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</si>
  <si>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</si>
  <si>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</si>
  <si>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</si>
  <si>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</si>
  <si>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</si>
  <si>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</si>
  <si>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</si>
  <si>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</si>
  <si>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</si>
  <si>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</si>
  <si>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</si>
  <si>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</si>
  <si>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</si>
  <si>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</si>
  <si>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</si>
  <si>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</si>
  <si>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</si>
  <si>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</si>
  <si>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</si>
  <si>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</si>
  <si>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</si>
  <si>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</si>
  <si>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</si>
  <si>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</si>
  <si>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</si>
  <si>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</si>
  <si>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</si>
  <si>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</si>
  <si>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</si>
  <si>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</si>
  <si>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</si>
  <si>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</si>
  <si>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</si>
  <si>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</si>
  <si>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</si>
  <si>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</si>
  <si>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Williamsburg</t>
  </si>
  <si>
    <t>Retired Great Crossing substation 0672</t>
  </si>
  <si>
    <t>Retired London Substation 0533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</si>
  <si>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</si>
  <si>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</si>
  <si>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</si>
  <si>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</si>
  <si>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</si>
  <si>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</si>
  <si>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</si>
  <si>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</si>
  <si>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</si>
  <si>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</si>
  <si>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</si>
  <si>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</si>
  <si>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</si>
  <si>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</si>
  <si>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</si>
  <si>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</si>
  <si>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</si>
  <si>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</si>
  <si>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</si>
  <si>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</si>
  <si>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</si>
  <si>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</si>
  <si>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</si>
  <si>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</si>
  <si>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</si>
  <si>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</si>
  <si>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</si>
  <si>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</si>
  <si>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</si>
  <si>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</si>
  <si>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</si>
  <si>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</si>
  <si>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</si>
  <si>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</si>
  <si>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</si>
  <si>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</si>
  <si>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</si>
  <si>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</si>
  <si>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</si>
  <si>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</si>
  <si>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</si>
  <si>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</si>
  <si>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</si>
  <si>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</si>
  <si>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</si>
  <si>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</si>
  <si>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</si>
  <si>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</si>
  <si>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</si>
  <si>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</si>
  <si>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</si>
  <si>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</si>
  <si>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</si>
  <si>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</si>
  <si>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</si>
  <si>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</si>
  <si>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</si>
  <si>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</si>
  <si>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</si>
  <si>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</si>
  <si>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</si>
  <si>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</si>
  <si>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</si>
  <si>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</si>
  <si>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</si>
  <si>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</si>
  <si>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</si>
  <si>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</si>
  <si>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</si>
  <si>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</si>
  <si>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</si>
  <si>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</si>
  <si>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</si>
  <si>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</si>
  <si>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</si>
  <si>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</si>
  <si>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</si>
  <si>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</si>
  <si>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</si>
  <si>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</si>
  <si>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</si>
  <si>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</si>
  <si>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</si>
  <si>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</si>
  <si>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</si>
  <si>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</si>
  <si>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</si>
  <si>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</si>
  <si>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</si>
  <si>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</si>
  <si>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</si>
  <si>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</si>
  <si>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</si>
  <si>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</si>
  <si>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</si>
  <si>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</si>
  <si>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</si>
  <si>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</si>
  <si>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</si>
  <si>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</si>
  <si>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</si>
  <si>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</si>
  <si>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</si>
  <si>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</si>
  <si>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</si>
  <si>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</si>
  <si>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</si>
  <si>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</si>
  <si>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</si>
  <si>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</si>
  <si>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13 Month Average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</si>
  <si>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</si>
  <si>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</si>
  <si>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</si>
  <si>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</si>
  <si>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</si>
  <si>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</si>
  <si>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</si>
  <si>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</si>
  <si>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</si>
  <si>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</si>
  <si>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</si>
  <si>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</si>
  <si>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</si>
  <si>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</si>
  <si>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</si>
  <si>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</si>
  <si>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</si>
  <si>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</si>
  <si>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</si>
  <si>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</si>
  <si>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</si>
  <si>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</si>
  <si>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</si>
  <si>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</si>
  <si>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</si>
  <si>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</si>
  <si>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</si>
  <si>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</si>
  <si>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</si>
  <si>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</si>
  <si>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</si>
  <si>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</si>
  <si>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</si>
  <si>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</si>
  <si>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</si>
  <si>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</si>
  <si>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</si>
  <si>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</si>
  <si>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</si>
  <si>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</si>
  <si>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</si>
  <si>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</si>
  <si>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</si>
  <si>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</si>
  <si>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</si>
  <si>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</si>
  <si>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</si>
  <si>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</si>
  <si>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</si>
  <si>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</si>
  <si>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</si>
  <si>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</si>
  <si>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</si>
  <si>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</si>
  <si>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</si>
  <si>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</si>
  <si>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</si>
  <si>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</si>
  <si>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</si>
  <si>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</si>
  <si>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</si>
  <si>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</si>
  <si>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</si>
  <si>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</si>
  <si>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</si>
  <si>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</si>
  <si>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</si>
  <si>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</si>
  <si>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</si>
  <si>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</si>
  <si>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</si>
  <si>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</si>
  <si>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</si>
  <si>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</si>
  <si>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</si>
  <si>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</si>
  <si>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</si>
  <si>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</si>
  <si>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</si>
  <si>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</si>
  <si>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</si>
  <si>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</si>
  <si>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</si>
  <si>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</si>
  <si>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</si>
  <si>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</si>
  <si>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</si>
  <si>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</si>
  <si>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</si>
  <si>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</si>
  <si>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</si>
  <si>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</si>
  <si>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</si>
  <si>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</si>
  <si>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</si>
  <si>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</si>
  <si>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</si>
  <si>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</si>
  <si>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</si>
  <si>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</si>
  <si>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</si>
  <si>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</si>
  <si>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</si>
  <si>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</si>
  <si>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</si>
  <si>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</si>
  <si>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</si>
  <si>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</si>
  <si>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</si>
  <si>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</si>
  <si>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</si>
  <si>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</si>
  <si>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>Total Depreciation Expense</t>
  </si>
  <si>
    <t>LESS Adjustments:</t>
  </si>
  <si>
    <t>Adjusted KY Plant Total</t>
  </si>
  <si>
    <t>4-SQ, 5-SQ, 20-SQ</t>
  </si>
  <si>
    <t>REMAINING SERVICE LIFE</t>
  </si>
  <si>
    <t>SCH 7, 7.1, 7.2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</si>
  <si>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</si>
  <si>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</si>
  <si>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</si>
  <si>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</si>
  <si>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</si>
  <si>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</si>
  <si>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</si>
  <si>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</si>
  <si>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</si>
  <si>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</si>
  <si>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</si>
  <si>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</si>
  <si>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</si>
  <si>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</si>
  <si>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</si>
  <si>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</si>
  <si>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</si>
  <si>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</si>
  <si>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</si>
  <si>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</si>
  <si>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</si>
  <si>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</si>
  <si>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</si>
  <si>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</si>
  <si>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</si>
  <si>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</si>
  <si>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</si>
  <si>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</si>
  <si>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</si>
  <si>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</si>
  <si>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</si>
  <si>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</si>
  <si>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</si>
  <si>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</si>
  <si>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</si>
  <si>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</si>
  <si>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</si>
  <si>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</si>
  <si>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</si>
  <si>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</si>
  <si>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</si>
  <si>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</si>
  <si>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</si>
  <si>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</si>
  <si>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</si>
  <si>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</si>
  <si>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</si>
  <si>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</si>
  <si>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</si>
  <si>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</si>
  <si>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</si>
  <si>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</si>
  <si>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</si>
  <si>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</si>
  <si>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</si>
  <si>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</si>
  <si>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</si>
  <si>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</si>
  <si>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</si>
  <si>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</si>
  <si>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</si>
  <si>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</si>
  <si>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</si>
  <si>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</si>
  <si>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</si>
  <si>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</si>
  <si>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</si>
  <si>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</si>
  <si>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</si>
  <si>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</si>
  <si>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</si>
  <si>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</si>
  <si>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</si>
  <si>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</si>
  <si>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</si>
  <si>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</si>
  <si>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</si>
  <si>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</si>
  <si>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</si>
  <si>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</si>
  <si>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</si>
  <si>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</si>
  <si>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</si>
  <si>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</si>
  <si>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</si>
  <si>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</si>
  <si>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</si>
  <si>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</si>
  <si>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</si>
  <si>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</si>
  <si>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</si>
  <si>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</si>
  <si>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</si>
  <si>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</si>
  <si>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</si>
  <si>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</si>
  <si>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</si>
  <si>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</si>
  <si>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</si>
  <si>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</si>
  <si>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</si>
  <si>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</si>
  <si>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</si>
  <si>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</si>
  <si>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</si>
  <si>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</si>
  <si>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</si>
  <si>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</si>
  <si>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</si>
  <si>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</si>
  <si>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</si>
  <si>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</si>
  <si>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</si>
  <si>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</si>
  <si>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</si>
  <si>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</si>
  <si>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</si>
  <si>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</si>
  <si>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</si>
  <si>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</si>
  <si>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</si>
  <si>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</si>
  <si>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</si>
  <si>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</si>
  <si>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</si>
  <si>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</si>
  <si>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</si>
  <si>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</si>
  <si>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</si>
  <si>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</si>
  <si>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</si>
  <si>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</si>
  <si>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</si>
  <si>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</si>
  <si>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</si>
  <si>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</si>
  <si>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</si>
  <si>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</si>
  <si>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</si>
  <si>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</si>
  <si>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</si>
  <si>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</si>
  <si>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</si>
  <si>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</si>
  <si>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</si>
  <si>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</si>
  <si>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</si>
  <si>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</si>
  <si>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</si>
  <si>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</si>
  <si>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</si>
  <si>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</si>
  <si>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</si>
  <si>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</si>
  <si>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</si>
  <si>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</si>
  <si>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</si>
  <si>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</si>
  <si>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ECR amounts excluded from rate base</t>
  </si>
  <si>
    <t>DSM amounts excluded from rate base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</si>
  <si>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</si>
  <si>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</si>
  <si>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</si>
  <si>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</si>
  <si>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</si>
  <si>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ECR O&amp;M WORKING CAPITAL ALLOWANCE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</si>
  <si>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</si>
  <si>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</si>
  <si>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</si>
  <si>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</si>
  <si>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</si>
  <si>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</si>
  <si>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</si>
  <si>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</si>
  <si>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</si>
  <si>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</si>
  <si>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B-3.2</t>
  </si>
  <si>
    <t>B-4.2</t>
  </si>
  <si>
    <t>TOTAL ADJUSTMENTS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</si>
  <si>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</si>
  <si>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</si>
  <si>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</si>
  <si>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</si>
  <si>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</si>
  <si>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</si>
  <si>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</si>
  <si>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</si>
  <si>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</si>
  <si>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</si>
  <si>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</si>
  <si>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</si>
  <si>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</si>
  <si>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</si>
  <si>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</si>
  <si>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</si>
  <si>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</si>
  <si>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</si>
  <si>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</si>
  <si>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</si>
  <si>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</si>
  <si>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</si>
  <si>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</si>
  <si>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</si>
  <si>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</si>
  <si>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</si>
  <si>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</si>
  <si>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</si>
  <si>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</si>
  <si>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</si>
  <si>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</si>
  <si>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DSM Rate Base</t>
  </si>
  <si>
    <t>ARO Rate Base</t>
  </si>
  <si>
    <t>Pro Forma</t>
  </si>
  <si>
    <t>(2 + 8)</t>
  </si>
  <si>
    <t>(2 - 3 - 4 - 5 - 6)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</si>
  <si>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</si>
  <si>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</si>
  <si>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</si>
  <si>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</si>
  <si>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</si>
  <si>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</si>
  <si>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</si>
  <si>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</si>
  <si>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</si>
  <si>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</si>
  <si>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</si>
  <si>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</si>
  <si>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</si>
  <si>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</si>
  <si>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</si>
  <si>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</si>
  <si>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</si>
  <si>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</si>
  <si>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</si>
  <si>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</si>
  <si>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</si>
  <si>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</si>
  <si>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monthly</t>
  </si>
  <si>
    <t>BRN 3 SCR</t>
  </si>
  <si>
    <t>BRN ATB Expansion</t>
  </si>
  <si>
    <t>TC Re-use</t>
  </si>
  <si>
    <t>Accum Depr</t>
  </si>
  <si>
    <t>Environmental Equipment KU</t>
  </si>
  <si>
    <t>140342KU</t>
  </si>
  <si>
    <t>HR Cap Equip Improvmnts KU</t>
  </si>
  <si>
    <t>Thirteen Month Average</t>
  </si>
  <si>
    <t>EMISSION ALLOWANCES (b)</t>
  </si>
  <si>
    <t>(b) Excludes ECR amounts.</t>
  </si>
  <si>
    <t>JURIS FACTOR %</t>
  </si>
  <si>
    <t>COMPARATIVE BALANCE SHEETS - TOTAL COMPANY</t>
  </si>
  <si>
    <t>COMPARATIVE BALANCE SHEETS - JURISDICTIONAL</t>
  </si>
  <si>
    <t>Adjustment to Balance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</si>
  <si>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</si>
  <si>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</si>
  <si>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</si>
  <si>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</si>
  <si>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</si>
  <si>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</si>
  <si>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</si>
  <si>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</si>
  <si>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</si>
  <si>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</si>
  <si>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</si>
  <si>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</si>
  <si>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</si>
  <si>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</si>
  <si>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</si>
  <si>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</si>
  <si>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</si>
  <si>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</si>
  <si>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</si>
  <si>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</si>
  <si>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</si>
  <si>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</si>
  <si>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</si>
  <si>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</si>
  <si>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</si>
  <si>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</si>
  <si>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</si>
  <si>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</si>
  <si>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</si>
  <si>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</si>
  <si>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</si>
  <si>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</si>
  <si>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</si>
  <si>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</si>
  <si>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</si>
  <si>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</si>
  <si>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</si>
  <si>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</si>
  <si>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</si>
  <si>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</si>
  <si>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</si>
  <si>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</si>
  <si>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</si>
  <si>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</si>
  <si>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</si>
  <si>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</si>
  <si>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</si>
  <si>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</si>
  <si>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</si>
  <si>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</si>
  <si>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</si>
  <si>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</si>
  <si>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</si>
  <si>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</si>
  <si>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</si>
  <si>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</si>
  <si>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</si>
  <si>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</si>
  <si>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</si>
  <si>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</si>
  <si>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</si>
  <si>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</si>
  <si>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</si>
  <si>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</si>
  <si>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</si>
  <si>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</si>
  <si>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</si>
  <si>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</si>
  <si>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</si>
  <si>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</si>
  <si>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</si>
  <si>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</si>
  <si>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</si>
  <si>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</si>
  <si>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</si>
  <si>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</si>
  <si>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</si>
  <si>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</si>
  <si>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</si>
  <si>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</si>
  <si>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</si>
  <si>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</si>
  <si>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</si>
  <si>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Description</t>
  </si>
  <si>
    <t>ECR</t>
  </si>
  <si>
    <t>ARO</t>
  </si>
  <si>
    <t>DSM</t>
  </si>
  <si>
    <t>CHECK TOTALS</t>
  </si>
  <si>
    <t>plus RWIP</t>
  </si>
  <si>
    <t>E370.01-Meters AMS</t>
  </si>
  <si>
    <t>E397.00- Microwave, Fiber, Other</t>
  </si>
  <si>
    <t>E397.10-Comm Eq Radio and Telephone</t>
  </si>
  <si>
    <t>E360.25-Land Held for Future Use</t>
  </si>
  <si>
    <t>Other Production</t>
  </si>
  <si>
    <t xml:space="preserve">   KU-1311 - Steam Production - ECR 2011 </t>
  </si>
  <si>
    <t xml:space="preserve">   KU-1312 - Steam Production - ECR 2016 </t>
  </si>
  <si>
    <t xml:space="preserve">   KU-1315 - Steam Production - ECR 2009 </t>
  </si>
  <si>
    <t xml:space="preserve">   KU-1316 - Steam Production - ECR 2011 </t>
  </si>
  <si>
    <t xml:space="preserve">   KU-1340 - Other Production - Future Use </t>
  </si>
  <si>
    <t xml:space="preserve">   KU-1340 - Other Production - Gas Pipe Line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</si>
  <si>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</si>
  <si>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</si>
  <si>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</si>
  <si>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</si>
  <si>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CCGT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</si>
  <si>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</si>
  <si>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</si>
  <si>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</si>
  <si>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</si>
  <si>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</si>
  <si>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</si>
  <si>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</si>
  <si>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KU-1364 - Electric Distribution - ECR 2009 </t>
  </si>
  <si>
    <t xml:space="preserve">   KU-1365 - Electric Distribution - ECR 2009 </t>
  </si>
  <si>
    <t xml:space="preserve">   KU-1366 - Electric Distribution - ECR 2009 </t>
  </si>
  <si>
    <t xml:space="preserve">   KU-1367 - Electric Distribution - ECR 2009 </t>
  </si>
  <si>
    <t>Spec ID</t>
  </si>
  <si>
    <t>13-Month Average</t>
  </si>
  <si>
    <t xml:space="preserve">   KU Steam Production ECR 2016 </t>
  </si>
  <si>
    <t>Property Group</t>
  </si>
  <si>
    <t>13-MONTH AVERAGE</t>
  </si>
  <si>
    <t xml:space="preserve">          145.0 - Notes receivable from assoc co (LKE)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</si>
  <si>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</si>
  <si>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</si>
  <si>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</si>
  <si>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188.1 - Misc Def Debits Resrch/Dev/Demo Exp</t>
  </si>
  <si>
    <t>TOTAL LIABILITIES AND OTHER CREDITS</t>
  </si>
  <si>
    <t>C. M. GARRETT</t>
  </si>
  <si>
    <t>JURIS PERCENT</t>
  </si>
  <si>
    <t>Land located at Green River CC GT intended for Generation</t>
  </si>
  <si>
    <t>Land and site prep located at London, Kentucky intended for Substation</t>
  </si>
  <si>
    <t xml:space="preserve">    REGULATORY DEBITS</t>
  </si>
  <si>
    <t>DIR360FU</t>
  </si>
  <si>
    <t xml:space="preserve">  447-SALES FOR RESALE-BORDERLINE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</si>
  <si>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</si>
  <si>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</si>
  <si>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</si>
  <si>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</si>
  <si>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</si>
  <si>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</si>
  <si>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</si>
  <si>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926-PENSIONS EXP-DIR KY</t>
  </si>
  <si>
    <t xml:space="preserve">  926-PENSIONS EXP-DIR VA</t>
  </si>
  <si>
    <t xml:space="preserve">  926-PENSIONS EXP-DIR FERC/TN</t>
  </si>
  <si>
    <t xml:space="preserve">  930.1-GEN ADVERTISING EXPENSE</t>
  </si>
  <si>
    <t xml:space="preserve">  930.2-MISC GENERAL EXPENSE</t>
  </si>
  <si>
    <t xml:space="preserve">    KENTUCKY JURISDICTION</t>
  </si>
  <si>
    <t>ARO REGULATORY DEBITS AND ACCRETION</t>
  </si>
  <si>
    <t>REGULATORY DEBITS</t>
  </si>
  <si>
    <t>TOTAL REGULATORY DEBITS</t>
  </si>
  <si>
    <t xml:space="preserve">  SEC. 199 DEDUCTION-FEDERAL</t>
  </si>
  <si>
    <t>APPORTIONED STATE TAXABLE INCOME (LINE 14-9)</t>
  </si>
  <si>
    <t>FEDERAL TAXABLE INCOME</t>
  </si>
  <si>
    <t xml:space="preserve">   FERC 543</t>
  </si>
  <si>
    <t>DIRECT ASSIGN 360-PHFU</t>
  </si>
  <si>
    <t>DIR ASSIGN ACC.DFDTX.DIST.VA</t>
  </si>
  <si>
    <t>DIR ASSIGN ACC.ITC.DIST.VA</t>
  </si>
  <si>
    <t>ACCT 930-GEN MISC &amp; ADVERTISING</t>
  </si>
  <si>
    <t>2015</t>
  </si>
  <si>
    <t>THIRTEEN MONTH AVERAGE FOR PERIOD</t>
  </si>
  <si>
    <t>13 MO AVG CONSTRUCTION AMOUNT</t>
  </si>
  <si>
    <t>101, 108, 182, 230</t>
  </si>
  <si>
    <t>Unamortized Closure Cost (a)</t>
  </si>
  <si>
    <t>(a) Adjustment reflects applicable ECR and DSM jurisdictional amounts.</t>
  </si>
  <si>
    <t xml:space="preserve">  Unamortized Closure Costs</t>
  </si>
  <si>
    <t>Unamortized Closure Cost</t>
  </si>
  <si>
    <t>CERTAIN DEFERRED CREDITS AND ACCUMULATED DEFERRED INCOME TAX</t>
  </si>
  <si>
    <t>158.0 - ECR Allowance inventory</t>
  </si>
  <si>
    <t>SUMMARY OF ESTIMATED SURVIVOR CURVES, NET SALVAGE, ORIGINAL COST, BOOK DEPRECIATION RESERVE AND</t>
  </si>
  <si>
    <t>100-R2.5</t>
  </si>
  <si>
    <t xml:space="preserve">STRUCTURES AND IMPROVEMENTS - ASH PONDS                   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</si>
  <si>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</si>
  <si>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</si>
  <si>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</si>
  <si>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</si>
  <si>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TOTAL ACCOUNT 311.1 - STRUCTURES AND IMPROVEMENTS - ASH PONDS</t>
  </si>
  <si>
    <t>STRUCTURES AND IMPROVEMENTS - RETIRED PLANT</t>
  </si>
  <si>
    <t>65-R2</t>
  </si>
  <si>
    <t>BOILER PLANT EQUIPMENT - ASH PONDS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</si>
  <si>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</si>
  <si>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</si>
  <si>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</si>
  <si>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</si>
  <si>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</si>
  <si>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 xml:space="preserve">  TYRONE UNIT 3 - ASH POND</t>
  </si>
  <si>
    <t xml:space="preserve">  GREEN RIVER UNIT 3 - ASH POND</t>
  </si>
  <si>
    <t xml:space="preserve">  PINEVILLE UNIT 3 - ASH POND</t>
  </si>
  <si>
    <t>TOTAL ACCOUNT 312.1 - BOILER PLANT EQUIPMENT - ASH PONDS</t>
  </si>
  <si>
    <t>BOILER PLANT EQUIPMENT - RETIRED PLANT</t>
  </si>
  <si>
    <t>TURBOGENERATOR UNITS - RETIRED PLANT</t>
  </si>
  <si>
    <t>TOTAL ACCOUNT 314.1 - TURBOGENERATOR UNITS - RETIRED PLANT</t>
  </si>
  <si>
    <t>70-R3</t>
  </si>
  <si>
    <t>ACCESSORY ELECTRIC EQUIPMENT - RETIRED PLANT</t>
  </si>
  <si>
    <t>TOTAL ACCOUNT 315.1 - ACCESSORY ELECTRIC EQUIPMENT - RETIRED PLANT</t>
  </si>
  <si>
    <t xml:space="preserve">MISCELLANEOUS PLANT EQUIPMENT </t>
  </si>
  <si>
    <t>75-R1.5</t>
  </si>
  <si>
    <t>TOTAL ACCOUNT 316 - MISCELLANEOUS PLANT EQUIPMENT</t>
  </si>
  <si>
    <t>MISCELLANEOUS PLANT EQUIPMENT - RETIRED PLANT</t>
  </si>
  <si>
    <t>TOTAL ACCOUNT 316.1 - MISCELLANEOUS PLANT EQUIPMENT - RETIRED PLANT</t>
  </si>
  <si>
    <t>105-S2.5</t>
  </si>
  <si>
    <t>40-S0</t>
  </si>
  <si>
    <t>60-R4</t>
  </si>
  <si>
    <t xml:space="preserve">  CANE RUN CC 7</t>
  </si>
  <si>
    <t>50-R2.5</t>
  </si>
  <si>
    <t xml:space="preserve">  CANE RUN GAS PIPELINE</t>
  </si>
  <si>
    <t>55-S2.5</t>
  </si>
  <si>
    <t>50-R3</t>
  </si>
  <si>
    <t>40-R2</t>
  </si>
  <si>
    <t>45-R2</t>
  </si>
  <si>
    <t>58-R2</t>
  </si>
  <si>
    <t>65-R3</t>
  </si>
  <si>
    <t>40-R3</t>
  </si>
  <si>
    <t>50-R1.5</t>
  </si>
  <si>
    <t>47-R1</t>
  </si>
  <si>
    <t>48-R2</t>
  </si>
  <si>
    <t>46-R2</t>
  </si>
  <si>
    <t>48-R1</t>
  </si>
  <si>
    <t>METERS - AMS</t>
  </si>
  <si>
    <t>15-S2.5</t>
  </si>
  <si>
    <t>28-O1</t>
  </si>
  <si>
    <t>28-L0.5</t>
  </si>
  <si>
    <t>28-L1</t>
  </si>
  <si>
    <t>50-S0</t>
  </si>
  <si>
    <t>33-R1.5</t>
  </si>
  <si>
    <t>14-S2</t>
  </si>
  <si>
    <t>16-L2.5</t>
  </si>
  <si>
    <t>16-L5</t>
  </si>
  <si>
    <t>18-L3</t>
  </si>
  <si>
    <t>COMMUNICATION EQUIPMENT - DSM</t>
  </si>
  <si>
    <t>-6%,-7%,-10%,-12%</t>
  </si>
  <si>
    <t>-6%,-7%,-12%</t>
  </si>
  <si>
    <t>-10%</t>
  </si>
  <si>
    <t>15-S2.5, 28-L1</t>
  </si>
  <si>
    <t>10-SQ, 18-L3</t>
  </si>
  <si>
    <t>2.2-9.9</t>
  </si>
  <si>
    <t>10.8-13.9</t>
  </si>
  <si>
    <t>5.6-13.4</t>
  </si>
  <si>
    <t>4.3-14.7</t>
  </si>
  <si>
    <t>47.9-59.5</t>
  </si>
  <si>
    <t>146434</t>
  </si>
  <si>
    <t>DX Dam Parapet Wall</t>
  </si>
  <si>
    <t>148391</t>
  </si>
  <si>
    <t>Prop. Tax Cap. - KU Non-Mech</t>
  </si>
  <si>
    <t>145403</t>
  </si>
  <si>
    <t>147818</t>
  </si>
  <si>
    <t>BRMISCCAP</t>
  </si>
  <si>
    <t>BR Miscellaneous Cap</t>
  </si>
  <si>
    <t>149345</t>
  </si>
  <si>
    <t>141391</t>
  </si>
  <si>
    <t>Accum Depr Cost of Removal</t>
  </si>
  <si>
    <t>INSERT "ACCUM DEPR COST OF REMOVAL" ROWS BELOW INTO PLANT DATA TAB FOR EACH ACCOUNT.</t>
  </si>
  <si>
    <t>REPLACE ACCUM DEPRECIATION RESERVE BALANCES IN PLANT DATA TAB FROM FORECASTING WITH "ENDING ACCUM DEPRECIATION" ROWS BELOW FOR EACH ACCOUNT.</t>
  </si>
  <si>
    <t>403 - ECR DEPRECIATION EXP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</si>
  <si>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</si>
  <si>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</si>
  <si>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</si>
  <si>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</si>
  <si>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</si>
  <si>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</si>
  <si>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549 - ECR MISC OTH PWR GEN EXP</t>
  </si>
  <si>
    <t>FROM ECR EXPENSE MONTH FILINGS:</t>
  </si>
  <si>
    <t>407.3-REGULATORY DEBITS</t>
  </si>
  <si>
    <t>501253 - ECR Fly Ash Disposal</t>
  </si>
  <si>
    <t>502011 - ECR Other Waste Disposal</t>
  </si>
  <si>
    <t>BENEFICIAL REUSE IN BASE RATES (ES FORM 2.61)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</si>
  <si>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</si>
  <si>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</si>
  <si>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</si>
  <si>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</si>
  <si>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</si>
  <si>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</si>
  <si>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</si>
  <si>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923 - ECR Consultant Fee</t>
  </si>
  <si>
    <t>SUMMARY BY ACCOUNT:</t>
  </si>
  <si>
    <t>403-404</t>
  </si>
  <si>
    <t>403 - ECR Depreciation</t>
  </si>
  <si>
    <t>407 - ECR Closure Costs</t>
  </si>
  <si>
    <t>408 - ECR Property Tax</t>
  </si>
  <si>
    <t>501 - ECR Fly Ash Disposal</t>
  </si>
  <si>
    <t>502 - ECR Other Waste Disposal</t>
  </si>
  <si>
    <t>506 - ECR Operation</t>
  </si>
  <si>
    <t>509 - ECR Allowances</t>
  </si>
  <si>
    <t>512 - ECR Steam Maintenance</t>
  </si>
  <si>
    <t>Total ECR O&amp;M</t>
  </si>
  <si>
    <t>ECR O&amp;M for Working Capital</t>
  </si>
  <si>
    <t xml:space="preserve"> 506154 - ECR NOx Operation -- Consumables</t>
  </si>
  <si>
    <t xml:space="preserve"> 506155 - ECR NOx Operation -- Labor and Other</t>
  </si>
  <si>
    <t xml:space="preserve"> 512151 - ECR NOx Maintenance</t>
  </si>
  <si>
    <t xml:space="preserve"> 502013 - ECR Landfill Operations</t>
  </si>
  <si>
    <t xml:space="preserve"> 512107 - ECR Landfill Maintenance</t>
  </si>
  <si>
    <t>SCH 1.1</t>
  </si>
  <si>
    <t>512108 - ECR CCR Ben Reuse System Maint</t>
  </si>
  <si>
    <t>411 - AMORTIZATION OF EXCESS ADIT</t>
  </si>
  <si>
    <t>411.8 - ECR Gain Disp Allowances</t>
  </si>
  <si>
    <t>411 - ECR Amort Excess ADIT</t>
  </si>
  <si>
    <t>411 - ECR AMORT EXCESS ADIT</t>
  </si>
  <si>
    <t>411.8 - ECR GAIN-DISP OF ALLOW</t>
  </si>
  <si>
    <t>E360.10-Land Rights (less PHFU)</t>
  </si>
  <si>
    <t>E370.20-Meters CT and PT</t>
  </si>
  <si>
    <t>E389.20-Land (less PHFU)</t>
  </si>
  <si>
    <t>E396.00-Power Op Equip - Lg Mach</t>
  </si>
  <si>
    <t>E340.10-Land Rights (less PHFU)</t>
  </si>
  <si>
    <t>E317.08-ARO Cost Steam (CCR)</t>
  </si>
  <si>
    <t>Plant Report</t>
  </si>
  <si>
    <t>12 MONTHS ENDING DECEMBER 31, 2018</t>
  </si>
  <si>
    <t xml:space="preserve">    UNAMORTIZED CLOSURE COSTS</t>
  </si>
  <si>
    <t>UNAMORTIZED CLOSURE COSTS</t>
  </si>
  <si>
    <t>.</t>
  </si>
  <si>
    <t xml:space="preserve">  454-EV CHARGING STATION RENTAL</t>
  </si>
  <si>
    <t xml:space="preserve">  454-REFINED COAL LICENSE FEE</t>
  </si>
  <si>
    <t xml:space="preserve">  456-REFINED COAL EXCLUSIVITY FEE</t>
  </si>
  <si>
    <t xml:space="preserve">  UNEMPLOYMENT</t>
  </si>
  <si>
    <t xml:space="preserve">  FICA</t>
  </si>
  <si>
    <t xml:space="preserve">   KU-1310 - Steam Production - ECR 2016 </t>
  </si>
  <si>
    <t xml:space="preserve">   KU-1317 - Steam Production - ARO CCR </t>
  </si>
  <si>
    <t xml:space="preserve">   KU-1370 KY - Electric Distribution - Meters - DSM </t>
  </si>
  <si>
    <t xml:space="preserve">   KU-1389 KY - Electric General - Future Use </t>
  </si>
  <si>
    <t xml:space="preserve">   KU-1392 VA - Electric General - Transportation Equipment </t>
  </si>
  <si>
    <t xml:space="preserve">   KU-1396 KY - Electric General - Transportation Equipment </t>
  </si>
  <si>
    <t xml:space="preserve">   KU-1396 VA - Electric General - Transportation Equipment 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</si>
  <si>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</si>
  <si>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</si>
  <si>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</si>
  <si>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</si>
  <si>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</si>
  <si>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 xml:space="preserve">   KU Land - VA 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</si>
  <si>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</si>
  <si>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</si>
  <si>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</si>
  <si>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Special funds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</si>
  <si>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</si>
  <si>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</si>
  <si>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</si>
  <si>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>KU Plant Account (monthly)</t>
  </si>
  <si>
    <t>in (000's)</t>
  </si>
  <si>
    <t>Gross Plant FERC-AFUDC PRE</t>
  </si>
  <si>
    <t xml:space="preserve">    12 MONTHS ENDING APRIL 30, 2020</t>
  </si>
  <si>
    <t>Plant In Service</t>
  </si>
  <si>
    <t xml:space="preserve">KU-1312 - Steam Production - ECR 2009 </t>
  </si>
  <si>
    <t>Depreciation Exclusion</t>
  </si>
  <si>
    <t>Total Depreciation Exclusion</t>
  </si>
  <si>
    <t>Accum Depreication Exclusion</t>
  </si>
  <si>
    <t>Total Accum Depreciation Exclusion</t>
  </si>
  <si>
    <t>Depreciation Rates</t>
  </si>
  <si>
    <t>ECR Cost of Removal to be Excl from Total Reserve</t>
  </si>
  <si>
    <t>($000s)</t>
  </si>
  <si>
    <t>Ending Accum Depreciation (incl. COR)</t>
  </si>
  <si>
    <t>407 - ECR CLOSURE COSTS (KPSC JURIS)</t>
  </si>
  <si>
    <t>Land and site prep located at Lonesome Pine Substation</t>
  </si>
  <si>
    <t>Land and site prep located at Polo Club Substation</t>
  </si>
  <si>
    <t>KU AFUDC Balances By FERC Plant Account</t>
  </si>
  <si>
    <t>KY JURIS</t>
  </si>
  <si>
    <t>State</t>
  </si>
  <si>
    <t>Plant Acct.</t>
  </si>
  <si>
    <t>Pre-Merger</t>
  </si>
  <si>
    <t>Post-Merger</t>
  </si>
  <si>
    <t>Accessory Electrical Equipment</t>
  </si>
  <si>
    <t>Misc. Power Plant Equipment</t>
  </si>
  <si>
    <t>TOTAL KU</t>
  </si>
  <si>
    <t>Reservoirs, Dams, and Waterways</t>
  </si>
  <si>
    <t>Waterwheels, Turbines, &amp; Generators</t>
  </si>
  <si>
    <t>Fuel Holders, Producers, &amp; Acc.</t>
  </si>
  <si>
    <t>Land</t>
  </si>
  <si>
    <t>O/H Conductors and Devices</t>
  </si>
  <si>
    <t>U/G Conductors and Devices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</si>
  <si>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</si>
  <si>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</si>
  <si>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</si>
  <si>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</si>
  <si>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</si>
  <si>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</si>
  <si>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</si>
  <si>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</si>
  <si>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</si>
  <si>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</si>
  <si>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</si>
  <si>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</si>
  <si>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</si>
  <si>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</si>
  <si>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</si>
  <si>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</si>
  <si>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</si>
  <si>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</si>
  <si>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</si>
  <si>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</si>
  <si>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</si>
  <si>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</si>
  <si>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</si>
  <si>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</si>
  <si>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</si>
  <si>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</si>
  <si>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</si>
  <si>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</si>
  <si>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</si>
  <si>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</si>
  <si>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</si>
  <si>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</si>
  <si>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</si>
  <si>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</si>
  <si>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</si>
  <si>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</si>
  <si>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</si>
  <si>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</si>
  <si>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</si>
  <si>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</si>
  <si>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</si>
  <si>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</si>
  <si>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</si>
  <si>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</si>
  <si>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</si>
  <si>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</si>
  <si>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</si>
  <si>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</si>
  <si>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</si>
  <si>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</si>
  <si>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Additional Cash Working Capital Items (Page 2)</t>
  </si>
  <si>
    <t>Total Cash Working Capital</t>
  </si>
  <si>
    <t>ECR Cash Working Capital (Page 3)</t>
  </si>
  <si>
    <t>Jurisdictional Cash Working Capital (Line 48 - 49)</t>
  </si>
  <si>
    <t>13 MONTH AVERAGE</t>
  </si>
  <si>
    <t>Virginia Jurisdictional Percentage</t>
  </si>
  <si>
    <t>ADDITIONAL USES OF CASH WORKING CAPITAL:</t>
  </si>
  <si>
    <t>PREPAID PENSION</t>
  </si>
  <si>
    <t>REGULATORY ASSET - FAS 158 PENSION</t>
  </si>
  <si>
    <t>PRELIMINARY SURVEY</t>
  </si>
  <si>
    <t>MISC DEFERRED DEBITS</t>
  </si>
  <si>
    <t>RESRCH/DEV/DEMO EXP</t>
  </si>
  <si>
    <t>TOTAL USES OF CASH WORKING CAPITAL</t>
  </si>
  <si>
    <t>ADDITIONAL SOURCES OF CASH WORKING CAPITAL: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</si>
  <si>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</si>
  <si>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</si>
  <si>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</si>
  <si>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</si>
  <si>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</si>
  <si>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NET ACCRUED RETENTION/CWIP</t>
  </si>
  <si>
    <t>NET ACCRUED RWIP</t>
  </si>
  <si>
    <t>TOTAL SOURCES OF CASH WORKING CAPITAL</t>
  </si>
  <si>
    <t>ECR CASH WORKING CAPITAL (12.5% OF LINE 3)</t>
  </si>
  <si>
    <t>Total Company</t>
  </si>
  <si>
    <t>REGULATORY LIABILITY - POSTRETIREMENT</t>
  </si>
  <si>
    <t>ECR OPERATING AND MAINTENANCE EXPENSE</t>
  </si>
  <si>
    <t>LEAD/LAG STUDY</t>
  </si>
  <si>
    <t xml:space="preserve">  Cash Working Capital</t>
  </si>
  <si>
    <t>Base Period Jurisdictional</t>
  </si>
  <si>
    <t>PENSION CLEARING</t>
  </si>
  <si>
    <t>2016</t>
  </si>
  <si>
    <t>2017</t>
  </si>
  <si>
    <t xml:space="preserve">   KU-1371 KY - Electric Distribution - Install on Customers - EV Meters </t>
  </si>
  <si>
    <t>RATE BASE: THIRTEEN MONTH AVERAGE</t>
  </si>
  <si>
    <t>FEDERAL TAXES @ 21%</t>
  </si>
  <si>
    <t>AFUDC_FERC</t>
  </si>
  <si>
    <t>TOTAL ACCOUNT 311.0 - STRUCTURES AND IMPROVEMENTS</t>
  </si>
  <si>
    <t xml:space="preserve">  TRIMBLE COUNTY UNIT 2 - ASH POND</t>
  </si>
  <si>
    <t xml:space="preserve">  GHENT UNIT 1 SCRUBBER - ASH POND</t>
  </si>
  <si>
    <t xml:space="preserve">  GHENT UNIT 1 - ASH POND</t>
  </si>
  <si>
    <t>TOTAL ACCOUNT 311.2 - STRUCTURES AND IMPROVEMENTS - RETIRED PLANT</t>
  </si>
  <si>
    <t>TOTAL ACCOUNT 312.0 - BOILER PLANT EQUIPMENT</t>
  </si>
  <si>
    <t>TOTAL ACCOUNT 312.2 - BOILER PLANT EQUIPMENT - RETIRED PLANTS</t>
  </si>
  <si>
    <t>TOTAL ACCOUNT 314.0 - TURBOGENERATOR UNITS</t>
  </si>
  <si>
    <t>TOTAL ACCOUNT 315.0 - ACCESSORY ELECTRIC EQUIPMENT</t>
  </si>
  <si>
    <t>TOTAL ACCOUNT 316.0 - MISCELLANEOUS POWER PLANT EQUIPMENT</t>
  </si>
  <si>
    <t>TOTAL ACCOUNT 316 - MISCELLANEOUS PLANT EQUIPMENT - RETIRED PLANT</t>
  </si>
  <si>
    <t xml:space="preserve">  BROWN SOLAR</t>
  </si>
  <si>
    <t>40-S3</t>
  </si>
  <si>
    <t>-5%,-6%,-7%,-10%,-12%</t>
  </si>
  <si>
    <t xml:space="preserve">  PADDYS RUN GAS PIPELINE</t>
  </si>
  <si>
    <t>30-S1.5</t>
  </si>
  <si>
    <t>32-R2.5</t>
  </si>
  <si>
    <t>65-R3,70-R3</t>
  </si>
  <si>
    <t>45-R2,60-R2</t>
  </si>
  <si>
    <t xml:space="preserve">METERS - CT AND PT                             </t>
  </si>
  <si>
    <t>COMMUNICATION EQUIPMENT - MICROWAVE, FIBER, OTHER</t>
  </si>
  <si>
    <t>COMMUNICATION EQUIPMENT - RADIOS AND TELEPHONES</t>
  </si>
  <si>
    <t>55-S0, 33-R1.5</t>
  </si>
  <si>
    <t>18.00-39.20</t>
  </si>
  <si>
    <t>16-L2.5, 14-S2</t>
  </si>
  <si>
    <t>105-R2.5</t>
  </si>
  <si>
    <t>-6%-8%-13%</t>
  </si>
  <si>
    <t>-6%, -8%, -13%</t>
  </si>
  <si>
    <t>133641</t>
  </si>
  <si>
    <t>EFFLUENT WATER STUDY-GH</t>
  </si>
  <si>
    <t>133683</t>
  </si>
  <si>
    <t>EFFLUENT WATER STUDY-TC KU</t>
  </si>
  <si>
    <t>151123</t>
  </si>
  <si>
    <t>TC CCRT LANDFILL KU</t>
  </si>
  <si>
    <t>152899</t>
  </si>
  <si>
    <t>GH CCR Rule New Construction</t>
  </si>
  <si>
    <t>157591</t>
  </si>
  <si>
    <t>GHENT DSI IMPROVE NON-ECR</t>
  </si>
  <si>
    <t>158187</t>
  </si>
  <si>
    <t>BR LF PHASE II CONSTR</t>
  </si>
  <si>
    <t>144116</t>
  </si>
  <si>
    <t>Lynch Control House</t>
  </si>
  <si>
    <t>152706</t>
  </si>
  <si>
    <t>CR Farmers-Spencer Road</t>
  </si>
  <si>
    <t>156689</t>
  </si>
  <si>
    <t>PR Earlington NO-G River</t>
  </si>
  <si>
    <t>SU-000179</t>
  </si>
  <si>
    <t>RSC-Pocket N. Security Upgrds</t>
  </si>
  <si>
    <t>SU-000206</t>
  </si>
  <si>
    <t>TEP-Middlesboro 69kV Capacitor</t>
  </si>
  <si>
    <t>158181</t>
  </si>
  <si>
    <t>E-TOWN BUILDING PURCHASE-2018</t>
  </si>
  <si>
    <t>IT0000K</t>
  </si>
  <si>
    <t>IT0329K</t>
  </si>
  <si>
    <t>Lockout/Tagout Replace-KU18</t>
  </si>
  <si>
    <t>IT0352K</t>
  </si>
  <si>
    <t>Exp/Repl Cust Comm Chan-KU18</t>
  </si>
  <si>
    <t>155309</t>
  </si>
  <si>
    <t>Trans Line Clearance KU</t>
  </si>
  <si>
    <t>163043</t>
  </si>
  <si>
    <t>KU Direct Burial Replacement</t>
  </si>
  <si>
    <t>121GH</t>
  </si>
  <si>
    <t>GH1 Cooling Tower ComplRebuild</t>
  </si>
  <si>
    <t>131978</t>
  </si>
  <si>
    <t>GH1 Reheat Pend Assy Repl</t>
  </si>
  <si>
    <t>MISC TOOLS</t>
  </si>
  <si>
    <t>144312</t>
  </si>
  <si>
    <t>GH1 SH Pendant Platens</t>
  </si>
  <si>
    <t>144325</t>
  </si>
  <si>
    <t>152685KU</t>
  </si>
  <si>
    <t>TC2 B BFP OVERHAUL</t>
  </si>
  <si>
    <t>155014</t>
  </si>
  <si>
    <t>GH4 RH Outlet Terminal TubeRpl</t>
  </si>
  <si>
    <t>156838KU</t>
  </si>
  <si>
    <t>TC PLC CONVERSION</t>
  </si>
  <si>
    <t>157075KU</t>
  </si>
  <si>
    <t>TC2 HA COMP OH</t>
  </si>
  <si>
    <t>137807</t>
  </si>
  <si>
    <t>139958</t>
  </si>
  <si>
    <t>CR MLRSBRG-MRPHYVL</t>
  </si>
  <si>
    <t>148854</t>
  </si>
  <si>
    <t>SR Morganfield-Nebo 69kV</t>
  </si>
  <si>
    <t>157211</t>
  </si>
  <si>
    <t>TEP-NL-Lebanon-Lebanon South</t>
  </si>
  <si>
    <t>157636</t>
  </si>
  <si>
    <t>PR Dorchester-St Paul</t>
  </si>
  <si>
    <t>157639</t>
  </si>
  <si>
    <t>PR Corydon-Grn River Steel</t>
  </si>
  <si>
    <t>157642</t>
  </si>
  <si>
    <t>PR Imboden-Gorge-Dorchester</t>
  </si>
  <si>
    <t>SU-000070</t>
  </si>
  <si>
    <t>PCH-SHELBYVILLE CONTROL HOUSE</t>
  </si>
  <si>
    <t>SU-000130</t>
  </si>
  <si>
    <t>PR Harlan Y CONTROL HOUSE</t>
  </si>
  <si>
    <t>SU-000203</t>
  </si>
  <si>
    <t>TEP-Hardin Co-Etwn 69kV 2 Line</t>
  </si>
  <si>
    <t>SU-000322</t>
  </si>
  <si>
    <t>PCH-St Paul</t>
  </si>
  <si>
    <t>SU-000326</t>
  </si>
  <si>
    <t>PDFR-Pineville Transmission</t>
  </si>
  <si>
    <t>SU-000405</t>
  </si>
  <si>
    <t>PCH-Lancaster</t>
  </si>
  <si>
    <t>00051FACK</t>
  </si>
  <si>
    <t>A/V UPDATES 2020</t>
  </si>
  <si>
    <t>IT0511K</t>
  </si>
  <si>
    <t>IT0569K</t>
  </si>
  <si>
    <t>Enterprise GIS-Phase2-KU20-21</t>
  </si>
  <si>
    <t>IT0673K</t>
  </si>
  <si>
    <t>TOA Upgrade-KU20</t>
  </si>
  <si>
    <t>IT0713K</t>
  </si>
  <si>
    <t>Directly Assigned to Kentucky, Demand - Virginia and FERC Jurisdictions</t>
  </si>
  <si>
    <t>ECR Cash Working Capital (Page 6)</t>
  </si>
  <si>
    <t>TOTAL USES / (SOURCES) OF CASH WORKING CAPITAL (LINE 7 + 15)</t>
  </si>
  <si>
    <t>TOTAL PLANT HELD FOR FUTURE USE</t>
  </si>
  <si>
    <t>ACCRUAL RATE</t>
  </si>
  <si>
    <t>13 MO AVG FORECAST PERIOD                TOTAL COMPANY</t>
  </si>
  <si>
    <t>13 MO AVG FORECAST PERIOD                TOTAL COMPANY INVESTMENT</t>
  </si>
  <si>
    <t>FORECAST PERIOD                TOTAL COMPANY</t>
  </si>
  <si>
    <t>E</t>
  </si>
  <si>
    <t>F</t>
  </si>
  <si>
    <t>P</t>
  </si>
  <si>
    <t>A</t>
  </si>
  <si>
    <t>R</t>
  </si>
  <si>
    <t>T</t>
  </si>
  <si>
    <t>AD</t>
  </si>
  <si>
    <t>Distribution</t>
  </si>
  <si>
    <t>General</t>
  </si>
  <si>
    <t>Hydro</t>
  </si>
  <si>
    <t>Intangible</t>
  </si>
  <si>
    <t>Steam</t>
  </si>
  <si>
    <t>Transmission</t>
  </si>
  <si>
    <t>TYPE</t>
  </si>
  <si>
    <t>ITEM</t>
  </si>
  <si>
    <t>RM ID</t>
  </si>
  <si>
    <t>Add: Transfers/Adjustments</t>
  </si>
  <si>
    <t>DE</t>
  </si>
  <si>
    <t>APPRE</t>
  </si>
  <si>
    <t>APPOS</t>
  </si>
  <si>
    <t>ADEPRE</t>
  </si>
  <si>
    <t>ADEPOS</t>
  </si>
  <si>
    <t>AADPRE</t>
  </si>
  <si>
    <t>AADPOS</t>
  </si>
  <si>
    <t>INCOME STATEMENT</t>
  </si>
  <si>
    <t>DIFFERENCE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</si>
  <si>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</si>
  <si>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</si>
  <si>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</si>
  <si>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</si>
  <si>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</si>
  <si>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</si>
  <si>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JUNE 30, 2022</t>
  </si>
  <si>
    <t>AS OF JUNE 30, 2022</t>
  </si>
  <si>
    <t>FORECAST PERIOD FOR THE 12 MONTHS ENDED JUNE 30, 2022</t>
  </si>
  <si>
    <t>FOR THE 12 MONTHS ENDED JUNE 30, 2022</t>
  </si>
  <si>
    <t>FROM JULY 1, 2021 TO JUNE 30, 2022</t>
  </si>
  <si>
    <t>JULY 2021 TO JUNE 2022</t>
  </si>
  <si>
    <t>For the 2020 Rate Case Filing</t>
  </si>
  <si>
    <t>AS OF  DECEMBER 31, 2015 - 2019 AND BASE AND FORECASTED PERIODS</t>
  </si>
  <si>
    <t>Unamortized Premium on Long-Term Debt</t>
  </si>
  <si>
    <t>APPROVED RATES AS OF MAY 1, 2020</t>
  </si>
  <si>
    <t>2019</t>
  </si>
  <si>
    <t>2018</t>
  </si>
  <si>
    <t>a-Feb 2020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</si>
  <si>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</si>
  <si>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</si>
  <si>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</si>
  <si>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</si>
  <si>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</si>
  <si>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</si>
  <si>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</si>
  <si>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</si>
  <si>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</si>
  <si>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</si>
  <si>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</si>
  <si>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Feb 2021</t>
  </si>
  <si>
    <t xml:space="preserve">   KU-1303 - Intangible - Cloud Software </t>
  </si>
  <si>
    <t xml:space="preserve">   KU-1310 - Steam Production - ECR 2009 NT </t>
  </si>
  <si>
    <t xml:space="preserve">   KU-1310 - Steam Production - ECR 2016 NT </t>
  </si>
  <si>
    <t xml:space="preserve">   KU-1311 - Steam Production - ECR 2009 NT </t>
  </si>
  <si>
    <t xml:space="preserve">   KU-1312 - Steam Production - ECR 2009 NT </t>
  </si>
  <si>
    <t xml:space="preserve">   KU-1312 - Steam Production - ECR 2016 NT </t>
  </si>
  <si>
    <t xml:space="preserve">   KU-1312 - Steam Production - ECR 2020 </t>
  </si>
  <si>
    <t xml:space="preserve">   KU-1315 - Steam Production - ECR 2009 NT </t>
  </si>
  <si>
    <t xml:space="preserve">   KU-1344 - Other Production - Generators Solar Business </t>
  </si>
  <si>
    <t xml:space="preserve">   KU-1370 KY - Electric Distribution - Meters - AMI </t>
  </si>
  <si>
    <t>Mar2020-Feb2021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</si>
  <si>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</si>
  <si>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</si>
  <si>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</si>
  <si>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</si>
  <si>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</si>
  <si>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</si>
  <si>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</si>
  <si>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</si>
  <si>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</si>
  <si>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</si>
  <si>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</si>
  <si>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</si>
  <si>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</si>
  <si>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Jul2021-Jun2022</t>
  </si>
  <si>
    <t>CASE NO. 2020-00349</t>
  </si>
  <si>
    <t xml:space="preserve">   KU Distribution - KY - AMI </t>
  </si>
  <si>
    <t xml:space="preserve">   KU General - KY - AMI </t>
  </si>
  <si>
    <t xml:space="preserve">   KU Intangible - KY - AMI </t>
  </si>
  <si>
    <t xml:space="preserve">   KU Intangible Cloud - KY </t>
  </si>
  <si>
    <t xml:space="preserve">   KU Steam Production ECR 2009 NT </t>
  </si>
  <si>
    <t xml:space="preserve">   KU Steam Production ECR 2016 NT </t>
  </si>
  <si>
    <t xml:space="preserve">   KU Steam Production ECR 2020 </t>
  </si>
  <si>
    <t>13-Month Average As of June 30, 2022</t>
  </si>
  <si>
    <t>FORECAST PERIOD 
13 MONTH AVERAGE</t>
  </si>
  <si>
    <t>Clark Street Distribution Substation</t>
  </si>
  <si>
    <t>Elizabethtown Nonutility Property</t>
  </si>
  <si>
    <t>Tennessee - 5811 Fork Ridge Rd</t>
  </si>
  <si>
    <t>Tennessee - 5914 Fork Ridge Rd</t>
  </si>
  <si>
    <t>Tennessee - 5640 Fork Ridge Rd</t>
  </si>
  <si>
    <t>Tennessee - 239 Good Lane</t>
  </si>
  <si>
    <t>CALCULATED ANNUAL DEPRECIATION RATES BY COMPONENT AS OF JUNE 30, 2020</t>
  </si>
  <si>
    <t>75-R1.5, 100-S4</t>
  </si>
  <si>
    <t>4.00, 19.7</t>
  </si>
  <si>
    <t>METERS - AMI</t>
  </si>
  <si>
    <t>ELECTRICAL VEHICAL CHARGING STATIONS</t>
  </si>
  <si>
    <t>10-L2.5</t>
  </si>
  <si>
    <t>POWER OPERATED EQUIPMENT - OTHER</t>
  </si>
  <si>
    <t>17-L5</t>
  </si>
  <si>
    <t>2.8-7.4</t>
  </si>
  <si>
    <t xml:space="preserve">  TRIMBLE COUNTY TRAINING CENTER</t>
  </si>
  <si>
    <t>-4%-7%-13%</t>
  </si>
  <si>
    <t>65-R1.5</t>
  </si>
  <si>
    <t xml:space="preserve">  TRIMBLE COUNTY UNIT 2 - BOTTOM ASH</t>
  </si>
  <si>
    <t xml:space="preserve">  TRIMBLE COUNTY UNIT 2 - GYPSUM ASH</t>
  </si>
  <si>
    <t xml:space="preserve">  BROWN UNIT 1 </t>
  </si>
  <si>
    <t xml:space="preserve">  BROWN UNIT 3 </t>
  </si>
  <si>
    <t xml:space="preserve">  GHENT UNIT 1 </t>
  </si>
  <si>
    <t xml:space="preserve">  GHENT UNIT 4 </t>
  </si>
  <si>
    <t>60-R1.5</t>
  </si>
  <si>
    <t>-4%, -7%, -13%</t>
  </si>
  <si>
    <t>85-S2.5</t>
  </si>
  <si>
    <t>110-S2.5</t>
  </si>
  <si>
    <t>45-S0</t>
  </si>
  <si>
    <t>55-R2.5</t>
  </si>
  <si>
    <t xml:space="preserve">  SIMPSONVILLE SOLAR</t>
  </si>
  <si>
    <t>50-R2.5, 40-S3</t>
  </si>
  <si>
    <t>-3%,-6%,-8%,-10%,-12%</t>
  </si>
  <si>
    <t>50-R2</t>
  </si>
  <si>
    <t xml:space="preserve">  BROWN CT PIPELINE</t>
  </si>
  <si>
    <t xml:space="preserve">  CANE RUN PIPELINE</t>
  </si>
  <si>
    <t xml:space="preserve">  PADDY'S RUN CT PIPELINE</t>
  </si>
  <si>
    <t>-6%,-8%,-10%,-12%</t>
  </si>
  <si>
    <t>40-R1.5</t>
  </si>
  <si>
    <t>-6%,-8%,-10%</t>
  </si>
  <si>
    <t>60-S1.5</t>
  </si>
  <si>
    <t>25-S2.5</t>
  </si>
  <si>
    <t xml:space="preserve">  OTHER SOLAR</t>
  </si>
  <si>
    <t>25-S2.5,60-S1.5</t>
  </si>
  <si>
    <t>55-R3</t>
  </si>
  <si>
    <t>45-R2.5,50-R3</t>
  </si>
  <si>
    <t>-5%,-6%,-8%,-10%,-12%</t>
  </si>
  <si>
    <t>40-R2.5</t>
  </si>
  <si>
    <t>40-R2.5,45-R2.5</t>
  </si>
  <si>
    <t>Mar 2021</t>
  </si>
  <si>
    <t>Apr 2021</t>
  </si>
  <si>
    <t>May 2021</t>
  </si>
  <si>
    <t>13MOAVG JUN-22</t>
  </si>
  <si>
    <t>13MOAVG FEB-21</t>
  </si>
  <si>
    <t>YE-Jun 2022</t>
  </si>
  <si>
    <t>YE-Feb 2021</t>
  </si>
  <si>
    <t>130756</t>
  </si>
  <si>
    <t>N1DT Middlesboro Area Sub</t>
  </si>
  <si>
    <t>131173</t>
  </si>
  <si>
    <t>GH 10K Silo Feed Gates Repl</t>
  </si>
  <si>
    <t>133638</t>
  </si>
  <si>
    <t>EFFLUENT WATER STUDY - BR</t>
  </si>
  <si>
    <t>133794</t>
  </si>
  <si>
    <t>GH1-4 Pulv Gearbox</t>
  </si>
  <si>
    <t>135277</t>
  </si>
  <si>
    <t>GH1 PJFF B&amp;C Replacement2021</t>
  </si>
  <si>
    <t>135279</t>
  </si>
  <si>
    <t>GH2 PJFF Bag Repl 2021</t>
  </si>
  <si>
    <t>136981</t>
  </si>
  <si>
    <t>TEP-Brown N 345/138kV Xfrmr</t>
  </si>
  <si>
    <t>140222</t>
  </si>
  <si>
    <t>GH1 Burner Corner Tubing</t>
  </si>
  <si>
    <t>140284</t>
  </si>
  <si>
    <t>COMP-RELATED-EQUIP-KU-2021</t>
  </si>
  <si>
    <t>144070</t>
  </si>
  <si>
    <t>TEP-MOT-ETOWN-ETOWN#2</t>
  </si>
  <si>
    <t>144327</t>
  </si>
  <si>
    <t>GH1 SCR Catalyst Layer Rpl21</t>
  </si>
  <si>
    <t>144391</t>
  </si>
  <si>
    <t>GH1 CW Piping Rehab</t>
  </si>
  <si>
    <t>147399</t>
  </si>
  <si>
    <t>GH1 SH Steam Cooled Spacer</t>
  </si>
  <si>
    <t>147515</t>
  </si>
  <si>
    <t>REL Lebanon W31 Switch</t>
  </si>
  <si>
    <t>FP-SPIR Projects KU</t>
  </si>
  <si>
    <t>147950</t>
  </si>
  <si>
    <t>BRCT8 C Insp &amp; Parts Recond</t>
  </si>
  <si>
    <t>148294</t>
  </si>
  <si>
    <t>ROUTINE EMS-KU-2021</t>
  </si>
  <si>
    <t>148847</t>
  </si>
  <si>
    <t>CR Wofford-KU Park-GC Phase I</t>
  </si>
  <si>
    <t>SC CAP FUNDING SOURCE-KU</t>
  </si>
  <si>
    <t>151404</t>
  </si>
  <si>
    <t>GH2 Lower WW &amp; Slope Repl</t>
  </si>
  <si>
    <t>152207</t>
  </si>
  <si>
    <t>PBR-Farmers 69kV Brkr Rpl</t>
  </si>
  <si>
    <t>152283</t>
  </si>
  <si>
    <t>KU SECURITY EQUIPMENT 2021</t>
  </si>
  <si>
    <t>152388</t>
  </si>
  <si>
    <t>KU CONS WINCHESTER 2020-21</t>
  </si>
  <si>
    <t>152638</t>
  </si>
  <si>
    <t>FP-KU Onlne Monitorng Equipmnt</t>
  </si>
  <si>
    <t>152860</t>
  </si>
  <si>
    <t>Paynes Mill Rd Sub/Dist/fds</t>
  </si>
  <si>
    <t>152965</t>
  </si>
  <si>
    <t>ELG GH ECR</t>
  </si>
  <si>
    <t>152968</t>
  </si>
  <si>
    <t>ELG TC KU ECR</t>
  </si>
  <si>
    <t>152976</t>
  </si>
  <si>
    <t>REL KU CIFI RAP</t>
  </si>
  <si>
    <t>153370</t>
  </si>
  <si>
    <t>FP-Battery Replacements - KU</t>
  </si>
  <si>
    <t>153372</t>
  </si>
  <si>
    <t>FP-PLC Replacements - KU</t>
  </si>
  <si>
    <t>154894</t>
  </si>
  <si>
    <t>GH4 FGD Amiad Strainer</t>
  </si>
  <si>
    <t>154974</t>
  </si>
  <si>
    <t>GH DTLS Dust Collector</t>
  </si>
  <si>
    <t>155108</t>
  </si>
  <si>
    <t>DX Runner &amp; Shaft Repl</t>
  </si>
  <si>
    <t>155150</t>
  </si>
  <si>
    <t>BRCT7 GT Thermal Insulation</t>
  </si>
  <si>
    <t>155305</t>
  </si>
  <si>
    <t>N1DT Middlesboro 2 4kV 780_1</t>
  </si>
  <si>
    <t>157579</t>
  </si>
  <si>
    <t>SIO-RELAY REPLACEMENT KU</t>
  </si>
  <si>
    <t>157582</t>
  </si>
  <si>
    <t>SIO-SCADA VOLTAGE CONTROL KU</t>
  </si>
  <si>
    <t>157601</t>
  </si>
  <si>
    <t>DSP BEECHMONT SUB UPGRADE</t>
  </si>
  <si>
    <t>157638</t>
  </si>
  <si>
    <t>PR Bond-Dorchester</t>
  </si>
  <si>
    <t>157711</t>
  </si>
  <si>
    <t>ESR Mid Valley Clarkson</t>
  </si>
  <si>
    <t>157719</t>
  </si>
  <si>
    <t>ESR Shun Pike 449-605-615</t>
  </si>
  <si>
    <t>157720</t>
  </si>
  <si>
    <t>ESR Salt Lick 727-615</t>
  </si>
  <si>
    <t>157806</t>
  </si>
  <si>
    <t>TEP Hardin Co Line Work</t>
  </si>
  <si>
    <t>158729</t>
  </si>
  <si>
    <t>GH Misc Plant Equip Repl</t>
  </si>
  <si>
    <t>158782</t>
  </si>
  <si>
    <t>Ashwood Solar Network Upg Sub</t>
  </si>
  <si>
    <t>159809</t>
  </si>
  <si>
    <t>W. High St. Sub Expansion</t>
  </si>
  <si>
    <t>159811</t>
  </si>
  <si>
    <t>W. High St. Sub Exp. Dist.</t>
  </si>
  <si>
    <t>159827</t>
  </si>
  <si>
    <t>GH4 CW Piping Repl 21</t>
  </si>
  <si>
    <t>159850</t>
  </si>
  <si>
    <t>KU URD Cable Repl 2020</t>
  </si>
  <si>
    <t>159857</t>
  </si>
  <si>
    <t>DSP Uniontown 4kv-12kv Dist</t>
  </si>
  <si>
    <t>159861</t>
  </si>
  <si>
    <t>KU Dist Capacitors 2020</t>
  </si>
  <si>
    <t>159868</t>
  </si>
  <si>
    <t>DSP Detroit Harv 743-2 801</t>
  </si>
  <si>
    <t>159874</t>
  </si>
  <si>
    <t>DSP Mt Sterling Sub - Dist</t>
  </si>
  <si>
    <t>160206</t>
  </si>
  <si>
    <t>DSP Mount Sterling Sub</t>
  </si>
  <si>
    <t>160207</t>
  </si>
  <si>
    <t>DSP Rogers Gap</t>
  </si>
  <si>
    <t>160211</t>
  </si>
  <si>
    <t>Corporate Drive Sub</t>
  </si>
  <si>
    <t>160219</t>
  </si>
  <si>
    <t>DSP Uniontown Sub</t>
  </si>
  <si>
    <t>160220</t>
  </si>
  <si>
    <t>SCM KU XFMR COOLING</t>
  </si>
  <si>
    <t>160221</t>
  </si>
  <si>
    <t>SCM SUBSTATION SECURITY</t>
  </si>
  <si>
    <t>160234</t>
  </si>
  <si>
    <t>SCM BATTERY REPLACEMENT</t>
  </si>
  <si>
    <t>160235</t>
  </si>
  <si>
    <t>NESC COMPLIANCE, MISC, BLDGS</t>
  </si>
  <si>
    <t>160577</t>
  </si>
  <si>
    <t>TEP Camargo 69kV Cap Bank</t>
  </si>
  <si>
    <t>160773</t>
  </si>
  <si>
    <t>Rogers Gap Dist Ckt Exits</t>
  </si>
  <si>
    <t>161759</t>
  </si>
  <si>
    <t>Trans Subs Forecast Spread</t>
  </si>
  <si>
    <t>161931</t>
  </si>
  <si>
    <t>GH 1-6 Burner Modification</t>
  </si>
  <si>
    <t>161933</t>
  </si>
  <si>
    <t>GH4 Coal Nozzle Repl21</t>
  </si>
  <si>
    <t>162034</t>
  </si>
  <si>
    <t>SCM2021 LEX REPL BREAKERS</t>
  </si>
  <si>
    <t>162035</t>
  </si>
  <si>
    <t>SCM2021 LEX REPL BUSHINGS</t>
  </si>
  <si>
    <t>162210</t>
  </si>
  <si>
    <t>TEP-TPL-0007 Compliance Work</t>
  </si>
  <si>
    <t>162217</t>
  </si>
  <si>
    <t>BR Aux Power Meters</t>
  </si>
  <si>
    <t>162229</t>
  </si>
  <si>
    <t>GH DIFFUSER ECR</t>
  </si>
  <si>
    <t>162231</t>
  </si>
  <si>
    <t>GH BOT ASH H2O RECIRC ECR</t>
  </si>
  <si>
    <t>162278</t>
  </si>
  <si>
    <t>BEAR TRACK WOOD POLE</t>
  </si>
  <si>
    <t>162601</t>
  </si>
  <si>
    <t>POTH Ghent MOS</t>
  </si>
  <si>
    <t>162631</t>
  </si>
  <si>
    <t>GH Spare Stator Bars</t>
  </si>
  <si>
    <t>162653</t>
  </si>
  <si>
    <t>EMS PreProd Platforms KU-2021</t>
  </si>
  <si>
    <t>162739</t>
  </si>
  <si>
    <t>GH4 GSU Bushing Repl 21</t>
  </si>
  <si>
    <t>162881</t>
  </si>
  <si>
    <t>Etown Kubota 2021</t>
  </si>
  <si>
    <t>162886</t>
  </si>
  <si>
    <t>2021 SIO Fuse Savings KU</t>
  </si>
  <si>
    <t>162939</t>
  </si>
  <si>
    <t>N1DT HOOVER SUBSTATION</t>
  </si>
  <si>
    <t>162986</t>
  </si>
  <si>
    <t>CROFTON TXFMR UPGRADE</t>
  </si>
  <si>
    <t>163013</t>
  </si>
  <si>
    <t>SIO Rel KU UG FCI Install</t>
  </si>
  <si>
    <t>163269</t>
  </si>
  <si>
    <t>SOLAR SHARE ARRAY 3 KU</t>
  </si>
  <si>
    <t>163275</t>
  </si>
  <si>
    <t>SOLAR SHARE ARRAY 4 KU</t>
  </si>
  <si>
    <t>163580</t>
  </si>
  <si>
    <t>POR Bonnieville Batteries</t>
  </si>
  <si>
    <t>00003FACK</t>
  </si>
  <si>
    <t>KU ELECTRICAL &amp; LIGHTING 2021</t>
  </si>
  <si>
    <t>00047FACK</t>
  </si>
  <si>
    <t>FURN &amp; EQUIP KU 2021</t>
  </si>
  <si>
    <t>00073FACK</t>
  </si>
  <si>
    <t>BOC MAIN BLDG RENOVATION KU</t>
  </si>
  <si>
    <t>00128FACK</t>
  </si>
  <si>
    <t>Danville Subs &amp; Meter Shop</t>
  </si>
  <si>
    <t>00142FACK</t>
  </si>
  <si>
    <t>Greenville Storeroom Reno</t>
  </si>
  <si>
    <t>132003KU</t>
  </si>
  <si>
    <t>TCCT HGP Insp Unit 9 KU</t>
  </si>
  <si>
    <t>144514KU</t>
  </si>
  <si>
    <t>GS CDM CIP Ver 8.0 KU</t>
  </si>
  <si>
    <t>144531 KU</t>
  </si>
  <si>
    <t>CR Misc Capital KU (multi)</t>
  </si>
  <si>
    <t>148135KU</t>
  </si>
  <si>
    <t>GS GE CV STRUCT INSTR KU</t>
  </si>
  <si>
    <t>148155KU</t>
  </si>
  <si>
    <t>GS CDM CIP Ver 9.0 KU</t>
  </si>
  <si>
    <t>152104KU</t>
  </si>
  <si>
    <t>TC2 KU LAST STAGE BUCKETS</t>
  </si>
  <si>
    <t>153083KU</t>
  </si>
  <si>
    <t>TC CT KU MAJOR INSPECT #1</t>
  </si>
  <si>
    <t>154803KU</t>
  </si>
  <si>
    <t>TC LIMESTONE FEEDER UPG++</t>
  </si>
  <si>
    <t>154833 KU</t>
  </si>
  <si>
    <t>CR7 EQ OVERHAUL KU</t>
  </si>
  <si>
    <t>157191KU</t>
  </si>
  <si>
    <t>TC2 LOWER SLOPE WW REPL%</t>
  </si>
  <si>
    <t>158876 KU</t>
  </si>
  <si>
    <t>CR7 Ket Boil Upgrade KU</t>
  </si>
  <si>
    <t>160652KU</t>
  </si>
  <si>
    <t>GS Transformer Prot GH</t>
  </si>
  <si>
    <t>161852KU</t>
  </si>
  <si>
    <t>SSC ENGINEERING FACILITY - KU</t>
  </si>
  <si>
    <t>162287 KU</t>
  </si>
  <si>
    <t>CR7 ST SEE Replace KU</t>
  </si>
  <si>
    <t>21BP064K</t>
  </si>
  <si>
    <t>Limestone/Louden Relocation</t>
  </si>
  <si>
    <t>229GH</t>
  </si>
  <si>
    <t>GH4 FGD Building Sump Repl</t>
  </si>
  <si>
    <t>FUNDING-L</t>
  </si>
  <si>
    <t>Funding for Trans Lines</t>
  </si>
  <si>
    <t>FUNDING-S</t>
  </si>
  <si>
    <t>Funding for Trans Subs</t>
  </si>
  <si>
    <t>GSCACONTK</t>
  </si>
  <si>
    <t>ACCESS CONTROL OT KU</t>
  </si>
  <si>
    <t>GSCASMGTK</t>
  </si>
  <si>
    <t>ASSET MANGMT OT KU</t>
  </si>
  <si>
    <t>GSCCONFGK</t>
  </si>
  <si>
    <t>CONFIGURATION OT KU</t>
  </si>
  <si>
    <t>GSCDRBCK</t>
  </si>
  <si>
    <t>DISASTER RECOVER OT KU</t>
  </si>
  <si>
    <t>GSCOTNWKK</t>
  </si>
  <si>
    <t>NETWORK MONITORING OT KU</t>
  </si>
  <si>
    <t>GSCOTSEGK</t>
  </si>
  <si>
    <t>NETWORK SEGMENTATION OT KU</t>
  </si>
  <si>
    <t>GSCVULMGK</t>
  </si>
  <si>
    <t>VULNERABILITY MANGMT OT KU</t>
  </si>
  <si>
    <t>GSEBRDGAK</t>
  </si>
  <si>
    <t>BR3 GSU DGA Installation KU</t>
  </si>
  <si>
    <t>GSESPICTK</t>
  </si>
  <si>
    <t>SPIR CT TRIMBLE COUNTY-KU</t>
  </si>
  <si>
    <t>GSESPIRTK</t>
  </si>
  <si>
    <t>SPIR TRIMBLE COUNTY KU</t>
  </si>
  <si>
    <t>GSSLABTCK</t>
  </si>
  <si>
    <t>SYSTEM LAB TRIMBLE COUNTY- KU</t>
  </si>
  <si>
    <t>IT FUNDING SOURCE-KU</t>
  </si>
  <si>
    <t>IT0161DIX</t>
  </si>
  <si>
    <t>DACS/SONET Replace-DIX19-22</t>
  </si>
  <si>
    <t>IT0161EKY</t>
  </si>
  <si>
    <t>DACS/SONET Replace-EKY19-22</t>
  </si>
  <si>
    <t>IT0161K7</t>
  </si>
  <si>
    <t>DACS/SONET Replace-WCLKU19-22</t>
  </si>
  <si>
    <t>IT0161WKY</t>
  </si>
  <si>
    <t>DACS/SONET Replace-WKY19-22</t>
  </si>
  <si>
    <t>IT0225K</t>
  </si>
  <si>
    <t>FERC Form 1 Tool Repl-KU21</t>
  </si>
  <si>
    <t>IT0301K</t>
  </si>
  <si>
    <t>Next Gen LMR-KU19-21</t>
  </si>
  <si>
    <t>IT0380K</t>
  </si>
  <si>
    <t>SOA Replacement-KU20-21</t>
  </si>
  <si>
    <t>IT0390K</t>
  </si>
  <si>
    <t>Oracle Financial Upg-KU20-21</t>
  </si>
  <si>
    <t>IT0418K</t>
  </si>
  <si>
    <t>CorpFirewall Rpl/Upg 1/2-KU20</t>
  </si>
  <si>
    <t>Trns Lnes Wk Mgmt Upg-KU19-21</t>
  </si>
  <si>
    <t>IT0562K</t>
  </si>
  <si>
    <t>ABB Upg/iPad Depl FS-KU19-20</t>
  </si>
  <si>
    <t>IT0584K</t>
  </si>
  <si>
    <t>Meter Data Mgmt-KU20-21</t>
  </si>
  <si>
    <t>IT0619K</t>
  </si>
  <si>
    <t>Core Network Infra-KU20</t>
  </si>
  <si>
    <t>IT0648K</t>
  </si>
  <si>
    <t>OTN Extension West KY-KU21-22</t>
  </si>
  <si>
    <t>IT0653K</t>
  </si>
  <si>
    <t>Rate Case 2020-KU20-21</t>
  </si>
  <si>
    <t>IT0663K</t>
  </si>
  <si>
    <t>SharePoint Upgrade-KU19-21</t>
  </si>
  <si>
    <t>eGIS - Trans Ops View-KU20-21</t>
  </si>
  <si>
    <t>IT0721K</t>
  </si>
  <si>
    <t>KY SDN Implement Phase 2-KU20</t>
  </si>
  <si>
    <t>IT0802K</t>
  </si>
  <si>
    <t>Access Switch Rotation-KU21</t>
  </si>
  <si>
    <t>IT0804K</t>
  </si>
  <si>
    <t>Bulk Power &amp; Environ Sys-KU21</t>
  </si>
  <si>
    <t>IT0810K</t>
  </si>
  <si>
    <t>CIP Comp Tools - Year 11-KU21</t>
  </si>
  <si>
    <t>IT0811K</t>
  </si>
  <si>
    <t>Complia Infra - Year 11-KU21</t>
  </si>
  <si>
    <t>IT0813K</t>
  </si>
  <si>
    <t>Connect to KU Remote-KU21</t>
  </si>
  <si>
    <t>IT0826K</t>
  </si>
  <si>
    <t>IT Sec Infra-Refresh-KU21</t>
  </si>
  <si>
    <t>IT0837K</t>
  </si>
  <si>
    <t>Monitor Replacement-KU21</t>
  </si>
  <si>
    <t>IT0838K</t>
  </si>
  <si>
    <t>MFD Growth and Refresh-KU21</t>
  </si>
  <si>
    <t>IT0840K</t>
  </si>
  <si>
    <t>Net Access Dev &amp; Infrast-KU21</t>
  </si>
  <si>
    <t>IT0843K</t>
  </si>
  <si>
    <t>Network Test Equipment-KU21</t>
  </si>
  <si>
    <t>IT0847K</t>
  </si>
  <si>
    <t>Outside Cable Plant -KU21</t>
  </si>
  <si>
    <t>IT0848K</t>
  </si>
  <si>
    <t>PeopleSo/PeopleTools Upg-KU21</t>
  </si>
  <si>
    <t>IT0853K</t>
  </si>
  <si>
    <t>Replace Backup Infrastr-KU21</t>
  </si>
  <si>
    <t>IT0865K</t>
  </si>
  <si>
    <t>Server Capacity Expan-KU21</t>
  </si>
  <si>
    <t>IT0867K</t>
  </si>
  <si>
    <t>SIEM HW Refresh-KU20-21</t>
  </si>
  <si>
    <t>IT0873K</t>
  </si>
  <si>
    <t>Tech Refesh desk/lap-KU21</t>
  </si>
  <si>
    <t>IT0874K</t>
  </si>
  <si>
    <t>Telecom Site Renov-KU21</t>
  </si>
  <si>
    <t>IT0877K</t>
  </si>
  <si>
    <t>TRODS-KU21</t>
  </si>
  <si>
    <t>IT0879K</t>
  </si>
  <si>
    <t>Voice Infrastructure Exp-KU21</t>
  </si>
  <si>
    <t>IT0880K</t>
  </si>
  <si>
    <t>Vuln Scanning - Refr-KU21</t>
  </si>
  <si>
    <t>IT0887K</t>
  </si>
  <si>
    <t>DB Refresh-KU21</t>
  </si>
  <si>
    <t>IT0889K</t>
  </si>
  <si>
    <t>SCCM Upgrades-KU21</t>
  </si>
  <si>
    <t>IT0897K</t>
  </si>
  <si>
    <t>Trans Lines Mobile Insp-KU21</t>
  </si>
  <si>
    <t>IT0904K</t>
  </si>
  <si>
    <t>Rev Collect Transcentra-KU20</t>
  </si>
  <si>
    <t>IT0905K</t>
  </si>
  <si>
    <t>iPad Refresh Project-KU21</t>
  </si>
  <si>
    <t>IT0919K</t>
  </si>
  <si>
    <t>Data Center Facility Upg-KU21</t>
  </si>
  <si>
    <t>IT0938K</t>
  </si>
  <si>
    <t>System Lab SW Refresh-KU21</t>
  </si>
  <si>
    <t>IT0940K</t>
  </si>
  <si>
    <t>NIST EMS,GAS,DSCADA-KU21-22</t>
  </si>
  <si>
    <t>IT0941K</t>
  </si>
  <si>
    <t>Role Based Access-KU21-22</t>
  </si>
  <si>
    <t>IT0943K</t>
  </si>
  <si>
    <t>SOA Replacement-KU21-22</t>
  </si>
  <si>
    <t>IT0944K</t>
  </si>
  <si>
    <t>Access Switch Growth-KU21</t>
  </si>
  <si>
    <t>IT0946K</t>
  </si>
  <si>
    <t>Volts Enhanc-Sec &amp; Compl-KU21</t>
  </si>
  <si>
    <t>IT0948K</t>
  </si>
  <si>
    <t>Upgrade PEPSE to v85-KU21</t>
  </si>
  <si>
    <t>IT0952K</t>
  </si>
  <si>
    <t>Ref Cisco Analog Voice-KU21</t>
  </si>
  <si>
    <t>IT0953CG</t>
  </si>
  <si>
    <t>Rebuild Radio-St Charles-KU21</t>
  </si>
  <si>
    <t>IT0955K</t>
  </si>
  <si>
    <t>PeopleSoft Enhan-Spring-KU21</t>
  </si>
  <si>
    <t>IT0958K</t>
  </si>
  <si>
    <t>Oracle NMS Svc Pack Upgd-KU21</t>
  </si>
  <si>
    <t>IT0959K</t>
  </si>
  <si>
    <t>Mobile Deploy ARM Phase1-KU21</t>
  </si>
  <si>
    <t>IT0962K</t>
  </si>
  <si>
    <t>Georgetown Alt Transport-KU21</t>
  </si>
  <si>
    <t>IT0970K</t>
  </si>
  <si>
    <t>SCADA Radio Ref-KU21</t>
  </si>
  <si>
    <t>IT1468K</t>
  </si>
  <si>
    <t>Revenue Collect-Experian-KU24</t>
  </si>
  <si>
    <t>LI-000047</t>
  </si>
  <si>
    <t>ESR Paris City 3 021-605 &amp; 615</t>
  </si>
  <si>
    <t>LI-000102</t>
  </si>
  <si>
    <t>TEP-NL-Hardin Co-Etown New 2nd</t>
  </si>
  <si>
    <t>LI-158881</t>
  </si>
  <si>
    <t>PR Harlan Y-Pocket 69kV</t>
  </si>
  <si>
    <t>LI-158882</t>
  </si>
  <si>
    <t>PR Dorchester-Arnold</t>
  </si>
  <si>
    <t>LI-158883</t>
  </si>
  <si>
    <t>PR Dorchester-Pocket North</t>
  </si>
  <si>
    <t>LI-158887</t>
  </si>
  <si>
    <t>PR Dorchester-Dixiana</t>
  </si>
  <si>
    <t>LI-159227</t>
  </si>
  <si>
    <t>PR Daviess County-Smith OMU</t>
  </si>
  <si>
    <t>LI-159246</t>
  </si>
  <si>
    <t>TEP-MOT-Earl No-Mad Tap</t>
  </si>
  <si>
    <t>LI-159248</t>
  </si>
  <si>
    <t>TEP-MOT-Elizabethtown-Etown 5</t>
  </si>
  <si>
    <t>LI-159249</t>
  </si>
  <si>
    <t>TEP-CR-EWood-Simpsonville 69kV</t>
  </si>
  <si>
    <t>LI-159251</t>
  </si>
  <si>
    <t>TEP-MOT-Brush Creek-KU Park</t>
  </si>
  <si>
    <t>LI-159258</t>
  </si>
  <si>
    <t>REL Bens Branch MOS</t>
  </si>
  <si>
    <t>LI-159260</t>
  </si>
  <si>
    <t>REL-NL-Big Stone Gap</t>
  </si>
  <si>
    <t>LI-159270</t>
  </si>
  <si>
    <t>REL Hopewell MOS</t>
  </si>
  <si>
    <t>LI-159272</t>
  </si>
  <si>
    <t>REL Oxford MOS</t>
  </si>
  <si>
    <t>LI-159273</t>
  </si>
  <si>
    <t>REL Campbellsville MOS</t>
  </si>
  <si>
    <t>LI-159700</t>
  </si>
  <si>
    <t>TEP Rogers Gap Dist Station</t>
  </si>
  <si>
    <t>LI-160056</t>
  </si>
  <si>
    <t>CR Owingsville Tap</t>
  </si>
  <si>
    <t>LI-160059</t>
  </si>
  <si>
    <t>CR Crab Orchard Tap</t>
  </si>
  <si>
    <t>LI-160075</t>
  </si>
  <si>
    <t>PR Harlan Y-Pocket N VA</t>
  </si>
  <si>
    <t>LI-160440</t>
  </si>
  <si>
    <t>CR Elihu-Wofford Phase I</t>
  </si>
  <si>
    <t>LI-160441</t>
  </si>
  <si>
    <t>CR Elihu-Wofford Phase II</t>
  </si>
  <si>
    <t>LI-160442</t>
  </si>
  <si>
    <t>CR Elihu-Wofford Phase III</t>
  </si>
  <si>
    <t>LI-160922</t>
  </si>
  <si>
    <t>PR Elizabethtown-Etown 2</t>
  </si>
  <si>
    <t>LI-161260</t>
  </si>
  <si>
    <t>PR Grahamville-Barlow-Wckliffe</t>
  </si>
  <si>
    <t>LI-161288</t>
  </si>
  <si>
    <t>REL Versailles West MOS</t>
  </si>
  <si>
    <t>LI-161475</t>
  </si>
  <si>
    <t>REL Union Underwear MOS</t>
  </si>
  <si>
    <t>LI-161704</t>
  </si>
  <si>
    <t>Pineville-Rocky Branch ROW</t>
  </si>
  <si>
    <t>LI-161721</t>
  </si>
  <si>
    <t>PR Lebanon-Taylor County</t>
  </si>
  <si>
    <t>LI-161860</t>
  </si>
  <si>
    <t>PR Corydon-Green Rvr Steel</t>
  </si>
  <si>
    <t>LI-162349</t>
  </si>
  <si>
    <t>KU Park-Bimble ROW</t>
  </si>
  <si>
    <t>LI-162350</t>
  </si>
  <si>
    <t>KU Park-Middlesboro ROW</t>
  </si>
  <si>
    <t>LI-162663</t>
  </si>
  <si>
    <t>REL-NL-Big Stone Gap ROW</t>
  </si>
  <si>
    <t>LI-162875</t>
  </si>
  <si>
    <t>REL Millers Creek REA MOS ROW</t>
  </si>
  <si>
    <t>SU-000022</t>
  </si>
  <si>
    <t>PCA-Carrollton CC704, 714, 744</t>
  </si>
  <si>
    <t>SU-000030</t>
  </si>
  <si>
    <t>PGG-HgbyMill Grnd Grid Enhance</t>
  </si>
  <si>
    <t>SU-000194</t>
  </si>
  <si>
    <t>TEP-E Frnkfrt-Tyrne 138kV Brkr</t>
  </si>
  <si>
    <t>SU-000212</t>
  </si>
  <si>
    <t>TEP-Shlbyvll-Shlbyvl E 69kV Sw</t>
  </si>
  <si>
    <t>SU-000319</t>
  </si>
  <si>
    <t>PRLY-Ohio Co 614</t>
  </si>
  <si>
    <t>SU-000323</t>
  </si>
  <si>
    <t>PCH, PBR Clark County</t>
  </si>
  <si>
    <t>SU-000325</t>
  </si>
  <si>
    <t>PCH-Walker</t>
  </si>
  <si>
    <t>SU-000327</t>
  </si>
  <si>
    <t>PDFR-Brown N</t>
  </si>
  <si>
    <t>SU-000376</t>
  </si>
  <si>
    <t>PBR-Hillside (3) BKR</t>
  </si>
  <si>
    <t>SU-000379</t>
  </si>
  <si>
    <t>PBR-Richmond (3) BKR</t>
  </si>
  <si>
    <t>SU-000381</t>
  </si>
  <si>
    <t>PBR-Tyrone (3) BKR</t>
  </si>
  <si>
    <t>SU-000383</t>
  </si>
  <si>
    <t>IP Connectivity-KU Trans</t>
  </si>
  <si>
    <t>SU-000412</t>
  </si>
  <si>
    <t>TEP-Farley 161/69kV Bushing CT</t>
  </si>
  <si>
    <t>SU-000413</t>
  </si>
  <si>
    <t>REL-Campbellsville 1 MOS</t>
  </si>
  <si>
    <t>SU-000418</t>
  </si>
  <si>
    <t>REL-WilliamsburgSw 605 635 MOS</t>
  </si>
  <si>
    <t>SU-000419</t>
  </si>
  <si>
    <t>REL-Elizabethtown 5 MOS</t>
  </si>
  <si>
    <t>SU-000421</t>
  </si>
  <si>
    <t>REL-Sharon 605, 625 MOS</t>
  </si>
  <si>
    <t>SU-000425</t>
  </si>
  <si>
    <t>PBR-LebanonBkr,PRLY, PIN, PRTU</t>
  </si>
  <si>
    <t>SU-000428</t>
  </si>
  <si>
    <t>PBR-Carrlltn PRLY,PDFR,PCA,PAR</t>
  </si>
  <si>
    <t>SU-000430</t>
  </si>
  <si>
    <t>PBR-Grahamville, PCA</t>
  </si>
  <si>
    <t>SU-000438</t>
  </si>
  <si>
    <t>REL-Donerail MOS</t>
  </si>
  <si>
    <t>SU-000439</t>
  </si>
  <si>
    <t>TEP-Etown Bay Add</t>
  </si>
  <si>
    <t>SU-000440</t>
  </si>
  <si>
    <t>Lebanon 69kV Line</t>
  </si>
  <si>
    <t>SU-000455</t>
  </si>
  <si>
    <t>REL-Shadrack vacuum</t>
  </si>
  <si>
    <t>SU-000464</t>
  </si>
  <si>
    <t>REL-Barlow MOS</t>
  </si>
  <si>
    <t>SU-000491</t>
  </si>
  <si>
    <t>PLC Rodburn 090-704</t>
  </si>
  <si>
    <t>SU-000493</t>
  </si>
  <si>
    <t>PLC IBM N 658-703</t>
  </si>
  <si>
    <t>SU-000498</t>
  </si>
  <si>
    <t>IP-Connectivity KU IT</t>
  </si>
  <si>
    <t>134955</t>
  </si>
  <si>
    <t>SIO-SCADA EXPANSION V2</t>
  </si>
  <si>
    <t>DSP Hoover Substation</t>
  </si>
  <si>
    <t>140186</t>
  </si>
  <si>
    <t>Gh Conveyor Belt Repl 22</t>
  </si>
  <si>
    <t>140191</t>
  </si>
  <si>
    <t>GH Misc Motors 22</t>
  </si>
  <si>
    <t>140196</t>
  </si>
  <si>
    <t>GH3 Furnace Wall Metal Overlay</t>
  </si>
  <si>
    <t>GH4 SCR Catalyst Layer Rpl23</t>
  </si>
  <si>
    <t>145405</t>
  </si>
  <si>
    <t>Adv Meter Sys KU 2015</t>
  </si>
  <si>
    <t>148065</t>
  </si>
  <si>
    <t>FULL UPGRD EMS SWARE-KU-2022</t>
  </si>
  <si>
    <t>151390</t>
  </si>
  <si>
    <t>GH Stn Srvce Water Piping Repl</t>
  </si>
  <si>
    <t>151993</t>
  </si>
  <si>
    <t>BR3 SCR Catalyst - Bottom</t>
  </si>
  <si>
    <t>152998</t>
  </si>
  <si>
    <t>KU CEMI RAP</t>
  </si>
  <si>
    <t>152999</t>
  </si>
  <si>
    <t>REL SYS Hard KU RAP</t>
  </si>
  <si>
    <t>154093</t>
  </si>
  <si>
    <t>Distribution Auto KU 2017</t>
  </si>
  <si>
    <t>155583</t>
  </si>
  <si>
    <t>Comp-Rel Equip-KU 2022</t>
  </si>
  <si>
    <t>157577</t>
  </si>
  <si>
    <t>SIO-SUB OIL BREAKERS KU</t>
  </si>
  <si>
    <t>157580</t>
  </si>
  <si>
    <t>SIO-SUB WILDLIFE PROTECT</t>
  </si>
  <si>
    <t>157581</t>
  </si>
  <si>
    <t>SIO-TXFMR UPGRADES</t>
  </si>
  <si>
    <t>157717</t>
  </si>
  <si>
    <t>ESR Puckett Creek</t>
  </si>
  <si>
    <t>157881</t>
  </si>
  <si>
    <t>Retail Hardware KU 2022</t>
  </si>
  <si>
    <t>159696</t>
  </si>
  <si>
    <t>Simp TCC prjctor &amp; screen Rplc</t>
  </si>
  <si>
    <t>160201</t>
  </si>
  <si>
    <t>DSP Detroit Hrvstr Sub Bkr</t>
  </si>
  <si>
    <t>160222</t>
  </si>
  <si>
    <t>VERSAILLES 4KV SUB CONV</t>
  </si>
  <si>
    <t>161739</t>
  </si>
  <si>
    <t>GH Personnel Carrier Repl 2022</t>
  </si>
  <si>
    <t>161885</t>
  </si>
  <si>
    <t>GH 3-1 Condensate Pmp Ovrhl22</t>
  </si>
  <si>
    <t>162062</t>
  </si>
  <si>
    <t>SCM2022 DAN FAILED BRKR/RECL</t>
  </si>
  <si>
    <t>162068</t>
  </si>
  <si>
    <t>SCM2022 DAN WILDLIFE PROTECT</t>
  </si>
  <si>
    <t>162069</t>
  </si>
  <si>
    <t>SCM2022 EARL FAILED BRKR/RECL</t>
  </si>
  <si>
    <t>162077</t>
  </si>
  <si>
    <t>SCM2022 KU LTC OIL FILT ADDS</t>
  </si>
  <si>
    <t>162078</t>
  </si>
  <si>
    <t>SCM2022 KU OIL CONTAINMENT UPG</t>
  </si>
  <si>
    <t>162079</t>
  </si>
  <si>
    <t>SCM2022 KU REPL LTC/REG CNTRL</t>
  </si>
  <si>
    <t>162085</t>
  </si>
  <si>
    <t>SCM2022 LEX LEGACY RTU REPL</t>
  </si>
  <si>
    <t>162087</t>
  </si>
  <si>
    <t>SCM2022 LEX MISC NESC COMPL</t>
  </si>
  <si>
    <t>162088</t>
  </si>
  <si>
    <t>SCM2022 LEX REPL BREAKERS</t>
  </si>
  <si>
    <t>162089</t>
  </si>
  <si>
    <t>SCM2022 LEX REPL BUSHINGS</t>
  </si>
  <si>
    <t>162091</t>
  </si>
  <si>
    <t>SCM2022 LEX REPL REGULATORS</t>
  </si>
  <si>
    <t>162094</t>
  </si>
  <si>
    <t>SCM2022 LEX WILDLIFE PROTECT</t>
  </si>
  <si>
    <t>162109</t>
  </si>
  <si>
    <t>SCM2022 PINE FAILED BRKR/RECL</t>
  </si>
  <si>
    <t>162305</t>
  </si>
  <si>
    <t>DX1 Runner &amp; Shaft Repl</t>
  </si>
  <si>
    <t>162909</t>
  </si>
  <si>
    <t>DSP Versailles 4kv to 12kv</t>
  </si>
  <si>
    <t>162910</t>
  </si>
  <si>
    <t>DSP Mannington Crofton</t>
  </si>
  <si>
    <t>162911</t>
  </si>
  <si>
    <t>DSP LaGrange Distribution</t>
  </si>
  <si>
    <t>162943</t>
  </si>
  <si>
    <t>N1DT HOOVER CW</t>
  </si>
  <si>
    <t>162947</t>
  </si>
  <si>
    <t>N1DT HARRODSBURG SUBSTATION</t>
  </si>
  <si>
    <t>162951</t>
  </si>
  <si>
    <t>N1DT HARRODSBURG CW</t>
  </si>
  <si>
    <t>162979</t>
  </si>
  <si>
    <t>DSP Pavilion Dr Substation Pro</t>
  </si>
  <si>
    <t>162997</t>
  </si>
  <si>
    <t>SCM KU SCADA UPGRADE</t>
  </si>
  <si>
    <t>163277</t>
  </si>
  <si>
    <t>SOLAR SHARE ARRAY 5 KU</t>
  </si>
  <si>
    <t>163287</t>
  </si>
  <si>
    <t>SOLAR SHARE INFRA 5-8 KU</t>
  </si>
  <si>
    <t>00049FACK</t>
  </si>
  <si>
    <t>FURN &amp; EQUIP KU 2022</t>
  </si>
  <si>
    <t>00150FACK</t>
  </si>
  <si>
    <t>Maysville BO Reno</t>
  </si>
  <si>
    <t>103GH</t>
  </si>
  <si>
    <t>GH Recycle Pmp ImpellerRefrb22</t>
  </si>
  <si>
    <t>132756KU</t>
  </si>
  <si>
    <t>GS GE KU Lab Equip</t>
  </si>
  <si>
    <t>133710KU</t>
  </si>
  <si>
    <t>TC KU RPL FIRE SYS UGRD PIPE</t>
  </si>
  <si>
    <t>139682KU</t>
  </si>
  <si>
    <t>TC KU PREDICT DEVICES MAINT</t>
  </si>
  <si>
    <t>140606KU</t>
  </si>
  <si>
    <t>TC2 KU BATT REPL</t>
  </si>
  <si>
    <t>144503KU</t>
  </si>
  <si>
    <t>GS CDM GMD Protection KU</t>
  </si>
  <si>
    <t>150051KU</t>
  </si>
  <si>
    <t>TC2 KU WESP WASH WATER PIPE</t>
  </si>
  <si>
    <t>152654KU</t>
  </si>
  <si>
    <t>TC GYPSUM DEWATERING BELT</t>
  </si>
  <si>
    <t>153017KU</t>
  </si>
  <si>
    <t>TC2 KU PCM Hg MONITOR UPG</t>
  </si>
  <si>
    <t>153018KU</t>
  </si>
  <si>
    <t>TC2 KU A CEM FLOW MONITOR</t>
  </si>
  <si>
    <t>153019KU</t>
  </si>
  <si>
    <t>TC2 KU B CEM FLOW MON CHANGE</t>
  </si>
  <si>
    <t>153050KU</t>
  </si>
  <si>
    <t>TC2 KU PRI SH REPLACE</t>
  </si>
  <si>
    <t>155113KU</t>
  </si>
  <si>
    <t>GS Gen Eng Relay Standard KU</t>
  </si>
  <si>
    <t>155122KU</t>
  </si>
  <si>
    <t>GS GenEng LFGFI KU</t>
  </si>
  <si>
    <t>156890KU</t>
  </si>
  <si>
    <t>TC CT CEM LNTY BTL TRAILER</t>
  </si>
  <si>
    <t>159922KU</t>
  </si>
  <si>
    <t>TC2 FINAL SH INLET LEG-2</t>
  </si>
  <si>
    <t>159942KU</t>
  </si>
  <si>
    <t>TC2 COOLING TWR CHEM INJ</t>
  </si>
  <si>
    <t>163438KU</t>
  </si>
  <si>
    <t>CS AMI IT Systems 21 BP K</t>
  </si>
  <si>
    <t>163441KU</t>
  </si>
  <si>
    <t>CS AMI Meters 21 BP KU</t>
  </si>
  <si>
    <t>163444KU</t>
  </si>
  <si>
    <t>CS AMI Meter Depl 21 BP KU</t>
  </si>
  <si>
    <t>163459KU</t>
  </si>
  <si>
    <t>CS AMI Meter-Cash 21 BP K</t>
  </si>
  <si>
    <t>163550KU</t>
  </si>
  <si>
    <t>CS AMI Network Comm 21BP KU</t>
  </si>
  <si>
    <t>21BP002K</t>
  </si>
  <si>
    <t>E-Town Building Renovation</t>
  </si>
  <si>
    <t>APBWK156</t>
  </si>
  <si>
    <t>El Public Works 011560</t>
  </si>
  <si>
    <t>APBWK236</t>
  </si>
  <si>
    <t>El Public Works 012360</t>
  </si>
  <si>
    <t>APBWK256</t>
  </si>
  <si>
    <t>El Public Works 012560</t>
  </si>
  <si>
    <t>APBWK315</t>
  </si>
  <si>
    <t>El Public Works 013150</t>
  </si>
  <si>
    <t>APBWK416</t>
  </si>
  <si>
    <t>El Public Works 014160</t>
  </si>
  <si>
    <t>APBWK766</t>
  </si>
  <si>
    <t>El Public Works 017660</t>
  </si>
  <si>
    <t>GSSLALRMK</t>
  </si>
  <si>
    <t>GS SL Smart Alarms KU</t>
  </si>
  <si>
    <t>IT0270K</t>
  </si>
  <si>
    <t>Rplce EMS Workstations-KU22</t>
  </si>
  <si>
    <t>IT0435K</t>
  </si>
  <si>
    <t>LOTO Tech Refresh-KU21</t>
  </si>
  <si>
    <t>IT0484K</t>
  </si>
  <si>
    <t>UC&amp;C/CUCM Major Upgrade-KU22</t>
  </si>
  <si>
    <t>IT0640K</t>
  </si>
  <si>
    <t>MV90 replacement-KU21-22</t>
  </si>
  <si>
    <t>IT0686K</t>
  </si>
  <si>
    <t>Phone HW Refresh Yr 2/3-KU22</t>
  </si>
  <si>
    <t>IT0692K</t>
  </si>
  <si>
    <t>CyberArk Hardware Refr-KU20</t>
  </si>
  <si>
    <t>IT0806K</t>
  </si>
  <si>
    <t>Cascade Upgrade-KU22</t>
  </si>
  <si>
    <t>IT0902K</t>
  </si>
  <si>
    <t>Readerboard Upgrade-KU21</t>
  </si>
  <si>
    <t>IT0927K</t>
  </si>
  <si>
    <t>Enterprise GIS-Phase3-KU22-23</t>
  </si>
  <si>
    <t>IT0942K</t>
  </si>
  <si>
    <t>Mobile App Developmen-KU21-22</t>
  </si>
  <si>
    <t>IT0971K</t>
  </si>
  <si>
    <t>Oracle NMS/OMA Upgr-KU21-23</t>
  </si>
  <si>
    <t>IT0972K</t>
  </si>
  <si>
    <t>My Account Replace-KU21-22</t>
  </si>
  <si>
    <t>IT0974K</t>
  </si>
  <si>
    <t>Avaya IVR-Self-Svc-KU21-22</t>
  </si>
  <si>
    <t>IT1001K</t>
  </si>
  <si>
    <t>CIP Compl Tools - Yr12-KU22</t>
  </si>
  <si>
    <t>IT1002K</t>
  </si>
  <si>
    <t>Compl Infrast - Year 12-KU22</t>
  </si>
  <si>
    <t>IT1003K</t>
  </si>
  <si>
    <t>Telecom Site Renovation-KU22</t>
  </si>
  <si>
    <t>IT1004K</t>
  </si>
  <si>
    <t>Netwk Acc Dev Site Infr-KU22</t>
  </si>
  <si>
    <t>IT1005K</t>
  </si>
  <si>
    <t>Access Switch Rotation-KU22</t>
  </si>
  <si>
    <t>IT1006K</t>
  </si>
  <si>
    <t>Network Segm (SDN)-KU22</t>
  </si>
  <si>
    <t>IT1007K</t>
  </si>
  <si>
    <t>Bulk Power &amp; Environ Sys-KU22</t>
  </si>
  <si>
    <t>IT1008CG</t>
  </si>
  <si>
    <t>Connect KU Remote Sites-KU22</t>
  </si>
  <si>
    <t>IT1009K</t>
  </si>
  <si>
    <t>Elimin of Lease T1 Circ-KU22</t>
  </si>
  <si>
    <t>IT1010K</t>
  </si>
  <si>
    <t>Site Security Improve-KU22</t>
  </si>
  <si>
    <t>IT1011K</t>
  </si>
  <si>
    <t>Outside Cable Plant -KU22</t>
  </si>
  <si>
    <t>IT1012K</t>
  </si>
  <si>
    <t>Network Test Equipment-KU22</t>
  </si>
  <si>
    <t>IT1014K</t>
  </si>
  <si>
    <t>Core Network Infrast-KU22</t>
  </si>
  <si>
    <t>IT1015K</t>
  </si>
  <si>
    <t>Netwk Acc Dev and Gatewy-KU22</t>
  </si>
  <si>
    <t>IT1017K</t>
  </si>
  <si>
    <t>Network Management-KU22</t>
  </si>
  <si>
    <t>IT1022K</t>
  </si>
  <si>
    <t>SIEM(CIP) HW,etc-KU22</t>
  </si>
  <si>
    <t>IT1023K</t>
  </si>
  <si>
    <t>SIEM(Corp) HW,etc-KU22</t>
  </si>
  <si>
    <t>IT1024K</t>
  </si>
  <si>
    <t>IT Sec and CIP Labs Enh-KU22</t>
  </si>
  <si>
    <t>IT1026K</t>
  </si>
  <si>
    <t>Data Loss Prevent Refrsh-KU22</t>
  </si>
  <si>
    <t>IT1027K</t>
  </si>
  <si>
    <t>Security Infrast Enhance-KU22</t>
  </si>
  <si>
    <t>IT1028K</t>
  </si>
  <si>
    <t>Citrix XenMobile Upgrade-KU22</t>
  </si>
  <si>
    <t>IT1029K</t>
  </si>
  <si>
    <t>Netwk Access Cont(KY/PA)-KU22</t>
  </si>
  <si>
    <t>IT1030K</t>
  </si>
  <si>
    <t>Tech Refr Bluecoat Proxy-KU22</t>
  </si>
  <si>
    <t>IT1031K</t>
  </si>
  <si>
    <t>Voice Infrast Expansion-KU22</t>
  </si>
  <si>
    <t>IT1033K</t>
  </si>
  <si>
    <t>Wirelss Accs Point Grwth-KU22</t>
  </si>
  <si>
    <t>IT1040K</t>
  </si>
  <si>
    <t>Srvr Cap Exp and Reliab-KU22</t>
  </si>
  <si>
    <t>IT1047K</t>
  </si>
  <si>
    <t>StackVision Upgrade-KU22</t>
  </si>
  <si>
    <t>IT1048K</t>
  </si>
  <si>
    <t>SCCM/WSUS Refresh-KU22</t>
  </si>
  <si>
    <t>IT1049K</t>
  </si>
  <si>
    <t>PS App/PeopleTools Upgr-KU22</t>
  </si>
  <si>
    <t>IT1051K</t>
  </si>
  <si>
    <t>Monitor Replacement-KU22</t>
  </si>
  <si>
    <t>IT1052K</t>
  </si>
  <si>
    <t>MFD Growth and Refresh-KU22</t>
  </si>
  <si>
    <t>IT1054K</t>
  </si>
  <si>
    <t>Tech Refr Dkstp and Lptp-KU22</t>
  </si>
  <si>
    <t>IT1058K</t>
  </si>
  <si>
    <t>Mobile/Wrkstn Lic Trueup-KU22</t>
  </si>
  <si>
    <t>IT1073K</t>
  </si>
  <si>
    <t>DB Refresh-KU22</t>
  </si>
  <si>
    <t>IT1074K</t>
  </si>
  <si>
    <t>Windows 10 CBB upgrade-KU22</t>
  </si>
  <si>
    <t>IT1075K</t>
  </si>
  <si>
    <t>SCCM Upgrades-KU22</t>
  </si>
  <si>
    <t>IT1076K</t>
  </si>
  <si>
    <t>XenDesktop Major Upgrade-KU22</t>
  </si>
  <si>
    <t>IT1080K</t>
  </si>
  <si>
    <t>Trans Lines Mobile Inspt-KU22</t>
  </si>
  <si>
    <t>IT1082K</t>
  </si>
  <si>
    <t>MR Hardware-KU22</t>
  </si>
  <si>
    <t>IT1084K</t>
  </si>
  <si>
    <t>iPad Refresh Project-KU22</t>
  </si>
  <si>
    <t>IT1091K</t>
  </si>
  <si>
    <t>Enterprise GIS Enhance-KU22</t>
  </si>
  <si>
    <t>IT1092K</t>
  </si>
  <si>
    <t>BI Rpting Aligne Fuels-KU22</t>
  </si>
  <si>
    <t>IT1093K</t>
  </si>
  <si>
    <t>nMarket PJM Module Upgr-KU22</t>
  </si>
  <si>
    <t>IT1094K</t>
  </si>
  <si>
    <t>Aligne Upgrade-KU22</t>
  </si>
  <si>
    <t>IT1101K</t>
  </si>
  <si>
    <t>SCADA Radio Refresh-KU22</t>
  </si>
  <si>
    <t>IT1103K</t>
  </si>
  <si>
    <t>Computing Infra Upgrade-KU22</t>
  </si>
  <si>
    <t>IT1105K</t>
  </si>
  <si>
    <t>Data Center Facility Upg-KU22</t>
  </si>
  <si>
    <t>IT1106K</t>
  </si>
  <si>
    <t>Robotic Proc Auto(RPA)-KU22</t>
  </si>
  <si>
    <t>IT1108K</t>
  </si>
  <si>
    <t>TRODS Upgrade-KU22-23</t>
  </si>
  <si>
    <t>IT1113K</t>
  </si>
  <si>
    <t>iPasoLink MW Radio Upgd-KU22</t>
  </si>
  <si>
    <t>IT1114K</t>
  </si>
  <si>
    <t>Maximo / CIM Sch Upg-KU22</t>
  </si>
  <si>
    <t>IT1115K</t>
  </si>
  <si>
    <t>FleetFocus Upgrade-KU22</t>
  </si>
  <si>
    <t>IT1116K</t>
  </si>
  <si>
    <t>SIP for Call Ctr (Avaya)-KU22</t>
  </si>
  <si>
    <t>IT1117K</t>
  </si>
  <si>
    <t>Wireless AP Refresh-KU22</t>
  </si>
  <si>
    <t>IT1118K</t>
  </si>
  <si>
    <t>Access Switch Growth-KU22</t>
  </si>
  <si>
    <t>IT1119K</t>
  </si>
  <si>
    <t>Volts Enhanc-Sec &amp; Compl-KU22</t>
  </si>
  <si>
    <t>IT1120K</t>
  </si>
  <si>
    <t>Training Tracker Upgrade-KU22</t>
  </si>
  <si>
    <t>IT1121CG</t>
  </si>
  <si>
    <t>Toyota Ring Upgrade-KU22</t>
  </si>
  <si>
    <t>IT1122K</t>
  </si>
  <si>
    <t>RFID/Oracle Interface-KU22</t>
  </si>
  <si>
    <t>IT1123K</t>
  </si>
  <si>
    <t>Ref Cisco Analog Voice-KU22</t>
  </si>
  <si>
    <t>IT1124K</t>
  </si>
  <si>
    <t>Primavera Upgrade-KU22</t>
  </si>
  <si>
    <t>IT1130K</t>
  </si>
  <si>
    <t>HR Intervw Build Enhance-KU22</t>
  </si>
  <si>
    <t>IT1131K</t>
  </si>
  <si>
    <t>GIS - Map Est Fault Loc-KU22</t>
  </si>
  <si>
    <t>IT1132K</t>
  </si>
  <si>
    <t>eDiscovery Tool-KU22</t>
  </si>
  <si>
    <t>IT1133K</t>
  </si>
  <si>
    <t>DrawDT Upgrade-KU22</t>
  </si>
  <si>
    <t>IT1134K</t>
  </si>
  <si>
    <t>Corp Web &amp; Sec Enhance-KU22</t>
  </si>
  <si>
    <t>IT1136K</t>
  </si>
  <si>
    <t>4500 Router Upgrade-KU22</t>
  </si>
  <si>
    <t>IT1138K</t>
  </si>
  <si>
    <t>GIS - UN for Telecom-KU22-23</t>
  </si>
  <si>
    <t>IT1206K</t>
  </si>
  <si>
    <t>BI Upgrade-KU23</t>
  </si>
  <si>
    <t>IT1248K</t>
  </si>
  <si>
    <t>Wireless Controller Ref-KU23</t>
  </si>
  <si>
    <t>IT1268K</t>
  </si>
  <si>
    <t>Refr External Netscaler-KU23</t>
  </si>
  <si>
    <t>IT1412K</t>
  </si>
  <si>
    <t>Cellular Modem Refresh-KU24</t>
  </si>
  <si>
    <t>LI-160666</t>
  </si>
  <si>
    <t>PR Lake Reba-Okonite</t>
  </si>
  <si>
    <t>LI-161151</t>
  </si>
  <si>
    <t>PR Danville North-Harrodsburg</t>
  </si>
  <si>
    <t>LI-161265</t>
  </si>
  <si>
    <t>PR Lynch-Imboden</t>
  </si>
  <si>
    <t>LI-161654</t>
  </si>
  <si>
    <t>TEP-CR-Frankfort-Versailles W</t>
  </si>
  <si>
    <t>LI-161674</t>
  </si>
  <si>
    <t>TEP-MOT-Eddyville Prison-KYD</t>
  </si>
  <si>
    <t>LI-161693</t>
  </si>
  <si>
    <t>TEP-MOT-Dycusburg-Kuttawa</t>
  </si>
  <si>
    <t>LI-162241</t>
  </si>
  <si>
    <t>DSP Versailles Dist Conversion</t>
  </si>
  <si>
    <t>SU-000185</t>
  </si>
  <si>
    <t>TEP-Bonds Mill Breaker</t>
  </si>
  <si>
    <t>SU-000426</t>
  </si>
  <si>
    <t>REL-Boone Ave MOS</t>
  </si>
  <si>
    <t>SU-000437</t>
  </si>
  <si>
    <t>REL-Eastland MOS</t>
  </si>
  <si>
    <t>SU-000456</t>
  </si>
  <si>
    <t>REL-Lockport MOS</t>
  </si>
  <si>
    <t>SU-000469</t>
  </si>
  <si>
    <t>PBR-Hardesty</t>
  </si>
  <si>
    <t>SU-000470</t>
  </si>
  <si>
    <t>PBR-Wedonia</t>
  </si>
  <si>
    <t>SU-000477</t>
  </si>
  <si>
    <t>PBR-W Frankfort PRLY</t>
  </si>
  <si>
    <t>SU-000479</t>
  </si>
  <si>
    <t>PBR-Paris (2) BKR PRLY</t>
  </si>
  <si>
    <t>SU-000480</t>
  </si>
  <si>
    <t>PBR Arnold (3) BKR, PIN, PRLY</t>
  </si>
  <si>
    <t>SU-000481</t>
  </si>
  <si>
    <t>PBR-Bonnieville (2) BKR</t>
  </si>
  <si>
    <t>SU-000482</t>
  </si>
  <si>
    <t>PBR-Imboden (1) BKR PRLY</t>
  </si>
  <si>
    <t>SU-000486</t>
  </si>
  <si>
    <t>PBR-Okonite PRLY</t>
  </si>
  <si>
    <t>SU-000487</t>
  </si>
  <si>
    <t>PBR Eminence</t>
  </si>
  <si>
    <t>SU-000488</t>
  </si>
  <si>
    <t>PBR-Morganfield</t>
  </si>
  <si>
    <t>SU-000490</t>
  </si>
  <si>
    <t>PLC Spencer Road 018-724**</t>
  </si>
  <si>
    <t>SU-000495</t>
  </si>
  <si>
    <t>Planning DFR Request - KU</t>
  </si>
  <si>
    <t>3.10-3.50</t>
  </si>
  <si>
    <t>-1%,-4%-5%,-7%-13%</t>
  </si>
  <si>
    <t>-1%,-4%, -7%, -13%</t>
  </si>
  <si>
    <t>KU-1311 - Steam Production - ECR 2009</t>
  </si>
  <si>
    <t>KU-1312 - Steam Production - ECR 2009</t>
  </si>
  <si>
    <t>KU-1312 - Steam Production - ECR 2009 NT</t>
  </si>
  <si>
    <t>KU-1312 - Steam Production - ECR 2011</t>
  </si>
  <si>
    <t>KU-1312 - Steam Production - ECR 2016</t>
  </si>
  <si>
    <t>KU-1312 - Steam Production - ECR 2016 NT</t>
  </si>
  <si>
    <t>KU-1315 - Steam Production - ECR 2009</t>
  </si>
  <si>
    <t>LGE-1312 - Steam Production - ECR 2009 NT</t>
  </si>
  <si>
    <t>LGE-1312 - Steam Production - ECR 2011</t>
  </si>
  <si>
    <t>LGE-1312 - Steam Production - ECR 2016 NT</t>
  </si>
  <si>
    <t xml:space="preserve">   KU-1311 - Steam Production - COR 2009 </t>
  </si>
  <si>
    <t xml:space="preserve">   KU-1312 - Steam Production - COR 2009 </t>
  </si>
  <si>
    <t xml:space="preserve">   KU-1312 - Steam Production - COR 2009 NT</t>
  </si>
  <si>
    <t xml:space="preserve">   KU-1312 - Steam Production - COR 2011 </t>
  </si>
  <si>
    <t xml:space="preserve">   KU-1312 - Steam Production - COR 2016 </t>
  </si>
  <si>
    <t xml:space="preserve">   KU-1312 - Steam Production - COR 2016 NT 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</si>
  <si>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</si>
  <si>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</si>
  <si>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</si>
  <si>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</si>
  <si>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</si>
  <si>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</si>
  <si>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</si>
  <si>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107.7 – CWIP Cloud Implementation Costs</t>
  </si>
  <si>
    <t xml:space="preserve">          111.7 – Amortization Cloud Implementation Intangibles</t>
  </si>
  <si>
    <t xml:space="preserve">          134.9 - Other Special Deposits Restricted</t>
  </si>
  <si>
    <t xml:space="preserve">          142.0 - Customer accounts receivable - Other</t>
  </si>
  <si>
    <t xml:space="preserve">          142.2 - Customer accounts receivable - Electric</t>
  </si>
  <si>
    <t xml:space="preserve">     Notes Receivable</t>
  </si>
  <si>
    <t xml:space="preserve">          141.0 - Notes receivable</t>
  </si>
  <si>
    <t xml:space="preserve">          225 - Unamortized premium</t>
  </si>
  <si>
    <t xml:space="preserve">          233 - Notes Payable To Assoc Companies</t>
  </si>
  <si>
    <t xml:space="preserve">          231.5 - Short Term Debt</t>
  </si>
  <si>
    <t xml:space="preserve">          236.0 - Taxes accrued</t>
  </si>
  <si>
    <t xml:space="preserve">          236.2 - FICA Non- Current</t>
  </si>
  <si>
    <t>Notes Receivable</t>
  </si>
  <si>
    <t xml:space="preserve">  456-SOLAR REC</t>
  </si>
  <si>
    <t xml:space="preserve">  926-PENSIONS EXP-DIR VNJ</t>
  </si>
  <si>
    <t xml:space="preserve">TOTAL OPERATION </t>
  </si>
  <si>
    <t>TOTAL MAINTENANCE</t>
  </si>
  <si>
    <t>TOTAL OPERATION LESS FUEL AND PURCHASED POWER</t>
  </si>
  <si>
    <t>UNPROTECTED EXCESS DEFERRED TAXES</t>
  </si>
  <si>
    <t>PROTECTED EXCESS DEFERRED TAXES</t>
  </si>
  <si>
    <t>PROTECTED EXCESS DEFERRED TAXES-OTHER</t>
  </si>
  <si>
    <t xml:space="preserve">      FERC 591</t>
  </si>
  <si>
    <t>12 MONTHS ENDING FEBRUARY 28, 2021</t>
  </si>
  <si>
    <t>BASE PERIOD: FEBRUARY 2021</t>
  </si>
  <si>
    <t>a-Mar 1 2020</t>
  </si>
  <si>
    <t>Feb 28 2021</t>
  </si>
  <si>
    <t xml:space="preserve">    12 MONTHS ENDING JUNE 30, 2022</t>
  </si>
  <si>
    <t xml:space="preserve"> GENERAL - AMI</t>
  </si>
  <si>
    <t xml:space="preserve">    TOTAL GENERAL PLT</t>
  </si>
  <si>
    <t>AFUDC_AMI</t>
  </si>
  <si>
    <t>DIR ASSIGN AFUDC CAPITALIZED INTEREST</t>
  </si>
  <si>
    <t>GENERAL PLANT</t>
  </si>
  <si>
    <t>Amortization of KY Regulatory Assets</t>
  </si>
  <si>
    <t>Amortization of KY Regulatory Liabilities</t>
  </si>
  <si>
    <t>Balance Sheet Items</t>
  </si>
  <si>
    <t>Remove AMI CWIP</t>
  </si>
  <si>
    <t>AMI</t>
  </si>
  <si>
    <t>FORECAST PERIOD: JUNE 2022</t>
  </si>
  <si>
    <t>Jul 1 2021</t>
  </si>
  <si>
    <t>Jun 30 2022</t>
  </si>
  <si>
    <t>E370.01-Meters AMI</t>
  </si>
  <si>
    <t>AMI Rate Base</t>
  </si>
  <si>
    <t>(a) Adjustment reflects applicable ECR and DSM jurisdictional amounts and removal of AMI.</t>
  </si>
  <si>
    <t>make AFUDC deferred tax adj (link support)</t>
  </si>
  <si>
    <t xml:space="preserve"> DISTRIBUTION - AMI CWIP</t>
  </si>
  <si>
    <t xml:space="preserve"> DISTRIBUTION - AMI AFUDC</t>
  </si>
  <si>
    <t xml:space="preserve"> GENERAL - AMI AFUDC</t>
  </si>
  <si>
    <t xml:space="preserve"> DISTRIBUTION AMI AFUDC</t>
  </si>
  <si>
    <t>GENERAL AMI AFUDC</t>
  </si>
  <si>
    <t xml:space="preserve">    AFUDC AMI</t>
  </si>
  <si>
    <t>DIR ASSIGN AMI CWIP (incl AFUDC)</t>
  </si>
  <si>
    <t>DIR ASSIGN AMI CWIP</t>
  </si>
  <si>
    <t>DIR_AMICWIP</t>
  </si>
  <si>
    <t xml:space="preserve">Structures and Improvements </t>
  </si>
  <si>
    <t>N/A</t>
  </si>
  <si>
    <t>See "KU Depr Rates" worksheet for the Transmission, Distribution, and General  Depreciation Rates used in this Rate Case.</t>
  </si>
  <si>
    <t xml:space="preserve">   KU-1360 KY - Electric Distribution - Future Use </t>
  </si>
  <si>
    <t xml:space="preserve">   KU-1361 KY - Electric Distribution - Structures and Improvements </t>
  </si>
  <si>
    <t xml:space="preserve">  880-MISCELLANEOUS</t>
  </si>
  <si>
    <t>PAGE 1 OF 14</t>
  </si>
  <si>
    <t>PAGE 2 OF 14</t>
  </si>
  <si>
    <t>PAGE 3 OF 14</t>
  </si>
  <si>
    <t>PAGE 4 OF 14</t>
  </si>
  <si>
    <t>PAGE 5 OF 14</t>
  </si>
  <si>
    <t>PAGE 6 OF 14</t>
  </si>
  <si>
    <t>PAGE 7 OF 14</t>
  </si>
  <si>
    <t>PAGE 8 OF 14</t>
  </si>
  <si>
    <t>PAGE 9 OF 14</t>
  </si>
  <si>
    <t>PAGE 10 OF 14</t>
  </si>
  <si>
    <t>PAGE 11 OF 14</t>
  </si>
  <si>
    <t>PAGE 12 OF 14</t>
  </si>
  <si>
    <t>PAGE 13 OF 14</t>
  </si>
  <si>
    <t>PAGE 14 OF 14</t>
  </si>
  <si>
    <t>FORECAST PERIOD
13 MONTH AVERAGE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</si>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</sst>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_(* #,##0.0_);_(* \(#,##0.0\);_(* &quot;-&quot;??_);_(@_)"/>
    <numFmt numFmtId="185" formatCode="#,##0_);[Red]\(#,##0\);&quot; &quot;"/>
    <numFmt numFmtId="186" formatCode="#,##0.0000_);\(#,##0.0000\)"/>
    <numFmt numFmtId="187" formatCode="_(&quot;$&quot;* #,##0_);_(&quot;$&quot;* \(#,##0\);_(&quot;$&quot;* &quot;-&quot;??_);_(@_)"/>
    <numFmt numFmtId="188" formatCode="&quot;$&quot;#,##0.00"/>
    <numFmt numFmtId="189" formatCode="d\-mmm\-yyyy"/>
    <numFmt numFmtId="190" formatCode="#,##0.00\ &quot;DM&quot;;[Red]\-#,##0.00\ &quot;DM&quot;"/>
    <numFmt numFmtId="191" formatCode="#,##0.000_);[Red]\(#,##0.000\);&quot; &quot;"/>
    <numFmt numFmtId="192" formatCode="."/>
    <numFmt numFmtId="193" formatCode="_([$€-2]* #,##0.00_);_([$€-2]* \(#,##0.00\);_([$€-2]* &quot;-&quot;??_)"/>
    <numFmt numFmtId="194" formatCode="0.000"/>
    <numFmt numFmtId="195" formatCode="_-* #,##0\ _F_-;\-* #,##0\ _F_-;_-* &quot;-&quot;\ _F_-;_-@_-"/>
    <numFmt numFmtId="196" formatCode="_-* #,##0.00\ _F_-;\-* #,##0.00\ _F_-;_-* &quot;-&quot;??\ _F_-;_-@_-"/>
    <numFmt numFmtId="197" formatCode="_-* #,##0\ &quot;F&quot;_-;\-* #,##0\ &quot;F&quot;_-;_-* &quot;-&quot;\ &quot;F&quot;_-;_-@_-"/>
    <numFmt numFmtId="198" formatCode="_-* #,##0.00\ &quot;F&quot;_-;\-* #,##0.00\ &quot;F&quot;_-;_-* &quot;-&quot;??\ &quot;F&quot;_-;_-@_-"/>
    <numFmt numFmtId="199" formatCode="00000000"/>
    <numFmt numFmtId="200" formatCode="&quot;$&quot;#,##0_);[Red]\(&quot;$&quot;#,##0\);&quot; &quot;"/>
    <numFmt numFmtId="201" formatCode="_(* #,##0.0000000000_);_(* \(#,##0.0000000000\);_(* &quot;-&quot;??_);_(@_)"/>
    <numFmt numFmtId="202" formatCode="###,000"/>
    <numFmt numFmtId="203" formatCode="#,##0.00000_);[Red]\(#,##0.00000\);&quot; &quot;"/>
    <numFmt numFmtId="204" formatCode="0.00000"/>
    <numFmt numFmtId="205" formatCode="#,##0.0_);[Red]\(#,##0.0\);&quot; &quot;"/>
    <numFmt numFmtId="206" formatCode="#,##0.00_);[Red]\(#,##0.00\);&quot; &quot;"/>
    <numFmt numFmtId="207" formatCode="0.0000000"/>
    <numFmt numFmtId="208" formatCode="_(* #,##0.00_);_(* \(#,##0.00\);_(* &quot;-&quot;_);_(@_)"/>
    <numFmt numFmtId="209" formatCode="_(* #,##0.0000_);_(* \(#,##0.0000\);_(* &quot;-&quot;??_);_(@_)"/>
    <numFmt numFmtId="210" formatCode="&quot;$&quot;#,##0.000_);[Red]\(&quot;$&quot;#,##0.000\)"/>
  </numFmts>
  <fonts count="224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b/>
      <sz val="11"/>
      <color rgb="FFFF0000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name val="Arial"/>
      <family val="2"/>
    </font>
    <font>
      <b/>
      <u/>
      <sz val="12"/>
      <name val="Arial"/>
      <family val="2"/>
    </font>
    <font>
      <sz val="10"/>
      <name val="Calibri"/>
      <family val="2"/>
      <scheme val="minor"/>
    </font>
    <font>
      <sz val="12"/>
      <color theme="1"/>
      <name val="Arial"/>
      <family val="2"/>
    </font>
    <font>
      <sz val="10"/>
      <color rgb="FF0070C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0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85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5" borderId="0"/>
    <xf numFmtId="0" fontId="23" fillId="15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6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2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25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8" fillId="26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8" fillId="23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17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8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25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30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30" fillId="33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4" fillId="36" borderId="9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167" fontId="36" fillId="0" borderId="10" applyBorder="0">
      <alignment horizontal="center" vertical="center"/>
    </xf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8" fillId="34" borderId="0">
      <alignment horizontal="center"/>
    </xf>
    <xf numFmtId="0" fontId="38" fillId="34" borderId="0">
      <alignment horizontal="center"/>
    </xf>
    <xf numFmtId="166" fontId="38" fillId="34" borderId="0">
      <alignment horizontal="center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9" fillId="34" borderId="0">
      <alignment horizontal="left"/>
    </xf>
    <xf numFmtId="0" fontId="39" fillId="34" borderId="0">
      <alignment horizontal="left"/>
    </xf>
    <xf numFmtId="166" fontId="39" fillId="34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23" fillId="38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1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58" fillId="34" borderId="0">
      <alignment horizontal="left"/>
    </xf>
    <xf numFmtId="0" fontId="58" fillId="34" borderId="0">
      <alignment horizontal="left"/>
    </xf>
    <xf numFmtId="0" fontId="58" fillId="34" borderId="0">
      <alignment horizontal="left"/>
    </xf>
    <xf numFmtId="166" fontId="58" fillId="34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2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0" fontId="17" fillId="0" borderId="0"/>
    <xf numFmtId="40" fontId="66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17" fillId="0" borderId="0"/>
    <xf numFmtId="0" fontId="67" fillId="40" borderId="0">
      <alignment horizontal="center" vertical="center"/>
    </xf>
    <xf numFmtId="0" fontId="17" fillId="0" borderId="0"/>
    <xf numFmtId="0" fontId="68" fillId="40" borderId="0">
      <alignment horizontal="right"/>
    </xf>
    <xf numFmtId="164" fontId="35" fillId="42" borderId="0"/>
    <xf numFmtId="0" fontId="69" fillId="40" borderId="10"/>
    <xf numFmtId="0" fontId="58" fillId="40" borderId="10"/>
    <xf numFmtId="0" fontId="17" fillId="0" borderId="0"/>
    <xf numFmtId="0" fontId="58" fillId="40" borderId="10"/>
    <xf numFmtId="0" fontId="17" fillId="0" borderId="0"/>
    <xf numFmtId="0" fontId="69" fillId="40" borderId="10"/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0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0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3" borderId="0" applyNumberFormat="0" applyFont="0" applyBorder="0" applyAlignment="0" applyProtection="0"/>
    <xf numFmtId="164" fontId="58" fillId="22" borderId="0">
      <alignment horizontal="center"/>
    </xf>
    <xf numFmtId="0" fontId="58" fillId="22" borderId="0">
      <alignment horizontal="center"/>
    </xf>
    <xf numFmtId="0" fontId="58" fillId="22" borderId="0">
      <alignment horizontal="center"/>
    </xf>
    <xf numFmtId="0" fontId="17" fillId="0" borderId="0"/>
    <xf numFmtId="49" fontId="76" fillId="34" borderId="0">
      <alignment horizontal="center"/>
    </xf>
    <xf numFmtId="0" fontId="17" fillId="0" borderId="0"/>
    <xf numFmtId="164" fontId="37" fillId="37" borderId="0">
      <alignment horizontal="center"/>
    </xf>
    <xf numFmtId="0" fontId="37" fillId="37" borderId="0">
      <alignment horizontal="center"/>
    </xf>
    <xf numFmtId="0" fontId="17" fillId="0" borderId="0"/>
    <xf numFmtId="164" fontId="37" fillId="37" borderId="0">
      <alignment horizontal="centerContinuous"/>
    </xf>
    <xf numFmtId="0" fontId="37" fillId="37" borderId="0">
      <alignment horizontal="centerContinuous"/>
    </xf>
    <xf numFmtId="0" fontId="17" fillId="0" borderId="0"/>
    <xf numFmtId="164" fontId="77" fillId="34" borderId="0">
      <alignment horizontal="left"/>
    </xf>
    <xf numFmtId="0" fontId="77" fillId="34" borderId="0">
      <alignment horizontal="left"/>
    </xf>
    <xf numFmtId="0" fontId="17" fillId="0" borderId="0"/>
    <xf numFmtId="49" fontId="77" fillId="34" borderId="0">
      <alignment horizontal="center"/>
    </xf>
    <xf numFmtId="0" fontId="17" fillId="0" borderId="0"/>
    <xf numFmtId="164" fontId="35" fillId="37" borderId="0">
      <alignment horizontal="left"/>
    </xf>
    <xf numFmtId="0" fontId="35" fillId="37" borderId="0">
      <alignment horizontal="left"/>
    </xf>
    <xf numFmtId="0" fontId="17" fillId="0" borderId="0"/>
    <xf numFmtId="49" fontId="77" fillId="34" borderId="0">
      <alignment horizontal="left"/>
    </xf>
    <xf numFmtId="0" fontId="17" fillId="0" borderId="0"/>
    <xf numFmtId="164" fontId="35" fillId="37" borderId="0">
      <alignment horizontal="centerContinuous"/>
    </xf>
    <xf numFmtId="0" fontId="35" fillId="37" borderId="0">
      <alignment horizontal="centerContinuous"/>
    </xf>
    <xf numFmtId="0" fontId="17" fillId="0" borderId="0"/>
    <xf numFmtId="164" fontId="35" fillId="37" borderId="0">
      <alignment horizontal="right"/>
    </xf>
    <xf numFmtId="0" fontId="35" fillId="37" borderId="0">
      <alignment horizontal="right"/>
    </xf>
    <xf numFmtId="0" fontId="17" fillId="0" borderId="0"/>
    <xf numFmtId="49" fontId="58" fillId="34" borderId="0">
      <alignment horizontal="left"/>
    </xf>
    <xf numFmtId="49" fontId="58" fillId="34" borderId="0">
      <alignment horizontal="left"/>
    </xf>
    <xf numFmtId="0" fontId="17" fillId="0" borderId="0"/>
    <xf numFmtId="164" fontId="37" fillId="37" borderId="0">
      <alignment horizontal="right"/>
    </xf>
    <xf numFmtId="0" fontId="37" fillId="37" borderId="0">
      <alignment horizontal="right"/>
    </xf>
    <xf numFmtId="0" fontId="17" fillId="0" borderId="0"/>
    <xf numFmtId="164" fontId="77" fillId="20" borderId="0">
      <alignment horizontal="center"/>
    </xf>
    <xf numFmtId="0" fontId="77" fillId="20" borderId="0">
      <alignment horizontal="center"/>
    </xf>
    <xf numFmtId="0" fontId="17" fillId="0" borderId="0"/>
    <xf numFmtId="164" fontId="78" fillId="20" borderId="0">
      <alignment horizontal="center"/>
    </xf>
    <xf numFmtId="0" fontId="78" fillId="20" borderId="0">
      <alignment horizontal="center"/>
    </xf>
    <xf numFmtId="0" fontId="17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2" fillId="42" borderId="0" applyNumberFormat="0" applyProtection="0">
      <alignment horizontal="left" vertical="center" indent="1"/>
    </xf>
    <xf numFmtId="4" fontId="22" fillId="42" borderId="0" applyNumberFormat="0" applyProtection="0">
      <alignment horizontal="left" vertical="center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2" fillId="49" borderId="0" applyNumberFormat="0" applyProtection="0">
      <alignment horizontal="left" vertical="center" indent="1"/>
    </xf>
    <xf numFmtId="4" fontId="22" fillId="49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4" borderId="0">
      <alignment horizontal="center"/>
    </xf>
    <xf numFmtId="0" fontId="86" fillId="34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164" fontId="23" fillId="0" borderId="0"/>
    <xf numFmtId="37" fontId="85" fillId="0" borderId="0"/>
    <xf numFmtId="37" fontId="23" fillId="0" borderId="0" applyFont="0" applyFill="0" applyBorder="0" applyAlignment="0" applyProtection="0"/>
    <xf numFmtId="0" fontId="21" fillId="0" borderId="0"/>
    <xf numFmtId="0" fontId="96" fillId="0" borderId="0"/>
    <xf numFmtId="0" fontId="23" fillId="0" borderId="0"/>
    <xf numFmtId="0" fontId="23" fillId="0" borderId="0"/>
    <xf numFmtId="0" fontId="97" fillId="0" borderId="0"/>
    <xf numFmtId="0" fontId="23" fillId="0" borderId="0"/>
    <xf numFmtId="0" fontId="23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188" fontId="46" fillId="0" borderId="0" applyFill="0"/>
    <xf numFmtId="188" fontId="46" fillId="0" borderId="0">
      <alignment horizontal="center"/>
    </xf>
    <xf numFmtId="0" fontId="46" fillId="0" borderId="0" applyFill="0">
      <alignment horizontal="center"/>
    </xf>
    <xf numFmtId="188" fontId="45" fillId="0" borderId="30" applyFill="0"/>
    <xf numFmtId="0" fontId="23" fillId="0" borderId="0" applyFont="0" applyAlignment="0"/>
    <xf numFmtId="0" fontId="99" fillId="0" borderId="0" applyFill="0">
      <alignment vertical="top"/>
    </xf>
    <xf numFmtId="0" fontId="45" fillId="0" borderId="0" applyFill="0">
      <alignment horizontal="left" vertical="top"/>
    </xf>
    <xf numFmtId="188" fontId="91" fillId="0" borderId="6" applyFill="0"/>
    <xf numFmtId="0" fontId="23" fillId="0" borderId="0" applyNumberFormat="0" applyFont="0" applyAlignment="0"/>
    <xf numFmtId="0" fontId="99" fillId="0" borderId="0" applyFill="0">
      <alignment wrapText="1"/>
    </xf>
    <xf numFmtId="0" fontId="45" fillId="0" borderId="0" applyFill="0">
      <alignment horizontal="left" vertical="top" wrapText="1"/>
    </xf>
    <xf numFmtId="188" fontId="100" fillId="0" borderId="0" applyFill="0"/>
    <xf numFmtId="0" fontId="101" fillId="0" borderId="0" applyNumberFormat="0" applyFont="0" applyAlignment="0">
      <alignment horizontal="center"/>
    </xf>
    <xf numFmtId="0" fontId="102" fillId="0" borderId="0" applyFill="0">
      <alignment vertical="top" wrapText="1"/>
    </xf>
    <xf numFmtId="0" fontId="91" fillId="0" borderId="0" applyFill="0">
      <alignment horizontal="left" vertical="top" wrapText="1"/>
    </xf>
    <xf numFmtId="188" fontId="23" fillId="0" borderId="0" applyFill="0"/>
    <xf numFmtId="0" fontId="101" fillId="0" borderId="0" applyNumberFormat="0" applyFont="0" applyAlignment="0">
      <alignment horizontal="center"/>
    </xf>
    <xf numFmtId="0" fontId="103" fillId="0" borderId="0" applyFill="0">
      <alignment vertical="center" wrapText="1"/>
    </xf>
    <xf numFmtId="0" fontId="21" fillId="0" borderId="0">
      <alignment horizontal="left" vertical="center" wrapText="1"/>
    </xf>
    <xf numFmtId="188" fontId="104" fillId="0" borderId="0" applyFill="0"/>
    <xf numFmtId="0" fontId="101" fillId="0" borderId="0" applyNumberFormat="0" applyFont="0" applyAlignment="0">
      <alignment horizontal="center"/>
    </xf>
    <xf numFmtId="0" fontId="105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8" fontId="106" fillId="0" borderId="0" applyFill="0"/>
    <xf numFmtId="0" fontId="101" fillId="0" borderId="0" applyNumberFormat="0" applyFont="0" applyAlignment="0">
      <alignment horizontal="center"/>
    </xf>
    <xf numFmtId="0" fontId="107" fillId="0" borderId="0" applyFill="0">
      <alignment horizontal="center" vertical="center" wrapText="1"/>
    </xf>
    <xf numFmtId="0" fontId="108" fillId="0" borderId="0" applyFill="0">
      <alignment horizontal="center" vertical="center" wrapText="1"/>
    </xf>
    <xf numFmtId="188" fontId="109" fillId="0" borderId="0" applyFill="0"/>
    <xf numFmtId="0" fontId="101" fillId="0" borderId="0" applyNumberFormat="0" applyFont="0" applyAlignment="0">
      <alignment horizontal="center"/>
    </xf>
    <xf numFmtId="0" fontId="110" fillId="0" borderId="0">
      <alignment horizontal="center" wrapText="1"/>
    </xf>
    <xf numFmtId="0" fontId="106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39" fontId="46" fillId="15" borderId="0" applyFill="0"/>
    <xf numFmtId="0" fontId="111" fillId="0" borderId="0">
      <alignment horizontal="left" indent="7"/>
    </xf>
    <xf numFmtId="0" fontId="46" fillId="0" borderId="0" applyFill="0">
      <alignment horizontal="left" indent="7"/>
    </xf>
    <xf numFmtId="7" fontId="112" fillId="0" borderId="28" applyFill="0">
      <alignment horizontal="right"/>
    </xf>
    <xf numFmtId="0" fontId="91" fillId="0" borderId="0" applyNumberFormat="0">
      <alignment horizontal="right"/>
    </xf>
    <xf numFmtId="0" fontId="113" fillId="0" borderId="28" applyFont="0" applyFill="0"/>
    <xf numFmtId="0" fontId="91" fillId="0" borderId="28" applyFill="0"/>
    <xf numFmtId="39" fontId="112" fillId="0" borderId="0" applyFill="0"/>
    <xf numFmtId="0" fontId="23" fillId="0" borderId="0" applyNumberFormat="0" applyFont="0" applyBorder="0" applyAlignment="0"/>
    <xf numFmtId="0" fontId="102" fillId="0" borderId="0" applyFill="0">
      <alignment horizontal="left" indent="1"/>
    </xf>
    <xf numFmtId="0" fontId="91" fillId="0" borderId="0" applyFill="0">
      <alignment horizontal="left" indent="1"/>
    </xf>
    <xf numFmtId="39" fontId="104" fillId="0" borderId="0" applyFill="0"/>
    <xf numFmtId="0" fontId="23" fillId="0" borderId="0" applyNumberFormat="0" applyFont="0" applyFill="0" applyBorder="0" applyAlignment="0"/>
    <xf numFmtId="0" fontId="102" fillId="0" borderId="0" applyFill="0">
      <alignment horizontal="left" indent="2"/>
    </xf>
    <xf numFmtId="0" fontId="76" fillId="0" borderId="0" applyFill="0">
      <alignment horizontal="left" indent="2"/>
    </xf>
    <xf numFmtId="39" fontId="104" fillId="0" borderId="0" applyFill="0"/>
    <xf numFmtId="0" fontId="23" fillId="0" borderId="0" applyNumberFormat="0" applyFont="0" applyBorder="0" applyAlignment="0"/>
    <xf numFmtId="0" fontId="114" fillId="0" borderId="0">
      <alignment horizontal="left" indent="3"/>
    </xf>
    <xf numFmtId="0" fontId="115" fillId="0" borderId="0" applyFill="0">
      <alignment horizontal="left" indent="3"/>
    </xf>
    <xf numFmtId="39" fontId="104" fillId="0" borderId="0" applyFill="0"/>
    <xf numFmtId="0" fontId="23" fillId="0" borderId="0" applyNumberFormat="0" applyFont="0" applyBorder="0" applyAlignment="0"/>
    <xf numFmtId="0" fontId="105" fillId="0" borderId="0">
      <alignment horizontal="left" indent="4"/>
    </xf>
    <xf numFmtId="0" fontId="23" fillId="0" borderId="0" applyFill="0">
      <alignment horizontal="left" indent="4"/>
    </xf>
    <xf numFmtId="39" fontId="104" fillId="0" borderId="0" applyFill="0"/>
    <xf numFmtId="0" fontId="23" fillId="0" borderId="0" applyNumberFormat="0" applyFont="0" applyBorder="0" applyAlignment="0"/>
    <xf numFmtId="0" fontId="107" fillId="0" borderId="0">
      <alignment horizontal="left" indent="5"/>
    </xf>
    <xf numFmtId="0" fontId="108" fillId="0" borderId="0" applyFill="0">
      <alignment horizontal="left" indent="5"/>
    </xf>
    <xf numFmtId="39" fontId="109" fillId="0" borderId="0" applyFill="0"/>
    <xf numFmtId="0" fontId="23" fillId="0" borderId="0" applyNumberFormat="0" applyFont="0" applyFill="0" applyBorder="0" applyAlignment="0"/>
    <xf numFmtId="0" fontId="110" fillId="0" borderId="0" applyFill="0">
      <alignment horizontal="left" indent="6"/>
    </xf>
    <xf numFmtId="0" fontId="106" fillId="0" borderId="0" applyFill="0">
      <alignment horizontal="left" indent="6"/>
    </xf>
    <xf numFmtId="0" fontId="41" fillId="0" borderId="0"/>
    <xf numFmtId="166" fontId="23" fillId="0" borderId="0"/>
    <xf numFmtId="0" fontId="116" fillId="0" borderId="0"/>
    <xf numFmtId="166" fontId="23" fillId="0" borderId="0"/>
    <xf numFmtId="166" fontId="23" fillId="0" borderId="0"/>
    <xf numFmtId="166" fontId="23" fillId="0" borderId="0"/>
    <xf numFmtId="166" fontId="1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9" fontId="85" fillId="0" borderId="0" applyFont="0" applyFill="0" applyBorder="0" applyAlignment="0" applyProtection="0"/>
    <xf numFmtId="166" fontId="23" fillId="0" borderId="0"/>
    <xf numFmtId="44" fontId="116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7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7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7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7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7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7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7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7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7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7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7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66" fontId="29" fillId="24" borderId="0" applyNumberFormat="0" applyBorder="0" applyAlignment="0" applyProtection="0"/>
    <xf numFmtId="0" fontId="120" fillId="61" borderId="0" applyNumberFormat="0" applyBorder="0" applyAlignment="0" applyProtection="0"/>
    <xf numFmtId="166" fontId="29" fillId="17" borderId="0" applyNumberFormat="0" applyBorder="0" applyAlignment="0" applyProtection="0"/>
    <xf numFmtId="0" fontId="120" fillId="63" borderId="0" applyNumberFormat="0" applyBorder="0" applyAlignment="0" applyProtection="0"/>
    <xf numFmtId="166" fontId="29" fillId="27" borderId="0" applyNumberFormat="0" applyBorder="0" applyAlignment="0" applyProtection="0"/>
    <xf numFmtId="0" fontId="120" fillId="65" borderId="0" applyNumberFormat="0" applyBorder="0" applyAlignment="0" applyProtection="0"/>
    <xf numFmtId="166" fontId="29" fillId="19" borderId="0" applyNumberFormat="0" applyBorder="0" applyAlignment="0" applyProtection="0"/>
    <xf numFmtId="0" fontId="120" fillId="67" borderId="0" applyNumberFormat="0" applyBorder="0" applyAlignment="0" applyProtection="0"/>
    <xf numFmtId="166" fontId="29" fillId="24" borderId="0" applyNumberFormat="0" applyBorder="0" applyAlignment="0" applyProtection="0"/>
    <xf numFmtId="0" fontId="120" fillId="69" borderId="0" applyNumberFormat="0" applyBorder="0" applyAlignment="0" applyProtection="0"/>
    <xf numFmtId="166" fontId="29" fillId="20" borderId="0" applyNumberFormat="0" applyBorder="0" applyAlignment="0" applyProtection="0"/>
    <xf numFmtId="0" fontId="120" fillId="71" borderId="0" applyNumberFormat="0" applyBorder="0" applyAlignment="0" applyProtection="0"/>
    <xf numFmtId="166" fontId="29" fillId="29" borderId="0" applyNumberFormat="0" applyBorder="0" applyAlignment="0" applyProtection="0"/>
    <xf numFmtId="0" fontId="120" fillId="60" borderId="0" applyNumberFormat="0" applyBorder="0" applyAlignment="0" applyProtection="0"/>
    <xf numFmtId="166" fontId="29" fillId="30" borderId="0" applyNumberFormat="0" applyBorder="0" applyAlignment="0" applyProtection="0"/>
    <xf numFmtId="0" fontId="120" fillId="62" borderId="0" applyNumberFormat="0" applyBorder="0" applyAlignment="0" applyProtection="0"/>
    <xf numFmtId="166" fontId="29" fillId="31" borderId="0" applyNumberFormat="0" applyBorder="0" applyAlignment="0" applyProtection="0"/>
    <xf numFmtId="0" fontId="120" fillId="64" borderId="0" applyNumberFormat="0" applyBorder="0" applyAlignment="0" applyProtection="0"/>
    <xf numFmtId="166" fontId="29" fillId="32" borderId="0" applyNumberFormat="0" applyBorder="0" applyAlignment="0" applyProtection="0"/>
    <xf numFmtId="0" fontId="120" fillId="66" borderId="0" applyNumberFormat="0" applyBorder="0" applyAlignment="0" applyProtection="0"/>
    <xf numFmtId="166" fontId="29" fillId="29" borderId="0" applyNumberFormat="0" applyBorder="0" applyAlignment="0" applyProtection="0"/>
    <xf numFmtId="0" fontId="120" fillId="68" borderId="0" applyNumberFormat="0" applyBorder="0" applyAlignment="0" applyProtection="0"/>
    <xf numFmtId="166" fontId="29" fillId="25" borderId="0" applyNumberFormat="0" applyBorder="0" applyAlignment="0" applyProtection="0"/>
    <xf numFmtId="0" fontId="120" fillId="70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22" fillId="58" borderId="32" applyNumberFormat="0" applyAlignment="0" applyProtection="0"/>
    <xf numFmtId="0" fontId="32" fillId="34" borderId="8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164" fontId="35" fillId="37" borderId="0">
      <alignment horizontal="left"/>
    </xf>
    <xf numFmtId="164" fontId="37" fillId="37" borderId="0">
      <alignment horizontal="right"/>
    </xf>
    <xf numFmtId="164" fontId="38" fillId="34" borderId="0">
      <alignment horizontal="center"/>
    </xf>
    <xf numFmtId="164" fontId="37" fillId="37" borderId="0">
      <alignment horizontal="right"/>
    </xf>
    <xf numFmtId="164" fontId="39" fillId="34" borderId="0">
      <alignment horizontal="left"/>
    </xf>
    <xf numFmtId="43" fontId="1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164" fontId="126" fillId="0" borderId="0" applyNumberFormat="0" applyFont="0" applyFill="0" applyAlignment="0" applyProtection="0"/>
    <xf numFmtId="0" fontId="127" fillId="0" borderId="1" applyNumberFormat="0" applyFill="0" applyAlignment="0" applyProtection="0"/>
    <xf numFmtId="164" fontId="46" fillId="0" borderId="0" applyNumberFormat="0" applyFont="0" applyFill="0" applyAlignment="0" applyProtection="0"/>
    <xf numFmtId="0" fontId="128" fillId="0" borderId="2" applyNumberFormat="0" applyFill="0" applyAlignment="0" applyProtection="0"/>
    <xf numFmtId="166" fontId="54" fillId="0" borderId="17" applyNumberFormat="0" applyFill="0" applyAlignment="0" applyProtection="0"/>
    <xf numFmtId="0" fontId="129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57" borderId="32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164" fontId="58" fillId="34" borderId="0">
      <alignment horizontal="left"/>
    </xf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164" fontId="23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170" fontId="23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4" fillId="0" borderId="0"/>
    <xf numFmtId="0" fontId="23" fillId="0" borderId="0"/>
    <xf numFmtId="0" fontId="16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3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4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33" fillId="58" borderId="33" applyNumberFormat="0" applyAlignment="0" applyProtection="0"/>
    <xf numFmtId="4" fontId="65" fillId="40" borderId="0">
      <alignment horizontal="right"/>
    </xf>
    <xf numFmtId="171" fontId="65" fillId="34" borderId="0">
      <alignment horizontal="right"/>
    </xf>
    <xf numFmtId="0" fontId="67" fillId="40" borderId="0">
      <alignment horizontal="center" vertical="center"/>
    </xf>
    <xf numFmtId="164" fontId="67" fillId="41" borderId="0">
      <alignment horizontal="center"/>
    </xf>
    <xf numFmtId="0" fontId="58" fillId="40" borderId="10"/>
    <xf numFmtId="164" fontId="35" fillId="42" borderId="0"/>
    <xf numFmtId="0" fontId="67" fillId="40" borderId="0" applyBorder="0">
      <alignment horizontal="centerContinuous"/>
    </xf>
    <xf numFmtId="164" fontId="70" fillId="34" borderId="0" applyBorder="0">
      <alignment horizontal="centerContinuous"/>
    </xf>
    <xf numFmtId="0" fontId="73" fillId="40" borderId="0" applyBorder="0">
      <alignment horizontal="centerContinuous"/>
    </xf>
    <xf numFmtId="164" fontId="71" fillId="42" borderId="0" applyBorder="0">
      <alignment horizontal="centerContinuous"/>
    </xf>
    <xf numFmtId="0" fontId="74" fillId="0" borderId="0" applyNumberFormat="0" applyFont="0" applyFill="0" applyBorder="0" applyAlignment="0" applyProtection="0">
      <alignment horizontal="left"/>
    </xf>
    <xf numFmtId="164" fontId="58" fillId="22" borderId="0">
      <alignment horizontal="center"/>
    </xf>
    <xf numFmtId="164" fontId="37" fillId="37" borderId="0">
      <alignment horizontal="center"/>
    </xf>
    <xf numFmtId="164" fontId="37" fillId="37" borderId="0">
      <alignment horizontal="centerContinuous"/>
    </xf>
    <xf numFmtId="164" fontId="77" fillId="34" borderId="0">
      <alignment horizontal="left"/>
    </xf>
    <xf numFmtId="164" fontId="35" fillId="37" borderId="0">
      <alignment horizontal="left"/>
    </xf>
    <xf numFmtId="164" fontId="35" fillId="37" borderId="0">
      <alignment horizontal="centerContinuous"/>
    </xf>
    <xf numFmtId="164" fontId="35" fillId="37" borderId="0">
      <alignment horizontal="right"/>
    </xf>
    <xf numFmtId="164" fontId="37" fillId="37" borderId="0">
      <alignment horizontal="right"/>
    </xf>
    <xf numFmtId="164" fontId="77" fillId="20" borderId="0">
      <alignment horizontal="center"/>
    </xf>
    <xf numFmtId="164" fontId="78" fillId="20" borderId="0">
      <alignment horizontal="center"/>
    </xf>
    <xf numFmtId="38" fontId="23" fillId="72" borderId="0" applyNumberFormat="0" applyFont="0" applyBorder="0" applyAlignment="0" applyProtection="0"/>
    <xf numFmtId="0" fontId="16" fillId="0" borderId="0"/>
    <xf numFmtId="164" fontId="21" fillId="0" borderId="36" applyNumberFormat="0" applyFont="0" applyBorder="0" applyAlignment="0" applyProtection="0"/>
    <xf numFmtId="0" fontId="25" fillId="0" borderId="4" applyNumberFormat="0" applyFill="0" applyAlignment="0" applyProtection="0"/>
    <xf numFmtId="164" fontId="86" fillId="34" borderId="0">
      <alignment horizontal="center"/>
    </xf>
    <xf numFmtId="190" fontId="74" fillId="0" borderId="0" applyFont="0" applyFill="0" applyBorder="0" applyAlignment="0" applyProtection="0"/>
    <xf numFmtId="0" fontId="16" fillId="0" borderId="0"/>
    <xf numFmtId="0" fontId="134" fillId="0" borderId="0" applyNumberFormat="0" applyFill="0" applyBorder="0" applyAlignment="0" applyProtection="0"/>
    <xf numFmtId="0" fontId="137" fillId="0" borderId="0"/>
    <xf numFmtId="0" fontId="23" fillId="0" borderId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172" fontId="23" fillId="0" borderId="0"/>
    <xf numFmtId="172" fontId="23" fillId="0" borderId="0"/>
    <xf numFmtId="0" fontId="23" fillId="0" borderId="0"/>
    <xf numFmtId="182" fontId="27" fillId="3" borderId="0" applyNumberFormat="0" applyBorder="0" applyAlignment="0" applyProtection="0"/>
    <xf numFmtId="182" fontId="27" fillId="3" borderId="0" applyNumberFormat="0" applyBorder="0" applyAlignment="0" applyProtection="0"/>
    <xf numFmtId="0" fontId="26" fillId="73" borderId="0" applyNumberFormat="0" applyBorder="0" applyAlignment="0" applyProtection="0"/>
    <xf numFmtId="182" fontId="27" fillId="5" borderId="0" applyNumberFormat="0" applyBorder="0" applyAlignment="0" applyProtection="0"/>
    <xf numFmtId="182" fontId="27" fillId="5" borderId="0" applyNumberFormat="0" applyBorder="0" applyAlignment="0" applyProtection="0"/>
    <xf numFmtId="0" fontId="26" fillId="23" borderId="0" applyNumberFormat="0" applyBorder="0" applyAlignment="0" applyProtection="0"/>
    <xf numFmtId="182" fontId="27" fillId="7" borderId="0" applyNumberFormat="0" applyBorder="0" applyAlignment="0" applyProtection="0"/>
    <xf numFmtId="182" fontId="27" fillId="7" borderId="0" applyNumberFormat="0" applyBorder="0" applyAlignment="0" applyProtection="0"/>
    <xf numFmtId="0" fontId="26" fillId="39" borderId="0" applyNumberFormat="0" applyBorder="0" applyAlignment="0" applyProtection="0"/>
    <xf numFmtId="182" fontId="27" fillId="9" borderId="0" applyNumberFormat="0" applyBorder="0" applyAlignment="0" applyProtection="0"/>
    <xf numFmtId="0" fontId="26" fillId="33" borderId="0" applyNumberFormat="0" applyBorder="0" applyAlignment="0" applyProtection="0"/>
    <xf numFmtId="182" fontId="27" fillId="11" borderId="0" applyNumberFormat="0" applyBorder="0" applyAlignment="0" applyProtection="0"/>
    <xf numFmtId="182" fontId="27" fillId="11" borderId="0" applyNumberFormat="0" applyBorder="0" applyAlignment="0" applyProtection="0"/>
    <xf numFmtId="0" fontId="26" fillId="21" borderId="0" applyNumberFormat="0" applyBorder="0" applyAlignment="0" applyProtection="0"/>
    <xf numFmtId="182" fontId="27" fillId="13" borderId="0" applyNumberFormat="0" applyBorder="0" applyAlignment="0" applyProtection="0"/>
    <xf numFmtId="182" fontId="27" fillId="13" borderId="0" applyNumberFormat="0" applyBorder="0" applyAlignment="0" applyProtection="0"/>
    <xf numFmtId="0" fontId="26" fillId="20" borderId="0" applyNumberFormat="0" applyBorder="0" applyAlignment="0" applyProtection="0"/>
    <xf numFmtId="182" fontId="27" fillId="4" borderId="0" applyNumberFormat="0" applyBorder="0" applyAlignment="0" applyProtection="0"/>
    <xf numFmtId="182" fontId="27" fillId="4" borderId="0" applyNumberFormat="0" applyBorder="0" applyAlignment="0" applyProtection="0"/>
    <xf numFmtId="0" fontId="26" fillId="16" borderId="0" applyNumberFormat="0" applyBorder="0" applyAlignment="0" applyProtection="0"/>
    <xf numFmtId="182" fontId="27" fillId="6" borderId="0" applyNumberFormat="0" applyBorder="0" applyAlignment="0" applyProtection="0"/>
    <xf numFmtId="182" fontId="27" fillId="6" borderId="0" applyNumberFormat="0" applyBorder="0" applyAlignment="0" applyProtection="0"/>
    <xf numFmtId="0" fontId="26" fillId="17" borderId="0" applyNumberFormat="0" applyBorder="0" applyAlignment="0" applyProtection="0"/>
    <xf numFmtId="182" fontId="27" fillId="8" borderId="0" applyNumberFormat="0" applyBorder="0" applyAlignment="0" applyProtection="0"/>
    <xf numFmtId="182" fontId="27" fillId="8" borderId="0" applyNumberFormat="0" applyBorder="0" applyAlignment="0" applyProtection="0"/>
    <xf numFmtId="0" fontId="26" fillId="38" borderId="0" applyNumberFormat="0" applyBorder="0" applyAlignment="0" applyProtection="0"/>
    <xf numFmtId="182" fontId="27" fillId="10" borderId="0" applyNumberFormat="0" applyBorder="0" applyAlignment="0" applyProtection="0"/>
    <xf numFmtId="182" fontId="27" fillId="10" borderId="0" applyNumberFormat="0" applyBorder="0" applyAlignment="0" applyProtection="0"/>
    <xf numFmtId="0" fontId="26" fillId="33" borderId="0" applyNumberFormat="0" applyBorder="0" applyAlignment="0" applyProtection="0"/>
    <xf numFmtId="182" fontId="27" fillId="12" borderId="0" applyNumberFormat="0" applyBorder="0" applyAlignment="0" applyProtection="0"/>
    <xf numFmtId="182" fontId="27" fillId="12" borderId="0" applyNumberFormat="0" applyBorder="0" applyAlignment="0" applyProtection="0"/>
    <xf numFmtId="0" fontId="26" fillId="16" borderId="0" applyNumberFormat="0" applyBorder="0" applyAlignment="0" applyProtection="0"/>
    <xf numFmtId="182" fontId="27" fillId="14" borderId="0" applyNumberFormat="0" applyBorder="0" applyAlignment="0" applyProtection="0"/>
    <xf numFmtId="182" fontId="27" fillId="14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82" fontId="146" fillId="61" borderId="0" applyNumberFormat="0" applyBorder="0" applyAlignment="0" applyProtection="0"/>
    <xf numFmtId="182" fontId="146" fillId="61" borderId="0" applyNumberFormat="0" applyBorder="0" applyAlignment="0" applyProtection="0"/>
    <xf numFmtId="0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82" fontId="146" fillId="63" borderId="0" applyNumberFormat="0" applyBorder="0" applyAlignment="0" applyProtection="0"/>
    <xf numFmtId="182" fontId="146" fillId="63" borderId="0" applyNumberFormat="0" applyBorder="0" applyAlignment="0" applyProtection="0"/>
    <xf numFmtId="0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82" fontId="146" fillId="65" borderId="0" applyNumberFormat="0" applyBorder="0" applyAlignment="0" applyProtection="0"/>
    <xf numFmtId="182" fontId="146" fillId="65" borderId="0" applyNumberFormat="0" applyBorder="0" applyAlignment="0" applyProtection="0"/>
    <xf numFmtId="0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7" borderId="0" applyNumberFormat="0" applyBorder="0" applyAlignment="0" applyProtection="0"/>
    <xf numFmtId="182" fontId="146" fillId="67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9" borderId="0" applyNumberFormat="0" applyBorder="0" applyAlignment="0" applyProtection="0"/>
    <xf numFmtId="182" fontId="146" fillId="69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82" fontId="146" fillId="71" borderId="0" applyNumberFormat="0" applyBorder="0" applyAlignment="0" applyProtection="0"/>
    <xf numFmtId="182" fontId="146" fillId="71" borderId="0" applyNumberFormat="0" applyBorder="0" applyAlignment="0" applyProtection="0"/>
    <xf numFmtId="0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82" fontId="146" fillId="60" borderId="0" applyNumberFormat="0" applyBorder="0" applyAlignment="0" applyProtection="0"/>
    <xf numFmtId="182" fontId="146" fillId="60" borderId="0" applyNumberFormat="0" applyBorder="0" applyAlignment="0" applyProtection="0"/>
    <xf numFmtId="0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82" fontId="146" fillId="62" borderId="0" applyNumberFormat="0" applyBorder="0" applyAlignment="0" applyProtection="0"/>
    <xf numFmtId="182" fontId="146" fillId="62" borderId="0" applyNumberFormat="0" applyBorder="0" applyAlignment="0" applyProtection="0"/>
    <xf numFmtId="0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82" fontId="146" fillId="64" borderId="0" applyNumberFormat="0" applyBorder="0" applyAlignment="0" applyProtection="0"/>
    <xf numFmtId="182" fontId="146" fillId="64" borderId="0" applyNumberFormat="0" applyBorder="0" applyAlignment="0" applyProtection="0"/>
    <xf numFmtId="0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6" borderId="0" applyNumberFormat="0" applyBorder="0" applyAlignment="0" applyProtection="0"/>
    <xf numFmtId="182" fontId="146" fillId="66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8" borderId="0" applyNumberFormat="0" applyBorder="0" applyAlignment="0" applyProtection="0"/>
    <xf numFmtId="182" fontId="146" fillId="68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82" fontId="146" fillId="70" borderId="0" applyNumberFormat="0" applyBorder="0" applyAlignment="0" applyProtection="0"/>
    <xf numFmtId="182" fontId="146" fillId="70" borderId="0" applyNumberFormat="0" applyBorder="0" applyAlignment="0" applyProtection="0"/>
    <xf numFmtId="0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182" fontId="147" fillId="55" borderId="0" applyNumberFormat="0" applyBorder="0" applyAlignment="0" applyProtection="0"/>
    <xf numFmtId="182" fontId="147" fillId="55" borderId="0" applyNumberFormat="0" applyBorder="0" applyAlignment="0" applyProtection="0"/>
    <xf numFmtId="0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0" fontId="30" fillId="23" borderId="0" applyNumberFormat="0" applyBorder="0" applyAlignment="0" applyProtection="0"/>
    <xf numFmtId="173" fontId="148" fillId="0" borderId="28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182" fontId="149" fillId="59" borderId="35" applyNumberFormat="0" applyAlignment="0" applyProtection="0"/>
    <xf numFmtId="182" fontId="149" fillId="59" borderId="35" applyNumberFormat="0" applyAlignment="0" applyProtection="0"/>
    <xf numFmtId="0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0" fontId="34" fillId="36" borderId="9" applyNumberFormat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38" fillId="34" borderId="0">
      <alignment horizontal="center"/>
    </xf>
    <xf numFmtId="164" fontId="38" fillId="34" borderId="0">
      <alignment horizontal="center"/>
    </xf>
    <xf numFmtId="0" fontId="37" fillId="37" borderId="0">
      <alignment horizontal="right"/>
    </xf>
    <xf numFmtId="164" fontId="37" fillId="37" borderId="0">
      <alignment horizontal="righ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82" fontId="44" fillId="0" borderId="0" applyProtection="0"/>
    <xf numFmtId="182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82" fontId="45" fillId="0" borderId="0" applyProtection="0"/>
    <xf numFmtId="182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82" fontId="46" fillId="0" borderId="0" applyProtection="0"/>
    <xf numFmtId="182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82" fontId="23" fillId="0" borderId="0" applyProtection="0"/>
    <xf numFmtId="182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82" fontId="47" fillId="0" borderId="0" applyProtection="0"/>
    <xf numFmtId="182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182" fontId="152" fillId="54" borderId="0" applyNumberFormat="0" applyBorder="0" applyAlignment="0" applyProtection="0"/>
    <xf numFmtId="182" fontId="152" fillId="54" borderId="0" applyNumberFormat="0" applyBorder="0" applyAlignment="0" applyProtection="0"/>
    <xf numFmtId="0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182" fontId="154" fillId="0" borderId="1" applyNumberFormat="0" applyFill="0" applyAlignment="0" applyProtection="0"/>
    <xf numFmtId="182" fontId="154" fillId="0" borderId="1" applyNumberFormat="0" applyFill="0" applyAlignment="0" applyProtection="0"/>
    <xf numFmtId="0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182" fontId="156" fillId="0" borderId="2" applyNumberFormat="0" applyFill="0" applyAlignment="0" applyProtection="0"/>
    <xf numFmtId="182" fontId="156" fillId="0" borderId="2" applyNumberFormat="0" applyFill="0" applyAlignment="0" applyProtection="0"/>
    <xf numFmtId="0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182" fontId="158" fillId="0" borderId="31" applyNumberFormat="0" applyFill="0" applyAlignment="0" applyProtection="0"/>
    <xf numFmtId="182" fontId="158" fillId="0" borderId="31" applyNumberFormat="0" applyFill="0" applyAlignment="0" applyProtection="0"/>
    <xf numFmtId="0" fontId="157" fillId="0" borderId="39" applyNumberFormat="0" applyFill="0" applyAlignment="0" applyProtection="0"/>
    <xf numFmtId="172" fontId="157" fillId="0" borderId="39" applyNumberFormat="0" applyFill="0" applyAlignment="0" applyProtection="0"/>
    <xf numFmtId="172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58" fillId="34" borderId="0">
      <alignment horizontal="left"/>
    </xf>
    <xf numFmtId="164" fontId="58" fillId="34" borderId="0">
      <alignment horizontal="left"/>
    </xf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182" fontId="160" fillId="0" borderId="34" applyNumberFormat="0" applyFill="0" applyAlignment="0" applyProtection="0"/>
    <xf numFmtId="182" fontId="160" fillId="0" borderId="34" applyNumberFormat="0" applyFill="0" applyAlignment="0" applyProtection="0"/>
    <xf numFmtId="0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182" fontId="162" fillId="56" borderId="0" applyNumberFormat="0" applyBorder="0" applyAlignment="0" applyProtection="0"/>
    <xf numFmtId="182" fontId="162" fillId="56" borderId="0" applyNumberFormat="0" applyBorder="0" applyAlignment="0" applyProtection="0"/>
    <xf numFmtId="0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0" fontId="161" fillId="22" borderId="0" applyNumberFormat="0" applyBorder="0" applyAlignment="0" applyProtection="0"/>
    <xf numFmtId="172" fontId="23" fillId="0" borderId="0"/>
    <xf numFmtId="172" fontId="23" fillId="0" borderId="0"/>
    <xf numFmtId="182" fontId="23" fillId="0" borderId="0"/>
    <xf numFmtId="182" fontId="23" fillId="0" borderId="0"/>
    <xf numFmtId="0" fontId="41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82" fontId="27" fillId="0" borderId="0"/>
    <xf numFmtId="182" fontId="27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182" fontId="163" fillId="58" borderId="33" applyNumberFormat="0" applyAlignment="0" applyProtection="0"/>
    <xf numFmtId="182" fontId="163" fillId="58" borderId="33" applyNumberFormat="0" applyAlignment="0" applyProtection="0"/>
    <xf numFmtId="0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0" fontId="64" fillId="19" borderId="21" applyNumberFormat="0" applyAlignment="0" applyProtection="0"/>
    <xf numFmtId="171" fontId="65" fillId="34" borderId="0">
      <alignment horizontal="right"/>
    </xf>
    <xf numFmtId="40" fontId="66" fillId="40" borderId="0">
      <alignment horizontal="right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182" fontId="67" fillId="40" borderId="0">
      <alignment horizontal="center" vertical="center"/>
    </xf>
    <xf numFmtId="182" fontId="67" fillId="40" borderId="0">
      <alignment horizontal="center" vertical="center"/>
    </xf>
    <xf numFmtId="0" fontId="35" fillId="42" borderId="0"/>
    <xf numFmtId="0" fontId="58" fillId="40" borderId="10"/>
    <xf numFmtId="0" fontId="58" fillId="40" borderId="10"/>
    <xf numFmtId="182" fontId="58" fillId="40" borderId="10"/>
    <xf numFmtId="182" fontId="58" fillId="40" borderId="10"/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182" fontId="67" fillId="40" borderId="0" applyBorder="0">
      <alignment horizontal="centerContinuous"/>
    </xf>
    <xf numFmtId="182" fontId="67" fillId="40" borderId="0" applyBorder="0">
      <alignment horizontal="centerContinuous"/>
    </xf>
    <xf numFmtId="164" fontId="71" fillId="42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182" fontId="73" fillId="40" borderId="0" applyBorder="0">
      <alignment horizontal="centerContinuous"/>
    </xf>
    <xf numFmtId="182" fontId="73" fillId="40" borderId="0" applyBorder="0">
      <alignment horizontal="centerContinuous"/>
    </xf>
    <xf numFmtId="0" fontId="58" fillId="22" borderId="0">
      <alignment horizontal="center"/>
    </xf>
    <xf numFmtId="164" fontId="58" fillId="22" borderId="0">
      <alignment horizontal="center"/>
    </xf>
    <xf numFmtId="49" fontId="76" fillId="34" borderId="0">
      <alignment horizontal="center"/>
    </xf>
    <xf numFmtId="0" fontId="37" fillId="37" borderId="0">
      <alignment horizontal="center"/>
    </xf>
    <xf numFmtId="164" fontId="37" fillId="37" borderId="0">
      <alignment horizontal="center"/>
    </xf>
    <xf numFmtId="0" fontId="37" fillId="37" borderId="0">
      <alignment horizontal="centerContinuous"/>
    </xf>
    <xf numFmtId="164" fontId="37" fillId="37" borderId="0">
      <alignment horizontal="centerContinuous"/>
    </xf>
    <xf numFmtId="0" fontId="77" fillId="34" borderId="0">
      <alignment horizontal="left"/>
    </xf>
    <xf numFmtId="164" fontId="77" fillId="34" borderId="0">
      <alignment horizontal="left"/>
    </xf>
    <xf numFmtId="49" fontId="77" fillId="34" borderId="0">
      <alignment horizontal="center"/>
    </xf>
    <xf numFmtId="0" fontId="35" fillId="37" borderId="0">
      <alignment horizontal="left"/>
    </xf>
    <xf numFmtId="164" fontId="35" fillId="37" borderId="0">
      <alignment horizontal="left"/>
    </xf>
    <xf numFmtId="49" fontId="77" fillId="34" borderId="0">
      <alignment horizontal="left"/>
    </xf>
    <xf numFmtId="0" fontId="35" fillId="37" borderId="0">
      <alignment horizontal="centerContinuous"/>
    </xf>
    <xf numFmtId="164" fontId="35" fillId="37" borderId="0">
      <alignment horizontal="centerContinuous"/>
    </xf>
    <xf numFmtId="0" fontId="35" fillId="37" borderId="0">
      <alignment horizontal="right"/>
    </xf>
    <xf numFmtId="164" fontId="35" fillId="37" borderId="0">
      <alignment horizontal="right"/>
    </xf>
    <xf numFmtId="49" fontId="58" fillId="34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77" fillId="20" borderId="0">
      <alignment horizontal="center"/>
    </xf>
    <xf numFmtId="164" fontId="77" fillId="20" borderId="0">
      <alignment horizontal="center"/>
    </xf>
    <xf numFmtId="0" fontId="78" fillId="20" borderId="0">
      <alignment horizontal="center"/>
    </xf>
    <xf numFmtId="164" fontId="78" fillId="20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182" fontId="165" fillId="0" borderId="4" applyNumberFormat="0" applyFill="0" applyAlignment="0" applyProtection="0"/>
    <xf numFmtId="182" fontId="165" fillId="0" borderId="4" applyNumberFormat="0" applyFill="0" applyAlignment="0" applyProtection="0"/>
    <xf numFmtId="0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4" fillId="0" borderId="0"/>
    <xf numFmtId="194" fontId="23" fillId="0" borderId="0">
      <alignment horizontal="left" wrapText="1"/>
    </xf>
    <xf numFmtId="0" fontId="23" fillId="15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1" borderId="0" applyNumberFormat="0" applyBorder="0" applyAlignment="0" applyProtection="0"/>
    <xf numFmtId="0" fontId="177" fillId="61" borderId="0" applyNumberFormat="0" applyBorder="0" applyAlignment="0" applyProtection="0"/>
    <xf numFmtId="0" fontId="176" fillId="61" borderId="0" applyNumberFormat="0" applyBorder="0" applyAlignment="0" applyProtection="0"/>
    <xf numFmtId="0" fontId="176" fillId="61" borderId="0" applyNumberFormat="0" applyBorder="0" applyAlignment="0" applyProtection="0"/>
    <xf numFmtId="0" fontId="28" fillId="25" borderId="0" applyNumberFormat="0" applyBorder="0" applyAlignment="0" applyProtection="0"/>
    <xf numFmtId="172" fontId="29" fillId="27" borderId="0" applyNumberFormat="0" applyBorder="0" applyAlignment="0" applyProtection="0"/>
    <xf numFmtId="0" fontId="176" fillId="6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9" fillId="27" borderId="0" applyNumberFormat="0" applyBorder="0" applyAlignment="0" applyProtection="0"/>
    <xf numFmtId="0" fontId="29" fillId="17" borderId="0" applyNumberFormat="0" applyBorder="0" applyAlignment="0" applyProtection="0"/>
    <xf numFmtId="0" fontId="120" fillId="63" borderId="0" applyNumberFormat="0" applyBorder="0" applyAlignment="0" applyProtection="0"/>
    <xf numFmtId="0" fontId="177" fillId="63" borderId="0" applyNumberFormat="0" applyBorder="0" applyAlignment="0" applyProtection="0"/>
    <xf numFmtId="0" fontId="176" fillId="63" borderId="0" applyNumberFormat="0" applyBorder="0" applyAlignment="0" applyProtection="0"/>
    <xf numFmtId="0" fontId="176" fillId="63" borderId="0" applyNumberFormat="0" applyBorder="0" applyAlignment="0" applyProtection="0"/>
    <xf numFmtId="0" fontId="28" fillId="26" borderId="0" applyNumberFormat="0" applyBorder="0" applyAlignment="0" applyProtection="0"/>
    <xf numFmtId="172" fontId="29" fillId="27" borderId="0" applyNumberFormat="0" applyBorder="0" applyAlignment="0" applyProtection="0"/>
    <xf numFmtId="0" fontId="176" fillId="6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120" fillId="65" borderId="0" applyNumberFormat="0" applyBorder="0" applyAlignment="0" applyProtection="0"/>
    <xf numFmtId="0" fontId="177" fillId="65" borderId="0" applyNumberFormat="0" applyBorder="0" applyAlignment="0" applyProtection="0"/>
    <xf numFmtId="0" fontId="176" fillId="65" borderId="0" applyNumberFormat="0" applyBorder="0" applyAlignment="0" applyProtection="0"/>
    <xf numFmtId="0" fontId="176" fillId="65" borderId="0" applyNumberFormat="0" applyBorder="0" applyAlignment="0" applyProtection="0"/>
    <xf numFmtId="0" fontId="28" fillId="23" borderId="0" applyNumberFormat="0" applyBorder="0" applyAlignment="0" applyProtection="0"/>
    <xf numFmtId="172" fontId="29" fillId="19" borderId="0" applyNumberFormat="0" applyBorder="0" applyAlignment="0" applyProtection="0"/>
    <xf numFmtId="0" fontId="176" fillId="6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120" fillId="67" borderId="0" applyNumberFormat="0" applyBorder="0" applyAlignment="0" applyProtection="0"/>
    <xf numFmtId="0" fontId="177" fillId="67" borderId="0" applyNumberFormat="0" applyBorder="0" applyAlignment="0" applyProtection="0"/>
    <xf numFmtId="0" fontId="176" fillId="67" borderId="0" applyNumberFormat="0" applyBorder="0" applyAlignment="0" applyProtection="0"/>
    <xf numFmtId="0" fontId="176" fillId="67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9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9" borderId="0" applyNumberFormat="0" applyBorder="0" applyAlignment="0" applyProtection="0"/>
    <xf numFmtId="0" fontId="177" fillId="69" borderId="0" applyNumberFormat="0" applyBorder="0" applyAlignment="0" applyProtection="0"/>
    <xf numFmtId="0" fontId="176" fillId="69" borderId="0" applyNumberFormat="0" applyBorder="0" applyAlignment="0" applyProtection="0"/>
    <xf numFmtId="0" fontId="176" fillId="69" borderId="0" applyNumberFormat="0" applyBorder="0" applyAlignment="0" applyProtection="0"/>
    <xf numFmtId="0" fontId="28" fillId="17" borderId="0" applyNumberFormat="0" applyBorder="0" applyAlignment="0" applyProtection="0"/>
    <xf numFmtId="172" fontId="29" fillId="20" borderId="0" applyNumberFormat="0" applyBorder="0" applyAlignment="0" applyProtection="0"/>
    <xf numFmtId="0" fontId="176" fillId="71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20" fillId="71" borderId="0" applyNumberFormat="0" applyBorder="0" applyAlignment="0" applyProtection="0"/>
    <xf numFmtId="0" fontId="177" fillId="71" borderId="0" applyNumberFormat="0" applyBorder="0" applyAlignment="0" applyProtection="0"/>
    <xf numFmtId="0" fontId="176" fillId="71" borderId="0" applyNumberFormat="0" applyBorder="0" applyAlignment="0" applyProtection="0"/>
    <xf numFmtId="0" fontId="176" fillId="71" borderId="0" applyNumberFormat="0" applyBorder="0" applyAlignment="0" applyProtection="0"/>
    <xf numFmtId="193" fontId="63" fillId="0" borderId="5" applyBorder="0"/>
    <xf numFmtId="0" fontId="63" fillId="0" borderId="5" applyBorder="0"/>
    <xf numFmtId="0" fontId="28" fillId="28" borderId="0" applyNumberFormat="0" applyBorder="0" applyAlignment="0" applyProtection="0"/>
    <xf numFmtId="172" fontId="29" fillId="29" borderId="0" applyNumberFormat="0" applyBorder="0" applyAlignment="0" applyProtection="0"/>
    <xf numFmtId="0" fontId="176" fillId="60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0" borderId="0" applyNumberFormat="0" applyBorder="0" applyAlignment="0" applyProtection="0"/>
    <xf numFmtId="0" fontId="177" fillId="60" borderId="0" applyNumberFormat="0" applyBorder="0" applyAlignment="0" applyProtection="0"/>
    <xf numFmtId="0" fontId="176" fillId="60" borderId="0" applyNumberFormat="0" applyBorder="0" applyAlignment="0" applyProtection="0"/>
    <xf numFmtId="0" fontId="176" fillId="60" borderId="0" applyNumberFormat="0" applyBorder="0" applyAlignment="0" applyProtection="0"/>
    <xf numFmtId="0" fontId="28" fillId="25" borderId="0" applyNumberFormat="0" applyBorder="0" applyAlignment="0" applyProtection="0"/>
    <xf numFmtId="172" fontId="29" fillId="30" borderId="0" applyNumberFormat="0" applyBorder="0" applyAlignment="0" applyProtection="0"/>
    <xf numFmtId="0" fontId="176" fillId="62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20" fillId="62" borderId="0" applyNumberFormat="0" applyBorder="0" applyAlignment="0" applyProtection="0"/>
    <xf numFmtId="0" fontId="177" fillId="62" borderId="0" applyNumberFormat="0" applyBorder="0" applyAlignment="0" applyProtection="0"/>
    <xf numFmtId="0" fontId="176" fillId="62" borderId="0" applyNumberFormat="0" applyBorder="0" applyAlignment="0" applyProtection="0"/>
    <xf numFmtId="0" fontId="176" fillId="62" borderId="0" applyNumberFormat="0" applyBorder="0" applyAlignment="0" applyProtection="0"/>
    <xf numFmtId="0" fontId="28" fillId="26" borderId="0" applyNumberFormat="0" applyBorder="0" applyAlignment="0" applyProtection="0"/>
    <xf numFmtId="172" fontId="29" fillId="31" borderId="0" applyNumberFormat="0" applyBorder="0" applyAlignment="0" applyProtection="0"/>
    <xf numFmtId="0" fontId="176" fillId="64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0" fillId="64" borderId="0" applyNumberFormat="0" applyBorder="0" applyAlignment="0" applyProtection="0"/>
    <xf numFmtId="0" fontId="177" fillId="64" borderId="0" applyNumberFormat="0" applyBorder="0" applyAlignment="0" applyProtection="0"/>
    <xf numFmtId="0" fontId="176" fillId="64" borderId="0" applyNumberFormat="0" applyBorder="0" applyAlignment="0" applyProtection="0"/>
    <xf numFmtId="0" fontId="176" fillId="64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76" fillId="6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20" fillId="66" borderId="0" applyNumberFormat="0" applyBorder="0" applyAlignment="0" applyProtection="0"/>
    <xf numFmtId="0" fontId="177" fillId="66" borderId="0" applyNumberFormat="0" applyBorder="0" applyAlignment="0" applyProtection="0"/>
    <xf numFmtId="0" fontId="176" fillId="66" borderId="0" applyNumberFormat="0" applyBorder="0" applyAlignment="0" applyProtection="0"/>
    <xf numFmtId="0" fontId="176" fillId="66" borderId="0" applyNumberFormat="0" applyBorder="0" applyAlignment="0" applyProtection="0"/>
    <xf numFmtId="172" fontId="29" fillId="29" borderId="0" applyNumberFormat="0" applyBorder="0" applyAlignment="0" applyProtection="0"/>
    <xf numFmtId="0" fontId="176" fillId="6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8" borderId="0" applyNumberFormat="0" applyBorder="0" applyAlignment="0" applyProtection="0"/>
    <xf numFmtId="0" fontId="177" fillId="68" borderId="0" applyNumberFormat="0" applyBorder="0" applyAlignment="0" applyProtection="0"/>
    <xf numFmtId="0" fontId="176" fillId="68" borderId="0" applyNumberFormat="0" applyBorder="0" applyAlignment="0" applyProtection="0"/>
    <xf numFmtId="0" fontId="176" fillId="68" borderId="0" applyNumberFormat="0" applyBorder="0" applyAlignment="0" applyProtection="0"/>
    <xf numFmtId="0" fontId="28" fillId="30" borderId="0" applyNumberFormat="0" applyBorder="0" applyAlignment="0" applyProtection="0"/>
    <xf numFmtId="172" fontId="29" fillId="25" borderId="0" applyNumberFormat="0" applyBorder="0" applyAlignment="0" applyProtection="0"/>
    <xf numFmtId="0" fontId="176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20" fillId="70" borderId="0" applyNumberFormat="0" applyBorder="0" applyAlignment="0" applyProtection="0"/>
    <xf numFmtId="0" fontId="177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30" fillId="33" borderId="0" applyNumberFormat="0" applyBorder="0" applyAlignment="0" applyProtection="0"/>
    <xf numFmtId="0" fontId="169" fillId="55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78" fillId="55" borderId="0" applyNumberFormat="0" applyBorder="0" applyAlignment="0" applyProtection="0"/>
    <xf numFmtId="0" fontId="169" fillId="55" borderId="0" applyNumberFormat="0" applyBorder="0" applyAlignment="0" applyProtection="0"/>
    <xf numFmtId="0" fontId="169" fillId="55" borderId="0" applyNumberFormat="0" applyBorder="0" applyAlignment="0" applyProtection="0"/>
    <xf numFmtId="0" fontId="173" fillId="59" borderId="35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0" fontId="179" fillId="59" borderId="35" applyNumberFormat="0" applyAlignment="0" applyProtection="0"/>
    <xf numFmtId="0" fontId="173" fillId="59" borderId="35" applyNumberFormat="0" applyAlignment="0" applyProtection="0"/>
    <xf numFmtId="0" fontId="173" fillId="59" borderId="35" applyNumberFormat="0" applyAlignment="0" applyProtection="0"/>
    <xf numFmtId="0" fontId="39" fillId="34" borderId="0">
      <alignment horizontal="left"/>
    </xf>
    <xf numFmtId="41" fontId="180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175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168" fillId="54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0" fontId="182" fillId="54" borderId="0" applyNumberFormat="0" applyBorder="0" applyAlignment="0" applyProtection="0"/>
    <xf numFmtId="0" fontId="168" fillId="54" borderId="0" applyNumberFormat="0" applyBorder="0" applyAlignment="0" applyProtection="0"/>
    <xf numFmtId="0" fontId="168" fillId="54" borderId="0" applyNumberFormat="0" applyBorder="0" applyAlignment="0" applyProtection="0"/>
    <xf numFmtId="0" fontId="49" fillId="0" borderId="12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27" fillId="0" borderId="1" applyNumberFormat="0" applyFill="0" applyAlignment="0" applyProtection="0"/>
    <xf numFmtId="0" fontId="183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0" fontId="51" fillId="0" borderId="14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28" fillId="0" borderId="2" applyNumberFormat="0" applyFill="0" applyAlignment="0" applyProtection="0"/>
    <xf numFmtId="0" fontId="184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53" fillId="0" borderId="16" applyNumberFormat="0" applyFill="0" applyAlignment="0" applyProtection="0"/>
    <xf numFmtId="172" fontId="54" fillId="0" borderId="41" applyNumberFormat="0" applyFill="0" applyAlignment="0" applyProtection="0"/>
    <xf numFmtId="0" fontId="167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29" fillId="0" borderId="31" applyNumberFormat="0" applyFill="0" applyAlignment="0" applyProtection="0"/>
    <xf numFmtId="0" fontId="185" fillId="0" borderId="31" applyNumberFormat="0" applyFill="0" applyAlignment="0" applyProtection="0"/>
    <xf numFmtId="0" fontId="167" fillId="0" borderId="31" applyNumberFormat="0" applyFill="0" applyAlignment="0" applyProtection="0"/>
    <xf numFmtId="0" fontId="167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86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0" fontId="172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0" fontId="187" fillId="0" borderId="34" applyNumberFormat="0" applyFill="0" applyAlignment="0" applyProtection="0"/>
    <xf numFmtId="0" fontId="172" fillId="0" borderId="34" applyNumberFormat="0" applyFill="0" applyAlignment="0" applyProtection="0"/>
    <xf numFmtId="0" fontId="172" fillId="0" borderId="34" applyNumberFormat="0" applyFill="0" applyAlignment="0" applyProtection="0"/>
    <xf numFmtId="195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2" borderId="0" applyNumberFormat="0" applyBorder="0" applyAlignment="0" applyProtection="0"/>
    <xf numFmtId="0" fontId="170" fillId="56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0" fontId="188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199" fontId="23" fillId="0" borderId="0"/>
    <xf numFmtId="0" fontId="13" fillId="0" borderId="0"/>
    <xf numFmtId="193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1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3" fontId="23" fillId="0" borderId="0"/>
    <xf numFmtId="0" fontId="1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37" fontId="85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16" fillId="0" borderId="0"/>
    <xf numFmtId="0" fontId="13" fillId="0" borderId="0"/>
    <xf numFmtId="0" fontId="23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133" fillId="58" borderId="33" applyNumberFormat="0" applyAlignment="0" applyProtection="0"/>
    <xf numFmtId="0" fontId="189" fillId="58" borderId="33" applyNumberFormat="0" applyAlignment="0" applyProtection="0"/>
    <xf numFmtId="0" fontId="171" fillId="58" borderId="33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171" fontId="65" fillId="34" borderId="0">
      <alignment horizontal="right"/>
    </xf>
    <xf numFmtId="171" fontId="65" fillId="34" borderId="0">
      <alignment horizontal="right"/>
    </xf>
    <xf numFmtId="0" fontId="68" fillId="40" borderId="0">
      <alignment horizontal="right"/>
    </xf>
    <xf numFmtId="0" fontId="69" fillId="40" borderId="10"/>
    <xf numFmtId="0" fontId="58" fillId="40" borderId="10"/>
    <xf numFmtId="0" fontId="69" fillId="40" borderId="10"/>
    <xf numFmtId="0" fontId="69" fillId="0" borderId="0" applyBorder="0">
      <alignment horizontal="centerContinuous"/>
    </xf>
    <xf numFmtId="0" fontId="72" fillId="0" borderId="0" applyBorder="0">
      <alignment horizontal="centerContinuous"/>
    </xf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5" fillId="0" borderId="22">
      <alignment horizontal="center"/>
    </xf>
    <xf numFmtId="0" fontId="74" fillId="43" borderId="0" applyNumberFormat="0" applyFont="0" applyBorder="0" applyAlignment="0" applyProtection="0"/>
    <xf numFmtId="49" fontId="23" fillId="0" borderId="42">
      <alignment horizontal="center" vertical="center"/>
      <protection locked="0"/>
    </xf>
    <xf numFmtId="0" fontId="83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19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86" fillId="34" borderId="0">
      <alignment horizontal="center"/>
    </xf>
    <xf numFmtId="172" fontId="19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6" fillId="1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6" fillId="17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6" fillId="18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26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6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6" fillId="2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6" fillId="22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6" fillId="2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6" fillId="2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6" fillId="1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176" fillId="68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8" fillId="58" borderId="32" applyNumberFormat="0" applyAlignment="0" applyProtection="0"/>
    <xf numFmtId="0" fontId="198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73" fillId="59" borderId="35" applyNumberFormat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2" fillId="0" borderId="0"/>
    <xf numFmtId="0" fontId="202" fillId="0" borderId="43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203" fillId="0" borderId="0" applyNumberFormat="0" applyFill="0" applyBorder="0" applyAlignment="0" applyProtection="0"/>
    <xf numFmtId="164" fontId="126" fillId="0" borderId="0" applyNumberFormat="0" applyFont="0" applyFill="0" applyAlignment="0" applyProtection="0"/>
    <xf numFmtId="0" fontId="153" fillId="0" borderId="37" applyNumberFormat="0" applyFill="0" applyAlignment="0" applyProtection="0"/>
    <xf numFmtId="0" fontId="20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197" fillId="57" borderId="32" applyNumberFormat="0" applyAlignment="0" applyProtection="0"/>
    <xf numFmtId="0" fontId="197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205" fillId="41" borderId="43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0" fontId="201" fillId="0" borderId="0"/>
    <xf numFmtId="0" fontId="201" fillId="0" borderId="0"/>
    <xf numFmtId="0" fontId="201" fillId="0" borderId="0"/>
    <xf numFmtId="164" fontId="23" fillId="0" borderId="0"/>
    <xf numFmtId="0" fontId="201" fillId="0" borderId="0"/>
    <xf numFmtId="41" fontId="4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20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74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11" fillId="0" borderId="0"/>
    <xf numFmtId="37" fontId="85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0" fontId="23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01" fillId="0" borderId="0"/>
    <xf numFmtId="0" fontId="201" fillId="0" borderId="0"/>
    <xf numFmtId="0" fontId="201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37" fontId="85" fillId="0" borderId="0"/>
    <xf numFmtId="37" fontId="85" fillId="0" borderId="0"/>
    <xf numFmtId="0" fontId="9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3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182" fontId="206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4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19" borderId="21" applyNumberFormat="0" applyAlignment="0" applyProtection="0"/>
    <xf numFmtId="0" fontId="171" fillId="58" borderId="33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171" fontId="65" fillId="34" borderId="0">
      <alignment horizontal="right"/>
    </xf>
    <xf numFmtId="0" fontId="67" fillId="41" borderId="0">
      <alignment horizontal="center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0" fontId="35" fillId="42" borderId="0"/>
    <xf numFmtId="164" fontId="35" fillId="42" borderId="0"/>
    <xf numFmtId="0" fontId="58" fillId="40" borderId="10"/>
    <xf numFmtId="0" fontId="58" fillId="40" borderId="10"/>
    <xf numFmtId="0" fontId="35" fillId="42" borderId="0"/>
    <xf numFmtId="0" fontId="69" fillId="40" borderId="10"/>
    <xf numFmtId="0" fontId="69" fillId="40" borderId="10"/>
    <xf numFmtId="0" fontId="69" fillId="40" borderId="10"/>
    <xf numFmtId="0" fontId="69" fillId="40" borderId="10"/>
    <xf numFmtId="0" fontId="69" fillId="40" borderId="10"/>
    <xf numFmtId="172" fontId="69" fillId="40" borderId="10"/>
    <xf numFmtId="0" fontId="69" fillId="40" borderId="10"/>
    <xf numFmtId="0" fontId="69" fillId="40" borderId="10"/>
    <xf numFmtId="0" fontId="70" fillId="34" borderId="0" applyBorder="0">
      <alignment horizontal="centerContinuous"/>
    </xf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0" fontId="71" fillId="42" borderId="0" applyBorder="0">
      <alignment horizontal="centerContinuous"/>
    </xf>
    <xf numFmtId="164" fontId="71" fillId="42" borderId="0" applyBorder="0">
      <alignment horizontal="centerContinuous"/>
    </xf>
    <xf numFmtId="0" fontId="207" fillId="42" borderId="0" applyBorder="0">
      <alignment horizontal="centerContinuous"/>
    </xf>
    <xf numFmtId="0" fontId="73" fillId="40" borderId="0" applyBorder="0">
      <alignment horizontal="centerContinuous"/>
    </xf>
    <xf numFmtId="0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3" fontId="144" fillId="78" borderId="44">
      <alignment horizontal="left"/>
    </xf>
    <xf numFmtId="0" fontId="202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202" fontId="208" fillId="0" borderId="45" applyNumberFormat="0" applyProtection="0">
      <alignment horizontal="right" vertical="center"/>
    </xf>
    <xf numFmtId="202" fontId="209" fillId="0" borderId="46" applyNumberFormat="0" applyProtection="0">
      <alignment horizontal="right" vertical="center"/>
    </xf>
    <xf numFmtId="0" fontId="209" fillId="79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7" applyNumberFormat="0" applyAlignment="0" applyProtection="0">
      <alignment horizontal="left" vertical="center" indent="1"/>
    </xf>
    <xf numFmtId="0" fontId="21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202" fontId="208" fillId="85" borderId="47" applyNumberFormat="0" applyAlignment="0" applyProtection="0">
      <alignment horizontal="left" vertical="center" indent="1"/>
    </xf>
    <xf numFmtId="0" fontId="209" fillId="79" borderId="46" applyNumberFormat="0" applyAlignment="0" applyProtection="0">
      <alignment horizontal="left" vertical="center" indent="1"/>
    </xf>
    <xf numFmtId="0" fontId="202" fillId="0" borderId="43"/>
    <xf numFmtId="0" fontId="212" fillId="37" borderId="0"/>
    <xf numFmtId="0" fontId="16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36" applyNumberFormat="0" applyFont="0" applyBorder="0" applyAlignment="0" applyProtection="0"/>
    <xf numFmtId="0" fontId="84" fillId="0" borderId="40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3" fillId="0" borderId="30" applyNumberFormat="0" applyFont="0" applyFill="0" applyAlignment="0" applyProtection="0"/>
    <xf numFmtId="0" fontId="205" fillId="0" borderId="49"/>
    <xf numFmtId="0" fontId="205" fillId="0" borderId="43"/>
    <xf numFmtId="0" fontId="174" fillId="0" borderId="0" applyNumberFormat="0" applyFill="0" applyBorder="0" applyAlignment="0" applyProtection="0"/>
    <xf numFmtId="0" fontId="10" fillId="0" borderId="0"/>
    <xf numFmtId="0" fontId="9" fillId="0" borderId="0"/>
    <xf numFmtId="0" fontId="24" fillId="0" borderId="0"/>
    <xf numFmtId="0" fontId="9" fillId="0" borderId="0"/>
    <xf numFmtId="43" fontId="116" fillId="0" borderId="0" applyFont="0" applyFill="0" applyBorder="0" applyAlignment="0" applyProtection="0"/>
    <xf numFmtId="0" fontId="8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164" fontId="23" fillId="0" borderId="0"/>
    <xf numFmtId="0" fontId="4" fillId="0" borderId="0"/>
    <xf numFmtId="0" fontId="219" fillId="0" borderId="0"/>
    <xf numFmtId="44" fontId="219" fillId="0" borderId="0" applyFont="0" applyFill="0" applyBorder="0" applyAlignment="0" applyProtection="0"/>
    <xf numFmtId="9" fontId="219" fillId="0" borderId="0" applyFont="0" applyFill="0" applyBorder="0" applyAlignment="0" applyProtection="0"/>
  </cellStyleXfs>
  <cellXfs count="831">
    <xf numFmtId="37" fontId="0" fillId="0" borderId="0" xfId="0"/>
    <xf numFmtId="164" fontId="21" fillId="0" borderId="0" xfId="0" applyNumberFormat="1" applyFont="1" applyFill="1" applyProtection="1">
      <protection locked="0"/>
    </xf>
    <xf numFmtId="164" fontId="23" fillId="0" borderId="0" xfId="0" applyNumberFormat="1" applyFont="1"/>
    <xf numFmtId="165" fontId="23" fillId="0" borderId="0" xfId="0" applyNumberFormat="1" applyFont="1" applyAlignment="1">
      <alignment horizontal="center"/>
    </xf>
    <xf numFmtId="49" fontId="25" fillId="0" borderId="0" xfId="1" applyNumberFormat="1" applyFont="1" applyAlignment="1">
      <alignment horizontal="center" wrapText="1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2" applyNumberFormat="1" applyFont="1" applyFill="1"/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0" fontId="23" fillId="0" borderId="0" xfId="0" quotePrefix="1" applyNumberFormat="1" applyFont="1" applyFill="1" applyAlignment="1">
      <alignment horizontal="left"/>
    </xf>
    <xf numFmtId="43" fontId="23" fillId="0" borderId="0" xfId="2" applyFont="1" applyFill="1" applyBorder="1"/>
    <xf numFmtId="39" fontId="23" fillId="0" borderId="0" xfId="3" applyNumberFormat="1" applyFont="1" applyFill="1" applyBorder="1"/>
    <xf numFmtId="39" fontId="23" fillId="0" borderId="0" xfId="3" applyNumberFormat="1" applyFont="1" applyFill="1"/>
    <xf numFmtId="43" fontId="23" fillId="0" borderId="5" xfId="2" applyFont="1" applyFill="1" applyBorder="1"/>
    <xf numFmtId="43" fontId="23" fillId="0" borderId="5" xfId="0" applyNumberFormat="1" applyFont="1" applyFill="1" applyBorder="1"/>
    <xf numFmtId="43" fontId="23" fillId="0" borderId="7" xfId="2" applyFont="1" applyFill="1" applyBorder="1"/>
    <xf numFmtId="164" fontId="22" fillId="0" borderId="0" xfId="0" applyNumberFormat="1" applyFont="1"/>
    <xf numFmtId="43" fontId="23" fillId="0" borderId="0" xfId="2" applyFont="1" applyBorder="1"/>
    <xf numFmtId="39" fontId="23" fillId="0" borderId="0" xfId="3" applyNumberFormat="1" applyFont="1" applyBorder="1"/>
    <xf numFmtId="43" fontId="23" fillId="0" borderId="0" xfId="2" applyFont="1"/>
    <xf numFmtId="39" fontId="23" fillId="0" borderId="0" xfId="3" applyNumberFormat="1" applyFont="1"/>
    <xf numFmtId="164" fontId="22" fillId="0" borderId="0" xfId="0" applyNumberFormat="1" applyFont="1" applyBorder="1"/>
    <xf numFmtId="164" fontId="23" fillId="0" borderId="0" xfId="0" applyNumberFormat="1" applyFont="1" applyBorder="1"/>
    <xf numFmtId="43" fontId="23" fillId="0" borderId="0" xfId="0" applyNumberFormat="1" applyFont="1" applyBorder="1"/>
    <xf numFmtId="0" fontId="23" fillId="0" borderId="0" xfId="0" applyNumberFormat="1" applyFont="1"/>
    <xf numFmtId="165" fontId="22" fillId="0" borderId="0" xfId="0" applyNumberFormat="1" applyFont="1" applyAlignment="1">
      <alignment horizontal="center"/>
    </xf>
    <xf numFmtId="43" fontId="22" fillId="0" borderId="0" xfId="2" applyFont="1" applyAlignment="1">
      <alignment horizontal="center"/>
    </xf>
    <xf numFmtId="0" fontId="22" fillId="0" borderId="0" xfId="0" applyNumberFormat="1" applyFont="1"/>
    <xf numFmtId="43" fontId="22" fillId="0" borderId="5" xfId="2" applyFont="1" applyBorder="1" applyAlignment="1">
      <alignment horizontal="center"/>
    </xf>
    <xf numFmtId="43" fontId="22" fillId="0" borderId="0" xfId="2" applyFont="1" applyBorder="1" applyAlignment="1">
      <alignment horizontal="center"/>
    </xf>
    <xf numFmtId="44" fontId="23" fillId="0" borderId="0" xfId="3" applyFont="1"/>
    <xf numFmtId="43" fontId="23" fillId="0" borderId="0" xfId="0" applyNumberFormat="1" applyFont="1"/>
    <xf numFmtId="44" fontId="23" fillId="0" borderId="0" xfId="3" applyFont="1" applyFill="1"/>
    <xf numFmtId="44" fontId="23" fillId="0" borderId="0" xfId="3" applyFont="1" applyBorder="1"/>
    <xf numFmtId="43" fontId="23" fillId="0" borderId="5" xfId="2" applyFont="1" applyBorder="1"/>
    <xf numFmtId="43" fontId="23" fillId="0" borderId="5" xfId="0" applyNumberFormat="1" applyFont="1" applyBorder="1"/>
    <xf numFmtId="44" fontId="23" fillId="0" borderId="0" xfId="3" applyFont="1" applyFill="1" applyBorder="1"/>
    <xf numFmtId="43" fontId="23" fillId="0" borderId="7" xfId="2" applyFont="1" applyBorder="1"/>
    <xf numFmtId="43" fontId="23" fillId="0" borderId="0" xfId="2" applyFont="1" applyAlignment="1">
      <alignment horizontal="center"/>
    </xf>
    <xf numFmtId="0" fontId="23" fillId="0" borderId="0" xfId="0" applyNumberFormat="1" applyFont="1" applyBorder="1"/>
    <xf numFmtId="164" fontId="22" fillId="0" borderId="0" xfId="0" applyNumberFormat="1" applyFont="1" applyFill="1"/>
    <xf numFmtId="0" fontId="21" fillId="0" borderId="0" xfId="4" applyFont="1" applyFill="1" applyProtection="1">
      <protection locked="0"/>
    </xf>
    <xf numFmtId="0" fontId="23" fillId="0" borderId="0" xfId="4" applyFont="1"/>
    <xf numFmtId="165" fontId="22" fillId="0" borderId="0" xfId="4" applyNumberFormat="1" applyFont="1" applyAlignment="1">
      <alignment horizontal="center"/>
    </xf>
    <xf numFmtId="43" fontId="22" fillId="0" borderId="0" xfId="5" applyFont="1" applyAlignment="1">
      <alignment horizontal="center"/>
    </xf>
    <xf numFmtId="43" fontId="23" fillId="0" borderId="0" xfId="5" applyFont="1"/>
    <xf numFmtId="0" fontId="23" fillId="0" borderId="0" xfId="4" applyFont="1" applyFill="1"/>
    <xf numFmtId="43" fontId="22" fillId="0" borderId="5" xfId="5" applyFont="1" applyBorder="1" applyAlignment="1">
      <alignment horizontal="center"/>
    </xf>
    <xf numFmtId="43" fontId="22" fillId="0" borderId="0" xfId="5" applyFont="1" applyBorder="1" applyAlignment="1">
      <alignment horizontal="center"/>
    </xf>
    <xf numFmtId="0" fontId="22" fillId="0" borderId="0" xfId="4" applyFont="1" applyFill="1"/>
    <xf numFmtId="0" fontId="22" fillId="0" borderId="0" xfId="4" applyFont="1"/>
    <xf numFmtId="43" fontId="23" fillId="0" borderId="0" xfId="5" applyFont="1" applyBorder="1"/>
    <xf numFmtId="0" fontId="23" fillId="0" borderId="0" xfId="4" applyFont="1" applyBorder="1"/>
    <xf numFmtId="43" fontId="23" fillId="0" borderId="5" xfId="5" applyFont="1" applyBorder="1"/>
    <xf numFmtId="43" fontId="23" fillId="0" borderId="7" xfId="5" applyFont="1" applyBorder="1"/>
    <xf numFmtId="43" fontId="22" fillId="0" borderId="0" xfId="3236" applyFont="1" applyAlignment="1">
      <alignment horizontal="center"/>
    </xf>
    <xf numFmtId="43" fontId="22" fillId="0" borderId="5" xfId="3236" applyFont="1" applyBorder="1" applyAlignment="1">
      <alignment horizontal="center"/>
    </xf>
    <xf numFmtId="43" fontId="22" fillId="0" borderId="0" xfId="3236" applyFont="1" applyBorder="1" applyAlignment="1">
      <alignment horizontal="center"/>
    </xf>
    <xf numFmtId="0" fontId="23" fillId="0" borderId="0" xfId="8207" applyFont="1"/>
    <xf numFmtId="43" fontId="23" fillId="0" borderId="0" xfId="3236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center" wrapText="1"/>
    </xf>
    <xf numFmtId="0" fontId="21" fillId="53" borderId="0" xfId="8670" applyNumberFormat="1" applyFont="1" applyFill="1" applyProtection="1">
      <protection locked="0"/>
    </xf>
    <xf numFmtId="175" fontId="21" fillId="0" borderId="0" xfId="8670" applyNumberFormat="1" applyFont="1" applyProtection="1">
      <protection locked="0"/>
    </xf>
    <xf numFmtId="173" fontId="21" fillId="0" borderId="0" xfId="3236" applyNumberFormat="1" applyFont="1" applyProtection="1"/>
    <xf numFmtId="164" fontId="21" fillId="0" borderId="0" xfId="8670" applyFont="1" applyProtection="1"/>
    <xf numFmtId="164" fontId="23" fillId="0" borderId="0" xfId="8670" applyFont="1"/>
    <xf numFmtId="0" fontId="21" fillId="0" borderId="0" xfId="8670" applyNumberFormat="1" applyFont="1"/>
    <xf numFmtId="176" fontId="21" fillId="0" borderId="0" xfId="8670" applyNumberFormat="1" applyFont="1" applyAlignment="1" applyProtection="1">
      <alignment horizontal="left"/>
    </xf>
    <xf numFmtId="164" fontId="21" fillId="0" borderId="0" xfId="8670" applyFont="1"/>
    <xf numFmtId="164" fontId="21" fillId="0" borderId="0" xfId="8670" applyFont="1" applyAlignment="1" applyProtection="1">
      <alignment horizontal="left"/>
      <protection locked="0"/>
    </xf>
    <xf numFmtId="177" fontId="21" fillId="0" borderId="0" xfId="8670" applyNumberFormat="1" applyFont="1" applyAlignment="1" applyProtection="1">
      <alignment horizontal="left"/>
    </xf>
    <xf numFmtId="164" fontId="21" fillId="0" borderId="0" xfId="8670" applyFont="1" applyAlignment="1" applyProtection="1">
      <alignment horizontal="center"/>
      <protection locked="0"/>
    </xf>
    <xf numFmtId="164" fontId="21" fillId="0" borderId="0" xfId="8670" applyFont="1" applyAlignment="1" applyProtection="1">
      <alignment horizontal="center"/>
    </xf>
    <xf numFmtId="164" fontId="21" fillId="0" borderId="0" xfId="8670" quotePrefix="1" applyFont="1" applyAlignment="1" applyProtection="1">
      <alignment horizontal="center"/>
      <protection locked="0"/>
    </xf>
    <xf numFmtId="37" fontId="21" fillId="0" borderId="0" xfId="8670" applyNumberFormat="1" applyFont="1"/>
    <xf numFmtId="37" fontId="21" fillId="0" borderId="0" xfId="8670" applyNumberFormat="1" applyFont="1" applyAlignment="1" applyProtection="1">
      <alignment horizontal="left"/>
      <protection locked="0"/>
    </xf>
    <xf numFmtId="164" fontId="21" fillId="0" borderId="0" xfId="8670" applyFont="1" applyAlignment="1">
      <alignment horizontal="center"/>
    </xf>
    <xf numFmtId="164" fontId="21" fillId="0" borderId="0" xfId="8670" applyFont="1" applyAlignment="1" applyProtection="1">
      <alignment horizontal="left"/>
    </xf>
    <xf numFmtId="164" fontId="21" fillId="0" borderId="0" xfId="8670" quotePrefix="1" applyFont="1" applyAlignment="1" applyProtection="1">
      <alignment horizontal="center"/>
    </xf>
    <xf numFmtId="37" fontId="21" fillId="0" borderId="0" xfId="8671" applyFont="1" applyAlignment="1" applyProtection="1">
      <alignment horizontal="center"/>
    </xf>
    <xf numFmtId="164" fontId="21" fillId="0" borderId="0" xfId="8670" applyFont="1" applyProtection="1">
      <protection locked="0"/>
    </xf>
    <xf numFmtId="173" fontId="21" fillId="0" borderId="0" xfId="3236" applyNumberFormat="1" applyFont="1"/>
    <xf numFmtId="173" fontId="23" fillId="0" borderId="0" xfId="3236" applyNumberFormat="1" applyFont="1"/>
    <xf numFmtId="10" fontId="21" fillId="0" borderId="0" xfId="6291" applyNumberFormat="1" applyFont="1"/>
    <xf numFmtId="178" fontId="21" fillId="0" borderId="0" xfId="6291" applyNumberFormat="1" applyFont="1"/>
    <xf numFmtId="179" fontId="21" fillId="0" borderId="0" xfId="3236" applyNumberFormat="1" applyFont="1"/>
    <xf numFmtId="0" fontId="21" fillId="0" borderId="0" xfId="8670" applyNumberFormat="1" applyFont="1" applyProtection="1"/>
    <xf numFmtId="180" fontId="21" fillId="0" borderId="0" xfId="8672" applyNumberFormat="1" applyFont="1"/>
    <xf numFmtId="0" fontId="23" fillId="0" borderId="0" xfId="8670" applyNumberFormat="1" applyFont="1"/>
    <xf numFmtId="180" fontId="23" fillId="0" borderId="0" xfId="8672" applyNumberFormat="1" applyFont="1"/>
    <xf numFmtId="0" fontId="21" fillId="0" borderId="0" xfId="8670" applyNumberFormat="1" applyFont="1" applyAlignment="1">
      <alignment horizontal="center"/>
    </xf>
    <xf numFmtId="181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81" fontId="89" fillId="0" borderId="0" xfId="8669" applyNumberFormat="1" applyFont="1" applyFill="1" applyBorder="1" applyAlignment="1">
      <alignment horizontal="right" vertical="top" wrapText="1"/>
    </xf>
    <xf numFmtId="181" fontId="23" fillId="0" borderId="0" xfId="8669" applyNumberFormat="1" applyFont="1" applyFill="1" applyBorder="1" applyAlignment="1">
      <alignment horizontal="right" wrapText="1"/>
    </xf>
    <xf numFmtId="181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81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82" fontId="89" fillId="0" borderId="0" xfId="8668" quotePrefix="1" applyNumberFormat="1" applyFont="1" applyFill="1" applyBorder="1" applyAlignment="1">
      <alignment horizontal="center" wrapText="1"/>
    </xf>
    <xf numFmtId="182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185" fontId="25" fillId="0" borderId="0" xfId="1" applyNumberFormat="1" applyFont="1" applyAlignment="1">
      <alignment horizontal="left"/>
    </xf>
    <xf numFmtId="185" fontId="24" fillId="0" borderId="0" xfId="1" applyNumberFormat="1" applyFont="1" applyAlignment="1">
      <alignment horizontal="right"/>
    </xf>
    <xf numFmtId="185" fontId="24" fillId="0" borderId="0" xfId="1" applyNumberFormat="1" applyFont="1" applyAlignment="1">
      <alignment horizontal="left"/>
    </xf>
    <xf numFmtId="37" fontId="23" fillId="0" borderId="0" xfId="8674" applyNumberFormat="1" applyFont="1" applyFill="1" applyAlignment="1">
      <alignment horizontal="centerContinuous"/>
    </xf>
    <xf numFmtId="37" fontId="23" fillId="0" borderId="0" xfId="8674" applyNumberFormat="1" applyFont="1" applyFill="1"/>
    <xf numFmtId="37" fontId="23" fillId="0" borderId="0" xfId="8674" applyNumberFormat="1" applyFont="1" applyFill="1" applyAlignment="1"/>
    <xf numFmtId="37" fontId="23" fillId="0" borderId="0" xfId="8674" applyNumberFormat="1" applyFont="1" applyFill="1" applyAlignment="1" applyProtection="1">
      <alignment horizontal="centerContinuous"/>
      <protection locked="0"/>
    </xf>
    <xf numFmtId="37" fontId="23" fillId="0" borderId="0" xfId="8674" applyNumberFormat="1" applyFont="1" applyFill="1" applyAlignment="1">
      <alignment horizontal="right"/>
    </xf>
    <xf numFmtId="0" fontId="23" fillId="0" borderId="0" xfId="8674" applyFont="1" applyFill="1"/>
    <xf numFmtId="0" fontId="23" fillId="0" borderId="0" xfId="8674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4" applyNumberFormat="1" applyFont="1" applyFill="1" applyBorder="1" applyAlignment="1"/>
    <xf numFmtId="37" fontId="23" fillId="0" borderId="0" xfId="8674" applyNumberFormat="1" applyFont="1" applyFill="1" applyAlignment="1">
      <alignment horizontal="center"/>
    </xf>
    <xf numFmtId="183" fontId="23" fillId="0" borderId="0" xfId="8674" applyNumberFormat="1" applyFont="1" applyFill="1" applyAlignment="1">
      <alignment horizontal="center"/>
    </xf>
    <xf numFmtId="37" fontId="23" fillId="0" borderId="29" xfId="8674" applyNumberFormat="1" applyFont="1" applyFill="1" applyBorder="1" applyAlignment="1">
      <alignment horizontal="center"/>
    </xf>
    <xf numFmtId="37" fontId="23" fillId="0" borderId="29" xfId="8674" applyNumberFormat="1" applyFont="1" applyFill="1" applyBorder="1"/>
    <xf numFmtId="37" fontId="79" fillId="0" borderId="0" xfId="8674" applyNumberFormat="1" applyFont="1" applyFill="1" applyAlignment="1"/>
    <xf numFmtId="10" fontId="23" fillId="0" borderId="0" xfId="8674" applyNumberFormat="1" applyFont="1" applyFill="1"/>
    <xf numFmtId="37" fontId="23" fillId="0" borderId="0" xfId="8674" applyNumberFormat="1" applyFont="1" applyFill="1" applyAlignment="1" applyProtection="1">
      <protection locked="0"/>
    </xf>
    <xf numFmtId="37" fontId="23" fillId="0" borderId="0" xfId="8674" applyNumberFormat="1" applyFont="1" applyFill="1" applyProtection="1">
      <protection locked="0"/>
    </xf>
    <xf numFmtId="10" fontId="23" fillId="0" borderId="0" xfId="8674" applyNumberFormat="1" applyFont="1" applyFill="1" applyAlignment="1"/>
    <xf numFmtId="186" fontId="23" fillId="0" borderId="0" xfId="8674" applyNumberFormat="1" applyFont="1" applyFill="1" applyAlignment="1"/>
    <xf numFmtId="37" fontId="23" fillId="0" borderId="0" xfId="8674" applyNumberFormat="1" applyFont="1" applyFill="1" applyAlignment="1">
      <alignment horizontal="left"/>
    </xf>
    <xf numFmtId="37" fontId="23" fillId="0" borderId="0" xfId="8674" applyNumberFormat="1" applyFont="1" applyFill="1" applyBorder="1"/>
    <xf numFmtId="37" fontId="92" fillId="0" borderId="0" xfId="8674" applyNumberFormat="1" applyFont="1" applyFill="1" applyAlignment="1"/>
    <xf numFmtId="37" fontId="23" fillId="0" borderId="0" xfId="8674" applyNumberFormat="1" applyFont="1" applyFill="1" applyAlignment="1">
      <alignment horizontal="center"/>
    </xf>
    <xf numFmtId="0" fontId="23" fillId="0" borderId="0" xfId="8667" quotePrefix="1" applyFont="1" applyFill="1" applyBorder="1" applyAlignment="1">
      <alignment horizontal="left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5" fontId="23" fillId="0" borderId="0" xfId="8674" applyNumberFormat="1" applyFont="1" applyFill="1" applyBorder="1" applyAlignment="1"/>
    <xf numFmtId="10" fontId="23" fillId="0" borderId="0" xfId="8674" applyNumberFormat="1" applyFont="1" applyFill="1" applyBorder="1"/>
    <xf numFmtId="37" fontId="23" fillId="0" borderId="0" xfId="8674" applyNumberFormat="1" applyFont="1" applyFill="1" applyBorder="1" applyAlignment="1"/>
    <xf numFmtId="10" fontId="23" fillId="0" borderId="0" xfId="8674" applyNumberFormat="1" applyFont="1" applyFill="1" applyBorder="1" applyAlignment="1"/>
    <xf numFmtId="37" fontId="23" fillId="0" borderId="0" xfId="8674" applyNumberFormat="1" applyFont="1" applyFill="1" applyBorder="1" applyProtection="1">
      <protection locked="0"/>
    </xf>
    <xf numFmtId="187" fontId="23" fillId="0" borderId="0" xfId="3834" applyNumberFormat="1" applyFont="1" applyFill="1"/>
    <xf numFmtId="187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7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7" fontId="23" fillId="0" borderId="0" xfId="0" applyNumberFormat="1" applyFont="1" applyFill="1"/>
    <xf numFmtId="187" fontId="23" fillId="0" borderId="27" xfId="3834" applyNumberFormat="1" applyFont="1" applyFill="1" applyBorder="1"/>
    <xf numFmtId="187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4" applyNumberFormat="1" applyFont="1" applyFill="1" applyBorder="1" applyProtection="1">
      <protection locked="0"/>
    </xf>
    <xf numFmtId="49" fontId="23" fillId="0" borderId="0" xfId="8667" applyNumberFormat="1" applyFont="1" applyFill="1" applyBorder="1" applyAlignment="1">
      <alignment horizontal="center"/>
    </xf>
    <xf numFmtId="184" fontId="23" fillId="0" borderId="0" xfId="8668" applyNumberFormat="1" applyFont="1" applyFill="1" applyBorder="1" applyAlignment="1">
      <alignment horizontal="right" wrapText="1"/>
    </xf>
    <xf numFmtId="184" fontId="23" fillId="0" borderId="0" xfId="8668" quotePrefix="1" applyNumberFormat="1" applyFont="1" applyFill="1" applyBorder="1" applyAlignment="1">
      <alignment horizontal="right" wrapText="1"/>
    </xf>
    <xf numFmtId="0" fontId="89" fillId="0" borderId="0" xfId="8667" quotePrefix="1" applyFont="1" applyFill="1" applyBorder="1" applyAlignment="1">
      <alignment horizontal="center"/>
    </xf>
    <xf numFmtId="175" fontId="23" fillId="0" borderId="0" xfId="8677" applyNumberFormat="1" applyFont="1" applyAlignment="1" applyProtection="1">
      <alignment horizontal="left"/>
    </xf>
    <xf numFmtId="0" fontId="23" fillId="0" borderId="0" xfId="8677" applyFont="1"/>
    <xf numFmtId="0" fontId="23" fillId="0" borderId="0" xfId="8677" applyFont="1" applyAlignment="1" applyProtection="1">
      <alignment horizontal="left"/>
    </xf>
    <xf numFmtId="0" fontId="92" fillId="0" borderId="0" xfId="8677" applyFont="1" applyBorder="1" applyAlignment="1" applyProtection="1">
      <alignment horizontal="left"/>
    </xf>
    <xf numFmtId="0" fontId="92" fillId="0" borderId="0" xfId="8677" applyFont="1" applyBorder="1"/>
    <xf numFmtId="0" fontId="23" fillId="0" borderId="0" xfId="8677" applyFont="1" applyBorder="1"/>
    <xf numFmtId="0" fontId="23" fillId="0" borderId="0" xfId="8677" applyFont="1" applyFill="1" applyAlignment="1" applyProtection="1">
      <alignment horizontal="left"/>
    </xf>
    <xf numFmtId="0" fontId="23" fillId="0" borderId="0" xfId="8677" applyFont="1" applyFill="1"/>
    <xf numFmtId="49" fontId="23" fillId="0" borderId="0" xfId="8671" applyNumberFormat="1" applyFont="1"/>
    <xf numFmtId="0" fontId="89" fillId="0" borderId="0" xfId="8667" applyFont="1" applyFill="1" applyBorder="1" applyAlignment="1">
      <alignment horizontal="center"/>
    </xf>
    <xf numFmtId="180" fontId="23" fillId="0" borderId="0" xfId="8674" applyNumberFormat="1" applyFont="1" applyFill="1" applyAlignment="1"/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9" fontId="23" fillId="0" borderId="0" xfId="8766" applyNumberFormat="1" applyFont="1" applyFill="1" applyBorder="1" applyAlignment="1" applyProtection="1"/>
    <xf numFmtId="0" fontId="89" fillId="0" borderId="5" xfId="8667" applyFont="1" applyFill="1" applyBorder="1" applyAlignment="1">
      <alignment horizontal="left" vertical="top"/>
    </xf>
    <xf numFmtId="181" fontId="23" fillId="0" borderId="0" xfId="8779" applyNumberFormat="1" applyFont="1" applyFill="1" applyBorder="1" applyAlignment="1">
      <alignment horizontal="right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>
      <alignment horizontal="center"/>
    </xf>
    <xf numFmtId="43" fontId="23" fillId="0" borderId="0" xfId="3236" applyFont="1" applyBorder="1"/>
    <xf numFmtId="43" fontId="23" fillId="0" borderId="5" xfId="3236" applyFont="1" applyBorder="1"/>
    <xf numFmtId="43" fontId="23" fillId="0" borderId="7" xfId="3236" applyFont="1" applyBorder="1"/>
    <xf numFmtId="185" fontId="24" fillId="0" borderId="0" xfId="1" applyNumberFormat="1" applyFont="1" applyFill="1" applyAlignment="1">
      <alignment horizontal="right"/>
    </xf>
    <xf numFmtId="185" fontId="24" fillId="0" borderId="0" xfId="1" applyNumberFormat="1" applyFont="1" applyFill="1" applyAlignment="1">
      <alignment horizontal="left"/>
    </xf>
    <xf numFmtId="0" fontId="116" fillId="0" borderId="0" xfId="8767" applyFill="1"/>
    <xf numFmtId="0" fontId="94" fillId="0" borderId="0" xfId="9370" applyFont="1" applyFill="1" applyAlignment="1">
      <alignment horizontal="centerContinuous"/>
    </xf>
    <xf numFmtId="0" fontId="41" fillId="0" borderId="0" xfId="9370" applyFont="1" applyFill="1"/>
    <xf numFmtId="0" fontId="137" fillId="0" borderId="0" xfId="9370" applyFill="1" applyAlignment="1"/>
    <xf numFmtId="0" fontId="94" fillId="0" borderId="0" xfId="9370" applyNumberFormat="1" applyFont="1" applyFill="1" applyAlignment="1">
      <alignment horizontal="centerContinuous"/>
    </xf>
    <xf numFmtId="0" fontId="41" fillId="0" borderId="0" xfId="9370" applyNumberFormat="1" applyFont="1" applyFill="1" applyAlignment="1">
      <alignment horizontal="centerContinuous"/>
    </xf>
    <xf numFmtId="0" fontId="94" fillId="0" borderId="0" xfId="9370" applyFont="1" applyFill="1" applyAlignment="1"/>
    <xf numFmtId="0" fontId="94" fillId="0" borderId="0" xfId="9370" applyNumberFormat="1" applyFont="1" applyFill="1" applyAlignment="1">
      <alignment horizontal="center"/>
    </xf>
    <xf numFmtId="0" fontId="94" fillId="0" borderId="5" xfId="9370" applyNumberFormat="1" applyFont="1" applyFill="1" applyBorder="1" applyAlignment="1">
      <alignment horizontal="center"/>
    </xf>
    <xf numFmtId="3" fontId="94" fillId="0" borderId="0" xfId="9370" applyNumberFormat="1" applyFont="1" applyFill="1" applyAlignment="1">
      <alignment horizontal="center"/>
    </xf>
    <xf numFmtId="0" fontId="94" fillId="0" borderId="0" xfId="9370" applyNumberFormat="1" applyFont="1" applyFill="1" applyAlignment="1">
      <alignment horizontal="left"/>
    </xf>
    <xf numFmtId="2" fontId="41" fillId="0" borderId="0" xfId="9370" applyNumberFormat="1" applyFont="1" applyFill="1"/>
    <xf numFmtId="0" fontId="41" fillId="0" borderId="0" xfId="9370" applyFont="1" applyFill="1" applyAlignment="1"/>
    <xf numFmtId="0" fontId="41" fillId="0" borderId="0" xfId="9370" applyNumberFormat="1" applyFont="1" applyFill="1" applyAlignment="1">
      <alignment horizontal="center"/>
    </xf>
    <xf numFmtId="2" fontId="41" fillId="0" borderId="0" xfId="9370" applyNumberFormat="1" applyFont="1" applyFill="1" applyAlignment="1">
      <alignment horizontal="center"/>
    </xf>
    <xf numFmtId="0" fontId="94" fillId="0" borderId="25" xfId="9370" applyNumberFormat="1" applyFont="1" applyFill="1" applyBorder="1" applyAlignment="1">
      <alignment horizontal="center"/>
    </xf>
    <xf numFmtId="0" fontId="41" fillId="0" borderId="0" xfId="9370" applyNumberFormat="1" applyFont="1" applyFill="1" applyAlignment="1"/>
    <xf numFmtId="0" fontId="95" fillId="0" borderId="0" xfId="9370" applyNumberFormat="1" applyFont="1" applyFill="1" applyAlignment="1"/>
    <xf numFmtId="2" fontId="41" fillId="0" borderId="0" xfId="9370" applyNumberFormat="1" applyFont="1" applyFill="1" applyAlignment="1">
      <alignment horizontal="right"/>
    </xf>
    <xf numFmtId="0" fontId="41" fillId="0" borderId="0" xfId="9370" applyNumberFormat="1" applyFont="1" applyFill="1"/>
    <xf numFmtId="0" fontId="41" fillId="0" borderId="0" xfId="9370" applyNumberFormat="1" applyFont="1" applyFill="1" applyAlignment="1">
      <alignment horizontal="left"/>
    </xf>
    <xf numFmtId="183" fontId="41" fillId="0" borderId="0" xfId="9370" applyNumberFormat="1" applyFont="1" applyFill="1" applyAlignment="1"/>
    <xf numFmtId="0" fontId="95" fillId="0" borderId="0" xfId="9370" applyNumberFormat="1" applyFont="1" applyFill="1" applyAlignment="1">
      <alignment horizontal="left"/>
    </xf>
    <xf numFmtId="2" fontId="94" fillId="0" borderId="0" xfId="9370" applyNumberFormat="1" applyFont="1" applyFill="1"/>
    <xf numFmtId="183" fontId="94" fillId="0" borderId="0" xfId="9370" applyNumberFormat="1" applyFont="1" applyFill="1" applyAlignment="1"/>
    <xf numFmtId="0" fontId="41" fillId="0" borderId="0" xfId="9370" applyFont="1" applyFill="1" applyAlignment="1">
      <alignment horizontal="left"/>
    </xf>
    <xf numFmtId="0" fontId="41" fillId="0" borderId="25" xfId="9370" applyFont="1" applyFill="1" applyBorder="1"/>
    <xf numFmtId="2" fontId="41" fillId="0" borderId="0" xfId="9370" applyNumberFormat="1" applyFont="1" applyFill="1" applyBorder="1"/>
    <xf numFmtId="0" fontId="41" fillId="0" borderId="0" xfId="9370" applyFont="1" applyFill="1" applyBorder="1" applyAlignment="1"/>
    <xf numFmtId="0" fontId="41" fillId="0" borderId="0" xfId="9370" applyFont="1" applyFill="1" applyBorder="1" applyAlignment="1">
      <alignment horizontal="left"/>
    </xf>
    <xf numFmtId="183" fontId="41" fillId="0" borderId="0" xfId="9370" applyNumberFormat="1" applyFont="1" applyFill="1" applyBorder="1" applyAlignment="1"/>
    <xf numFmtId="0" fontId="95" fillId="0" borderId="0" xfId="9370" applyFont="1" applyFill="1" applyBorder="1" applyAlignment="1">
      <alignment horizontal="left"/>
    </xf>
    <xf numFmtId="0" fontId="41" fillId="0" borderId="0" xfId="9370" applyNumberFormat="1" applyFont="1" applyFill="1" applyBorder="1" applyAlignment="1">
      <alignment horizontal="left"/>
    </xf>
    <xf numFmtId="0" fontId="94" fillId="0" borderId="0" xfId="9370" applyNumberFormat="1" applyFont="1" applyFill="1" applyAlignment="1"/>
    <xf numFmtId="1" fontId="23" fillId="0" borderId="0" xfId="8667" applyNumberFormat="1" applyFont="1" applyFill="1" applyBorder="1" applyAlignment="1">
      <alignment horizontal="center" wrapText="1"/>
    </xf>
    <xf numFmtId="1" fontId="41" fillId="0" borderId="0" xfId="9370" applyNumberFormat="1" applyFont="1" applyFill="1"/>
    <xf numFmtId="1" fontId="94" fillId="0" borderId="0" xfId="9370" applyNumberFormat="1" applyFont="1" applyFill="1" applyAlignment="1">
      <alignment horizontal="centerContinuous"/>
    </xf>
    <xf numFmtId="1" fontId="41" fillId="0" borderId="0" xfId="9370" applyNumberFormat="1" applyFont="1" applyFill="1" applyAlignment="1">
      <alignment horizontal="right"/>
    </xf>
    <xf numFmtId="1" fontId="94" fillId="0" borderId="0" xfId="9370" applyNumberFormat="1" applyFont="1" applyFill="1"/>
    <xf numFmtId="1" fontId="41" fillId="0" borderId="0" xfId="9370" applyNumberFormat="1" applyFont="1" applyFill="1" applyBorder="1"/>
    <xf numFmtId="0" fontId="41" fillId="0" borderId="0" xfId="9370" quotePrefix="1" applyNumberFormat="1" applyFont="1" applyFill="1" applyAlignment="1">
      <alignment horizontal="center"/>
    </xf>
    <xf numFmtId="184" fontId="89" fillId="0" borderId="0" xfId="8782" applyNumberFormat="1" applyFont="1" applyFill="1" applyBorder="1" applyAlignment="1">
      <alignment horizontal="right" wrapText="1"/>
    </xf>
    <xf numFmtId="184" fontId="89" fillId="0" borderId="0" xfId="8782" applyNumberFormat="1" applyFont="1" applyFill="1" applyBorder="1" applyAlignment="1">
      <alignment horizontal="center" wrapText="1"/>
    </xf>
    <xf numFmtId="9" fontId="23" fillId="0" borderId="0" xfId="8669" applyFont="1" applyFill="1" applyBorder="1" applyAlignment="1">
      <alignment horizontal="right" wrapText="1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4" fillId="0" borderId="0" xfId="9285" applyNumberFormat="1" applyFont="1" applyAlignment="1">
      <alignment horizontal="left" wrapText="1"/>
    </xf>
    <xf numFmtId="49" fontId="24" fillId="0" borderId="0" xfId="9285" applyNumberFormat="1" applyFont="1" applyAlignment="1">
      <alignment horizontal="right" wrapText="1"/>
    </xf>
    <xf numFmtId="49" fontId="25" fillId="0" borderId="0" xfId="9285" applyNumberFormat="1" applyFont="1" applyAlignment="1">
      <alignment horizontal="left" wrapText="1"/>
    </xf>
    <xf numFmtId="185" fontId="25" fillId="0" borderId="0" xfId="9285" applyNumberFormat="1" applyFont="1" applyAlignment="1">
      <alignment horizontal="left"/>
    </xf>
    <xf numFmtId="185" fontId="24" fillId="0" borderId="0" xfId="9285" applyNumberFormat="1" applyFont="1" applyAlignment="1">
      <alignment horizontal="right"/>
    </xf>
    <xf numFmtId="185" fontId="24" fillId="0" borderId="0" xfId="9285" applyNumberFormat="1" applyFont="1" applyAlignment="1">
      <alignment horizontal="left"/>
    </xf>
    <xf numFmtId="185" fontId="24" fillId="0" borderId="28" xfId="9285" applyNumberFormat="1" applyFont="1" applyBorder="1" applyAlignment="1">
      <alignment horizontal="right"/>
    </xf>
    <xf numFmtId="0" fontId="89" fillId="0" borderId="0" xfId="8667" applyFont="1" applyFill="1" applyBorder="1" applyAlignment="1">
      <alignment horizontal="center"/>
    </xf>
    <xf numFmtId="44" fontId="117" fillId="0" borderId="0" xfId="9374" applyFont="1" applyFill="1" applyBorder="1"/>
    <xf numFmtId="37" fontId="0" fillId="0" borderId="0" xfId="0" applyFill="1"/>
    <xf numFmtId="0" fontId="41" fillId="0" borderId="0" xfId="4475" applyFont="1" applyFill="1" applyAlignment="1"/>
    <xf numFmtId="2" fontId="41" fillId="0" borderId="0" xfId="4475" applyNumberFormat="1" applyFont="1" applyFill="1"/>
    <xf numFmtId="0" fontId="41" fillId="0" borderId="0" xfId="4475" applyNumberFormat="1" applyFont="1" applyFill="1" applyAlignment="1">
      <alignment horizontal="center"/>
    </xf>
    <xf numFmtId="183" fontId="41" fillId="0" borderId="0" xfId="4475" applyNumberFormat="1" applyFont="1" applyFill="1" applyAlignment="1"/>
    <xf numFmtId="0" fontId="94" fillId="0" borderId="0" xfId="4475" applyNumberFormat="1" applyFont="1" applyFill="1" applyAlignment="1">
      <alignment horizontal="left"/>
    </xf>
    <xf numFmtId="0" fontId="94" fillId="0" borderId="0" xfId="4475" applyFont="1" applyFill="1" applyAlignment="1"/>
    <xf numFmtId="0" fontId="89" fillId="0" borderId="0" xfId="8667" applyFont="1" applyFill="1" applyBorder="1" applyAlignment="1">
      <alignment horizontal="center"/>
    </xf>
    <xf numFmtId="192" fontId="94" fillId="0" borderId="0" xfId="9375" applyNumberFormat="1" applyFont="1" applyAlignment="1">
      <alignment horizontal="right"/>
    </xf>
    <xf numFmtId="0" fontId="41" fillId="0" borderId="0" xfId="9375" applyFont="1"/>
    <xf numFmtId="0" fontId="41" fillId="0" borderId="0" xfId="9375" applyFont="1" applyBorder="1"/>
    <xf numFmtId="37" fontId="94" fillId="0" borderId="0" xfId="9290" applyFont="1" applyAlignment="1">
      <alignment horizontal="right"/>
    </xf>
    <xf numFmtId="179" fontId="41" fillId="0" borderId="0" xfId="3236" applyNumberFormat="1" applyFont="1"/>
    <xf numFmtId="192" fontId="41" fillId="0" borderId="0" xfId="9290" applyNumberFormat="1" applyFont="1" applyAlignment="1">
      <alignment horizontal="right"/>
    </xf>
    <xf numFmtId="37" fontId="41" fillId="0" borderId="0" xfId="9290" applyFont="1" applyAlignment="1">
      <alignment horizontal="centerContinuous"/>
    </xf>
    <xf numFmtId="37" fontId="41" fillId="0" borderId="0" xfId="9290" applyFont="1" applyBorder="1" applyAlignment="1">
      <alignment horizontal="centerContinuous"/>
    </xf>
    <xf numFmtId="0" fontId="142" fillId="0" borderId="0" xfId="9375" applyFont="1" applyAlignment="1">
      <alignment horizontal="center"/>
    </xf>
    <xf numFmtId="165" fontId="94" fillId="0" borderId="0" xfId="9375" quotePrefix="1" applyNumberFormat="1" applyFont="1" applyAlignment="1">
      <alignment horizontal="right"/>
    </xf>
    <xf numFmtId="37" fontId="41" fillId="0" borderId="0" xfId="9290" applyFont="1" applyAlignment="1">
      <alignment horizontal="center"/>
    </xf>
    <xf numFmtId="37" fontId="41" fillId="0" borderId="0" xfId="9290" applyFont="1" applyFill="1" applyAlignment="1">
      <alignment horizontal="center"/>
    </xf>
    <xf numFmtId="37" fontId="41" fillId="0" borderId="0" xfId="9290" quotePrefix="1" applyFont="1" applyAlignment="1">
      <alignment horizontal="center"/>
    </xf>
    <xf numFmtId="37" fontId="41" fillId="0" borderId="5" xfId="9290" applyFont="1" applyBorder="1" applyAlignment="1">
      <alignment horizontal="centerContinuous"/>
    </xf>
    <xf numFmtId="37" fontId="41" fillId="0" borderId="5" xfId="9290" applyFont="1" applyBorder="1" applyAlignment="1">
      <alignment horizontal="center"/>
    </xf>
    <xf numFmtId="165" fontId="41" fillId="0" borderId="0" xfId="9375" applyNumberFormat="1" applyFont="1" applyBorder="1"/>
    <xf numFmtId="192" fontId="41" fillId="0" borderId="0" xfId="9290" applyNumberFormat="1" applyFont="1" applyBorder="1" applyAlignment="1">
      <alignment horizontal="right"/>
    </xf>
    <xf numFmtId="37" fontId="41" fillId="0" borderId="0" xfId="9290" applyFont="1" applyAlignment="1">
      <alignment horizontal="left"/>
    </xf>
    <xf numFmtId="37" fontId="41" fillId="0" borderId="0" xfId="9290" applyFont="1" applyBorder="1" applyAlignment="1">
      <alignment horizontal="left"/>
    </xf>
    <xf numFmtId="173" fontId="41" fillId="0" borderId="0" xfId="3236" applyNumberFormat="1" applyFont="1" applyBorder="1" applyAlignment="1">
      <alignment horizontal="right"/>
    </xf>
    <xf numFmtId="187" fontId="41" fillId="0" borderId="0" xfId="3834" applyNumberFormat="1" applyFont="1" applyAlignment="1">
      <alignment horizontal="right"/>
    </xf>
    <xf numFmtId="187" fontId="41" fillId="0" borderId="0" xfId="9375" applyNumberFormat="1" applyFont="1" applyBorder="1"/>
    <xf numFmtId="173" fontId="41" fillId="0" borderId="0" xfId="3236" applyNumberFormat="1" applyFont="1" applyAlignment="1">
      <alignment horizontal="right"/>
    </xf>
    <xf numFmtId="173" fontId="41" fillId="0" borderId="6" xfId="3236" applyNumberFormat="1" applyFont="1" applyBorder="1" applyAlignment="1">
      <alignment horizontal="right"/>
    </xf>
    <xf numFmtId="179" fontId="144" fillId="0" borderId="0" xfId="3236" applyNumberFormat="1" applyFont="1"/>
    <xf numFmtId="178" fontId="41" fillId="0" borderId="0" xfId="6291" applyNumberFormat="1" applyFont="1" applyBorder="1" applyAlignment="1">
      <alignment horizontal="right"/>
    </xf>
    <xf numFmtId="173" fontId="41" fillId="0" borderId="0" xfId="3236" applyNumberFormat="1" applyFont="1" applyFill="1" applyBorder="1" applyAlignment="1">
      <alignment horizontal="right"/>
    </xf>
    <xf numFmtId="173" fontId="41" fillId="0" borderId="0" xfId="3236" applyNumberFormat="1" applyFont="1" applyFill="1" applyAlignment="1">
      <alignment horizontal="right"/>
    </xf>
    <xf numFmtId="37" fontId="41" fillId="0" borderId="0" xfId="9290" quotePrefix="1" applyFont="1"/>
    <xf numFmtId="179" fontId="143" fillId="0" borderId="0" xfId="3236" applyNumberFormat="1" applyFont="1"/>
    <xf numFmtId="37" fontId="41" fillId="0" borderId="0" xfId="9290" quotePrefix="1" applyFont="1" applyAlignment="1">
      <alignment horizontal="left"/>
    </xf>
    <xf numFmtId="37" fontId="41" fillId="0" borderId="0" xfId="9290" quotePrefix="1" applyFont="1" applyFill="1" applyAlignment="1">
      <alignment horizontal="left"/>
    </xf>
    <xf numFmtId="187" fontId="41" fillId="0" borderId="7" xfId="3834" applyNumberFormat="1" applyFont="1" applyBorder="1" applyAlignment="1">
      <alignment horizontal="right"/>
    </xf>
    <xf numFmtId="187" fontId="41" fillId="0" borderId="0" xfId="3834" applyNumberFormat="1" applyFont="1" applyBorder="1" applyAlignment="1">
      <alignment horizontal="right"/>
    </xf>
    <xf numFmtId="192" fontId="41" fillId="0" borderId="0" xfId="9375" applyNumberFormat="1" applyFont="1"/>
    <xf numFmtId="10" fontId="41" fillId="0" borderId="27" xfId="6291" applyNumberFormat="1" applyFont="1" applyBorder="1" applyAlignment="1">
      <alignment horizontal="right"/>
    </xf>
    <xf numFmtId="44" fontId="91" fillId="0" borderId="0" xfId="3834" applyFont="1" applyFill="1" applyBorder="1"/>
    <xf numFmtId="10" fontId="41" fillId="0" borderId="0" xfId="6291" applyNumberFormat="1" applyFont="1" applyBorder="1" applyAlignment="1">
      <alignment horizontal="right"/>
    </xf>
    <xf numFmtId="0" fontId="41" fillId="0" borderId="0" xfId="9375" applyFont="1" applyAlignment="1">
      <alignment horizontal="center"/>
    </xf>
    <xf numFmtId="0" fontId="41" fillId="0" borderId="0" xfId="9375" quotePrefix="1" applyFont="1" applyAlignment="1">
      <alignment horizontal="center"/>
    </xf>
    <xf numFmtId="37" fontId="41" fillId="0" borderId="0" xfId="9290" applyFont="1"/>
    <xf numFmtId="44" fontId="145" fillId="0" borderId="0" xfId="3834" applyFont="1" applyFill="1" applyBorder="1"/>
    <xf numFmtId="2" fontId="41" fillId="0" borderId="0" xfId="9375" applyNumberFormat="1" applyFont="1"/>
    <xf numFmtId="173" fontId="41" fillId="0" borderId="0" xfId="8782" applyNumberFormat="1" applyFont="1"/>
    <xf numFmtId="37" fontId="41" fillId="0" borderId="0" xfId="9290" applyFont="1" applyFill="1"/>
    <xf numFmtId="0" fontId="24" fillId="0" borderId="0" xfId="10006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201" fontId="89" fillId="0" borderId="6" xfId="8668" applyNumberFormat="1" applyFont="1" applyFill="1" applyBorder="1" applyAlignment="1">
      <alignment horizontal="center" vertical="center" wrapText="1"/>
    </xf>
    <xf numFmtId="0" fontId="24" fillId="0" borderId="0" xfId="10006" applyFont="1" applyFill="1" applyAlignment="1">
      <alignment horizontal="center"/>
    </xf>
    <xf numFmtId="0" fontId="25" fillId="0" borderId="0" xfId="10006" applyFont="1" applyFill="1" applyAlignment="1">
      <alignment horizontal="center"/>
    </xf>
    <xf numFmtId="9" fontId="89" fillId="0" borderId="0" xfId="8779" applyNumberFormat="1" applyFont="1" applyFill="1" applyBorder="1" applyAlignment="1">
      <alignment horizontal="center"/>
    </xf>
    <xf numFmtId="9" fontId="89" fillId="0" borderId="0" xfId="8779" applyFont="1" applyFill="1" applyBorder="1" applyAlignment="1">
      <alignment horizontal="right"/>
    </xf>
    <xf numFmtId="43" fontId="89" fillId="0" borderId="0" xfId="57815" applyFont="1" applyFill="1" applyBorder="1" applyAlignment="1">
      <alignment horizontal="lef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118" fillId="0" borderId="0" xfId="57816" applyNumberFormat="1" applyFont="1" applyFill="1" applyAlignment="1"/>
    <xf numFmtId="43" fontId="89" fillId="0" borderId="0" xfId="8667" applyNumberFormat="1" applyFont="1" applyFill="1" applyBorder="1" applyAlignment="1">
      <alignment horizontal="left"/>
    </xf>
    <xf numFmtId="0" fontId="195" fillId="0" borderId="0" xfId="8667" applyFont="1" applyFill="1" applyBorder="1" applyAlignment="1">
      <alignment horizontal="left"/>
    </xf>
    <xf numFmtId="0" fontId="195" fillId="0" borderId="5" xfId="8667" applyFont="1" applyFill="1" applyBorder="1" applyAlignment="1">
      <alignment horizontal="center" wrapText="1"/>
    </xf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2" fillId="0" borderId="0" xfId="9290" applyFont="1" applyAlignment="1">
      <alignment horizontal="right"/>
    </xf>
    <xf numFmtId="37" fontId="22" fillId="0" borderId="0" xfId="9290" quotePrefix="1" applyFont="1" applyAlignment="1">
      <alignment horizontal="right"/>
    </xf>
    <xf numFmtId="37" fontId="22" fillId="0" borderId="0" xfId="9290" quotePrefix="1" applyFont="1" applyFill="1" applyAlignment="1">
      <alignment horizontal="right"/>
    </xf>
    <xf numFmtId="0" fontId="22" fillId="0" borderId="0" xfId="8667" applyFont="1" applyFill="1" applyBorder="1" applyAlignment="1">
      <alignment horizontal="left"/>
    </xf>
    <xf numFmtId="0" fontId="196" fillId="0" borderId="0" xfId="8667" applyFont="1" applyFill="1" applyBorder="1" applyAlignment="1">
      <alignment horizontal="left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89" fillId="0" borderId="0" xfId="8668" applyNumberFormat="1" applyFont="1" applyFill="1" applyBorder="1" applyAlignment="1">
      <alignment horizontal="left" wrapText="1"/>
    </xf>
    <xf numFmtId="181" fontId="89" fillId="0" borderId="0" xfId="8669" applyNumberFormat="1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top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0" fontId="79" fillId="0" borderId="0" xfId="8207" applyFont="1" applyAlignment="1"/>
    <xf numFmtId="0" fontId="92" fillId="0" borderId="0" xfId="8207" applyFont="1" applyAlignment="1"/>
    <xf numFmtId="0" fontId="23" fillId="0" borderId="0" xfId="8667" quotePrefix="1" applyFont="1" applyFill="1" applyBorder="1" applyAlignment="1">
      <alignment horizontal="center" wrapText="1"/>
    </xf>
    <xf numFmtId="0" fontId="23" fillId="0" borderId="0" xfId="8207" applyFont="1" applyAlignment="1"/>
    <xf numFmtId="0" fontId="79" fillId="0" borderId="0" xfId="8207" applyFont="1" applyFill="1" applyAlignment="1"/>
    <xf numFmtId="0" fontId="92" fillId="0" borderId="0" xfId="8207" applyFont="1" applyFill="1" applyAlignment="1"/>
    <xf numFmtId="0" fontId="23" fillId="0" borderId="0" xfId="8207" applyFont="1" applyFill="1" applyAlignment="1"/>
    <xf numFmtId="0" fontId="23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173" fontId="89" fillId="0" borderId="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/>
    </xf>
    <xf numFmtId="173" fontId="23" fillId="0" borderId="0" xfId="8668" applyNumberFormat="1" applyFont="1" applyFill="1" applyBorder="1" applyAlignment="1">
      <alignment horizontal="right"/>
    </xf>
    <xf numFmtId="181" fontId="23" fillId="0" borderId="0" xfId="8669" applyNumberFormat="1" applyFont="1" applyFill="1" applyBorder="1" applyAlignment="1">
      <alignment horizontal="right"/>
    </xf>
    <xf numFmtId="181" fontId="23" fillId="0" borderId="0" xfId="8779" applyNumberFormat="1" applyFont="1" applyFill="1" applyBorder="1" applyAlignment="1">
      <alignment horizontal="right"/>
    </xf>
    <xf numFmtId="0" fontId="89" fillId="0" borderId="28" xfId="8667" applyFont="1" applyFill="1" applyBorder="1" applyAlignment="1">
      <alignment horizontal="left"/>
    </xf>
    <xf numFmtId="49" fontId="24" fillId="0" borderId="0" xfId="1" applyNumberFormat="1" applyFont="1" applyFill="1" applyAlignment="1">
      <alignment horizontal="right" wrapText="1"/>
    </xf>
    <xf numFmtId="49" fontId="24" fillId="0" borderId="0" xfId="1" applyNumberFormat="1" applyFont="1" applyFill="1" applyAlignment="1">
      <alignment horizontal="left" wrapText="1"/>
    </xf>
    <xf numFmtId="191" fontId="24" fillId="0" borderId="0" xfId="1" applyNumberFormat="1" applyFont="1" applyFill="1" applyAlignment="1">
      <alignment horizontal="right"/>
    </xf>
    <xf numFmtId="43" fontId="24" fillId="0" borderId="0" xfId="10006" applyNumberFormat="1" applyFont="1" applyFill="1"/>
    <xf numFmtId="43" fontId="138" fillId="0" borderId="0" xfId="29405" applyFont="1" applyFill="1"/>
    <xf numFmtId="0" fontId="24" fillId="0" borderId="0" xfId="10006" applyFont="1" applyFill="1"/>
    <xf numFmtId="43" fontId="24" fillId="0" borderId="28" xfId="10006" applyNumberFormat="1" applyFont="1" applyFill="1" applyBorder="1"/>
    <xf numFmtId="43" fontId="25" fillId="0" borderId="28" xfId="10006" applyNumberFormat="1" applyFont="1" applyFill="1" applyBorder="1"/>
    <xf numFmtId="43" fontId="194" fillId="0" borderId="0" xfId="29405" applyFont="1" applyFill="1"/>
    <xf numFmtId="43" fontId="138" fillId="0" borderId="28" xfId="29405" applyFont="1" applyFill="1" applyBorder="1"/>
    <xf numFmtId="43" fontId="0" fillId="0" borderId="0" xfId="29405" applyFont="1" applyFill="1"/>
    <xf numFmtId="0" fontId="24" fillId="0" borderId="0" xfId="10006" applyFill="1" applyAlignment="1">
      <alignment horizontal="right"/>
    </xf>
    <xf numFmtId="0" fontId="24" fillId="0" borderId="0" xfId="1" applyFill="1"/>
    <xf numFmtId="49" fontId="25" fillId="0" borderId="0" xfId="1" applyNumberFormat="1" applyFont="1" applyFill="1" applyAlignment="1">
      <alignment horizontal="left" wrapText="1"/>
    </xf>
    <xf numFmtId="0" fontId="25" fillId="0" borderId="0" xfId="1" applyFont="1" applyFill="1"/>
    <xf numFmtId="0" fontId="15" fillId="0" borderId="0" xfId="9372" applyFill="1"/>
    <xf numFmtId="49" fontId="15" fillId="0" borderId="0" xfId="9372" applyNumberFormat="1" applyFont="1" applyFill="1" applyAlignment="1">
      <alignment horizontal="right" wrapText="1"/>
    </xf>
    <xf numFmtId="0" fontId="23" fillId="0" borderId="0" xfId="4397"/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right"/>
    </xf>
    <xf numFmtId="185" fontId="24" fillId="0" borderId="0" xfId="9290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right" wrapText="1"/>
    </xf>
    <xf numFmtId="49" fontId="135" fillId="0" borderId="0" xfId="9290" applyNumberFormat="1" applyFont="1" applyFill="1" applyAlignment="1">
      <alignment horizontal="left"/>
    </xf>
    <xf numFmtId="49" fontId="24" fillId="0" borderId="0" xfId="9290" applyNumberFormat="1" applyFont="1" applyFill="1" applyAlignment="1">
      <alignment horizontal="right" wrapText="1"/>
    </xf>
    <xf numFmtId="49" fontId="25" fillId="0" borderId="0" xfId="9290" applyNumberFormat="1" applyFont="1" applyAlignment="1">
      <alignment horizontal="center" wrapText="1"/>
    </xf>
    <xf numFmtId="43" fontId="23" fillId="0" borderId="6" xfId="2" applyFont="1" applyFill="1" applyBorder="1"/>
    <xf numFmtId="0" fontId="23" fillId="0" borderId="0" xfId="2" applyNumberFormat="1" applyFont="1" applyFill="1" applyBorder="1"/>
    <xf numFmtId="165" fontId="23" fillId="0" borderId="0" xfId="0" applyNumberFormat="1" applyFont="1" applyBorder="1" applyAlignment="1">
      <alignment horizontal="center"/>
    </xf>
    <xf numFmtId="37" fontId="22" fillId="0" borderId="0" xfId="0" applyFont="1" applyFill="1"/>
    <xf numFmtId="37" fontId="0" fillId="0" borderId="0" xfId="0" applyBorder="1"/>
    <xf numFmtId="0" fontId="21" fillId="0" borderId="0" xfId="4" applyFont="1" applyFill="1" applyBorder="1" applyProtection="1">
      <protection locked="0"/>
    </xf>
    <xf numFmtId="165" fontId="22" fillId="0" borderId="0" xfId="4" applyNumberFormat="1" applyFont="1" applyBorder="1" applyAlignment="1">
      <alignment horizontal="center"/>
    </xf>
    <xf numFmtId="49" fontId="10" fillId="0" borderId="0" xfId="8667" applyNumberFormat="1" applyFont="1" applyAlignment="1">
      <alignment horizontal="right" wrapText="1"/>
    </xf>
    <xf numFmtId="200" fontId="20" fillId="0" borderId="6" xfId="8667" applyNumberFormat="1" applyFont="1" applyBorder="1" applyAlignment="1">
      <alignment horizontal="right"/>
    </xf>
    <xf numFmtId="200" fontId="20" fillId="0" borderId="0" xfId="8667" applyNumberFormat="1" applyFont="1" applyBorder="1" applyAlignment="1">
      <alignment horizontal="right"/>
    </xf>
    <xf numFmtId="200" fontId="10" fillId="0" borderId="0" xfId="8667" applyNumberFormat="1" applyFont="1" applyBorder="1" applyAlignment="1">
      <alignment horizontal="right"/>
    </xf>
    <xf numFmtId="185" fontId="10" fillId="0" borderId="0" xfId="8667" applyNumberFormat="1" applyFont="1" applyBorder="1" applyAlignment="1">
      <alignment horizontal="right"/>
    </xf>
    <xf numFmtId="49" fontId="10" fillId="0" borderId="0" xfId="8667" applyNumberFormat="1" applyFont="1" applyFill="1" applyAlignment="1">
      <alignment horizontal="right" wrapText="1"/>
    </xf>
    <xf numFmtId="49" fontId="135" fillId="0" borderId="0" xfId="9290" applyNumberFormat="1" applyFont="1" applyFill="1" applyAlignment="1">
      <alignment horizontal="center"/>
    </xf>
    <xf numFmtId="49" fontId="24" fillId="0" borderId="0" xfId="1" applyNumberFormat="1" applyFont="1" applyFill="1" applyAlignment="1">
      <alignment horizontal="center" wrapText="1"/>
    </xf>
    <xf numFmtId="49" fontId="10" fillId="0" borderId="0" xfId="8667" applyNumberFormat="1" applyFont="1" applyAlignment="1">
      <alignment horizontal="center" wrapText="1"/>
    </xf>
    <xf numFmtId="200" fontId="10" fillId="0" borderId="0" xfId="8667" applyNumberFormat="1" applyFont="1" applyAlignment="1">
      <alignment horizontal="center"/>
    </xf>
    <xf numFmtId="200" fontId="213" fillId="0" borderId="0" xfId="8667" applyNumberFormat="1" applyFont="1" applyAlignment="1">
      <alignment horizontal="center"/>
    </xf>
    <xf numFmtId="185" fontId="10" fillId="0" borderId="0" xfId="8667" applyNumberFormat="1" applyFont="1" applyAlignment="1">
      <alignment horizontal="center"/>
    </xf>
    <xf numFmtId="185" fontId="24" fillId="0" borderId="0" xfId="1" applyNumberFormat="1" applyFont="1" applyFill="1" applyAlignment="1">
      <alignment horizontal="center"/>
    </xf>
    <xf numFmtId="200" fontId="10" fillId="0" borderId="0" xfId="8667" applyNumberFormat="1" applyFont="1" applyAlignment="1">
      <alignment horizontal="right"/>
    </xf>
    <xf numFmtId="6" fontId="10" fillId="0" borderId="0" xfId="8667" applyNumberFormat="1" applyFont="1" applyBorder="1" applyAlignment="1">
      <alignment horizontal="right"/>
    </xf>
    <xf numFmtId="0" fontId="23" fillId="0" borderId="0" xfId="56076" applyFont="1"/>
    <xf numFmtId="0" fontId="22" fillId="0" borderId="5" xfId="56076" applyFont="1" applyBorder="1"/>
    <xf numFmtId="49" fontId="23" fillId="0" borderId="0" xfId="56076" applyNumberFormat="1" applyFont="1" applyAlignment="1">
      <alignment horizontal="left"/>
    </xf>
    <xf numFmtId="14" fontId="23" fillId="0" borderId="0" xfId="56076" applyNumberFormat="1" applyFont="1" applyAlignment="1">
      <alignment horizontal="left"/>
    </xf>
    <xf numFmtId="0" fontId="92" fillId="0" borderId="0" xfId="56076" applyFont="1"/>
    <xf numFmtId="37" fontId="23" fillId="0" borderId="0" xfId="8674" quotePrefix="1" applyNumberFormat="1" applyFont="1" applyFill="1" applyAlignment="1"/>
    <xf numFmtId="191" fontId="24" fillId="0" borderId="0" xfId="9285" applyNumberFormat="1" applyFont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 wrapText="1"/>
    </xf>
    <xf numFmtId="37" fontId="41" fillId="0" borderId="0" xfId="9290" quotePrefix="1" applyFont="1" applyFill="1"/>
    <xf numFmtId="0" fontId="117" fillId="0" borderId="0" xfId="8767" applyFont="1" applyFill="1" applyAlignment="1"/>
    <xf numFmtId="0" fontId="117" fillId="0" borderId="0" xfId="8767" applyNumberFormat="1" applyFont="1" applyFill="1" applyAlignment="1">
      <alignment horizontal="center"/>
    </xf>
    <xf numFmtId="0" fontId="117" fillId="0" borderId="0" xfId="8767" applyFont="1" applyFill="1"/>
    <xf numFmtId="37" fontId="117" fillId="0" borderId="0" xfId="8767" applyNumberFormat="1" applyFont="1" applyFill="1" applyAlignment="1"/>
    <xf numFmtId="0" fontId="117" fillId="0" borderId="0" xfId="8767" applyFont="1" applyFill="1" applyAlignment="1">
      <alignment horizontal="right"/>
    </xf>
    <xf numFmtId="0" fontId="117" fillId="0" borderId="0" xfId="8767" applyFont="1" applyFill="1" applyAlignment="1">
      <alignment horizontal="center"/>
    </xf>
    <xf numFmtId="2" fontId="117" fillId="0" borderId="0" xfId="8767" applyNumberFormat="1" applyFont="1" applyFill="1"/>
    <xf numFmtId="0" fontId="41" fillId="0" borderId="0" xfId="8767" applyFont="1" applyFill="1" applyAlignment="1"/>
    <xf numFmtId="0" fontId="41" fillId="0" borderId="0" xfId="8767" applyNumberFormat="1" applyFont="1" applyFill="1" applyAlignment="1">
      <alignment horizontal="center"/>
    </xf>
    <xf numFmtId="0" fontId="41" fillId="0" borderId="0" xfId="8767" applyNumberFormat="1" applyFont="1" applyFill="1" applyAlignment="1"/>
    <xf numFmtId="0" fontId="95" fillId="0" borderId="0" xfId="8767" applyNumberFormat="1" applyFont="1" applyFill="1" applyAlignment="1"/>
    <xf numFmtId="2" fontId="41" fillId="0" borderId="0" xfId="8767" applyNumberFormat="1" applyFont="1" applyFill="1" applyBorder="1" applyAlignment="1">
      <alignment horizontal="right"/>
    </xf>
    <xf numFmtId="0" fontId="117" fillId="0" borderId="0" xfId="8767" applyFont="1" applyFill="1" applyBorder="1" applyAlignment="1">
      <alignment horizontal="right"/>
    </xf>
    <xf numFmtId="0" fontId="41" fillId="0" borderId="0" xfId="8767" applyNumberFormat="1" applyFont="1" applyFill="1" applyBorder="1" applyAlignment="1"/>
    <xf numFmtId="0" fontId="41" fillId="0" borderId="0" xfId="8767" applyNumberFormat="1" applyFont="1" applyFill="1" applyBorder="1" applyAlignment="1">
      <alignment horizontal="center"/>
    </xf>
    <xf numFmtId="0" fontId="117" fillId="0" borderId="0" xfId="8767" applyFont="1" applyFill="1" applyBorder="1" applyAlignment="1"/>
    <xf numFmtId="2" fontId="117" fillId="0" borderId="0" xfId="8767" applyNumberFormat="1" applyFont="1" applyFill="1" applyBorder="1"/>
    <xf numFmtId="0" fontId="94" fillId="0" borderId="0" xfId="8767" applyFont="1" applyFill="1" applyAlignment="1"/>
    <xf numFmtId="0" fontId="41" fillId="0" borderId="0" xfId="8767" quotePrefix="1" applyNumberFormat="1" applyFont="1" applyFill="1" applyAlignment="1">
      <alignment horizontal="center"/>
    </xf>
    <xf numFmtId="204" fontId="24" fillId="0" borderId="0" xfId="1" applyNumberFormat="1" applyFill="1"/>
    <xf numFmtId="205" fontId="24" fillId="0" borderId="0" xfId="1" applyNumberFormat="1" applyFont="1" applyFill="1" applyAlignment="1">
      <alignment horizontal="right"/>
    </xf>
    <xf numFmtId="191" fontId="24" fillId="0" borderId="0" xfId="1" applyNumberFormat="1" applyFont="1" applyFill="1" applyBorder="1" applyAlignment="1">
      <alignment horizontal="right"/>
    </xf>
    <xf numFmtId="191" fontId="24" fillId="0" borderId="28" xfId="1" applyNumberFormat="1" applyFont="1" applyFill="1" applyBorder="1" applyAlignment="1">
      <alignment horizontal="right"/>
    </xf>
    <xf numFmtId="191" fontId="24" fillId="0" borderId="0" xfId="9285" applyNumberFormat="1" applyFont="1" applyAlignment="1">
      <alignment horizontal="right"/>
    </xf>
    <xf numFmtId="173" fontId="89" fillId="0" borderId="0" xfId="8667" applyNumberFormat="1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/>
    </xf>
    <xf numFmtId="15" fontId="23" fillId="0" borderId="0" xfId="56076" quotePrefix="1" applyNumberFormat="1" applyFont="1" applyAlignment="1">
      <alignment horizontal="lef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left"/>
    </xf>
    <xf numFmtId="165" fontId="22" fillId="0" borderId="0" xfId="0" quotePrefix="1" applyNumberFormat="1" applyFont="1" applyFill="1" applyAlignment="1">
      <alignment horizontal="left"/>
    </xf>
    <xf numFmtId="165" fontId="22" fillId="0" borderId="0" xfId="0" applyNumberFormat="1" applyFont="1" applyFill="1" applyAlignment="1">
      <alignment horizontal="left"/>
    </xf>
    <xf numFmtId="39" fontId="23" fillId="0" borderId="0" xfId="3834" applyNumberFormat="1" applyFont="1" applyBorder="1"/>
    <xf numFmtId="39" fontId="23" fillId="0" borderId="0" xfId="3834" applyNumberFormat="1" applyFont="1"/>
    <xf numFmtId="44" fontId="23" fillId="0" borderId="0" xfId="3834" applyFont="1"/>
    <xf numFmtId="44" fontId="23" fillId="0" borderId="0" xfId="3834" applyFont="1" applyBorder="1"/>
    <xf numFmtId="49" fontId="22" fillId="0" borderId="0" xfId="2" applyNumberFormat="1" applyFont="1" applyAlignment="1">
      <alignment horizontal="center"/>
    </xf>
    <xf numFmtId="164" fontId="22" fillId="0" borderId="0" xfId="0" applyNumberFormat="1" applyFont="1" applyFill="1" applyAlignment="1" applyProtection="1">
      <alignment horizontal="left"/>
    </xf>
    <xf numFmtId="165" fontId="2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center"/>
    </xf>
    <xf numFmtId="0" fontId="22" fillId="0" borderId="0" xfId="4" applyFont="1" applyFill="1" applyAlignment="1" applyProtection="1">
      <alignment horizontal="left"/>
    </xf>
    <xf numFmtId="49" fontId="25" fillId="0" borderId="0" xfId="1" quotePrefix="1" applyNumberFormat="1" applyFont="1" applyAlignment="1">
      <alignment horizontal="center" wrapText="1"/>
    </xf>
    <xf numFmtId="0" fontId="23" fillId="0" borderId="0" xfId="0" applyNumberFormat="1" applyFont="1" applyFill="1" applyAlignment="1">
      <alignment horizontal="left"/>
    </xf>
    <xf numFmtId="200" fontId="6" fillId="0" borderId="0" xfId="60086" applyNumberFormat="1" applyFont="1" applyBorder="1" applyAlignment="1">
      <alignment horizontal="right"/>
    </xf>
    <xf numFmtId="200" fontId="6" fillId="0" borderId="0" xfId="60086" applyNumberFormat="1" applyFont="1" applyFill="1" applyAlignment="1">
      <alignment horizontal="left"/>
    </xf>
    <xf numFmtId="200" fontId="6" fillId="0" borderId="0" xfId="60086" applyNumberFormat="1" applyFont="1" applyFill="1" applyBorder="1" applyAlignment="1">
      <alignment horizontal="right"/>
    </xf>
    <xf numFmtId="0" fontId="22" fillId="0" borderId="0" xfId="0" applyNumberFormat="1" applyFont="1" applyAlignment="1">
      <alignment horizontal="center"/>
    </xf>
    <xf numFmtId="176" fontId="44" fillId="0" borderId="0" xfId="0" applyNumberFormat="1" applyFont="1" applyAlignment="1" applyProtection="1">
      <alignment horizontal="left"/>
    </xf>
    <xf numFmtId="176" fontId="44" fillId="0" borderId="0" xfId="0" applyNumberFormat="1" applyFont="1" applyAlignment="1" applyProtection="1">
      <alignment horizontal="right"/>
    </xf>
    <xf numFmtId="177" fontId="44" fillId="0" borderId="0" xfId="0" applyNumberFormat="1" applyFont="1" applyAlignment="1" applyProtection="1">
      <alignment horizontal="left"/>
    </xf>
    <xf numFmtId="177" fontId="44" fillId="0" borderId="0" xfId="0" applyNumberFormat="1" applyFont="1" applyAlignment="1" applyProtection="1">
      <alignment horizontal="right"/>
    </xf>
    <xf numFmtId="37" fontId="21" fillId="0" borderId="0" xfId="0" applyFont="1" applyAlignment="1" applyProtection="1">
      <alignment horizontal="center"/>
    </xf>
    <xf numFmtId="10" fontId="21" fillId="0" borderId="0" xfId="10005" applyNumberFormat="1" applyFont="1"/>
    <xf numFmtId="178" fontId="21" fillId="0" borderId="0" xfId="10005" applyNumberFormat="1" applyFont="1"/>
    <xf numFmtId="0" fontId="24" fillId="0" borderId="0" xfId="9285"/>
    <xf numFmtId="0" fontId="24" fillId="0" borderId="0" xfId="9285" applyFill="1"/>
    <xf numFmtId="0" fontId="25" fillId="0" borderId="0" xfId="9285" applyFont="1"/>
    <xf numFmtId="0" fontId="24" fillId="0" borderId="0" xfId="9285" quotePrefix="1" applyAlignment="1">
      <alignment horizontal="center"/>
    </xf>
    <xf numFmtId="0" fontId="24" fillId="0" borderId="0" xfId="9285" applyFill="1" applyAlignment="1">
      <alignment horizontal="center"/>
    </xf>
    <xf numFmtId="185" fontId="136" fillId="0" borderId="0" xfId="9285" applyNumberFormat="1" applyFont="1" applyAlignment="1">
      <alignment horizontal="left"/>
    </xf>
    <xf numFmtId="43" fontId="24" fillId="0" borderId="0" xfId="9285" applyNumberFormat="1"/>
    <xf numFmtId="14" fontId="24" fillId="0" borderId="0" xfId="9285" applyNumberFormat="1" applyFill="1" applyAlignment="1">
      <alignment horizontal="center"/>
    </xf>
    <xf numFmtId="0" fontId="25" fillId="0" borderId="0" xfId="9285" applyFont="1" applyFill="1" applyAlignment="1">
      <alignment horizontal="center"/>
    </xf>
    <xf numFmtId="41" fontId="24" fillId="0" borderId="0" xfId="9285" applyNumberFormat="1" applyFill="1"/>
    <xf numFmtId="0" fontId="25" fillId="0" borderId="0" xfId="9285" applyFont="1" applyFill="1"/>
    <xf numFmtId="43" fontId="0" fillId="0" borderId="0" xfId="61976" applyFont="1" applyFill="1"/>
    <xf numFmtId="14" fontId="24" fillId="0" borderId="0" xfId="9285" applyNumberFormat="1" applyFill="1"/>
    <xf numFmtId="0" fontId="193" fillId="0" borderId="0" xfId="9285" applyFont="1" applyFill="1"/>
    <xf numFmtId="41" fontId="24" fillId="0" borderId="0" xfId="9285" applyNumberFormat="1"/>
    <xf numFmtId="41" fontId="24" fillId="0" borderId="28" xfId="9285" applyNumberFormat="1" applyBorder="1"/>
    <xf numFmtId="41" fontId="24" fillId="0" borderId="7" xfId="9285" applyNumberFormat="1" applyBorder="1"/>
    <xf numFmtId="0" fontId="25" fillId="0" borderId="0" xfId="9285" applyFont="1" applyFill="1" applyAlignment="1">
      <alignment horizontal="left"/>
    </xf>
    <xf numFmtId="41" fontId="24" fillId="0" borderId="0" xfId="9285" applyNumberFormat="1" applyFont="1" applyFill="1"/>
    <xf numFmtId="0" fontId="24" fillId="0" borderId="0" xfId="9285" applyFont="1" applyFill="1"/>
    <xf numFmtId="10" fontId="24" fillId="0" borderId="0" xfId="10005" applyNumberFormat="1" applyFont="1"/>
    <xf numFmtId="200" fontId="24" fillId="0" borderId="0" xfId="9285" applyNumberFormat="1" applyFont="1" applyAlignment="1">
      <alignment horizontal="left"/>
    </xf>
    <xf numFmtId="0" fontId="24" fillId="0" borderId="0" xfId="9285" applyFill="1" applyBorder="1" applyAlignment="1">
      <alignment horizontal="center"/>
    </xf>
    <xf numFmtId="43" fontId="24" fillId="0" borderId="0" xfId="9285" applyNumberFormat="1" applyFill="1" applyBorder="1"/>
    <xf numFmtId="0" fontId="24" fillId="0" borderId="0" xfId="9285" applyFill="1" applyBorder="1"/>
    <xf numFmtId="181" fontId="24" fillId="0" borderId="0" xfId="10005" applyNumberFormat="1" applyFont="1" applyFill="1" applyBorder="1"/>
    <xf numFmtId="41" fontId="25" fillId="0" borderId="0" xfId="9285" applyNumberFormat="1" applyFont="1" applyFill="1"/>
    <xf numFmtId="41" fontId="25" fillId="0" borderId="7" xfId="9285" applyNumberFormat="1" applyFont="1" applyBorder="1"/>
    <xf numFmtId="14" fontId="25" fillId="0" borderId="0" xfId="9285" applyNumberFormat="1" applyFont="1"/>
    <xf numFmtId="173" fontId="25" fillId="0" borderId="0" xfId="10006" applyNumberFormat="1" applyFont="1" applyFill="1"/>
    <xf numFmtId="0" fontId="25" fillId="0" borderId="0" xfId="10006" applyFont="1" applyFill="1" applyAlignment="1">
      <alignment horizontal="right"/>
    </xf>
    <xf numFmtId="194" fontId="24" fillId="0" borderId="0" xfId="1" applyNumberFormat="1" applyFill="1"/>
    <xf numFmtId="164" fontId="23" fillId="0" borderId="0" xfId="61980" applyFont="1" applyFill="1"/>
    <xf numFmtId="164" fontId="23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left"/>
    </xf>
    <xf numFmtId="164" fontId="23" fillId="0" borderId="0" xfId="61980" applyFont="1" applyFill="1" applyAlignment="1">
      <alignment horizontal="center"/>
    </xf>
    <xf numFmtId="164" fontId="92" fillId="0" borderId="0" xfId="0" applyNumberFormat="1" applyFont="1" applyFill="1" applyAlignment="1">
      <alignment horizontal="center"/>
    </xf>
    <xf numFmtId="0" fontId="92" fillId="0" borderId="0" xfId="0" applyNumberFormat="1" applyFont="1" applyFill="1" applyAlignment="1">
      <alignment horizontal="center"/>
    </xf>
    <xf numFmtId="44" fontId="92" fillId="0" borderId="0" xfId="3" applyFont="1" applyFill="1" applyBorder="1" applyAlignment="1">
      <alignment horizontal="center"/>
    </xf>
    <xf numFmtId="44" fontId="92" fillId="0" borderId="0" xfId="3" applyFont="1" applyFill="1" applyAlignment="1">
      <alignment horizontal="center"/>
    </xf>
    <xf numFmtId="44" fontId="92" fillId="0" borderId="0" xfId="3" quotePrefix="1" applyFont="1" applyFill="1" applyAlignment="1">
      <alignment horizontal="center"/>
    </xf>
    <xf numFmtId="0" fontId="23" fillId="0" borderId="0" xfId="0" applyNumberFormat="1" applyFont="1" applyFill="1" applyAlignment="1">
      <alignment horizontal="center"/>
    </xf>
    <xf numFmtId="44" fontId="22" fillId="0" borderId="0" xfId="3" applyFont="1" applyFill="1" applyBorder="1"/>
    <xf numFmtId="44" fontId="22" fillId="0" borderId="7" xfId="3" applyFont="1" applyFill="1" applyBorder="1"/>
    <xf numFmtId="164" fontId="23" fillId="0" borderId="0" xfId="61980" applyFont="1" applyFill="1" applyAlignment="1">
      <alignment horizontal="right"/>
    </xf>
    <xf numFmtId="164" fontId="22" fillId="0" borderId="0" xfId="0" quotePrefix="1" applyNumberFormat="1" applyFont="1" applyFill="1" applyAlignment="1">
      <alignment horizontal="left"/>
    </xf>
    <xf numFmtId="164" fontId="23" fillId="0" borderId="0" xfId="0" quotePrefix="1" applyNumberFormat="1" applyFont="1" applyFill="1" applyAlignment="1">
      <alignment horizontal="left"/>
    </xf>
    <xf numFmtId="44" fontId="23" fillId="0" borderId="0" xfId="61980" applyNumberFormat="1" applyFont="1" applyFill="1"/>
    <xf numFmtId="44" fontId="0" fillId="0" borderId="0" xfId="3" applyNumberFormat="1" applyFont="1" applyFill="1" applyBorder="1"/>
    <xf numFmtId="164" fontId="92" fillId="0" borderId="0" xfId="0" applyNumberFormat="1" applyFont="1" applyFill="1" applyBorder="1" applyAlignment="1">
      <alignment horizontal="center"/>
    </xf>
    <xf numFmtId="0" fontId="92" fillId="0" borderId="0" xfId="0" applyNumberFormat="1" applyFont="1" applyFill="1" applyBorder="1" applyAlignment="1">
      <alignment horizontal="center"/>
    </xf>
    <xf numFmtId="44" fontId="218" fillId="0" borderId="0" xfId="3" applyFont="1" applyFill="1" applyBorder="1"/>
    <xf numFmtId="164" fontId="22" fillId="0" borderId="0" xfId="0" applyNumberFormat="1" applyFont="1" applyFill="1" applyAlignment="1">
      <alignment horizontal="right"/>
    </xf>
    <xf numFmtId="0" fontId="23" fillId="0" borderId="0" xfId="8667" applyFont="1" applyFill="1" applyBorder="1" applyAlignment="1"/>
    <xf numFmtId="207" fontId="21" fillId="0" borderId="0" xfId="6291" applyNumberFormat="1" applyFont="1"/>
    <xf numFmtId="185" fontId="6" fillId="0" borderId="0" xfId="60088" applyNumberFormat="1" applyFont="1" applyFill="1" applyAlignment="1">
      <alignment horizontal="left"/>
    </xf>
    <xf numFmtId="0" fontId="23" fillId="0" borderId="0" xfId="61981" applyFont="1" applyFill="1" applyAlignment="1" applyProtection="1">
      <alignment horizontal="left"/>
    </xf>
    <xf numFmtId="0" fontId="23" fillId="0" borderId="0" xfId="61982" applyFont="1" applyFill="1"/>
    <xf numFmtId="0" fontId="23" fillId="0" borderId="0" xfId="61982" applyFont="1" applyFill="1" applyAlignment="1">
      <alignment horizontal="center"/>
    </xf>
    <xf numFmtId="0" fontId="23" fillId="0" borderId="0" xfId="61981" quotePrefix="1" applyFont="1" applyFill="1" applyAlignment="1" applyProtection="1">
      <alignment horizontal="left"/>
      <protection locked="0"/>
    </xf>
    <xf numFmtId="41" fontId="23" fillId="0" borderId="0" xfId="61982" applyNumberFormat="1" applyFont="1" applyFill="1"/>
    <xf numFmtId="10" fontId="23" fillId="0" borderId="0" xfId="61982" applyNumberFormat="1" applyFont="1" applyFill="1"/>
    <xf numFmtId="208" fontId="23" fillId="0" borderId="0" xfId="61982" applyNumberFormat="1" applyFont="1" applyFill="1"/>
    <xf numFmtId="0" fontId="23" fillId="0" borderId="0" xfId="61982" applyFont="1" applyFill="1" applyAlignment="1">
      <alignment horizontal="center" wrapText="1"/>
    </xf>
    <xf numFmtId="0" fontId="23" fillId="0" borderId="0" xfId="61982" applyFont="1" applyFill="1" applyAlignment="1">
      <alignment horizontal="left" indent="1"/>
    </xf>
    <xf numFmtId="187" fontId="23" fillId="0" borderId="0" xfId="61983" applyNumberFormat="1" applyFont="1" applyFill="1" applyAlignment="1">
      <alignment horizontal="left"/>
    </xf>
    <xf numFmtId="41" fontId="23" fillId="0" borderId="0" xfId="61982" applyNumberFormat="1" applyFont="1" applyFill="1" applyAlignment="1">
      <alignment horizontal="left" indent="1"/>
    </xf>
    <xf numFmtId="181" fontId="23" fillId="0" borderId="0" xfId="61982" applyNumberFormat="1" applyFont="1" applyFill="1" applyAlignment="1">
      <alignment horizontal="right"/>
    </xf>
    <xf numFmtId="10" fontId="23" fillId="0" borderId="0" xfId="61982" applyNumberFormat="1" applyFont="1" applyFill="1" applyAlignment="1">
      <alignment horizontal="right"/>
    </xf>
    <xf numFmtId="187" fontId="23" fillId="0" borderId="0" xfId="61983" applyNumberFormat="1" applyFont="1" applyFill="1"/>
    <xf numFmtId="187" fontId="23" fillId="0" borderId="0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/>
    <xf numFmtId="187" fontId="23" fillId="0" borderId="0" xfId="61983" applyNumberFormat="1" applyFont="1" applyFill="1" applyBorder="1"/>
    <xf numFmtId="187" fontId="23" fillId="0" borderId="5" xfId="61983" applyNumberFormat="1" applyFont="1" applyFill="1" applyBorder="1"/>
    <xf numFmtId="0" fontId="23" fillId="0" borderId="0" xfId="61982" applyFont="1" applyFill="1" applyAlignment="1">
      <alignment horizontal="left" indent="2"/>
    </xf>
    <xf numFmtId="41" fontId="23" fillId="0" borderId="0" xfId="61982" applyNumberFormat="1" applyFont="1" applyFill="1" applyAlignment="1">
      <alignment horizontal="left" indent="2"/>
    </xf>
    <xf numFmtId="41" fontId="23" fillId="0" borderId="0" xfId="61983" applyNumberFormat="1" applyFont="1" applyFill="1" applyAlignment="1">
      <alignment horizontal="right"/>
    </xf>
    <xf numFmtId="187" fontId="23" fillId="0" borderId="0" xfId="61982" applyNumberFormat="1" applyFont="1" applyFill="1"/>
    <xf numFmtId="187" fontId="23" fillId="0" borderId="0" xfId="61983" applyNumberFormat="1" applyFont="1" applyFill="1" applyAlignment="1">
      <alignment horizontal="left" indent="1"/>
    </xf>
    <xf numFmtId="187" fontId="23" fillId="0" borderId="6" xfId="61983" applyNumberFormat="1" applyFont="1" applyFill="1" applyBorder="1" applyAlignment="1">
      <alignment horizontal="left"/>
    </xf>
    <xf numFmtId="41" fontId="23" fillId="0" borderId="0" xfId="61982" applyNumberFormat="1" applyFont="1" applyFill="1" applyAlignment="1">
      <alignment horizontal="left"/>
    </xf>
    <xf numFmtId="0" fontId="23" fillId="0" borderId="0" xfId="61982" applyFont="1" applyFill="1" applyBorder="1"/>
    <xf numFmtId="187" fontId="23" fillId="0" borderId="5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 applyAlignment="1">
      <alignment horizontal="left" indent="1"/>
    </xf>
    <xf numFmtId="187" fontId="23" fillId="0" borderId="0" xfId="61982" applyNumberFormat="1" applyFont="1" applyFill="1" applyBorder="1"/>
    <xf numFmtId="44" fontId="23" fillId="0" borderId="0" xfId="61983" applyNumberFormat="1" applyFont="1" applyFill="1"/>
    <xf numFmtId="187" fontId="23" fillId="0" borderId="27" xfId="61983" applyNumberFormat="1" applyFont="1" applyFill="1" applyBorder="1"/>
    <xf numFmtId="0" fontId="22" fillId="0" borderId="0" xfId="61981" applyFont="1" applyFill="1" applyAlignment="1" applyProtection="1">
      <alignment horizontal="left"/>
    </xf>
    <xf numFmtId="0" fontId="22" fillId="0" borderId="0" xfId="61981" quotePrefix="1" applyFont="1" applyFill="1" applyAlignment="1" applyProtection="1">
      <alignment horizontal="left"/>
      <protection locked="0"/>
    </xf>
    <xf numFmtId="49" fontId="23" fillId="0" borderId="0" xfId="61982" applyNumberFormat="1" applyFont="1" applyFill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0" fontId="23" fillId="0" borderId="0" xfId="61982" applyFont="1" applyFill="1" applyAlignment="1">
      <alignment horizontal="left"/>
    </xf>
    <xf numFmtId="0" fontId="118" fillId="0" borderId="0" xfId="61982" applyFont="1"/>
    <xf numFmtId="10" fontId="118" fillId="0" borderId="0" xfId="61982" applyNumberFormat="1" applyFont="1"/>
    <xf numFmtId="0" fontId="22" fillId="0" borderId="0" xfId="61982" applyFont="1" applyFill="1" applyAlignment="1">
      <alignment horizontal="left"/>
    </xf>
    <xf numFmtId="182" fontId="23" fillId="0" borderId="5" xfId="61982" applyNumberFormat="1" applyFont="1" applyFill="1" applyBorder="1" applyAlignment="1">
      <alignment horizontal="center"/>
    </xf>
    <xf numFmtId="0" fontId="118" fillId="0" borderId="5" xfId="61982" applyFont="1" applyBorder="1" applyAlignment="1">
      <alignment horizontal="center" wrapText="1"/>
    </xf>
    <xf numFmtId="10" fontId="118" fillId="0" borderId="5" xfId="61982" applyNumberFormat="1" applyFont="1" applyBorder="1" applyAlignment="1">
      <alignment horizontal="center" wrapText="1"/>
    </xf>
    <xf numFmtId="0" fontId="23" fillId="0" borderId="0" xfId="61982" applyFont="1" applyFill="1" applyBorder="1" applyAlignment="1">
      <alignment horizontal="center" wrapText="1"/>
    </xf>
    <xf numFmtId="181" fontId="23" fillId="0" borderId="0" xfId="61984" applyNumberFormat="1" applyFont="1" applyFill="1"/>
    <xf numFmtId="41" fontId="118" fillId="0" borderId="0" xfId="61982" applyNumberFormat="1" applyFont="1"/>
    <xf numFmtId="181" fontId="220" fillId="86" borderId="0" xfId="61984" applyNumberFormat="1" applyFont="1" applyFill="1"/>
    <xf numFmtId="41" fontId="118" fillId="0" borderId="0" xfId="61982" applyNumberFormat="1" applyFont="1" applyBorder="1"/>
    <xf numFmtId="0" fontId="23" fillId="0" borderId="0" xfId="61982" quotePrefix="1" applyFont="1" applyFill="1" applyAlignment="1">
      <alignment horizontal="center"/>
    </xf>
    <xf numFmtId="41" fontId="118" fillId="0" borderId="0" xfId="61982" applyNumberFormat="1" applyFont="1" applyFill="1" applyBorder="1"/>
    <xf numFmtId="181" fontId="220" fillId="0" borderId="0" xfId="61984" applyNumberFormat="1" applyFont="1" applyFill="1"/>
    <xf numFmtId="181" fontId="23" fillId="0" borderId="0" xfId="6291" applyNumberFormat="1" applyFont="1" applyFill="1"/>
    <xf numFmtId="0" fontId="23" fillId="0" borderId="0" xfId="61982" applyNumberFormat="1" applyFont="1" applyFill="1"/>
    <xf numFmtId="41" fontId="118" fillId="0" borderId="0" xfId="61982" applyNumberFormat="1" applyFont="1" applyFill="1"/>
    <xf numFmtId="0" fontId="118" fillId="0" borderId="0" xfId="61982" applyFont="1" applyFill="1"/>
    <xf numFmtId="10" fontId="118" fillId="0" borderId="0" xfId="61982" applyNumberFormat="1" applyFont="1" applyFill="1"/>
    <xf numFmtId="0" fontId="23" fillId="0" borderId="0" xfId="61982" applyFont="1" applyFill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9370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1" fontId="117" fillId="0" borderId="0" xfId="8767" applyNumberFormat="1" applyFont="1" applyFill="1"/>
    <xf numFmtId="2" fontId="94" fillId="0" borderId="0" xfId="9370" applyNumberFormat="1" applyFont="1" applyFill="1" applyAlignment="1">
      <alignment horizontal="center"/>
    </xf>
    <xf numFmtId="2" fontId="94" fillId="0" borderId="0" xfId="9370" applyNumberFormat="1" applyFont="1" applyFill="1" applyBorder="1" applyAlignment="1">
      <alignment horizontal="center"/>
    </xf>
    <xf numFmtId="2" fontId="94" fillId="0" borderId="5" xfId="9370" applyNumberFormat="1" applyFont="1" applyFill="1" applyBorder="1" applyAlignment="1">
      <alignment horizontal="center"/>
    </xf>
    <xf numFmtId="2" fontId="41" fillId="0" borderId="0" xfId="0" applyNumberFormat="1" applyFont="1" applyFill="1" applyAlignment="1">
      <alignment horizontal="center"/>
    </xf>
    <xf numFmtId="2" fontId="117" fillId="0" borderId="0" xfId="0" applyNumberFormat="1" applyFont="1" applyFill="1" applyAlignment="1">
      <alignment horizontal="center"/>
    </xf>
    <xf numFmtId="2" fontId="41" fillId="0" borderId="0" xfId="9370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2" fontId="117" fillId="0" borderId="0" xfId="8767" applyNumberFormat="1" applyFont="1" applyFill="1" applyAlignment="1">
      <alignment horizontal="center"/>
    </xf>
    <xf numFmtId="2" fontId="41" fillId="0" borderId="0" xfId="8767" applyNumberFormat="1" applyFont="1" applyFill="1" applyAlignment="1">
      <alignment horizontal="center"/>
    </xf>
    <xf numFmtId="2" fontId="117" fillId="0" borderId="0" xfId="61974" applyNumberFormat="1" applyFont="1" applyFill="1" applyAlignment="1">
      <alignment horizontal="center"/>
    </xf>
    <xf numFmtId="2" fontId="41" fillId="0" borderId="0" xfId="8767" quotePrefix="1" applyNumberFormat="1" applyFont="1" applyFill="1" applyAlignment="1">
      <alignment horizontal="center"/>
    </xf>
    <xf numFmtId="2" fontId="117" fillId="0" borderId="0" xfId="61974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/>
    <xf numFmtId="2" fontId="117" fillId="0" borderId="0" xfId="0" applyNumberFormat="1" applyFont="1" applyFill="1" applyBorder="1" applyAlignment="1">
      <alignment horizontal="center"/>
    </xf>
    <xf numFmtId="1" fontId="41" fillId="0" borderId="0" xfId="9370" applyNumberFormat="1" applyFont="1" applyFill="1" applyAlignment="1"/>
    <xf numFmtId="37" fontId="41" fillId="0" borderId="0" xfId="0" applyFont="1" applyFill="1" applyBorder="1" applyAlignment="1"/>
    <xf numFmtId="2" fontId="117" fillId="0" borderId="0" xfId="8767" applyNumberFormat="1" applyFont="1" applyFill="1" applyBorder="1" applyAlignment="1">
      <alignment horizontal="center"/>
    </xf>
    <xf numFmtId="2" fontId="41" fillId="0" borderId="0" xfId="8767" applyNumberFormat="1" applyFont="1" applyFill="1" applyBorder="1" applyAlignment="1">
      <alignment horizontal="center"/>
    </xf>
    <xf numFmtId="2" fontId="117" fillId="0" borderId="0" xfId="61974" applyNumberFormat="1" applyFont="1" applyFill="1" applyBorder="1" applyAlignment="1">
      <alignment horizontal="center"/>
    </xf>
    <xf numFmtId="0" fontId="117" fillId="0" borderId="0" xfId="8782" applyNumberFormat="1" applyFont="1" applyFill="1" applyBorder="1" applyAlignment="1">
      <alignment horizontal="center"/>
    </xf>
    <xf numFmtId="209" fontId="117" fillId="0" borderId="0" xfId="8782" applyNumberFormat="1" applyFont="1" applyFill="1" applyBorder="1" applyAlignment="1"/>
    <xf numFmtId="0" fontId="95" fillId="0" borderId="0" xfId="9370" applyFont="1" applyFill="1" applyAlignment="1"/>
    <xf numFmtId="0" fontId="117" fillId="0" borderId="0" xfId="0" applyNumberFormat="1" applyFont="1" applyFill="1" applyBorder="1" applyAlignment="1">
      <alignment horizontal="center"/>
    </xf>
    <xf numFmtId="2" fontId="117" fillId="0" borderId="0" xfId="8782" applyNumberFormat="1" applyFont="1" applyFill="1" applyAlignment="1">
      <alignment horizontal="center"/>
    </xf>
    <xf numFmtId="0" fontId="41" fillId="0" borderId="0" xfId="0" applyNumberFormat="1" applyFont="1" applyFill="1" applyAlignment="1">
      <alignment horizontal="center"/>
    </xf>
    <xf numFmtId="0" fontId="117" fillId="0" borderId="0" xfId="0" applyNumberFormat="1" applyFont="1" applyFill="1" applyAlignment="1">
      <alignment horizontal="center"/>
    </xf>
    <xf numFmtId="2" fontId="41" fillId="0" borderId="0" xfId="9370" applyNumberFormat="1" applyFont="1" applyFill="1" applyBorder="1" applyAlignment="1">
      <alignment horizontal="center"/>
    </xf>
    <xf numFmtId="0" fontId="117" fillId="0" borderId="0" xfId="0" applyNumberFormat="1" applyFont="1" applyFill="1" applyBorder="1" applyAlignment="1">
      <alignment horizontal="left"/>
    </xf>
    <xf numFmtId="0" fontId="117" fillId="0" borderId="0" xfId="0" quotePrefix="1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left"/>
    </xf>
    <xf numFmtId="2" fontId="41" fillId="0" borderId="0" xfId="8782" applyNumberFormat="1" applyFont="1" applyFill="1" applyAlignment="1">
      <alignment horizontal="center"/>
    </xf>
    <xf numFmtId="164" fontId="41" fillId="0" borderId="0" xfId="4495" applyFont="1" applyFill="1"/>
    <xf numFmtId="2" fontId="41" fillId="0" borderId="0" xfId="4475" applyNumberFormat="1" applyFont="1" applyFill="1" applyAlignment="1">
      <alignment horizontal="center"/>
    </xf>
    <xf numFmtId="2" fontId="41" fillId="0" borderId="5" xfId="4475" applyNumberFormat="1" applyFont="1" applyFill="1" applyBorder="1" applyAlignment="1">
      <alignment horizontal="center"/>
    </xf>
    <xf numFmtId="9" fontId="41" fillId="0" borderId="0" xfId="9370" applyNumberFormat="1" applyFont="1" applyFill="1" applyAlignment="1">
      <alignment horizontal="center"/>
    </xf>
    <xf numFmtId="2" fontId="41" fillId="0" borderId="6" xfId="4475" applyNumberFormat="1" applyFont="1" applyFill="1" applyBorder="1" applyAlignment="1">
      <alignment horizontal="center"/>
    </xf>
    <xf numFmtId="2" fontId="41" fillId="0" borderId="6" xfId="4475" quotePrefix="1" applyNumberFormat="1" applyFont="1" applyFill="1" applyBorder="1" applyAlignment="1">
      <alignment horizontal="center"/>
    </xf>
    <xf numFmtId="37" fontId="41" fillId="0" borderId="0" xfId="0" applyFont="1" applyFill="1" applyAlignment="1"/>
    <xf numFmtId="37" fontId="117" fillId="0" borderId="0" xfId="0" applyFont="1" applyFill="1" applyAlignment="1"/>
    <xf numFmtId="0" fontId="41" fillId="0" borderId="0" xfId="0" applyNumberFormat="1" applyFont="1" applyFill="1" applyAlignment="1"/>
    <xf numFmtId="37" fontId="117" fillId="0" borderId="0" xfId="0" quotePrefix="1" applyFont="1" applyFill="1" applyAlignment="1">
      <alignment horizontal="left"/>
    </xf>
    <xf numFmtId="2" fontId="41" fillId="0" borderId="6" xfId="9370" applyNumberFormat="1" applyFont="1" applyFill="1" applyBorder="1" applyAlignment="1">
      <alignment horizontal="center"/>
    </xf>
    <xf numFmtId="2" fontId="117" fillId="0" borderId="6" xfId="0" applyNumberFormat="1" applyFont="1" applyFill="1" applyBorder="1" applyAlignment="1">
      <alignment horizontal="center"/>
    </xf>
    <xf numFmtId="2" fontId="94" fillId="0" borderId="6" xfId="9370" applyNumberFormat="1" applyFont="1" applyFill="1" applyBorder="1" applyAlignment="1">
      <alignment horizontal="center"/>
    </xf>
    <xf numFmtId="2" fontId="41" fillId="0" borderId="6" xfId="9370" quotePrefix="1" applyNumberFormat="1" applyFont="1" applyFill="1" applyBorder="1" applyAlignment="1">
      <alignment horizontal="center"/>
    </xf>
    <xf numFmtId="173" fontId="89" fillId="0" borderId="0" xfId="8668" quotePrefix="1" applyNumberFormat="1" applyFont="1" applyFill="1" applyBorder="1" applyAlignment="1">
      <alignment horizontal="left" wrapText="1"/>
    </xf>
    <xf numFmtId="49" fontId="23" fillId="0" borderId="0" xfId="8667" applyNumberFormat="1" applyFont="1" applyFill="1" applyBorder="1" applyAlignment="1">
      <alignment horizontal="center"/>
    </xf>
    <xf numFmtId="181" fontId="23" fillId="0" borderId="5" xfId="8669" applyNumberFormat="1" applyFont="1" applyFill="1" applyBorder="1" applyAlignment="1">
      <alignment horizontal="right" wrapText="1"/>
    </xf>
    <xf numFmtId="173" fontId="89" fillId="0" borderId="27" xfId="8668" applyNumberFormat="1" applyFont="1" applyFill="1" applyBorder="1" applyAlignment="1">
      <alignment horizontal="right"/>
    </xf>
    <xf numFmtId="181" fontId="23" fillId="0" borderId="27" xfId="8669" applyNumberFormat="1" applyFont="1" applyFill="1" applyBorder="1" applyAlignment="1">
      <alignment horizontal="right" wrapText="1"/>
    </xf>
    <xf numFmtId="49" fontId="10" fillId="0" borderId="0" xfId="61970" applyNumberFormat="1" applyFont="1" applyFill="1" applyAlignment="1">
      <alignment horizontal="left" wrapText="1"/>
    </xf>
    <xf numFmtId="49" fontId="215" fillId="0" borderId="0" xfId="0" applyNumberFormat="1" applyFont="1" applyFill="1" applyAlignment="1">
      <alignment horizontal="right" wrapText="1"/>
    </xf>
    <xf numFmtId="49" fontId="10" fillId="0" borderId="0" xfId="61970" applyNumberFormat="1" applyFont="1" applyFill="1" applyAlignment="1">
      <alignment horizontal="right" wrapText="1"/>
    </xf>
    <xf numFmtId="185" fontId="20" fillId="0" borderId="0" xfId="61970" applyNumberFormat="1" applyFont="1" applyFill="1" applyAlignment="1">
      <alignment horizontal="left"/>
    </xf>
    <xf numFmtId="185" fontId="215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right"/>
    </xf>
    <xf numFmtId="185" fontId="214" fillId="0" borderId="0" xfId="0" applyNumberFormat="1" applyFont="1" applyFill="1" applyAlignment="1">
      <alignment horizontal="right"/>
    </xf>
    <xf numFmtId="185" fontId="139" fillId="0" borderId="0" xfId="1" applyNumberFormat="1" applyFont="1" applyFill="1" applyAlignment="1">
      <alignment horizontal="right"/>
    </xf>
    <xf numFmtId="185" fontId="5" fillId="0" borderId="0" xfId="61970" applyNumberFormat="1" applyFont="1" applyFill="1" applyAlignment="1">
      <alignment horizontal="right"/>
    </xf>
    <xf numFmtId="185" fontId="215" fillId="0" borderId="22" xfId="0" applyNumberFormat="1" applyFont="1" applyFill="1" applyBorder="1" applyAlignment="1">
      <alignment horizontal="right"/>
    </xf>
    <xf numFmtId="185" fontId="20" fillId="0" borderId="0" xfId="60088" applyNumberFormat="1" applyFont="1" applyFill="1" applyAlignment="1">
      <alignment horizontal="left"/>
    </xf>
    <xf numFmtId="185" fontId="20" fillId="0" borderId="22" xfId="0" applyNumberFormat="1" applyFont="1" applyFill="1" applyBorder="1" applyAlignment="1">
      <alignment horizontal="right"/>
    </xf>
    <xf numFmtId="185" fontId="20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left"/>
    </xf>
    <xf numFmtId="191" fontId="24" fillId="0" borderId="0" xfId="9290" applyNumberFormat="1" applyFont="1" applyFill="1" applyAlignment="1">
      <alignment horizontal="right"/>
    </xf>
    <xf numFmtId="185" fontId="25" fillId="0" borderId="0" xfId="9290" applyNumberFormat="1" applyFont="1" applyFill="1" applyAlignment="1">
      <alignment horizontal="left"/>
    </xf>
    <xf numFmtId="44" fontId="23" fillId="0" borderId="7" xfId="3" applyFont="1" applyFill="1" applyBorder="1"/>
    <xf numFmtId="44" fontId="218" fillId="0" borderId="0" xfId="3" applyNumberFormat="1" applyFont="1" applyFill="1"/>
    <xf numFmtId="178" fontId="218" fillId="0" borderId="0" xfId="6291" applyNumberFormat="1" applyFont="1" applyFill="1"/>
    <xf numFmtId="0" fontId="23" fillId="0" borderId="0" xfId="61980" applyNumberFormat="1" applyFont="1" applyFill="1"/>
    <xf numFmtId="164" fontId="23" fillId="0" borderId="0" xfId="61980" applyFont="1" applyFill="1" applyAlignment="1">
      <alignment horizontal="left"/>
    </xf>
    <xf numFmtId="0" fontId="20" fillId="0" borderId="0" xfId="61978" applyFont="1" applyFill="1"/>
    <xf numFmtId="49" fontId="24" fillId="0" borderId="0" xfId="9285" applyNumberFormat="1" applyFont="1" applyFill="1" applyAlignment="1">
      <alignment horizontal="left" wrapText="1"/>
    </xf>
    <xf numFmtId="49" fontId="24" fillId="0" borderId="0" xfId="9285" applyNumberFormat="1" applyFont="1" applyFill="1" applyAlignment="1">
      <alignment horizontal="right" wrapText="1"/>
    </xf>
    <xf numFmtId="185" fontId="25" fillId="0" borderId="0" xfId="9285" applyNumberFormat="1" applyFont="1" applyFill="1" applyAlignment="1">
      <alignment horizontal="left"/>
    </xf>
    <xf numFmtId="49" fontId="25" fillId="0" borderId="0" xfId="9285" applyNumberFormat="1" applyFont="1" applyFill="1" applyAlignment="1">
      <alignment horizontal="left" wrapText="1"/>
    </xf>
    <xf numFmtId="185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Border="1" applyAlignment="1">
      <alignment horizontal="right"/>
    </xf>
    <xf numFmtId="191" fontId="24" fillId="0" borderId="28" xfId="9285" applyNumberFormat="1" applyFont="1" applyFill="1" applyBorder="1" applyAlignment="1">
      <alignment horizontal="right"/>
    </xf>
    <xf numFmtId="185" fontId="25" fillId="0" borderId="0" xfId="1" applyNumberFormat="1" applyFont="1" applyFill="1" applyAlignment="1">
      <alignment horizontal="left"/>
    </xf>
    <xf numFmtId="206" fontId="24" fillId="0" borderId="0" xfId="9285" applyNumberFormat="1" applyFont="1" applyFill="1" applyAlignment="1">
      <alignment horizontal="right"/>
    </xf>
    <xf numFmtId="185" fontId="24" fillId="0" borderId="0" xfId="9285" applyNumberFormat="1" applyFont="1" applyFill="1" applyAlignment="1">
      <alignment horizontal="left"/>
    </xf>
    <xf numFmtId="49" fontId="7" fillId="0" borderId="0" xfId="56126" applyNumberFormat="1" applyFont="1" applyFill="1" applyAlignment="1">
      <alignment horizontal="right" wrapText="1"/>
    </xf>
    <xf numFmtId="185" fontId="20" fillId="0" borderId="0" xfId="9372" applyNumberFormat="1" applyFont="1" applyFill="1" applyAlignment="1">
      <alignment horizontal="left"/>
    </xf>
    <xf numFmtId="43" fontId="13" fillId="0" borderId="0" xfId="56126" applyNumberFormat="1" applyFill="1"/>
    <xf numFmtId="43" fontId="0" fillId="0" borderId="0" xfId="9373" applyNumberFormat="1" applyFont="1" applyFill="1"/>
    <xf numFmtId="43" fontId="15" fillId="0" borderId="0" xfId="9372" applyNumberFormat="1" applyFill="1"/>
    <xf numFmtId="179" fontId="15" fillId="0" borderId="0" xfId="9372" applyNumberFormat="1" applyFill="1"/>
    <xf numFmtId="0" fontId="20" fillId="0" borderId="0" xfId="9372" applyFont="1" applyFill="1"/>
    <xf numFmtId="44" fontId="13" fillId="0" borderId="0" xfId="56124" applyNumberFormat="1" applyFill="1"/>
    <xf numFmtId="49" fontId="3" fillId="0" borderId="0" xfId="60086" applyNumberFormat="1" applyFont="1" applyAlignment="1">
      <alignment horizontal="right" wrapText="1"/>
    </xf>
    <xf numFmtId="200" fontId="3" fillId="0" borderId="0" xfId="60086" applyNumberFormat="1" applyFont="1" applyBorder="1" applyAlignment="1">
      <alignment horizontal="right"/>
    </xf>
    <xf numFmtId="37" fontId="23" fillId="0" borderId="0" xfId="8674" applyNumberFormat="1" applyFont="1" applyFill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173" fontId="215" fillId="0" borderId="0" xfId="3236" applyNumberFormat="1" applyFont="1" applyFill="1" applyAlignment="1">
      <alignment horizontal="left"/>
    </xf>
    <xf numFmtId="1" fontId="221" fillId="87" borderId="0" xfId="9370" applyNumberFormat="1" applyFont="1" applyFill="1"/>
    <xf numFmtId="2" fontId="221" fillId="87" borderId="0" xfId="9370" applyNumberFormat="1" applyFont="1" applyFill="1"/>
    <xf numFmtId="0" fontId="221" fillId="87" borderId="0" xfId="9370" applyFont="1" applyFill="1" applyAlignment="1"/>
    <xf numFmtId="0" fontId="221" fillId="87" borderId="0" xfId="9370" applyNumberFormat="1" applyFont="1" applyFill="1" applyAlignment="1">
      <alignment horizontal="left"/>
    </xf>
    <xf numFmtId="9" fontId="41" fillId="0" borderId="0" xfId="8669" applyFont="1" applyFill="1" applyAlignment="1">
      <alignment horizontal="center"/>
    </xf>
    <xf numFmtId="10" fontId="41" fillId="0" borderId="0" xfId="9370" quotePrefix="1" applyNumberFormat="1" applyFont="1" applyFill="1" applyAlignment="1">
      <alignment horizontal="center"/>
    </xf>
    <xf numFmtId="37" fontId="20" fillId="0" borderId="0" xfId="0" applyFont="1"/>
    <xf numFmtId="0" fontId="1" fillId="0" borderId="0" xfId="61978" applyFont="1" applyFill="1"/>
    <xf numFmtId="49" fontId="20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right" wrapText="1"/>
    </xf>
    <xf numFmtId="49" fontId="1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left" wrapText="1"/>
    </xf>
    <xf numFmtId="185" fontId="1" fillId="0" borderId="0" xfId="10006" applyNumberFormat="1" applyFont="1" applyFill="1" applyAlignment="1">
      <alignment horizontal="right"/>
    </xf>
    <xf numFmtId="185" fontId="1" fillId="0" borderId="0" xfId="10006" applyNumberFormat="1" applyFont="1" applyFill="1" applyAlignment="1">
      <alignment horizontal="left"/>
    </xf>
    <xf numFmtId="37" fontId="215" fillId="0" borderId="0" xfId="0" applyFont="1"/>
    <xf numFmtId="185" fontId="215" fillId="0" borderId="0" xfId="0" applyNumberFormat="1" applyFont="1" applyAlignment="1">
      <alignment horizontal="left" indent="2"/>
    </xf>
    <xf numFmtId="173" fontId="215" fillId="0" borderId="0" xfId="0" applyNumberFormat="1" applyFont="1"/>
    <xf numFmtId="173" fontId="215" fillId="0" borderId="0" xfId="8782" applyNumberFormat="1" applyFont="1"/>
    <xf numFmtId="173" fontId="215" fillId="0" borderId="0" xfId="0" applyNumberFormat="1" applyFont="1" applyFill="1"/>
    <xf numFmtId="37" fontId="215" fillId="0" borderId="0" xfId="0" applyFont="1" applyFill="1"/>
    <xf numFmtId="173" fontId="215" fillId="0" borderId="0" xfId="8782" applyNumberFormat="1" applyFont="1" applyFill="1"/>
    <xf numFmtId="185" fontId="215" fillId="0" borderId="0" xfId="0" applyNumberFormat="1" applyFont="1" applyFill="1" applyBorder="1" applyAlignment="1">
      <alignment horizontal="right"/>
    </xf>
    <xf numFmtId="187" fontId="41" fillId="0" borderId="0" xfId="3834" applyNumberFormat="1" applyFont="1" applyFill="1" applyAlignment="1">
      <alignment horizontal="right"/>
    </xf>
    <xf numFmtId="210" fontId="10" fillId="0" borderId="0" xfId="8667" applyNumberFormat="1" applyFont="1" applyBorder="1" applyAlignment="1">
      <alignment horizontal="right"/>
    </xf>
    <xf numFmtId="37" fontId="23" fillId="0" borderId="0" xfId="8674" applyNumberFormat="1" applyFont="1" applyFill="1" applyAlignment="1">
      <alignment horizontal="center"/>
    </xf>
    <xf numFmtId="187" fontId="41" fillId="0" borderId="0" xfId="9375" applyNumberFormat="1" applyFont="1"/>
    <xf numFmtId="200" fontId="10" fillId="87" borderId="0" xfId="8667" applyNumberFormat="1" applyFont="1" applyFill="1" applyBorder="1" applyAlignment="1">
      <alignment horizontal="right"/>
    </xf>
    <xf numFmtId="200" fontId="10" fillId="87" borderId="0" xfId="8667" applyNumberFormat="1" applyFont="1" applyFill="1" applyAlignment="1">
      <alignment horizontal="center"/>
    </xf>
    <xf numFmtId="1" fontId="222" fillId="0" borderId="0" xfId="8767" applyNumberFormat="1" applyFont="1"/>
    <xf numFmtId="0" fontId="23" fillId="0" borderId="0" xfId="8667" applyFont="1" applyFill="1" applyBorder="1" applyAlignment="1">
      <alignment horizontal="center"/>
    </xf>
    <xf numFmtId="37" fontId="41" fillId="0" borderId="0" xfId="9290" quotePrefix="1" applyFont="1" applyFill="1" applyAlignment="1">
      <alignment horizontal="center"/>
    </xf>
    <xf numFmtId="37" fontId="41" fillId="0" borderId="5" xfId="9290" applyFont="1" applyFill="1" applyBorder="1" applyAlignment="1">
      <alignment horizontal="centerContinuous"/>
    </xf>
    <xf numFmtId="37" fontId="41" fillId="0" borderId="0" xfId="9290" applyFont="1" applyFill="1" applyAlignment="1">
      <alignment horizontal="centerContinuous"/>
    </xf>
    <xf numFmtId="173" fontId="41" fillId="0" borderId="6" xfId="3236" applyNumberFormat="1" applyFont="1" applyFill="1" applyBorder="1" applyAlignment="1">
      <alignment horizontal="right"/>
    </xf>
    <xf numFmtId="173" fontId="41" fillId="0" borderId="0" xfId="3236" quotePrefix="1" applyNumberFormat="1" applyFont="1" applyFill="1" applyAlignment="1">
      <alignment horizontal="right"/>
    </xf>
    <xf numFmtId="187" fontId="41" fillId="0" borderId="7" xfId="3834" applyNumberFormat="1" applyFont="1" applyFill="1" applyBorder="1" applyAlignment="1">
      <alignment horizontal="right"/>
    </xf>
    <xf numFmtId="10" fontId="41" fillId="0" borderId="27" xfId="6291" applyNumberFormat="1" applyFont="1" applyFill="1" applyBorder="1" applyAlignment="1">
      <alignment horizontal="right"/>
    </xf>
    <xf numFmtId="173" fontId="89" fillId="0" borderId="5" xfId="8668" quotePrefix="1" applyNumberFormat="1" applyFont="1" applyFill="1" applyBorder="1" applyAlignment="1">
      <alignment horizontal="right" wrapText="1"/>
    </xf>
    <xf numFmtId="49" fontId="23" fillId="0" borderId="0" xfId="57816" applyNumberFormat="1" applyFont="1" applyFill="1" applyAlignment="1"/>
    <xf numFmtId="43" fontId="23" fillId="0" borderId="0" xfId="57815" applyFont="1" applyFill="1" applyBorder="1" applyAlignment="1">
      <alignment horizontal="left"/>
    </xf>
    <xf numFmtId="182" fontId="23" fillId="0" borderId="0" xfId="8668" quotePrefix="1" applyNumberFormat="1" applyFont="1" applyFill="1" applyBorder="1" applyAlignment="1">
      <alignment horizontal="center" wrapText="1"/>
    </xf>
    <xf numFmtId="182" fontId="23" fillId="0" borderId="0" xfId="8667" applyNumberFormat="1" applyFont="1" applyFill="1" applyBorder="1" applyAlignment="1">
      <alignment horizontal="center"/>
    </xf>
    <xf numFmtId="9" fontId="23" fillId="0" borderId="0" xfId="8667" applyNumberFormat="1" applyFont="1" applyFill="1" applyBorder="1" applyAlignment="1">
      <alignment horizontal="center"/>
    </xf>
    <xf numFmtId="43" fontId="23" fillId="0" borderId="0" xfId="8667" applyNumberFormat="1" applyFont="1" applyFill="1" applyBorder="1" applyAlignment="1">
      <alignment horizontal="left"/>
    </xf>
    <xf numFmtId="9" fontId="23" fillId="0" borderId="0" xfId="8779" applyNumberFormat="1" applyFont="1" applyFill="1" applyBorder="1" applyAlignment="1">
      <alignment horizontal="center"/>
    </xf>
    <xf numFmtId="49" fontId="10" fillId="0" borderId="0" xfId="8667" applyNumberFormat="1" applyFont="1" applyFill="1" applyAlignment="1">
      <alignment horizontal="left" wrapText="1"/>
    </xf>
    <xf numFmtId="200" fontId="10" fillId="0" borderId="0" xfId="8667" applyNumberFormat="1" applyFont="1" applyFill="1" applyAlignment="1">
      <alignment horizontal="left"/>
    </xf>
    <xf numFmtId="200" fontId="213" fillId="0" borderId="0" xfId="8667" applyNumberFormat="1" applyFont="1" applyFill="1" applyAlignment="1">
      <alignment horizontal="left"/>
    </xf>
    <xf numFmtId="200" fontId="2" fillId="0" borderId="0" xfId="60086" applyNumberFormat="1" applyFont="1" applyFill="1" applyAlignment="1">
      <alignment horizontal="left"/>
    </xf>
    <xf numFmtId="200" fontId="215" fillId="0" borderId="0" xfId="8667" applyNumberFormat="1" applyFont="1" applyFill="1" applyAlignment="1">
      <alignment horizontal="left"/>
    </xf>
    <xf numFmtId="185" fontId="10" fillId="0" borderId="0" xfId="8667" applyNumberFormat="1" applyFont="1" applyFill="1" applyAlignment="1">
      <alignment horizontal="left"/>
    </xf>
    <xf numFmtId="200" fontId="3" fillId="0" borderId="0" xfId="60086" applyNumberFormat="1" applyFont="1" applyFill="1" applyBorder="1" applyAlignment="1">
      <alignment horizontal="right"/>
    </xf>
    <xf numFmtId="185" fontId="2" fillId="0" borderId="0" xfId="60086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center"/>
    </xf>
    <xf numFmtId="49" fontId="215" fillId="0" borderId="0" xfId="0" applyNumberFormat="1" applyFont="1" applyFill="1" applyAlignment="1">
      <alignment horizontal="left" wrapText="1"/>
    </xf>
    <xf numFmtId="49" fontId="24" fillId="0" borderId="0" xfId="9290" applyNumberFormat="1" applyFont="1" applyFill="1" applyAlignment="1">
      <alignment horizontal="center" wrapText="1"/>
    </xf>
    <xf numFmtId="49" fontId="3" fillId="0" borderId="0" xfId="60086" applyNumberFormat="1" applyFont="1" applyFill="1" applyAlignment="1">
      <alignment horizontal="left" wrapText="1"/>
    </xf>
    <xf numFmtId="185" fontId="215" fillId="0" borderId="0" xfId="0" applyNumberFormat="1" applyFont="1" applyFill="1" applyAlignment="1">
      <alignment horizontal="left"/>
    </xf>
    <xf numFmtId="185" fontId="213" fillId="0" borderId="0" xfId="0" applyNumberFormat="1" applyFont="1" applyFill="1" applyAlignment="1">
      <alignment horizontal="left"/>
    </xf>
    <xf numFmtId="185" fontId="136" fillId="0" borderId="0" xfId="9290" applyNumberFormat="1" applyFont="1" applyFill="1" applyAlignment="1">
      <alignment horizontal="center"/>
    </xf>
    <xf numFmtId="203" fontId="24" fillId="0" borderId="0" xfId="9290" applyNumberFormat="1" applyFont="1" applyFill="1" applyAlignment="1">
      <alignment horizontal="right"/>
    </xf>
    <xf numFmtId="37" fontId="140" fillId="0" borderId="0" xfId="9290" applyFont="1" applyAlignment="1">
      <alignment horizontal="center"/>
    </xf>
    <xf numFmtId="192" fontId="94" fillId="0" borderId="0" xfId="9290" applyNumberFormat="1" applyFont="1" applyAlignment="1">
      <alignment horizontal="center"/>
    </xf>
    <xf numFmtId="192" fontId="140" fillId="0" borderId="0" xfId="9290" applyNumberFormat="1" applyFont="1" applyAlignment="1">
      <alignment horizontal="center"/>
    </xf>
    <xf numFmtId="0" fontId="91" fillId="0" borderId="0" xfId="56076" applyFont="1" applyAlignment="1">
      <alignment horizontal="center"/>
    </xf>
    <xf numFmtId="0" fontId="23" fillId="0" borderId="0" xfId="8677" applyFont="1" applyAlignment="1" applyProtection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left" wrapText="1"/>
    </xf>
    <xf numFmtId="0" fontId="23" fillId="0" borderId="0" xfId="8667" applyFont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49" fontId="23" fillId="0" borderId="0" xfId="6198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0" fontId="118" fillId="0" borderId="0" xfId="61982" applyFont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174" fontId="89" fillId="0" borderId="0" xfId="8667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164" fontId="216" fillId="0" borderId="0" xfId="0" quotePrefix="1" applyNumberFormat="1" applyFont="1" applyFill="1" applyAlignment="1">
      <alignment horizontal="center"/>
    </xf>
    <xf numFmtId="164" fontId="217" fillId="0" borderId="0" xfId="0" quotePrefix="1" applyNumberFormat="1" applyFont="1" applyFill="1" applyAlignment="1">
      <alignment horizontal="center"/>
    </xf>
    <xf numFmtId="0" fontId="94" fillId="0" borderId="0" xfId="9370" applyFont="1" applyFill="1" applyAlignment="1">
      <alignment horizontal="center"/>
    </xf>
    <xf numFmtId="0" fontId="94" fillId="0" borderId="5" xfId="9370" applyFont="1" applyFill="1" applyBorder="1" applyAlignment="1">
      <alignment horizontal="center"/>
    </xf>
    <xf numFmtId="37" fontId="94" fillId="0" borderId="0" xfId="0" applyFont="1" applyFill="1" applyAlignment="1">
      <alignment horizontal="center"/>
    </xf>
    <xf numFmtId="37" fontId="94" fillId="0" borderId="0" xfId="0" quotePrefix="1" applyFont="1" applyFill="1" applyAlignment="1">
      <alignment horizontal="center"/>
    </xf>
    <xf numFmtId="0" fontId="94" fillId="0" borderId="0" xfId="8767" applyFont="1" applyFill="1" applyAlignment="1">
      <alignment horizontal="center"/>
    </xf>
  </cellXfs>
  <cellStyles count="61985">
    <cellStyle name="_x0013_" xfId="10007" xr:uid="{00000000-0005-0000-0000-000000000000}"/>
    <cellStyle name="%" xfId="8678" xr:uid="{00000000-0005-0000-0000-000001000000}"/>
    <cellStyle name="_Ebill Paper Bill ARC Recovery" xfId="8679" xr:uid="{00000000-0005-0000-0000-000002000000}"/>
    <cellStyle name="_MTC Resource Unit Baseline by state 050920 v2" xfId="8680" xr:uid="{00000000-0005-0000-0000-000003000000}"/>
    <cellStyle name="_Row1" xfId="6" xr:uid="{00000000-0005-0000-0000-000004000000}"/>
    <cellStyle name="_Row1 2" xfId="7" xr:uid="{00000000-0005-0000-0000-000005000000}"/>
    <cellStyle name="_Row1 3" xfId="10008" xr:uid="{00000000-0005-0000-0000-000006000000}"/>
    <cellStyle name="_Term for Change of Control" xfId="8681" xr:uid="{00000000-0005-0000-0000-000007000000}"/>
    <cellStyle name="_Term for Convenience" xfId="8682" xr:uid="{00000000-0005-0000-0000-000008000000}"/>
    <cellStyle name="_Transformation Projects Cap vs Exp Master" xfId="8683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376" xr:uid="{00000000-0005-0000-0000-00000C000000}"/>
    <cellStyle name="=C:\WINNT\SYSTEM32\COMMAND.COM 3" xfId="9377" xr:uid="{00000000-0005-0000-0000-00000D000000}"/>
    <cellStyle name="=C:\WINNT35\SYSTEM32\COMMAND.COM" xfId="9378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818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819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820" xr:uid="{00000000-0005-0000-0000-00001B000000}"/>
    <cellStyle name="20% - Accent1 13" xfId="18" xr:uid="{00000000-0005-0000-0000-00001C000000}"/>
    <cellStyle name="20% - Accent1 13 2" xfId="57821" xr:uid="{00000000-0005-0000-0000-00001D000000}"/>
    <cellStyle name="20% - Accent1 14" xfId="8783" xr:uid="{00000000-0005-0000-0000-00001E000000}"/>
    <cellStyle name="20% - Accent1 15" xfId="9379" xr:uid="{00000000-0005-0000-0000-00001F000000}"/>
    <cellStyle name="20% - Accent1 16" xfId="9380" xr:uid="{00000000-0005-0000-0000-000020000000}"/>
    <cellStyle name="20% - Accent1 17" xfId="9381" xr:uid="{00000000-0005-0000-0000-000021000000}"/>
    <cellStyle name="20% - Accent1 17 2" xfId="57822" xr:uid="{00000000-0005-0000-0000-000022000000}"/>
    <cellStyle name="20% - Accent1 18" xfId="57823" xr:uid="{00000000-0005-0000-0000-000023000000}"/>
    <cellStyle name="20% - Accent1 19" xfId="57824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7825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7826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7827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7828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7829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7830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7831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7832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7833" xr:uid="{00000000-0005-0000-0000-00006E000000}"/>
    <cellStyle name="20% - Accent1 20" xfId="57834" xr:uid="{00000000-0005-0000-0000-00006F000000}"/>
    <cellStyle name="20% - Accent1 21" xfId="57835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784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785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786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787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788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789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790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791" xr:uid="{00000000-0005-0000-0000-0000B9000000}"/>
    <cellStyle name="20% - Accent1 4" xfId="149" xr:uid="{00000000-0005-0000-0000-0000BA000000}"/>
    <cellStyle name="20% - Accent1 4 10" xfId="10009" xr:uid="{00000000-0005-0000-0000-0000BB000000}"/>
    <cellStyle name="20% - Accent1 4 10 2" xfId="10010" xr:uid="{00000000-0005-0000-0000-0000BC000000}"/>
    <cellStyle name="20% - Accent1 4 10 2 2" xfId="10011" xr:uid="{00000000-0005-0000-0000-0000BD000000}"/>
    <cellStyle name="20% - Accent1 4 10 2 3" xfId="10012" xr:uid="{00000000-0005-0000-0000-0000BE000000}"/>
    <cellStyle name="20% - Accent1 4 10 3" xfId="10013" xr:uid="{00000000-0005-0000-0000-0000BF000000}"/>
    <cellStyle name="20% - Accent1 4 10 3 2" xfId="10014" xr:uid="{00000000-0005-0000-0000-0000C0000000}"/>
    <cellStyle name="20% - Accent1 4 10 4" xfId="10015" xr:uid="{00000000-0005-0000-0000-0000C1000000}"/>
    <cellStyle name="20% - Accent1 4 10 5" xfId="10016" xr:uid="{00000000-0005-0000-0000-0000C2000000}"/>
    <cellStyle name="20% - Accent1 4 11" xfId="10017" xr:uid="{00000000-0005-0000-0000-0000C3000000}"/>
    <cellStyle name="20% - Accent1 4 11 2" xfId="10018" xr:uid="{00000000-0005-0000-0000-0000C4000000}"/>
    <cellStyle name="20% - Accent1 4 11 3" xfId="10019" xr:uid="{00000000-0005-0000-0000-0000C5000000}"/>
    <cellStyle name="20% - Accent1 4 12" xfId="10020" xr:uid="{00000000-0005-0000-0000-0000C6000000}"/>
    <cellStyle name="20% - Accent1 4 12 2" xfId="10021" xr:uid="{00000000-0005-0000-0000-0000C7000000}"/>
    <cellStyle name="20% - Accent1 4 12 3" xfId="10022" xr:uid="{00000000-0005-0000-0000-0000C8000000}"/>
    <cellStyle name="20% - Accent1 4 13" xfId="10023" xr:uid="{00000000-0005-0000-0000-0000C9000000}"/>
    <cellStyle name="20% - Accent1 4 13 2" xfId="10024" xr:uid="{00000000-0005-0000-0000-0000CA000000}"/>
    <cellStyle name="20% - Accent1 4 14" xfId="10025" xr:uid="{00000000-0005-0000-0000-0000CB000000}"/>
    <cellStyle name="20% - Accent1 4 15" xfId="10026" xr:uid="{00000000-0005-0000-0000-0000CC000000}"/>
    <cellStyle name="20% - Accent1 4 16" xfId="10027" xr:uid="{00000000-0005-0000-0000-0000CD000000}"/>
    <cellStyle name="20% - Accent1 4 2" xfId="150" xr:uid="{00000000-0005-0000-0000-0000CE000000}"/>
    <cellStyle name="20% - Accent1 4 2 10" xfId="10028" xr:uid="{00000000-0005-0000-0000-0000CF000000}"/>
    <cellStyle name="20% - Accent1 4 2 10 2" xfId="10029" xr:uid="{00000000-0005-0000-0000-0000D0000000}"/>
    <cellStyle name="20% - Accent1 4 2 10 3" xfId="10030" xr:uid="{00000000-0005-0000-0000-0000D1000000}"/>
    <cellStyle name="20% - Accent1 4 2 11" xfId="10031" xr:uid="{00000000-0005-0000-0000-0000D2000000}"/>
    <cellStyle name="20% - Accent1 4 2 11 2" xfId="10032" xr:uid="{00000000-0005-0000-0000-0000D3000000}"/>
    <cellStyle name="20% - Accent1 4 2 11 3" xfId="10033" xr:uid="{00000000-0005-0000-0000-0000D4000000}"/>
    <cellStyle name="20% - Accent1 4 2 12" xfId="10034" xr:uid="{00000000-0005-0000-0000-0000D5000000}"/>
    <cellStyle name="20% - Accent1 4 2 12 2" xfId="10035" xr:uid="{00000000-0005-0000-0000-0000D6000000}"/>
    <cellStyle name="20% - Accent1 4 2 13" xfId="10036" xr:uid="{00000000-0005-0000-0000-0000D7000000}"/>
    <cellStyle name="20% - Accent1 4 2 14" xfId="10037" xr:uid="{00000000-0005-0000-0000-0000D8000000}"/>
    <cellStyle name="20% - Accent1 4 2 15" xfId="10038" xr:uid="{00000000-0005-0000-0000-0000D9000000}"/>
    <cellStyle name="20% - Accent1 4 2 2" xfId="151" xr:uid="{00000000-0005-0000-0000-0000DA000000}"/>
    <cellStyle name="20% - Accent1 4 2 2 10" xfId="10039" xr:uid="{00000000-0005-0000-0000-0000DB000000}"/>
    <cellStyle name="20% - Accent1 4 2 2 10 2" xfId="10040" xr:uid="{00000000-0005-0000-0000-0000DC000000}"/>
    <cellStyle name="20% - Accent1 4 2 2 10 3" xfId="10041" xr:uid="{00000000-0005-0000-0000-0000DD000000}"/>
    <cellStyle name="20% - Accent1 4 2 2 11" xfId="10042" xr:uid="{00000000-0005-0000-0000-0000DE000000}"/>
    <cellStyle name="20% - Accent1 4 2 2 11 2" xfId="10043" xr:uid="{00000000-0005-0000-0000-0000DF000000}"/>
    <cellStyle name="20% - Accent1 4 2 2 12" xfId="10044" xr:uid="{00000000-0005-0000-0000-0000E0000000}"/>
    <cellStyle name="20% - Accent1 4 2 2 13" xfId="10045" xr:uid="{00000000-0005-0000-0000-0000E1000000}"/>
    <cellStyle name="20% - Accent1 4 2 2 2" xfId="152" xr:uid="{00000000-0005-0000-0000-0000E2000000}"/>
    <cellStyle name="20% - Accent1 4 2 2 2 10" xfId="10046" xr:uid="{00000000-0005-0000-0000-0000E3000000}"/>
    <cellStyle name="20% - Accent1 4 2 2 2 10 2" xfId="10047" xr:uid="{00000000-0005-0000-0000-0000E4000000}"/>
    <cellStyle name="20% - Accent1 4 2 2 2 11" xfId="10048" xr:uid="{00000000-0005-0000-0000-0000E5000000}"/>
    <cellStyle name="20% - Accent1 4 2 2 2 12" xfId="10049" xr:uid="{00000000-0005-0000-0000-0000E6000000}"/>
    <cellStyle name="20% - Accent1 4 2 2 2 2" xfId="153" xr:uid="{00000000-0005-0000-0000-0000E7000000}"/>
    <cellStyle name="20% - Accent1 4 2 2 2 2 10" xfId="10050" xr:uid="{00000000-0005-0000-0000-0000E8000000}"/>
    <cellStyle name="20% - Accent1 4 2 2 2 2 2" xfId="154" xr:uid="{00000000-0005-0000-0000-0000E9000000}"/>
    <cellStyle name="20% - Accent1 4 2 2 2 2 2 2" xfId="10051" xr:uid="{00000000-0005-0000-0000-0000EA000000}"/>
    <cellStyle name="20% - Accent1 4 2 2 2 2 2 2 2" xfId="10052" xr:uid="{00000000-0005-0000-0000-0000EB000000}"/>
    <cellStyle name="20% - Accent1 4 2 2 2 2 2 2 2 2" xfId="10053" xr:uid="{00000000-0005-0000-0000-0000EC000000}"/>
    <cellStyle name="20% - Accent1 4 2 2 2 2 2 2 2 3" xfId="10054" xr:uid="{00000000-0005-0000-0000-0000ED000000}"/>
    <cellStyle name="20% - Accent1 4 2 2 2 2 2 2 3" xfId="10055" xr:uid="{00000000-0005-0000-0000-0000EE000000}"/>
    <cellStyle name="20% - Accent1 4 2 2 2 2 2 2 3 2" xfId="10056" xr:uid="{00000000-0005-0000-0000-0000EF000000}"/>
    <cellStyle name="20% - Accent1 4 2 2 2 2 2 2 3 3" xfId="10057" xr:uid="{00000000-0005-0000-0000-0000F0000000}"/>
    <cellStyle name="20% - Accent1 4 2 2 2 2 2 2 4" xfId="10058" xr:uid="{00000000-0005-0000-0000-0000F1000000}"/>
    <cellStyle name="20% - Accent1 4 2 2 2 2 2 2 4 2" xfId="10059" xr:uid="{00000000-0005-0000-0000-0000F2000000}"/>
    <cellStyle name="20% - Accent1 4 2 2 2 2 2 2 5" xfId="10060" xr:uid="{00000000-0005-0000-0000-0000F3000000}"/>
    <cellStyle name="20% - Accent1 4 2 2 2 2 2 2 6" xfId="10061" xr:uid="{00000000-0005-0000-0000-0000F4000000}"/>
    <cellStyle name="20% - Accent1 4 2 2 2 2 2 3" xfId="10062" xr:uid="{00000000-0005-0000-0000-0000F5000000}"/>
    <cellStyle name="20% - Accent1 4 2 2 2 2 2 3 2" xfId="10063" xr:uid="{00000000-0005-0000-0000-0000F6000000}"/>
    <cellStyle name="20% - Accent1 4 2 2 2 2 2 3 2 2" xfId="10064" xr:uid="{00000000-0005-0000-0000-0000F7000000}"/>
    <cellStyle name="20% - Accent1 4 2 2 2 2 2 3 2 3" xfId="10065" xr:uid="{00000000-0005-0000-0000-0000F8000000}"/>
    <cellStyle name="20% - Accent1 4 2 2 2 2 2 3 3" xfId="10066" xr:uid="{00000000-0005-0000-0000-0000F9000000}"/>
    <cellStyle name="20% - Accent1 4 2 2 2 2 2 3 3 2" xfId="10067" xr:uid="{00000000-0005-0000-0000-0000FA000000}"/>
    <cellStyle name="20% - Accent1 4 2 2 2 2 2 3 3 3" xfId="10068" xr:uid="{00000000-0005-0000-0000-0000FB000000}"/>
    <cellStyle name="20% - Accent1 4 2 2 2 2 2 3 4" xfId="10069" xr:uid="{00000000-0005-0000-0000-0000FC000000}"/>
    <cellStyle name="20% - Accent1 4 2 2 2 2 2 3 4 2" xfId="10070" xr:uid="{00000000-0005-0000-0000-0000FD000000}"/>
    <cellStyle name="20% - Accent1 4 2 2 2 2 2 3 5" xfId="10071" xr:uid="{00000000-0005-0000-0000-0000FE000000}"/>
    <cellStyle name="20% - Accent1 4 2 2 2 2 2 3 6" xfId="10072" xr:uid="{00000000-0005-0000-0000-0000FF000000}"/>
    <cellStyle name="20% - Accent1 4 2 2 2 2 2 4" xfId="10073" xr:uid="{00000000-0005-0000-0000-000000010000}"/>
    <cellStyle name="20% - Accent1 4 2 2 2 2 2 4 2" xfId="10074" xr:uid="{00000000-0005-0000-0000-000001010000}"/>
    <cellStyle name="20% - Accent1 4 2 2 2 2 2 4 2 2" xfId="10075" xr:uid="{00000000-0005-0000-0000-000002010000}"/>
    <cellStyle name="20% - Accent1 4 2 2 2 2 2 4 2 3" xfId="10076" xr:uid="{00000000-0005-0000-0000-000003010000}"/>
    <cellStyle name="20% - Accent1 4 2 2 2 2 2 4 3" xfId="10077" xr:uid="{00000000-0005-0000-0000-000004010000}"/>
    <cellStyle name="20% - Accent1 4 2 2 2 2 2 4 3 2" xfId="10078" xr:uid="{00000000-0005-0000-0000-000005010000}"/>
    <cellStyle name="20% - Accent1 4 2 2 2 2 2 4 4" xfId="10079" xr:uid="{00000000-0005-0000-0000-000006010000}"/>
    <cellStyle name="20% - Accent1 4 2 2 2 2 2 4 5" xfId="10080" xr:uid="{00000000-0005-0000-0000-000007010000}"/>
    <cellStyle name="20% - Accent1 4 2 2 2 2 2 5" xfId="10081" xr:uid="{00000000-0005-0000-0000-000008010000}"/>
    <cellStyle name="20% - Accent1 4 2 2 2 2 2 5 2" xfId="10082" xr:uid="{00000000-0005-0000-0000-000009010000}"/>
    <cellStyle name="20% - Accent1 4 2 2 2 2 2 5 3" xfId="10083" xr:uid="{00000000-0005-0000-0000-00000A010000}"/>
    <cellStyle name="20% - Accent1 4 2 2 2 2 2 6" xfId="10084" xr:uid="{00000000-0005-0000-0000-00000B010000}"/>
    <cellStyle name="20% - Accent1 4 2 2 2 2 2 6 2" xfId="10085" xr:uid="{00000000-0005-0000-0000-00000C010000}"/>
    <cellStyle name="20% - Accent1 4 2 2 2 2 2 6 3" xfId="10086" xr:uid="{00000000-0005-0000-0000-00000D010000}"/>
    <cellStyle name="20% - Accent1 4 2 2 2 2 2 7" xfId="10087" xr:uid="{00000000-0005-0000-0000-00000E010000}"/>
    <cellStyle name="20% - Accent1 4 2 2 2 2 2 7 2" xfId="10088" xr:uid="{00000000-0005-0000-0000-00000F010000}"/>
    <cellStyle name="20% - Accent1 4 2 2 2 2 2 8" xfId="10089" xr:uid="{00000000-0005-0000-0000-000010010000}"/>
    <cellStyle name="20% - Accent1 4 2 2 2 2 2 9" xfId="10090" xr:uid="{00000000-0005-0000-0000-000011010000}"/>
    <cellStyle name="20% - Accent1 4 2 2 2 2 3" xfId="10091" xr:uid="{00000000-0005-0000-0000-000012010000}"/>
    <cellStyle name="20% - Accent1 4 2 2 2 2 3 2" xfId="10092" xr:uid="{00000000-0005-0000-0000-000013010000}"/>
    <cellStyle name="20% - Accent1 4 2 2 2 2 3 2 2" xfId="10093" xr:uid="{00000000-0005-0000-0000-000014010000}"/>
    <cellStyle name="20% - Accent1 4 2 2 2 2 3 2 3" xfId="10094" xr:uid="{00000000-0005-0000-0000-000015010000}"/>
    <cellStyle name="20% - Accent1 4 2 2 2 2 3 3" xfId="10095" xr:uid="{00000000-0005-0000-0000-000016010000}"/>
    <cellStyle name="20% - Accent1 4 2 2 2 2 3 3 2" xfId="10096" xr:uid="{00000000-0005-0000-0000-000017010000}"/>
    <cellStyle name="20% - Accent1 4 2 2 2 2 3 3 3" xfId="10097" xr:uid="{00000000-0005-0000-0000-000018010000}"/>
    <cellStyle name="20% - Accent1 4 2 2 2 2 3 4" xfId="10098" xr:uid="{00000000-0005-0000-0000-000019010000}"/>
    <cellStyle name="20% - Accent1 4 2 2 2 2 3 4 2" xfId="10099" xr:uid="{00000000-0005-0000-0000-00001A010000}"/>
    <cellStyle name="20% - Accent1 4 2 2 2 2 3 5" xfId="10100" xr:uid="{00000000-0005-0000-0000-00001B010000}"/>
    <cellStyle name="20% - Accent1 4 2 2 2 2 3 6" xfId="10101" xr:uid="{00000000-0005-0000-0000-00001C010000}"/>
    <cellStyle name="20% - Accent1 4 2 2 2 2 4" xfId="10102" xr:uid="{00000000-0005-0000-0000-00001D010000}"/>
    <cellStyle name="20% - Accent1 4 2 2 2 2 4 2" xfId="10103" xr:uid="{00000000-0005-0000-0000-00001E010000}"/>
    <cellStyle name="20% - Accent1 4 2 2 2 2 4 2 2" xfId="10104" xr:uid="{00000000-0005-0000-0000-00001F010000}"/>
    <cellStyle name="20% - Accent1 4 2 2 2 2 4 2 3" xfId="10105" xr:uid="{00000000-0005-0000-0000-000020010000}"/>
    <cellStyle name="20% - Accent1 4 2 2 2 2 4 3" xfId="10106" xr:uid="{00000000-0005-0000-0000-000021010000}"/>
    <cellStyle name="20% - Accent1 4 2 2 2 2 4 3 2" xfId="10107" xr:uid="{00000000-0005-0000-0000-000022010000}"/>
    <cellStyle name="20% - Accent1 4 2 2 2 2 4 3 3" xfId="10108" xr:uid="{00000000-0005-0000-0000-000023010000}"/>
    <cellStyle name="20% - Accent1 4 2 2 2 2 4 4" xfId="10109" xr:uid="{00000000-0005-0000-0000-000024010000}"/>
    <cellStyle name="20% - Accent1 4 2 2 2 2 4 4 2" xfId="10110" xr:uid="{00000000-0005-0000-0000-000025010000}"/>
    <cellStyle name="20% - Accent1 4 2 2 2 2 4 5" xfId="10111" xr:uid="{00000000-0005-0000-0000-000026010000}"/>
    <cellStyle name="20% - Accent1 4 2 2 2 2 4 6" xfId="10112" xr:uid="{00000000-0005-0000-0000-000027010000}"/>
    <cellStyle name="20% - Accent1 4 2 2 2 2 5" xfId="10113" xr:uid="{00000000-0005-0000-0000-000028010000}"/>
    <cellStyle name="20% - Accent1 4 2 2 2 2 5 2" xfId="10114" xr:uid="{00000000-0005-0000-0000-000029010000}"/>
    <cellStyle name="20% - Accent1 4 2 2 2 2 5 2 2" xfId="10115" xr:uid="{00000000-0005-0000-0000-00002A010000}"/>
    <cellStyle name="20% - Accent1 4 2 2 2 2 5 2 3" xfId="10116" xr:uid="{00000000-0005-0000-0000-00002B010000}"/>
    <cellStyle name="20% - Accent1 4 2 2 2 2 5 3" xfId="10117" xr:uid="{00000000-0005-0000-0000-00002C010000}"/>
    <cellStyle name="20% - Accent1 4 2 2 2 2 5 3 2" xfId="10118" xr:uid="{00000000-0005-0000-0000-00002D010000}"/>
    <cellStyle name="20% - Accent1 4 2 2 2 2 5 4" xfId="10119" xr:uid="{00000000-0005-0000-0000-00002E010000}"/>
    <cellStyle name="20% - Accent1 4 2 2 2 2 5 5" xfId="10120" xr:uid="{00000000-0005-0000-0000-00002F010000}"/>
    <cellStyle name="20% - Accent1 4 2 2 2 2 6" xfId="10121" xr:uid="{00000000-0005-0000-0000-000030010000}"/>
    <cellStyle name="20% - Accent1 4 2 2 2 2 6 2" xfId="10122" xr:uid="{00000000-0005-0000-0000-000031010000}"/>
    <cellStyle name="20% - Accent1 4 2 2 2 2 6 3" xfId="10123" xr:uid="{00000000-0005-0000-0000-000032010000}"/>
    <cellStyle name="20% - Accent1 4 2 2 2 2 7" xfId="10124" xr:uid="{00000000-0005-0000-0000-000033010000}"/>
    <cellStyle name="20% - Accent1 4 2 2 2 2 7 2" xfId="10125" xr:uid="{00000000-0005-0000-0000-000034010000}"/>
    <cellStyle name="20% - Accent1 4 2 2 2 2 7 3" xfId="10126" xr:uid="{00000000-0005-0000-0000-000035010000}"/>
    <cellStyle name="20% - Accent1 4 2 2 2 2 8" xfId="10127" xr:uid="{00000000-0005-0000-0000-000036010000}"/>
    <cellStyle name="20% - Accent1 4 2 2 2 2 8 2" xfId="10128" xr:uid="{00000000-0005-0000-0000-000037010000}"/>
    <cellStyle name="20% - Accent1 4 2 2 2 2 9" xfId="10129" xr:uid="{00000000-0005-0000-0000-000038010000}"/>
    <cellStyle name="20% - Accent1 4 2 2 2 3" xfId="155" xr:uid="{00000000-0005-0000-0000-000039010000}"/>
    <cellStyle name="20% - Accent1 4 2 2 2 3 2" xfId="10130" xr:uid="{00000000-0005-0000-0000-00003A010000}"/>
    <cellStyle name="20% - Accent1 4 2 2 2 3 2 2" xfId="10131" xr:uid="{00000000-0005-0000-0000-00003B010000}"/>
    <cellStyle name="20% - Accent1 4 2 2 2 3 2 2 2" xfId="10132" xr:uid="{00000000-0005-0000-0000-00003C010000}"/>
    <cellStyle name="20% - Accent1 4 2 2 2 3 2 2 3" xfId="10133" xr:uid="{00000000-0005-0000-0000-00003D010000}"/>
    <cellStyle name="20% - Accent1 4 2 2 2 3 2 3" xfId="10134" xr:uid="{00000000-0005-0000-0000-00003E010000}"/>
    <cellStyle name="20% - Accent1 4 2 2 2 3 2 3 2" xfId="10135" xr:uid="{00000000-0005-0000-0000-00003F010000}"/>
    <cellStyle name="20% - Accent1 4 2 2 2 3 2 3 3" xfId="10136" xr:uid="{00000000-0005-0000-0000-000040010000}"/>
    <cellStyle name="20% - Accent1 4 2 2 2 3 2 4" xfId="10137" xr:uid="{00000000-0005-0000-0000-000041010000}"/>
    <cellStyle name="20% - Accent1 4 2 2 2 3 2 4 2" xfId="10138" xr:uid="{00000000-0005-0000-0000-000042010000}"/>
    <cellStyle name="20% - Accent1 4 2 2 2 3 2 5" xfId="10139" xr:uid="{00000000-0005-0000-0000-000043010000}"/>
    <cellStyle name="20% - Accent1 4 2 2 2 3 2 6" xfId="10140" xr:uid="{00000000-0005-0000-0000-000044010000}"/>
    <cellStyle name="20% - Accent1 4 2 2 2 3 3" xfId="10141" xr:uid="{00000000-0005-0000-0000-000045010000}"/>
    <cellStyle name="20% - Accent1 4 2 2 2 3 3 2" xfId="10142" xr:uid="{00000000-0005-0000-0000-000046010000}"/>
    <cellStyle name="20% - Accent1 4 2 2 2 3 3 2 2" xfId="10143" xr:uid="{00000000-0005-0000-0000-000047010000}"/>
    <cellStyle name="20% - Accent1 4 2 2 2 3 3 2 3" xfId="10144" xr:uid="{00000000-0005-0000-0000-000048010000}"/>
    <cellStyle name="20% - Accent1 4 2 2 2 3 3 3" xfId="10145" xr:uid="{00000000-0005-0000-0000-000049010000}"/>
    <cellStyle name="20% - Accent1 4 2 2 2 3 3 3 2" xfId="10146" xr:uid="{00000000-0005-0000-0000-00004A010000}"/>
    <cellStyle name="20% - Accent1 4 2 2 2 3 3 3 3" xfId="10147" xr:uid="{00000000-0005-0000-0000-00004B010000}"/>
    <cellStyle name="20% - Accent1 4 2 2 2 3 3 4" xfId="10148" xr:uid="{00000000-0005-0000-0000-00004C010000}"/>
    <cellStyle name="20% - Accent1 4 2 2 2 3 3 4 2" xfId="10149" xr:uid="{00000000-0005-0000-0000-00004D010000}"/>
    <cellStyle name="20% - Accent1 4 2 2 2 3 3 5" xfId="10150" xr:uid="{00000000-0005-0000-0000-00004E010000}"/>
    <cellStyle name="20% - Accent1 4 2 2 2 3 3 6" xfId="10151" xr:uid="{00000000-0005-0000-0000-00004F010000}"/>
    <cellStyle name="20% - Accent1 4 2 2 2 3 4" xfId="10152" xr:uid="{00000000-0005-0000-0000-000050010000}"/>
    <cellStyle name="20% - Accent1 4 2 2 2 3 4 2" xfId="10153" xr:uid="{00000000-0005-0000-0000-000051010000}"/>
    <cellStyle name="20% - Accent1 4 2 2 2 3 4 2 2" xfId="10154" xr:uid="{00000000-0005-0000-0000-000052010000}"/>
    <cellStyle name="20% - Accent1 4 2 2 2 3 4 2 3" xfId="10155" xr:uid="{00000000-0005-0000-0000-000053010000}"/>
    <cellStyle name="20% - Accent1 4 2 2 2 3 4 3" xfId="10156" xr:uid="{00000000-0005-0000-0000-000054010000}"/>
    <cellStyle name="20% - Accent1 4 2 2 2 3 4 3 2" xfId="10157" xr:uid="{00000000-0005-0000-0000-000055010000}"/>
    <cellStyle name="20% - Accent1 4 2 2 2 3 4 4" xfId="10158" xr:uid="{00000000-0005-0000-0000-000056010000}"/>
    <cellStyle name="20% - Accent1 4 2 2 2 3 4 5" xfId="10159" xr:uid="{00000000-0005-0000-0000-000057010000}"/>
    <cellStyle name="20% - Accent1 4 2 2 2 3 5" xfId="10160" xr:uid="{00000000-0005-0000-0000-000058010000}"/>
    <cellStyle name="20% - Accent1 4 2 2 2 3 5 2" xfId="10161" xr:uid="{00000000-0005-0000-0000-000059010000}"/>
    <cellStyle name="20% - Accent1 4 2 2 2 3 5 3" xfId="10162" xr:uid="{00000000-0005-0000-0000-00005A010000}"/>
    <cellStyle name="20% - Accent1 4 2 2 2 3 6" xfId="10163" xr:uid="{00000000-0005-0000-0000-00005B010000}"/>
    <cellStyle name="20% - Accent1 4 2 2 2 3 6 2" xfId="10164" xr:uid="{00000000-0005-0000-0000-00005C010000}"/>
    <cellStyle name="20% - Accent1 4 2 2 2 3 6 3" xfId="10165" xr:uid="{00000000-0005-0000-0000-00005D010000}"/>
    <cellStyle name="20% - Accent1 4 2 2 2 3 7" xfId="10166" xr:uid="{00000000-0005-0000-0000-00005E010000}"/>
    <cellStyle name="20% - Accent1 4 2 2 2 3 7 2" xfId="10167" xr:uid="{00000000-0005-0000-0000-00005F010000}"/>
    <cellStyle name="20% - Accent1 4 2 2 2 3 8" xfId="10168" xr:uid="{00000000-0005-0000-0000-000060010000}"/>
    <cellStyle name="20% - Accent1 4 2 2 2 3 9" xfId="10169" xr:uid="{00000000-0005-0000-0000-000061010000}"/>
    <cellStyle name="20% - Accent1 4 2 2 2 4" xfId="10170" xr:uid="{00000000-0005-0000-0000-000062010000}"/>
    <cellStyle name="20% - Accent1 4 2 2 2 4 2" xfId="10171" xr:uid="{00000000-0005-0000-0000-000063010000}"/>
    <cellStyle name="20% - Accent1 4 2 2 2 4 2 2" xfId="10172" xr:uid="{00000000-0005-0000-0000-000064010000}"/>
    <cellStyle name="20% - Accent1 4 2 2 2 4 2 2 2" xfId="10173" xr:uid="{00000000-0005-0000-0000-000065010000}"/>
    <cellStyle name="20% - Accent1 4 2 2 2 4 2 2 3" xfId="10174" xr:uid="{00000000-0005-0000-0000-000066010000}"/>
    <cellStyle name="20% - Accent1 4 2 2 2 4 2 3" xfId="10175" xr:uid="{00000000-0005-0000-0000-000067010000}"/>
    <cellStyle name="20% - Accent1 4 2 2 2 4 2 3 2" xfId="10176" xr:uid="{00000000-0005-0000-0000-000068010000}"/>
    <cellStyle name="20% - Accent1 4 2 2 2 4 2 3 3" xfId="10177" xr:uid="{00000000-0005-0000-0000-000069010000}"/>
    <cellStyle name="20% - Accent1 4 2 2 2 4 2 4" xfId="10178" xr:uid="{00000000-0005-0000-0000-00006A010000}"/>
    <cellStyle name="20% - Accent1 4 2 2 2 4 2 4 2" xfId="10179" xr:uid="{00000000-0005-0000-0000-00006B010000}"/>
    <cellStyle name="20% - Accent1 4 2 2 2 4 2 5" xfId="10180" xr:uid="{00000000-0005-0000-0000-00006C010000}"/>
    <cellStyle name="20% - Accent1 4 2 2 2 4 2 6" xfId="10181" xr:uid="{00000000-0005-0000-0000-00006D010000}"/>
    <cellStyle name="20% - Accent1 4 2 2 2 4 3" xfId="10182" xr:uid="{00000000-0005-0000-0000-00006E010000}"/>
    <cellStyle name="20% - Accent1 4 2 2 2 4 3 2" xfId="10183" xr:uid="{00000000-0005-0000-0000-00006F010000}"/>
    <cellStyle name="20% - Accent1 4 2 2 2 4 3 2 2" xfId="10184" xr:uid="{00000000-0005-0000-0000-000070010000}"/>
    <cellStyle name="20% - Accent1 4 2 2 2 4 3 2 3" xfId="10185" xr:uid="{00000000-0005-0000-0000-000071010000}"/>
    <cellStyle name="20% - Accent1 4 2 2 2 4 3 3" xfId="10186" xr:uid="{00000000-0005-0000-0000-000072010000}"/>
    <cellStyle name="20% - Accent1 4 2 2 2 4 3 3 2" xfId="10187" xr:uid="{00000000-0005-0000-0000-000073010000}"/>
    <cellStyle name="20% - Accent1 4 2 2 2 4 3 3 3" xfId="10188" xr:uid="{00000000-0005-0000-0000-000074010000}"/>
    <cellStyle name="20% - Accent1 4 2 2 2 4 3 4" xfId="10189" xr:uid="{00000000-0005-0000-0000-000075010000}"/>
    <cellStyle name="20% - Accent1 4 2 2 2 4 3 4 2" xfId="10190" xr:uid="{00000000-0005-0000-0000-000076010000}"/>
    <cellStyle name="20% - Accent1 4 2 2 2 4 3 5" xfId="10191" xr:uid="{00000000-0005-0000-0000-000077010000}"/>
    <cellStyle name="20% - Accent1 4 2 2 2 4 3 6" xfId="10192" xr:uid="{00000000-0005-0000-0000-000078010000}"/>
    <cellStyle name="20% - Accent1 4 2 2 2 4 4" xfId="10193" xr:uid="{00000000-0005-0000-0000-000079010000}"/>
    <cellStyle name="20% - Accent1 4 2 2 2 4 4 2" xfId="10194" xr:uid="{00000000-0005-0000-0000-00007A010000}"/>
    <cellStyle name="20% - Accent1 4 2 2 2 4 4 2 2" xfId="10195" xr:uid="{00000000-0005-0000-0000-00007B010000}"/>
    <cellStyle name="20% - Accent1 4 2 2 2 4 4 2 3" xfId="10196" xr:uid="{00000000-0005-0000-0000-00007C010000}"/>
    <cellStyle name="20% - Accent1 4 2 2 2 4 4 3" xfId="10197" xr:uid="{00000000-0005-0000-0000-00007D010000}"/>
    <cellStyle name="20% - Accent1 4 2 2 2 4 4 3 2" xfId="10198" xr:uid="{00000000-0005-0000-0000-00007E010000}"/>
    <cellStyle name="20% - Accent1 4 2 2 2 4 4 4" xfId="10199" xr:uid="{00000000-0005-0000-0000-00007F010000}"/>
    <cellStyle name="20% - Accent1 4 2 2 2 4 4 5" xfId="10200" xr:uid="{00000000-0005-0000-0000-000080010000}"/>
    <cellStyle name="20% - Accent1 4 2 2 2 4 5" xfId="10201" xr:uid="{00000000-0005-0000-0000-000081010000}"/>
    <cellStyle name="20% - Accent1 4 2 2 2 4 5 2" xfId="10202" xr:uid="{00000000-0005-0000-0000-000082010000}"/>
    <cellStyle name="20% - Accent1 4 2 2 2 4 5 3" xfId="10203" xr:uid="{00000000-0005-0000-0000-000083010000}"/>
    <cellStyle name="20% - Accent1 4 2 2 2 4 6" xfId="10204" xr:uid="{00000000-0005-0000-0000-000084010000}"/>
    <cellStyle name="20% - Accent1 4 2 2 2 4 6 2" xfId="10205" xr:uid="{00000000-0005-0000-0000-000085010000}"/>
    <cellStyle name="20% - Accent1 4 2 2 2 4 6 3" xfId="10206" xr:uid="{00000000-0005-0000-0000-000086010000}"/>
    <cellStyle name="20% - Accent1 4 2 2 2 4 7" xfId="10207" xr:uid="{00000000-0005-0000-0000-000087010000}"/>
    <cellStyle name="20% - Accent1 4 2 2 2 4 7 2" xfId="10208" xr:uid="{00000000-0005-0000-0000-000088010000}"/>
    <cellStyle name="20% - Accent1 4 2 2 2 4 8" xfId="10209" xr:uid="{00000000-0005-0000-0000-000089010000}"/>
    <cellStyle name="20% - Accent1 4 2 2 2 4 9" xfId="10210" xr:uid="{00000000-0005-0000-0000-00008A010000}"/>
    <cellStyle name="20% - Accent1 4 2 2 2 5" xfId="10211" xr:uid="{00000000-0005-0000-0000-00008B010000}"/>
    <cellStyle name="20% - Accent1 4 2 2 2 5 2" xfId="10212" xr:uid="{00000000-0005-0000-0000-00008C010000}"/>
    <cellStyle name="20% - Accent1 4 2 2 2 5 2 2" xfId="10213" xr:uid="{00000000-0005-0000-0000-00008D010000}"/>
    <cellStyle name="20% - Accent1 4 2 2 2 5 2 3" xfId="10214" xr:uid="{00000000-0005-0000-0000-00008E010000}"/>
    <cellStyle name="20% - Accent1 4 2 2 2 5 3" xfId="10215" xr:uid="{00000000-0005-0000-0000-00008F010000}"/>
    <cellStyle name="20% - Accent1 4 2 2 2 5 3 2" xfId="10216" xr:uid="{00000000-0005-0000-0000-000090010000}"/>
    <cellStyle name="20% - Accent1 4 2 2 2 5 3 3" xfId="10217" xr:uid="{00000000-0005-0000-0000-000091010000}"/>
    <cellStyle name="20% - Accent1 4 2 2 2 5 4" xfId="10218" xr:uid="{00000000-0005-0000-0000-000092010000}"/>
    <cellStyle name="20% - Accent1 4 2 2 2 5 4 2" xfId="10219" xr:uid="{00000000-0005-0000-0000-000093010000}"/>
    <cellStyle name="20% - Accent1 4 2 2 2 5 5" xfId="10220" xr:uid="{00000000-0005-0000-0000-000094010000}"/>
    <cellStyle name="20% - Accent1 4 2 2 2 5 6" xfId="10221" xr:uid="{00000000-0005-0000-0000-000095010000}"/>
    <cellStyle name="20% - Accent1 4 2 2 2 6" xfId="10222" xr:uid="{00000000-0005-0000-0000-000096010000}"/>
    <cellStyle name="20% - Accent1 4 2 2 2 6 2" xfId="10223" xr:uid="{00000000-0005-0000-0000-000097010000}"/>
    <cellStyle name="20% - Accent1 4 2 2 2 6 2 2" xfId="10224" xr:uid="{00000000-0005-0000-0000-000098010000}"/>
    <cellStyle name="20% - Accent1 4 2 2 2 6 2 3" xfId="10225" xr:uid="{00000000-0005-0000-0000-000099010000}"/>
    <cellStyle name="20% - Accent1 4 2 2 2 6 3" xfId="10226" xr:uid="{00000000-0005-0000-0000-00009A010000}"/>
    <cellStyle name="20% - Accent1 4 2 2 2 6 3 2" xfId="10227" xr:uid="{00000000-0005-0000-0000-00009B010000}"/>
    <cellStyle name="20% - Accent1 4 2 2 2 6 3 3" xfId="10228" xr:uid="{00000000-0005-0000-0000-00009C010000}"/>
    <cellStyle name="20% - Accent1 4 2 2 2 6 4" xfId="10229" xr:uid="{00000000-0005-0000-0000-00009D010000}"/>
    <cellStyle name="20% - Accent1 4 2 2 2 6 4 2" xfId="10230" xr:uid="{00000000-0005-0000-0000-00009E010000}"/>
    <cellStyle name="20% - Accent1 4 2 2 2 6 5" xfId="10231" xr:uid="{00000000-0005-0000-0000-00009F010000}"/>
    <cellStyle name="20% - Accent1 4 2 2 2 6 6" xfId="10232" xr:uid="{00000000-0005-0000-0000-0000A0010000}"/>
    <cellStyle name="20% - Accent1 4 2 2 2 7" xfId="10233" xr:uid="{00000000-0005-0000-0000-0000A1010000}"/>
    <cellStyle name="20% - Accent1 4 2 2 2 7 2" xfId="10234" xr:uid="{00000000-0005-0000-0000-0000A2010000}"/>
    <cellStyle name="20% - Accent1 4 2 2 2 7 2 2" xfId="10235" xr:uid="{00000000-0005-0000-0000-0000A3010000}"/>
    <cellStyle name="20% - Accent1 4 2 2 2 7 2 3" xfId="10236" xr:uid="{00000000-0005-0000-0000-0000A4010000}"/>
    <cellStyle name="20% - Accent1 4 2 2 2 7 3" xfId="10237" xr:uid="{00000000-0005-0000-0000-0000A5010000}"/>
    <cellStyle name="20% - Accent1 4 2 2 2 7 3 2" xfId="10238" xr:uid="{00000000-0005-0000-0000-0000A6010000}"/>
    <cellStyle name="20% - Accent1 4 2 2 2 7 4" xfId="10239" xr:uid="{00000000-0005-0000-0000-0000A7010000}"/>
    <cellStyle name="20% - Accent1 4 2 2 2 7 5" xfId="10240" xr:uid="{00000000-0005-0000-0000-0000A8010000}"/>
    <cellStyle name="20% - Accent1 4 2 2 2 8" xfId="10241" xr:uid="{00000000-0005-0000-0000-0000A9010000}"/>
    <cellStyle name="20% - Accent1 4 2 2 2 8 2" xfId="10242" xr:uid="{00000000-0005-0000-0000-0000AA010000}"/>
    <cellStyle name="20% - Accent1 4 2 2 2 8 3" xfId="10243" xr:uid="{00000000-0005-0000-0000-0000AB010000}"/>
    <cellStyle name="20% - Accent1 4 2 2 2 9" xfId="10244" xr:uid="{00000000-0005-0000-0000-0000AC010000}"/>
    <cellStyle name="20% - Accent1 4 2 2 2 9 2" xfId="10245" xr:uid="{00000000-0005-0000-0000-0000AD010000}"/>
    <cellStyle name="20% - Accent1 4 2 2 2 9 3" xfId="10246" xr:uid="{00000000-0005-0000-0000-0000AE010000}"/>
    <cellStyle name="20% - Accent1 4 2 2 3" xfId="156" xr:uid="{00000000-0005-0000-0000-0000AF010000}"/>
    <cellStyle name="20% - Accent1 4 2 2 3 10" xfId="10247" xr:uid="{00000000-0005-0000-0000-0000B0010000}"/>
    <cellStyle name="20% - Accent1 4 2 2 3 2" xfId="157" xr:uid="{00000000-0005-0000-0000-0000B1010000}"/>
    <cellStyle name="20% - Accent1 4 2 2 3 2 2" xfId="10248" xr:uid="{00000000-0005-0000-0000-0000B2010000}"/>
    <cellStyle name="20% - Accent1 4 2 2 3 2 2 2" xfId="10249" xr:uid="{00000000-0005-0000-0000-0000B3010000}"/>
    <cellStyle name="20% - Accent1 4 2 2 3 2 2 2 2" xfId="10250" xr:uid="{00000000-0005-0000-0000-0000B4010000}"/>
    <cellStyle name="20% - Accent1 4 2 2 3 2 2 2 3" xfId="10251" xr:uid="{00000000-0005-0000-0000-0000B5010000}"/>
    <cellStyle name="20% - Accent1 4 2 2 3 2 2 3" xfId="10252" xr:uid="{00000000-0005-0000-0000-0000B6010000}"/>
    <cellStyle name="20% - Accent1 4 2 2 3 2 2 3 2" xfId="10253" xr:uid="{00000000-0005-0000-0000-0000B7010000}"/>
    <cellStyle name="20% - Accent1 4 2 2 3 2 2 3 3" xfId="10254" xr:uid="{00000000-0005-0000-0000-0000B8010000}"/>
    <cellStyle name="20% - Accent1 4 2 2 3 2 2 4" xfId="10255" xr:uid="{00000000-0005-0000-0000-0000B9010000}"/>
    <cellStyle name="20% - Accent1 4 2 2 3 2 2 4 2" xfId="10256" xr:uid="{00000000-0005-0000-0000-0000BA010000}"/>
    <cellStyle name="20% - Accent1 4 2 2 3 2 2 5" xfId="10257" xr:uid="{00000000-0005-0000-0000-0000BB010000}"/>
    <cellStyle name="20% - Accent1 4 2 2 3 2 2 6" xfId="10258" xr:uid="{00000000-0005-0000-0000-0000BC010000}"/>
    <cellStyle name="20% - Accent1 4 2 2 3 2 3" xfId="10259" xr:uid="{00000000-0005-0000-0000-0000BD010000}"/>
    <cellStyle name="20% - Accent1 4 2 2 3 2 3 2" xfId="10260" xr:uid="{00000000-0005-0000-0000-0000BE010000}"/>
    <cellStyle name="20% - Accent1 4 2 2 3 2 3 2 2" xfId="10261" xr:uid="{00000000-0005-0000-0000-0000BF010000}"/>
    <cellStyle name="20% - Accent1 4 2 2 3 2 3 2 3" xfId="10262" xr:uid="{00000000-0005-0000-0000-0000C0010000}"/>
    <cellStyle name="20% - Accent1 4 2 2 3 2 3 3" xfId="10263" xr:uid="{00000000-0005-0000-0000-0000C1010000}"/>
    <cellStyle name="20% - Accent1 4 2 2 3 2 3 3 2" xfId="10264" xr:uid="{00000000-0005-0000-0000-0000C2010000}"/>
    <cellStyle name="20% - Accent1 4 2 2 3 2 3 3 3" xfId="10265" xr:uid="{00000000-0005-0000-0000-0000C3010000}"/>
    <cellStyle name="20% - Accent1 4 2 2 3 2 3 4" xfId="10266" xr:uid="{00000000-0005-0000-0000-0000C4010000}"/>
    <cellStyle name="20% - Accent1 4 2 2 3 2 3 4 2" xfId="10267" xr:uid="{00000000-0005-0000-0000-0000C5010000}"/>
    <cellStyle name="20% - Accent1 4 2 2 3 2 3 5" xfId="10268" xr:uid="{00000000-0005-0000-0000-0000C6010000}"/>
    <cellStyle name="20% - Accent1 4 2 2 3 2 3 6" xfId="10269" xr:uid="{00000000-0005-0000-0000-0000C7010000}"/>
    <cellStyle name="20% - Accent1 4 2 2 3 2 4" xfId="10270" xr:uid="{00000000-0005-0000-0000-0000C8010000}"/>
    <cellStyle name="20% - Accent1 4 2 2 3 2 4 2" xfId="10271" xr:uid="{00000000-0005-0000-0000-0000C9010000}"/>
    <cellStyle name="20% - Accent1 4 2 2 3 2 4 2 2" xfId="10272" xr:uid="{00000000-0005-0000-0000-0000CA010000}"/>
    <cellStyle name="20% - Accent1 4 2 2 3 2 4 2 3" xfId="10273" xr:uid="{00000000-0005-0000-0000-0000CB010000}"/>
    <cellStyle name="20% - Accent1 4 2 2 3 2 4 3" xfId="10274" xr:uid="{00000000-0005-0000-0000-0000CC010000}"/>
    <cellStyle name="20% - Accent1 4 2 2 3 2 4 3 2" xfId="10275" xr:uid="{00000000-0005-0000-0000-0000CD010000}"/>
    <cellStyle name="20% - Accent1 4 2 2 3 2 4 4" xfId="10276" xr:uid="{00000000-0005-0000-0000-0000CE010000}"/>
    <cellStyle name="20% - Accent1 4 2 2 3 2 4 5" xfId="10277" xr:uid="{00000000-0005-0000-0000-0000CF010000}"/>
    <cellStyle name="20% - Accent1 4 2 2 3 2 5" xfId="10278" xr:uid="{00000000-0005-0000-0000-0000D0010000}"/>
    <cellStyle name="20% - Accent1 4 2 2 3 2 5 2" xfId="10279" xr:uid="{00000000-0005-0000-0000-0000D1010000}"/>
    <cellStyle name="20% - Accent1 4 2 2 3 2 5 3" xfId="10280" xr:uid="{00000000-0005-0000-0000-0000D2010000}"/>
    <cellStyle name="20% - Accent1 4 2 2 3 2 6" xfId="10281" xr:uid="{00000000-0005-0000-0000-0000D3010000}"/>
    <cellStyle name="20% - Accent1 4 2 2 3 2 6 2" xfId="10282" xr:uid="{00000000-0005-0000-0000-0000D4010000}"/>
    <cellStyle name="20% - Accent1 4 2 2 3 2 6 3" xfId="10283" xr:uid="{00000000-0005-0000-0000-0000D5010000}"/>
    <cellStyle name="20% - Accent1 4 2 2 3 2 7" xfId="10284" xr:uid="{00000000-0005-0000-0000-0000D6010000}"/>
    <cellStyle name="20% - Accent1 4 2 2 3 2 7 2" xfId="10285" xr:uid="{00000000-0005-0000-0000-0000D7010000}"/>
    <cellStyle name="20% - Accent1 4 2 2 3 2 8" xfId="10286" xr:uid="{00000000-0005-0000-0000-0000D8010000}"/>
    <cellStyle name="20% - Accent1 4 2 2 3 2 9" xfId="10287" xr:uid="{00000000-0005-0000-0000-0000D9010000}"/>
    <cellStyle name="20% - Accent1 4 2 2 3 3" xfId="10288" xr:uid="{00000000-0005-0000-0000-0000DA010000}"/>
    <cellStyle name="20% - Accent1 4 2 2 3 3 2" xfId="10289" xr:uid="{00000000-0005-0000-0000-0000DB010000}"/>
    <cellStyle name="20% - Accent1 4 2 2 3 3 2 2" xfId="10290" xr:uid="{00000000-0005-0000-0000-0000DC010000}"/>
    <cellStyle name="20% - Accent1 4 2 2 3 3 2 3" xfId="10291" xr:uid="{00000000-0005-0000-0000-0000DD010000}"/>
    <cellStyle name="20% - Accent1 4 2 2 3 3 3" xfId="10292" xr:uid="{00000000-0005-0000-0000-0000DE010000}"/>
    <cellStyle name="20% - Accent1 4 2 2 3 3 3 2" xfId="10293" xr:uid="{00000000-0005-0000-0000-0000DF010000}"/>
    <cellStyle name="20% - Accent1 4 2 2 3 3 3 3" xfId="10294" xr:uid="{00000000-0005-0000-0000-0000E0010000}"/>
    <cellStyle name="20% - Accent1 4 2 2 3 3 4" xfId="10295" xr:uid="{00000000-0005-0000-0000-0000E1010000}"/>
    <cellStyle name="20% - Accent1 4 2 2 3 3 4 2" xfId="10296" xr:uid="{00000000-0005-0000-0000-0000E2010000}"/>
    <cellStyle name="20% - Accent1 4 2 2 3 3 5" xfId="10297" xr:uid="{00000000-0005-0000-0000-0000E3010000}"/>
    <cellStyle name="20% - Accent1 4 2 2 3 3 6" xfId="10298" xr:uid="{00000000-0005-0000-0000-0000E4010000}"/>
    <cellStyle name="20% - Accent1 4 2 2 3 4" xfId="10299" xr:uid="{00000000-0005-0000-0000-0000E5010000}"/>
    <cellStyle name="20% - Accent1 4 2 2 3 4 2" xfId="10300" xr:uid="{00000000-0005-0000-0000-0000E6010000}"/>
    <cellStyle name="20% - Accent1 4 2 2 3 4 2 2" xfId="10301" xr:uid="{00000000-0005-0000-0000-0000E7010000}"/>
    <cellStyle name="20% - Accent1 4 2 2 3 4 2 3" xfId="10302" xr:uid="{00000000-0005-0000-0000-0000E8010000}"/>
    <cellStyle name="20% - Accent1 4 2 2 3 4 3" xfId="10303" xr:uid="{00000000-0005-0000-0000-0000E9010000}"/>
    <cellStyle name="20% - Accent1 4 2 2 3 4 3 2" xfId="10304" xr:uid="{00000000-0005-0000-0000-0000EA010000}"/>
    <cellStyle name="20% - Accent1 4 2 2 3 4 3 3" xfId="10305" xr:uid="{00000000-0005-0000-0000-0000EB010000}"/>
    <cellStyle name="20% - Accent1 4 2 2 3 4 4" xfId="10306" xr:uid="{00000000-0005-0000-0000-0000EC010000}"/>
    <cellStyle name="20% - Accent1 4 2 2 3 4 4 2" xfId="10307" xr:uid="{00000000-0005-0000-0000-0000ED010000}"/>
    <cellStyle name="20% - Accent1 4 2 2 3 4 5" xfId="10308" xr:uid="{00000000-0005-0000-0000-0000EE010000}"/>
    <cellStyle name="20% - Accent1 4 2 2 3 4 6" xfId="10309" xr:uid="{00000000-0005-0000-0000-0000EF010000}"/>
    <cellStyle name="20% - Accent1 4 2 2 3 5" xfId="10310" xr:uid="{00000000-0005-0000-0000-0000F0010000}"/>
    <cellStyle name="20% - Accent1 4 2 2 3 5 2" xfId="10311" xr:uid="{00000000-0005-0000-0000-0000F1010000}"/>
    <cellStyle name="20% - Accent1 4 2 2 3 5 2 2" xfId="10312" xr:uid="{00000000-0005-0000-0000-0000F2010000}"/>
    <cellStyle name="20% - Accent1 4 2 2 3 5 2 3" xfId="10313" xr:uid="{00000000-0005-0000-0000-0000F3010000}"/>
    <cellStyle name="20% - Accent1 4 2 2 3 5 3" xfId="10314" xr:uid="{00000000-0005-0000-0000-0000F4010000}"/>
    <cellStyle name="20% - Accent1 4 2 2 3 5 3 2" xfId="10315" xr:uid="{00000000-0005-0000-0000-0000F5010000}"/>
    <cellStyle name="20% - Accent1 4 2 2 3 5 4" xfId="10316" xr:uid="{00000000-0005-0000-0000-0000F6010000}"/>
    <cellStyle name="20% - Accent1 4 2 2 3 5 5" xfId="10317" xr:uid="{00000000-0005-0000-0000-0000F7010000}"/>
    <cellStyle name="20% - Accent1 4 2 2 3 6" xfId="10318" xr:uid="{00000000-0005-0000-0000-0000F8010000}"/>
    <cellStyle name="20% - Accent1 4 2 2 3 6 2" xfId="10319" xr:uid="{00000000-0005-0000-0000-0000F9010000}"/>
    <cellStyle name="20% - Accent1 4 2 2 3 6 3" xfId="10320" xr:uid="{00000000-0005-0000-0000-0000FA010000}"/>
    <cellStyle name="20% - Accent1 4 2 2 3 7" xfId="10321" xr:uid="{00000000-0005-0000-0000-0000FB010000}"/>
    <cellStyle name="20% - Accent1 4 2 2 3 7 2" xfId="10322" xr:uid="{00000000-0005-0000-0000-0000FC010000}"/>
    <cellStyle name="20% - Accent1 4 2 2 3 7 3" xfId="10323" xr:uid="{00000000-0005-0000-0000-0000FD010000}"/>
    <cellStyle name="20% - Accent1 4 2 2 3 8" xfId="10324" xr:uid="{00000000-0005-0000-0000-0000FE010000}"/>
    <cellStyle name="20% - Accent1 4 2 2 3 8 2" xfId="10325" xr:uid="{00000000-0005-0000-0000-0000FF010000}"/>
    <cellStyle name="20% - Accent1 4 2 2 3 9" xfId="10326" xr:uid="{00000000-0005-0000-0000-000000020000}"/>
    <cellStyle name="20% - Accent1 4 2 2 4" xfId="158" xr:uid="{00000000-0005-0000-0000-000001020000}"/>
    <cellStyle name="20% - Accent1 4 2 2 4 2" xfId="10327" xr:uid="{00000000-0005-0000-0000-000002020000}"/>
    <cellStyle name="20% - Accent1 4 2 2 4 2 2" xfId="10328" xr:uid="{00000000-0005-0000-0000-000003020000}"/>
    <cellStyle name="20% - Accent1 4 2 2 4 2 2 2" xfId="10329" xr:uid="{00000000-0005-0000-0000-000004020000}"/>
    <cellStyle name="20% - Accent1 4 2 2 4 2 2 3" xfId="10330" xr:uid="{00000000-0005-0000-0000-000005020000}"/>
    <cellStyle name="20% - Accent1 4 2 2 4 2 3" xfId="10331" xr:uid="{00000000-0005-0000-0000-000006020000}"/>
    <cellStyle name="20% - Accent1 4 2 2 4 2 3 2" xfId="10332" xr:uid="{00000000-0005-0000-0000-000007020000}"/>
    <cellStyle name="20% - Accent1 4 2 2 4 2 3 3" xfId="10333" xr:uid="{00000000-0005-0000-0000-000008020000}"/>
    <cellStyle name="20% - Accent1 4 2 2 4 2 4" xfId="10334" xr:uid="{00000000-0005-0000-0000-000009020000}"/>
    <cellStyle name="20% - Accent1 4 2 2 4 2 4 2" xfId="10335" xr:uid="{00000000-0005-0000-0000-00000A020000}"/>
    <cellStyle name="20% - Accent1 4 2 2 4 2 5" xfId="10336" xr:uid="{00000000-0005-0000-0000-00000B020000}"/>
    <cellStyle name="20% - Accent1 4 2 2 4 2 6" xfId="10337" xr:uid="{00000000-0005-0000-0000-00000C020000}"/>
    <cellStyle name="20% - Accent1 4 2 2 4 3" xfId="10338" xr:uid="{00000000-0005-0000-0000-00000D020000}"/>
    <cellStyle name="20% - Accent1 4 2 2 4 3 2" xfId="10339" xr:uid="{00000000-0005-0000-0000-00000E020000}"/>
    <cellStyle name="20% - Accent1 4 2 2 4 3 2 2" xfId="10340" xr:uid="{00000000-0005-0000-0000-00000F020000}"/>
    <cellStyle name="20% - Accent1 4 2 2 4 3 2 3" xfId="10341" xr:uid="{00000000-0005-0000-0000-000010020000}"/>
    <cellStyle name="20% - Accent1 4 2 2 4 3 3" xfId="10342" xr:uid="{00000000-0005-0000-0000-000011020000}"/>
    <cellStyle name="20% - Accent1 4 2 2 4 3 3 2" xfId="10343" xr:uid="{00000000-0005-0000-0000-000012020000}"/>
    <cellStyle name="20% - Accent1 4 2 2 4 3 3 3" xfId="10344" xr:uid="{00000000-0005-0000-0000-000013020000}"/>
    <cellStyle name="20% - Accent1 4 2 2 4 3 4" xfId="10345" xr:uid="{00000000-0005-0000-0000-000014020000}"/>
    <cellStyle name="20% - Accent1 4 2 2 4 3 4 2" xfId="10346" xr:uid="{00000000-0005-0000-0000-000015020000}"/>
    <cellStyle name="20% - Accent1 4 2 2 4 3 5" xfId="10347" xr:uid="{00000000-0005-0000-0000-000016020000}"/>
    <cellStyle name="20% - Accent1 4 2 2 4 3 6" xfId="10348" xr:uid="{00000000-0005-0000-0000-000017020000}"/>
    <cellStyle name="20% - Accent1 4 2 2 4 4" xfId="10349" xr:uid="{00000000-0005-0000-0000-000018020000}"/>
    <cellStyle name="20% - Accent1 4 2 2 4 4 2" xfId="10350" xr:uid="{00000000-0005-0000-0000-000019020000}"/>
    <cellStyle name="20% - Accent1 4 2 2 4 4 2 2" xfId="10351" xr:uid="{00000000-0005-0000-0000-00001A020000}"/>
    <cellStyle name="20% - Accent1 4 2 2 4 4 2 3" xfId="10352" xr:uid="{00000000-0005-0000-0000-00001B020000}"/>
    <cellStyle name="20% - Accent1 4 2 2 4 4 3" xfId="10353" xr:uid="{00000000-0005-0000-0000-00001C020000}"/>
    <cellStyle name="20% - Accent1 4 2 2 4 4 3 2" xfId="10354" xr:uid="{00000000-0005-0000-0000-00001D020000}"/>
    <cellStyle name="20% - Accent1 4 2 2 4 4 4" xfId="10355" xr:uid="{00000000-0005-0000-0000-00001E020000}"/>
    <cellStyle name="20% - Accent1 4 2 2 4 4 5" xfId="10356" xr:uid="{00000000-0005-0000-0000-00001F020000}"/>
    <cellStyle name="20% - Accent1 4 2 2 4 5" xfId="10357" xr:uid="{00000000-0005-0000-0000-000020020000}"/>
    <cellStyle name="20% - Accent1 4 2 2 4 5 2" xfId="10358" xr:uid="{00000000-0005-0000-0000-000021020000}"/>
    <cellStyle name="20% - Accent1 4 2 2 4 5 3" xfId="10359" xr:uid="{00000000-0005-0000-0000-000022020000}"/>
    <cellStyle name="20% - Accent1 4 2 2 4 6" xfId="10360" xr:uid="{00000000-0005-0000-0000-000023020000}"/>
    <cellStyle name="20% - Accent1 4 2 2 4 6 2" xfId="10361" xr:uid="{00000000-0005-0000-0000-000024020000}"/>
    <cellStyle name="20% - Accent1 4 2 2 4 6 3" xfId="10362" xr:uid="{00000000-0005-0000-0000-000025020000}"/>
    <cellStyle name="20% - Accent1 4 2 2 4 7" xfId="10363" xr:uid="{00000000-0005-0000-0000-000026020000}"/>
    <cellStyle name="20% - Accent1 4 2 2 4 7 2" xfId="10364" xr:uid="{00000000-0005-0000-0000-000027020000}"/>
    <cellStyle name="20% - Accent1 4 2 2 4 8" xfId="10365" xr:uid="{00000000-0005-0000-0000-000028020000}"/>
    <cellStyle name="20% - Accent1 4 2 2 4 9" xfId="10366" xr:uid="{00000000-0005-0000-0000-000029020000}"/>
    <cellStyle name="20% - Accent1 4 2 2 5" xfId="10367" xr:uid="{00000000-0005-0000-0000-00002A020000}"/>
    <cellStyle name="20% - Accent1 4 2 2 5 2" xfId="10368" xr:uid="{00000000-0005-0000-0000-00002B020000}"/>
    <cellStyle name="20% - Accent1 4 2 2 5 2 2" xfId="10369" xr:uid="{00000000-0005-0000-0000-00002C020000}"/>
    <cellStyle name="20% - Accent1 4 2 2 5 2 2 2" xfId="10370" xr:uid="{00000000-0005-0000-0000-00002D020000}"/>
    <cellStyle name="20% - Accent1 4 2 2 5 2 2 3" xfId="10371" xr:uid="{00000000-0005-0000-0000-00002E020000}"/>
    <cellStyle name="20% - Accent1 4 2 2 5 2 3" xfId="10372" xr:uid="{00000000-0005-0000-0000-00002F020000}"/>
    <cellStyle name="20% - Accent1 4 2 2 5 2 3 2" xfId="10373" xr:uid="{00000000-0005-0000-0000-000030020000}"/>
    <cellStyle name="20% - Accent1 4 2 2 5 2 3 3" xfId="10374" xr:uid="{00000000-0005-0000-0000-000031020000}"/>
    <cellStyle name="20% - Accent1 4 2 2 5 2 4" xfId="10375" xr:uid="{00000000-0005-0000-0000-000032020000}"/>
    <cellStyle name="20% - Accent1 4 2 2 5 2 4 2" xfId="10376" xr:uid="{00000000-0005-0000-0000-000033020000}"/>
    <cellStyle name="20% - Accent1 4 2 2 5 2 5" xfId="10377" xr:uid="{00000000-0005-0000-0000-000034020000}"/>
    <cellStyle name="20% - Accent1 4 2 2 5 2 6" xfId="10378" xr:uid="{00000000-0005-0000-0000-000035020000}"/>
    <cellStyle name="20% - Accent1 4 2 2 5 3" xfId="10379" xr:uid="{00000000-0005-0000-0000-000036020000}"/>
    <cellStyle name="20% - Accent1 4 2 2 5 3 2" xfId="10380" xr:uid="{00000000-0005-0000-0000-000037020000}"/>
    <cellStyle name="20% - Accent1 4 2 2 5 3 2 2" xfId="10381" xr:uid="{00000000-0005-0000-0000-000038020000}"/>
    <cellStyle name="20% - Accent1 4 2 2 5 3 2 3" xfId="10382" xr:uid="{00000000-0005-0000-0000-000039020000}"/>
    <cellStyle name="20% - Accent1 4 2 2 5 3 3" xfId="10383" xr:uid="{00000000-0005-0000-0000-00003A020000}"/>
    <cellStyle name="20% - Accent1 4 2 2 5 3 3 2" xfId="10384" xr:uid="{00000000-0005-0000-0000-00003B020000}"/>
    <cellStyle name="20% - Accent1 4 2 2 5 3 3 3" xfId="10385" xr:uid="{00000000-0005-0000-0000-00003C020000}"/>
    <cellStyle name="20% - Accent1 4 2 2 5 3 4" xfId="10386" xr:uid="{00000000-0005-0000-0000-00003D020000}"/>
    <cellStyle name="20% - Accent1 4 2 2 5 3 4 2" xfId="10387" xr:uid="{00000000-0005-0000-0000-00003E020000}"/>
    <cellStyle name="20% - Accent1 4 2 2 5 3 5" xfId="10388" xr:uid="{00000000-0005-0000-0000-00003F020000}"/>
    <cellStyle name="20% - Accent1 4 2 2 5 3 6" xfId="10389" xr:uid="{00000000-0005-0000-0000-000040020000}"/>
    <cellStyle name="20% - Accent1 4 2 2 5 4" xfId="10390" xr:uid="{00000000-0005-0000-0000-000041020000}"/>
    <cellStyle name="20% - Accent1 4 2 2 5 4 2" xfId="10391" xr:uid="{00000000-0005-0000-0000-000042020000}"/>
    <cellStyle name="20% - Accent1 4 2 2 5 4 2 2" xfId="10392" xr:uid="{00000000-0005-0000-0000-000043020000}"/>
    <cellStyle name="20% - Accent1 4 2 2 5 4 2 3" xfId="10393" xr:uid="{00000000-0005-0000-0000-000044020000}"/>
    <cellStyle name="20% - Accent1 4 2 2 5 4 3" xfId="10394" xr:uid="{00000000-0005-0000-0000-000045020000}"/>
    <cellStyle name="20% - Accent1 4 2 2 5 4 3 2" xfId="10395" xr:uid="{00000000-0005-0000-0000-000046020000}"/>
    <cellStyle name="20% - Accent1 4 2 2 5 4 4" xfId="10396" xr:uid="{00000000-0005-0000-0000-000047020000}"/>
    <cellStyle name="20% - Accent1 4 2 2 5 4 5" xfId="10397" xr:uid="{00000000-0005-0000-0000-000048020000}"/>
    <cellStyle name="20% - Accent1 4 2 2 5 5" xfId="10398" xr:uid="{00000000-0005-0000-0000-000049020000}"/>
    <cellStyle name="20% - Accent1 4 2 2 5 5 2" xfId="10399" xr:uid="{00000000-0005-0000-0000-00004A020000}"/>
    <cellStyle name="20% - Accent1 4 2 2 5 5 3" xfId="10400" xr:uid="{00000000-0005-0000-0000-00004B020000}"/>
    <cellStyle name="20% - Accent1 4 2 2 5 6" xfId="10401" xr:uid="{00000000-0005-0000-0000-00004C020000}"/>
    <cellStyle name="20% - Accent1 4 2 2 5 6 2" xfId="10402" xr:uid="{00000000-0005-0000-0000-00004D020000}"/>
    <cellStyle name="20% - Accent1 4 2 2 5 6 3" xfId="10403" xr:uid="{00000000-0005-0000-0000-00004E020000}"/>
    <cellStyle name="20% - Accent1 4 2 2 5 7" xfId="10404" xr:uid="{00000000-0005-0000-0000-00004F020000}"/>
    <cellStyle name="20% - Accent1 4 2 2 5 7 2" xfId="10405" xr:uid="{00000000-0005-0000-0000-000050020000}"/>
    <cellStyle name="20% - Accent1 4 2 2 5 8" xfId="10406" xr:uid="{00000000-0005-0000-0000-000051020000}"/>
    <cellStyle name="20% - Accent1 4 2 2 5 9" xfId="10407" xr:uid="{00000000-0005-0000-0000-000052020000}"/>
    <cellStyle name="20% - Accent1 4 2 2 6" xfId="10408" xr:uid="{00000000-0005-0000-0000-000053020000}"/>
    <cellStyle name="20% - Accent1 4 2 2 6 2" xfId="10409" xr:uid="{00000000-0005-0000-0000-000054020000}"/>
    <cellStyle name="20% - Accent1 4 2 2 6 2 2" xfId="10410" xr:uid="{00000000-0005-0000-0000-000055020000}"/>
    <cellStyle name="20% - Accent1 4 2 2 6 2 3" xfId="10411" xr:uid="{00000000-0005-0000-0000-000056020000}"/>
    <cellStyle name="20% - Accent1 4 2 2 6 3" xfId="10412" xr:uid="{00000000-0005-0000-0000-000057020000}"/>
    <cellStyle name="20% - Accent1 4 2 2 6 3 2" xfId="10413" xr:uid="{00000000-0005-0000-0000-000058020000}"/>
    <cellStyle name="20% - Accent1 4 2 2 6 3 3" xfId="10414" xr:uid="{00000000-0005-0000-0000-000059020000}"/>
    <cellStyle name="20% - Accent1 4 2 2 6 4" xfId="10415" xr:uid="{00000000-0005-0000-0000-00005A020000}"/>
    <cellStyle name="20% - Accent1 4 2 2 6 4 2" xfId="10416" xr:uid="{00000000-0005-0000-0000-00005B020000}"/>
    <cellStyle name="20% - Accent1 4 2 2 6 5" xfId="10417" xr:uid="{00000000-0005-0000-0000-00005C020000}"/>
    <cellStyle name="20% - Accent1 4 2 2 6 6" xfId="10418" xr:uid="{00000000-0005-0000-0000-00005D020000}"/>
    <cellStyle name="20% - Accent1 4 2 2 7" xfId="10419" xr:uid="{00000000-0005-0000-0000-00005E020000}"/>
    <cellStyle name="20% - Accent1 4 2 2 7 2" xfId="10420" xr:uid="{00000000-0005-0000-0000-00005F020000}"/>
    <cellStyle name="20% - Accent1 4 2 2 7 2 2" xfId="10421" xr:uid="{00000000-0005-0000-0000-000060020000}"/>
    <cellStyle name="20% - Accent1 4 2 2 7 2 3" xfId="10422" xr:uid="{00000000-0005-0000-0000-000061020000}"/>
    <cellStyle name="20% - Accent1 4 2 2 7 3" xfId="10423" xr:uid="{00000000-0005-0000-0000-000062020000}"/>
    <cellStyle name="20% - Accent1 4 2 2 7 3 2" xfId="10424" xr:uid="{00000000-0005-0000-0000-000063020000}"/>
    <cellStyle name="20% - Accent1 4 2 2 7 3 3" xfId="10425" xr:uid="{00000000-0005-0000-0000-000064020000}"/>
    <cellStyle name="20% - Accent1 4 2 2 7 4" xfId="10426" xr:uid="{00000000-0005-0000-0000-000065020000}"/>
    <cellStyle name="20% - Accent1 4 2 2 7 4 2" xfId="10427" xr:uid="{00000000-0005-0000-0000-000066020000}"/>
    <cellStyle name="20% - Accent1 4 2 2 7 5" xfId="10428" xr:uid="{00000000-0005-0000-0000-000067020000}"/>
    <cellStyle name="20% - Accent1 4 2 2 7 6" xfId="10429" xr:uid="{00000000-0005-0000-0000-000068020000}"/>
    <cellStyle name="20% - Accent1 4 2 2 8" xfId="10430" xr:uid="{00000000-0005-0000-0000-000069020000}"/>
    <cellStyle name="20% - Accent1 4 2 2 8 2" xfId="10431" xr:uid="{00000000-0005-0000-0000-00006A020000}"/>
    <cellStyle name="20% - Accent1 4 2 2 8 2 2" xfId="10432" xr:uid="{00000000-0005-0000-0000-00006B020000}"/>
    <cellStyle name="20% - Accent1 4 2 2 8 2 3" xfId="10433" xr:uid="{00000000-0005-0000-0000-00006C020000}"/>
    <cellStyle name="20% - Accent1 4 2 2 8 3" xfId="10434" xr:uid="{00000000-0005-0000-0000-00006D020000}"/>
    <cellStyle name="20% - Accent1 4 2 2 8 3 2" xfId="10435" xr:uid="{00000000-0005-0000-0000-00006E020000}"/>
    <cellStyle name="20% - Accent1 4 2 2 8 4" xfId="10436" xr:uid="{00000000-0005-0000-0000-00006F020000}"/>
    <cellStyle name="20% - Accent1 4 2 2 8 5" xfId="10437" xr:uid="{00000000-0005-0000-0000-000070020000}"/>
    <cellStyle name="20% - Accent1 4 2 2 9" xfId="10438" xr:uid="{00000000-0005-0000-0000-000071020000}"/>
    <cellStyle name="20% - Accent1 4 2 2 9 2" xfId="10439" xr:uid="{00000000-0005-0000-0000-000072020000}"/>
    <cellStyle name="20% - Accent1 4 2 2 9 3" xfId="10440" xr:uid="{00000000-0005-0000-0000-000073020000}"/>
    <cellStyle name="20% - Accent1 4 2 3" xfId="159" xr:uid="{00000000-0005-0000-0000-000074020000}"/>
    <cellStyle name="20% - Accent1 4 2 3 10" xfId="10441" xr:uid="{00000000-0005-0000-0000-000075020000}"/>
    <cellStyle name="20% - Accent1 4 2 3 10 2" xfId="10442" xr:uid="{00000000-0005-0000-0000-000076020000}"/>
    <cellStyle name="20% - Accent1 4 2 3 11" xfId="10443" xr:uid="{00000000-0005-0000-0000-000077020000}"/>
    <cellStyle name="20% - Accent1 4 2 3 12" xfId="10444" xr:uid="{00000000-0005-0000-0000-000078020000}"/>
    <cellStyle name="20% - Accent1 4 2 3 2" xfId="160" xr:uid="{00000000-0005-0000-0000-000079020000}"/>
    <cellStyle name="20% - Accent1 4 2 3 2 10" xfId="10445" xr:uid="{00000000-0005-0000-0000-00007A020000}"/>
    <cellStyle name="20% - Accent1 4 2 3 2 2" xfId="161" xr:uid="{00000000-0005-0000-0000-00007B020000}"/>
    <cellStyle name="20% - Accent1 4 2 3 2 2 2" xfId="10446" xr:uid="{00000000-0005-0000-0000-00007C020000}"/>
    <cellStyle name="20% - Accent1 4 2 3 2 2 2 2" xfId="10447" xr:uid="{00000000-0005-0000-0000-00007D020000}"/>
    <cellStyle name="20% - Accent1 4 2 3 2 2 2 2 2" xfId="10448" xr:uid="{00000000-0005-0000-0000-00007E020000}"/>
    <cellStyle name="20% - Accent1 4 2 3 2 2 2 2 3" xfId="10449" xr:uid="{00000000-0005-0000-0000-00007F020000}"/>
    <cellStyle name="20% - Accent1 4 2 3 2 2 2 3" xfId="10450" xr:uid="{00000000-0005-0000-0000-000080020000}"/>
    <cellStyle name="20% - Accent1 4 2 3 2 2 2 3 2" xfId="10451" xr:uid="{00000000-0005-0000-0000-000081020000}"/>
    <cellStyle name="20% - Accent1 4 2 3 2 2 2 3 3" xfId="10452" xr:uid="{00000000-0005-0000-0000-000082020000}"/>
    <cellStyle name="20% - Accent1 4 2 3 2 2 2 4" xfId="10453" xr:uid="{00000000-0005-0000-0000-000083020000}"/>
    <cellStyle name="20% - Accent1 4 2 3 2 2 2 4 2" xfId="10454" xr:uid="{00000000-0005-0000-0000-000084020000}"/>
    <cellStyle name="20% - Accent1 4 2 3 2 2 2 5" xfId="10455" xr:uid="{00000000-0005-0000-0000-000085020000}"/>
    <cellStyle name="20% - Accent1 4 2 3 2 2 2 6" xfId="10456" xr:uid="{00000000-0005-0000-0000-000086020000}"/>
    <cellStyle name="20% - Accent1 4 2 3 2 2 3" xfId="10457" xr:uid="{00000000-0005-0000-0000-000087020000}"/>
    <cellStyle name="20% - Accent1 4 2 3 2 2 3 2" xfId="10458" xr:uid="{00000000-0005-0000-0000-000088020000}"/>
    <cellStyle name="20% - Accent1 4 2 3 2 2 3 2 2" xfId="10459" xr:uid="{00000000-0005-0000-0000-000089020000}"/>
    <cellStyle name="20% - Accent1 4 2 3 2 2 3 2 3" xfId="10460" xr:uid="{00000000-0005-0000-0000-00008A020000}"/>
    <cellStyle name="20% - Accent1 4 2 3 2 2 3 3" xfId="10461" xr:uid="{00000000-0005-0000-0000-00008B020000}"/>
    <cellStyle name="20% - Accent1 4 2 3 2 2 3 3 2" xfId="10462" xr:uid="{00000000-0005-0000-0000-00008C020000}"/>
    <cellStyle name="20% - Accent1 4 2 3 2 2 3 3 3" xfId="10463" xr:uid="{00000000-0005-0000-0000-00008D020000}"/>
    <cellStyle name="20% - Accent1 4 2 3 2 2 3 4" xfId="10464" xr:uid="{00000000-0005-0000-0000-00008E020000}"/>
    <cellStyle name="20% - Accent1 4 2 3 2 2 3 4 2" xfId="10465" xr:uid="{00000000-0005-0000-0000-00008F020000}"/>
    <cellStyle name="20% - Accent1 4 2 3 2 2 3 5" xfId="10466" xr:uid="{00000000-0005-0000-0000-000090020000}"/>
    <cellStyle name="20% - Accent1 4 2 3 2 2 3 6" xfId="10467" xr:uid="{00000000-0005-0000-0000-000091020000}"/>
    <cellStyle name="20% - Accent1 4 2 3 2 2 4" xfId="10468" xr:uid="{00000000-0005-0000-0000-000092020000}"/>
    <cellStyle name="20% - Accent1 4 2 3 2 2 4 2" xfId="10469" xr:uid="{00000000-0005-0000-0000-000093020000}"/>
    <cellStyle name="20% - Accent1 4 2 3 2 2 4 2 2" xfId="10470" xr:uid="{00000000-0005-0000-0000-000094020000}"/>
    <cellStyle name="20% - Accent1 4 2 3 2 2 4 2 3" xfId="10471" xr:uid="{00000000-0005-0000-0000-000095020000}"/>
    <cellStyle name="20% - Accent1 4 2 3 2 2 4 3" xfId="10472" xr:uid="{00000000-0005-0000-0000-000096020000}"/>
    <cellStyle name="20% - Accent1 4 2 3 2 2 4 3 2" xfId="10473" xr:uid="{00000000-0005-0000-0000-000097020000}"/>
    <cellStyle name="20% - Accent1 4 2 3 2 2 4 4" xfId="10474" xr:uid="{00000000-0005-0000-0000-000098020000}"/>
    <cellStyle name="20% - Accent1 4 2 3 2 2 4 5" xfId="10475" xr:uid="{00000000-0005-0000-0000-000099020000}"/>
    <cellStyle name="20% - Accent1 4 2 3 2 2 5" xfId="10476" xr:uid="{00000000-0005-0000-0000-00009A020000}"/>
    <cellStyle name="20% - Accent1 4 2 3 2 2 5 2" xfId="10477" xr:uid="{00000000-0005-0000-0000-00009B020000}"/>
    <cellStyle name="20% - Accent1 4 2 3 2 2 5 3" xfId="10478" xr:uid="{00000000-0005-0000-0000-00009C020000}"/>
    <cellStyle name="20% - Accent1 4 2 3 2 2 6" xfId="10479" xr:uid="{00000000-0005-0000-0000-00009D020000}"/>
    <cellStyle name="20% - Accent1 4 2 3 2 2 6 2" xfId="10480" xr:uid="{00000000-0005-0000-0000-00009E020000}"/>
    <cellStyle name="20% - Accent1 4 2 3 2 2 6 3" xfId="10481" xr:uid="{00000000-0005-0000-0000-00009F020000}"/>
    <cellStyle name="20% - Accent1 4 2 3 2 2 7" xfId="10482" xr:uid="{00000000-0005-0000-0000-0000A0020000}"/>
    <cellStyle name="20% - Accent1 4 2 3 2 2 7 2" xfId="10483" xr:uid="{00000000-0005-0000-0000-0000A1020000}"/>
    <cellStyle name="20% - Accent1 4 2 3 2 2 8" xfId="10484" xr:uid="{00000000-0005-0000-0000-0000A2020000}"/>
    <cellStyle name="20% - Accent1 4 2 3 2 2 9" xfId="10485" xr:uid="{00000000-0005-0000-0000-0000A3020000}"/>
    <cellStyle name="20% - Accent1 4 2 3 2 3" xfId="10486" xr:uid="{00000000-0005-0000-0000-0000A4020000}"/>
    <cellStyle name="20% - Accent1 4 2 3 2 3 2" xfId="10487" xr:uid="{00000000-0005-0000-0000-0000A5020000}"/>
    <cellStyle name="20% - Accent1 4 2 3 2 3 2 2" xfId="10488" xr:uid="{00000000-0005-0000-0000-0000A6020000}"/>
    <cellStyle name="20% - Accent1 4 2 3 2 3 2 3" xfId="10489" xr:uid="{00000000-0005-0000-0000-0000A7020000}"/>
    <cellStyle name="20% - Accent1 4 2 3 2 3 3" xfId="10490" xr:uid="{00000000-0005-0000-0000-0000A8020000}"/>
    <cellStyle name="20% - Accent1 4 2 3 2 3 3 2" xfId="10491" xr:uid="{00000000-0005-0000-0000-0000A9020000}"/>
    <cellStyle name="20% - Accent1 4 2 3 2 3 3 3" xfId="10492" xr:uid="{00000000-0005-0000-0000-0000AA020000}"/>
    <cellStyle name="20% - Accent1 4 2 3 2 3 4" xfId="10493" xr:uid="{00000000-0005-0000-0000-0000AB020000}"/>
    <cellStyle name="20% - Accent1 4 2 3 2 3 4 2" xfId="10494" xr:uid="{00000000-0005-0000-0000-0000AC020000}"/>
    <cellStyle name="20% - Accent1 4 2 3 2 3 5" xfId="10495" xr:uid="{00000000-0005-0000-0000-0000AD020000}"/>
    <cellStyle name="20% - Accent1 4 2 3 2 3 6" xfId="10496" xr:uid="{00000000-0005-0000-0000-0000AE020000}"/>
    <cellStyle name="20% - Accent1 4 2 3 2 4" xfId="10497" xr:uid="{00000000-0005-0000-0000-0000AF020000}"/>
    <cellStyle name="20% - Accent1 4 2 3 2 4 2" xfId="10498" xr:uid="{00000000-0005-0000-0000-0000B0020000}"/>
    <cellStyle name="20% - Accent1 4 2 3 2 4 2 2" xfId="10499" xr:uid="{00000000-0005-0000-0000-0000B1020000}"/>
    <cellStyle name="20% - Accent1 4 2 3 2 4 2 3" xfId="10500" xr:uid="{00000000-0005-0000-0000-0000B2020000}"/>
    <cellStyle name="20% - Accent1 4 2 3 2 4 3" xfId="10501" xr:uid="{00000000-0005-0000-0000-0000B3020000}"/>
    <cellStyle name="20% - Accent1 4 2 3 2 4 3 2" xfId="10502" xr:uid="{00000000-0005-0000-0000-0000B4020000}"/>
    <cellStyle name="20% - Accent1 4 2 3 2 4 3 3" xfId="10503" xr:uid="{00000000-0005-0000-0000-0000B5020000}"/>
    <cellStyle name="20% - Accent1 4 2 3 2 4 4" xfId="10504" xr:uid="{00000000-0005-0000-0000-0000B6020000}"/>
    <cellStyle name="20% - Accent1 4 2 3 2 4 4 2" xfId="10505" xr:uid="{00000000-0005-0000-0000-0000B7020000}"/>
    <cellStyle name="20% - Accent1 4 2 3 2 4 5" xfId="10506" xr:uid="{00000000-0005-0000-0000-0000B8020000}"/>
    <cellStyle name="20% - Accent1 4 2 3 2 4 6" xfId="10507" xr:uid="{00000000-0005-0000-0000-0000B9020000}"/>
    <cellStyle name="20% - Accent1 4 2 3 2 5" xfId="10508" xr:uid="{00000000-0005-0000-0000-0000BA020000}"/>
    <cellStyle name="20% - Accent1 4 2 3 2 5 2" xfId="10509" xr:uid="{00000000-0005-0000-0000-0000BB020000}"/>
    <cellStyle name="20% - Accent1 4 2 3 2 5 2 2" xfId="10510" xr:uid="{00000000-0005-0000-0000-0000BC020000}"/>
    <cellStyle name="20% - Accent1 4 2 3 2 5 2 3" xfId="10511" xr:uid="{00000000-0005-0000-0000-0000BD020000}"/>
    <cellStyle name="20% - Accent1 4 2 3 2 5 3" xfId="10512" xr:uid="{00000000-0005-0000-0000-0000BE020000}"/>
    <cellStyle name="20% - Accent1 4 2 3 2 5 3 2" xfId="10513" xr:uid="{00000000-0005-0000-0000-0000BF020000}"/>
    <cellStyle name="20% - Accent1 4 2 3 2 5 4" xfId="10514" xr:uid="{00000000-0005-0000-0000-0000C0020000}"/>
    <cellStyle name="20% - Accent1 4 2 3 2 5 5" xfId="10515" xr:uid="{00000000-0005-0000-0000-0000C1020000}"/>
    <cellStyle name="20% - Accent1 4 2 3 2 6" xfId="10516" xr:uid="{00000000-0005-0000-0000-0000C2020000}"/>
    <cellStyle name="20% - Accent1 4 2 3 2 6 2" xfId="10517" xr:uid="{00000000-0005-0000-0000-0000C3020000}"/>
    <cellStyle name="20% - Accent1 4 2 3 2 6 3" xfId="10518" xr:uid="{00000000-0005-0000-0000-0000C4020000}"/>
    <cellStyle name="20% - Accent1 4 2 3 2 7" xfId="10519" xr:uid="{00000000-0005-0000-0000-0000C5020000}"/>
    <cellStyle name="20% - Accent1 4 2 3 2 7 2" xfId="10520" xr:uid="{00000000-0005-0000-0000-0000C6020000}"/>
    <cellStyle name="20% - Accent1 4 2 3 2 7 3" xfId="10521" xr:uid="{00000000-0005-0000-0000-0000C7020000}"/>
    <cellStyle name="20% - Accent1 4 2 3 2 8" xfId="10522" xr:uid="{00000000-0005-0000-0000-0000C8020000}"/>
    <cellStyle name="20% - Accent1 4 2 3 2 8 2" xfId="10523" xr:uid="{00000000-0005-0000-0000-0000C9020000}"/>
    <cellStyle name="20% - Accent1 4 2 3 2 9" xfId="10524" xr:uid="{00000000-0005-0000-0000-0000CA020000}"/>
    <cellStyle name="20% - Accent1 4 2 3 3" xfId="162" xr:uid="{00000000-0005-0000-0000-0000CB020000}"/>
    <cellStyle name="20% - Accent1 4 2 3 3 2" xfId="10525" xr:uid="{00000000-0005-0000-0000-0000CC020000}"/>
    <cellStyle name="20% - Accent1 4 2 3 3 2 2" xfId="10526" xr:uid="{00000000-0005-0000-0000-0000CD020000}"/>
    <cellStyle name="20% - Accent1 4 2 3 3 2 2 2" xfId="10527" xr:uid="{00000000-0005-0000-0000-0000CE020000}"/>
    <cellStyle name="20% - Accent1 4 2 3 3 2 2 3" xfId="10528" xr:uid="{00000000-0005-0000-0000-0000CF020000}"/>
    <cellStyle name="20% - Accent1 4 2 3 3 2 3" xfId="10529" xr:uid="{00000000-0005-0000-0000-0000D0020000}"/>
    <cellStyle name="20% - Accent1 4 2 3 3 2 3 2" xfId="10530" xr:uid="{00000000-0005-0000-0000-0000D1020000}"/>
    <cellStyle name="20% - Accent1 4 2 3 3 2 3 3" xfId="10531" xr:uid="{00000000-0005-0000-0000-0000D2020000}"/>
    <cellStyle name="20% - Accent1 4 2 3 3 2 4" xfId="10532" xr:uid="{00000000-0005-0000-0000-0000D3020000}"/>
    <cellStyle name="20% - Accent1 4 2 3 3 2 4 2" xfId="10533" xr:uid="{00000000-0005-0000-0000-0000D4020000}"/>
    <cellStyle name="20% - Accent1 4 2 3 3 2 5" xfId="10534" xr:uid="{00000000-0005-0000-0000-0000D5020000}"/>
    <cellStyle name="20% - Accent1 4 2 3 3 2 6" xfId="10535" xr:uid="{00000000-0005-0000-0000-0000D6020000}"/>
    <cellStyle name="20% - Accent1 4 2 3 3 3" xfId="10536" xr:uid="{00000000-0005-0000-0000-0000D7020000}"/>
    <cellStyle name="20% - Accent1 4 2 3 3 3 2" xfId="10537" xr:uid="{00000000-0005-0000-0000-0000D8020000}"/>
    <cellStyle name="20% - Accent1 4 2 3 3 3 2 2" xfId="10538" xr:uid="{00000000-0005-0000-0000-0000D9020000}"/>
    <cellStyle name="20% - Accent1 4 2 3 3 3 2 3" xfId="10539" xr:uid="{00000000-0005-0000-0000-0000DA020000}"/>
    <cellStyle name="20% - Accent1 4 2 3 3 3 3" xfId="10540" xr:uid="{00000000-0005-0000-0000-0000DB020000}"/>
    <cellStyle name="20% - Accent1 4 2 3 3 3 3 2" xfId="10541" xr:uid="{00000000-0005-0000-0000-0000DC020000}"/>
    <cellStyle name="20% - Accent1 4 2 3 3 3 3 3" xfId="10542" xr:uid="{00000000-0005-0000-0000-0000DD020000}"/>
    <cellStyle name="20% - Accent1 4 2 3 3 3 4" xfId="10543" xr:uid="{00000000-0005-0000-0000-0000DE020000}"/>
    <cellStyle name="20% - Accent1 4 2 3 3 3 4 2" xfId="10544" xr:uid="{00000000-0005-0000-0000-0000DF020000}"/>
    <cellStyle name="20% - Accent1 4 2 3 3 3 5" xfId="10545" xr:uid="{00000000-0005-0000-0000-0000E0020000}"/>
    <cellStyle name="20% - Accent1 4 2 3 3 3 6" xfId="10546" xr:uid="{00000000-0005-0000-0000-0000E1020000}"/>
    <cellStyle name="20% - Accent1 4 2 3 3 4" xfId="10547" xr:uid="{00000000-0005-0000-0000-0000E2020000}"/>
    <cellStyle name="20% - Accent1 4 2 3 3 4 2" xfId="10548" xr:uid="{00000000-0005-0000-0000-0000E3020000}"/>
    <cellStyle name="20% - Accent1 4 2 3 3 4 2 2" xfId="10549" xr:uid="{00000000-0005-0000-0000-0000E4020000}"/>
    <cellStyle name="20% - Accent1 4 2 3 3 4 2 3" xfId="10550" xr:uid="{00000000-0005-0000-0000-0000E5020000}"/>
    <cellStyle name="20% - Accent1 4 2 3 3 4 3" xfId="10551" xr:uid="{00000000-0005-0000-0000-0000E6020000}"/>
    <cellStyle name="20% - Accent1 4 2 3 3 4 3 2" xfId="10552" xr:uid="{00000000-0005-0000-0000-0000E7020000}"/>
    <cellStyle name="20% - Accent1 4 2 3 3 4 4" xfId="10553" xr:uid="{00000000-0005-0000-0000-0000E8020000}"/>
    <cellStyle name="20% - Accent1 4 2 3 3 4 5" xfId="10554" xr:uid="{00000000-0005-0000-0000-0000E9020000}"/>
    <cellStyle name="20% - Accent1 4 2 3 3 5" xfId="10555" xr:uid="{00000000-0005-0000-0000-0000EA020000}"/>
    <cellStyle name="20% - Accent1 4 2 3 3 5 2" xfId="10556" xr:uid="{00000000-0005-0000-0000-0000EB020000}"/>
    <cellStyle name="20% - Accent1 4 2 3 3 5 3" xfId="10557" xr:uid="{00000000-0005-0000-0000-0000EC020000}"/>
    <cellStyle name="20% - Accent1 4 2 3 3 6" xfId="10558" xr:uid="{00000000-0005-0000-0000-0000ED020000}"/>
    <cellStyle name="20% - Accent1 4 2 3 3 6 2" xfId="10559" xr:uid="{00000000-0005-0000-0000-0000EE020000}"/>
    <cellStyle name="20% - Accent1 4 2 3 3 6 3" xfId="10560" xr:uid="{00000000-0005-0000-0000-0000EF020000}"/>
    <cellStyle name="20% - Accent1 4 2 3 3 7" xfId="10561" xr:uid="{00000000-0005-0000-0000-0000F0020000}"/>
    <cellStyle name="20% - Accent1 4 2 3 3 7 2" xfId="10562" xr:uid="{00000000-0005-0000-0000-0000F1020000}"/>
    <cellStyle name="20% - Accent1 4 2 3 3 8" xfId="10563" xr:uid="{00000000-0005-0000-0000-0000F2020000}"/>
    <cellStyle name="20% - Accent1 4 2 3 3 9" xfId="10564" xr:uid="{00000000-0005-0000-0000-0000F3020000}"/>
    <cellStyle name="20% - Accent1 4 2 3 4" xfId="10565" xr:uid="{00000000-0005-0000-0000-0000F4020000}"/>
    <cellStyle name="20% - Accent1 4 2 3 4 2" xfId="10566" xr:uid="{00000000-0005-0000-0000-0000F5020000}"/>
    <cellStyle name="20% - Accent1 4 2 3 4 2 2" xfId="10567" xr:uid="{00000000-0005-0000-0000-0000F6020000}"/>
    <cellStyle name="20% - Accent1 4 2 3 4 2 2 2" xfId="10568" xr:uid="{00000000-0005-0000-0000-0000F7020000}"/>
    <cellStyle name="20% - Accent1 4 2 3 4 2 2 3" xfId="10569" xr:uid="{00000000-0005-0000-0000-0000F8020000}"/>
    <cellStyle name="20% - Accent1 4 2 3 4 2 3" xfId="10570" xr:uid="{00000000-0005-0000-0000-0000F9020000}"/>
    <cellStyle name="20% - Accent1 4 2 3 4 2 3 2" xfId="10571" xr:uid="{00000000-0005-0000-0000-0000FA020000}"/>
    <cellStyle name="20% - Accent1 4 2 3 4 2 3 3" xfId="10572" xr:uid="{00000000-0005-0000-0000-0000FB020000}"/>
    <cellStyle name="20% - Accent1 4 2 3 4 2 4" xfId="10573" xr:uid="{00000000-0005-0000-0000-0000FC020000}"/>
    <cellStyle name="20% - Accent1 4 2 3 4 2 4 2" xfId="10574" xr:uid="{00000000-0005-0000-0000-0000FD020000}"/>
    <cellStyle name="20% - Accent1 4 2 3 4 2 5" xfId="10575" xr:uid="{00000000-0005-0000-0000-0000FE020000}"/>
    <cellStyle name="20% - Accent1 4 2 3 4 2 6" xfId="10576" xr:uid="{00000000-0005-0000-0000-0000FF020000}"/>
    <cellStyle name="20% - Accent1 4 2 3 4 3" xfId="10577" xr:uid="{00000000-0005-0000-0000-000000030000}"/>
    <cellStyle name="20% - Accent1 4 2 3 4 3 2" xfId="10578" xr:uid="{00000000-0005-0000-0000-000001030000}"/>
    <cellStyle name="20% - Accent1 4 2 3 4 3 2 2" xfId="10579" xr:uid="{00000000-0005-0000-0000-000002030000}"/>
    <cellStyle name="20% - Accent1 4 2 3 4 3 2 3" xfId="10580" xr:uid="{00000000-0005-0000-0000-000003030000}"/>
    <cellStyle name="20% - Accent1 4 2 3 4 3 3" xfId="10581" xr:uid="{00000000-0005-0000-0000-000004030000}"/>
    <cellStyle name="20% - Accent1 4 2 3 4 3 3 2" xfId="10582" xr:uid="{00000000-0005-0000-0000-000005030000}"/>
    <cellStyle name="20% - Accent1 4 2 3 4 3 3 3" xfId="10583" xr:uid="{00000000-0005-0000-0000-000006030000}"/>
    <cellStyle name="20% - Accent1 4 2 3 4 3 4" xfId="10584" xr:uid="{00000000-0005-0000-0000-000007030000}"/>
    <cellStyle name="20% - Accent1 4 2 3 4 3 4 2" xfId="10585" xr:uid="{00000000-0005-0000-0000-000008030000}"/>
    <cellStyle name="20% - Accent1 4 2 3 4 3 5" xfId="10586" xr:uid="{00000000-0005-0000-0000-000009030000}"/>
    <cellStyle name="20% - Accent1 4 2 3 4 3 6" xfId="10587" xr:uid="{00000000-0005-0000-0000-00000A030000}"/>
    <cellStyle name="20% - Accent1 4 2 3 4 4" xfId="10588" xr:uid="{00000000-0005-0000-0000-00000B030000}"/>
    <cellStyle name="20% - Accent1 4 2 3 4 4 2" xfId="10589" xr:uid="{00000000-0005-0000-0000-00000C030000}"/>
    <cellStyle name="20% - Accent1 4 2 3 4 4 2 2" xfId="10590" xr:uid="{00000000-0005-0000-0000-00000D030000}"/>
    <cellStyle name="20% - Accent1 4 2 3 4 4 2 3" xfId="10591" xr:uid="{00000000-0005-0000-0000-00000E030000}"/>
    <cellStyle name="20% - Accent1 4 2 3 4 4 3" xfId="10592" xr:uid="{00000000-0005-0000-0000-00000F030000}"/>
    <cellStyle name="20% - Accent1 4 2 3 4 4 3 2" xfId="10593" xr:uid="{00000000-0005-0000-0000-000010030000}"/>
    <cellStyle name="20% - Accent1 4 2 3 4 4 4" xfId="10594" xr:uid="{00000000-0005-0000-0000-000011030000}"/>
    <cellStyle name="20% - Accent1 4 2 3 4 4 5" xfId="10595" xr:uid="{00000000-0005-0000-0000-000012030000}"/>
    <cellStyle name="20% - Accent1 4 2 3 4 5" xfId="10596" xr:uid="{00000000-0005-0000-0000-000013030000}"/>
    <cellStyle name="20% - Accent1 4 2 3 4 5 2" xfId="10597" xr:uid="{00000000-0005-0000-0000-000014030000}"/>
    <cellStyle name="20% - Accent1 4 2 3 4 5 3" xfId="10598" xr:uid="{00000000-0005-0000-0000-000015030000}"/>
    <cellStyle name="20% - Accent1 4 2 3 4 6" xfId="10599" xr:uid="{00000000-0005-0000-0000-000016030000}"/>
    <cellStyle name="20% - Accent1 4 2 3 4 6 2" xfId="10600" xr:uid="{00000000-0005-0000-0000-000017030000}"/>
    <cellStyle name="20% - Accent1 4 2 3 4 6 3" xfId="10601" xr:uid="{00000000-0005-0000-0000-000018030000}"/>
    <cellStyle name="20% - Accent1 4 2 3 4 7" xfId="10602" xr:uid="{00000000-0005-0000-0000-000019030000}"/>
    <cellStyle name="20% - Accent1 4 2 3 4 7 2" xfId="10603" xr:uid="{00000000-0005-0000-0000-00001A030000}"/>
    <cellStyle name="20% - Accent1 4 2 3 4 8" xfId="10604" xr:uid="{00000000-0005-0000-0000-00001B030000}"/>
    <cellStyle name="20% - Accent1 4 2 3 4 9" xfId="10605" xr:uid="{00000000-0005-0000-0000-00001C030000}"/>
    <cellStyle name="20% - Accent1 4 2 3 5" xfId="10606" xr:uid="{00000000-0005-0000-0000-00001D030000}"/>
    <cellStyle name="20% - Accent1 4 2 3 5 2" xfId="10607" xr:uid="{00000000-0005-0000-0000-00001E030000}"/>
    <cellStyle name="20% - Accent1 4 2 3 5 2 2" xfId="10608" xr:uid="{00000000-0005-0000-0000-00001F030000}"/>
    <cellStyle name="20% - Accent1 4 2 3 5 2 3" xfId="10609" xr:uid="{00000000-0005-0000-0000-000020030000}"/>
    <cellStyle name="20% - Accent1 4 2 3 5 3" xfId="10610" xr:uid="{00000000-0005-0000-0000-000021030000}"/>
    <cellStyle name="20% - Accent1 4 2 3 5 3 2" xfId="10611" xr:uid="{00000000-0005-0000-0000-000022030000}"/>
    <cellStyle name="20% - Accent1 4 2 3 5 3 3" xfId="10612" xr:uid="{00000000-0005-0000-0000-000023030000}"/>
    <cellStyle name="20% - Accent1 4 2 3 5 4" xfId="10613" xr:uid="{00000000-0005-0000-0000-000024030000}"/>
    <cellStyle name="20% - Accent1 4 2 3 5 4 2" xfId="10614" xr:uid="{00000000-0005-0000-0000-000025030000}"/>
    <cellStyle name="20% - Accent1 4 2 3 5 5" xfId="10615" xr:uid="{00000000-0005-0000-0000-000026030000}"/>
    <cellStyle name="20% - Accent1 4 2 3 5 6" xfId="10616" xr:uid="{00000000-0005-0000-0000-000027030000}"/>
    <cellStyle name="20% - Accent1 4 2 3 6" xfId="10617" xr:uid="{00000000-0005-0000-0000-000028030000}"/>
    <cellStyle name="20% - Accent1 4 2 3 6 2" xfId="10618" xr:uid="{00000000-0005-0000-0000-000029030000}"/>
    <cellStyle name="20% - Accent1 4 2 3 6 2 2" xfId="10619" xr:uid="{00000000-0005-0000-0000-00002A030000}"/>
    <cellStyle name="20% - Accent1 4 2 3 6 2 3" xfId="10620" xr:uid="{00000000-0005-0000-0000-00002B030000}"/>
    <cellStyle name="20% - Accent1 4 2 3 6 3" xfId="10621" xr:uid="{00000000-0005-0000-0000-00002C030000}"/>
    <cellStyle name="20% - Accent1 4 2 3 6 3 2" xfId="10622" xr:uid="{00000000-0005-0000-0000-00002D030000}"/>
    <cellStyle name="20% - Accent1 4 2 3 6 3 3" xfId="10623" xr:uid="{00000000-0005-0000-0000-00002E030000}"/>
    <cellStyle name="20% - Accent1 4 2 3 6 4" xfId="10624" xr:uid="{00000000-0005-0000-0000-00002F030000}"/>
    <cellStyle name="20% - Accent1 4 2 3 6 4 2" xfId="10625" xr:uid="{00000000-0005-0000-0000-000030030000}"/>
    <cellStyle name="20% - Accent1 4 2 3 6 5" xfId="10626" xr:uid="{00000000-0005-0000-0000-000031030000}"/>
    <cellStyle name="20% - Accent1 4 2 3 6 6" xfId="10627" xr:uid="{00000000-0005-0000-0000-000032030000}"/>
    <cellStyle name="20% - Accent1 4 2 3 7" xfId="10628" xr:uid="{00000000-0005-0000-0000-000033030000}"/>
    <cellStyle name="20% - Accent1 4 2 3 7 2" xfId="10629" xr:uid="{00000000-0005-0000-0000-000034030000}"/>
    <cellStyle name="20% - Accent1 4 2 3 7 2 2" xfId="10630" xr:uid="{00000000-0005-0000-0000-000035030000}"/>
    <cellStyle name="20% - Accent1 4 2 3 7 2 3" xfId="10631" xr:uid="{00000000-0005-0000-0000-000036030000}"/>
    <cellStyle name="20% - Accent1 4 2 3 7 3" xfId="10632" xr:uid="{00000000-0005-0000-0000-000037030000}"/>
    <cellStyle name="20% - Accent1 4 2 3 7 3 2" xfId="10633" xr:uid="{00000000-0005-0000-0000-000038030000}"/>
    <cellStyle name="20% - Accent1 4 2 3 7 4" xfId="10634" xr:uid="{00000000-0005-0000-0000-000039030000}"/>
    <cellStyle name="20% - Accent1 4 2 3 7 5" xfId="10635" xr:uid="{00000000-0005-0000-0000-00003A030000}"/>
    <cellStyle name="20% - Accent1 4 2 3 8" xfId="10636" xr:uid="{00000000-0005-0000-0000-00003B030000}"/>
    <cellStyle name="20% - Accent1 4 2 3 8 2" xfId="10637" xr:uid="{00000000-0005-0000-0000-00003C030000}"/>
    <cellStyle name="20% - Accent1 4 2 3 8 3" xfId="10638" xr:uid="{00000000-0005-0000-0000-00003D030000}"/>
    <cellStyle name="20% - Accent1 4 2 3 9" xfId="10639" xr:uid="{00000000-0005-0000-0000-00003E030000}"/>
    <cellStyle name="20% - Accent1 4 2 3 9 2" xfId="10640" xr:uid="{00000000-0005-0000-0000-00003F030000}"/>
    <cellStyle name="20% - Accent1 4 2 3 9 3" xfId="10641" xr:uid="{00000000-0005-0000-0000-000040030000}"/>
    <cellStyle name="20% - Accent1 4 2 4" xfId="163" xr:uid="{00000000-0005-0000-0000-000041030000}"/>
    <cellStyle name="20% - Accent1 4 2 4 10" xfId="10642" xr:uid="{00000000-0005-0000-0000-000042030000}"/>
    <cellStyle name="20% - Accent1 4 2 4 2" xfId="164" xr:uid="{00000000-0005-0000-0000-000043030000}"/>
    <cellStyle name="20% - Accent1 4 2 4 2 2" xfId="10643" xr:uid="{00000000-0005-0000-0000-000044030000}"/>
    <cellStyle name="20% - Accent1 4 2 4 2 2 2" xfId="10644" xr:uid="{00000000-0005-0000-0000-000045030000}"/>
    <cellStyle name="20% - Accent1 4 2 4 2 2 2 2" xfId="10645" xr:uid="{00000000-0005-0000-0000-000046030000}"/>
    <cellStyle name="20% - Accent1 4 2 4 2 2 2 3" xfId="10646" xr:uid="{00000000-0005-0000-0000-000047030000}"/>
    <cellStyle name="20% - Accent1 4 2 4 2 2 3" xfId="10647" xr:uid="{00000000-0005-0000-0000-000048030000}"/>
    <cellStyle name="20% - Accent1 4 2 4 2 2 3 2" xfId="10648" xr:uid="{00000000-0005-0000-0000-000049030000}"/>
    <cellStyle name="20% - Accent1 4 2 4 2 2 3 3" xfId="10649" xr:uid="{00000000-0005-0000-0000-00004A030000}"/>
    <cellStyle name="20% - Accent1 4 2 4 2 2 4" xfId="10650" xr:uid="{00000000-0005-0000-0000-00004B030000}"/>
    <cellStyle name="20% - Accent1 4 2 4 2 2 4 2" xfId="10651" xr:uid="{00000000-0005-0000-0000-00004C030000}"/>
    <cellStyle name="20% - Accent1 4 2 4 2 2 5" xfId="10652" xr:uid="{00000000-0005-0000-0000-00004D030000}"/>
    <cellStyle name="20% - Accent1 4 2 4 2 2 6" xfId="10653" xr:uid="{00000000-0005-0000-0000-00004E030000}"/>
    <cellStyle name="20% - Accent1 4 2 4 2 3" xfId="10654" xr:uid="{00000000-0005-0000-0000-00004F030000}"/>
    <cellStyle name="20% - Accent1 4 2 4 2 3 2" xfId="10655" xr:uid="{00000000-0005-0000-0000-000050030000}"/>
    <cellStyle name="20% - Accent1 4 2 4 2 3 2 2" xfId="10656" xr:uid="{00000000-0005-0000-0000-000051030000}"/>
    <cellStyle name="20% - Accent1 4 2 4 2 3 2 3" xfId="10657" xr:uid="{00000000-0005-0000-0000-000052030000}"/>
    <cellStyle name="20% - Accent1 4 2 4 2 3 3" xfId="10658" xr:uid="{00000000-0005-0000-0000-000053030000}"/>
    <cellStyle name="20% - Accent1 4 2 4 2 3 3 2" xfId="10659" xr:uid="{00000000-0005-0000-0000-000054030000}"/>
    <cellStyle name="20% - Accent1 4 2 4 2 3 3 3" xfId="10660" xr:uid="{00000000-0005-0000-0000-000055030000}"/>
    <cellStyle name="20% - Accent1 4 2 4 2 3 4" xfId="10661" xr:uid="{00000000-0005-0000-0000-000056030000}"/>
    <cellStyle name="20% - Accent1 4 2 4 2 3 4 2" xfId="10662" xr:uid="{00000000-0005-0000-0000-000057030000}"/>
    <cellStyle name="20% - Accent1 4 2 4 2 3 5" xfId="10663" xr:uid="{00000000-0005-0000-0000-000058030000}"/>
    <cellStyle name="20% - Accent1 4 2 4 2 3 6" xfId="10664" xr:uid="{00000000-0005-0000-0000-000059030000}"/>
    <cellStyle name="20% - Accent1 4 2 4 2 4" xfId="10665" xr:uid="{00000000-0005-0000-0000-00005A030000}"/>
    <cellStyle name="20% - Accent1 4 2 4 2 4 2" xfId="10666" xr:uid="{00000000-0005-0000-0000-00005B030000}"/>
    <cellStyle name="20% - Accent1 4 2 4 2 4 2 2" xfId="10667" xr:uid="{00000000-0005-0000-0000-00005C030000}"/>
    <cellStyle name="20% - Accent1 4 2 4 2 4 2 3" xfId="10668" xr:uid="{00000000-0005-0000-0000-00005D030000}"/>
    <cellStyle name="20% - Accent1 4 2 4 2 4 3" xfId="10669" xr:uid="{00000000-0005-0000-0000-00005E030000}"/>
    <cellStyle name="20% - Accent1 4 2 4 2 4 3 2" xfId="10670" xr:uid="{00000000-0005-0000-0000-00005F030000}"/>
    <cellStyle name="20% - Accent1 4 2 4 2 4 4" xfId="10671" xr:uid="{00000000-0005-0000-0000-000060030000}"/>
    <cellStyle name="20% - Accent1 4 2 4 2 4 5" xfId="10672" xr:uid="{00000000-0005-0000-0000-000061030000}"/>
    <cellStyle name="20% - Accent1 4 2 4 2 5" xfId="10673" xr:uid="{00000000-0005-0000-0000-000062030000}"/>
    <cellStyle name="20% - Accent1 4 2 4 2 5 2" xfId="10674" xr:uid="{00000000-0005-0000-0000-000063030000}"/>
    <cellStyle name="20% - Accent1 4 2 4 2 5 3" xfId="10675" xr:uid="{00000000-0005-0000-0000-000064030000}"/>
    <cellStyle name="20% - Accent1 4 2 4 2 6" xfId="10676" xr:uid="{00000000-0005-0000-0000-000065030000}"/>
    <cellStyle name="20% - Accent1 4 2 4 2 6 2" xfId="10677" xr:uid="{00000000-0005-0000-0000-000066030000}"/>
    <cellStyle name="20% - Accent1 4 2 4 2 6 3" xfId="10678" xr:uid="{00000000-0005-0000-0000-000067030000}"/>
    <cellStyle name="20% - Accent1 4 2 4 2 7" xfId="10679" xr:uid="{00000000-0005-0000-0000-000068030000}"/>
    <cellStyle name="20% - Accent1 4 2 4 2 7 2" xfId="10680" xr:uid="{00000000-0005-0000-0000-000069030000}"/>
    <cellStyle name="20% - Accent1 4 2 4 2 8" xfId="10681" xr:uid="{00000000-0005-0000-0000-00006A030000}"/>
    <cellStyle name="20% - Accent1 4 2 4 2 9" xfId="10682" xr:uid="{00000000-0005-0000-0000-00006B030000}"/>
    <cellStyle name="20% - Accent1 4 2 4 3" xfId="10683" xr:uid="{00000000-0005-0000-0000-00006C030000}"/>
    <cellStyle name="20% - Accent1 4 2 4 3 2" xfId="10684" xr:uid="{00000000-0005-0000-0000-00006D030000}"/>
    <cellStyle name="20% - Accent1 4 2 4 3 2 2" xfId="10685" xr:uid="{00000000-0005-0000-0000-00006E030000}"/>
    <cellStyle name="20% - Accent1 4 2 4 3 2 3" xfId="10686" xr:uid="{00000000-0005-0000-0000-00006F030000}"/>
    <cellStyle name="20% - Accent1 4 2 4 3 3" xfId="10687" xr:uid="{00000000-0005-0000-0000-000070030000}"/>
    <cellStyle name="20% - Accent1 4 2 4 3 3 2" xfId="10688" xr:uid="{00000000-0005-0000-0000-000071030000}"/>
    <cellStyle name="20% - Accent1 4 2 4 3 3 3" xfId="10689" xr:uid="{00000000-0005-0000-0000-000072030000}"/>
    <cellStyle name="20% - Accent1 4 2 4 3 4" xfId="10690" xr:uid="{00000000-0005-0000-0000-000073030000}"/>
    <cellStyle name="20% - Accent1 4 2 4 3 4 2" xfId="10691" xr:uid="{00000000-0005-0000-0000-000074030000}"/>
    <cellStyle name="20% - Accent1 4 2 4 3 5" xfId="10692" xr:uid="{00000000-0005-0000-0000-000075030000}"/>
    <cellStyle name="20% - Accent1 4 2 4 3 6" xfId="10693" xr:uid="{00000000-0005-0000-0000-000076030000}"/>
    <cellStyle name="20% - Accent1 4 2 4 4" xfId="10694" xr:uid="{00000000-0005-0000-0000-000077030000}"/>
    <cellStyle name="20% - Accent1 4 2 4 4 2" xfId="10695" xr:uid="{00000000-0005-0000-0000-000078030000}"/>
    <cellStyle name="20% - Accent1 4 2 4 4 2 2" xfId="10696" xr:uid="{00000000-0005-0000-0000-000079030000}"/>
    <cellStyle name="20% - Accent1 4 2 4 4 2 3" xfId="10697" xr:uid="{00000000-0005-0000-0000-00007A030000}"/>
    <cellStyle name="20% - Accent1 4 2 4 4 3" xfId="10698" xr:uid="{00000000-0005-0000-0000-00007B030000}"/>
    <cellStyle name="20% - Accent1 4 2 4 4 3 2" xfId="10699" xr:uid="{00000000-0005-0000-0000-00007C030000}"/>
    <cellStyle name="20% - Accent1 4 2 4 4 3 3" xfId="10700" xr:uid="{00000000-0005-0000-0000-00007D030000}"/>
    <cellStyle name="20% - Accent1 4 2 4 4 4" xfId="10701" xr:uid="{00000000-0005-0000-0000-00007E030000}"/>
    <cellStyle name="20% - Accent1 4 2 4 4 4 2" xfId="10702" xr:uid="{00000000-0005-0000-0000-00007F030000}"/>
    <cellStyle name="20% - Accent1 4 2 4 4 5" xfId="10703" xr:uid="{00000000-0005-0000-0000-000080030000}"/>
    <cellStyle name="20% - Accent1 4 2 4 4 6" xfId="10704" xr:uid="{00000000-0005-0000-0000-000081030000}"/>
    <cellStyle name="20% - Accent1 4 2 4 5" xfId="10705" xr:uid="{00000000-0005-0000-0000-000082030000}"/>
    <cellStyle name="20% - Accent1 4 2 4 5 2" xfId="10706" xr:uid="{00000000-0005-0000-0000-000083030000}"/>
    <cellStyle name="20% - Accent1 4 2 4 5 2 2" xfId="10707" xr:uid="{00000000-0005-0000-0000-000084030000}"/>
    <cellStyle name="20% - Accent1 4 2 4 5 2 3" xfId="10708" xr:uid="{00000000-0005-0000-0000-000085030000}"/>
    <cellStyle name="20% - Accent1 4 2 4 5 3" xfId="10709" xr:uid="{00000000-0005-0000-0000-000086030000}"/>
    <cellStyle name="20% - Accent1 4 2 4 5 3 2" xfId="10710" xr:uid="{00000000-0005-0000-0000-000087030000}"/>
    <cellStyle name="20% - Accent1 4 2 4 5 4" xfId="10711" xr:uid="{00000000-0005-0000-0000-000088030000}"/>
    <cellStyle name="20% - Accent1 4 2 4 5 5" xfId="10712" xr:uid="{00000000-0005-0000-0000-000089030000}"/>
    <cellStyle name="20% - Accent1 4 2 4 6" xfId="10713" xr:uid="{00000000-0005-0000-0000-00008A030000}"/>
    <cellStyle name="20% - Accent1 4 2 4 6 2" xfId="10714" xr:uid="{00000000-0005-0000-0000-00008B030000}"/>
    <cellStyle name="20% - Accent1 4 2 4 6 3" xfId="10715" xr:uid="{00000000-0005-0000-0000-00008C030000}"/>
    <cellStyle name="20% - Accent1 4 2 4 7" xfId="10716" xr:uid="{00000000-0005-0000-0000-00008D030000}"/>
    <cellStyle name="20% - Accent1 4 2 4 7 2" xfId="10717" xr:uid="{00000000-0005-0000-0000-00008E030000}"/>
    <cellStyle name="20% - Accent1 4 2 4 7 3" xfId="10718" xr:uid="{00000000-0005-0000-0000-00008F030000}"/>
    <cellStyle name="20% - Accent1 4 2 4 8" xfId="10719" xr:uid="{00000000-0005-0000-0000-000090030000}"/>
    <cellStyle name="20% - Accent1 4 2 4 8 2" xfId="10720" xr:uid="{00000000-0005-0000-0000-000091030000}"/>
    <cellStyle name="20% - Accent1 4 2 4 9" xfId="10721" xr:uid="{00000000-0005-0000-0000-000092030000}"/>
    <cellStyle name="20% - Accent1 4 2 5" xfId="165" xr:uid="{00000000-0005-0000-0000-000093030000}"/>
    <cellStyle name="20% - Accent1 4 2 5 2" xfId="10722" xr:uid="{00000000-0005-0000-0000-000094030000}"/>
    <cellStyle name="20% - Accent1 4 2 5 2 2" xfId="10723" xr:uid="{00000000-0005-0000-0000-000095030000}"/>
    <cellStyle name="20% - Accent1 4 2 5 2 2 2" xfId="10724" xr:uid="{00000000-0005-0000-0000-000096030000}"/>
    <cellStyle name="20% - Accent1 4 2 5 2 2 3" xfId="10725" xr:uid="{00000000-0005-0000-0000-000097030000}"/>
    <cellStyle name="20% - Accent1 4 2 5 2 3" xfId="10726" xr:uid="{00000000-0005-0000-0000-000098030000}"/>
    <cellStyle name="20% - Accent1 4 2 5 2 3 2" xfId="10727" xr:uid="{00000000-0005-0000-0000-000099030000}"/>
    <cellStyle name="20% - Accent1 4 2 5 2 3 3" xfId="10728" xr:uid="{00000000-0005-0000-0000-00009A030000}"/>
    <cellStyle name="20% - Accent1 4 2 5 2 4" xfId="10729" xr:uid="{00000000-0005-0000-0000-00009B030000}"/>
    <cellStyle name="20% - Accent1 4 2 5 2 4 2" xfId="10730" xr:uid="{00000000-0005-0000-0000-00009C030000}"/>
    <cellStyle name="20% - Accent1 4 2 5 2 5" xfId="10731" xr:uid="{00000000-0005-0000-0000-00009D030000}"/>
    <cellStyle name="20% - Accent1 4 2 5 2 6" xfId="10732" xr:uid="{00000000-0005-0000-0000-00009E030000}"/>
    <cellStyle name="20% - Accent1 4 2 5 3" xfId="10733" xr:uid="{00000000-0005-0000-0000-00009F030000}"/>
    <cellStyle name="20% - Accent1 4 2 5 3 2" xfId="10734" xr:uid="{00000000-0005-0000-0000-0000A0030000}"/>
    <cellStyle name="20% - Accent1 4 2 5 3 2 2" xfId="10735" xr:uid="{00000000-0005-0000-0000-0000A1030000}"/>
    <cellStyle name="20% - Accent1 4 2 5 3 2 3" xfId="10736" xr:uid="{00000000-0005-0000-0000-0000A2030000}"/>
    <cellStyle name="20% - Accent1 4 2 5 3 3" xfId="10737" xr:uid="{00000000-0005-0000-0000-0000A3030000}"/>
    <cellStyle name="20% - Accent1 4 2 5 3 3 2" xfId="10738" xr:uid="{00000000-0005-0000-0000-0000A4030000}"/>
    <cellStyle name="20% - Accent1 4 2 5 3 3 3" xfId="10739" xr:uid="{00000000-0005-0000-0000-0000A5030000}"/>
    <cellStyle name="20% - Accent1 4 2 5 3 4" xfId="10740" xr:uid="{00000000-0005-0000-0000-0000A6030000}"/>
    <cellStyle name="20% - Accent1 4 2 5 3 4 2" xfId="10741" xr:uid="{00000000-0005-0000-0000-0000A7030000}"/>
    <cellStyle name="20% - Accent1 4 2 5 3 5" xfId="10742" xr:uid="{00000000-0005-0000-0000-0000A8030000}"/>
    <cellStyle name="20% - Accent1 4 2 5 3 6" xfId="10743" xr:uid="{00000000-0005-0000-0000-0000A9030000}"/>
    <cellStyle name="20% - Accent1 4 2 5 4" xfId="10744" xr:uid="{00000000-0005-0000-0000-0000AA030000}"/>
    <cellStyle name="20% - Accent1 4 2 5 4 2" xfId="10745" xr:uid="{00000000-0005-0000-0000-0000AB030000}"/>
    <cellStyle name="20% - Accent1 4 2 5 4 2 2" xfId="10746" xr:uid="{00000000-0005-0000-0000-0000AC030000}"/>
    <cellStyle name="20% - Accent1 4 2 5 4 2 3" xfId="10747" xr:uid="{00000000-0005-0000-0000-0000AD030000}"/>
    <cellStyle name="20% - Accent1 4 2 5 4 3" xfId="10748" xr:uid="{00000000-0005-0000-0000-0000AE030000}"/>
    <cellStyle name="20% - Accent1 4 2 5 4 3 2" xfId="10749" xr:uid="{00000000-0005-0000-0000-0000AF030000}"/>
    <cellStyle name="20% - Accent1 4 2 5 4 4" xfId="10750" xr:uid="{00000000-0005-0000-0000-0000B0030000}"/>
    <cellStyle name="20% - Accent1 4 2 5 4 5" xfId="10751" xr:uid="{00000000-0005-0000-0000-0000B1030000}"/>
    <cellStyle name="20% - Accent1 4 2 5 5" xfId="10752" xr:uid="{00000000-0005-0000-0000-0000B2030000}"/>
    <cellStyle name="20% - Accent1 4 2 5 5 2" xfId="10753" xr:uid="{00000000-0005-0000-0000-0000B3030000}"/>
    <cellStyle name="20% - Accent1 4 2 5 5 3" xfId="10754" xr:uid="{00000000-0005-0000-0000-0000B4030000}"/>
    <cellStyle name="20% - Accent1 4 2 5 6" xfId="10755" xr:uid="{00000000-0005-0000-0000-0000B5030000}"/>
    <cellStyle name="20% - Accent1 4 2 5 6 2" xfId="10756" xr:uid="{00000000-0005-0000-0000-0000B6030000}"/>
    <cellStyle name="20% - Accent1 4 2 5 6 3" xfId="10757" xr:uid="{00000000-0005-0000-0000-0000B7030000}"/>
    <cellStyle name="20% - Accent1 4 2 5 7" xfId="10758" xr:uid="{00000000-0005-0000-0000-0000B8030000}"/>
    <cellStyle name="20% - Accent1 4 2 5 7 2" xfId="10759" xr:uid="{00000000-0005-0000-0000-0000B9030000}"/>
    <cellStyle name="20% - Accent1 4 2 5 8" xfId="10760" xr:uid="{00000000-0005-0000-0000-0000BA030000}"/>
    <cellStyle name="20% - Accent1 4 2 5 9" xfId="10761" xr:uid="{00000000-0005-0000-0000-0000BB030000}"/>
    <cellStyle name="20% - Accent1 4 2 6" xfId="10762" xr:uid="{00000000-0005-0000-0000-0000BC030000}"/>
    <cellStyle name="20% - Accent1 4 2 6 2" xfId="10763" xr:uid="{00000000-0005-0000-0000-0000BD030000}"/>
    <cellStyle name="20% - Accent1 4 2 6 2 2" xfId="10764" xr:uid="{00000000-0005-0000-0000-0000BE030000}"/>
    <cellStyle name="20% - Accent1 4 2 6 2 2 2" xfId="10765" xr:uid="{00000000-0005-0000-0000-0000BF030000}"/>
    <cellStyle name="20% - Accent1 4 2 6 2 2 3" xfId="10766" xr:uid="{00000000-0005-0000-0000-0000C0030000}"/>
    <cellStyle name="20% - Accent1 4 2 6 2 3" xfId="10767" xr:uid="{00000000-0005-0000-0000-0000C1030000}"/>
    <cellStyle name="20% - Accent1 4 2 6 2 3 2" xfId="10768" xr:uid="{00000000-0005-0000-0000-0000C2030000}"/>
    <cellStyle name="20% - Accent1 4 2 6 2 3 3" xfId="10769" xr:uid="{00000000-0005-0000-0000-0000C3030000}"/>
    <cellStyle name="20% - Accent1 4 2 6 2 4" xfId="10770" xr:uid="{00000000-0005-0000-0000-0000C4030000}"/>
    <cellStyle name="20% - Accent1 4 2 6 2 4 2" xfId="10771" xr:uid="{00000000-0005-0000-0000-0000C5030000}"/>
    <cellStyle name="20% - Accent1 4 2 6 2 5" xfId="10772" xr:uid="{00000000-0005-0000-0000-0000C6030000}"/>
    <cellStyle name="20% - Accent1 4 2 6 2 6" xfId="10773" xr:uid="{00000000-0005-0000-0000-0000C7030000}"/>
    <cellStyle name="20% - Accent1 4 2 6 3" xfId="10774" xr:uid="{00000000-0005-0000-0000-0000C8030000}"/>
    <cellStyle name="20% - Accent1 4 2 6 3 2" xfId="10775" xr:uid="{00000000-0005-0000-0000-0000C9030000}"/>
    <cellStyle name="20% - Accent1 4 2 6 3 2 2" xfId="10776" xr:uid="{00000000-0005-0000-0000-0000CA030000}"/>
    <cellStyle name="20% - Accent1 4 2 6 3 2 3" xfId="10777" xr:uid="{00000000-0005-0000-0000-0000CB030000}"/>
    <cellStyle name="20% - Accent1 4 2 6 3 3" xfId="10778" xr:uid="{00000000-0005-0000-0000-0000CC030000}"/>
    <cellStyle name="20% - Accent1 4 2 6 3 3 2" xfId="10779" xr:uid="{00000000-0005-0000-0000-0000CD030000}"/>
    <cellStyle name="20% - Accent1 4 2 6 3 3 3" xfId="10780" xr:uid="{00000000-0005-0000-0000-0000CE030000}"/>
    <cellStyle name="20% - Accent1 4 2 6 3 4" xfId="10781" xr:uid="{00000000-0005-0000-0000-0000CF030000}"/>
    <cellStyle name="20% - Accent1 4 2 6 3 4 2" xfId="10782" xr:uid="{00000000-0005-0000-0000-0000D0030000}"/>
    <cellStyle name="20% - Accent1 4 2 6 3 5" xfId="10783" xr:uid="{00000000-0005-0000-0000-0000D1030000}"/>
    <cellStyle name="20% - Accent1 4 2 6 3 6" xfId="10784" xr:uid="{00000000-0005-0000-0000-0000D2030000}"/>
    <cellStyle name="20% - Accent1 4 2 6 4" xfId="10785" xr:uid="{00000000-0005-0000-0000-0000D3030000}"/>
    <cellStyle name="20% - Accent1 4 2 6 4 2" xfId="10786" xr:uid="{00000000-0005-0000-0000-0000D4030000}"/>
    <cellStyle name="20% - Accent1 4 2 6 4 2 2" xfId="10787" xr:uid="{00000000-0005-0000-0000-0000D5030000}"/>
    <cellStyle name="20% - Accent1 4 2 6 4 2 3" xfId="10788" xr:uid="{00000000-0005-0000-0000-0000D6030000}"/>
    <cellStyle name="20% - Accent1 4 2 6 4 3" xfId="10789" xr:uid="{00000000-0005-0000-0000-0000D7030000}"/>
    <cellStyle name="20% - Accent1 4 2 6 4 3 2" xfId="10790" xr:uid="{00000000-0005-0000-0000-0000D8030000}"/>
    <cellStyle name="20% - Accent1 4 2 6 4 4" xfId="10791" xr:uid="{00000000-0005-0000-0000-0000D9030000}"/>
    <cellStyle name="20% - Accent1 4 2 6 4 5" xfId="10792" xr:uid="{00000000-0005-0000-0000-0000DA030000}"/>
    <cellStyle name="20% - Accent1 4 2 6 5" xfId="10793" xr:uid="{00000000-0005-0000-0000-0000DB030000}"/>
    <cellStyle name="20% - Accent1 4 2 6 5 2" xfId="10794" xr:uid="{00000000-0005-0000-0000-0000DC030000}"/>
    <cellStyle name="20% - Accent1 4 2 6 5 3" xfId="10795" xr:uid="{00000000-0005-0000-0000-0000DD030000}"/>
    <cellStyle name="20% - Accent1 4 2 6 6" xfId="10796" xr:uid="{00000000-0005-0000-0000-0000DE030000}"/>
    <cellStyle name="20% - Accent1 4 2 6 6 2" xfId="10797" xr:uid="{00000000-0005-0000-0000-0000DF030000}"/>
    <cellStyle name="20% - Accent1 4 2 6 6 3" xfId="10798" xr:uid="{00000000-0005-0000-0000-0000E0030000}"/>
    <cellStyle name="20% - Accent1 4 2 6 7" xfId="10799" xr:uid="{00000000-0005-0000-0000-0000E1030000}"/>
    <cellStyle name="20% - Accent1 4 2 6 7 2" xfId="10800" xr:uid="{00000000-0005-0000-0000-0000E2030000}"/>
    <cellStyle name="20% - Accent1 4 2 6 8" xfId="10801" xr:uid="{00000000-0005-0000-0000-0000E3030000}"/>
    <cellStyle name="20% - Accent1 4 2 6 9" xfId="10802" xr:uid="{00000000-0005-0000-0000-0000E4030000}"/>
    <cellStyle name="20% - Accent1 4 2 7" xfId="10803" xr:uid="{00000000-0005-0000-0000-0000E5030000}"/>
    <cellStyle name="20% - Accent1 4 2 7 2" xfId="10804" xr:uid="{00000000-0005-0000-0000-0000E6030000}"/>
    <cellStyle name="20% - Accent1 4 2 7 2 2" xfId="10805" xr:uid="{00000000-0005-0000-0000-0000E7030000}"/>
    <cellStyle name="20% - Accent1 4 2 7 2 3" xfId="10806" xr:uid="{00000000-0005-0000-0000-0000E8030000}"/>
    <cellStyle name="20% - Accent1 4 2 7 3" xfId="10807" xr:uid="{00000000-0005-0000-0000-0000E9030000}"/>
    <cellStyle name="20% - Accent1 4 2 7 3 2" xfId="10808" xr:uid="{00000000-0005-0000-0000-0000EA030000}"/>
    <cellStyle name="20% - Accent1 4 2 7 3 3" xfId="10809" xr:uid="{00000000-0005-0000-0000-0000EB030000}"/>
    <cellStyle name="20% - Accent1 4 2 7 4" xfId="10810" xr:uid="{00000000-0005-0000-0000-0000EC030000}"/>
    <cellStyle name="20% - Accent1 4 2 7 4 2" xfId="10811" xr:uid="{00000000-0005-0000-0000-0000ED030000}"/>
    <cellStyle name="20% - Accent1 4 2 7 5" xfId="10812" xr:uid="{00000000-0005-0000-0000-0000EE030000}"/>
    <cellStyle name="20% - Accent1 4 2 7 6" xfId="10813" xr:uid="{00000000-0005-0000-0000-0000EF030000}"/>
    <cellStyle name="20% - Accent1 4 2 8" xfId="10814" xr:uid="{00000000-0005-0000-0000-0000F0030000}"/>
    <cellStyle name="20% - Accent1 4 2 8 2" xfId="10815" xr:uid="{00000000-0005-0000-0000-0000F1030000}"/>
    <cellStyle name="20% - Accent1 4 2 8 2 2" xfId="10816" xr:uid="{00000000-0005-0000-0000-0000F2030000}"/>
    <cellStyle name="20% - Accent1 4 2 8 2 3" xfId="10817" xr:uid="{00000000-0005-0000-0000-0000F3030000}"/>
    <cellStyle name="20% - Accent1 4 2 8 3" xfId="10818" xr:uid="{00000000-0005-0000-0000-0000F4030000}"/>
    <cellStyle name="20% - Accent1 4 2 8 3 2" xfId="10819" xr:uid="{00000000-0005-0000-0000-0000F5030000}"/>
    <cellStyle name="20% - Accent1 4 2 8 3 3" xfId="10820" xr:uid="{00000000-0005-0000-0000-0000F6030000}"/>
    <cellStyle name="20% - Accent1 4 2 8 4" xfId="10821" xr:uid="{00000000-0005-0000-0000-0000F7030000}"/>
    <cellStyle name="20% - Accent1 4 2 8 4 2" xfId="10822" xr:uid="{00000000-0005-0000-0000-0000F8030000}"/>
    <cellStyle name="20% - Accent1 4 2 8 5" xfId="10823" xr:uid="{00000000-0005-0000-0000-0000F9030000}"/>
    <cellStyle name="20% - Accent1 4 2 8 6" xfId="10824" xr:uid="{00000000-0005-0000-0000-0000FA030000}"/>
    <cellStyle name="20% - Accent1 4 2 9" xfId="10825" xr:uid="{00000000-0005-0000-0000-0000FB030000}"/>
    <cellStyle name="20% - Accent1 4 2 9 2" xfId="10826" xr:uid="{00000000-0005-0000-0000-0000FC030000}"/>
    <cellStyle name="20% - Accent1 4 2 9 2 2" xfId="10827" xr:uid="{00000000-0005-0000-0000-0000FD030000}"/>
    <cellStyle name="20% - Accent1 4 2 9 2 3" xfId="10828" xr:uid="{00000000-0005-0000-0000-0000FE030000}"/>
    <cellStyle name="20% - Accent1 4 2 9 3" xfId="10829" xr:uid="{00000000-0005-0000-0000-0000FF030000}"/>
    <cellStyle name="20% - Accent1 4 2 9 3 2" xfId="10830" xr:uid="{00000000-0005-0000-0000-000000040000}"/>
    <cellStyle name="20% - Accent1 4 2 9 4" xfId="10831" xr:uid="{00000000-0005-0000-0000-000001040000}"/>
    <cellStyle name="20% - Accent1 4 2 9 5" xfId="10832" xr:uid="{00000000-0005-0000-0000-000002040000}"/>
    <cellStyle name="20% - Accent1 4 3" xfId="166" xr:uid="{00000000-0005-0000-0000-000003040000}"/>
    <cellStyle name="20% - Accent1 4 3 10" xfId="10833" xr:uid="{00000000-0005-0000-0000-000004040000}"/>
    <cellStyle name="20% - Accent1 4 3 10 2" xfId="10834" xr:uid="{00000000-0005-0000-0000-000005040000}"/>
    <cellStyle name="20% - Accent1 4 3 10 3" xfId="10835" xr:uid="{00000000-0005-0000-0000-000006040000}"/>
    <cellStyle name="20% - Accent1 4 3 11" xfId="10836" xr:uid="{00000000-0005-0000-0000-000007040000}"/>
    <cellStyle name="20% - Accent1 4 3 11 2" xfId="10837" xr:uid="{00000000-0005-0000-0000-000008040000}"/>
    <cellStyle name="20% - Accent1 4 3 12" xfId="10838" xr:uid="{00000000-0005-0000-0000-000009040000}"/>
    <cellStyle name="20% - Accent1 4 3 13" xfId="10839" xr:uid="{00000000-0005-0000-0000-00000A040000}"/>
    <cellStyle name="20% - Accent1 4 3 14" xfId="10840" xr:uid="{00000000-0005-0000-0000-00000B040000}"/>
    <cellStyle name="20% - Accent1 4 3 2" xfId="167" xr:uid="{00000000-0005-0000-0000-00000C040000}"/>
    <cellStyle name="20% - Accent1 4 3 2 10" xfId="10841" xr:uid="{00000000-0005-0000-0000-00000D040000}"/>
    <cellStyle name="20% - Accent1 4 3 2 10 2" xfId="10842" xr:uid="{00000000-0005-0000-0000-00000E040000}"/>
    <cellStyle name="20% - Accent1 4 3 2 11" xfId="10843" xr:uid="{00000000-0005-0000-0000-00000F040000}"/>
    <cellStyle name="20% - Accent1 4 3 2 12" xfId="10844" xr:uid="{00000000-0005-0000-0000-000010040000}"/>
    <cellStyle name="20% - Accent1 4 3 2 2" xfId="168" xr:uid="{00000000-0005-0000-0000-000011040000}"/>
    <cellStyle name="20% - Accent1 4 3 2 2 10" xfId="10845" xr:uid="{00000000-0005-0000-0000-000012040000}"/>
    <cellStyle name="20% - Accent1 4 3 2 2 2" xfId="169" xr:uid="{00000000-0005-0000-0000-000013040000}"/>
    <cellStyle name="20% - Accent1 4 3 2 2 2 2" xfId="10846" xr:uid="{00000000-0005-0000-0000-000014040000}"/>
    <cellStyle name="20% - Accent1 4 3 2 2 2 2 2" xfId="10847" xr:uid="{00000000-0005-0000-0000-000015040000}"/>
    <cellStyle name="20% - Accent1 4 3 2 2 2 2 2 2" xfId="10848" xr:uid="{00000000-0005-0000-0000-000016040000}"/>
    <cellStyle name="20% - Accent1 4 3 2 2 2 2 2 3" xfId="10849" xr:uid="{00000000-0005-0000-0000-000017040000}"/>
    <cellStyle name="20% - Accent1 4 3 2 2 2 2 3" xfId="10850" xr:uid="{00000000-0005-0000-0000-000018040000}"/>
    <cellStyle name="20% - Accent1 4 3 2 2 2 2 3 2" xfId="10851" xr:uid="{00000000-0005-0000-0000-000019040000}"/>
    <cellStyle name="20% - Accent1 4 3 2 2 2 2 3 3" xfId="10852" xr:uid="{00000000-0005-0000-0000-00001A040000}"/>
    <cellStyle name="20% - Accent1 4 3 2 2 2 2 4" xfId="10853" xr:uid="{00000000-0005-0000-0000-00001B040000}"/>
    <cellStyle name="20% - Accent1 4 3 2 2 2 2 4 2" xfId="10854" xr:uid="{00000000-0005-0000-0000-00001C040000}"/>
    <cellStyle name="20% - Accent1 4 3 2 2 2 2 5" xfId="10855" xr:uid="{00000000-0005-0000-0000-00001D040000}"/>
    <cellStyle name="20% - Accent1 4 3 2 2 2 2 6" xfId="10856" xr:uid="{00000000-0005-0000-0000-00001E040000}"/>
    <cellStyle name="20% - Accent1 4 3 2 2 2 3" xfId="10857" xr:uid="{00000000-0005-0000-0000-00001F040000}"/>
    <cellStyle name="20% - Accent1 4 3 2 2 2 3 2" xfId="10858" xr:uid="{00000000-0005-0000-0000-000020040000}"/>
    <cellStyle name="20% - Accent1 4 3 2 2 2 3 2 2" xfId="10859" xr:uid="{00000000-0005-0000-0000-000021040000}"/>
    <cellStyle name="20% - Accent1 4 3 2 2 2 3 2 3" xfId="10860" xr:uid="{00000000-0005-0000-0000-000022040000}"/>
    <cellStyle name="20% - Accent1 4 3 2 2 2 3 3" xfId="10861" xr:uid="{00000000-0005-0000-0000-000023040000}"/>
    <cellStyle name="20% - Accent1 4 3 2 2 2 3 3 2" xfId="10862" xr:uid="{00000000-0005-0000-0000-000024040000}"/>
    <cellStyle name="20% - Accent1 4 3 2 2 2 3 3 3" xfId="10863" xr:uid="{00000000-0005-0000-0000-000025040000}"/>
    <cellStyle name="20% - Accent1 4 3 2 2 2 3 4" xfId="10864" xr:uid="{00000000-0005-0000-0000-000026040000}"/>
    <cellStyle name="20% - Accent1 4 3 2 2 2 3 4 2" xfId="10865" xr:uid="{00000000-0005-0000-0000-000027040000}"/>
    <cellStyle name="20% - Accent1 4 3 2 2 2 3 5" xfId="10866" xr:uid="{00000000-0005-0000-0000-000028040000}"/>
    <cellStyle name="20% - Accent1 4 3 2 2 2 3 6" xfId="10867" xr:uid="{00000000-0005-0000-0000-000029040000}"/>
    <cellStyle name="20% - Accent1 4 3 2 2 2 4" xfId="10868" xr:uid="{00000000-0005-0000-0000-00002A040000}"/>
    <cellStyle name="20% - Accent1 4 3 2 2 2 4 2" xfId="10869" xr:uid="{00000000-0005-0000-0000-00002B040000}"/>
    <cellStyle name="20% - Accent1 4 3 2 2 2 4 2 2" xfId="10870" xr:uid="{00000000-0005-0000-0000-00002C040000}"/>
    <cellStyle name="20% - Accent1 4 3 2 2 2 4 2 3" xfId="10871" xr:uid="{00000000-0005-0000-0000-00002D040000}"/>
    <cellStyle name="20% - Accent1 4 3 2 2 2 4 3" xfId="10872" xr:uid="{00000000-0005-0000-0000-00002E040000}"/>
    <cellStyle name="20% - Accent1 4 3 2 2 2 4 3 2" xfId="10873" xr:uid="{00000000-0005-0000-0000-00002F040000}"/>
    <cellStyle name="20% - Accent1 4 3 2 2 2 4 4" xfId="10874" xr:uid="{00000000-0005-0000-0000-000030040000}"/>
    <cellStyle name="20% - Accent1 4 3 2 2 2 4 5" xfId="10875" xr:uid="{00000000-0005-0000-0000-000031040000}"/>
    <cellStyle name="20% - Accent1 4 3 2 2 2 5" xfId="10876" xr:uid="{00000000-0005-0000-0000-000032040000}"/>
    <cellStyle name="20% - Accent1 4 3 2 2 2 5 2" xfId="10877" xr:uid="{00000000-0005-0000-0000-000033040000}"/>
    <cellStyle name="20% - Accent1 4 3 2 2 2 5 3" xfId="10878" xr:uid="{00000000-0005-0000-0000-000034040000}"/>
    <cellStyle name="20% - Accent1 4 3 2 2 2 6" xfId="10879" xr:uid="{00000000-0005-0000-0000-000035040000}"/>
    <cellStyle name="20% - Accent1 4 3 2 2 2 6 2" xfId="10880" xr:uid="{00000000-0005-0000-0000-000036040000}"/>
    <cellStyle name="20% - Accent1 4 3 2 2 2 6 3" xfId="10881" xr:uid="{00000000-0005-0000-0000-000037040000}"/>
    <cellStyle name="20% - Accent1 4 3 2 2 2 7" xfId="10882" xr:uid="{00000000-0005-0000-0000-000038040000}"/>
    <cellStyle name="20% - Accent1 4 3 2 2 2 7 2" xfId="10883" xr:uid="{00000000-0005-0000-0000-000039040000}"/>
    <cellStyle name="20% - Accent1 4 3 2 2 2 8" xfId="10884" xr:uid="{00000000-0005-0000-0000-00003A040000}"/>
    <cellStyle name="20% - Accent1 4 3 2 2 2 9" xfId="10885" xr:uid="{00000000-0005-0000-0000-00003B040000}"/>
    <cellStyle name="20% - Accent1 4 3 2 2 3" xfId="10886" xr:uid="{00000000-0005-0000-0000-00003C040000}"/>
    <cellStyle name="20% - Accent1 4 3 2 2 3 2" xfId="10887" xr:uid="{00000000-0005-0000-0000-00003D040000}"/>
    <cellStyle name="20% - Accent1 4 3 2 2 3 2 2" xfId="10888" xr:uid="{00000000-0005-0000-0000-00003E040000}"/>
    <cellStyle name="20% - Accent1 4 3 2 2 3 2 3" xfId="10889" xr:uid="{00000000-0005-0000-0000-00003F040000}"/>
    <cellStyle name="20% - Accent1 4 3 2 2 3 3" xfId="10890" xr:uid="{00000000-0005-0000-0000-000040040000}"/>
    <cellStyle name="20% - Accent1 4 3 2 2 3 3 2" xfId="10891" xr:uid="{00000000-0005-0000-0000-000041040000}"/>
    <cellStyle name="20% - Accent1 4 3 2 2 3 3 3" xfId="10892" xr:uid="{00000000-0005-0000-0000-000042040000}"/>
    <cellStyle name="20% - Accent1 4 3 2 2 3 4" xfId="10893" xr:uid="{00000000-0005-0000-0000-000043040000}"/>
    <cellStyle name="20% - Accent1 4 3 2 2 3 4 2" xfId="10894" xr:uid="{00000000-0005-0000-0000-000044040000}"/>
    <cellStyle name="20% - Accent1 4 3 2 2 3 5" xfId="10895" xr:uid="{00000000-0005-0000-0000-000045040000}"/>
    <cellStyle name="20% - Accent1 4 3 2 2 3 6" xfId="10896" xr:uid="{00000000-0005-0000-0000-000046040000}"/>
    <cellStyle name="20% - Accent1 4 3 2 2 4" xfId="10897" xr:uid="{00000000-0005-0000-0000-000047040000}"/>
    <cellStyle name="20% - Accent1 4 3 2 2 4 2" xfId="10898" xr:uid="{00000000-0005-0000-0000-000048040000}"/>
    <cellStyle name="20% - Accent1 4 3 2 2 4 2 2" xfId="10899" xr:uid="{00000000-0005-0000-0000-000049040000}"/>
    <cellStyle name="20% - Accent1 4 3 2 2 4 2 3" xfId="10900" xr:uid="{00000000-0005-0000-0000-00004A040000}"/>
    <cellStyle name="20% - Accent1 4 3 2 2 4 3" xfId="10901" xr:uid="{00000000-0005-0000-0000-00004B040000}"/>
    <cellStyle name="20% - Accent1 4 3 2 2 4 3 2" xfId="10902" xr:uid="{00000000-0005-0000-0000-00004C040000}"/>
    <cellStyle name="20% - Accent1 4 3 2 2 4 3 3" xfId="10903" xr:uid="{00000000-0005-0000-0000-00004D040000}"/>
    <cellStyle name="20% - Accent1 4 3 2 2 4 4" xfId="10904" xr:uid="{00000000-0005-0000-0000-00004E040000}"/>
    <cellStyle name="20% - Accent1 4 3 2 2 4 4 2" xfId="10905" xr:uid="{00000000-0005-0000-0000-00004F040000}"/>
    <cellStyle name="20% - Accent1 4 3 2 2 4 5" xfId="10906" xr:uid="{00000000-0005-0000-0000-000050040000}"/>
    <cellStyle name="20% - Accent1 4 3 2 2 4 6" xfId="10907" xr:uid="{00000000-0005-0000-0000-000051040000}"/>
    <cellStyle name="20% - Accent1 4 3 2 2 5" xfId="10908" xr:uid="{00000000-0005-0000-0000-000052040000}"/>
    <cellStyle name="20% - Accent1 4 3 2 2 5 2" xfId="10909" xr:uid="{00000000-0005-0000-0000-000053040000}"/>
    <cellStyle name="20% - Accent1 4 3 2 2 5 2 2" xfId="10910" xr:uid="{00000000-0005-0000-0000-000054040000}"/>
    <cellStyle name="20% - Accent1 4 3 2 2 5 2 3" xfId="10911" xr:uid="{00000000-0005-0000-0000-000055040000}"/>
    <cellStyle name="20% - Accent1 4 3 2 2 5 3" xfId="10912" xr:uid="{00000000-0005-0000-0000-000056040000}"/>
    <cellStyle name="20% - Accent1 4 3 2 2 5 3 2" xfId="10913" xr:uid="{00000000-0005-0000-0000-000057040000}"/>
    <cellStyle name="20% - Accent1 4 3 2 2 5 4" xfId="10914" xr:uid="{00000000-0005-0000-0000-000058040000}"/>
    <cellStyle name="20% - Accent1 4 3 2 2 5 5" xfId="10915" xr:uid="{00000000-0005-0000-0000-000059040000}"/>
    <cellStyle name="20% - Accent1 4 3 2 2 6" xfId="10916" xr:uid="{00000000-0005-0000-0000-00005A040000}"/>
    <cellStyle name="20% - Accent1 4 3 2 2 6 2" xfId="10917" xr:uid="{00000000-0005-0000-0000-00005B040000}"/>
    <cellStyle name="20% - Accent1 4 3 2 2 6 3" xfId="10918" xr:uid="{00000000-0005-0000-0000-00005C040000}"/>
    <cellStyle name="20% - Accent1 4 3 2 2 7" xfId="10919" xr:uid="{00000000-0005-0000-0000-00005D040000}"/>
    <cellStyle name="20% - Accent1 4 3 2 2 7 2" xfId="10920" xr:uid="{00000000-0005-0000-0000-00005E040000}"/>
    <cellStyle name="20% - Accent1 4 3 2 2 7 3" xfId="10921" xr:uid="{00000000-0005-0000-0000-00005F040000}"/>
    <cellStyle name="20% - Accent1 4 3 2 2 8" xfId="10922" xr:uid="{00000000-0005-0000-0000-000060040000}"/>
    <cellStyle name="20% - Accent1 4 3 2 2 8 2" xfId="10923" xr:uid="{00000000-0005-0000-0000-000061040000}"/>
    <cellStyle name="20% - Accent1 4 3 2 2 9" xfId="10924" xr:uid="{00000000-0005-0000-0000-000062040000}"/>
    <cellStyle name="20% - Accent1 4 3 2 3" xfId="170" xr:uid="{00000000-0005-0000-0000-000063040000}"/>
    <cellStyle name="20% - Accent1 4 3 2 3 2" xfId="10925" xr:uid="{00000000-0005-0000-0000-000064040000}"/>
    <cellStyle name="20% - Accent1 4 3 2 3 2 2" xfId="10926" xr:uid="{00000000-0005-0000-0000-000065040000}"/>
    <cellStyle name="20% - Accent1 4 3 2 3 2 2 2" xfId="10927" xr:uid="{00000000-0005-0000-0000-000066040000}"/>
    <cellStyle name="20% - Accent1 4 3 2 3 2 2 3" xfId="10928" xr:uid="{00000000-0005-0000-0000-000067040000}"/>
    <cellStyle name="20% - Accent1 4 3 2 3 2 3" xfId="10929" xr:uid="{00000000-0005-0000-0000-000068040000}"/>
    <cellStyle name="20% - Accent1 4 3 2 3 2 3 2" xfId="10930" xr:uid="{00000000-0005-0000-0000-000069040000}"/>
    <cellStyle name="20% - Accent1 4 3 2 3 2 3 3" xfId="10931" xr:uid="{00000000-0005-0000-0000-00006A040000}"/>
    <cellStyle name="20% - Accent1 4 3 2 3 2 4" xfId="10932" xr:uid="{00000000-0005-0000-0000-00006B040000}"/>
    <cellStyle name="20% - Accent1 4 3 2 3 2 4 2" xfId="10933" xr:uid="{00000000-0005-0000-0000-00006C040000}"/>
    <cellStyle name="20% - Accent1 4 3 2 3 2 5" xfId="10934" xr:uid="{00000000-0005-0000-0000-00006D040000}"/>
    <cellStyle name="20% - Accent1 4 3 2 3 2 6" xfId="10935" xr:uid="{00000000-0005-0000-0000-00006E040000}"/>
    <cellStyle name="20% - Accent1 4 3 2 3 3" xfId="10936" xr:uid="{00000000-0005-0000-0000-00006F040000}"/>
    <cellStyle name="20% - Accent1 4 3 2 3 3 2" xfId="10937" xr:uid="{00000000-0005-0000-0000-000070040000}"/>
    <cellStyle name="20% - Accent1 4 3 2 3 3 2 2" xfId="10938" xr:uid="{00000000-0005-0000-0000-000071040000}"/>
    <cellStyle name="20% - Accent1 4 3 2 3 3 2 3" xfId="10939" xr:uid="{00000000-0005-0000-0000-000072040000}"/>
    <cellStyle name="20% - Accent1 4 3 2 3 3 3" xfId="10940" xr:uid="{00000000-0005-0000-0000-000073040000}"/>
    <cellStyle name="20% - Accent1 4 3 2 3 3 3 2" xfId="10941" xr:uid="{00000000-0005-0000-0000-000074040000}"/>
    <cellStyle name="20% - Accent1 4 3 2 3 3 3 3" xfId="10942" xr:uid="{00000000-0005-0000-0000-000075040000}"/>
    <cellStyle name="20% - Accent1 4 3 2 3 3 4" xfId="10943" xr:uid="{00000000-0005-0000-0000-000076040000}"/>
    <cellStyle name="20% - Accent1 4 3 2 3 3 4 2" xfId="10944" xr:uid="{00000000-0005-0000-0000-000077040000}"/>
    <cellStyle name="20% - Accent1 4 3 2 3 3 5" xfId="10945" xr:uid="{00000000-0005-0000-0000-000078040000}"/>
    <cellStyle name="20% - Accent1 4 3 2 3 3 6" xfId="10946" xr:uid="{00000000-0005-0000-0000-000079040000}"/>
    <cellStyle name="20% - Accent1 4 3 2 3 4" xfId="10947" xr:uid="{00000000-0005-0000-0000-00007A040000}"/>
    <cellStyle name="20% - Accent1 4 3 2 3 4 2" xfId="10948" xr:uid="{00000000-0005-0000-0000-00007B040000}"/>
    <cellStyle name="20% - Accent1 4 3 2 3 4 2 2" xfId="10949" xr:uid="{00000000-0005-0000-0000-00007C040000}"/>
    <cellStyle name="20% - Accent1 4 3 2 3 4 2 3" xfId="10950" xr:uid="{00000000-0005-0000-0000-00007D040000}"/>
    <cellStyle name="20% - Accent1 4 3 2 3 4 3" xfId="10951" xr:uid="{00000000-0005-0000-0000-00007E040000}"/>
    <cellStyle name="20% - Accent1 4 3 2 3 4 3 2" xfId="10952" xr:uid="{00000000-0005-0000-0000-00007F040000}"/>
    <cellStyle name="20% - Accent1 4 3 2 3 4 4" xfId="10953" xr:uid="{00000000-0005-0000-0000-000080040000}"/>
    <cellStyle name="20% - Accent1 4 3 2 3 4 5" xfId="10954" xr:uid="{00000000-0005-0000-0000-000081040000}"/>
    <cellStyle name="20% - Accent1 4 3 2 3 5" xfId="10955" xr:uid="{00000000-0005-0000-0000-000082040000}"/>
    <cellStyle name="20% - Accent1 4 3 2 3 5 2" xfId="10956" xr:uid="{00000000-0005-0000-0000-000083040000}"/>
    <cellStyle name="20% - Accent1 4 3 2 3 5 3" xfId="10957" xr:uid="{00000000-0005-0000-0000-000084040000}"/>
    <cellStyle name="20% - Accent1 4 3 2 3 6" xfId="10958" xr:uid="{00000000-0005-0000-0000-000085040000}"/>
    <cellStyle name="20% - Accent1 4 3 2 3 6 2" xfId="10959" xr:uid="{00000000-0005-0000-0000-000086040000}"/>
    <cellStyle name="20% - Accent1 4 3 2 3 6 3" xfId="10960" xr:uid="{00000000-0005-0000-0000-000087040000}"/>
    <cellStyle name="20% - Accent1 4 3 2 3 7" xfId="10961" xr:uid="{00000000-0005-0000-0000-000088040000}"/>
    <cellStyle name="20% - Accent1 4 3 2 3 7 2" xfId="10962" xr:uid="{00000000-0005-0000-0000-000089040000}"/>
    <cellStyle name="20% - Accent1 4 3 2 3 8" xfId="10963" xr:uid="{00000000-0005-0000-0000-00008A040000}"/>
    <cellStyle name="20% - Accent1 4 3 2 3 9" xfId="10964" xr:uid="{00000000-0005-0000-0000-00008B040000}"/>
    <cellStyle name="20% - Accent1 4 3 2 4" xfId="10965" xr:uid="{00000000-0005-0000-0000-00008C040000}"/>
    <cellStyle name="20% - Accent1 4 3 2 4 2" xfId="10966" xr:uid="{00000000-0005-0000-0000-00008D040000}"/>
    <cellStyle name="20% - Accent1 4 3 2 4 2 2" xfId="10967" xr:uid="{00000000-0005-0000-0000-00008E040000}"/>
    <cellStyle name="20% - Accent1 4 3 2 4 2 2 2" xfId="10968" xr:uid="{00000000-0005-0000-0000-00008F040000}"/>
    <cellStyle name="20% - Accent1 4 3 2 4 2 2 3" xfId="10969" xr:uid="{00000000-0005-0000-0000-000090040000}"/>
    <cellStyle name="20% - Accent1 4 3 2 4 2 3" xfId="10970" xr:uid="{00000000-0005-0000-0000-000091040000}"/>
    <cellStyle name="20% - Accent1 4 3 2 4 2 3 2" xfId="10971" xr:uid="{00000000-0005-0000-0000-000092040000}"/>
    <cellStyle name="20% - Accent1 4 3 2 4 2 3 3" xfId="10972" xr:uid="{00000000-0005-0000-0000-000093040000}"/>
    <cellStyle name="20% - Accent1 4 3 2 4 2 4" xfId="10973" xr:uid="{00000000-0005-0000-0000-000094040000}"/>
    <cellStyle name="20% - Accent1 4 3 2 4 2 4 2" xfId="10974" xr:uid="{00000000-0005-0000-0000-000095040000}"/>
    <cellStyle name="20% - Accent1 4 3 2 4 2 5" xfId="10975" xr:uid="{00000000-0005-0000-0000-000096040000}"/>
    <cellStyle name="20% - Accent1 4 3 2 4 2 6" xfId="10976" xr:uid="{00000000-0005-0000-0000-000097040000}"/>
    <cellStyle name="20% - Accent1 4 3 2 4 3" xfId="10977" xr:uid="{00000000-0005-0000-0000-000098040000}"/>
    <cellStyle name="20% - Accent1 4 3 2 4 3 2" xfId="10978" xr:uid="{00000000-0005-0000-0000-000099040000}"/>
    <cellStyle name="20% - Accent1 4 3 2 4 3 2 2" xfId="10979" xr:uid="{00000000-0005-0000-0000-00009A040000}"/>
    <cellStyle name="20% - Accent1 4 3 2 4 3 2 3" xfId="10980" xr:uid="{00000000-0005-0000-0000-00009B040000}"/>
    <cellStyle name="20% - Accent1 4 3 2 4 3 3" xfId="10981" xr:uid="{00000000-0005-0000-0000-00009C040000}"/>
    <cellStyle name="20% - Accent1 4 3 2 4 3 3 2" xfId="10982" xr:uid="{00000000-0005-0000-0000-00009D040000}"/>
    <cellStyle name="20% - Accent1 4 3 2 4 3 3 3" xfId="10983" xr:uid="{00000000-0005-0000-0000-00009E040000}"/>
    <cellStyle name="20% - Accent1 4 3 2 4 3 4" xfId="10984" xr:uid="{00000000-0005-0000-0000-00009F040000}"/>
    <cellStyle name="20% - Accent1 4 3 2 4 3 4 2" xfId="10985" xr:uid="{00000000-0005-0000-0000-0000A0040000}"/>
    <cellStyle name="20% - Accent1 4 3 2 4 3 5" xfId="10986" xr:uid="{00000000-0005-0000-0000-0000A1040000}"/>
    <cellStyle name="20% - Accent1 4 3 2 4 3 6" xfId="10987" xr:uid="{00000000-0005-0000-0000-0000A2040000}"/>
    <cellStyle name="20% - Accent1 4 3 2 4 4" xfId="10988" xr:uid="{00000000-0005-0000-0000-0000A3040000}"/>
    <cellStyle name="20% - Accent1 4 3 2 4 4 2" xfId="10989" xr:uid="{00000000-0005-0000-0000-0000A4040000}"/>
    <cellStyle name="20% - Accent1 4 3 2 4 4 2 2" xfId="10990" xr:uid="{00000000-0005-0000-0000-0000A5040000}"/>
    <cellStyle name="20% - Accent1 4 3 2 4 4 2 3" xfId="10991" xr:uid="{00000000-0005-0000-0000-0000A6040000}"/>
    <cellStyle name="20% - Accent1 4 3 2 4 4 3" xfId="10992" xr:uid="{00000000-0005-0000-0000-0000A7040000}"/>
    <cellStyle name="20% - Accent1 4 3 2 4 4 3 2" xfId="10993" xr:uid="{00000000-0005-0000-0000-0000A8040000}"/>
    <cellStyle name="20% - Accent1 4 3 2 4 4 4" xfId="10994" xr:uid="{00000000-0005-0000-0000-0000A9040000}"/>
    <cellStyle name="20% - Accent1 4 3 2 4 4 5" xfId="10995" xr:uid="{00000000-0005-0000-0000-0000AA040000}"/>
    <cellStyle name="20% - Accent1 4 3 2 4 5" xfId="10996" xr:uid="{00000000-0005-0000-0000-0000AB040000}"/>
    <cellStyle name="20% - Accent1 4 3 2 4 5 2" xfId="10997" xr:uid="{00000000-0005-0000-0000-0000AC040000}"/>
    <cellStyle name="20% - Accent1 4 3 2 4 5 3" xfId="10998" xr:uid="{00000000-0005-0000-0000-0000AD040000}"/>
    <cellStyle name="20% - Accent1 4 3 2 4 6" xfId="10999" xr:uid="{00000000-0005-0000-0000-0000AE040000}"/>
    <cellStyle name="20% - Accent1 4 3 2 4 6 2" xfId="11000" xr:uid="{00000000-0005-0000-0000-0000AF040000}"/>
    <cellStyle name="20% - Accent1 4 3 2 4 6 3" xfId="11001" xr:uid="{00000000-0005-0000-0000-0000B0040000}"/>
    <cellStyle name="20% - Accent1 4 3 2 4 7" xfId="11002" xr:uid="{00000000-0005-0000-0000-0000B1040000}"/>
    <cellStyle name="20% - Accent1 4 3 2 4 7 2" xfId="11003" xr:uid="{00000000-0005-0000-0000-0000B2040000}"/>
    <cellStyle name="20% - Accent1 4 3 2 4 8" xfId="11004" xr:uid="{00000000-0005-0000-0000-0000B3040000}"/>
    <cellStyle name="20% - Accent1 4 3 2 4 9" xfId="11005" xr:uid="{00000000-0005-0000-0000-0000B4040000}"/>
    <cellStyle name="20% - Accent1 4 3 2 5" xfId="11006" xr:uid="{00000000-0005-0000-0000-0000B5040000}"/>
    <cellStyle name="20% - Accent1 4 3 2 5 2" xfId="11007" xr:uid="{00000000-0005-0000-0000-0000B6040000}"/>
    <cellStyle name="20% - Accent1 4 3 2 5 2 2" xfId="11008" xr:uid="{00000000-0005-0000-0000-0000B7040000}"/>
    <cellStyle name="20% - Accent1 4 3 2 5 2 3" xfId="11009" xr:uid="{00000000-0005-0000-0000-0000B8040000}"/>
    <cellStyle name="20% - Accent1 4 3 2 5 3" xfId="11010" xr:uid="{00000000-0005-0000-0000-0000B9040000}"/>
    <cellStyle name="20% - Accent1 4 3 2 5 3 2" xfId="11011" xr:uid="{00000000-0005-0000-0000-0000BA040000}"/>
    <cellStyle name="20% - Accent1 4 3 2 5 3 3" xfId="11012" xr:uid="{00000000-0005-0000-0000-0000BB040000}"/>
    <cellStyle name="20% - Accent1 4 3 2 5 4" xfId="11013" xr:uid="{00000000-0005-0000-0000-0000BC040000}"/>
    <cellStyle name="20% - Accent1 4 3 2 5 4 2" xfId="11014" xr:uid="{00000000-0005-0000-0000-0000BD040000}"/>
    <cellStyle name="20% - Accent1 4 3 2 5 5" xfId="11015" xr:uid="{00000000-0005-0000-0000-0000BE040000}"/>
    <cellStyle name="20% - Accent1 4 3 2 5 6" xfId="11016" xr:uid="{00000000-0005-0000-0000-0000BF040000}"/>
    <cellStyle name="20% - Accent1 4 3 2 6" xfId="11017" xr:uid="{00000000-0005-0000-0000-0000C0040000}"/>
    <cellStyle name="20% - Accent1 4 3 2 6 2" xfId="11018" xr:uid="{00000000-0005-0000-0000-0000C1040000}"/>
    <cellStyle name="20% - Accent1 4 3 2 6 2 2" xfId="11019" xr:uid="{00000000-0005-0000-0000-0000C2040000}"/>
    <cellStyle name="20% - Accent1 4 3 2 6 2 3" xfId="11020" xr:uid="{00000000-0005-0000-0000-0000C3040000}"/>
    <cellStyle name="20% - Accent1 4 3 2 6 3" xfId="11021" xr:uid="{00000000-0005-0000-0000-0000C4040000}"/>
    <cellStyle name="20% - Accent1 4 3 2 6 3 2" xfId="11022" xr:uid="{00000000-0005-0000-0000-0000C5040000}"/>
    <cellStyle name="20% - Accent1 4 3 2 6 3 3" xfId="11023" xr:uid="{00000000-0005-0000-0000-0000C6040000}"/>
    <cellStyle name="20% - Accent1 4 3 2 6 4" xfId="11024" xr:uid="{00000000-0005-0000-0000-0000C7040000}"/>
    <cellStyle name="20% - Accent1 4 3 2 6 4 2" xfId="11025" xr:uid="{00000000-0005-0000-0000-0000C8040000}"/>
    <cellStyle name="20% - Accent1 4 3 2 6 5" xfId="11026" xr:uid="{00000000-0005-0000-0000-0000C9040000}"/>
    <cellStyle name="20% - Accent1 4 3 2 6 6" xfId="11027" xr:uid="{00000000-0005-0000-0000-0000CA040000}"/>
    <cellStyle name="20% - Accent1 4 3 2 7" xfId="11028" xr:uid="{00000000-0005-0000-0000-0000CB040000}"/>
    <cellStyle name="20% - Accent1 4 3 2 7 2" xfId="11029" xr:uid="{00000000-0005-0000-0000-0000CC040000}"/>
    <cellStyle name="20% - Accent1 4 3 2 7 2 2" xfId="11030" xr:uid="{00000000-0005-0000-0000-0000CD040000}"/>
    <cellStyle name="20% - Accent1 4 3 2 7 2 3" xfId="11031" xr:uid="{00000000-0005-0000-0000-0000CE040000}"/>
    <cellStyle name="20% - Accent1 4 3 2 7 3" xfId="11032" xr:uid="{00000000-0005-0000-0000-0000CF040000}"/>
    <cellStyle name="20% - Accent1 4 3 2 7 3 2" xfId="11033" xr:uid="{00000000-0005-0000-0000-0000D0040000}"/>
    <cellStyle name="20% - Accent1 4 3 2 7 4" xfId="11034" xr:uid="{00000000-0005-0000-0000-0000D1040000}"/>
    <cellStyle name="20% - Accent1 4 3 2 7 5" xfId="11035" xr:uid="{00000000-0005-0000-0000-0000D2040000}"/>
    <cellStyle name="20% - Accent1 4 3 2 8" xfId="11036" xr:uid="{00000000-0005-0000-0000-0000D3040000}"/>
    <cellStyle name="20% - Accent1 4 3 2 8 2" xfId="11037" xr:uid="{00000000-0005-0000-0000-0000D4040000}"/>
    <cellStyle name="20% - Accent1 4 3 2 8 3" xfId="11038" xr:uid="{00000000-0005-0000-0000-0000D5040000}"/>
    <cellStyle name="20% - Accent1 4 3 2 9" xfId="11039" xr:uid="{00000000-0005-0000-0000-0000D6040000}"/>
    <cellStyle name="20% - Accent1 4 3 2 9 2" xfId="11040" xr:uid="{00000000-0005-0000-0000-0000D7040000}"/>
    <cellStyle name="20% - Accent1 4 3 2 9 3" xfId="11041" xr:uid="{00000000-0005-0000-0000-0000D8040000}"/>
    <cellStyle name="20% - Accent1 4 3 3" xfId="171" xr:uid="{00000000-0005-0000-0000-0000D9040000}"/>
    <cellStyle name="20% - Accent1 4 3 3 10" xfId="11042" xr:uid="{00000000-0005-0000-0000-0000DA040000}"/>
    <cellStyle name="20% - Accent1 4 3 3 2" xfId="172" xr:uid="{00000000-0005-0000-0000-0000DB040000}"/>
    <cellStyle name="20% - Accent1 4 3 3 2 2" xfId="11043" xr:uid="{00000000-0005-0000-0000-0000DC040000}"/>
    <cellStyle name="20% - Accent1 4 3 3 2 2 2" xfId="11044" xr:uid="{00000000-0005-0000-0000-0000DD040000}"/>
    <cellStyle name="20% - Accent1 4 3 3 2 2 2 2" xfId="11045" xr:uid="{00000000-0005-0000-0000-0000DE040000}"/>
    <cellStyle name="20% - Accent1 4 3 3 2 2 2 3" xfId="11046" xr:uid="{00000000-0005-0000-0000-0000DF040000}"/>
    <cellStyle name="20% - Accent1 4 3 3 2 2 3" xfId="11047" xr:uid="{00000000-0005-0000-0000-0000E0040000}"/>
    <cellStyle name="20% - Accent1 4 3 3 2 2 3 2" xfId="11048" xr:uid="{00000000-0005-0000-0000-0000E1040000}"/>
    <cellStyle name="20% - Accent1 4 3 3 2 2 3 3" xfId="11049" xr:uid="{00000000-0005-0000-0000-0000E2040000}"/>
    <cellStyle name="20% - Accent1 4 3 3 2 2 4" xfId="11050" xr:uid="{00000000-0005-0000-0000-0000E3040000}"/>
    <cellStyle name="20% - Accent1 4 3 3 2 2 4 2" xfId="11051" xr:uid="{00000000-0005-0000-0000-0000E4040000}"/>
    <cellStyle name="20% - Accent1 4 3 3 2 2 5" xfId="11052" xr:uid="{00000000-0005-0000-0000-0000E5040000}"/>
    <cellStyle name="20% - Accent1 4 3 3 2 2 6" xfId="11053" xr:uid="{00000000-0005-0000-0000-0000E6040000}"/>
    <cellStyle name="20% - Accent1 4 3 3 2 3" xfId="11054" xr:uid="{00000000-0005-0000-0000-0000E7040000}"/>
    <cellStyle name="20% - Accent1 4 3 3 2 3 2" xfId="11055" xr:uid="{00000000-0005-0000-0000-0000E8040000}"/>
    <cellStyle name="20% - Accent1 4 3 3 2 3 2 2" xfId="11056" xr:uid="{00000000-0005-0000-0000-0000E9040000}"/>
    <cellStyle name="20% - Accent1 4 3 3 2 3 2 3" xfId="11057" xr:uid="{00000000-0005-0000-0000-0000EA040000}"/>
    <cellStyle name="20% - Accent1 4 3 3 2 3 3" xfId="11058" xr:uid="{00000000-0005-0000-0000-0000EB040000}"/>
    <cellStyle name="20% - Accent1 4 3 3 2 3 3 2" xfId="11059" xr:uid="{00000000-0005-0000-0000-0000EC040000}"/>
    <cellStyle name="20% - Accent1 4 3 3 2 3 3 3" xfId="11060" xr:uid="{00000000-0005-0000-0000-0000ED040000}"/>
    <cellStyle name="20% - Accent1 4 3 3 2 3 4" xfId="11061" xr:uid="{00000000-0005-0000-0000-0000EE040000}"/>
    <cellStyle name="20% - Accent1 4 3 3 2 3 4 2" xfId="11062" xr:uid="{00000000-0005-0000-0000-0000EF040000}"/>
    <cellStyle name="20% - Accent1 4 3 3 2 3 5" xfId="11063" xr:uid="{00000000-0005-0000-0000-0000F0040000}"/>
    <cellStyle name="20% - Accent1 4 3 3 2 3 6" xfId="11064" xr:uid="{00000000-0005-0000-0000-0000F1040000}"/>
    <cellStyle name="20% - Accent1 4 3 3 2 4" xfId="11065" xr:uid="{00000000-0005-0000-0000-0000F2040000}"/>
    <cellStyle name="20% - Accent1 4 3 3 2 4 2" xfId="11066" xr:uid="{00000000-0005-0000-0000-0000F3040000}"/>
    <cellStyle name="20% - Accent1 4 3 3 2 4 2 2" xfId="11067" xr:uid="{00000000-0005-0000-0000-0000F4040000}"/>
    <cellStyle name="20% - Accent1 4 3 3 2 4 2 3" xfId="11068" xr:uid="{00000000-0005-0000-0000-0000F5040000}"/>
    <cellStyle name="20% - Accent1 4 3 3 2 4 3" xfId="11069" xr:uid="{00000000-0005-0000-0000-0000F6040000}"/>
    <cellStyle name="20% - Accent1 4 3 3 2 4 3 2" xfId="11070" xr:uid="{00000000-0005-0000-0000-0000F7040000}"/>
    <cellStyle name="20% - Accent1 4 3 3 2 4 4" xfId="11071" xr:uid="{00000000-0005-0000-0000-0000F8040000}"/>
    <cellStyle name="20% - Accent1 4 3 3 2 4 5" xfId="11072" xr:uid="{00000000-0005-0000-0000-0000F9040000}"/>
    <cellStyle name="20% - Accent1 4 3 3 2 5" xfId="11073" xr:uid="{00000000-0005-0000-0000-0000FA040000}"/>
    <cellStyle name="20% - Accent1 4 3 3 2 5 2" xfId="11074" xr:uid="{00000000-0005-0000-0000-0000FB040000}"/>
    <cellStyle name="20% - Accent1 4 3 3 2 5 3" xfId="11075" xr:uid="{00000000-0005-0000-0000-0000FC040000}"/>
    <cellStyle name="20% - Accent1 4 3 3 2 6" xfId="11076" xr:uid="{00000000-0005-0000-0000-0000FD040000}"/>
    <cellStyle name="20% - Accent1 4 3 3 2 6 2" xfId="11077" xr:uid="{00000000-0005-0000-0000-0000FE040000}"/>
    <cellStyle name="20% - Accent1 4 3 3 2 6 3" xfId="11078" xr:uid="{00000000-0005-0000-0000-0000FF040000}"/>
    <cellStyle name="20% - Accent1 4 3 3 2 7" xfId="11079" xr:uid="{00000000-0005-0000-0000-000000050000}"/>
    <cellStyle name="20% - Accent1 4 3 3 2 7 2" xfId="11080" xr:uid="{00000000-0005-0000-0000-000001050000}"/>
    <cellStyle name="20% - Accent1 4 3 3 2 8" xfId="11081" xr:uid="{00000000-0005-0000-0000-000002050000}"/>
    <cellStyle name="20% - Accent1 4 3 3 2 9" xfId="11082" xr:uid="{00000000-0005-0000-0000-000003050000}"/>
    <cellStyle name="20% - Accent1 4 3 3 3" xfId="11083" xr:uid="{00000000-0005-0000-0000-000004050000}"/>
    <cellStyle name="20% - Accent1 4 3 3 3 2" xfId="11084" xr:uid="{00000000-0005-0000-0000-000005050000}"/>
    <cellStyle name="20% - Accent1 4 3 3 3 2 2" xfId="11085" xr:uid="{00000000-0005-0000-0000-000006050000}"/>
    <cellStyle name="20% - Accent1 4 3 3 3 2 3" xfId="11086" xr:uid="{00000000-0005-0000-0000-000007050000}"/>
    <cellStyle name="20% - Accent1 4 3 3 3 3" xfId="11087" xr:uid="{00000000-0005-0000-0000-000008050000}"/>
    <cellStyle name="20% - Accent1 4 3 3 3 3 2" xfId="11088" xr:uid="{00000000-0005-0000-0000-000009050000}"/>
    <cellStyle name="20% - Accent1 4 3 3 3 3 3" xfId="11089" xr:uid="{00000000-0005-0000-0000-00000A050000}"/>
    <cellStyle name="20% - Accent1 4 3 3 3 4" xfId="11090" xr:uid="{00000000-0005-0000-0000-00000B050000}"/>
    <cellStyle name="20% - Accent1 4 3 3 3 4 2" xfId="11091" xr:uid="{00000000-0005-0000-0000-00000C050000}"/>
    <cellStyle name="20% - Accent1 4 3 3 3 5" xfId="11092" xr:uid="{00000000-0005-0000-0000-00000D050000}"/>
    <cellStyle name="20% - Accent1 4 3 3 3 6" xfId="11093" xr:uid="{00000000-0005-0000-0000-00000E050000}"/>
    <cellStyle name="20% - Accent1 4 3 3 4" xfId="11094" xr:uid="{00000000-0005-0000-0000-00000F050000}"/>
    <cellStyle name="20% - Accent1 4 3 3 4 2" xfId="11095" xr:uid="{00000000-0005-0000-0000-000010050000}"/>
    <cellStyle name="20% - Accent1 4 3 3 4 2 2" xfId="11096" xr:uid="{00000000-0005-0000-0000-000011050000}"/>
    <cellStyle name="20% - Accent1 4 3 3 4 2 3" xfId="11097" xr:uid="{00000000-0005-0000-0000-000012050000}"/>
    <cellStyle name="20% - Accent1 4 3 3 4 3" xfId="11098" xr:uid="{00000000-0005-0000-0000-000013050000}"/>
    <cellStyle name="20% - Accent1 4 3 3 4 3 2" xfId="11099" xr:uid="{00000000-0005-0000-0000-000014050000}"/>
    <cellStyle name="20% - Accent1 4 3 3 4 3 3" xfId="11100" xr:uid="{00000000-0005-0000-0000-000015050000}"/>
    <cellStyle name="20% - Accent1 4 3 3 4 4" xfId="11101" xr:uid="{00000000-0005-0000-0000-000016050000}"/>
    <cellStyle name="20% - Accent1 4 3 3 4 4 2" xfId="11102" xr:uid="{00000000-0005-0000-0000-000017050000}"/>
    <cellStyle name="20% - Accent1 4 3 3 4 5" xfId="11103" xr:uid="{00000000-0005-0000-0000-000018050000}"/>
    <cellStyle name="20% - Accent1 4 3 3 4 6" xfId="11104" xr:uid="{00000000-0005-0000-0000-000019050000}"/>
    <cellStyle name="20% - Accent1 4 3 3 5" xfId="11105" xr:uid="{00000000-0005-0000-0000-00001A050000}"/>
    <cellStyle name="20% - Accent1 4 3 3 5 2" xfId="11106" xr:uid="{00000000-0005-0000-0000-00001B050000}"/>
    <cellStyle name="20% - Accent1 4 3 3 5 2 2" xfId="11107" xr:uid="{00000000-0005-0000-0000-00001C050000}"/>
    <cellStyle name="20% - Accent1 4 3 3 5 2 3" xfId="11108" xr:uid="{00000000-0005-0000-0000-00001D050000}"/>
    <cellStyle name="20% - Accent1 4 3 3 5 3" xfId="11109" xr:uid="{00000000-0005-0000-0000-00001E050000}"/>
    <cellStyle name="20% - Accent1 4 3 3 5 3 2" xfId="11110" xr:uid="{00000000-0005-0000-0000-00001F050000}"/>
    <cellStyle name="20% - Accent1 4 3 3 5 4" xfId="11111" xr:uid="{00000000-0005-0000-0000-000020050000}"/>
    <cellStyle name="20% - Accent1 4 3 3 5 5" xfId="11112" xr:uid="{00000000-0005-0000-0000-000021050000}"/>
    <cellStyle name="20% - Accent1 4 3 3 6" xfId="11113" xr:uid="{00000000-0005-0000-0000-000022050000}"/>
    <cellStyle name="20% - Accent1 4 3 3 6 2" xfId="11114" xr:uid="{00000000-0005-0000-0000-000023050000}"/>
    <cellStyle name="20% - Accent1 4 3 3 6 3" xfId="11115" xr:uid="{00000000-0005-0000-0000-000024050000}"/>
    <cellStyle name="20% - Accent1 4 3 3 7" xfId="11116" xr:uid="{00000000-0005-0000-0000-000025050000}"/>
    <cellStyle name="20% - Accent1 4 3 3 7 2" xfId="11117" xr:uid="{00000000-0005-0000-0000-000026050000}"/>
    <cellStyle name="20% - Accent1 4 3 3 7 3" xfId="11118" xr:uid="{00000000-0005-0000-0000-000027050000}"/>
    <cellStyle name="20% - Accent1 4 3 3 8" xfId="11119" xr:uid="{00000000-0005-0000-0000-000028050000}"/>
    <cellStyle name="20% - Accent1 4 3 3 8 2" xfId="11120" xr:uid="{00000000-0005-0000-0000-000029050000}"/>
    <cellStyle name="20% - Accent1 4 3 3 9" xfId="11121" xr:uid="{00000000-0005-0000-0000-00002A050000}"/>
    <cellStyle name="20% - Accent1 4 3 4" xfId="173" xr:uid="{00000000-0005-0000-0000-00002B050000}"/>
    <cellStyle name="20% - Accent1 4 3 4 2" xfId="11122" xr:uid="{00000000-0005-0000-0000-00002C050000}"/>
    <cellStyle name="20% - Accent1 4 3 4 2 2" xfId="11123" xr:uid="{00000000-0005-0000-0000-00002D050000}"/>
    <cellStyle name="20% - Accent1 4 3 4 2 2 2" xfId="11124" xr:uid="{00000000-0005-0000-0000-00002E050000}"/>
    <cellStyle name="20% - Accent1 4 3 4 2 2 3" xfId="11125" xr:uid="{00000000-0005-0000-0000-00002F050000}"/>
    <cellStyle name="20% - Accent1 4 3 4 2 3" xfId="11126" xr:uid="{00000000-0005-0000-0000-000030050000}"/>
    <cellStyle name="20% - Accent1 4 3 4 2 3 2" xfId="11127" xr:uid="{00000000-0005-0000-0000-000031050000}"/>
    <cellStyle name="20% - Accent1 4 3 4 2 3 3" xfId="11128" xr:uid="{00000000-0005-0000-0000-000032050000}"/>
    <cellStyle name="20% - Accent1 4 3 4 2 4" xfId="11129" xr:uid="{00000000-0005-0000-0000-000033050000}"/>
    <cellStyle name="20% - Accent1 4 3 4 2 4 2" xfId="11130" xr:uid="{00000000-0005-0000-0000-000034050000}"/>
    <cellStyle name="20% - Accent1 4 3 4 2 5" xfId="11131" xr:uid="{00000000-0005-0000-0000-000035050000}"/>
    <cellStyle name="20% - Accent1 4 3 4 2 6" xfId="11132" xr:uid="{00000000-0005-0000-0000-000036050000}"/>
    <cellStyle name="20% - Accent1 4 3 4 3" xfId="11133" xr:uid="{00000000-0005-0000-0000-000037050000}"/>
    <cellStyle name="20% - Accent1 4 3 4 3 2" xfId="11134" xr:uid="{00000000-0005-0000-0000-000038050000}"/>
    <cellStyle name="20% - Accent1 4 3 4 3 2 2" xfId="11135" xr:uid="{00000000-0005-0000-0000-000039050000}"/>
    <cellStyle name="20% - Accent1 4 3 4 3 2 3" xfId="11136" xr:uid="{00000000-0005-0000-0000-00003A050000}"/>
    <cellStyle name="20% - Accent1 4 3 4 3 3" xfId="11137" xr:uid="{00000000-0005-0000-0000-00003B050000}"/>
    <cellStyle name="20% - Accent1 4 3 4 3 3 2" xfId="11138" xr:uid="{00000000-0005-0000-0000-00003C050000}"/>
    <cellStyle name="20% - Accent1 4 3 4 3 3 3" xfId="11139" xr:uid="{00000000-0005-0000-0000-00003D050000}"/>
    <cellStyle name="20% - Accent1 4 3 4 3 4" xfId="11140" xr:uid="{00000000-0005-0000-0000-00003E050000}"/>
    <cellStyle name="20% - Accent1 4 3 4 3 4 2" xfId="11141" xr:uid="{00000000-0005-0000-0000-00003F050000}"/>
    <cellStyle name="20% - Accent1 4 3 4 3 5" xfId="11142" xr:uid="{00000000-0005-0000-0000-000040050000}"/>
    <cellStyle name="20% - Accent1 4 3 4 3 6" xfId="11143" xr:uid="{00000000-0005-0000-0000-000041050000}"/>
    <cellStyle name="20% - Accent1 4 3 4 4" xfId="11144" xr:uid="{00000000-0005-0000-0000-000042050000}"/>
    <cellStyle name="20% - Accent1 4 3 4 4 2" xfId="11145" xr:uid="{00000000-0005-0000-0000-000043050000}"/>
    <cellStyle name="20% - Accent1 4 3 4 4 2 2" xfId="11146" xr:uid="{00000000-0005-0000-0000-000044050000}"/>
    <cellStyle name="20% - Accent1 4 3 4 4 2 3" xfId="11147" xr:uid="{00000000-0005-0000-0000-000045050000}"/>
    <cellStyle name="20% - Accent1 4 3 4 4 3" xfId="11148" xr:uid="{00000000-0005-0000-0000-000046050000}"/>
    <cellStyle name="20% - Accent1 4 3 4 4 3 2" xfId="11149" xr:uid="{00000000-0005-0000-0000-000047050000}"/>
    <cellStyle name="20% - Accent1 4 3 4 4 4" xfId="11150" xr:uid="{00000000-0005-0000-0000-000048050000}"/>
    <cellStyle name="20% - Accent1 4 3 4 4 5" xfId="11151" xr:uid="{00000000-0005-0000-0000-000049050000}"/>
    <cellStyle name="20% - Accent1 4 3 4 5" xfId="11152" xr:uid="{00000000-0005-0000-0000-00004A050000}"/>
    <cellStyle name="20% - Accent1 4 3 4 5 2" xfId="11153" xr:uid="{00000000-0005-0000-0000-00004B050000}"/>
    <cellStyle name="20% - Accent1 4 3 4 5 3" xfId="11154" xr:uid="{00000000-0005-0000-0000-00004C050000}"/>
    <cellStyle name="20% - Accent1 4 3 4 6" xfId="11155" xr:uid="{00000000-0005-0000-0000-00004D050000}"/>
    <cellStyle name="20% - Accent1 4 3 4 6 2" xfId="11156" xr:uid="{00000000-0005-0000-0000-00004E050000}"/>
    <cellStyle name="20% - Accent1 4 3 4 6 3" xfId="11157" xr:uid="{00000000-0005-0000-0000-00004F050000}"/>
    <cellStyle name="20% - Accent1 4 3 4 7" xfId="11158" xr:uid="{00000000-0005-0000-0000-000050050000}"/>
    <cellStyle name="20% - Accent1 4 3 4 7 2" xfId="11159" xr:uid="{00000000-0005-0000-0000-000051050000}"/>
    <cellStyle name="20% - Accent1 4 3 4 8" xfId="11160" xr:uid="{00000000-0005-0000-0000-000052050000}"/>
    <cellStyle name="20% - Accent1 4 3 4 9" xfId="11161" xr:uid="{00000000-0005-0000-0000-000053050000}"/>
    <cellStyle name="20% - Accent1 4 3 5" xfId="11162" xr:uid="{00000000-0005-0000-0000-000054050000}"/>
    <cellStyle name="20% - Accent1 4 3 5 2" xfId="11163" xr:uid="{00000000-0005-0000-0000-000055050000}"/>
    <cellStyle name="20% - Accent1 4 3 5 2 2" xfId="11164" xr:uid="{00000000-0005-0000-0000-000056050000}"/>
    <cellStyle name="20% - Accent1 4 3 5 2 2 2" xfId="11165" xr:uid="{00000000-0005-0000-0000-000057050000}"/>
    <cellStyle name="20% - Accent1 4 3 5 2 2 3" xfId="11166" xr:uid="{00000000-0005-0000-0000-000058050000}"/>
    <cellStyle name="20% - Accent1 4 3 5 2 3" xfId="11167" xr:uid="{00000000-0005-0000-0000-000059050000}"/>
    <cellStyle name="20% - Accent1 4 3 5 2 3 2" xfId="11168" xr:uid="{00000000-0005-0000-0000-00005A050000}"/>
    <cellStyle name="20% - Accent1 4 3 5 2 3 3" xfId="11169" xr:uid="{00000000-0005-0000-0000-00005B050000}"/>
    <cellStyle name="20% - Accent1 4 3 5 2 4" xfId="11170" xr:uid="{00000000-0005-0000-0000-00005C050000}"/>
    <cellStyle name="20% - Accent1 4 3 5 2 4 2" xfId="11171" xr:uid="{00000000-0005-0000-0000-00005D050000}"/>
    <cellStyle name="20% - Accent1 4 3 5 2 5" xfId="11172" xr:uid="{00000000-0005-0000-0000-00005E050000}"/>
    <cellStyle name="20% - Accent1 4 3 5 2 6" xfId="11173" xr:uid="{00000000-0005-0000-0000-00005F050000}"/>
    <cellStyle name="20% - Accent1 4 3 5 3" xfId="11174" xr:uid="{00000000-0005-0000-0000-000060050000}"/>
    <cellStyle name="20% - Accent1 4 3 5 3 2" xfId="11175" xr:uid="{00000000-0005-0000-0000-000061050000}"/>
    <cellStyle name="20% - Accent1 4 3 5 3 2 2" xfId="11176" xr:uid="{00000000-0005-0000-0000-000062050000}"/>
    <cellStyle name="20% - Accent1 4 3 5 3 2 3" xfId="11177" xr:uid="{00000000-0005-0000-0000-000063050000}"/>
    <cellStyle name="20% - Accent1 4 3 5 3 3" xfId="11178" xr:uid="{00000000-0005-0000-0000-000064050000}"/>
    <cellStyle name="20% - Accent1 4 3 5 3 3 2" xfId="11179" xr:uid="{00000000-0005-0000-0000-000065050000}"/>
    <cellStyle name="20% - Accent1 4 3 5 3 3 3" xfId="11180" xr:uid="{00000000-0005-0000-0000-000066050000}"/>
    <cellStyle name="20% - Accent1 4 3 5 3 4" xfId="11181" xr:uid="{00000000-0005-0000-0000-000067050000}"/>
    <cellStyle name="20% - Accent1 4 3 5 3 4 2" xfId="11182" xr:uid="{00000000-0005-0000-0000-000068050000}"/>
    <cellStyle name="20% - Accent1 4 3 5 3 5" xfId="11183" xr:uid="{00000000-0005-0000-0000-000069050000}"/>
    <cellStyle name="20% - Accent1 4 3 5 3 6" xfId="11184" xr:uid="{00000000-0005-0000-0000-00006A050000}"/>
    <cellStyle name="20% - Accent1 4 3 5 4" xfId="11185" xr:uid="{00000000-0005-0000-0000-00006B050000}"/>
    <cellStyle name="20% - Accent1 4 3 5 4 2" xfId="11186" xr:uid="{00000000-0005-0000-0000-00006C050000}"/>
    <cellStyle name="20% - Accent1 4 3 5 4 2 2" xfId="11187" xr:uid="{00000000-0005-0000-0000-00006D050000}"/>
    <cellStyle name="20% - Accent1 4 3 5 4 2 3" xfId="11188" xr:uid="{00000000-0005-0000-0000-00006E050000}"/>
    <cellStyle name="20% - Accent1 4 3 5 4 3" xfId="11189" xr:uid="{00000000-0005-0000-0000-00006F050000}"/>
    <cellStyle name="20% - Accent1 4 3 5 4 3 2" xfId="11190" xr:uid="{00000000-0005-0000-0000-000070050000}"/>
    <cellStyle name="20% - Accent1 4 3 5 4 4" xfId="11191" xr:uid="{00000000-0005-0000-0000-000071050000}"/>
    <cellStyle name="20% - Accent1 4 3 5 4 5" xfId="11192" xr:uid="{00000000-0005-0000-0000-000072050000}"/>
    <cellStyle name="20% - Accent1 4 3 5 5" xfId="11193" xr:uid="{00000000-0005-0000-0000-000073050000}"/>
    <cellStyle name="20% - Accent1 4 3 5 5 2" xfId="11194" xr:uid="{00000000-0005-0000-0000-000074050000}"/>
    <cellStyle name="20% - Accent1 4 3 5 5 3" xfId="11195" xr:uid="{00000000-0005-0000-0000-000075050000}"/>
    <cellStyle name="20% - Accent1 4 3 5 6" xfId="11196" xr:uid="{00000000-0005-0000-0000-000076050000}"/>
    <cellStyle name="20% - Accent1 4 3 5 6 2" xfId="11197" xr:uid="{00000000-0005-0000-0000-000077050000}"/>
    <cellStyle name="20% - Accent1 4 3 5 6 3" xfId="11198" xr:uid="{00000000-0005-0000-0000-000078050000}"/>
    <cellStyle name="20% - Accent1 4 3 5 7" xfId="11199" xr:uid="{00000000-0005-0000-0000-000079050000}"/>
    <cellStyle name="20% - Accent1 4 3 5 7 2" xfId="11200" xr:uid="{00000000-0005-0000-0000-00007A050000}"/>
    <cellStyle name="20% - Accent1 4 3 5 8" xfId="11201" xr:uid="{00000000-0005-0000-0000-00007B050000}"/>
    <cellStyle name="20% - Accent1 4 3 5 9" xfId="11202" xr:uid="{00000000-0005-0000-0000-00007C050000}"/>
    <cellStyle name="20% - Accent1 4 3 6" xfId="11203" xr:uid="{00000000-0005-0000-0000-00007D050000}"/>
    <cellStyle name="20% - Accent1 4 3 6 2" xfId="11204" xr:uid="{00000000-0005-0000-0000-00007E050000}"/>
    <cellStyle name="20% - Accent1 4 3 6 2 2" xfId="11205" xr:uid="{00000000-0005-0000-0000-00007F050000}"/>
    <cellStyle name="20% - Accent1 4 3 6 2 3" xfId="11206" xr:uid="{00000000-0005-0000-0000-000080050000}"/>
    <cellStyle name="20% - Accent1 4 3 6 3" xfId="11207" xr:uid="{00000000-0005-0000-0000-000081050000}"/>
    <cellStyle name="20% - Accent1 4 3 6 3 2" xfId="11208" xr:uid="{00000000-0005-0000-0000-000082050000}"/>
    <cellStyle name="20% - Accent1 4 3 6 3 3" xfId="11209" xr:uid="{00000000-0005-0000-0000-000083050000}"/>
    <cellStyle name="20% - Accent1 4 3 6 4" xfId="11210" xr:uid="{00000000-0005-0000-0000-000084050000}"/>
    <cellStyle name="20% - Accent1 4 3 6 4 2" xfId="11211" xr:uid="{00000000-0005-0000-0000-000085050000}"/>
    <cellStyle name="20% - Accent1 4 3 6 5" xfId="11212" xr:uid="{00000000-0005-0000-0000-000086050000}"/>
    <cellStyle name="20% - Accent1 4 3 6 6" xfId="11213" xr:uid="{00000000-0005-0000-0000-000087050000}"/>
    <cellStyle name="20% - Accent1 4 3 7" xfId="11214" xr:uid="{00000000-0005-0000-0000-000088050000}"/>
    <cellStyle name="20% - Accent1 4 3 7 2" xfId="11215" xr:uid="{00000000-0005-0000-0000-000089050000}"/>
    <cellStyle name="20% - Accent1 4 3 7 2 2" xfId="11216" xr:uid="{00000000-0005-0000-0000-00008A050000}"/>
    <cellStyle name="20% - Accent1 4 3 7 2 3" xfId="11217" xr:uid="{00000000-0005-0000-0000-00008B050000}"/>
    <cellStyle name="20% - Accent1 4 3 7 3" xfId="11218" xr:uid="{00000000-0005-0000-0000-00008C050000}"/>
    <cellStyle name="20% - Accent1 4 3 7 3 2" xfId="11219" xr:uid="{00000000-0005-0000-0000-00008D050000}"/>
    <cellStyle name="20% - Accent1 4 3 7 3 3" xfId="11220" xr:uid="{00000000-0005-0000-0000-00008E050000}"/>
    <cellStyle name="20% - Accent1 4 3 7 4" xfId="11221" xr:uid="{00000000-0005-0000-0000-00008F050000}"/>
    <cellStyle name="20% - Accent1 4 3 7 4 2" xfId="11222" xr:uid="{00000000-0005-0000-0000-000090050000}"/>
    <cellStyle name="20% - Accent1 4 3 7 5" xfId="11223" xr:uid="{00000000-0005-0000-0000-000091050000}"/>
    <cellStyle name="20% - Accent1 4 3 7 6" xfId="11224" xr:uid="{00000000-0005-0000-0000-000092050000}"/>
    <cellStyle name="20% - Accent1 4 3 8" xfId="11225" xr:uid="{00000000-0005-0000-0000-000093050000}"/>
    <cellStyle name="20% - Accent1 4 3 8 2" xfId="11226" xr:uid="{00000000-0005-0000-0000-000094050000}"/>
    <cellStyle name="20% - Accent1 4 3 8 2 2" xfId="11227" xr:uid="{00000000-0005-0000-0000-000095050000}"/>
    <cellStyle name="20% - Accent1 4 3 8 2 3" xfId="11228" xr:uid="{00000000-0005-0000-0000-000096050000}"/>
    <cellStyle name="20% - Accent1 4 3 8 3" xfId="11229" xr:uid="{00000000-0005-0000-0000-000097050000}"/>
    <cellStyle name="20% - Accent1 4 3 8 3 2" xfId="11230" xr:uid="{00000000-0005-0000-0000-000098050000}"/>
    <cellStyle name="20% - Accent1 4 3 8 4" xfId="11231" xr:uid="{00000000-0005-0000-0000-000099050000}"/>
    <cellStyle name="20% - Accent1 4 3 8 5" xfId="11232" xr:uid="{00000000-0005-0000-0000-00009A050000}"/>
    <cellStyle name="20% - Accent1 4 3 9" xfId="11233" xr:uid="{00000000-0005-0000-0000-00009B050000}"/>
    <cellStyle name="20% - Accent1 4 3 9 2" xfId="11234" xr:uid="{00000000-0005-0000-0000-00009C050000}"/>
    <cellStyle name="20% - Accent1 4 3 9 3" xfId="11235" xr:uid="{00000000-0005-0000-0000-00009D050000}"/>
    <cellStyle name="20% - Accent1 4 4" xfId="174" xr:uid="{00000000-0005-0000-0000-00009E050000}"/>
    <cellStyle name="20% - Accent1 4 4 10" xfId="11236" xr:uid="{00000000-0005-0000-0000-00009F050000}"/>
    <cellStyle name="20% - Accent1 4 4 10 2" xfId="11237" xr:uid="{00000000-0005-0000-0000-0000A0050000}"/>
    <cellStyle name="20% - Accent1 4 4 11" xfId="11238" xr:uid="{00000000-0005-0000-0000-0000A1050000}"/>
    <cellStyle name="20% - Accent1 4 4 12" xfId="11239" xr:uid="{00000000-0005-0000-0000-0000A2050000}"/>
    <cellStyle name="20% - Accent1 4 4 2" xfId="175" xr:uid="{00000000-0005-0000-0000-0000A3050000}"/>
    <cellStyle name="20% - Accent1 4 4 2 10" xfId="11240" xr:uid="{00000000-0005-0000-0000-0000A4050000}"/>
    <cellStyle name="20% - Accent1 4 4 2 2" xfId="176" xr:uid="{00000000-0005-0000-0000-0000A5050000}"/>
    <cellStyle name="20% - Accent1 4 4 2 2 2" xfId="11241" xr:uid="{00000000-0005-0000-0000-0000A6050000}"/>
    <cellStyle name="20% - Accent1 4 4 2 2 2 2" xfId="11242" xr:uid="{00000000-0005-0000-0000-0000A7050000}"/>
    <cellStyle name="20% - Accent1 4 4 2 2 2 2 2" xfId="11243" xr:uid="{00000000-0005-0000-0000-0000A8050000}"/>
    <cellStyle name="20% - Accent1 4 4 2 2 2 2 3" xfId="11244" xr:uid="{00000000-0005-0000-0000-0000A9050000}"/>
    <cellStyle name="20% - Accent1 4 4 2 2 2 3" xfId="11245" xr:uid="{00000000-0005-0000-0000-0000AA050000}"/>
    <cellStyle name="20% - Accent1 4 4 2 2 2 3 2" xfId="11246" xr:uid="{00000000-0005-0000-0000-0000AB050000}"/>
    <cellStyle name="20% - Accent1 4 4 2 2 2 3 3" xfId="11247" xr:uid="{00000000-0005-0000-0000-0000AC050000}"/>
    <cellStyle name="20% - Accent1 4 4 2 2 2 4" xfId="11248" xr:uid="{00000000-0005-0000-0000-0000AD050000}"/>
    <cellStyle name="20% - Accent1 4 4 2 2 2 4 2" xfId="11249" xr:uid="{00000000-0005-0000-0000-0000AE050000}"/>
    <cellStyle name="20% - Accent1 4 4 2 2 2 5" xfId="11250" xr:uid="{00000000-0005-0000-0000-0000AF050000}"/>
    <cellStyle name="20% - Accent1 4 4 2 2 2 6" xfId="11251" xr:uid="{00000000-0005-0000-0000-0000B0050000}"/>
    <cellStyle name="20% - Accent1 4 4 2 2 3" xfId="11252" xr:uid="{00000000-0005-0000-0000-0000B1050000}"/>
    <cellStyle name="20% - Accent1 4 4 2 2 3 2" xfId="11253" xr:uid="{00000000-0005-0000-0000-0000B2050000}"/>
    <cellStyle name="20% - Accent1 4 4 2 2 3 2 2" xfId="11254" xr:uid="{00000000-0005-0000-0000-0000B3050000}"/>
    <cellStyle name="20% - Accent1 4 4 2 2 3 2 3" xfId="11255" xr:uid="{00000000-0005-0000-0000-0000B4050000}"/>
    <cellStyle name="20% - Accent1 4 4 2 2 3 3" xfId="11256" xr:uid="{00000000-0005-0000-0000-0000B5050000}"/>
    <cellStyle name="20% - Accent1 4 4 2 2 3 3 2" xfId="11257" xr:uid="{00000000-0005-0000-0000-0000B6050000}"/>
    <cellStyle name="20% - Accent1 4 4 2 2 3 3 3" xfId="11258" xr:uid="{00000000-0005-0000-0000-0000B7050000}"/>
    <cellStyle name="20% - Accent1 4 4 2 2 3 4" xfId="11259" xr:uid="{00000000-0005-0000-0000-0000B8050000}"/>
    <cellStyle name="20% - Accent1 4 4 2 2 3 4 2" xfId="11260" xr:uid="{00000000-0005-0000-0000-0000B9050000}"/>
    <cellStyle name="20% - Accent1 4 4 2 2 3 5" xfId="11261" xr:uid="{00000000-0005-0000-0000-0000BA050000}"/>
    <cellStyle name="20% - Accent1 4 4 2 2 3 6" xfId="11262" xr:uid="{00000000-0005-0000-0000-0000BB050000}"/>
    <cellStyle name="20% - Accent1 4 4 2 2 4" xfId="11263" xr:uid="{00000000-0005-0000-0000-0000BC050000}"/>
    <cellStyle name="20% - Accent1 4 4 2 2 4 2" xfId="11264" xr:uid="{00000000-0005-0000-0000-0000BD050000}"/>
    <cellStyle name="20% - Accent1 4 4 2 2 4 2 2" xfId="11265" xr:uid="{00000000-0005-0000-0000-0000BE050000}"/>
    <cellStyle name="20% - Accent1 4 4 2 2 4 2 3" xfId="11266" xr:uid="{00000000-0005-0000-0000-0000BF050000}"/>
    <cellStyle name="20% - Accent1 4 4 2 2 4 3" xfId="11267" xr:uid="{00000000-0005-0000-0000-0000C0050000}"/>
    <cellStyle name="20% - Accent1 4 4 2 2 4 3 2" xfId="11268" xr:uid="{00000000-0005-0000-0000-0000C1050000}"/>
    <cellStyle name="20% - Accent1 4 4 2 2 4 4" xfId="11269" xr:uid="{00000000-0005-0000-0000-0000C2050000}"/>
    <cellStyle name="20% - Accent1 4 4 2 2 4 5" xfId="11270" xr:uid="{00000000-0005-0000-0000-0000C3050000}"/>
    <cellStyle name="20% - Accent1 4 4 2 2 5" xfId="11271" xr:uid="{00000000-0005-0000-0000-0000C4050000}"/>
    <cellStyle name="20% - Accent1 4 4 2 2 5 2" xfId="11272" xr:uid="{00000000-0005-0000-0000-0000C5050000}"/>
    <cellStyle name="20% - Accent1 4 4 2 2 5 3" xfId="11273" xr:uid="{00000000-0005-0000-0000-0000C6050000}"/>
    <cellStyle name="20% - Accent1 4 4 2 2 6" xfId="11274" xr:uid="{00000000-0005-0000-0000-0000C7050000}"/>
    <cellStyle name="20% - Accent1 4 4 2 2 6 2" xfId="11275" xr:uid="{00000000-0005-0000-0000-0000C8050000}"/>
    <cellStyle name="20% - Accent1 4 4 2 2 6 3" xfId="11276" xr:uid="{00000000-0005-0000-0000-0000C9050000}"/>
    <cellStyle name="20% - Accent1 4 4 2 2 7" xfId="11277" xr:uid="{00000000-0005-0000-0000-0000CA050000}"/>
    <cellStyle name="20% - Accent1 4 4 2 2 7 2" xfId="11278" xr:uid="{00000000-0005-0000-0000-0000CB050000}"/>
    <cellStyle name="20% - Accent1 4 4 2 2 8" xfId="11279" xr:uid="{00000000-0005-0000-0000-0000CC050000}"/>
    <cellStyle name="20% - Accent1 4 4 2 2 9" xfId="11280" xr:uid="{00000000-0005-0000-0000-0000CD050000}"/>
    <cellStyle name="20% - Accent1 4 4 2 3" xfId="11281" xr:uid="{00000000-0005-0000-0000-0000CE050000}"/>
    <cellStyle name="20% - Accent1 4 4 2 3 2" xfId="11282" xr:uid="{00000000-0005-0000-0000-0000CF050000}"/>
    <cellStyle name="20% - Accent1 4 4 2 3 2 2" xfId="11283" xr:uid="{00000000-0005-0000-0000-0000D0050000}"/>
    <cellStyle name="20% - Accent1 4 4 2 3 2 3" xfId="11284" xr:uid="{00000000-0005-0000-0000-0000D1050000}"/>
    <cellStyle name="20% - Accent1 4 4 2 3 3" xfId="11285" xr:uid="{00000000-0005-0000-0000-0000D2050000}"/>
    <cellStyle name="20% - Accent1 4 4 2 3 3 2" xfId="11286" xr:uid="{00000000-0005-0000-0000-0000D3050000}"/>
    <cellStyle name="20% - Accent1 4 4 2 3 3 3" xfId="11287" xr:uid="{00000000-0005-0000-0000-0000D4050000}"/>
    <cellStyle name="20% - Accent1 4 4 2 3 4" xfId="11288" xr:uid="{00000000-0005-0000-0000-0000D5050000}"/>
    <cellStyle name="20% - Accent1 4 4 2 3 4 2" xfId="11289" xr:uid="{00000000-0005-0000-0000-0000D6050000}"/>
    <cellStyle name="20% - Accent1 4 4 2 3 5" xfId="11290" xr:uid="{00000000-0005-0000-0000-0000D7050000}"/>
    <cellStyle name="20% - Accent1 4 4 2 3 6" xfId="11291" xr:uid="{00000000-0005-0000-0000-0000D8050000}"/>
    <cellStyle name="20% - Accent1 4 4 2 4" xfId="11292" xr:uid="{00000000-0005-0000-0000-0000D9050000}"/>
    <cellStyle name="20% - Accent1 4 4 2 4 2" xfId="11293" xr:uid="{00000000-0005-0000-0000-0000DA050000}"/>
    <cellStyle name="20% - Accent1 4 4 2 4 2 2" xfId="11294" xr:uid="{00000000-0005-0000-0000-0000DB050000}"/>
    <cellStyle name="20% - Accent1 4 4 2 4 2 3" xfId="11295" xr:uid="{00000000-0005-0000-0000-0000DC050000}"/>
    <cellStyle name="20% - Accent1 4 4 2 4 3" xfId="11296" xr:uid="{00000000-0005-0000-0000-0000DD050000}"/>
    <cellStyle name="20% - Accent1 4 4 2 4 3 2" xfId="11297" xr:uid="{00000000-0005-0000-0000-0000DE050000}"/>
    <cellStyle name="20% - Accent1 4 4 2 4 3 3" xfId="11298" xr:uid="{00000000-0005-0000-0000-0000DF050000}"/>
    <cellStyle name="20% - Accent1 4 4 2 4 4" xfId="11299" xr:uid="{00000000-0005-0000-0000-0000E0050000}"/>
    <cellStyle name="20% - Accent1 4 4 2 4 4 2" xfId="11300" xr:uid="{00000000-0005-0000-0000-0000E1050000}"/>
    <cellStyle name="20% - Accent1 4 4 2 4 5" xfId="11301" xr:uid="{00000000-0005-0000-0000-0000E2050000}"/>
    <cellStyle name="20% - Accent1 4 4 2 4 6" xfId="11302" xr:uid="{00000000-0005-0000-0000-0000E3050000}"/>
    <cellStyle name="20% - Accent1 4 4 2 5" xfId="11303" xr:uid="{00000000-0005-0000-0000-0000E4050000}"/>
    <cellStyle name="20% - Accent1 4 4 2 5 2" xfId="11304" xr:uid="{00000000-0005-0000-0000-0000E5050000}"/>
    <cellStyle name="20% - Accent1 4 4 2 5 2 2" xfId="11305" xr:uid="{00000000-0005-0000-0000-0000E6050000}"/>
    <cellStyle name="20% - Accent1 4 4 2 5 2 3" xfId="11306" xr:uid="{00000000-0005-0000-0000-0000E7050000}"/>
    <cellStyle name="20% - Accent1 4 4 2 5 3" xfId="11307" xr:uid="{00000000-0005-0000-0000-0000E8050000}"/>
    <cellStyle name="20% - Accent1 4 4 2 5 3 2" xfId="11308" xr:uid="{00000000-0005-0000-0000-0000E9050000}"/>
    <cellStyle name="20% - Accent1 4 4 2 5 4" xfId="11309" xr:uid="{00000000-0005-0000-0000-0000EA050000}"/>
    <cellStyle name="20% - Accent1 4 4 2 5 5" xfId="11310" xr:uid="{00000000-0005-0000-0000-0000EB050000}"/>
    <cellStyle name="20% - Accent1 4 4 2 6" xfId="11311" xr:uid="{00000000-0005-0000-0000-0000EC050000}"/>
    <cellStyle name="20% - Accent1 4 4 2 6 2" xfId="11312" xr:uid="{00000000-0005-0000-0000-0000ED050000}"/>
    <cellStyle name="20% - Accent1 4 4 2 6 3" xfId="11313" xr:uid="{00000000-0005-0000-0000-0000EE050000}"/>
    <cellStyle name="20% - Accent1 4 4 2 7" xfId="11314" xr:uid="{00000000-0005-0000-0000-0000EF050000}"/>
    <cellStyle name="20% - Accent1 4 4 2 7 2" xfId="11315" xr:uid="{00000000-0005-0000-0000-0000F0050000}"/>
    <cellStyle name="20% - Accent1 4 4 2 7 3" xfId="11316" xr:uid="{00000000-0005-0000-0000-0000F1050000}"/>
    <cellStyle name="20% - Accent1 4 4 2 8" xfId="11317" xr:uid="{00000000-0005-0000-0000-0000F2050000}"/>
    <cellStyle name="20% - Accent1 4 4 2 8 2" xfId="11318" xr:uid="{00000000-0005-0000-0000-0000F3050000}"/>
    <cellStyle name="20% - Accent1 4 4 2 9" xfId="11319" xr:uid="{00000000-0005-0000-0000-0000F4050000}"/>
    <cellStyle name="20% - Accent1 4 4 3" xfId="177" xr:uid="{00000000-0005-0000-0000-0000F5050000}"/>
    <cellStyle name="20% - Accent1 4 4 3 2" xfId="11320" xr:uid="{00000000-0005-0000-0000-0000F6050000}"/>
    <cellStyle name="20% - Accent1 4 4 3 2 2" xfId="11321" xr:uid="{00000000-0005-0000-0000-0000F7050000}"/>
    <cellStyle name="20% - Accent1 4 4 3 2 2 2" xfId="11322" xr:uid="{00000000-0005-0000-0000-0000F8050000}"/>
    <cellStyle name="20% - Accent1 4 4 3 2 2 3" xfId="11323" xr:uid="{00000000-0005-0000-0000-0000F9050000}"/>
    <cellStyle name="20% - Accent1 4 4 3 2 3" xfId="11324" xr:uid="{00000000-0005-0000-0000-0000FA050000}"/>
    <cellStyle name="20% - Accent1 4 4 3 2 3 2" xfId="11325" xr:uid="{00000000-0005-0000-0000-0000FB050000}"/>
    <cellStyle name="20% - Accent1 4 4 3 2 3 3" xfId="11326" xr:uid="{00000000-0005-0000-0000-0000FC050000}"/>
    <cellStyle name="20% - Accent1 4 4 3 2 4" xfId="11327" xr:uid="{00000000-0005-0000-0000-0000FD050000}"/>
    <cellStyle name="20% - Accent1 4 4 3 2 4 2" xfId="11328" xr:uid="{00000000-0005-0000-0000-0000FE050000}"/>
    <cellStyle name="20% - Accent1 4 4 3 2 5" xfId="11329" xr:uid="{00000000-0005-0000-0000-0000FF050000}"/>
    <cellStyle name="20% - Accent1 4 4 3 2 6" xfId="11330" xr:uid="{00000000-0005-0000-0000-000000060000}"/>
    <cellStyle name="20% - Accent1 4 4 3 3" xfId="11331" xr:uid="{00000000-0005-0000-0000-000001060000}"/>
    <cellStyle name="20% - Accent1 4 4 3 3 2" xfId="11332" xr:uid="{00000000-0005-0000-0000-000002060000}"/>
    <cellStyle name="20% - Accent1 4 4 3 3 2 2" xfId="11333" xr:uid="{00000000-0005-0000-0000-000003060000}"/>
    <cellStyle name="20% - Accent1 4 4 3 3 2 3" xfId="11334" xr:uid="{00000000-0005-0000-0000-000004060000}"/>
    <cellStyle name="20% - Accent1 4 4 3 3 3" xfId="11335" xr:uid="{00000000-0005-0000-0000-000005060000}"/>
    <cellStyle name="20% - Accent1 4 4 3 3 3 2" xfId="11336" xr:uid="{00000000-0005-0000-0000-000006060000}"/>
    <cellStyle name="20% - Accent1 4 4 3 3 3 3" xfId="11337" xr:uid="{00000000-0005-0000-0000-000007060000}"/>
    <cellStyle name="20% - Accent1 4 4 3 3 4" xfId="11338" xr:uid="{00000000-0005-0000-0000-000008060000}"/>
    <cellStyle name="20% - Accent1 4 4 3 3 4 2" xfId="11339" xr:uid="{00000000-0005-0000-0000-000009060000}"/>
    <cellStyle name="20% - Accent1 4 4 3 3 5" xfId="11340" xr:uid="{00000000-0005-0000-0000-00000A060000}"/>
    <cellStyle name="20% - Accent1 4 4 3 3 6" xfId="11341" xr:uid="{00000000-0005-0000-0000-00000B060000}"/>
    <cellStyle name="20% - Accent1 4 4 3 4" xfId="11342" xr:uid="{00000000-0005-0000-0000-00000C060000}"/>
    <cellStyle name="20% - Accent1 4 4 3 4 2" xfId="11343" xr:uid="{00000000-0005-0000-0000-00000D060000}"/>
    <cellStyle name="20% - Accent1 4 4 3 4 2 2" xfId="11344" xr:uid="{00000000-0005-0000-0000-00000E060000}"/>
    <cellStyle name="20% - Accent1 4 4 3 4 2 3" xfId="11345" xr:uid="{00000000-0005-0000-0000-00000F060000}"/>
    <cellStyle name="20% - Accent1 4 4 3 4 3" xfId="11346" xr:uid="{00000000-0005-0000-0000-000010060000}"/>
    <cellStyle name="20% - Accent1 4 4 3 4 3 2" xfId="11347" xr:uid="{00000000-0005-0000-0000-000011060000}"/>
    <cellStyle name="20% - Accent1 4 4 3 4 4" xfId="11348" xr:uid="{00000000-0005-0000-0000-000012060000}"/>
    <cellStyle name="20% - Accent1 4 4 3 4 5" xfId="11349" xr:uid="{00000000-0005-0000-0000-000013060000}"/>
    <cellStyle name="20% - Accent1 4 4 3 5" xfId="11350" xr:uid="{00000000-0005-0000-0000-000014060000}"/>
    <cellStyle name="20% - Accent1 4 4 3 5 2" xfId="11351" xr:uid="{00000000-0005-0000-0000-000015060000}"/>
    <cellStyle name="20% - Accent1 4 4 3 5 3" xfId="11352" xr:uid="{00000000-0005-0000-0000-000016060000}"/>
    <cellStyle name="20% - Accent1 4 4 3 6" xfId="11353" xr:uid="{00000000-0005-0000-0000-000017060000}"/>
    <cellStyle name="20% - Accent1 4 4 3 6 2" xfId="11354" xr:uid="{00000000-0005-0000-0000-000018060000}"/>
    <cellStyle name="20% - Accent1 4 4 3 6 3" xfId="11355" xr:uid="{00000000-0005-0000-0000-000019060000}"/>
    <cellStyle name="20% - Accent1 4 4 3 7" xfId="11356" xr:uid="{00000000-0005-0000-0000-00001A060000}"/>
    <cellStyle name="20% - Accent1 4 4 3 7 2" xfId="11357" xr:uid="{00000000-0005-0000-0000-00001B060000}"/>
    <cellStyle name="20% - Accent1 4 4 3 8" xfId="11358" xr:uid="{00000000-0005-0000-0000-00001C060000}"/>
    <cellStyle name="20% - Accent1 4 4 3 9" xfId="11359" xr:uid="{00000000-0005-0000-0000-00001D060000}"/>
    <cellStyle name="20% - Accent1 4 4 4" xfId="11360" xr:uid="{00000000-0005-0000-0000-00001E060000}"/>
    <cellStyle name="20% - Accent1 4 4 4 2" xfId="11361" xr:uid="{00000000-0005-0000-0000-00001F060000}"/>
    <cellStyle name="20% - Accent1 4 4 4 2 2" xfId="11362" xr:uid="{00000000-0005-0000-0000-000020060000}"/>
    <cellStyle name="20% - Accent1 4 4 4 2 2 2" xfId="11363" xr:uid="{00000000-0005-0000-0000-000021060000}"/>
    <cellStyle name="20% - Accent1 4 4 4 2 2 3" xfId="11364" xr:uid="{00000000-0005-0000-0000-000022060000}"/>
    <cellStyle name="20% - Accent1 4 4 4 2 3" xfId="11365" xr:uid="{00000000-0005-0000-0000-000023060000}"/>
    <cellStyle name="20% - Accent1 4 4 4 2 3 2" xfId="11366" xr:uid="{00000000-0005-0000-0000-000024060000}"/>
    <cellStyle name="20% - Accent1 4 4 4 2 3 3" xfId="11367" xr:uid="{00000000-0005-0000-0000-000025060000}"/>
    <cellStyle name="20% - Accent1 4 4 4 2 4" xfId="11368" xr:uid="{00000000-0005-0000-0000-000026060000}"/>
    <cellStyle name="20% - Accent1 4 4 4 2 4 2" xfId="11369" xr:uid="{00000000-0005-0000-0000-000027060000}"/>
    <cellStyle name="20% - Accent1 4 4 4 2 5" xfId="11370" xr:uid="{00000000-0005-0000-0000-000028060000}"/>
    <cellStyle name="20% - Accent1 4 4 4 2 6" xfId="11371" xr:uid="{00000000-0005-0000-0000-000029060000}"/>
    <cellStyle name="20% - Accent1 4 4 4 3" xfId="11372" xr:uid="{00000000-0005-0000-0000-00002A060000}"/>
    <cellStyle name="20% - Accent1 4 4 4 3 2" xfId="11373" xr:uid="{00000000-0005-0000-0000-00002B060000}"/>
    <cellStyle name="20% - Accent1 4 4 4 3 2 2" xfId="11374" xr:uid="{00000000-0005-0000-0000-00002C060000}"/>
    <cellStyle name="20% - Accent1 4 4 4 3 2 3" xfId="11375" xr:uid="{00000000-0005-0000-0000-00002D060000}"/>
    <cellStyle name="20% - Accent1 4 4 4 3 3" xfId="11376" xr:uid="{00000000-0005-0000-0000-00002E060000}"/>
    <cellStyle name="20% - Accent1 4 4 4 3 3 2" xfId="11377" xr:uid="{00000000-0005-0000-0000-00002F060000}"/>
    <cellStyle name="20% - Accent1 4 4 4 3 3 3" xfId="11378" xr:uid="{00000000-0005-0000-0000-000030060000}"/>
    <cellStyle name="20% - Accent1 4 4 4 3 4" xfId="11379" xr:uid="{00000000-0005-0000-0000-000031060000}"/>
    <cellStyle name="20% - Accent1 4 4 4 3 4 2" xfId="11380" xr:uid="{00000000-0005-0000-0000-000032060000}"/>
    <cellStyle name="20% - Accent1 4 4 4 3 5" xfId="11381" xr:uid="{00000000-0005-0000-0000-000033060000}"/>
    <cellStyle name="20% - Accent1 4 4 4 3 6" xfId="11382" xr:uid="{00000000-0005-0000-0000-000034060000}"/>
    <cellStyle name="20% - Accent1 4 4 4 4" xfId="11383" xr:uid="{00000000-0005-0000-0000-000035060000}"/>
    <cellStyle name="20% - Accent1 4 4 4 4 2" xfId="11384" xr:uid="{00000000-0005-0000-0000-000036060000}"/>
    <cellStyle name="20% - Accent1 4 4 4 4 2 2" xfId="11385" xr:uid="{00000000-0005-0000-0000-000037060000}"/>
    <cellStyle name="20% - Accent1 4 4 4 4 2 3" xfId="11386" xr:uid="{00000000-0005-0000-0000-000038060000}"/>
    <cellStyle name="20% - Accent1 4 4 4 4 3" xfId="11387" xr:uid="{00000000-0005-0000-0000-000039060000}"/>
    <cellStyle name="20% - Accent1 4 4 4 4 3 2" xfId="11388" xr:uid="{00000000-0005-0000-0000-00003A060000}"/>
    <cellStyle name="20% - Accent1 4 4 4 4 4" xfId="11389" xr:uid="{00000000-0005-0000-0000-00003B060000}"/>
    <cellStyle name="20% - Accent1 4 4 4 4 5" xfId="11390" xr:uid="{00000000-0005-0000-0000-00003C060000}"/>
    <cellStyle name="20% - Accent1 4 4 4 5" xfId="11391" xr:uid="{00000000-0005-0000-0000-00003D060000}"/>
    <cellStyle name="20% - Accent1 4 4 4 5 2" xfId="11392" xr:uid="{00000000-0005-0000-0000-00003E060000}"/>
    <cellStyle name="20% - Accent1 4 4 4 5 3" xfId="11393" xr:uid="{00000000-0005-0000-0000-00003F060000}"/>
    <cellStyle name="20% - Accent1 4 4 4 6" xfId="11394" xr:uid="{00000000-0005-0000-0000-000040060000}"/>
    <cellStyle name="20% - Accent1 4 4 4 6 2" xfId="11395" xr:uid="{00000000-0005-0000-0000-000041060000}"/>
    <cellStyle name="20% - Accent1 4 4 4 6 3" xfId="11396" xr:uid="{00000000-0005-0000-0000-000042060000}"/>
    <cellStyle name="20% - Accent1 4 4 4 7" xfId="11397" xr:uid="{00000000-0005-0000-0000-000043060000}"/>
    <cellStyle name="20% - Accent1 4 4 4 7 2" xfId="11398" xr:uid="{00000000-0005-0000-0000-000044060000}"/>
    <cellStyle name="20% - Accent1 4 4 4 8" xfId="11399" xr:uid="{00000000-0005-0000-0000-000045060000}"/>
    <cellStyle name="20% - Accent1 4 4 4 9" xfId="11400" xr:uid="{00000000-0005-0000-0000-000046060000}"/>
    <cellStyle name="20% - Accent1 4 4 5" xfId="11401" xr:uid="{00000000-0005-0000-0000-000047060000}"/>
    <cellStyle name="20% - Accent1 4 4 5 2" xfId="11402" xr:uid="{00000000-0005-0000-0000-000048060000}"/>
    <cellStyle name="20% - Accent1 4 4 5 2 2" xfId="11403" xr:uid="{00000000-0005-0000-0000-000049060000}"/>
    <cellStyle name="20% - Accent1 4 4 5 2 3" xfId="11404" xr:uid="{00000000-0005-0000-0000-00004A060000}"/>
    <cellStyle name="20% - Accent1 4 4 5 3" xfId="11405" xr:uid="{00000000-0005-0000-0000-00004B060000}"/>
    <cellStyle name="20% - Accent1 4 4 5 3 2" xfId="11406" xr:uid="{00000000-0005-0000-0000-00004C060000}"/>
    <cellStyle name="20% - Accent1 4 4 5 3 3" xfId="11407" xr:uid="{00000000-0005-0000-0000-00004D060000}"/>
    <cellStyle name="20% - Accent1 4 4 5 4" xfId="11408" xr:uid="{00000000-0005-0000-0000-00004E060000}"/>
    <cellStyle name="20% - Accent1 4 4 5 4 2" xfId="11409" xr:uid="{00000000-0005-0000-0000-00004F060000}"/>
    <cellStyle name="20% - Accent1 4 4 5 5" xfId="11410" xr:uid="{00000000-0005-0000-0000-000050060000}"/>
    <cellStyle name="20% - Accent1 4 4 5 6" xfId="11411" xr:uid="{00000000-0005-0000-0000-000051060000}"/>
    <cellStyle name="20% - Accent1 4 4 6" xfId="11412" xr:uid="{00000000-0005-0000-0000-000052060000}"/>
    <cellStyle name="20% - Accent1 4 4 6 2" xfId="11413" xr:uid="{00000000-0005-0000-0000-000053060000}"/>
    <cellStyle name="20% - Accent1 4 4 6 2 2" xfId="11414" xr:uid="{00000000-0005-0000-0000-000054060000}"/>
    <cellStyle name="20% - Accent1 4 4 6 2 3" xfId="11415" xr:uid="{00000000-0005-0000-0000-000055060000}"/>
    <cellStyle name="20% - Accent1 4 4 6 3" xfId="11416" xr:uid="{00000000-0005-0000-0000-000056060000}"/>
    <cellStyle name="20% - Accent1 4 4 6 3 2" xfId="11417" xr:uid="{00000000-0005-0000-0000-000057060000}"/>
    <cellStyle name="20% - Accent1 4 4 6 3 3" xfId="11418" xr:uid="{00000000-0005-0000-0000-000058060000}"/>
    <cellStyle name="20% - Accent1 4 4 6 4" xfId="11419" xr:uid="{00000000-0005-0000-0000-000059060000}"/>
    <cellStyle name="20% - Accent1 4 4 6 4 2" xfId="11420" xr:uid="{00000000-0005-0000-0000-00005A060000}"/>
    <cellStyle name="20% - Accent1 4 4 6 5" xfId="11421" xr:uid="{00000000-0005-0000-0000-00005B060000}"/>
    <cellStyle name="20% - Accent1 4 4 6 6" xfId="11422" xr:uid="{00000000-0005-0000-0000-00005C060000}"/>
    <cellStyle name="20% - Accent1 4 4 7" xfId="11423" xr:uid="{00000000-0005-0000-0000-00005D060000}"/>
    <cellStyle name="20% - Accent1 4 4 7 2" xfId="11424" xr:uid="{00000000-0005-0000-0000-00005E060000}"/>
    <cellStyle name="20% - Accent1 4 4 7 2 2" xfId="11425" xr:uid="{00000000-0005-0000-0000-00005F060000}"/>
    <cellStyle name="20% - Accent1 4 4 7 2 3" xfId="11426" xr:uid="{00000000-0005-0000-0000-000060060000}"/>
    <cellStyle name="20% - Accent1 4 4 7 3" xfId="11427" xr:uid="{00000000-0005-0000-0000-000061060000}"/>
    <cellStyle name="20% - Accent1 4 4 7 3 2" xfId="11428" xr:uid="{00000000-0005-0000-0000-000062060000}"/>
    <cellStyle name="20% - Accent1 4 4 7 4" xfId="11429" xr:uid="{00000000-0005-0000-0000-000063060000}"/>
    <cellStyle name="20% - Accent1 4 4 7 5" xfId="11430" xr:uid="{00000000-0005-0000-0000-000064060000}"/>
    <cellStyle name="20% - Accent1 4 4 8" xfId="11431" xr:uid="{00000000-0005-0000-0000-000065060000}"/>
    <cellStyle name="20% - Accent1 4 4 8 2" xfId="11432" xr:uid="{00000000-0005-0000-0000-000066060000}"/>
    <cellStyle name="20% - Accent1 4 4 8 3" xfId="11433" xr:uid="{00000000-0005-0000-0000-000067060000}"/>
    <cellStyle name="20% - Accent1 4 4 9" xfId="11434" xr:uid="{00000000-0005-0000-0000-000068060000}"/>
    <cellStyle name="20% - Accent1 4 4 9 2" xfId="11435" xr:uid="{00000000-0005-0000-0000-000069060000}"/>
    <cellStyle name="20% - Accent1 4 4 9 3" xfId="11436" xr:uid="{00000000-0005-0000-0000-00006A060000}"/>
    <cellStyle name="20% - Accent1 4 5" xfId="178" xr:uid="{00000000-0005-0000-0000-00006B060000}"/>
    <cellStyle name="20% - Accent1 4 5 10" xfId="11437" xr:uid="{00000000-0005-0000-0000-00006C060000}"/>
    <cellStyle name="20% - Accent1 4 5 2" xfId="179" xr:uid="{00000000-0005-0000-0000-00006D060000}"/>
    <cellStyle name="20% - Accent1 4 5 2 2" xfId="11438" xr:uid="{00000000-0005-0000-0000-00006E060000}"/>
    <cellStyle name="20% - Accent1 4 5 2 2 2" xfId="11439" xr:uid="{00000000-0005-0000-0000-00006F060000}"/>
    <cellStyle name="20% - Accent1 4 5 2 2 2 2" xfId="11440" xr:uid="{00000000-0005-0000-0000-000070060000}"/>
    <cellStyle name="20% - Accent1 4 5 2 2 2 3" xfId="11441" xr:uid="{00000000-0005-0000-0000-000071060000}"/>
    <cellStyle name="20% - Accent1 4 5 2 2 3" xfId="11442" xr:uid="{00000000-0005-0000-0000-000072060000}"/>
    <cellStyle name="20% - Accent1 4 5 2 2 3 2" xfId="11443" xr:uid="{00000000-0005-0000-0000-000073060000}"/>
    <cellStyle name="20% - Accent1 4 5 2 2 3 3" xfId="11444" xr:uid="{00000000-0005-0000-0000-000074060000}"/>
    <cellStyle name="20% - Accent1 4 5 2 2 4" xfId="11445" xr:uid="{00000000-0005-0000-0000-000075060000}"/>
    <cellStyle name="20% - Accent1 4 5 2 2 4 2" xfId="11446" xr:uid="{00000000-0005-0000-0000-000076060000}"/>
    <cellStyle name="20% - Accent1 4 5 2 2 5" xfId="11447" xr:uid="{00000000-0005-0000-0000-000077060000}"/>
    <cellStyle name="20% - Accent1 4 5 2 2 6" xfId="11448" xr:uid="{00000000-0005-0000-0000-000078060000}"/>
    <cellStyle name="20% - Accent1 4 5 2 3" xfId="11449" xr:uid="{00000000-0005-0000-0000-000079060000}"/>
    <cellStyle name="20% - Accent1 4 5 2 3 2" xfId="11450" xr:uid="{00000000-0005-0000-0000-00007A060000}"/>
    <cellStyle name="20% - Accent1 4 5 2 3 2 2" xfId="11451" xr:uid="{00000000-0005-0000-0000-00007B060000}"/>
    <cellStyle name="20% - Accent1 4 5 2 3 2 3" xfId="11452" xr:uid="{00000000-0005-0000-0000-00007C060000}"/>
    <cellStyle name="20% - Accent1 4 5 2 3 3" xfId="11453" xr:uid="{00000000-0005-0000-0000-00007D060000}"/>
    <cellStyle name="20% - Accent1 4 5 2 3 3 2" xfId="11454" xr:uid="{00000000-0005-0000-0000-00007E060000}"/>
    <cellStyle name="20% - Accent1 4 5 2 3 3 3" xfId="11455" xr:uid="{00000000-0005-0000-0000-00007F060000}"/>
    <cellStyle name="20% - Accent1 4 5 2 3 4" xfId="11456" xr:uid="{00000000-0005-0000-0000-000080060000}"/>
    <cellStyle name="20% - Accent1 4 5 2 3 4 2" xfId="11457" xr:uid="{00000000-0005-0000-0000-000081060000}"/>
    <cellStyle name="20% - Accent1 4 5 2 3 5" xfId="11458" xr:uid="{00000000-0005-0000-0000-000082060000}"/>
    <cellStyle name="20% - Accent1 4 5 2 3 6" xfId="11459" xr:uid="{00000000-0005-0000-0000-000083060000}"/>
    <cellStyle name="20% - Accent1 4 5 2 4" xfId="11460" xr:uid="{00000000-0005-0000-0000-000084060000}"/>
    <cellStyle name="20% - Accent1 4 5 2 4 2" xfId="11461" xr:uid="{00000000-0005-0000-0000-000085060000}"/>
    <cellStyle name="20% - Accent1 4 5 2 4 2 2" xfId="11462" xr:uid="{00000000-0005-0000-0000-000086060000}"/>
    <cellStyle name="20% - Accent1 4 5 2 4 2 3" xfId="11463" xr:uid="{00000000-0005-0000-0000-000087060000}"/>
    <cellStyle name="20% - Accent1 4 5 2 4 3" xfId="11464" xr:uid="{00000000-0005-0000-0000-000088060000}"/>
    <cellStyle name="20% - Accent1 4 5 2 4 3 2" xfId="11465" xr:uid="{00000000-0005-0000-0000-000089060000}"/>
    <cellStyle name="20% - Accent1 4 5 2 4 4" xfId="11466" xr:uid="{00000000-0005-0000-0000-00008A060000}"/>
    <cellStyle name="20% - Accent1 4 5 2 4 5" xfId="11467" xr:uid="{00000000-0005-0000-0000-00008B060000}"/>
    <cellStyle name="20% - Accent1 4 5 2 5" xfId="11468" xr:uid="{00000000-0005-0000-0000-00008C060000}"/>
    <cellStyle name="20% - Accent1 4 5 2 5 2" xfId="11469" xr:uid="{00000000-0005-0000-0000-00008D060000}"/>
    <cellStyle name="20% - Accent1 4 5 2 5 3" xfId="11470" xr:uid="{00000000-0005-0000-0000-00008E060000}"/>
    <cellStyle name="20% - Accent1 4 5 2 6" xfId="11471" xr:uid="{00000000-0005-0000-0000-00008F060000}"/>
    <cellStyle name="20% - Accent1 4 5 2 6 2" xfId="11472" xr:uid="{00000000-0005-0000-0000-000090060000}"/>
    <cellStyle name="20% - Accent1 4 5 2 6 3" xfId="11473" xr:uid="{00000000-0005-0000-0000-000091060000}"/>
    <cellStyle name="20% - Accent1 4 5 2 7" xfId="11474" xr:uid="{00000000-0005-0000-0000-000092060000}"/>
    <cellStyle name="20% - Accent1 4 5 2 7 2" xfId="11475" xr:uid="{00000000-0005-0000-0000-000093060000}"/>
    <cellStyle name="20% - Accent1 4 5 2 8" xfId="11476" xr:uid="{00000000-0005-0000-0000-000094060000}"/>
    <cellStyle name="20% - Accent1 4 5 2 9" xfId="11477" xr:uid="{00000000-0005-0000-0000-000095060000}"/>
    <cellStyle name="20% - Accent1 4 5 3" xfId="11478" xr:uid="{00000000-0005-0000-0000-000096060000}"/>
    <cellStyle name="20% - Accent1 4 5 3 2" xfId="11479" xr:uid="{00000000-0005-0000-0000-000097060000}"/>
    <cellStyle name="20% - Accent1 4 5 3 2 2" xfId="11480" xr:uid="{00000000-0005-0000-0000-000098060000}"/>
    <cellStyle name="20% - Accent1 4 5 3 2 3" xfId="11481" xr:uid="{00000000-0005-0000-0000-000099060000}"/>
    <cellStyle name="20% - Accent1 4 5 3 3" xfId="11482" xr:uid="{00000000-0005-0000-0000-00009A060000}"/>
    <cellStyle name="20% - Accent1 4 5 3 3 2" xfId="11483" xr:uid="{00000000-0005-0000-0000-00009B060000}"/>
    <cellStyle name="20% - Accent1 4 5 3 3 3" xfId="11484" xr:uid="{00000000-0005-0000-0000-00009C060000}"/>
    <cellStyle name="20% - Accent1 4 5 3 4" xfId="11485" xr:uid="{00000000-0005-0000-0000-00009D060000}"/>
    <cellStyle name="20% - Accent1 4 5 3 4 2" xfId="11486" xr:uid="{00000000-0005-0000-0000-00009E060000}"/>
    <cellStyle name="20% - Accent1 4 5 3 5" xfId="11487" xr:uid="{00000000-0005-0000-0000-00009F060000}"/>
    <cellStyle name="20% - Accent1 4 5 3 6" xfId="11488" xr:uid="{00000000-0005-0000-0000-0000A0060000}"/>
    <cellStyle name="20% - Accent1 4 5 4" xfId="11489" xr:uid="{00000000-0005-0000-0000-0000A1060000}"/>
    <cellStyle name="20% - Accent1 4 5 4 2" xfId="11490" xr:uid="{00000000-0005-0000-0000-0000A2060000}"/>
    <cellStyle name="20% - Accent1 4 5 4 2 2" xfId="11491" xr:uid="{00000000-0005-0000-0000-0000A3060000}"/>
    <cellStyle name="20% - Accent1 4 5 4 2 3" xfId="11492" xr:uid="{00000000-0005-0000-0000-0000A4060000}"/>
    <cellStyle name="20% - Accent1 4 5 4 3" xfId="11493" xr:uid="{00000000-0005-0000-0000-0000A5060000}"/>
    <cellStyle name="20% - Accent1 4 5 4 3 2" xfId="11494" xr:uid="{00000000-0005-0000-0000-0000A6060000}"/>
    <cellStyle name="20% - Accent1 4 5 4 3 3" xfId="11495" xr:uid="{00000000-0005-0000-0000-0000A7060000}"/>
    <cellStyle name="20% - Accent1 4 5 4 4" xfId="11496" xr:uid="{00000000-0005-0000-0000-0000A8060000}"/>
    <cellStyle name="20% - Accent1 4 5 4 4 2" xfId="11497" xr:uid="{00000000-0005-0000-0000-0000A9060000}"/>
    <cellStyle name="20% - Accent1 4 5 4 5" xfId="11498" xr:uid="{00000000-0005-0000-0000-0000AA060000}"/>
    <cellStyle name="20% - Accent1 4 5 4 6" xfId="11499" xr:uid="{00000000-0005-0000-0000-0000AB060000}"/>
    <cellStyle name="20% - Accent1 4 5 5" xfId="11500" xr:uid="{00000000-0005-0000-0000-0000AC060000}"/>
    <cellStyle name="20% - Accent1 4 5 5 2" xfId="11501" xr:uid="{00000000-0005-0000-0000-0000AD060000}"/>
    <cellStyle name="20% - Accent1 4 5 5 2 2" xfId="11502" xr:uid="{00000000-0005-0000-0000-0000AE060000}"/>
    <cellStyle name="20% - Accent1 4 5 5 2 3" xfId="11503" xr:uid="{00000000-0005-0000-0000-0000AF060000}"/>
    <cellStyle name="20% - Accent1 4 5 5 3" xfId="11504" xr:uid="{00000000-0005-0000-0000-0000B0060000}"/>
    <cellStyle name="20% - Accent1 4 5 5 3 2" xfId="11505" xr:uid="{00000000-0005-0000-0000-0000B1060000}"/>
    <cellStyle name="20% - Accent1 4 5 5 4" xfId="11506" xr:uid="{00000000-0005-0000-0000-0000B2060000}"/>
    <cellStyle name="20% - Accent1 4 5 5 5" xfId="11507" xr:uid="{00000000-0005-0000-0000-0000B3060000}"/>
    <cellStyle name="20% - Accent1 4 5 6" xfId="11508" xr:uid="{00000000-0005-0000-0000-0000B4060000}"/>
    <cellStyle name="20% - Accent1 4 5 6 2" xfId="11509" xr:uid="{00000000-0005-0000-0000-0000B5060000}"/>
    <cellStyle name="20% - Accent1 4 5 6 3" xfId="11510" xr:uid="{00000000-0005-0000-0000-0000B6060000}"/>
    <cellStyle name="20% - Accent1 4 5 7" xfId="11511" xr:uid="{00000000-0005-0000-0000-0000B7060000}"/>
    <cellStyle name="20% - Accent1 4 5 7 2" xfId="11512" xr:uid="{00000000-0005-0000-0000-0000B8060000}"/>
    <cellStyle name="20% - Accent1 4 5 7 3" xfId="11513" xr:uid="{00000000-0005-0000-0000-0000B9060000}"/>
    <cellStyle name="20% - Accent1 4 5 8" xfId="11514" xr:uid="{00000000-0005-0000-0000-0000BA060000}"/>
    <cellStyle name="20% - Accent1 4 5 8 2" xfId="11515" xr:uid="{00000000-0005-0000-0000-0000BB060000}"/>
    <cellStyle name="20% - Accent1 4 5 9" xfId="11516" xr:uid="{00000000-0005-0000-0000-0000BC060000}"/>
    <cellStyle name="20% - Accent1 4 6" xfId="180" xr:uid="{00000000-0005-0000-0000-0000BD060000}"/>
    <cellStyle name="20% - Accent1 4 6 2" xfId="11517" xr:uid="{00000000-0005-0000-0000-0000BE060000}"/>
    <cellStyle name="20% - Accent1 4 6 2 2" xfId="11518" xr:uid="{00000000-0005-0000-0000-0000BF060000}"/>
    <cellStyle name="20% - Accent1 4 6 2 2 2" xfId="11519" xr:uid="{00000000-0005-0000-0000-0000C0060000}"/>
    <cellStyle name="20% - Accent1 4 6 2 2 3" xfId="11520" xr:uid="{00000000-0005-0000-0000-0000C1060000}"/>
    <cellStyle name="20% - Accent1 4 6 2 3" xfId="11521" xr:uid="{00000000-0005-0000-0000-0000C2060000}"/>
    <cellStyle name="20% - Accent1 4 6 2 3 2" xfId="11522" xr:uid="{00000000-0005-0000-0000-0000C3060000}"/>
    <cellStyle name="20% - Accent1 4 6 2 3 3" xfId="11523" xr:uid="{00000000-0005-0000-0000-0000C4060000}"/>
    <cellStyle name="20% - Accent1 4 6 2 4" xfId="11524" xr:uid="{00000000-0005-0000-0000-0000C5060000}"/>
    <cellStyle name="20% - Accent1 4 6 2 4 2" xfId="11525" xr:uid="{00000000-0005-0000-0000-0000C6060000}"/>
    <cellStyle name="20% - Accent1 4 6 2 5" xfId="11526" xr:uid="{00000000-0005-0000-0000-0000C7060000}"/>
    <cellStyle name="20% - Accent1 4 6 2 6" xfId="11527" xr:uid="{00000000-0005-0000-0000-0000C8060000}"/>
    <cellStyle name="20% - Accent1 4 6 3" xfId="11528" xr:uid="{00000000-0005-0000-0000-0000C9060000}"/>
    <cellStyle name="20% - Accent1 4 6 3 2" xfId="11529" xr:uid="{00000000-0005-0000-0000-0000CA060000}"/>
    <cellStyle name="20% - Accent1 4 6 3 2 2" xfId="11530" xr:uid="{00000000-0005-0000-0000-0000CB060000}"/>
    <cellStyle name="20% - Accent1 4 6 3 2 3" xfId="11531" xr:uid="{00000000-0005-0000-0000-0000CC060000}"/>
    <cellStyle name="20% - Accent1 4 6 3 3" xfId="11532" xr:uid="{00000000-0005-0000-0000-0000CD060000}"/>
    <cellStyle name="20% - Accent1 4 6 3 3 2" xfId="11533" xr:uid="{00000000-0005-0000-0000-0000CE060000}"/>
    <cellStyle name="20% - Accent1 4 6 3 3 3" xfId="11534" xr:uid="{00000000-0005-0000-0000-0000CF060000}"/>
    <cellStyle name="20% - Accent1 4 6 3 4" xfId="11535" xr:uid="{00000000-0005-0000-0000-0000D0060000}"/>
    <cellStyle name="20% - Accent1 4 6 3 4 2" xfId="11536" xr:uid="{00000000-0005-0000-0000-0000D1060000}"/>
    <cellStyle name="20% - Accent1 4 6 3 5" xfId="11537" xr:uid="{00000000-0005-0000-0000-0000D2060000}"/>
    <cellStyle name="20% - Accent1 4 6 3 6" xfId="11538" xr:uid="{00000000-0005-0000-0000-0000D3060000}"/>
    <cellStyle name="20% - Accent1 4 6 4" xfId="11539" xr:uid="{00000000-0005-0000-0000-0000D4060000}"/>
    <cellStyle name="20% - Accent1 4 6 4 2" xfId="11540" xr:uid="{00000000-0005-0000-0000-0000D5060000}"/>
    <cellStyle name="20% - Accent1 4 6 4 2 2" xfId="11541" xr:uid="{00000000-0005-0000-0000-0000D6060000}"/>
    <cellStyle name="20% - Accent1 4 6 4 2 3" xfId="11542" xr:uid="{00000000-0005-0000-0000-0000D7060000}"/>
    <cellStyle name="20% - Accent1 4 6 4 3" xfId="11543" xr:uid="{00000000-0005-0000-0000-0000D8060000}"/>
    <cellStyle name="20% - Accent1 4 6 4 3 2" xfId="11544" xr:uid="{00000000-0005-0000-0000-0000D9060000}"/>
    <cellStyle name="20% - Accent1 4 6 4 4" xfId="11545" xr:uid="{00000000-0005-0000-0000-0000DA060000}"/>
    <cellStyle name="20% - Accent1 4 6 4 5" xfId="11546" xr:uid="{00000000-0005-0000-0000-0000DB060000}"/>
    <cellStyle name="20% - Accent1 4 6 5" xfId="11547" xr:uid="{00000000-0005-0000-0000-0000DC060000}"/>
    <cellStyle name="20% - Accent1 4 6 5 2" xfId="11548" xr:uid="{00000000-0005-0000-0000-0000DD060000}"/>
    <cellStyle name="20% - Accent1 4 6 5 3" xfId="11549" xr:uid="{00000000-0005-0000-0000-0000DE060000}"/>
    <cellStyle name="20% - Accent1 4 6 6" xfId="11550" xr:uid="{00000000-0005-0000-0000-0000DF060000}"/>
    <cellStyle name="20% - Accent1 4 6 6 2" xfId="11551" xr:uid="{00000000-0005-0000-0000-0000E0060000}"/>
    <cellStyle name="20% - Accent1 4 6 6 3" xfId="11552" xr:uid="{00000000-0005-0000-0000-0000E1060000}"/>
    <cellStyle name="20% - Accent1 4 6 7" xfId="11553" xr:uid="{00000000-0005-0000-0000-0000E2060000}"/>
    <cellStyle name="20% - Accent1 4 6 7 2" xfId="11554" xr:uid="{00000000-0005-0000-0000-0000E3060000}"/>
    <cellStyle name="20% - Accent1 4 6 8" xfId="11555" xr:uid="{00000000-0005-0000-0000-0000E4060000}"/>
    <cellStyle name="20% - Accent1 4 6 9" xfId="11556" xr:uid="{00000000-0005-0000-0000-0000E5060000}"/>
    <cellStyle name="20% - Accent1 4 7" xfId="8792" xr:uid="{00000000-0005-0000-0000-0000E6060000}"/>
    <cellStyle name="20% - Accent1 4 7 2" xfId="11557" xr:uid="{00000000-0005-0000-0000-0000E7060000}"/>
    <cellStyle name="20% - Accent1 4 7 2 2" xfId="11558" xr:uid="{00000000-0005-0000-0000-0000E8060000}"/>
    <cellStyle name="20% - Accent1 4 7 2 2 2" xfId="11559" xr:uid="{00000000-0005-0000-0000-0000E9060000}"/>
    <cellStyle name="20% - Accent1 4 7 2 2 3" xfId="11560" xr:uid="{00000000-0005-0000-0000-0000EA060000}"/>
    <cellStyle name="20% - Accent1 4 7 2 3" xfId="11561" xr:uid="{00000000-0005-0000-0000-0000EB060000}"/>
    <cellStyle name="20% - Accent1 4 7 2 3 2" xfId="11562" xr:uid="{00000000-0005-0000-0000-0000EC060000}"/>
    <cellStyle name="20% - Accent1 4 7 2 3 3" xfId="11563" xr:uid="{00000000-0005-0000-0000-0000ED060000}"/>
    <cellStyle name="20% - Accent1 4 7 2 4" xfId="11564" xr:uid="{00000000-0005-0000-0000-0000EE060000}"/>
    <cellStyle name="20% - Accent1 4 7 2 4 2" xfId="11565" xr:uid="{00000000-0005-0000-0000-0000EF060000}"/>
    <cellStyle name="20% - Accent1 4 7 2 5" xfId="11566" xr:uid="{00000000-0005-0000-0000-0000F0060000}"/>
    <cellStyle name="20% - Accent1 4 7 2 6" xfId="11567" xr:uid="{00000000-0005-0000-0000-0000F1060000}"/>
    <cellStyle name="20% - Accent1 4 7 3" xfId="11568" xr:uid="{00000000-0005-0000-0000-0000F2060000}"/>
    <cellStyle name="20% - Accent1 4 7 3 2" xfId="11569" xr:uid="{00000000-0005-0000-0000-0000F3060000}"/>
    <cellStyle name="20% - Accent1 4 7 3 2 2" xfId="11570" xr:uid="{00000000-0005-0000-0000-0000F4060000}"/>
    <cellStyle name="20% - Accent1 4 7 3 2 3" xfId="11571" xr:uid="{00000000-0005-0000-0000-0000F5060000}"/>
    <cellStyle name="20% - Accent1 4 7 3 3" xfId="11572" xr:uid="{00000000-0005-0000-0000-0000F6060000}"/>
    <cellStyle name="20% - Accent1 4 7 3 3 2" xfId="11573" xr:uid="{00000000-0005-0000-0000-0000F7060000}"/>
    <cellStyle name="20% - Accent1 4 7 3 3 3" xfId="11574" xr:uid="{00000000-0005-0000-0000-0000F8060000}"/>
    <cellStyle name="20% - Accent1 4 7 3 4" xfId="11575" xr:uid="{00000000-0005-0000-0000-0000F9060000}"/>
    <cellStyle name="20% - Accent1 4 7 3 4 2" xfId="11576" xr:uid="{00000000-0005-0000-0000-0000FA060000}"/>
    <cellStyle name="20% - Accent1 4 7 3 5" xfId="11577" xr:uid="{00000000-0005-0000-0000-0000FB060000}"/>
    <cellStyle name="20% - Accent1 4 7 3 6" xfId="11578" xr:uid="{00000000-0005-0000-0000-0000FC060000}"/>
    <cellStyle name="20% - Accent1 4 7 4" xfId="11579" xr:uid="{00000000-0005-0000-0000-0000FD060000}"/>
    <cellStyle name="20% - Accent1 4 7 4 2" xfId="11580" xr:uid="{00000000-0005-0000-0000-0000FE060000}"/>
    <cellStyle name="20% - Accent1 4 7 4 2 2" xfId="11581" xr:uid="{00000000-0005-0000-0000-0000FF060000}"/>
    <cellStyle name="20% - Accent1 4 7 4 2 3" xfId="11582" xr:uid="{00000000-0005-0000-0000-000000070000}"/>
    <cellStyle name="20% - Accent1 4 7 4 3" xfId="11583" xr:uid="{00000000-0005-0000-0000-000001070000}"/>
    <cellStyle name="20% - Accent1 4 7 4 3 2" xfId="11584" xr:uid="{00000000-0005-0000-0000-000002070000}"/>
    <cellStyle name="20% - Accent1 4 7 4 4" xfId="11585" xr:uid="{00000000-0005-0000-0000-000003070000}"/>
    <cellStyle name="20% - Accent1 4 7 4 5" xfId="11586" xr:uid="{00000000-0005-0000-0000-000004070000}"/>
    <cellStyle name="20% - Accent1 4 7 5" xfId="11587" xr:uid="{00000000-0005-0000-0000-000005070000}"/>
    <cellStyle name="20% - Accent1 4 7 5 2" xfId="11588" xr:uid="{00000000-0005-0000-0000-000006070000}"/>
    <cellStyle name="20% - Accent1 4 7 5 3" xfId="11589" xr:uid="{00000000-0005-0000-0000-000007070000}"/>
    <cellStyle name="20% - Accent1 4 7 6" xfId="11590" xr:uid="{00000000-0005-0000-0000-000008070000}"/>
    <cellStyle name="20% - Accent1 4 7 6 2" xfId="11591" xr:uid="{00000000-0005-0000-0000-000009070000}"/>
    <cellStyle name="20% - Accent1 4 7 6 3" xfId="11592" xr:uid="{00000000-0005-0000-0000-00000A070000}"/>
    <cellStyle name="20% - Accent1 4 7 7" xfId="11593" xr:uid="{00000000-0005-0000-0000-00000B070000}"/>
    <cellStyle name="20% - Accent1 4 7 7 2" xfId="11594" xr:uid="{00000000-0005-0000-0000-00000C070000}"/>
    <cellStyle name="20% - Accent1 4 7 8" xfId="11595" xr:uid="{00000000-0005-0000-0000-00000D070000}"/>
    <cellStyle name="20% - Accent1 4 7 9" xfId="11596" xr:uid="{00000000-0005-0000-0000-00000E070000}"/>
    <cellStyle name="20% - Accent1 4 8" xfId="11597" xr:uid="{00000000-0005-0000-0000-00000F070000}"/>
    <cellStyle name="20% - Accent1 4 8 2" xfId="11598" xr:uid="{00000000-0005-0000-0000-000010070000}"/>
    <cellStyle name="20% - Accent1 4 8 2 2" xfId="11599" xr:uid="{00000000-0005-0000-0000-000011070000}"/>
    <cellStyle name="20% - Accent1 4 8 2 3" xfId="11600" xr:uid="{00000000-0005-0000-0000-000012070000}"/>
    <cellStyle name="20% - Accent1 4 8 3" xfId="11601" xr:uid="{00000000-0005-0000-0000-000013070000}"/>
    <cellStyle name="20% - Accent1 4 8 3 2" xfId="11602" xr:uid="{00000000-0005-0000-0000-000014070000}"/>
    <cellStyle name="20% - Accent1 4 8 3 3" xfId="11603" xr:uid="{00000000-0005-0000-0000-000015070000}"/>
    <cellStyle name="20% - Accent1 4 8 4" xfId="11604" xr:uid="{00000000-0005-0000-0000-000016070000}"/>
    <cellStyle name="20% - Accent1 4 8 4 2" xfId="11605" xr:uid="{00000000-0005-0000-0000-000017070000}"/>
    <cellStyle name="20% - Accent1 4 8 5" xfId="11606" xr:uid="{00000000-0005-0000-0000-000018070000}"/>
    <cellStyle name="20% - Accent1 4 8 6" xfId="11607" xr:uid="{00000000-0005-0000-0000-000019070000}"/>
    <cellStyle name="20% - Accent1 4 9" xfId="11608" xr:uid="{00000000-0005-0000-0000-00001A070000}"/>
    <cellStyle name="20% - Accent1 4 9 2" xfId="11609" xr:uid="{00000000-0005-0000-0000-00001B070000}"/>
    <cellStyle name="20% - Accent1 4 9 2 2" xfId="11610" xr:uid="{00000000-0005-0000-0000-00001C070000}"/>
    <cellStyle name="20% - Accent1 4 9 2 3" xfId="11611" xr:uid="{00000000-0005-0000-0000-00001D070000}"/>
    <cellStyle name="20% - Accent1 4 9 3" xfId="11612" xr:uid="{00000000-0005-0000-0000-00001E070000}"/>
    <cellStyle name="20% - Accent1 4 9 3 2" xfId="11613" xr:uid="{00000000-0005-0000-0000-00001F070000}"/>
    <cellStyle name="20% - Accent1 4 9 3 3" xfId="11614" xr:uid="{00000000-0005-0000-0000-000020070000}"/>
    <cellStyle name="20% - Accent1 4 9 4" xfId="11615" xr:uid="{00000000-0005-0000-0000-000021070000}"/>
    <cellStyle name="20% - Accent1 4 9 4 2" xfId="11616" xr:uid="{00000000-0005-0000-0000-000022070000}"/>
    <cellStyle name="20% - Accent1 4 9 5" xfId="11617" xr:uid="{00000000-0005-0000-0000-000023070000}"/>
    <cellStyle name="20% - Accent1 4 9 6" xfId="11618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7836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793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7837" xr:uid="{00000000-0005-0000-0000-00003C070000}"/>
    <cellStyle name="20% - Accent1 6 2 5" xfId="57838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7839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7840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7841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7842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7843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7844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7845" xr:uid="{00000000-0005-0000-0000-000065070000}"/>
    <cellStyle name="20% - Accent2 13" xfId="235" xr:uid="{00000000-0005-0000-0000-000066070000}"/>
    <cellStyle name="20% - Accent2 13 2" xfId="57846" xr:uid="{00000000-0005-0000-0000-000067070000}"/>
    <cellStyle name="20% - Accent2 14" xfId="8794" xr:uid="{00000000-0005-0000-0000-000068070000}"/>
    <cellStyle name="20% - Accent2 15" xfId="9382" xr:uid="{00000000-0005-0000-0000-000069070000}"/>
    <cellStyle name="20% - Accent2 16" xfId="9383" xr:uid="{00000000-0005-0000-0000-00006A070000}"/>
    <cellStyle name="20% - Accent2 17" xfId="9384" xr:uid="{00000000-0005-0000-0000-00006B070000}"/>
    <cellStyle name="20% - Accent2 17 2" xfId="57847" xr:uid="{00000000-0005-0000-0000-00006C070000}"/>
    <cellStyle name="20% - Accent2 18" xfId="57848" xr:uid="{00000000-0005-0000-0000-00006D070000}"/>
    <cellStyle name="20% - Accent2 19" xfId="57849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7850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7851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7852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7853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7854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7855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7856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7857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7858" xr:uid="{00000000-0005-0000-0000-0000B8070000}"/>
    <cellStyle name="20% - Accent2 20" xfId="57859" xr:uid="{00000000-0005-0000-0000-0000B9070000}"/>
    <cellStyle name="20% - Accent2 21" xfId="57860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795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796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797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798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799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00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01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02" xr:uid="{00000000-0005-0000-0000-000003080000}"/>
    <cellStyle name="20% - Accent2 4" xfId="366" xr:uid="{00000000-0005-0000-0000-000004080000}"/>
    <cellStyle name="20% - Accent2 4 10" xfId="11619" xr:uid="{00000000-0005-0000-0000-000005080000}"/>
    <cellStyle name="20% - Accent2 4 10 2" xfId="11620" xr:uid="{00000000-0005-0000-0000-000006080000}"/>
    <cellStyle name="20% - Accent2 4 10 2 2" xfId="11621" xr:uid="{00000000-0005-0000-0000-000007080000}"/>
    <cellStyle name="20% - Accent2 4 10 2 3" xfId="11622" xr:uid="{00000000-0005-0000-0000-000008080000}"/>
    <cellStyle name="20% - Accent2 4 10 3" xfId="11623" xr:uid="{00000000-0005-0000-0000-000009080000}"/>
    <cellStyle name="20% - Accent2 4 10 3 2" xfId="11624" xr:uid="{00000000-0005-0000-0000-00000A080000}"/>
    <cellStyle name="20% - Accent2 4 10 4" xfId="11625" xr:uid="{00000000-0005-0000-0000-00000B080000}"/>
    <cellStyle name="20% - Accent2 4 10 5" xfId="11626" xr:uid="{00000000-0005-0000-0000-00000C080000}"/>
    <cellStyle name="20% - Accent2 4 11" xfId="11627" xr:uid="{00000000-0005-0000-0000-00000D080000}"/>
    <cellStyle name="20% - Accent2 4 11 2" xfId="11628" xr:uid="{00000000-0005-0000-0000-00000E080000}"/>
    <cellStyle name="20% - Accent2 4 11 3" xfId="11629" xr:uid="{00000000-0005-0000-0000-00000F080000}"/>
    <cellStyle name="20% - Accent2 4 12" xfId="11630" xr:uid="{00000000-0005-0000-0000-000010080000}"/>
    <cellStyle name="20% - Accent2 4 12 2" xfId="11631" xr:uid="{00000000-0005-0000-0000-000011080000}"/>
    <cellStyle name="20% - Accent2 4 12 3" xfId="11632" xr:uid="{00000000-0005-0000-0000-000012080000}"/>
    <cellStyle name="20% - Accent2 4 13" xfId="11633" xr:uid="{00000000-0005-0000-0000-000013080000}"/>
    <cellStyle name="20% - Accent2 4 13 2" xfId="11634" xr:uid="{00000000-0005-0000-0000-000014080000}"/>
    <cellStyle name="20% - Accent2 4 14" xfId="11635" xr:uid="{00000000-0005-0000-0000-000015080000}"/>
    <cellStyle name="20% - Accent2 4 15" xfId="11636" xr:uid="{00000000-0005-0000-0000-000016080000}"/>
    <cellStyle name="20% - Accent2 4 16" xfId="11637" xr:uid="{00000000-0005-0000-0000-000017080000}"/>
    <cellStyle name="20% - Accent2 4 2" xfId="367" xr:uid="{00000000-0005-0000-0000-000018080000}"/>
    <cellStyle name="20% - Accent2 4 2 10" xfId="11638" xr:uid="{00000000-0005-0000-0000-000019080000}"/>
    <cellStyle name="20% - Accent2 4 2 10 2" xfId="11639" xr:uid="{00000000-0005-0000-0000-00001A080000}"/>
    <cellStyle name="20% - Accent2 4 2 10 3" xfId="11640" xr:uid="{00000000-0005-0000-0000-00001B080000}"/>
    <cellStyle name="20% - Accent2 4 2 11" xfId="11641" xr:uid="{00000000-0005-0000-0000-00001C080000}"/>
    <cellStyle name="20% - Accent2 4 2 11 2" xfId="11642" xr:uid="{00000000-0005-0000-0000-00001D080000}"/>
    <cellStyle name="20% - Accent2 4 2 11 3" xfId="11643" xr:uid="{00000000-0005-0000-0000-00001E080000}"/>
    <cellStyle name="20% - Accent2 4 2 12" xfId="11644" xr:uid="{00000000-0005-0000-0000-00001F080000}"/>
    <cellStyle name="20% - Accent2 4 2 12 2" xfId="11645" xr:uid="{00000000-0005-0000-0000-000020080000}"/>
    <cellStyle name="20% - Accent2 4 2 13" xfId="11646" xr:uid="{00000000-0005-0000-0000-000021080000}"/>
    <cellStyle name="20% - Accent2 4 2 14" xfId="11647" xr:uid="{00000000-0005-0000-0000-000022080000}"/>
    <cellStyle name="20% - Accent2 4 2 15" xfId="11648" xr:uid="{00000000-0005-0000-0000-000023080000}"/>
    <cellStyle name="20% - Accent2 4 2 2" xfId="368" xr:uid="{00000000-0005-0000-0000-000024080000}"/>
    <cellStyle name="20% - Accent2 4 2 2 10" xfId="11649" xr:uid="{00000000-0005-0000-0000-000025080000}"/>
    <cellStyle name="20% - Accent2 4 2 2 10 2" xfId="11650" xr:uid="{00000000-0005-0000-0000-000026080000}"/>
    <cellStyle name="20% - Accent2 4 2 2 10 3" xfId="11651" xr:uid="{00000000-0005-0000-0000-000027080000}"/>
    <cellStyle name="20% - Accent2 4 2 2 11" xfId="11652" xr:uid="{00000000-0005-0000-0000-000028080000}"/>
    <cellStyle name="20% - Accent2 4 2 2 11 2" xfId="11653" xr:uid="{00000000-0005-0000-0000-000029080000}"/>
    <cellStyle name="20% - Accent2 4 2 2 12" xfId="11654" xr:uid="{00000000-0005-0000-0000-00002A080000}"/>
    <cellStyle name="20% - Accent2 4 2 2 13" xfId="11655" xr:uid="{00000000-0005-0000-0000-00002B080000}"/>
    <cellStyle name="20% - Accent2 4 2 2 2" xfId="369" xr:uid="{00000000-0005-0000-0000-00002C080000}"/>
    <cellStyle name="20% - Accent2 4 2 2 2 10" xfId="11656" xr:uid="{00000000-0005-0000-0000-00002D080000}"/>
    <cellStyle name="20% - Accent2 4 2 2 2 10 2" xfId="11657" xr:uid="{00000000-0005-0000-0000-00002E080000}"/>
    <cellStyle name="20% - Accent2 4 2 2 2 11" xfId="11658" xr:uid="{00000000-0005-0000-0000-00002F080000}"/>
    <cellStyle name="20% - Accent2 4 2 2 2 12" xfId="11659" xr:uid="{00000000-0005-0000-0000-000030080000}"/>
    <cellStyle name="20% - Accent2 4 2 2 2 2" xfId="370" xr:uid="{00000000-0005-0000-0000-000031080000}"/>
    <cellStyle name="20% - Accent2 4 2 2 2 2 10" xfId="11660" xr:uid="{00000000-0005-0000-0000-000032080000}"/>
    <cellStyle name="20% - Accent2 4 2 2 2 2 2" xfId="371" xr:uid="{00000000-0005-0000-0000-000033080000}"/>
    <cellStyle name="20% - Accent2 4 2 2 2 2 2 2" xfId="11661" xr:uid="{00000000-0005-0000-0000-000034080000}"/>
    <cellStyle name="20% - Accent2 4 2 2 2 2 2 2 2" xfId="11662" xr:uid="{00000000-0005-0000-0000-000035080000}"/>
    <cellStyle name="20% - Accent2 4 2 2 2 2 2 2 2 2" xfId="11663" xr:uid="{00000000-0005-0000-0000-000036080000}"/>
    <cellStyle name="20% - Accent2 4 2 2 2 2 2 2 2 3" xfId="11664" xr:uid="{00000000-0005-0000-0000-000037080000}"/>
    <cellStyle name="20% - Accent2 4 2 2 2 2 2 2 3" xfId="11665" xr:uid="{00000000-0005-0000-0000-000038080000}"/>
    <cellStyle name="20% - Accent2 4 2 2 2 2 2 2 3 2" xfId="11666" xr:uid="{00000000-0005-0000-0000-000039080000}"/>
    <cellStyle name="20% - Accent2 4 2 2 2 2 2 2 3 3" xfId="11667" xr:uid="{00000000-0005-0000-0000-00003A080000}"/>
    <cellStyle name="20% - Accent2 4 2 2 2 2 2 2 4" xfId="11668" xr:uid="{00000000-0005-0000-0000-00003B080000}"/>
    <cellStyle name="20% - Accent2 4 2 2 2 2 2 2 4 2" xfId="11669" xr:uid="{00000000-0005-0000-0000-00003C080000}"/>
    <cellStyle name="20% - Accent2 4 2 2 2 2 2 2 5" xfId="11670" xr:uid="{00000000-0005-0000-0000-00003D080000}"/>
    <cellStyle name="20% - Accent2 4 2 2 2 2 2 2 6" xfId="11671" xr:uid="{00000000-0005-0000-0000-00003E080000}"/>
    <cellStyle name="20% - Accent2 4 2 2 2 2 2 3" xfId="11672" xr:uid="{00000000-0005-0000-0000-00003F080000}"/>
    <cellStyle name="20% - Accent2 4 2 2 2 2 2 3 2" xfId="11673" xr:uid="{00000000-0005-0000-0000-000040080000}"/>
    <cellStyle name="20% - Accent2 4 2 2 2 2 2 3 2 2" xfId="11674" xr:uid="{00000000-0005-0000-0000-000041080000}"/>
    <cellStyle name="20% - Accent2 4 2 2 2 2 2 3 2 3" xfId="11675" xr:uid="{00000000-0005-0000-0000-000042080000}"/>
    <cellStyle name="20% - Accent2 4 2 2 2 2 2 3 3" xfId="11676" xr:uid="{00000000-0005-0000-0000-000043080000}"/>
    <cellStyle name="20% - Accent2 4 2 2 2 2 2 3 3 2" xfId="11677" xr:uid="{00000000-0005-0000-0000-000044080000}"/>
    <cellStyle name="20% - Accent2 4 2 2 2 2 2 3 3 3" xfId="11678" xr:uid="{00000000-0005-0000-0000-000045080000}"/>
    <cellStyle name="20% - Accent2 4 2 2 2 2 2 3 4" xfId="11679" xr:uid="{00000000-0005-0000-0000-000046080000}"/>
    <cellStyle name="20% - Accent2 4 2 2 2 2 2 3 4 2" xfId="11680" xr:uid="{00000000-0005-0000-0000-000047080000}"/>
    <cellStyle name="20% - Accent2 4 2 2 2 2 2 3 5" xfId="11681" xr:uid="{00000000-0005-0000-0000-000048080000}"/>
    <cellStyle name="20% - Accent2 4 2 2 2 2 2 3 6" xfId="11682" xr:uid="{00000000-0005-0000-0000-000049080000}"/>
    <cellStyle name="20% - Accent2 4 2 2 2 2 2 4" xfId="11683" xr:uid="{00000000-0005-0000-0000-00004A080000}"/>
    <cellStyle name="20% - Accent2 4 2 2 2 2 2 4 2" xfId="11684" xr:uid="{00000000-0005-0000-0000-00004B080000}"/>
    <cellStyle name="20% - Accent2 4 2 2 2 2 2 4 2 2" xfId="11685" xr:uid="{00000000-0005-0000-0000-00004C080000}"/>
    <cellStyle name="20% - Accent2 4 2 2 2 2 2 4 2 3" xfId="11686" xr:uid="{00000000-0005-0000-0000-00004D080000}"/>
    <cellStyle name="20% - Accent2 4 2 2 2 2 2 4 3" xfId="11687" xr:uid="{00000000-0005-0000-0000-00004E080000}"/>
    <cellStyle name="20% - Accent2 4 2 2 2 2 2 4 3 2" xfId="11688" xr:uid="{00000000-0005-0000-0000-00004F080000}"/>
    <cellStyle name="20% - Accent2 4 2 2 2 2 2 4 4" xfId="11689" xr:uid="{00000000-0005-0000-0000-000050080000}"/>
    <cellStyle name="20% - Accent2 4 2 2 2 2 2 4 5" xfId="11690" xr:uid="{00000000-0005-0000-0000-000051080000}"/>
    <cellStyle name="20% - Accent2 4 2 2 2 2 2 5" xfId="11691" xr:uid="{00000000-0005-0000-0000-000052080000}"/>
    <cellStyle name="20% - Accent2 4 2 2 2 2 2 5 2" xfId="11692" xr:uid="{00000000-0005-0000-0000-000053080000}"/>
    <cellStyle name="20% - Accent2 4 2 2 2 2 2 5 3" xfId="11693" xr:uid="{00000000-0005-0000-0000-000054080000}"/>
    <cellStyle name="20% - Accent2 4 2 2 2 2 2 6" xfId="11694" xr:uid="{00000000-0005-0000-0000-000055080000}"/>
    <cellStyle name="20% - Accent2 4 2 2 2 2 2 6 2" xfId="11695" xr:uid="{00000000-0005-0000-0000-000056080000}"/>
    <cellStyle name="20% - Accent2 4 2 2 2 2 2 6 3" xfId="11696" xr:uid="{00000000-0005-0000-0000-000057080000}"/>
    <cellStyle name="20% - Accent2 4 2 2 2 2 2 7" xfId="11697" xr:uid="{00000000-0005-0000-0000-000058080000}"/>
    <cellStyle name="20% - Accent2 4 2 2 2 2 2 7 2" xfId="11698" xr:uid="{00000000-0005-0000-0000-000059080000}"/>
    <cellStyle name="20% - Accent2 4 2 2 2 2 2 8" xfId="11699" xr:uid="{00000000-0005-0000-0000-00005A080000}"/>
    <cellStyle name="20% - Accent2 4 2 2 2 2 2 9" xfId="11700" xr:uid="{00000000-0005-0000-0000-00005B080000}"/>
    <cellStyle name="20% - Accent2 4 2 2 2 2 3" xfId="11701" xr:uid="{00000000-0005-0000-0000-00005C080000}"/>
    <cellStyle name="20% - Accent2 4 2 2 2 2 3 2" xfId="11702" xr:uid="{00000000-0005-0000-0000-00005D080000}"/>
    <cellStyle name="20% - Accent2 4 2 2 2 2 3 2 2" xfId="11703" xr:uid="{00000000-0005-0000-0000-00005E080000}"/>
    <cellStyle name="20% - Accent2 4 2 2 2 2 3 2 3" xfId="11704" xr:uid="{00000000-0005-0000-0000-00005F080000}"/>
    <cellStyle name="20% - Accent2 4 2 2 2 2 3 3" xfId="11705" xr:uid="{00000000-0005-0000-0000-000060080000}"/>
    <cellStyle name="20% - Accent2 4 2 2 2 2 3 3 2" xfId="11706" xr:uid="{00000000-0005-0000-0000-000061080000}"/>
    <cellStyle name="20% - Accent2 4 2 2 2 2 3 3 3" xfId="11707" xr:uid="{00000000-0005-0000-0000-000062080000}"/>
    <cellStyle name="20% - Accent2 4 2 2 2 2 3 4" xfId="11708" xr:uid="{00000000-0005-0000-0000-000063080000}"/>
    <cellStyle name="20% - Accent2 4 2 2 2 2 3 4 2" xfId="11709" xr:uid="{00000000-0005-0000-0000-000064080000}"/>
    <cellStyle name="20% - Accent2 4 2 2 2 2 3 5" xfId="11710" xr:uid="{00000000-0005-0000-0000-000065080000}"/>
    <cellStyle name="20% - Accent2 4 2 2 2 2 3 6" xfId="11711" xr:uid="{00000000-0005-0000-0000-000066080000}"/>
    <cellStyle name="20% - Accent2 4 2 2 2 2 4" xfId="11712" xr:uid="{00000000-0005-0000-0000-000067080000}"/>
    <cellStyle name="20% - Accent2 4 2 2 2 2 4 2" xfId="11713" xr:uid="{00000000-0005-0000-0000-000068080000}"/>
    <cellStyle name="20% - Accent2 4 2 2 2 2 4 2 2" xfId="11714" xr:uid="{00000000-0005-0000-0000-000069080000}"/>
    <cellStyle name="20% - Accent2 4 2 2 2 2 4 2 3" xfId="11715" xr:uid="{00000000-0005-0000-0000-00006A080000}"/>
    <cellStyle name="20% - Accent2 4 2 2 2 2 4 3" xfId="11716" xr:uid="{00000000-0005-0000-0000-00006B080000}"/>
    <cellStyle name="20% - Accent2 4 2 2 2 2 4 3 2" xfId="11717" xr:uid="{00000000-0005-0000-0000-00006C080000}"/>
    <cellStyle name="20% - Accent2 4 2 2 2 2 4 3 3" xfId="11718" xr:uid="{00000000-0005-0000-0000-00006D080000}"/>
    <cellStyle name="20% - Accent2 4 2 2 2 2 4 4" xfId="11719" xr:uid="{00000000-0005-0000-0000-00006E080000}"/>
    <cellStyle name="20% - Accent2 4 2 2 2 2 4 4 2" xfId="11720" xr:uid="{00000000-0005-0000-0000-00006F080000}"/>
    <cellStyle name="20% - Accent2 4 2 2 2 2 4 5" xfId="11721" xr:uid="{00000000-0005-0000-0000-000070080000}"/>
    <cellStyle name="20% - Accent2 4 2 2 2 2 4 6" xfId="11722" xr:uid="{00000000-0005-0000-0000-000071080000}"/>
    <cellStyle name="20% - Accent2 4 2 2 2 2 5" xfId="11723" xr:uid="{00000000-0005-0000-0000-000072080000}"/>
    <cellStyle name="20% - Accent2 4 2 2 2 2 5 2" xfId="11724" xr:uid="{00000000-0005-0000-0000-000073080000}"/>
    <cellStyle name="20% - Accent2 4 2 2 2 2 5 2 2" xfId="11725" xr:uid="{00000000-0005-0000-0000-000074080000}"/>
    <cellStyle name="20% - Accent2 4 2 2 2 2 5 2 3" xfId="11726" xr:uid="{00000000-0005-0000-0000-000075080000}"/>
    <cellStyle name="20% - Accent2 4 2 2 2 2 5 3" xfId="11727" xr:uid="{00000000-0005-0000-0000-000076080000}"/>
    <cellStyle name="20% - Accent2 4 2 2 2 2 5 3 2" xfId="11728" xr:uid="{00000000-0005-0000-0000-000077080000}"/>
    <cellStyle name="20% - Accent2 4 2 2 2 2 5 4" xfId="11729" xr:uid="{00000000-0005-0000-0000-000078080000}"/>
    <cellStyle name="20% - Accent2 4 2 2 2 2 5 5" xfId="11730" xr:uid="{00000000-0005-0000-0000-000079080000}"/>
    <cellStyle name="20% - Accent2 4 2 2 2 2 6" xfId="11731" xr:uid="{00000000-0005-0000-0000-00007A080000}"/>
    <cellStyle name="20% - Accent2 4 2 2 2 2 6 2" xfId="11732" xr:uid="{00000000-0005-0000-0000-00007B080000}"/>
    <cellStyle name="20% - Accent2 4 2 2 2 2 6 3" xfId="11733" xr:uid="{00000000-0005-0000-0000-00007C080000}"/>
    <cellStyle name="20% - Accent2 4 2 2 2 2 7" xfId="11734" xr:uid="{00000000-0005-0000-0000-00007D080000}"/>
    <cellStyle name="20% - Accent2 4 2 2 2 2 7 2" xfId="11735" xr:uid="{00000000-0005-0000-0000-00007E080000}"/>
    <cellStyle name="20% - Accent2 4 2 2 2 2 7 3" xfId="11736" xr:uid="{00000000-0005-0000-0000-00007F080000}"/>
    <cellStyle name="20% - Accent2 4 2 2 2 2 8" xfId="11737" xr:uid="{00000000-0005-0000-0000-000080080000}"/>
    <cellStyle name="20% - Accent2 4 2 2 2 2 8 2" xfId="11738" xr:uid="{00000000-0005-0000-0000-000081080000}"/>
    <cellStyle name="20% - Accent2 4 2 2 2 2 9" xfId="11739" xr:uid="{00000000-0005-0000-0000-000082080000}"/>
    <cellStyle name="20% - Accent2 4 2 2 2 3" xfId="372" xr:uid="{00000000-0005-0000-0000-000083080000}"/>
    <cellStyle name="20% - Accent2 4 2 2 2 3 2" xfId="11740" xr:uid="{00000000-0005-0000-0000-000084080000}"/>
    <cellStyle name="20% - Accent2 4 2 2 2 3 2 2" xfId="11741" xr:uid="{00000000-0005-0000-0000-000085080000}"/>
    <cellStyle name="20% - Accent2 4 2 2 2 3 2 2 2" xfId="11742" xr:uid="{00000000-0005-0000-0000-000086080000}"/>
    <cellStyle name="20% - Accent2 4 2 2 2 3 2 2 3" xfId="11743" xr:uid="{00000000-0005-0000-0000-000087080000}"/>
    <cellStyle name="20% - Accent2 4 2 2 2 3 2 3" xfId="11744" xr:uid="{00000000-0005-0000-0000-000088080000}"/>
    <cellStyle name="20% - Accent2 4 2 2 2 3 2 3 2" xfId="11745" xr:uid="{00000000-0005-0000-0000-000089080000}"/>
    <cellStyle name="20% - Accent2 4 2 2 2 3 2 3 3" xfId="11746" xr:uid="{00000000-0005-0000-0000-00008A080000}"/>
    <cellStyle name="20% - Accent2 4 2 2 2 3 2 4" xfId="11747" xr:uid="{00000000-0005-0000-0000-00008B080000}"/>
    <cellStyle name="20% - Accent2 4 2 2 2 3 2 4 2" xfId="11748" xr:uid="{00000000-0005-0000-0000-00008C080000}"/>
    <cellStyle name="20% - Accent2 4 2 2 2 3 2 5" xfId="11749" xr:uid="{00000000-0005-0000-0000-00008D080000}"/>
    <cellStyle name="20% - Accent2 4 2 2 2 3 2 6" xfId="11750" xr:uid="{00000000-0005-0000-0000-00008E080000}"/>
    <cellStyle name="20% - Accent2 4 2 2 2 3 3" xfId="11751" xr:uid="{00000000-0005-0000-0000-00008F080000}"/>
    <cellStyle name="20% - Accent2 4 2 2 2 3 3 2" xfId="11752" xr:uid="{00000000-0005-0000-0000-000090080000}"/>
    <cellStyle name="20% - Accent2 4 2 2 2 3 3 2 2" xfId="11753" xr:uid="{00000000-0005-0000-0000-000091080000}"/>
    <cellStyle name="20% - Accent2 4 2 2 2 3 3 2 3" xfId="11754" xr:uid="{00000000-0005-0000-0000-000092080000}"/>
    <cellStyle name="20% - Accent2 4 2 2 2 3 3 3" xfId="11755" xr:uid="{00000000-0005-0000-0000-000093080000}"/>
    <cellStyle name="20% - Accent2 4 2 2 2 3 3 3 2" xfId="11756" xr:uid="{00000000-0005-0000-0000-000094080000}"/>
    <cellStyle name="20% - Accent2 4 2 2 2 3 3 3 3" xfId="11757" xr:uid="{00000000-0005-0000-0000-000095080000}"/>
    <cellStyle name="20% - Accent2 4 2 2 2 3 3 4" xfId="11758" xr:uid="{00000000-0005-0000-0000-000096080000}"/>
    <cellStyle name="20% - Accent2 4 2 2 2 3 3 4 2" xfId="11759" xr:uid="{00000000-0005-0000-0000-000097080000}"/>
    <cellStyle name="20% - Accent2 4 2 2 2 3 3 5" xfId="11760" xr:uid="{00000000-0005-0000-0000-000098080000}"/>
    <cellStyle name="20% - Accent2 4 2 2 2 3 3 6" xfId="11761" xr:uid="{00000000-0005-0000-0000-000099080000}"/>
    <cellStyle name="20% - Accent2 4 2 2 2 3 4" xfId="11762" xr:uid="{00000000-0005-0000-0000-00009A080000}"/>
    <cellStyle name="20% - Accent2 4 2 2 2 3 4 2" xfId="11763" xr:uid="{00000000-0005-0000-0000-00009B080000}"/>
    <cellStyle name="20% - Accent2 4 2 2 2 3 4 2 2" xfId="11764" xr:uid="{00000000-0005-0000-0000-00009C080000}"/>
    <cellStyle name="20% - Accent2 4 2 2 2 3 4 2 3" xfId="11765" xr:uid="{00000000-0005-0000-0000-00009D080000}"/>
    <cellStyle name="20% - Accent2 4 2 2 2 3 4 3" xfId="11766" xr:uid="{00000000-0005-0000-0000-00009E080000}"/>
    <cellStyle name="20% - Accent2 4 2 2 2 3 4 3 2" xfId="11767" xr:uid="{00000000-0005-0000-0000-00009F080000}"/>
    <cellStyle name="20% - Accent2 4 2 2 2 3 4 4" xfId="11768" xr:uid="{00000000-0005-0000-0000-0000A0080000}"/>
    <cellStyle name="20% - Accent2 4 2 2 2 3 4 5" xfId="11769" xr:uid="{00000000-0005-0000-0000-0000A1080000}"/>
    <cellStyle name="20% - Accent2 4 2 2 2 3 5" xfId="11770" xr:uid="{00000000-0005-0000-0000-0000A2080000}"/>
    <cellStyle name="20% - Accent2 4 2 2 2 3 5 2" xfId="11771" xr:uid="{00000000-0005-0000-0000-0000A3080000}"/>
    <cellStyle name="20% - Accent2 4 2 2 2 3 5 3" xfId="11772" xr:uid="{00000000-0005-0000-0000-0000A4080000}"/>
    <cellStyle name="20% - Accent2 4 2 2 2 3 6" xfId="11773" xr:uid="{00000000-0005-0000-0000-0000A5080000}"/>
    <cellStyle name="20% - Accent2 4 2 2 2 3 6 2" xfId="11774" xr:uid="{00000000-0005-0000-0000-0000A6080000}"/>
    <cellStyle name="20% - Accent2 4 2 2 2 3 6 3" xfId="11775" xr:uid="{00000000-0005-0000-0000-0000A7080000}"/>
    <cellStyle name="20% - Accent2 4 2 2 2 3 7" xfId="11776" xr:uid="{00000000-0005-0000-0000-0000A8080000}"/>
    <cellStyle name="20% - Accent2 4 2 2 2 3 7 2" xfId="11777" xr:uid="{00000000-0005-0000-0000-0000A9080000}"/>
    <cellStyle name="20% - Accent2 4 2 2 2 3 8" xfId="11778" xr:uid="{00000000-0005-0000-0000-0000AA080000}"/>
    <cellStyle name="20% - Accent2 4 2 2 2 3 9" xfId="11779" xr:uid="{00000000-0005-0000-0000-0000AB080000}"/>
    <cellStyle name="20% - Accent2 4 2 2 2 4" xfId="11780" xr:uid="{00000000-0005-0000-0000-0000AC080000}"/>
    <cellStyle name="20% - Accent2 4 2 2 2 4 2" xfId="11781" xr:uid="{00000000-0005-0000-0000-0000AD080000}"/>
    <cellStyle name="20% - Accent2 4 2 2 2 4 2 2" xfId="11782" xr:uid="{00000000-0005-0000-0000-0000AE080000}"/>
    <cellStyle name="20% - Accent2 4 2 2 2 4 2 2 2" xfId="11783" xr:uid="{00000000-0005-0000-0000-0000AF080000}"/>
    <cellStyle name="20% - Accent2 4 2 2 2 4 2 2 3" xfId="11784" xr:uid="{00000000-0005-0000-0000-0000B0080000}"/>
    <cellStyle name="20% - Accent2 4 2 2 2 4 2 3" xfId="11785" xr:uid="{00000000-0005-0000-0000-0000B1080000}"/>
    <cellStyle name="20% - Accent2 4 2 2 2 4 2 3 2" xfId="11786" xr:uid="{00000000-0005-0000-0000-0000B2080000}"/>
    <cellStyle name="20% - Accent2 4 2 2 2 4 2 3 3" xfId="11787" xr:uid="{00000000-0005-0000-0000-0000B3080000}"/>
    <cellStyle name="20% - Accent2 4 2 2 2 4 2 4" xfId="11788" xr:uid="{00000000-0005-0000-0000-0000B4080000}"/>
    <cellStyle name="20% - Accent2 4 2 2 2 4 2 4 2" xfId="11789" xr:uid="{00000000-0005-0000-0000-0000B5080000}"/>
    <cellStyle name="20% - Accent2 4 2 2 2 4 2 5" xfId="11790" xr:uid="{00000000-0005-0000-0000-0000B6080000}"/>
    <cellStyle name="20% - Accent2 4 2 2 2 4 2 6" xfId="11791" xr:uid="{00000000-0005-0000-0000-0000B7080000}"/>
    <cellStyle name="20% - Accent2 4 2 2 2 4 3" xfId="11792" xr:uid="{00000000-0005-0000-0000-0000B8080000}"/>
    <cellStyle name="20% - Accent2 4 2 2 2 4 3 2" xfId="11793" xr:uid="{00000000-0005-0000-0000-0000B9080000}"/>
    <cellStyle name="20% - Accent2 4 2 2 2 4 3 2 2" xfId="11794" xr:uid="{00000000-0005-0000-0000-0000BA080000}"/>
    <cellStyle name="20% - Accent2 4 2 2 2 4 3 2 3" xfId="11795" xr:uid="{00000000-0005-0000-0000-0000BB080000}"/>
    <cellStyle name="20% - Accent2 4 2 2 2 4 3 3" xfId="11796" xr:uid="{00000000-0005-0000-0000-0000BC080000}"/>
    <cellStyle name="20% - Accent2 4 2 2 2 4 3 3 2" xfId="11797" xr:uid="{00000000-0005-0000-0000-0000BD080000}"/>
    <cellStyle name="20% - Accent2 4 2 2 2 4 3 3 3" xfId="11798" xr:uid="{00000000-0005-0000-0000-0000BE080000}"/>
    <cellStyle name="20% - Accent2 4 2 2 2 4 3 4" xfId="11799" xr:uid="{00000000-0005-0000-0000-0000BF080000}"/>
    <cellStyle name="20% - Accent2 4 2 2 2 4 3 4 2" xfId="11800" xr:uid="{00000000-0005-0000-0000-0000C0080000}"/>
    <cellStyle name="20% - Accent2 4 2 2 2 4 3 5" xfId="11801" xr:uid="{00000000-0005-0000-0000-0000C1080000}"/>
    <cellStyle name="20% - Accent2 4 2 2 2 4 3 6" xfId="11802" xr:uid="{00000000-0005-0000-0000-0000C2080000}"/>
    <cellStyle name="20% - Accent2 4 2 2 2 4 4" xfId="11803" xr:uid="{00000000-0005-0000-0000-0000C3080000}"/>
    <cellStyle name="20% - Accent2 4 2 2 2 4 4 2" xfId="11804" xr:uid="{00000000-0005-0000-0000-0000C4080000}"/>
    <cellStyle name="20% - Accent2 4 2 2 2 4 4 2 2" xfId="11805" xr:uid="{00000000-0005-0000-0000-0000C5080000}"/>
    <cellStyle name="20% - Accent2 4 2 2 2 4 4 2 3" xfId="11806" xr:uid="{00000000-0005-0000-0000-0000C6080000}"/>
    <cellStyle name="20% - Accent2 4 2 2 2 4 4 3" xfId="11807" xr:uid="{00000000-0005-0000-0000-0000C7080000}"/>
    <cellStyle name="20% - Accent2 4 2 2 2 4 4 3 2" xfId="11808" xr:uid="{00000000-0005-0000-0000-0000C8080000}"/>
    <cellStyle name="20% - Accent2 4 2 2 2 4 4 4" xfId="11809" xr:uid="{00000000-0005-0000-0000-0000C9080000}"/>
    <cellStyle name="20% - Accent2 4 2 2 2 4 4 5" xfId="11810" xr:uid="{00000000-0005-0000-0000-0000CA080000}"/>
    <cellStyle name="20% - Accent2 4 2 2 2 4 5" xfId="11811" xr:uid="{00000000-0005-0000-0000-0000CB080000}"/>
    <cellStyle name="20% - Accent2 4 2 2 2 4 5 2" xfId="11812" xr:uid="{00000000-0005-0000-0000-0000CC080000}"/>
    <cellStyle name="20% - Accent2 4 2 2 2 4 5 3" xfId="11813" xr:uid="{00000000-0005-0000-0000-0000CD080000}"/>
    <cellStyle name="20% - Accent2 4 2 2 2 4 6" xfId="11814" xr:uid="{00000000-0005-0000-0000-0000CE080000}"/>
    <cellStyle name="20% - Accent2 4 2 2 2 4 6 2" xfId="11815" xr:uid="{00000000-0005-0000-0000-0000CF080000}"/>
    <cellStyle name="20% - Accent2 4 2 2 2 4 6 3" xfId="11816" xr:uid="{00000000-0005-0000-0000-0000D0080000}"/>
    <cellStyle name="20% - Accent2 4 2 2 2 4 7" xfId="11817" xr:uid="{00000000-0005-0000-0000-0000D1080000}"/>
    <cellStyle name="20% - Accent2 4 2 2 2 4 7 2" xfId="11818" xr:uid="{00000000-0005-0000-0000-0000D2080000}"/>
    <cellStyle name="20% - Accent2 4 2 2 2 4 8" xfId="11819" xr:uid="{00000000-0005-0000-0000-0000D3080000}"/>
    <cellStyle name="20% - Accent2 4 2 2 2 4 9" xfId="11820" xr:uid="{00000000-0005-0000-0000-0000D4080000}"/>
    <cellStyle name="20% - Accent2 4 2 2 2 5" xfId="11821" xr:uid="{00000000-0005-0000-0000-0000D5080000}"/>
    <cellStyle name="20% - Accent2 4 2 2 2 5 2" xfId="11822" xr:uid="{00000000-0005-0000-0000-0000D6080000}"/>
    <cellStyle name="20% - Accent2 4 2 2 2 5 2 2" xfId="11823" xr:uid="{00000000-0005-0000-0000-0000D7080000}"/>
    <cellStyle name="20% - Accent2 4 2 2 2 5 2 3" xfId="11824" xr:uid="{00000000-0005-0000-0000-0000D8080000}"/>
    <cellStyle name="20% - Accent2 4 2 2 2 5 3" xfId="11825" xr:uid="{00000000-0005-0000-0000-0000D9080000}"/>
    <cellStyle name="20% - Accent2 4 2 2 2 5 3 2" xfId="11826" xr:uid="{00000000-0005-0000-0000-0000DA080000}"/>
    <cellStyle name="20% - Accent2 4 2 2 2 5 3 3" xfId="11827" xr:uid="{00000000-0005-0000-0000-0000DB080000}"/>
    <cellStyle name="20% - Accent2 4 2 2 2 5 4" xfId="11828" xr:uid="{00000000-0005-0000-0000-0000DC080000}"/>
    <cellStyle name="20% - Accent2 4 2 2 2 5 4 2" xfId="11829" xr:uid="{00000000-0005-0000-0000-0000DD080000}"/>
    <cellStyle name="20% - Accent2 4 2 2 2 5 5" xfId="11830" xr:uid="{00000000-0005-0000-0000-0000DE080000}"/>
    <cellStyle name="20% - Accent2 4 2 2 2 5 6" xfId="11831" xr:uid="{00000000-0005-0000-0000-0000DF080000}"/>
    <cellStyle name="20% - Accent2 4 2 2 2 6" xfId="11832" xr:uid="{00000000-0005-0000-0000-0000E0080000}"/>
    <cellStyle name="20% - Accent2 4 2 2 2 6 2" xfId="11833" xr:uid="{00000000-0005-0000-0000-0000E1080000}"/>
    <cellStyle name="20% - Accent2 4 2 2 2 6 2 2" xfId="11834" xr:uid="{00000000-0005-0000-0000-0000E2080000}"/>
    <cellStyle name="20% - Accent2 4 2 2 2 6 2 3" xfId="11835" xr:uid="{00000000-0005-0000-0000-0000E3080000}"/>
    <cellStyle name="20% - Accent2 4 2 2 2 6 3" xfId="11836" xr:uid="{00000000-0005-0000-0000-0000E4080000}"/>
    <cellStyle name="20% - Accent2 4 2 2 2 6 3 2" xfId="11837" xr:uid="{00000000-0005-0000-0000-0000E5080000}"/>
    <cellStyle name="20% - Accent2 4 2 2 2 6 3 3" xfId="11838" xr:uid="{00000000-0005-0000-0000-0000E6080000}"/>
    <cellStyle name="20% - Accent2 4 2 2 2 6 4" xfId="11839" xr:uid="{00000000-0005-0000-0000-0000E7080000}"/>
    <cellStyle name="20% - Accent2 4 2 2 2 6 4 2" xfId="11840" xr:uid="{00000000-0005-0000-0000-0000E8080000}"/>
    <cellStyle name="20% - Accent2 4 2 2 2 6 5" xfId="11841" xr:uid="{00000000-0005-0000-0000-0000E9080000}"/>
    <cellStyle name="20% - Accent2 4 2 2 2 6 6" xfId="11842" xr:uid="{00000000-0005-0000-0000-0000EA080000}"/>
    <cellStyle name="20% - Accent2 4 2 2 2 7" xfId="11843" xr:uid="{00000000-0005-0000-0000-0000EB080000}"/>
    <cellStyle name="20% - Accent2 4 2 2 2 7 2" xfId="11844" xr:uid="{00000000-0005-0000-0000-0000EC080000}"/>
    <cellStyle name="20% - Accent2 4 2 2 2 7 2 2" xfId="11845" xr:uid="{00000000-0005-0000-0000-0000ED080000}"/>
    <cellStyle name="20% - Accent2 4 2 2 2 7 2 3" xfId="11846" xr:uid="{00000000-0005-0000-0000-0000EE080000}"/>
    <cellStyle name="20% - Accent2 4 2 2 2 7 3" xfId="11847" xr:uid="{00000000-0005-0000-0000-0000EF080000}"/>
    <cellStyle name="20% - Accent2 4 2 2 2 7 3 2" xfId="11848" xr:uid="{00000000-0005-0000-0000-0000F0080000}"/>
    <cellStyle name="20% - Accent2 4 2 2 2 7 4" xfId="11849" xr:uid="{00000000-0005-0000-0000-0000F1080000}"/>
    <cellStyle name="20% - Accent2 4 2 2 2 7 5" xfId="11850" xr:uid="{00000000-0005-0000-0000-0000F2080000}"/>
    <cellStyle name="20% - Accent2 4 2 2 2 8" xfId="11851" xr:uid="{00000000-0005-0000-0000-0000F3080000}"/>
    <cellStyle name="20% - Accent2 4 2 2 2 8 2" xfId="11852" xr:uid="{00000000-0005-0000-0000-0000F4080000}"/>
    <cellStyle name="20% - Accent2 4 2 2 2 8 3" xfId="11853" xr:uid="{00000000-0005-0000-0000-0000F5080000}"/>
    <cellStyle name="20% - Accent2 4 2 2 2 9" xfId="11854" xr:uid="{00000000-0005-0000-0000-0000F6080000}"/>
    <cellStyle name="20% - Accent2 4 2 2 2 9 2" xfId="11855" xr:uid="{00000000-0005-0000-0000-0000F7080000}"/>
    <cellStyle name="20% - Accent2 4 2 2 2 9 3" xfId="11856" xr:uid="{00000000-0005-0000-0000-0000F8080000}"/>
    <cellStyle name="20% - Accent2 4 2 2 3" xfId="373" xr:uid="{00000000-0005-0000-0000-0000F9080000}"/>
    <cellStyle name="20% - Accent2 4 2 2 3 10" xfId="11857" xr:uid="{00000000-0005-0000-0000-0000FA080000}"/>
    <cellStyle name="20% - Accent2 4 2 2 3 2" xfId="374" xr:uid="{00000000-0005-0000-0000-0000FB080000}"/>
    <cellStyle name="20% - Accent2 4 2 2 3 2 2" xfId="11858" xr:uid="{00000000-0005-0000-0000-0000FC080000}"/>
    <cellStyle name="20% - Accent2 4 2 2 3 2 2 2" xfId="11859" xr:uid="{00000000-0005-0000-0000-0000FD080000}"/>
    <cellStyle name="20% - Accent2 4 2 2 3 2 2 2 2" xfId="11860" xr:uid="{00000000-0005-0000-0000-0000FE080000}"/>
    <cellStyle name="20% - Accent2 4 2 2 3 2 2 2 3" xfId="11861" xr:uid="{00000000-0005-0000-0000-0000FF080000}"/>
    <cellStyle name="20% - Accent2 4 2 2 3 2 2 3" xfId="11862" xr:uid="{00000000-0005-0000-0000-000000090000}"/>
    <cellStyle name="20% - Accent2 4 2 2 3 2 2 3 2" xfId="11863" xr:uid="{00000000-0005-0000-0000-000001090000}"/>
    <cellStyle name="20% - Accent2 4 2 2 3 2 2 3 3" xfId="11864" xr:uid="{00000000-0005-0000-0000-000002090000}"/>
    <cellStyle name="20% - Accent2 4 2 2 3 2 2 4" xfId="11865" xr:uid="{00000000-0005-0000-0000-000003090000}"/>
    <cellStyle name="20% - Accent2 4 2 2 3 2 2 4 2" xfId="11866" xr:uid="{00000000-0005-0000-0000-000004090000}"/>
    <cellStyle name="20% - Accent2 4 2 2 3 2 2 5" xfId="11867" xr:uid="{00000000-0005-0000-0000-000005090000}"/>
    <cellStyle name="20% - Accent2 4 2 2 3 2 2 6" xfId="11868" xr:uid="{00000000-0005-0000-0000-000006090000}"/>
    <cellStyle name="20% - Accent2 4 2 2 3 2 3" xfId="11869" xr:uid="{00000000-0005-0000-0000-000007090000}"/>
    <cellStyle name="20% - Accent2 4 2 2 3 2 3 2" xfId="11870" xr:uid="{00000000-0005-0000-0000-000008090000}"/>
    <cellStyle name="20% - Accent2 4 2 2 3 2 3 2 2" xfId="11871" xr:uid="{00000000-0005-0000-0000-000009090000}"/>
    <cellStyle name="20% - Accent2 4 2 2 3 2 3 2 3" xfId="11872" xr:uid="{00000000-0005-0000-0000-00000A090000}"/>
    <cellStyle name="20% - Accent2 4 2 2 3 2 3 3" xfId="11873" xr:uid="{00000000-0005-0000-0000-00000B090000}"/>
    <cellStyle name="20% - Accent2 4 2 2 3 2 3 3 2" xfId="11874" xr:uid="{00000000-0005-0000-0000-00000C090000}"/>
    <cellStyle name="20% - Accent2 4 2 2 3 2 3 3 3" xfId="11875" xr:uid="{00000000-0005-0000-0000-00000D090000}"/>
    <cellStyle name="20% - Accent2 4 2 2 3 2 3 4" xfId="11876" xr:uid="{00000000-0005-0000-0000-00000E090000}"/>
    <cellStyle name="20% - Accent2 4 2 2 3 2 3 4 2" xfId="11877" xr:uid="{00000000-0005-0000-0000-00000F090000}"/>
    <cellStyle name="20% - Accent2 4 2 2 3 2 3 5" xfId="11878" xr:uid="{00000000-0005-0000-0000-000010090000}"/>
    <cellStyle name="20% - Accent2 4 2 2 3 2 3 6" xfId="11879" xr:uid="{00000000-0005-0000-0000-000011090000}"/>
    <cellStyle name="20% - Accent2 4 2 2 3 2 4" xfId="11880" xr:uid="{00000000-0005-0000-0000-000012090000}"/>
    <cellStyle name="20% - Accent2 4 2 2 3 2 4 2" xfId="11881" xr:uid="{00000000-0005-0000-0000-000013090000}"/>
    <cellStyle name="20% - Accent2 4 2 2 3 2 4 2 2" xfId="11882" xr:uid="{00000000-0005-0000-0000-000014090000}"/>
    <cellStyle name="20% - Accent2 4 2 2 3 2 4 2 3" xfId="11883" xr:uid="{00000000-0005-0000-0000-000015090000}"/>
    <cellStyle name="20% - Accent2 4 2 2 3 2 4 3" xfId="11884" xr:uid="{00000000-0005-0000-0000-000016090000}"/>
    <cellStyle name="20% - Accent2 4 2 2 3 2 4 3 2" xfId="11885" xr:uid="{00000000-0005-0000-0000-000017090000}"/>
    <cellStyle name="20% - Accent2 4 2 2 3 2 4 4" xfId="11886" xr:uid="{00000000-0005-0000-0000-000018090000}"/>
    <cellStyle name="20% - Accent2 4 2 2 3 2 4 5" xfId="11887" xr:uid="{00000000-0005-0000-0000-000019090000}"/>
    <cellStyle name="20% - Accent2 4 2 2 3 2 5" xfId="11888" xr:uid="{00000000-0005-0000-0000-00001A090000}"/>
    <cellStyle name="20% - Accent2 4 2 2 3 2 5 2" xfId="11889" xr:uid="{00000000-0005-0000-0000-00001B090000}"/>
    <cellStyle name="20% - Accent2 4 2 2 3 2 5 3" xfId="11890" xr:uid="{00000000-0005-0000-0000-00001C090000}"/>
    <cellStyle name="20% - Accent2 4 2 2 3 2 6" xfId="11891" xr:uid="{00000000-0005-0000-0000-00001D090000}"/>
    <cellStyle name="20% - Accent2 4 2 2 3 2 6 2" xfId="11892" xr:uid="{00000000-0005-0000-0000-00001E090000}"/>
    <cellStyle name="20% - Accent2 4 2 2 3 2 6 3" xfId="11893" xr:uid="{00000000-0005-0000-0000-00001F090000}"/>
    <cellStyle name="20% - Accent2 4 2 2 3 2 7" xfId="11894" xr:uid="{00000000-0005-0000-0000-000020090000}"/>
    <cellStyle name="20% - Accent2 4 2 2 3 2 7 2" xfId="11895" xr:uid="{00000000-0005-0000-0000-000021090000}"/>
    <cellStyle name="20% - Accent2 4 2 2 3 2 8" xfId="11896" xr:uid="{00000000-0005-0000-0000-000022090000}"/>
    <cellStyle name="20% - Accent2 4 2 2 3 2 9" xfId="11897" xr:uid="{00000000-0005-0000-0000-000023090000}"/>
    <cellStyle name="20% - Accent2 4 2 2 3 3" xfId="11898" xr:uid="{00000000-0005-0000-0000-000024090000}"/>
    <cellStyle name="20% - Accent2 4 2 2 3 3 2" xfId="11899" xr:uid="{00000000-0005-0000-0000-000025090000}"/>
    <cellStyle name="20% - Accent2 4 2 2 3 3 2 2" xfId="11900" xr:uid="{00000000-0005-0000-0000-000026090000}"/>
    <cellStyle name="20% - Accent2 4 2 2 3 3 2 3" xfId="11901" xr:uid="{00000000-0005-0000-0000-000027090000}"/>
    <cellStyle name="20% - Accent2 4 2 2 3 3 3" xfId="11902" xr:uid="{00000000-0005-0000-0000-000028090000}"/>
    <cellStyle name="20% - Accent2 4 2 2 3 3 3 2" xfId="11903" xr:uid="{00000000-0005-0000-0000-000029090000}"/>
    <cellStyle name="20% - Accent2 4 2 2 3 3 3 3" xfId="11904" xr:uid="{00000000-0005-0000-0000-00002A090000}"/>
    <cellStyle name="20% - Accent2 4 2 2 3 3 4" xfId="11905" xr:uid="{00000000-0005-0000-0000-00002B090000}"/>
    <cellStyle name="20% - Accent2 4 2 2 3 3 4 2" xfId="11906" xr:uid="{00000000-0005-0000-0000-00002C090000}"/>
    <cellStyle name="20% - Accent2 4 2 2 3 3 5" xfId="11907" xr:uid="{00000000-0005-0000-0000-00002D090000}"/>
    <cellStyle name="20% - Accent2 4 2 2 3 3 6" xfId="11908" xr:uid="{00000000-0005-0000-0000-00002E090000}"/>
    <cellStyle name="20% - Accent2 4 2 2 3 4" xfId="11909" xr:uid="{00000000-0005-0000-0000-00002F090000}"/>
    <cellStyle name="20% - Accent2 4 2 2 3 4 2" xfId="11910" xr:uid="{00000000-0005-0000-0000-000030090000}"/>
    <cellStyle name="20% - Accent2 4 2 2 3 4 2 2" xfId="11911" xr:uid="{00000000-0005-0000-0000-000031090000}"/>
    <cellStyle name="20% - Accent2 4 2 2 3 4 2 3" xfId="11912" xr:uid="{00000000-0005-0000-0000-000032090000}"/>
    <cellStyle name="20% - Accent2 4 2 2 3 4 3" xfId="11913" xr:uid="{00000000-0005-0000-0000-000033090000}"/>
    <cellStyle name="20% - Accent2 4 2 2 3 4 3 2" xfId="11914" xr:uid="{00000000-0005-0000-0000-000034090000}"/>
    <cellStyle name="20% - Accent2 4 2 2 3 4 3 3" xfId="11915" xr:uid="{00000000-0005-0000-0000-000035090000}"/>
    <cellStyle name="20% - Accent2 4 2 2 3 4 4" xfId="11916" xr:uid="{00000000-0005-0000-0000-000036090000}"/>
    <cellStyle name="20% - Accent2 4 2 2 3 4 4 2" xfId="11917" xr:uid="{00000000-0005-0000-0000-000037090000}"/>
    <cellStyle name="20% - Accent2 4 2 2 3 4 5" xfId="11918" xr:uid="{00000000-0005-0000-0000-000038090000}"/>
    <cellStyle name="20% - Accent2 4 2 2 3 4 6" xfId="11919" xr:uid="{00000000-0005-0000-0000-000039090000}"/>
    <cellStyle name="20% - Accent2 4 2 2 3 5" xfId="11920" xr:uid="{00000000-0005-0000-0000-00003A090000}"/>
    <cellStyle name="20% - Accent2 4 2 2 3 5 2" xfId="11921" xr:uid="{00000000-0005-0000-0000-00003B090000}"/>
    <cellStyle name="20% - Accent2 4 2 2 3 5 2 2" xfId="11922" xr:uid="{00000000-0005-0000-0000-00003C090000}"/>
    <cellStyle name="20% - Accent2 4 2 2 3 5 2 3" xfId="11923" xr:uid="{00000000-0005-0000-0000-00003D090000}"/>
    <cellStyle name="20% - Accent2 4 2 2 3 5 3" xfId="11924" xr:uid="{00000000-0005-0000-0000-00003E090000}"/>
    <cellStyle name="20% - Accent2 4 2 2 3 5 3 2" xfId="11925" xr:uid="{00000000-0005-0000-0000-00003F090000}"/>
    <cellStyle name="20% - Accent2 4 2 2 3 5 4" xfId="11926" xr:uid="{00000000-0005-0000-0000-000040090000}"/>
    <cellStyle name="20% - Accent2 4 2 2 3 5 5" xfId="11927" xr:uid="{00000000-0005-0000-0000-000041090000}"/>
    <cellStyle name="20% - Accent2 4 2 2 3 6" xfId="11928" xr:uid="{00000000-0005-0000-0000-000042090000}"/>
    <cellStyle name="20% - Accent2 4 2 2 3 6 2" xfId="11929" xr:uid="{00000000-0005-0000-0000-000043090000}"/>
    <cellStyle name="20% - Accent2 4 2 2 3 6 3" xfId="11930" xr:uid="{00000000-0005-0000-0000-000044090000}"/>
    <cellStyle name="20% - Accent2 4 2 2 3 7" xfId="11931" xr:uid="{00000000-0005-0000-0000-000045090000}"/>
    <cellStyle name="20% - Accent2 4 2 2 3 7 2" xfId="11932" xr:uid="{00000000-0005-0000-0000-000046090000}"/>
    <cellStyle name="20% - Accent2 4 2 2 3 7 3" xfId="11933" xr:uid="{00000000-0005-0000-0000-000047090000}"/>
    <cellStyle name="20% - Accent2 4 2 2 3 8" xfId="11934" xr:uid="{00000000-0005-0000-0000-000048090000}"/>
    <cellStyle name="20% - Accent2 4 2 2 3 8 2" xfId="11935" xr:uid="{00000000-0005-0000-0000-000049090000}"/>
    <cellStyle name="20% - Accent2 4 2 2 3 9" xfId="11936" xr:uid="{00000000-0005-0000-0000-00004A090000}"/>
    <cellStyle name="20% - Accent2 4 2 2 4" xfId="375" xr:uid="{00000000-0005-0000-0000-00004B090000}"/>
    <cellStyle name="20% - Accent2 4 2 2 4 2" xfId="11937" xr:uid="{00000000-0005-0000-0000-00004C090000}"/>
    <cellStyle name="20% - Accent2 4 2 2 4 2 2" xfId="11938" xr:uid="{00000000-0005-0000-0000-00004D090000}"/>
    <cellStyle name="20% - Accent2 4 2 2 4 2 2 2" xfId="11939" xr:uid="{00000000-0005-0000-0000-00004E090000}"/>
    <cellStyle name="20% - Accent2 4 2 2 4 2 2 3" xfId="11940" xr:uid="{00000000-0005-0000-0000-00004F090000}"/>
    <cellStyle name="20% - Accent2 4 2 2 4 2 3" xfId="11941" xr:uid="{00000000-0005-0000-0000-000050090000}"/>
    <cellStyle name="20% - Accent2 4 2 2 4 2 3 2" xfId="11942" xr:uid="{00000000-0005-0000-0000-000051090000}"/>
    <cellStyle name="20% - Accent2 4 2 2 4 2 3 3" xfId="11943" xr:uid="{00000000-0005-0000-0000-000052090000}"/>
    <cellStyle name="20% - Accent2 4 2 2 4 2 4" xfId="11944" xr:uid="{00000000-0005-0000-0000-000053090000}"/>
    <cellStyle name="20% - Accent2 4 2 2 4 2 4 2" xfId="11945" xr:uid="{00000000-0005-0000-0000-000054090000}"/>
    <cellStyle name="20% - Accent2 4 2 2 4 2 5" xfId="11946" xr:uid="{00000000-0005-0000-0000-000055090000}"/>
    <cellStyle name="20% - Accent2 4 2 2 4 2 6" xfId="11947" xr:uid="{00000000-0005-0000-0000-000056090000}"/>
    <cellStyle name="20% - Accent2 4 2 2 4 3" xfId="11948" xr:uid="{00000000-0005-0000-0000-000057090000}"/>
    <cellStyle name="20% - Accent2 4 2 2 4 3 2" xfId="11949" xr:uid="{00000000-0005-0000-0000-000058090000}"/>
    <cellStyle name="20% - Accent2 4 2 2 4 3 2 2" xfId="11950" xr:uid="{00000000-0005-0000-0000-000059090000}"/>
    <cellStyle name="20% - Accent2 4 2 2 4 3 2 3" xfId="11951" xr:uid="{00000000-0005-0000-0000-00005A090000}"/>
    <cellStyle name="20% - Accent2 4 2 2 4 3 3" xfId="11952" xr:uid="{00000000-0005-0000-0000-00005B090000}"/>
    <cellStyle name="20% - Accent2 4 2 2 4 3 3 2" xfId="11953" xr:uid="{00000000-0005-0000-0000-00005C090000}"/>
    <cellStyle name="20% - Accent2 4 2 2 4 3 3 3" xfId="11954" xr:uid="{00000000-0005-0000-0000-00005D090000}"/>
    <cellStyle name="20% - Accent2 4 2 2 4 3 4" xfId="11955" xr:uid="{00000000-0005-0000-0000-00005E090000}"/>
    <cellStyle name="20% - Accent2 4 2 2 4 3 4 2" xfId="11956" xr:uid="{00000000-0005-0000-0000-00005F090000}"/>
    <cellStyle name="20% - Accent2 4 2 2 4 3 5" xfId="11957" xr:uid="{00000000-0005-0000-0000-000060090000}"/>
    <cellStyle name="20% - Accent2 4 2 2 4 3 6" xfId="11958" xr:uid="{00000000-0005-0000-0000-000061090000}"/>
    <cellStyle name="20% - Accent2 4 2 2 4 4" xfId="11959" xr:uid="{00000000-0005-0000-0000-000062090000}"/>
    <cellStyle name="20% - Accent2 4 2 2 4 4 2" xfId="11960" xr:uid="{00000000-0005-0000-0000-000063090000}"/>
    <cellStyle name="20% - Accent2 4 2 2 4 4 2 2" xfId="11961" xr:uid="{00000000-0005-0000-0000-000064090000}"/>
    <cellStyle name="20% - Accent2 4 2 2 4 4 2 3" xfId="11962" xr:uid="{00000000-0005-0000-0000-000065090000}"/>
    <cellStyle name="20% - Accent2 4 2 2 4 4 3" xfId="11963" xr:uid="{00000000-0005-0000-0000-000066090000}"/>
    <cellStyle name="20% - Accent2 4 2 2 4 4 3 2" xfId="11964" xr:uid="{00000000-0005-0000-0000-000067090000}"/>
    <cellStyle name="20% - Accent2 4 2 2 4 4 4" xfId="11965" xr:uid="{00000000-0005-0000-0000-000068090000}"/>
    <cellStyle name="20% - Accent2 4 2 2 4 4 5" xfId="11966" xr:uid="{00000000-0005-0000-0000-000069090000}"/>
    <cellStyle name="20% - Accent2 4 2 2 4 5" xfId="11967" xr:uid="{00000000-0005-0000-0000-00006A090000}"/>
    <cellStyle name="20% - Accent2 4 2 2 4 5 2" xfId="11968" xr:uid="{00000000-0005-0000-0000-00006B090000}"/>
    <cellStyle name="20% - Accent2 4 2 2 4 5 3" xfId="11969" xr:uid="{00000000-0005-0000-0000-00006C090000}"/>
    <cellStyle name="20% - Accent2 4 2 2 4 6" xfId="11970" xr:uid="{00000000-0005-0000-0000-00006D090000}"/>
    <cellStyle name="20% - Accent2 4 2 2 4 6 2" xfId="11971" xr:uid="{00000000-0005-0000-0000-00006E090000}"/>
    <cellStyle name="20% - Accent2 4 2 2 4 6 3" xfId="11972" xr:uid="{00000000-0005-0000-0000-00006F090000}"/>
    <cellStyle name="20% - Accent2 4 2 2 4 7" xfId="11973" xr:uid="{00000000-0005-0000-0000-000070090000}"/>
    <cellStyle name="20% - Accent2 4 2 2 4 7 2" xfId="11974" xr:uid="{00000000-0005-0000-0000-000071090000}"/>
    <cellStyle name="20% - Accent2 4 2 2 4 8" xfId="11975" xr:uid="{00000000-0005-0000-0000-000072090000}"/>
    <cellStyle name="20% - Accent2 4 2 2 4 9" xfId="11976" xr:uid="{00000000-0005-0000-0000-000073090000}"/>
    <cellStyle name="20% - Accent2 4 2 2 5" xfId="11977" xr:uid="{00000000-0005-0000-0000-000074090000}"/>
    <cellStyle name="20% - Accent2 4 2 2 5 2" xfId="11978" xr:uid="{00000000-0005-0000-0000-000075090000}"/>
    <cellStyle name="20% - Accent2 4 2 2 5 2 2" xfId="11979" xr:uid="{00000000-0005-0000-0000-000076090000}"/>
    <cellStyle name="20% - Accent2 4 2 2 5 2 2 2" xfId="11980" xr:uid="{00000000-0005-0000-0000-000077090000}"/>
    <cellStyle name="20% - Accent2 4 2 2 5 2 2 3" xfId="11981" xr:uid="{00000000-0005-0000-0000-000078090000}"/>
    <cellStyle name="20% - Accent2 4 2 2 5 2 3" xfId="11982" xr:uid="{00000000-0005-0000-0000-000079090000}"/>
    <cellStyle name="20% - Accent2 4 2 2 5 2 3 2" xfId="11983" xr:uid="{00000000-0005-0000-0000-00007A090000}"/>
    <cellStyle name="20% - Accent2 4 2 2 5 2 3 3" xfId="11984" xr:uid="{00000000-0005-0000-0000-00007B090000}"/>
    <cellStyle name="20% - Accent2 4 2 2 5 2 4" xfId="11985" xr:uid="{00000000-0005-0000-0000-00007C090000}"/>
    <cellStyle name="20% - Accent2 4 2 2 5 2 4 2" xfId="11986" xr:uid="{00000000-0005-0000-0000-00007D090000}"/>
    <cellStyle name="20% - Accent2 4 2 2 5 2 5" xfId="11987" xr:uid="{00000000-0005-0000-0000-00007E090000}"/>
    <cellStyle name="20% - Accent2 4 2 2 5 2 6" xfId="11988" xr:uid="{00000000-0005-0000-0000-00007F090000}"/>
    <cellStyle name="20% - Accent2 4 2 2 5 3" xfId="11989" xr:uid="{00000000-0005-0000-0000-000080090000}"/>
    <cellStyle name="20% - Accent2 4 2 2 5 3 2" xfId="11990" xr:uid="{00000000-0005-0000-0000-000081090000}"/>
    <cellStyle name="20% - Accent2 4 2 2 5 3 2 2" xfId="11991" xr:uid="{00000000-0005-0000-0000-000082090000}"/>
    <cellStyle name="20% - Accent2 4 2 2 5 3 2 3" xfId="11992" xr:uid="{00000000-0005-0000-0000-000083090000}"/>
    <cellStyle name="20% - Accent2 4 2 2 5 3 3" xfId="11993" xr:uid="{00000000-0005-0000-0000-000084090000}"/>
    <cellStyle name="20% - Accent2 4 2 2 5 3 3 2" xfId="11994" xr:uid="{00000000-0005-0000-0000-000085090000}"/>
    <cellStyle name="20% - Accent2 4 2 2 5 3 3 3" xfId="11995" xr:uid="{00000000-0005-0000-0000-000086090000}"/>
    <cellStyle name="20% - Accent2 4 2 2 5 3 4" xfId="11996" xr:uid="{00000000-0005-0000-0000-000087090000}"/>
    <cellStyle name="20% - Accent2 4 2 2 5 3 4 2" xfId="11997" xr:uid="{00000000-0005-0000-0000-000088090000}"/>
    <cellStyle name="20% - Accent2 4 2 2 5 3 5" xfId="11998" xr:uid="{00000000-0005-0000-0000-000089090000}"/>
    <cellStyle name="20% - Accent2 4 2 2 5 3 6" xfId="11999" xr:uid="{00000000-0005-0000-0000-00008A090000}"/>
    <cellStyle name="20% - Accent2 4 2 2 5 4" xfId="12000" xr:uid="{00000000-0005-0000-0000-00008B090000}"/>
    <cellStyle name="20% - Accent2 4 2 2 5 4 2" xfId="12001" xr:uid="{00000000-0005-0000-0000-00008C090000}"/>
    <cellStyle name="20% - Accent2 4 2 2 5 4 2 2" xfId="12002" xr:uid="{00000000-0005-0000-0000-00008D090000}"/>
    <cellStyle name="20% - Accent2 4 2 2 5 4 2 3" xfId="12003" xr:uid="{00000000-0005-0000-0000-00008E090000}"/>
    <cellStyle name="20% - Accent2 4 2 2 5 4 3" xfId="12004" xr:uid="{00000000-0005-0000-0000-00008F090000}"/>
    <cellStyle name="20% - Accent2 4 2 2 5 4 3 2" xfId="12005" xr:uid="{00000000-0005-0000-0000-000090090000}"/>
    <cellStyle name="20% - Accent2 4 2 2 5 4 4" xfId="12006" xr:uid="{00000000-0005-0000-0000-000091090000}"/>
    <cellStyle name="20% - Accent2 4 2 2 5 4 5" xfId="12007" xr:uid="{00000000-0005-0000-0000-000092090000}"/>
    <cellStyle name="20% - Accent2 4 2 2 5 5" xfId="12008" xr:uid="{00000000-0005-0000-0000-000093090000}"/>
    <cellStyle name="20% - Accent2 4 2 2 5 5 2" xfId="12009" xr:uid="{00000000-0005-0000-0000-000094090000}"/>
    <cellStyle name="20% - Accent2 4 2 2 5 5 3" xfId="12010" xr:uid="{00000000-0005-0000-0000-000095090000}"/>
    <cellStyle name="20% - Accent2 4 2 2 5 6" xfId="12011" xr:uid="{00000000-0005-0000-0000-000096090000}"/>
    <cellStyle name="20% - Accent2 4 2 2 5 6 2" xfId="12012" xr:uid="{00000000-0005-0000-0000-000097090000}"/>
    <cellStyle name="20% - Accent2 4 2 2 5 6 3" xfId="12013" xr:uid="{00000000-0005-0000-0000-000098090000}"/>
    <cellStyle name="20% - Accent2 4 2 2 5 7" xfId="12014" xr:uid="{00000000-0005-0000-0000-000099090000}"/>
    <cellStyle name="20% - Accent2 4 2 2 5 7 2" xfId="12015" xr:uid="{00000000-0005-0000-0000-00009A090000}"/>
    <cellStyle name="20% - Accent2 4 2 2 5 8" xfId="12016" xr:uid="{00000000-0005-0000-0000-00009B090000}"/>
    <cellStyle name="20% - Accent2 4 2 2 5 9" xfId="12017" xr:uid="{00000000-0005-0000-0000-00009C090000}"/>
    <cellStyle name="20% - Accent2 4 2 2 6" xfId="12018" xr:uid="{00000000-0005-0000-0000-00009D090000}"/>
    <cellStyle name="20% - Accent2 4 2 2 6 2" xfId="12019" xr:uid="{00000000-0005-0000-0000-00009E090000}"/>
    <cellStyle name="20% - Accent2 4 2 2 6 2 2" xfId="12020" xr:uid="{00000000-0005-0000-0000-00009F090000}"/>
    <cellStyle name="20% - Accent2 4 2 2 6 2 3" xfId="12021" xr:uid="{00000000-0005-0000-0000-0000A0090000}"/>
    <cellStyle name="20% - Accent2 4 2 2 6 3" xfId="12022" xr:uid="{00000000-0005-0000-0000-0000A1090000}"/>
    <cellStyle name="20% - Accent2 4 2 2 6 3 2" xfId="12023" xr:uid="{00000000-0005-0000-0000-0000A2090000}"/>
    <cellStyle name="20% - Accent2 4 2 2 6 3 3" xfId="12024" xr:uid="{00000000-0005-0000-0000-0000A3090000}"/>
    <cellStyle name="20% - Accent2 4 2 2 6 4" xfId="12025" xr:uid="{00000000-0005-0000-0000-0000A4090000}"/>
    <cellStyle name="20% - Accent2 4 2 2 6 4 2" xfId="12026" xr:uid="{00000000-0005-0000-0000-0000A5090000}"/>
    <cellStyle name="20% - Accent2 4 2 2 6 5" xfId="12027" xr:uid="{00000000-0005-0000-0000-0000A6090000}"/>
    <cellStyle name="20% - Accent2 4 2 2 6 6" xfId="12028" xr:uid="{00000000-0005-0000-0000-0000A7090000}"/>
    <cellStyle name="20% - Accent2 4 2 2 7" xfId="12029" xr:uid="{00000000-0005-0000-0000-0000A8090000}"/>
    <cellStyle name="20% - Accent2 4 2 2 7 2" xfId="12030" xr:uid="{00000000-0005-0000-0000-0000A9090000}"/>
    <cellStyle name="20% - Accent2 4 2 2 7 2 2" xfId="12031" xr:uid="{00000000-0005-0000-0000-0000AA090000}"/>
    <cellStyle name="20% - Accent2 4 2 2 7 2 3" xfId="12032" xr:uid="{00000000-0005-0000-0000-0000AB090000}"/>
    <cellStyle name="20% - Accent2 4 2 2 7 3" xfId="12033" xr:uid="{00000000-0005-0000-0000-0000AC090000}"/>
    <cellStyle name="20% - Accent2 4 2 2 7 3 2" xfId="12034" xr:uid="{00000000-0005-0000-0000-0000AD090000}"/>
    <cellStyle name="20% - Accent2 4 2 2 7 3 3" xfId="12035" xr:uid="{00000000-0005-0000-0000-0000AE090000}"/>
    <cellStyle name="20% - Accent2 4 2 2 7 4" xfId="12036" xr:uid="{00000000-0005-0000-0000-0000AF090000}"/>
    <cellStyle name="20% - Accent2 4 2 2 7 4 2" xfId="12037" xr:uid="{00000000-0005-0000-0000-0000B0090000}"/>
    <cellStyle name="20% - Accent2 4 2 2 7 5" xfId="12038" xr:uid="{00000000-0005-0000-0000-0000B1090000}"/>
    <cellStyle name="20% - Accent2 4 2 2 7 6" xfId="12039" xr:uid="{00000000-0005-0000-0000-0000B2090000}"/>
    <cellStyle name="20% - Accent2 4 2 2 8" xfId="12040" xr:uid="{00000000-0005-0000-0000-0000B3090000}"/>
    <cellStyle name="20% - Accent2 4 2 2 8 2" xfId="12041" xr:uid="{00000000-0005-0000-0000-0000B4090000}"/>
    <cellStyle name="20% - Accent2 4 2 2 8 2 2" xfId="12042" xr:uid="{00000000-0005-0000-0000-0000B5090000}"/>
    <cellStyle name="20% - Accent2 4 2 2 8 2 3" xfId="12043" xr:uid="{00000000-0005-0000-0000-0000B6090000}"/>
    <cellStyle name="20% - Accent2 4 2 2 8 3" xfId="12044" xr:uid="{00000000-0005-0000-0000-0000B7090000}"/>
    <cellStyle name="20% - Accent2 4 2 2 8 3 2" xfId="12045" xr:uid="{00000000-0005-0000-0000-0000B8090000}"/>
    <cellStyle name="20% - Accent2 4 2 2 8 4" xfId="12046" xr:uid="{00000000-0005-0000-0000-0000B9090000}"/>
    <cellStyle name="20% - Accent2 4 2 2 8 5" xfId="12047" xr:uid="{00000000-0005-0000-0000-0000BA090000}"/>
    <cellStyle name="20% - Accent2 4 2 2 9" xfId="12048" xr:uid="{00000000-0005-0000-0000-0000BB090000}"/>
    <cellStyle name="20% - Accent2 4 2 2 9 2" xfId="12049" xr:uid="{00000000-0005-0000-0000-0000BC090000}"/>
    <cellStyle name="20% - Accent2 4 2 2 9 3" xfId="12050" xr:uid="{00000000-0005-0000-0000-0000BD090000}"/>
    <cellStyle name="20% - Accent2 4 2 3" xfId="376" xr:uid="{00000000-0005-0000-0000-0000BE090000}"/>
    <cellStyle name="20% - Accent2 4 2 3 10" xfId="12051" xr:uid="{00000000-0005-0000-0000-0000BF090000}"/>
    <cellStyle name="20% - Accent2 4 2 3 10 2" xfId="12052" xr:uid="{00000000-0005-0000-0000-0000C0090000}"/>
    <cellStyle name="20% - Accent2 4 2 3 11" xfId="12053" xr:uid="{00000000-0005-0000-0000-0000C1090000}"/>
    <cellStyle name="20% - Accent2 4 2 3 12" xfId="12054" xr:uid="{00000000-0005-0000-0000-0000C2090000}"/>
    <cellStyle name="20% - Accent2 4 2 3 2" xfId="377" xr:uid="{00000000-0005-0000-0000-0000C3090000}"/>
    <cellStyle name="20% - Accent2 4 2 3 2 10" xfId="12055" xr:uid="{00000000-0005-0000-0000-0000C4090000}"/>
    <cellStyle name="20% - Accent2 4 2 3 2 2" xfId="378" xr:uid="{00000000-0005-0000-0000-0000C5090000}"/>
    <cellStyle name="20% - Accent2 4 2 3 2 2 2" xfId="12056" xr:uid="{00000000-0005-0000-0000-0000C6090000}"/>
    <cellStyle name="20% - Accent2 4 2 3 2 2 2 2" xfId="12057" xr:uid="{00000000-0005-0000-0000-0000C7090000}"/>
    <cellStyle name="20% - Accent2 4 2 3 2 2 2 2 2" xfId="12058" xr:uid="{00000000-0005-0000-0000-0000C8090000}"/>
    <cellStyle name="20% - Accent2 4 2 3 2 2 2 2 3" xfId="12059" xr:uid="{00000000-0005-0000-0000-0000C9090000}"/>
    <cellStyle name="20% - Accent2 4 2 3 2 2 2 3" xfId="12060" xr:uid="{00000000-0005-0000-0000-0000CA090000}"/>
    <cellStyle name="20% - Accent2 4 2 3 2 2 2 3 2" xfId="12061" xr:uid="{00000000-0005-0000-0000-0000CB090000}"/>
    <cellStyle name="20% - Accent2 4 2 3 2 2 2 3 3" xfId="12062" xr:uid="{00000000-0005-0000-0000-0000CC090000}"/>
    <cellStyle name="20% - Accent2 4 2 3 2 2 2 4" xfId="12063" xr:uid="{00000000-0005-0000-0000-0000CD090000}"/>
    <cellStyle name="20% - Accent2 4 2 3 2 2 2 4 2" xfId="12064" xr:uid="{00000000-0005-0000-0000-0000CE090000}"/>
    <cellStyle name="20% - Accent2 4 2 3 2 2 2 5" xfId="12065" xr:uid="{00000000-0005-0000-0000-0000CF090000}"/>
    <cellStyle name="20% - Accent2 4 2 3 2 2 2 6" xfId="12066" xr:uid="{00000000-0005-0000-0000-0000D0090000}"/>
    <cellStyle name="20% - Accent2 4 2 3 2 2 3" xfId="12067" xr:uid="{00000000-0005-0000-0000-0000D1090000}"/>
    <cellStyle name="20% - Accent2 4 2 3 2 2 3 2" xfId="12068" xr:uid="{00000000-0005-0000-0000-0000D2090000}"/>
    <cellStyle name="20% - Accent2 4 2 3 2 2 3 2 2" xfId="12069" xr:uid="{00000000-0005-0000-0000-0000D3090000}"/>
    <cellStyle name="20% - Accent2 4 2 3 2 2 3 2 3" xfId="12070" xr:uid="{00000000-0005-0000-0000-0000D4090000}"/>
    <cellStyle name="20% - Accent2 4 2 3 2 2 3 3" xfId="12071" xr:uid="{00000000-0005-0000-0000-0000D5090000}"/>
    <cellStyle name="20% - Accent2 4 2 3 2 2 3 3 2" xfId="12072" xr:uid="{00000000-0005-0000-0000-0000D6090000}"/>
    <cellStyle name="20% - Accent2 4 2 3 2 2 3 3 3" xfId="12073" xr:uid="{00000000-0005-0000-0000-0000D7090000}"/>
    <cellStyle name="20% - Accent2 4 2 3 2 2 3 4" xfId="12074" xr:uid="{00000000-0005-0000-0000-0000D8090000}"/>
    <cellStyle name="20% - Accent2 4 2 3 2 2 3 4 2" xfId="12075" xr:uid="{00000000-0005-0000-0000-0000D9090000}"/>
    <cellStyle name="20% - Accent2 4 2 3 2 2 3 5" xfId="12076" xr:uid="{00000000-0005-0000-0000-0000DA090000}"/>
    <cellStyle name="20% - Accent2 4 2 3 2 2 3 6" xfId="12077" xr:uid="{00000000-0005-0000-0000-0000DB090000}"/>
    <cellStyle name="20% - Accent2 4 2 3 2 2 4" xfId="12078" xr:uid="{00000000-0005-0000-0000-0000DC090000}"/>
    <cellStyle name="20% - Accent2 4 2 3 2 2 4 2" xfId="12079" xr:uid="{00000000-0005-0000-0000-0000DD090000}"/>
    <cellStyle name="20% - Accent2 4 2 3 2 2 4 2 2" xfId="12080" xr:uid="{00000000-0005-0000-0000-0000DE090000}"/>
    <cellStyle name="20% - Accent2 4 2 3 2 2 4 2 3" xfId="12081" xr:uid="{00000000-0005-0000-0000-0000DF090000}"/>
    <cellStyle name="20% - Accent2 4 2 3 2 2 4 3" xfId="12082" xr:uid="{00000000-0005-0000-0000-0000E0090000}"/>
    <cellStyle name="20% - Accent2 4 2 3 2 2 4 3 2" xfId="12083" xr:uid="{00000000-0005-0000-0000-0000E1090000}"/>
    <cellStyle name="20% - Accent2 4 2 3 2 2 4 4" xfId="12084" xr:uid="{00000000-0005-0000-0000-0000E2090000}"/>
    <cellStyle name="20% - Accent2 4 2 3 2 2 4 5" xfId="12085" xr:uid="{00000000-0005-0000-0000-0000E3090000}"/>
    <cellStyle name="20% - Accent2 4 2 3 2 2 5" xfId="12086" xr:uid="{00000000-0005-0000-0000-0000E4090000}"/>
    <cellStyle name="20% - Accent2 4 2 3 2 2 5 2" xfId="12087" xr:uid="{00000000-0005-0000-0000-0000E5090000}"/>
    <cellStyle name="20% - Accent2 4 2 3 2 2 5 3" xfId="12088" xr:uid="{00000000-0005-0000-0000-0000E6090000}"/>
    <cellStyle name="20% - Accent2 4 2 3 2 2 6" xfId="12089" xr:uid="{00000000-0005-0000-0000-0000E7090000}"/>
    <cellStyle name="20% - Accent2 4 2 3 2 2 6 2" xfId="12090" xr:uid="{00000000-0005-0000-0000-0000E8090000}"/>
    <cellStyle name="20% - Accent2 4 2 3 2 2 6 3" xfId="12091" xr:uid="{00000000-0005-0000-0000-0000E9090000}"/>
    <cellStyle name="20% - Accent2 4 2 3 2 2 7" xfId="12092" xr:uid="{00000000-0005-0000-0000-0000EA090000}"/>
    <cellStyle name="20% - Accent2 4 2 3 2 2 7 2" xfId="12093" xr:uid="{00000000-0005-0000-0000-0000EB090000}"/>
    <cellStyle name="20% - Accent2 4 2 3 2 2 8" xfId="12094" xr:uid="{00000000-0005-0000-0000-0000EC090000}"/>
    <cellStyle name="20% - Accent2 4 2 3 2 2 9" xfId="12095" xr:uid="{00000000-0005-0000-0000-0000ED090000}"/>
    <cellStyle name="20% - Accent2 4 2 3 2 3" xfId="12096" xr:uid="{00000000-0005-0000-0000-0000EE090000}"/>
    <cellStyle name="20% - Accent2 4 2 3 2 3 2" xfId="12097" xr:uid="{00000000-0005-0000-0000-0000EF090000}"/>
    <cellStyle name="20% - Accent2 4 2 3 2 3 2 2" xfId="12098" xr:uid="{00000000-0005-0000-0000-0000F0090000}"/>
    <cellStyle name="20% - Accent2 4 2 3 2 3 2 3" xfId="12099" xr:uid="{00000000-0005-0000-0000-0000F1090000}"/>
    <cellStyle name="20% - Accent2 4 2 3 2 3 3" xfId="12100" xr:uid="{00000000-0005-0000-0000-0000F2090000}"/>
    <cellStyle name="20% - Accent2 4 2 3 2 3 3 2" xfId="12101" xr:uid="{00000000-0005-0000-0000-0000F3090000}"/>
    <cellStyle name="20% - Accent2 4 2 3 2 3 3 3" xfId="12102" xr:uid="{00000000-0005-0000-0000-0000F4090000}"/>
    <cellStyle name="20% - Accent2 4 2 3 2 3 4" xfId="12103" xr:uid="{00000000-0005-0000-0000-0000F5090000}"/>
    <cellStyle name="20% - Accent2 4 2 3 2 3 4 2" xfId="12104" xr:uid="{00000000-0005-0000-0000-0000F6090000}"/>
    <cellStyle name="20% - Accent2 4 2 3 2 3 5" xfId="12105" xr:uid="{00000000-0005-0000-0000-0000F7090000}"/>
    <cellStyle name="20% - Accent2 4 2 3 2 3 6" xfId="12106" xr:uid="{00000000-0005-0000-0000-0000F8090000}"/>
    <cellStyle name="20% - Accent2 4 2 3 2 4" xfId="12107" xr:uid="{00000000-0005-0000-0000-0000F9090000}"/>
    <cellStyle name="20% - Accent2 4 2 3 2 4 2" xfId="12108" xr:uid="{00000000-0005-0000-0000-0000FA090000}"/>
    <cellStyle name="20% - Accent2 4 2 3 2 4 2 2" xfId="12109" xr:uid="{00000000-0005-0000-0000-0000FB090000}"/>
    <cellStyle name="20% - Accent2 4 2 3 2 4 2 3" xfId="12110" xr:uid="{00000000-0005-0000-0000-0000FC090000}"/>
    <cellStyle name="20% - Accent2 4 2 3 2 4 3" xfId="12111" xr:uid="{00000000-0005-0000-0000-0000FD090000}"/>
    <cellStyle name="20% - Accent2 4 2 3 2 4 3 2" xfId="12112" xr:uid="{00000000-0005-0000-0000-0000FE090000}"/>
    <cellStyle name="20% - Accent2 4 2 3 2 4 3 3" xfId="12113" xr:uid="{00000000-0005-0000-0000-0000FF090000}"/>
    <cellStyle name="20% - Accent2 4 2 3 2 4 4" xfId="12114" xr:uid="{00000000-0005-0000-0000-0000000A0000}"/>
    <cellStyle name="20% - Accent2 4 2 3 2 4 4 2" xfId="12115" xr:uid="{00000000-0005-0000-0000-0000010A0000}"/>
    <cellStyle name="20% - Accent2 4 2 3 2 4 5" xfId="12116" xr:uid="{00000000-0005-0000-0000-0000020A0000}"/>
    <cellStyle name="20% - Accent2 4 2 3 2 4 6" xfId="12117" xr:uid="{00000000-0005-0000-0000-0000030A0000}"/>
    <cellStyle name="20% - Accent2 4 2 3 2 5" xfId="12118" xr:uid="{00000000-0005-0000-0000-0000040A0000}"/>
    <cellStyle name="20% - Accent2 4 2 3 2 5 2" xfId="12119" xr:uid="{00000000-0005-0000-0000-0000050A0000}"/>
    <cellStyle name="20% - Accent2 4 2 3 2 5 2 2" xfId="12120" xr:uid="{00000000-0005-0000-0000-0000060A0000}"/>
    <cellStyle name="20% - Accent2 4 2 3 2 5 2 3" xfId="12121" xr:uid="{00000000-0005-0000-0000-0000070A0000}"/>
    <cellStyle name="20% - Accent2 4 2 3 2 5 3" xfId="12122" xr:uid="{00000000-0005-0000-0000-0000080A0000}"/>
    <cellStyle name="20% - Accent2 4 2 3 2 5 3 2" xfId="12123" xr:uid="{00000000-0005-0000-0000-0000090A0000}"/>
    <cellStyle name="20% - Accent2 4 2 3 2 5 4" xfId="12124" xr:uid="{00000000-0005-0000-0000-00000A0A0000}"/>
    <cellStyle name="20% - Accent2 4 2 3 2 5 5" xfId="12125" xr:uid="{00000000-0005-0000-0000-00000B0A0000}"/>
    <cellStyle name="20% - Accent2 4 2 3 2 6" xfId="12126" xr:uid="{00000000-0005-0000-0000-00000C0A0000}"/>
    <cellStyle name="20% - Accent2 4 2 3 2 6 2" xfId="12127" xr:uid="{00000000-0005-0000-0000-00000D0A0000}"/>
    <cellStyle name="20% - Accent2 4 2 3 2 6 3" xfId="12128" xr:uid="{00000000-0005-0000-0000-00000E0A0000}"/>
    <cellStyle name="20% - Accent2 4 2 3 2 7" xfId="12129" xr:uid="{00000000-0005-0000-0000-00000F0A0000}"/>
    <cellStyle name="20% - Accent2 4 2 3 2 7 2" xfId="12130" xr:uid="{00000000-0005-0000-0000-0000100A0000}"/>
    <cellStyle name="20% - Accent2 4 2 3 2 7 3" xfId="12131" xr:uid="{00000000-0005-0000-0000-0000110A0000}"/>
    <cellStyle name="20% - Accent2 4 2 3 2 8" xfId="12132" xr:uid="{00000000-0005-0000-0000-0000120A0000}"/>
    <cellStyle name="20% - Accent2 4 2 3 2 8 2" xfId="12133" xr:uid="{00000000-0005-0000-0000-0000130A0000}"/>
    <cellStyle name="20% - Accent2 4 2 3 2 9" xfId="12134" xr:uid="{00000000-0005-0000-0000-0000140A0000}"/>
    <cellStyle name="20% - Accent2 4 2 3 3" xfId="379" xr:uid="{00000000-0005-0000-0000-0000150A0000}"/>
    <cellStyle name="20% - Accent2 4 2 3 3 2" xfId="12135" xr:uid="{00000000-0005-0000-0000-0000160A0000}"/>
    <cellStyle name="20% - Accent2 4 2 3 3 2 2" xfId="12136" xr:uid="{00000000-0005-0000-0000-0000170A0000}"/>
    <cellStyle name="20% - Accent2 4 2 3 3 2 2 2" xfId="12137" xr:uid="{00000000-0005-0000-0000-0000180A0000}"/>
    <cellStyle name="20% - Accent2 4 2 3 3 2 2 3" xfId="12138" xr:uid="{00000000-0005-0000-0000-0000190A0000}"/>
    <cellStyle name="20% - Accent2 4 2 3 3 2 3" xfId="12139" xr:uid="{00000000-0005-0000-0000-00001A0A0000}"/>
    <cellStyle name="20% - Accent2 4 2 3 3 2 3 2" xfId="12140" xr:uid="{00000000-0005-0000-0000-00001B0A0000}"/>
    <cellStyle name="20% - Accent2 4 2 3 3 2 3 3" xfId="12141" xr:uid="{00000000-0005-0000-0000-00001C0A0000}"/>
    <cellStyle name="20% - Accent2 4 2 3 3 2 4" xfId="12142" xr:uid="{00000000-0005-0000-0000-00001D0A0000}"/>
    <cellStyle name="20% - Accent2 4 2 3 3 2 4 2" xfId="12143" xr:uid="{00000000-0005-0000-0000-00001E0A0000}"/>
    <cellStyle name="20% - Accent2 4 2 3 3 2 5" xfId="12144" xr:uid="{00000000-0005-0000-0000-00001F0A0000}"/>
    <cellStyle name="20% - Accent2 4 2 3 3 2 6" xfId="12145" xr:uid="{00000000-0005-0000-0000-0000200A0000}"/>
    <cellStyle name="20% - Accent2 4 2 3 3 3" xfId="12146" xr:uid="{00000000-0005-0000-0000-0000210A0000}"/>
    <cellStyle name="20% - Accent2 4 2 3 3 3 2" xfId="12147" xr:uid="{00000000-0005-0000-0000-0000220A0000}"/>
    <cellStyle name="20% - Accent2 4 2 3 3 3 2 2" xfId="12148" xr:uid="{00000000-0005-0000-0000-0000230A0000}"/>
    <cellStyle name="20% - Accent2 4 2 3 3 3 2 3" xfId="12149" xr:uid="{00000000-0005-0000-0000-0000240A0000}"/>
    <cellStyle name="20% - Accent2 4 2 3 3 3 3" xfId="12150" xr:uid="{00000000-0005-0000-0000-0000250A0000}"/>
    <cellStyle name="20% - Accent2 4 2 3 3 3 3 2" xfId="12151" xr:uid="{00000000-0005-0000-0000-0000260A0000}"/>
    <cellStyle name="20% - Accent2 4 2 3 3 3 3 3" xfId="12152" xr:uid="{00000000-0005-0000-0000-0000270A0000}"/>
    <cellStyle name="20% - Accent2 4 2 3 3 3 4" xfId="12153" xr:uid="{00000000-0005-0000-0000-0000280A0000}"/>
    <cellStyle name="20% - Accent2 4 2 3 3 3 4 2" xfId="12154" xr:uid="{00000000-0005-0000-0000-0000290A0000}"/>
    <cellStyle name="20% - Accent2 4 2 3 3 3 5" xfId="12155" xr:uid="{00000000-0005-0000-0000-00002A0A0000}"/>
    <cellStyle name="20% - Accent2 4 2 3 3 3 6" xfId="12156" xr:uid="{00000000-0005-0000-0000-00002B0A0000}"/>
    <cellStyle name="20% - Accent2 4 2 3 3 4" xfId="12157" xr:uid="{00000000-0005-0000-0000-00002C0A0000}"/>
    <cellStyle name="20% - Accent2 4 2 3 3 4 2" xfId="12158" xr:uid="{00000000-0005-0000-0000-00002D0A0000}"/>
    <cellStyle name="20% - Accent2 4 2 3 3 4 2 2" xfId="12159" xr:uid="{00000000-0005-0000-0000-00002E0A0000}"/>
    <cellStyle name="20% - Accent2 4 2 3 3 4 2 3" xfId="12160" xr:uid="{00000000-0005-0000-0000-00002F0A0000}"/>
    <cellStyle name="20% - Accent2 4 2 3 3 4 3" xfId="12161" xr:uid="{00000000-0005-0000-0000-0000300A0000}"/>
    <cellStyle name="20% - Accent2 4 2 3 3 4 3 2" xfId="12162" xr:uid="{00000000-0005-0000-0000-0000310A0000}"/>
    <cellStyle name="20% - Accent2 4 2 3 3 4 4" xfId="12163" xr:uid="{00000000-0005-0000-0000-0000320A0000}"/>
    <cellStyle name="20% - Accent2 4 2 3 3 4 5" xfId="12164" xr:uid="{00000000-0005-0000-0000-0000330A0000}"/>
    <cellStyle name="20% - Accent2 4 2 3 3 5" xfId="12165" xr:uid="{00000000-0005-0000-0000-0000340A0000}"/>
    <cellStyle name="20% - Accent2 4 2 3 3 5 2" xfId="12166" xr:uid="{00000000-0005-0000-0000-0000350A0000}"/>
    <cellStyle name="20% - Accent2 4 2 3 3 5 3" xfId="12167" xr:uid="{00000000-0005-0000-0000-0000360A0000}"/>
    <cellStyle name="20% - Accent2 4 2 3 3 6" xfId="12168" xr:uid="{00000000-0005-0000-0000-0000370A0000}"/>
    <cellStyle name="20% - Accent2 4 2 3 3 6 2" xfId="12169" xr:uid="{00000000-0005-0000-0000-0000380A0000}"/>
    <cellStyle name="20% - Accent2 4 2 3 3 6 3" xfId="12170" xr:uid="{00000000-0005-0000-0000-0000390A0000}"/>
    <cellStyle name="20% - Accent2 4 2 3 3 7" xfId="12171" xr:uid="{00000000-0005-0000-0000-00003A0A0000}"/>
    <cellStyle name="20% - Accent2 4 2 3 3 7 2" xfId="12172" xr:uid="{00000000-0005-0000-0000-00003B0A0000}"/>
    <cellStyle name="20% - Accent2 4 2 3 3 8" xfId="12173" xr:uid="{00000000-0005-0000-0000-00003C0A0000}"/>
    <cellStyle name="20% - Accent2 4 2 3 3 9" xfId="12174" xr:uid="{00000000-0005-0000-0000-00003D0A0000}"/>
    <cellStyle name="20% - Accent2 4 2 3 4" xfId="12175" xr:uid="{00000000-0005-0000-0000-00003E0A0000}"/>
    <cellStyle name="20% - Accent2 4 2 3 4 2" xfId="12176" xr:uid="{00000000-0005-0000-0000-00003F0A0000}"/>
    <cellStyle name="20% - Accent2 4 2 3 4 2 2" xfId="12177" xr:uid="{00000000-0005-0000-0000-0000400A0000}"/>
    <cellStyle name="20% - Accent2 4 2 3 4 2 2 2" xfId="12178" xr:uid="{00000000-0005-0000-0000-0000410A0000}"/>
    <cellStyle name="20% - Accent2 4 2 3 4 2 2 3" xfId="12179" xr:uid="{00000000-0005-0000-0000-0000420A0000}"/>
    <cellStyle name="20% - Accent2 4 2 3 4 2 3" xfId="12180" xr:uid="{00000000-0005-0000-0000-0000430A0000}"/>
    <cellStyle name="20% - Accent2 4 2 3 4 2 3 2" xfId="12181" xr:uid="{00000000-0005-0000-0000-0000440A0000}"/>
    <cellStyle name="20% - Accent2 4 2 3 4 2 3 3" xfId="12182" xr:uid="{00000000-0005-0000-0000-0000450A0000}"/>
    <cellStyle name="20% - Accent2 4 2 3 4 2 4" xfId="12183" xr:uid="{00000000-0005-0000-0000-0000460A0000}"/>
    <cellStyle name="20% - Accent2 4 2 3 4 2 4 2" xfId="12184" xr:uid="{00000000-0005-0000-0000-0000470A0000}"/>
    <cellStyle name="20% - Accent2 4 2 3 4 2 5" xfId="12185" xr:uid="{00000000-0005-0000-0000-0000480A0000}"/>
    <cellStyle name="20% - Accent2 4 2 3 4 2 6" xfId="12186" xr:uid="{00000000-0005-0000-0000-0000490A0000}"/>
    <cellStyle name="20% - Accent2 4 2 3 4 3" xfId="12187" xr:uid="{00000000-0005-0000-0000-00004A0A0000}"/>
    <cellStyle name="20% - Accent2 4 2 3 4 3 2" xfId="12188" xr:uid="{00000000-0005-0000-0000-00004B0A0000}"/>
    <cellStyle name="20% - Accent2 4 2 3 4 3 2 2" xfId="12189" xr:uid="{00000000-0005-0000-0000-00004C0A0000}"/>
    <cellStyle name="20% - Accent2 4 2 3 4 3 2 3" xfId="12190" xr:uid="{00000000-0005-0000-0000-00004D0A0000}"/>
    <cellStyle name="20% - Accent2 4 2 3 4 3 3" xfId="12191" xr:uid="{00000000-0005-0000-0000-00004E0A0000}"/>
    <cellStyle name="20% - Accent2 4 2 3 4 3 3 2" xfId="12192" xr:uid="{00000000-0005-0000-0000-00004F0A0000}"/>
    <cellStyle name="20% - Accent2 4 2 3 4 3 3 3" xfId="12193" xr:uid="{00000000-0005-0000-0000-0000500A0000}"/>
    <cellStyle name="20% - Accent2 4 2 3 4 3 4" xfId="12194" xr:uid="{00000000-0005-0000-0000-0000510A0000}"/>
    <cellStyle name="20% - Accent2 4 2 3 4 3 4 2" xfId="12195" xr:uid="{00000000-0005-0000-0000-0000520A0000}"/>
    <cellStyle name="20% - Accent2 4 2 3 4 3 5" xfId="12196" xr:uid="{00000000-0005-0000-0000-0000530A0000}"/>
    <cellStyle name="20% - Accent2 4 2 3 4 3 6" xfId="12197" xr:uid="{00000000-0005-0000-0000-0000540A0000}"/>
    <cellStyle name="20% - Accent2 4 2 3 4 4" xfId="12198" xr:uid="{00000000-0005-0000-0000-0000550A0000}"/>
    <cellStyle name="20% - Accent2 4 2 3 4 4 2" xfId="12199" xr:uid="{00000000-0005-0000-0000-0000560A0000}"/>
    <cellStyle name="20% - Accent2 4 2 3 4 4 2 2" xfId="12200" xr:uid="{00000000-0005-0000-0000-0000570A0000}"/>
    <cellStyle name="20% - Accent2 4 2 3 4 4 2 3" xfId="12201" xr:uid="{00000000-0005-0000-0000-0000580A0000}"/>
    <cellStyle name="20% - Accent2 4 2 3 4 4 3" xfId="12202" xr:uid="{00000000-0005-0000-0000-0000590A0000}"/>
    <cellStyle name="20% - Accent2 4 2 3 4 4 3 2" xfId="12203" xr:uid="{00000000-0005-0000-0000-00005A0A0000}"/>
    <cellStyle name="20% - Accent2 4 2 3 4 4 4" xfId="12204" xr:uid="{00000000-0005-0000-0000-00005B0A0000}"/>
    <cellStyle name="20% - Accent2 4 2 3 4 4 5" xfId="12205" xr:uid="{00000000-0005-0000-0000-00005C0A0000}"/>
    <cellStyle name="20% - Accent2 4 2 3 4 5" xfId="12206" xr:uid="{00000000-0005-0000-0000-00005D0A0000}"/>
    <cellStyle name="20% - Accent2 4 2 3 4 5 2" xfId="12207" xr:uid="{00000000-0005-0000-0000-00005E0A0000}"/>
    <cellStyle name="20% - Accent2 4 2 3 4 5 3" xfId="12208" xr:uid="{00000000-0005-0000-0000-00005F0A0000}"/>
    <cellStyle name="20% - Accent2 4 2 3 4 6" xfId="12209" xr:uid="{00000000-0005-0000-0000-0000600A0000}"/>
    <cellStyle name="20% - Accent2 4 2 3 4 6 2" xfId="12210" xr:uid="{00000000-0005-0000-0000-0000610A0000}"/>
    <cellStyle name="20% - Accent2 4 2 3 4 6 3" xfId="12211" xr:uid="{00000000-0005-0000-0000-0000620A0000}"/>
    <cellStyle name="20% - Accent2 4 2 3 4 7" xfId="12212" xr:uid="{00000000-0005-0000-0000-0000630A0000}"/>
    <cellStyle name="20% - Accent2 4 2 3 4 7 2" xfId="12213" xr:uid="{00000000-0005-0000-0000-0000640A0000}"/>
    <cellStyle name="20% - Accent2 4 2 3 4 8" xfId="12214" xr:uid="{00000000-0005-0000-0000-0000650A0000}"/>
    <cellStyle name="20% - Accent2 4 2 3 4 9" xfId="12215" xr:uid="{00000000-0005-0000-0000-0000660A0000}"/>
    <cellStyle name="20% - Accent2 4 2 3 5" xfId="12216" xr:uid="{00000000-0005-0000-0000-0000670A0000}"/>
    <cellStyle name="20% - Accent2 4 2 3 5 2" xfId="12217" xr:uid="{00000000-0005-0000-0000-0000680A0000}"/>
    <cellStyle name="20% - Accent2 4 2 3 5 2 2" xfId="12218" xr:uid="{00000000-0005-0000-0000-0000690A0000}"/>
    <cellStyle name="20% - Accent2 4 2 3 5 2 3" xfId="12219" xr:uid="{00000000-0005-0000-0000-00006A0A0000}"/>
    <cellStyle name="20% - Accent2 4 2 3 5 3" xfId="12220" xr:uid="{00000000-0005-0000-0000-00006B0A0000}"/>
    <cellStyle name="20% - Accent2 4 2 3 5 3 2" xfId="12221" xr:uid="{00000000-0005-0000-0000-00006C0A0000}"/>
    <cellStyle name="20% - Accent2 4 2 3 5 3 3" xfId="12222" xr:uid="{00000000-0005-0000-0000-00006D0A0000}"/>
    <cellStyle name="20% - Accent2 4 2 3 5 4" xfId="12223" xr:uid="{00000000-0005-0000-0000-00006E0A0000}"/>
    <cellStyle name="20% - Accent2 4 2 3 5 4 2" xfId="12224" xr:uid="{00000000-0005-0000-0000-00006F0A0000}"/>
    <cellStyle name="20% - Accent2 4 2 3 5 5" xfId="12225" xr:uid="{00000000-0005-0000-0000-0000700A0000}"/>
    <cellStyle name="20% - Accent2 4 2 3 5 6" xfId="12226" xr:uid="{00000000-0005-0000-0000-0000710A0000}"/>
    <cellStyle name="20% - Accent2 4 2 3 6" xfId="12227" xr:uid="{00000000-0005-0000-0000-0000720A0000}"/>
    <cellStyle name="20% - Accent2 4 2 3 6 2" xfId="12228" xr:uid="{00000000-0005-0000-0000-0000730A0000}"/>
    <cellStyle name="20% - Accent2 4 2 3 6 2 2" xfId="12229" xr:uid="{00000000-0005-0000-0000-0000740A0000}"/>
    <cellStyle name="20% - Accent2 4 2 3 6 2 3" xfId="12230" xr:uid="{00000000-0005-0000-0000-0000750A0000}"/>
    <cellStyle name="20% - Accent2 4 2 3 6 3" xfId="12231" xr:uid="{00000000-0005-0000-0000-0000760A0000}"/>
    <cellStyle name="20% - Accent2 4 2 3 6 3 2" xfId="12232" xr:uid="{00000000-0005-0000-0000-0000770A0000}"/>
    <cellStyle name="20% - Accent2 4 2 3 6 3 3" xfId="12233" xr:uid="{00000000-0005-0000-0000-0000780A0000}"/>
    <cellStyle name="20% - Accent2 4 2 3 6 4" xfId="12234" xr:uid="{00000000-0005-0000-0000-0000790A0000}"/>
    <cellStyle name="20% - Accent2 4 2 3 6 4 2" xfId="12235" xr:uid="{00000000-0005-0000-0000-00007A0A0000}"/>
    <cellStyle name="20% - Accent2 4 2 3 6 5" xfId="12236" xr:uid="{00000000-0005-0000-0000-00007B0A0000}"/>
    <cellStyle name="20% - Accent2 4 2 3 6 6" xfId="12237" xr:uid="{00000000-0005-0000-0000-00007C0A0000}"/>
    <cellStyle name="20% - Accent2 4 2 3 7" xfId="12238" xr:uid="{00000000-0005-0000-0000-00007D0A0000}"/>
    <cellStyle name="20% - Accent2 4 2 3 7 2" xfId="12239" xr:uid="{00000000-0005-0000-0000-00007E0A0000}"/>
    <cellStyle name="20% - Accent2 4 2 3 7 2 2" xfId="12240" xr:uid="{00000000-0005-0000-0000-00007F0A0000}"/>
    <cellStyle name="20% - Accent2 4 2 3 7 2 3" xfId="12241" xr:uid="{00000000-0005-0000-0000-0000800A0000}"/>
    <cellStyle name="20% - Accent2 4 2 3 7 3" xfId="12242" xr:uid="{00000000-0005-0000-0000-0000810A0000}"/>
    <cellStyle name="20% - Accent2 4 2 3 7 3 2" xfId="12243" xr:uid="{00000000-0005-0000-0000-0000820A0000}"/>
    <cellStyle name="20% - Accent2 4 2 3 7 4" xfId="12244" xr:uid="{00000000-0005-0000-0000-0000830A0000}"/>
    <cellStyle name="20% - Accent2 4 2 3 7 5" xfId="12245" xr:uid="{00000000-0005-0000-0000-0000840A0000}"/>
    <cellStyle name="20% - Accent2 4 2 3 8" xfId="12246" xr:uid="{00000000-0005-0000-0000-0000850A0000}"/>
    <cellStyle name="20% - Accent2 4 2 3 8 2" xfId="12247" xr:uid="{00000000-0005-0000-0000-0000860A0000}"/>
    <cellStyle name="20% - Accent2 4 2 3 8 3" xfId="12248" xr:uid="{00000000-0005-0000-0000-0000870A0000}"/>
    <cellStyle name="20% - Accent2 4 2 3 9" xfId="12249" xr:uid="{00000000-0005-0000-0000-0000880A0000}"/>
    <cellStyle name="20% - Accent2 4 2 3 9 2" xfId="12250" xr:uid="{00000000-0005-0000-0000-0000890A0000}"/>
    <cellStyle name="20% - Accent2 4 2 3 9 3" xfId="12251" xr:uid="{00000000-0005-0000-0000-00008A0A0000}"/>
    <cellStyle name="20% - Accent2 4 2 4" xfId="380" xr:uid="{00000000-0005-0000-0000-00008B0A0000}"/>
    <cellStyle name="20% - Accent2 4 2 4 10" xfId="12252" xr:uid="{00000000-0005-0000-0000-00008C0A0000}"/>
    <cellStyle name="20% - Accent2 4 2 4 2" xfId="381" xr:uid="{00000000-0005-0000-0000-00008D0A0000}"/>
    <cellStyle name="20% - Accent2 4 2 4 2 2" xfId="12253" xr:uid="{00000000-0005-0000-0000-00008E0A0000}"/>
    <cellStyle name="20% - Accent2 4 2 4 2 2 2" xfId="12254" xr:uid="{00000000-0005-0000-0000-00008F0A0000}"/>
    <cellStyle name="20% - Accent2 4 2 4 2 2 2 2" xfId="12255" xr:uid="{00000000-0005-0000-0000-0000900A0000}"/>
    <cellStyle name="20% - Accent2 4 2 4 2 2 2 3" xfId="12256" xr:uid="{00000000-0005-0000-0000-0000910A0000}"/>
    <cellStyle name="20% - Accent2 4 2 4 2 2 3" xfId="12257" xr:uid="{00000000-0005-0000-0000-0000920A0000}"/>
    <cellStyle name="20% - Accent2 4 2 4 2 2 3 2" xfId="12258" xr:uid="{00000000-0005-0000-0000-0000930A0000}"/>
    <cellStyle name="20% - Accent2 4 2 4 2 2 3 3" xfId="12259" xr:uid="{00000000-0005-0000-0000-0000940A0000}"/>
    <cellStyle name="20% - Accent2 4 2 4 2 2 4" xfId="12260" xr:uid="{00000000-0005-0000-0000-0000950A0000}"/>
    <cellStyle name="20% - Accent2 4 2 4 2 2 4 2" xfId="12261" xr:uid="{00000000-0005-0000-0000-0000960A0000}"/>
    <cellStyle name="20% - Accent2 4 2 4 2 2 5" xfId="12262" xr:uid="{00000000-0005-0000-0000-0000970A0000}"/>
    <cellStyle name="20% - Accent2 4 2 4 2 2 6" xfId="12263" xr:uid="{00000000-0005-0000-0000-0000980A0000}"/>
    <cellStyle name="20% - Accent2 4 2 4 2 3" xfId="12264" xr:uid="{00000000-0005-0000-0000-0000990A0000}"/>
    <cellStyle name="20% - Accent2 4 2 4 2 3 2" xfId="12265" xr:uid="{00000000-0005-0000-0000-00009A0A0000}"/>
    <cellStyle name="20% - Accent2 4 2 4 2 3 2 2" xfId="12266" xr:uid="{00000000-0005-0000-0000-00009B0A0000}"/>
    <cellStyle name="20% - Accent2 4 2 4 2 3 2 3" xfId="12267" xr:uid="{00000000-0005-0000-0000-00009C0A0000}"/>
    <cellStyle name="20% - Accent2 4 2 4 2 3 3" xfId="12268" xr:uid="{00000000-0005-0000-0000-00009D0A0000}"/>
    <cellStyle name="20% - Accent2 4 2 4 2 3 3 2" xfId="12269" xr:uid="{00000000-0005-0000-0000-00009E0A0000}"/>
    <cellStyle name="20% - Accent2 4 2 4 2 3 3 3" xfId="12270" xr:uid="{00000000-0005-0000-0000-00009F0A0000}"/>
    <cellStyle name="20% - Accent2 4 2 4 2 3 4" xfId="12271" xr:uid="{00000000-0005-0000-0000-0000A00A0000}"/>
    <cellStyle name="20% - Accent2 4 2 4 2 3 4 2" xfId="12272" xr:uid="{00000000-0005-0000-0000-0000A10A0000}"/>
    <cellStyle name="20% - Accent2 4 2 4 2 3 5" xfId="12273" xr:uid="{00000000-0005-0000-0000-0000A20A0000}"/>
    <cellStyle name="20% - Accent2 4 2 4 2 3 6" xfId="12274" xr:uid="{00000000-0005-0000-0000-0000A30A0000}"/>
    <cellStyle name="20% - Accent2 4 2 4 2 4" xfId="12275" xr:uid="{00000000-0005-0000-0000-0000A40A0000}"/>
    <cellStyle name="20% - Accent2 4 2 4 2 4 2" xfId="12276" xr:uid="{00000000-0005-0000-0000-0000A50A0000}"/>
    <cellStyle name="20% - Accent2 4 2 4 2 4 2 2" xfId="12277" xr:uid="{00000000-0005-0000-0000-0000A60A0000}"/>
    <cellStyle name="20% - Accent2 4 2 4 2 4 2 3" xfId="12278" xr:uid="{00000000-0005-0000-0000-0000A70A0000}"/>
    <cellStyle name="20% - Accent2 4 2 4 2 4 3" xfId="12279" xr:uid="{00000000-0005-0000-0000-0000A80A0000}"/>
    <cellStyle name="20% - Accent2 4 2 4 2 4 3 2" xfId="12280" xr:uid="{00000000-0005-0000-0000-0000A90A0000}"/>
    <cellStyle name="20% - Accent2 4 2 4 2 4 4" xfId="12281" xr:uid="{00000000-0005-0000-0000-0000AA0A0000}"/>
    <cellStyle name="20% - Accent2 4 2 4 2 4 5" xfId="12282" xr:uid="{00000000-0005-0000-0000-0000AB0A0000}"/>
    <cellStyle name="20% - Accent2 4 2 4 2 5" xfId="12283" xr:uid="{00000000-0005-0000-0000-0000AC0A0000}"/>
    <cellStyle name="20% - Accent2 4 2 4 2 5 2" xfId="12284" xr:uid="{00000000-0005-0000-0000-0000AD0A0000}"/>
    <cellStyle name="20% - Accent2 4 2 4 2 5 3" xfId="12285" xr:uid="{00000000-0005-0000-0000-0000AE0A0000}"/>
    <cellStyle name="20% - Accent2 4 2 4 2 6" xfId="12286" xr:uid="{00000000-0005-0000-0000-0000AF0A0000}"/>
    <cellStyle name="20% - Accent2 4 2 4 2 6 2" xfId="12287" xr:uid="{00000000-0005-0000-0000-0000B00A0000}"/>
    <cellStyle name="20% - Accent2 4 2 4 2 6 3" xfId="12288" xr:uid="{00000000-0005-0000-0000-0000B10A0000}"/>
    <cellStyle name="20% - Accent2 4 2 4 2 7" xfId="12289" xr:uid="{00000000-0005-0000-0000-0000B20A0000}"/>
    <cellStyle name="20% - Accent2 4 2 4 2 7 2" xfId="12290" xr:uid="{00000000-0005-0000-0000-0000B30A0000}"/>
    <cellStyle name="20% - Accent2 4 2 4 2 8" xfId="12291" xr:uid="{00000000-0005-0000-0000-0000B40A0000}"/>
    <cellStyle name="20% - Accent2 4 2 4 2 9" xfId="12292" xr:uid="{00000000-0005-0000-0000-0000B50A0000}"/>
    <cellStyle name="20% - Accent2 4 2 4 3" xfId="12293" xr:uid="{00000000-0005-0000-0000-0000B60A0000}"/>
    <cellStyle name="20% - Accent2 4 2 4 3 2" xfId="12294" xr:uid="{00000000-0005-0000-0000-0000B70A0000}"/>
    <cellStyle name="20% - Accent2 4 2 4 3 2 2" xfId="12295" xr:uid="{00000000-0005-0000-0000-0000B80A0000}"/>
    <cellStyle name="20% - Accent2 4 2 4 3 2 3" xfId="12296" xr:uid="{00000000-0005-0000-0000-0000B90A0000}"/>
    <cellStyle name="20% - Accent2 4 2 4 3 3" xfId="12297" xr:uid="{00000000-0005-0000-0000-0000BA0A0000}"/>
    <cellStyle name="20% - Accent2 4 2 4 3 3 2" xfId="12298" xr:uid="{00000000-0005-0000-0000-0000BB0A0000}"/>
    <cellStyle name="20% - Accent2 4 2 4 3 3 3" xfId="12299" xr:uid="{00000000-0005-0000-0000-0000BC0A0000}"/>
    <cellStyle name="20% - Accent2 4 2 4 3 4" xfId="12300" xr:uid="{00000000-0005-0000-0000-0000BD0A0000}"/>
    <cellStyle name="20% - Accent2 4 2 4 3 4 2" xfId="12301" xr:uid="{00000000-0005-0000-0000-0000BE0A0000}"/>
    <cellStyle name="20% - Accent2 4 2 4 3 5" xfId="12302" xr:uid="{00000000-0005-0000-0000-0000BF0A0000}"/>
    <cellStyle name="20% - Accent2 4 2 4 3 6" xfId="12303" xr:uid="{00000000-0005-0000-0000-0000C00A0000}"/>
    <cellStyle name="20% - Accent2 4 2 4 4" xfId="12304" xr:uid="{00000000-0005-0000-0000-0000C10A0000}"/>
    <cellStyle name="20% - Accent2 4 2 4 4 2" xfId="12305" xr:uid="{00000000-0005-0000-0000-0000C20A0000}"/>
    <cellStyle name="20% - Accent2 4 2 4 4 2 2" xfId="12306" xr:uid="{00000000-0005-0000-0000-0000C30A0000}"/>
    <cellStyle name="20% - Accent2 4 2 4 4 2 3" xfId="12307" xr:uid="{00000000-0005-0000-0000-0000C40A0000}"/>
    <cellStyle name="20% - Accent2 4 2 4 4 3" xfId="12308" xr:uid="{00000000-0005-0000-0000-0000C50A0000}"/>
    <cellStyle name="20% - Accent2 4 2 4 4 3 2" xfId="12309" xr:uid="{00000000-0005-0000-0000-0000C60A0000}"/>
    <cellStyle name="20% - Accent2 4 2 4 4 3 3" xfId="12310" xr:uid="{00000000-0005-0000-0000-0000C70A0000}"/>
    <cellStyle name="20% - Accent2 4 2 4 4 4" xfId="12311" xr:uid="{00000000-0005-0000-0000-0000C80A0000}"/>
    <cellStyle name="20% - Accent2 4 2 4 4 4 2" xfId="12312" xr:uid="{00000000-0005-0000-0000-0000C90A0000}"/>
    <cellStyle name="20% - Accent2 4 2 4 4 5" xfId="12313" xr:uid="{00000000-0005-0000-0000-0000CA0A0000}"/>
    <cellStyle name="20% - Accent2 4 2 4 4 6" xfId="12314" xr:uid="{00000000-0005-0000-0000-0000CB0A0000}"/>
    <cellStyle name="20% - Accent2 4 2 4 5" xfId="12315" xr:uid="{00000000-0005-0000-0000-0000CC0A0000}"/>
    <cellStyle name="20% - Accent2 4 2 4 5 2" xfId="12316" xr:uid="{00000000-0005-0000-0000-0000CD0A0000}"/>
    <cellStyle name="20% - Accent2 4 2 4 5 2 2" xfId="12317" xr:uid="{00000000-0005-0000-0000-0000CE0A0000}"/>
    <cellStyle name="20% - Accent2 4 2 4 5 2 3" xfId="12318" xr:uid="{00000000-0005-0000-0000-0000CF0A0000}"/>
    <cellStyle name="20% - Accent2 4 2 4 5 3" xfId="12319" xr:uid="{00000000-0005-0000-0000-0000D00A0000}"/>
    <cellStyle name="20% - Accent2 4 2 4 5 3 2" xfId="12320" xr:uid="{00000000-0005-0000-0000-0000D10A0000}"/>
    <cellStyle name="20% - Accent2 4 2 4 5 4" xfId="12321" xr:uid="{00000000-0005-0000-0000-0000D20A0000}"/>
    <cellStyle name="20% - Accent2 4 2 4 5 5" xfId="12322" xr:uid="{00000000-0005-0000-0000-0000D30A0000}"/>
    <cellStyle name="20% - Accent2 4 2 4 6" xfId="12323" xr:uid="{00000000-0005-0000-0000-0000D40A0000}"/>
    <cellStyle name="20% - Accent2 4 2 4 6 2" xfId="12324" xr:uid="{00000000-0005-0000-0000-0000D50A0000}"/>
    <cellStyle name="20% - Accent2 4 2 4 6 3" xfId="12325" xr:uid="{00000000-0005-0000-0000-0000D60A0000}"/>
    <cellStyle name="20% - Accent2 4 2 4 7" xfId="12326" xr:uid="{00000000-0005-0000-0000-0000D70A0000}"/>
    <cellStyle name="20% - Accent2 4 2 4 7 2" xfId="12327" xr:uid="{00000000-0005-0000-0000-0000D80A0000}"/>
    <cellStyle name="20% - Accent2 4 2 4 7 3" xfId="12328" xr:uid="{00000000-0005-0000-0000-0000D90A0000}"/>
    <cellStyle name="20% - Accent2 4 2 4 8" xfId="12329" xr:uid="{00000000-0005-0000-0000-0000DA0A0000}"/>
    <cellStyle name="20% - Accent2 4 2 4 8 2" xfId="12330" xr:uid="{00000000-0005-0000-0000-0000DB0A0000}"/>
    <cellStyle name="20% - Accent2 4 2 4 9" xfId="12331" xr:uid="{00000000-0005-0000-0000-0000DC0A0000}"/>
    <cellStyle name="20% - Accent2 4 2 5" xfId="382" xr:uid="{00000000-0005-0000-0000-0000DD0A0000}"/>
    <cellStyle name="20% - Accent2 4 2 5 2" xfId="12332" xr:uid="{00000000-0005-0000-0000-0000DE0A0000}"/>
    <cellStyle name="20% - Accent2 4 2 5 2 2" xfId="12333" xr:uid="{00000000-0005-0000-0000-0000DF0A0000}"/>
    <cellStyle name="20% - Accent2 4 2 5 2 2 2" xfId="12334" xr:uid="{00000000-0005-0000-0000-0000E00A0000}"/>
    <cellStyle name="20% - Accent2 4 2 5 2 2 3" xfId="12335" xr:uid="{00000000-0005-0000-0000-0000E10A0000}"/>
    <cellStyle name="20% - Accent2 4 2 5 2 3" xfId="12336" xr:uid="{00000000-0005-0000-0000-0000E20A0000}"/>
    <cellStyle name="20% - Accent2 4 2 5 2 3 2" xfId="12337" xr:uid="{00000000-0005-0000-0000-0000E30A0000}"/>
    <cellStyle name="20% - Accent2 4 2 5 2 3 3" xfId="12338" xr:uid="{00000000-0005-0000-0000-0000E40A0000}"/>
    <cellStyle name="20% - Accent2 4 2 5 2 4" xfId="12339" xr:uid="{00000000-0005-0000-0000-0000E50A0000}"/>
    <cellStyle name="20% - Accent2 4 2 5 2 4 2" xfId="12340" xr:uid="{00000000-0005-0000-0000-0000E60A0000}"/>
    <cellStyle name="20% - Accent2 4 2 5 2 5" xfId="12341" xr:uid="{00000000-0005-0000-0000-0000E70A0000}"/>
    <cellStyle name="20% - Accent2 4 2 5 2 6" xfId="12342" xr:uid="{00000000-0005-0000-0000-0000E80A0000}"/>
    <cellStyle name="20% - Accent2 4 2 5 3" xfId="12343" xr:uid="{00000000-0005-0000-0000-0000E90A0000}"/>
    <cellStyle name="20% - Accent2 4 2 5 3 2" xfId="12344" xr:uid="{00000000-0005-0000-0000-0000EA0A0000}"/>
    <cellStyle name="20% - Accent2 4 2 5 3 2 2" xfId="12345" xr:uid="{00000000-0005-0000-0000-0000EB0A0000}"/>
    <cellStyle name="20% - Accent2 4 2 5 3 2 3" xfId="12346" xr:uid="{00000000-0005-0000-0000-0000EC0A0000}"/>
    <cellStyle name="20% - Accent2 4 2 5 3 3" xfId="12347" xr:uid="{00000000-0005-0000-0000-0000ED0A0000}"/>
    <cellStyle name="20% - Accent2 4 2 5 3 3 2" xfId="12348" xr:uid="{00000000-0005-0000-0000-0000EE0A0000}"/>
    <cellStyle name="20% - Accent2 4 2 5 3 3 3" xfId="12349" xr:uid="{00000000-0005-0000-0000-0000EF0A0000}"/>
    <cellStyle name="20% - Accent2 4 2 5 3 4" xfId="12350" xr:uid="{00000000-0005-0000-0000-0000F00A0000}"/>
    <cellStyle name="20% - Accent2 4 2 5 3 4 2" xfId="12351" xr:uid="{00000000-0005-0000-0000-0000F10A0000}"/>
    <cellStyle name="20% - Accent2 4 2 5 3 5" xfId="12352" xr:uid="{00000000-0005-0000-0000-0000F20A0000}"/>
    <cellStyle name="20% - Accent2 4 2 5 3 6" xfId="12353" xr:uid="{00000000-0005-0000-0000-0000F30A0000}"/>
    <cellStyle name="20% - Accent2 4 2 5 4" xfId="12354" xr:uid="{00000000-0005-0000-0000-0000F40A0000}"/>
    <cellStyle name="20% - Accent2 4 2 5 4 2" xfId="12355" xr:uid="{00000000-0005-0000-0000-0000F50A0000}"/>
    <cellStyle name="20% - Accent2 4 2 5 4 2 2" xfId="12356" xr:uid="{00000000-0005-0000-0000-0000F60A0000}"/>
    <cellStyle name="20% - Accent2 4 2 5 4 2 3" xfId="12357" xr:uid="{00000000-0005-0000-0000-0000F70A0000}"/>
    <cellStyle name="20% - Accent2 4 2 5 4 3" xfId="12358" xr:uid="{00000000-0005-0000-0000-0000F80A0000}"/>
    <cellStyle name="20% - Accent2 4 2 5 4 3 2" xfId="12359" xr:uid="{00000000-0005-0000-0000-0000F90A0000}"/>
    <cellStyle name="20% - Accent2 4 2 5 4 4" xfId="12360" xr:uid="{00000000-0005-0000-0000-0000FA0A0000}"/>
    <cellStyle name="20% - Accent2 4 2 5 4 5" xfId="12361" xr:uid="{00000000-0005-0000-0000-0000FB0A0000}"/>
    <cellStyle name="20% - Accent2 4 2 5 5" xfId="12362" xr:uid="{00000000-0005-0000-0000-0000FC0A0000}"/>
    <cellStyle name="20% - Accent2 4 2 5 5 2" xfId="12363" xr:uid="{00000000-0005-0000-0000-0000FD0A0000}"/>
    <cellStyle name="20% - Accent2 4 2 5 5 3" xfId="12364" xr:uid="{00000000-0005-0000-0000-0000FE0A0000}"/>
    <cellStyle name="20% - Accent2 4 2 5 6" xfId="12365" xr:uid="{00000000-0005-0000-0000-0000FF0A0000}"/>
    <cellStyle name="20% - Accent2 4 2 5 6 2" xfId="12366" xr:uid="{00000000-0005-0000-0000-0000000B0000}"/>
    <cellStyle name="20% - Accent2 4 2 5 6 3" xfId="12367" xr:uid="{00000000-0005-0000-0000-0000010B0000}"/>
    <cellStyle name="20% - Accent2 4 2 5 7" xfId="12368" xr:uid="{00000000-0005-0000-0000-0000020B0000}"/>
    <cellStyle name="20% - Accent2 4 2 5 7 2" xfId="12369" xr:uid="{00000000-0005-0000-0000-0000030B0000}"/>
    <cellStyle name="20% - Accent2 4 2 5 8" xfId="12370" xr:uid="{00000000-0005-0000-0000-0000040B0000}"/>
    <cellStyle name="20% - Accent2 4 2 5 9" xfId="12371" xr:uid="{00000000-0005-0000-0000-0000050B0000}"/>
    <cellStyle name="20% - Accent2 4 2 6" xfId="12372" xr:uid="{00000000-0005-0000-0000-0000060B0000}"/>
    <cellStyle name="20% - Accent2 4 2 6 2" xfId="12373" xr:uid="{00000000-0005-0000-0000-0000070B0000}"/>
    <cellStyle name="20% - Accent2 4 2 6 2 2" xfId="12374" xr:uid="{00000000-0005-0000-0000-0000080B0000}"/>
    <cellStyle name="20% - Accent2 4 2 6 2 2 2" xfId="12375" xr:uid="{00000000-0005-0000-0000-0000090B0000}"/>
    <cellStyle name="20% - Accent2 4 2 6 2 2 3" xfId="12376" xr:uid="{00000000-0005-0000-0000-00000A0B0000}"/>
    <cellStyle name="20% - Accent2 4 2 6 2 3" xfId="12377" xr:uid="{00000000-0005-0000-0000-00000B0B0000}"/>
    <cellStyle name="20% - Accent2 4 2 6 2 3 2" xfId="12378" xr:uid="{00000000-0005-0000-0000-00000C0B0000}"/>
    <cellStyle name="20% - Accent2 4 2 6 2 3 3" xfId="12379" xr:uid="{00000000-0005-0000-0000-00000D0B0000}"/>
    <cellStyle name="20% - Accent2 4 2 6 2 4" xfId="12380" xr:uid="{00000000-0005-0000-0000-00000E0B0000}"/>
    <cellStyle name="20% - Accent2 4 2 6 2 4 2" xfId="12381" xr:uid="{00000000-0005-0000-0000-00000F0B0000}"/>
    <cellStyle name="20% - Accent2 4 2 6 2 5" xfId="12382" xr:uid="{00000000-0005-0000-0000-0000100B0000}"/>
    <cellStyle name="20% - Accent2 4 2 6 2 6" xfId="12383" xr:uid="{00000000-0005-0000-0000-0000110B0000}"/>
    <cellStyle name="20% - Accent2 4 2 6 3" xfId="12384" xr:uid="{00000000-0005-0000-0000-0000120B0000}"/>
    <cellStyle name="20% - Accent2 4 2 6 3 2" xfId="12385" xr:uid="{00000000-0005-0000-0000-0000130B0000}"/>
    <cellStyle name="20% - Accent2 4 2 6 3 2 2" xfId="12386" xr:uid="{00000000-0005-0000-0000-0000140B0000}"/>
    <cellStyle name="20% - Accent2 4 2 6 3 2 3" xfId="12387" xr:uid="{00000000-0005-0000-0000-0000150B0000}"/>
    <cellStyle name="20% - Accent2 4 2 6 3 3" xfId="12388" xr:uid="{00000000-0005-0000-0000-0000160B0000}"/>
    <cellStyle name="20% - Accent2 4 2 6 3 3 2" xfId="12389" xr:uid="{00000000-0005-0000-0000-0000170B0000}"/>
    <cellStyle name="20% - Accent2 4 2 6 3 3 3" xfId="12390" xr:uid="{00000000-0005-0000-0000-0000180B0000}"/>
    <cellStyle name="20% - Accent2 4 2 6 3 4" xfId="12391" xr:uid="{00000000-0005-0000-0000-0000190B0000}"/>
    <cellStyle name="20% - Accent2 4 2 6 3 4 2" xfId="12392" xr:uid="{00000000-0005-0000-0000-00001A0B0000}"/>
    <cellStyle name="20% - Accent2 4 2 6 3 5" xfId="12393" xr:uid="{00000000-0005-0000-0000-00001B0B0000}"/>
    <cellStyle name="20% - Accent2 4 2 6 3 6" xfId="12394" xr:uid="{00000000-0005-0000-0000-00001C0B0000}"/>
    <cellStyle name="20% - Accent2 4 2 6 4" xfId="12395" xr:uid="{00000000-0005-0000-0000-00001D0B0000}"/>
    <cellStyle name="20% - Accent2 4 2 6 4 2" xfId="12396" xr:uid="{00000000-0005-0000-0000-00001E0B0000}"/>
    <cellStyle name="20% - Accent2 4 2 6 4 2 2" xfId="12397" xr:uid="{00000000-0005-0000-0000-00001F0B0000}"/>
    <cellStyle name="20% - Accent2 4 2 6 4 2 3" xfId="12398" xr:uid="{00000000-0005-0000-0000-0000200B0000}"/>
    <cellStyle name="20% - Accent2 4 2 6 4 3" xfId="12399" xr:uid="{00000000-0005-0000-0000-0000210B0000}"/>
    <cellStyle name="20% - Accent2 4 2 6 4 3 2" xfId="12400" xr:uid="{00000000-0005-0000-0000-0000220B0000}"/>
    <cellStyle name="20% - Accent2 4 2 6 4 4" xfId="12401" xr:uid="{00000000-0005-0000-0000-0000230B0000}"/>
    <cellStyle name="20% - Accent2 4 2 6 4 5" xfId="12402" xr:uid="{00000000-0005-0000-0000-0000240B0000}"/>
    <cellStyle name="20% - Accent2 4 2 6 5" xfId="12403" xr:uid="{00000000-0005-0000-0000-0000250B0000}"/>
    <cellStyle name="20% - Accent2 4 2 6 5 2" xfId="12404" xr:uid="{00000000-0005-0000-0000-0000260B0000}"/>
    <cellStyle name="20% - Accent2 4 2 6 5 3" xfId="12405" xr:uid="{00000000-0005-0000-0000-0000270B0000}"/>
    <cellStyle name="20% - Accent2 4 2 6 6" xfId="12406" xr:uid="{00000000-0005-0000-0000-0000280B0000}"/>
    <cellStyle name="20% - Accent2 4 2 6 6 2" xfId="12407" xr:uid="{00000000-0005-0000-0000-0000290B0000}"/>
    <cellStyle name="20% - Accent2 4 2 6 6 3" xfId="12408" xr:uid="{00000000-0005-0000-0000-00002A0B0000}"/>
    <cellStyle name="20% - Accent2 4 2 6 7" xfId="12409" xr:uid="{00000000-0005-0000-0000-00002B0B0000}"/>
    <cellStyle name="20% - Accent2 4 2 6 7 2" xfId="12410" xr:uid="{00000000-0005-0000-0000-00002C0B0000}"/>
    <cellStyle name="20% - Accent2 4 2 6 8" xfId="12411" xr:uid="{00000000-0005-0000-0000-00002D0B0000}"/>
    <cellStyle name="20% - Accent2 4 2 6 9" xfId="12412" xr:uid="{00000000-0005-0000-0000-00002E0B0000}"/>
    <cellStyle name="20% - Accent2 4 2 7" xfId="12413" xr:uid="{00000000-0005-0000-0000-00002F0B0000}"/>
    <cellStyle name="20% - Accent2 4 2 7 2" xfId="12414" xr:uid="{00000000-0005-0000-0000-0000300B0000}"/>
    <cellStyle name="20% - Accent2 4 2 7 2 2" xfId="12415" xr:uid="{00000000-0005-0000-0000-0000310B0000}"/>
    <cellStyle name="20% - Accent2 4 2 7 2 3" xfId="12416" xr:uid="{00000000-0005-0000-0000-0000320B0000}"/>
    <cellStyle name="20% - Accent2 4 2 7 3" xfId="12417" xr:uid="{00000000-0005-0000-0000-0000330B0000}"/>
    <cellStyle name="20% - Accent2 4 2 7 3 2" xfId="12418" xr:uid="{00000000-0005-0000-0000-0000340B0000}"/>
    <cellStyle name="20% - Accent2 4 2 7 3 3" xfId="12419" xr:uid="{00000000-0005-0000-0000-0000350B0000}"/>
    <cellStyle name="20% - Accent2 4 2 7 4" xfId="12420" xr:uid="{00000000-0005-0000-0000-0000360B0000}"/>
    <cellStyle name="20% - Accent2 4 2 7 4 2" xfId="12421" xr:uid="{00000000-0005-0000-0000-0000370B0000}"/>
    <cellStyle name="20% - Accent2 4 2 7 5" xfId="12422" xr:uid="{00000000-0005-0000-0000-0000380B0000}"/>
    <cellStyle name="20% - Accent2 4 2 7 6" xfId="12423" xr:uid="{00000000-0005-0000-0000-0000390B0000}"/>
    <cellStyle name="20% - Accent2 4 2 8" xfId="12424" xr:uid="{00000000-0005-0000-0000-00003A0B0000}"/>
    <cellStyle name="20% - Accent2 4 2 8 2" xfId="12425" xr:uid="{00000000-0005-0000-0000-00003B0B0000}"/>
    <cellStyle name="20% - Accent2 4 2 8 2 2" xfId="12426" xr:uid="{00000000-0005-0000-0000-00003C0B0000}"/>
    <cellStyle name="20% - Accent2 4 2 8 2 3" xfId="12427" xr:uid="{00000000-0005-0000-0000-00003D0B0000}"/>
    <cellStyle name="20% - Accent2 4 2 8 3" xfId="12428" xr:uid="{00000000-0005-0000-0000-00003E0B0000}"/>
    <cellStyle name="20% - Accent2 4 2 8 3 2" xfId="12429" xr:uid="{00000000-0005-0000-0000-00003F0B0000}"/>
    <cellStyle name="20% - Accent2 4 2 8 3 3" xfId="12430" xr:uid="{00000000-0005-0000-0000-0000400B0000}"/>
    <cellStyle name="20% - Accent2 4 2 8 4" xfId="12431" xr:uid="{00000000-0005-0000-0000-0000410B0000}"/>
    <cellStyle name="20% - Accent2 4 2 8 4 2" xfId="12432" xr:uid="{00000000-0005-0000-0000-0000420B0000}"/>
    <cellStyle name="20% - Accent2 4 2 8 5" xfId="12433" xr:uid="{00000000-0005-0000-0000-0000430B0000}"/>
    <cellStyle name="20% - Accent2 4 2 8 6" xfId="12434" xr:uid="{00000000-0005-0000-0000-0000440B0000}"/>
    <cellStyle name="20% - Accent2 4 2 9" xfId="12435" xr:uid="{00000000-0005-0000-0000-0000450B0000}"/>
    <cellStyle name="20% - Accent2 4 2 9 2" xfId="12436" xr:uid="{00000000-0005-0000-0000-0000460B0000}"/>
    <cellStyle name="20% - Accent2 4 2 9 2 2" xfId="12437" xr:uid="{00000000-0005-0000-0000-0000470B0000}"/>
    <cellStyle name="20% - Accent2 4 2 9 2 3" xfId="12438" xr:uid="{00000000-0005-0000-0000-0000480B0000}"/>
    <cellStyle name="20% - Accent2 4 2 9 3" xfId="12439" xr:uid="{00000000-0005-0000-0000-0000490B0000}"/>
    <cellStyle name="20% - Accent2 4 2 9 3 2" xfId="12440" xr:uid="{00000000-0005-0000-0000-00004A0B0000}"/>
    <cellStyle name="20% - Accent2 4 2 9 4" xfId="12441" xr:uid="{00000000-0005-0000-0000-00004B0B0000}"/>
    <cellStyle name="20% - Accent2 4 2 9 5" xfId="12442" xr:uid="{00000000-0005-0000-0000-00004C0B0000}"/>
    <cellStyle name="20% - Accent2 4 3" xfId="383" xr:uid="{00000000-0005-0000-0000-00004D0B0000}"/>
    <cellStyle name="20% - Accent2 4 3 10" xfId="12443" xr:uid="{00000000-0005-0000-0000-00004E0B0000}"/>
    <cellStyle name="20% - Accent2 4 3 10 2" xfId="12444" xr:uid="{00000000-0005-0000-0000-00004F0B0000}"/>
    <cellStyle name="20% - Accent2 4 3 10 3" xfId="12445" xr:uid="{00000000-0005-0000-0000-0000500B0000}"/>
    <cellStyle name="20% - Accent2 4 3 11" xfId="12446" xr:uid="{00000000-0005-0000-0000-0000510B0000}"/>
    <cellStyle name="20% - Accent2 4 3 11 2" xfId="12447" xr:uid="{00000000-0005-0000-0000-0000520B0000}"/>
    <cellStyle name="20% - Accent2 4 3 12" xfId="12448" xr:uid="{00000000-0005-0000-0000-0000530B0000}"/>
    <cellStyle name="20% - Accent2 4 3 13" xfId="12449" xr:uid="{00000000-0005-0000-0000-0000540B0000}"/>
    <cellStyle name="20% - Accent2 4 3 14" xfId="12450" xr:uid="{00000000-0005-0000-0000-0000550B0000}"/>
    <cellStyle name="20% - Accent2 4 3 2" xfId="384" xr:uid="{00000000-0005-0000-0000-0000560B0000}"/>
    <cellStyle name="20% - Accent2 4 3 2 10" xfId="12451" xr:uid="{00000000-0005-0000-0000-0000570B0000}"/>
    <cellStyle name="20% - Accent2 4 3 2 10 2" xfId="12452" xr:uid="{00000000-0005-0000-0000-0000580B0000}"/>
    <cellStyle name="20% - Accent2 4 3 2 11" xfId="12453" xr:uid="{00000000-0005-0000-0000-0000590B0000}"/>
    <cellStyle name="20% - Accent2 4 3 2 12" xfId="12454" xr:uid="{00000000-0005-0000-0000-00005A0B0000}"/>
    <cellStyle name="20% - Accent2 4 3 2 2" xfId="385" xr:uid="{00000000-0005-0000-0000-00005B0B0000}"/>
    <cellStyle name="20% - Accent2 4 3 2 2 10" xfId="12455" xr:uid="{00000000-0005-0000-0000-00005C0B0000}"/>
    <cellStyle name="20% - Accent2 4 3 2 2 2" xfId="386" xr:uid="{00000000-0005-0000-0000-00005D0B0000}"/>
    <cellStyle name="20% - Accent2 4 3 2 2 2 2" xfId="12456" xr:uid="{00000000-0005-0000-0000-00005E0B0000}"/>
    <cellStyle name="20% - Accent2 4 3 2 2 2 2 2" xfId="12457" xr:uid="{00000000-0005-0000-0000-00005F0B0000}"/>
    <cellStyle name="20% - Accent2 4 3 2 2 2 2 2 2" xfId="12458" xr:uid="{00000000-0005-0000-0000-0000600B0000}"/>
    <cellStyle name="20% - Accent2 4 3 2 2 2 2 2 3" xfId="12459" xr:uid="{00000000-0005-0000-0000-0000610B0000}"/>
    <cellStyle name="20% - Accent2 4 3 2 2 2 2 3" xfId="12460" xr:uid="{00000000-0005-0000-0000-0000620B0000}"/>
    <cellStyle name="20% - Accent2 4 3 2 2 2 2 3 2" xfId="12461" xr:uid="{00000000-0005-0000-0000-0000630B0000}"/>
    <cellStyle name="20% - Accent2 4 3 2 2 2 2 3 3" xfId="12462" xr:uid="{00000000-0005-0000-0000-0000640B0000}"/>
    <cellStyle name="20% - Accent2 4 3 2 2 2 2 4" xfId="12463" xr:uid="{00000000-0005-0000-0000-0000650B0000}"/>
    <cellStyle name="20% - Accent2 4 3 2 2 2 2 4 2" xfId="12464" xr:uid="{00000000-0005-0000-0000-0000660B0000}"/>
    <cellStyle name="20% - Accent2 4 3 2 2 2 2 5" xfId="12465" xr:uid="{00000000-0005-0000-0000-0000670B0000}"/>
    <cellStyle name="20% - Accent2 4 3 2 2 2 2 6" xfId="12466" xr:uid="{00000000-0005-0000-0000-0000680B0000}"/>
    <cellStyle name="20% - Accent2 4 3 2 2 2 3" xfId="12467" xr:uid="{00000000-0005-0000-0000-0000690B0000}"/>
    <cellStyle name="20% - Accent2 4 3 2 2 2 3 2" xfId="12468" xr:uid="{00000000-0005-0000-0000-00006A0B0000}"/>
    <cellStyle name="20% - Accent2 4 3 2 2 2 3 2 2" xfId="12469" xr:uid="{00000000-0005-0000-0000-00006B0B0000}"/>
    <cellStyle name="20% - Accent2 4 3 2 2 2 3 2 3" xfId="12470" xr:uid="{00000000-0005-0000-0000-00006C0B0000}"/>
    <cellStyle name="20% - Accent2 4 3 2 2 2 3 3" xfId="12471" xr:uid="{00000000-0005-0000-0000-00006D0B0000}"/>
    <cellStyle name="20% - Accent2 4 3 2 2 2 3 3 2" xfId="12472" xr:uid="{00000000-0005-0000-0000-00006E0B0000}"/>
    <cellStyle name="20% - Accent2 4 3 2 2 2 3 3 3" xfId="12473" xr:uid="{00000000-0005-0000-0000-00006F0B0000}"/>
    <cellStyle name="20% - Accent2 4 3 2 2 2 3 4" xfId="12474" xr:uid="{00000000-0005-0000-0000-0000700B0000}"/>
    <cellStyle name="20% - Accent2 4 3 2 2 2 3 4 2" xfId="12475" xr:uid="{00000000-0005-0000-0000-0000710B0000}"/>
    <cellStyle name="20% - Accent2 4 3 2 2 2 3 5" xfId="12476" xr:uid="{00000000-0005-0000-0000-0000720B0000}"/>
    <cellStyle name="20% - Accent2 4 3 2 2 2 3 6" xfId="12477" xr:uid="{00000000-0005-0000-0000-0000730B0000}"/>
    <cellStyle name="20% - Accent2 4 3 2 2 2 4" xfId="12478" xr:uid="{00000000-0005-0000-0000-0000740B0000}"/>
    <cellStyle name="20% - Accent2 4 3 2 2 2 4 2" xfId="12479" xr:uid="{00000000-0005-0000-0000-0000750B0000}"/>
    <cellStyle name="20% - Accent2 4 3 2 2 2 4 2 2" xfId="12480" xr:uid="{00000000-0005-0000-0000-0000760B0000}"/>
    <cellStyle name="20% - Accent2 4 3 2 2 2 4 2 3" xfId="12481" xr:uid="{00000000-0005-0000-0000-0000770B0000}"/>
    <cellStyle name="20% - Accent2 4 3 2 2 2 4 3" xfId="12482" xr:uid="{00000000-0005-0000-0000-0000780B0000}"/>
    <cellStyle name="20% - Accent2 4 3 2 2 2 4 3 2" xfId="12483" xr:uid="{00000000-0005-0000-0000-0000790B0000}"/>
    <cellStyle name="20% - Accent2 4 3 2 2 2 4 4" xfId="12484" xr:uid="{00000000-0005-0000-0000-00007A0B0000}"/>
    <cellStyle name="20% - Accent2 4 3 2 2 2 4 5" xfId="12485" xr:uid="{00000000-0005-0000-0000-00007B0B0000}"/>
    <cellStyle name="20% - Accent2 4 3 2 2 2 5" xfId="12486" xr:uid="{00000000-0005-0000-0000-00007C0B0000}"/>
    <cellStyle name="20% - Accent2 4 3 2 2 2 5 2" xfId="12487" xr:uid="{00000000-0005-0000-0000-00007D0B0000}"/>
    <cellStyle name="20% - Accent2 4 3 2 2 2 5 3" xfId="12488" xr:uid="{00000000-0005-0000-0000-00007E0B0000}"/>
    <cellStyle name="20% - Accent2 4 3 2 2 2 6" xfId="12489" xr:uid="{00000000-0005-0000-0000-00007F0B0000}"/>
    <cellStyle name="20% - Accent2 4 3 2 2 2 6 2" xfId="12490" xr:uid="{00000000-0005-0000-0000-0000800B0000}"/>
    <cellStyle name="20% - Accent2 4 3 2 2 2 6 3" xfId="12491" xr:uid="{00000000-0005-0000-0000-0000810B0000}"/>
    <cellStyle name="20% - Accent2 4 3 2 2 2 7" xfId="12492" xr:uid="{00000000-0005-0000-0000-0000820B0000}"/>
    <cellStyle name="20% - Accent2 4 3 2 2 2 7 2" xfId="12493" xr:uid="{00000000-0005-0000-0000-0000830B0000}"/>
    <cellStyle name="20% - Accent2 4 3 2 2 2 8" xfId="12494" xr:uid="{00000000-0005-0000-0000-0000840B0000}"/>
    <cellStyle name="20% - Accent2 4 3 2 2 2 9" xfId="12495" xr:uid="{00000000-0005-0000-0000-0000850B0000}"/>
    <cellStyle name="20% - Accent2 4 3 2 2 3" xfId="12496" xr:uid="{00000000-0005-0000-0000-0000860B0000}"/>
    <cellStyle name="20% - Accent2 4 3 2 2 3 2" xfId="12497" xr:uid="{00000000-0005-0000-0000-0000870B0000}"/>
    <cellStyle name="20% - Accent2 4 3 2 2 3 2 2" xfId="12498" xr:uid="{00000000-0005-0000-0000-0000880B0000}"/>
    <cellStyle name="20% - Accent2 4 3 2 2 3 2 3" xfId="12499" xr:uid="{00000000-0005-0000-0000-0000890B0000}"/>
    <cellStyle name="20% - Accent2 4 3 2 2 3 3" xfId="12500" xr:uid="{00000000-0005-0000-0000-00008A0B0000}"/>
    <cellStyle name="20% - Accent2 4 3 2 2 3 3 2" xfId="12501" xr:uid="{00000000-0005-0000-0000-00008B0B0000}"/>
    <cellStyle name="20% - Accent2 4 3 2 2 3 3 3" xfId="12502" xr:uid="{00000000-0005-0000-0000-00008C0B0000}"/>
    <cellStyle name="20% - Accent2 4 3 2 2 3 4" xfId="12503" xr:uid="{00000000-0005-0000-0000-00008D0B0000}"/>
    <cellStyle name="20% - Accent2 4 3 2 2 3 4 2" xfId="12504" xr:uid="{00000000-0005-0000-0000-00008E0B0000}"/>
    <cellStyle name="20% - Accent2 4 3 2 2 3 5" xfId="12505" xr:uid="{00000000-0005-0000-0000-00008F0B0000}"/>
    <cellStyle name="20% - Accent2 4 3 2 2 3 6" xfId="12506" xr:uid="{00000000-0005-0000-0000-0000900B0000}"/>
    <cellStyle name="20% - Accent2 4 3 2 2 4" xfId="12507" xr:uid="{00000000-0005-0000-0000-0000910B0000}"/>
    <cellStyle name="20% - Accent2 4 3 2 2 4 2" xfId="12508" xr:uid="{00000000-0005-0000-0000-0000920B0000}"/>
    <cellStyle name="20% - Accent2 4 3 2 2 4 2 2" xfId="12509" xr:uid="{00000000-0005-0000-0000-0000930B0000}"/>
    <cellStyle name="20% - Accent2 4 3 2 2 4 2 3" xfId="12510" xr:uid="{00000000-0005-0000-0000-0000940B0000}"/>
    <cellStyle name="20% - Accent2 4 3 2 2 4 3" xfId="12511" xr:uid="{00000000-0005-0000-0000-0000950B0000}"/>
    <cellStyle name="20% - Accent2 4 3 2 2 4 3 2" xfId="12512" xr:uid="{00000000-0005-0000-0000-0000960B0000}"/>
    <cellStyle name="20% - Accent2 4 3 2 2 4 3 3" xfId="12513" xr:uid="{00000000-0005-0000-0000-0000970B0000}"/>
    <cellStyle name="20% - Accent2 4 3 2 2 4 4" xfId="12514" xr:uid="{00000000-0005-0000-0000-0000980B0000}"/>
    <cellStyle name="20% - Accent2 4 3 2 2 4 4 2" xfId="12515" xr:uid="{00000000-0005-0000-0000-0000990B0000}"/>
    <cellStyle name="20% - Accent2 4 3 2 2 4 5" xfId="12516" xr:uid="{00000000-0005-0000-0000-00009A0B0000}"/>
    <cellStyle name="20% - Accent2 4 3 2 2 4 6" xfId="12517" xr:uid="{00000000-0005-0000-0000-00009B0B0000}"/>
    <cellStyle name="20% - Accent2 4 3 2 2 5" xfId="12518" xr:uid="{00000000-0005-0000-0000-00009C0B0000}"/>
    <cellStyle name="20% - Accent2 4 3 2 2 5 2" xfId="12519" xr:uid="{00000000-0005-0000-0000-00009D0B0000}"/>
    <cellStyle name="20% - Accent2 4 3 2 2 5 2 2" xfId="12520" xr:uid="{00000000-0005-0000-0000-00009E0B0000}"/>
    <cellStyle name="20% - Accent2 4 3 2 2 5 2 3" xfId="12521" xr:uid="{00000000-0005-0000-0000-00009F0B0000}"/>
    <cellStyle name="20% - Accent2 4 3 2 2 5 3" xfId="12522" xr:uid="{00000000-0005-0000-0000-0000A00B0000}"/>
    <cellStyle name="20% - Accent2 4 3 2 2 5 3 2" xfId="12523" xr:uid="{00000000-0005-0000-0000-0000A10B0000}"/>
    <cellStyle name="20% - Accent2 4 3 2 2 5 4" xfId="12524" xr:uid="{00000000-0005-0000-0000-0000A20B0000}"/>
    <cellStyle name="20% - Accent2 4 3 2 2 5 5" xfId="12525" xr:uid="{00000000-0005-0000-0000-0000A30B0000}"/>
    <cellStyle name="20% - Accent2 4 3 2 2 6" xfId="12526" xr:uid="{00000000-0005-0000-0000-0000A40B0000}"/>
    <cellStyle name="20% - Accent2 4 3 2 2 6 2" xfId="12527" xr:uid="{00000000-0005-0000-0000-0000A50B0000}"/>
    <cellStyle name="20% - Accent2 4 3 2 2 6 3" xfId="12528" xr:uid="{00000000-0005-0000-0000-0000A60B0000}"/>
    <cellStyle name="20% - Accent2 4 3 2 2 7" xfId="12529" xr:uid="{00000000-0005-0000-0000-0000A70B0000}"/>
    <cellStyle name="20% - Accent2 4 3 2 2 7 2" xfId="12530" xr:uid="{00000000-0005-0000-0000-0000A80B0000}"/>
    <cellStyle name="20% - Accent2 4 3 2 2 7 3" xfId="12531" xr:uid="{00000000-0005-0000-0000-0000A90B0000}"/>
    <cellStyle name="20% - Accent2 4 3 2 2 8" xfId="12532" xr:uid="{00000000-0005-0000-0000-0000AA0B0000}"/>
    <cellStyle name="20% - Accent2 4 3 2 2 8 2" xfId="12533" xr:uid="{00000000-0005-0000-0000-0000AB0B0000}"/>
    <cellStyle name="20% - Accent2 4 3 2 2 9" xfId="12534" xr:uid="{00000000-0005-0000-0000-0000AC0B0000}"/>
    <cellStyle name="20% - Accent2 4 3 2 3" xfId="387" xr:uid="{00000000-0005-0000-0000-0000AD0B0000}"/>
    <cellStyle name="20% - Accent2 4 3 2 3 2" xfId="12535" xr:uid="{00000000-0005-0000-0000-0000AE0B0000}"/>
    <cellStyle name="20% - Accent2 4 3 2 3 2 2" xfId="12536" xr:uid="{00000000-0005-0000-0000-0000AF0B0000}"/>
    <cellStyle name="20% - Accent2 4 3 2 3 2 2 2" xfId="12537" xr:uid="{00000000-0005-0000-0000-0000B00B0000}"/>
    <cellStyle name="20% - Accent2 4 3 2 3 2 2 3" xfId="12538" xr:uid="{00000000-0005-0000-0000-0000B10B0000}"/>
    <cellStyle name="20% - Accent2 4 3 2 3 2 3" xfId="12539" xr:uid="{00000000-0005-0000-0000-0000B20B0000}"/>
    <cellStyle name="20% - Accent2 4 3 2 3 2 3 2" xfId="12540" xr:uid="{00000000-0005-0000-0000-0000B30B0000}"/>
    <cellStyle name="20% - Accent2 4 3 2 3 2 3 3" xfId="12541" xr:uid="{00000000-0005-0000-0000-0000B40B0000}"/>
    <cellStyle name="20% - Accent2 4 3 2 3 2 4" xfId="12542" xr:uid="{00000000-0005-0000-0000-0000B50B0000}"/>
    <cellStyle name="20% - Accent2 4 3 2 3 2 4 2" xfId="12543" xr:uid="{00000000-0005-0000-0000-0000B60B0000}"/>
    <cellStyle name="20% - Accent2 4 3 2 3 2 5" xfId="12544" xr:uid="{00000000-0005-0000-0000-0000B70B0000}"/>
    <cellStyle name="20% - Accent2 4 3 2 3 2 6" xfId="12545" xr:uid="{00000000-0005-0000-0000-0000B80B0000}"/>
    <cellStyle name="20% - Accent2 4 3 2 3 3" xfId="12546" xr:uid="{00000000-0005-0000-0000-0000B90B0000}"/>
    <cellStyle name="20% - Accent2 4 3 2 3 3 2" xfId="12547" xr:uid="{00000000-0005-0000-0000-0000BA0B0000}"/>
    <cellStyle name="20% - Accent2 4 3 2 3 3 2 2" xfId="12548" xr:uid="{00000000-0005-0000-0000-0000BB0B0000}"/>
    <cellStyle name="20% - Accent2 4 3 2 3 3 2 3" xfId="12549" xr:uid="{00000000-0005-0000-0000-0000BC0B0000}"/>
    <cellStyle name="20% - Accent2 4 3 2 3 3 3" xfId="12550" xr:uid="{00000000-0005-0000-0000-0000BD0B0000}"/>
    <cellStyle name="20% - Accent2 4 3 2 3 3 3 2" xfId="12551" xr:uid="{00000000-0005-0000-0000-0000BE0B0000}"/>
    <cellStyle name="20% - Accent2 4 3 2 3 3 3 3" xfId="12552" xr:uid="{00000000-0005-0000-0000-0000BF0B0000}"/>
    <cellStyle name="20% - Accent2 4 3 2 3 3 4" xfId="12553" xr:uid="{00000000-0005-0000-0000-0000C00B0000}"/>
    <cellStyle name="20% - Accent2 4 3 2 3 3 4 2" xfId="12554" xr:uid="{00000000-0005-0000-0000-0000C10B0000}"/>
    <cellStyle name="20% - Accent2 4 3 2 3 3 5" xfId="12555" xr:uid="{00000000-0005-0000-0000-0000C20B0000}"/>
    <cellStyle name="20% - Accent2 4 3 2 3 3 6" xfId="12556" xr:uid="{00000000-0005-0000-0000-0000C30B0000}"/>
    <cellStyle name="20% - Accent2 4 3 2 3 4" xfId="12557" xr:uid="{00000000-0005-0000-0000-0000C40B0000}"/>
    <cellStyle name="20% - Accent2 4 3 2 3 4 2" xfId="12558" xr:uid="{00000000-0005-0000-0000-0000C50B0000}"/>
    <cellStyle name="20% - Accent2 4 3 2 3 4 2 2" xfId="12559" xr:uid="{00000000-0005-0000-0000-0000C60B0000}"/>
    <cellStyle name="20% - Accent2 4 3 2 3 4 2 3" xfId="12560" xr:uid="{00000000-0005-0000-0000-0000C70B0000}"/>
    <cellStyle name="20% - Accent2 4 3 2 3 4 3" xfId="12561" xr:uid="{00000000-0005-0000-0000-0000C80B0000}"/>
    <cellStyle name="20% - Accent2 4 3 2 3 4 3 2" xfId="12562" xr:uid="{00000000-0005-0000-0000-0000C90B0000}"/>
    <cellStyle name="20% - Accent2 4 3 2 3 4 4" xfId="12563" xr:uid="{00000000-0005-0000-0000-0000CA0B0000}"/>
    <cellStyle name="20% - Accent2 4 3 2 3 4 5" xfId="12564" xr:uid="{00000000-0005-0000-0000-0000CB0B0000}"/>
    <cellStyle name="20% - Accent2 4 3 2 3 5" xfId="12565" xr:uid="{00000000-0005-0000-0000-0000CC0B0000}"/>
    <cellStyle name="20% - Accent2 4 3 2 3 5 2" xfId="12566" xr:uid="{00000000-0005-0000-0000-0000CD0B0000}"/>
    <cellStyle name="20% - Accent2 4 3 2 3 5 3" xfId="12567" xr:uid="{00000000-0005-0000-0000-0000CE0B0000}"/>
    <cellStyle name="20% - Accent2 4 3 2 3 6" xfId="12568" xr:uid="{00000000-0005-0000-0000-0000CF0B0000}"/>
    <cellStyle name="20% - Accent2 4 3 2 3 6 2" xfId="12569" xr:uid="{00000000-0005-0000-0000-0000D00B0000}"/>
    <cellStyle name="20% - Accent2 4 3 2 3 6 3" xfId="12570" xr:uid="{00000000-0005-0000-0000-0000D10B0000}"/>
    <cellStyle name="20% - Accent2 4 3 2 3 7" xfId="12571" xr:uid="{00000000-0005-0000-0000-0000D20B0000}"/>
    <cellStyle name="20% - Accent2 4 3 2 3 7 2" xfId="12572" xr:uid="{00000000-0005-0000-0000-0000D30B0000}"/>
    <cellStyle name="20% - Accent2 4 3 2 3 8" xfId="12573" xr:uid="{00000000-0005-0000-0000-0000D40B0000}"/>
    <cellStyle name="20% - Accent2 4 3 2 3 9" xfId="12574" xr:uid="{00000000-0005-0000-0000-0000D50B0000}"/>
    <cellStyle name="20% - Accent2 4 3 2 4" xfId="12575" xr:uid="{00000000-0005-0000-0000-0000D60B0000}"/>
    <cellStyle name="20% - Accent2 4 3 2 4 2" xfId="12576" xr:uid="{00000000-0005-0000-0000-0000D70B0000}"/>
    <cellStyle name="20% - Accent2 4 3 2 4 2 2" xfId="12577" xr:uid="{00000000-0005-0000-0000-0000D80B0000}"/>
    <cellStyle name="20% - Accent2 4 3 2 4 2 2 2" xfId="12578" xr:uid="{00000000-0005-0000-0000-0000D90B0000}"/>
    <cellStyle name="20% - Accent2 4 3 2 4 2 2 3" xfId="12579" xr:uid="{00000000-0005-0000-0000-0000DA0B0000}"/>
    <cellStyle name="20% - Accent2 4 3 2 4 2 3" xfId="12580" xr:uid="{00000000-0005-0000-0000-0000DB0B0000}"/>
    <cellStyle name="20% - Accent2 4 3 2 4 2 3 2" xfId="12581" xr:uid="{00000000-0005-0000-0000-0000DC0B0000}"/>
    <cellStyle name="20% - Accent2 4 3 2 4 2 3 3" xfId="12582" xr:uid="{00000000-0005-0000-0000-0000DD0B0000}"/>
    <cellStyle name="20% - Accent2 4 3 2 4 2 4" xfId="12583" xr:uid="{00000000-0005-0000-0000-0000DE0B0000}"/>
    <cellStyle name="20% - Accent2 4 3 2 4 2 4 2" xfId="12584" xr:uid="{00000000-0005-0000-0000-0000DF0B0000}"/>
    <cellStyle name="20% - Accent2 4 3 2 4 2 5" xfId="12585" xr:uid="{00000000-0005-0000-0000-0000E00B0000}"/>
    <cellStyle name="20% - Accent2 4 3 2 4 2 6" xfId="12586" xr:uid="{00000000-0005-0000-0000-0000E10B0000}"/>
    <cellStyle name="20% - Accent2 4 3 2 4 3" xfId="12587" xr:uid="{00000000-0005-0000-0000-0000E20B0000}"/>
    <cellStyle name="20% - Accent2 4 3 2 4 3 2" xfId="12588" xr:uid="{00000000-0005-0000-0000-0000E30B0000}"/>
    <cellStyle name="20% - Accent2 4 3 2 4 3 2 2" xfId="12589" xr:uid="{00000000-0005-0000-0000-0000E40B0000}"/>
    <cellStyle name="20% - Accent2 4 3 2 4 3 2 3" xfId="12590" xr:uid="{00000000-0005-0000-0000-0000E50B0000}"/>
    <cellStyle name="20% - Accent2 4 3 2 4 3 3" xfId="12591" xr:uid="{00000000-0005-0000-0000-0000E60B0000}"/>
    <cellStyle name="20% - Accent2 4 3 2 4 3 3 2" xfId="12592" xr:uid="{00000000-0005-0000-0000-0000E70B0000}"/>
    <cellStyle name="20% - Accent2 4 3 2 4 3 3 3" xfId="12593" xr:uid="{00000000-0005-0000-0000-0000E80B0000}"/>
    <cellStyle name="20% - Accent2 4 3 2 4 3 4" xfId="12594" xr:uid="{00000000-0005-0000-0000-0000E90B0000}"/>
    <cellStyle name="20% - Accent2 4 3 2 4 3 4 2" xfId="12595" xr:uid="{00000000-0005-0000-0000-0000EA0B0000}"/>
    <cellStyle name="20% - Accent2 4 3 2 4 3 5" xfId="12596" xr:uid="{00000000-0005-0000-0000-0000EB0B0000}"/>
    <cellStyle name="20% - Accent2 4 3 2 4 3 6" xfId="12597" xr:uid="{00000000-0005-0000-0000-0000EC0B0000}"/>
    <cellStyle name="20% - Accent2 4 3 2 4 4" xfId="12598" xr:uid="{00000000-0005-0000-0000-0000ED0B0000}"/>
    <cellStyle name="20% - Accent2 4 3 2 4 4 2" xfId="12599" xr:uid="{00000000-0005-0000-0000-0000EE0B0000}"/>
    <cellStyle name="20% - Accent2 4 3 2 4 4 2 2" xfId="12600" xr:uid="{00000000-0005-0000-0000-0000EF0B0000}"/>
    <cellStyle name="20% - Accent2 4 3 2 4 4 2 3" xfId="12601" xr:uid="{00000000-0005-0000-0000-0000F00B0000}"/>
    <cellStyle name="20% - Accent2 4 3 2 4 4 3" xfId="12602" xr:uid="{00000000-0005-0000-0000-0000F10B0000}"/>
    <cellStyle name="20% - Accent2 4 3 2 4 4 3 2" xfId="12603" xr:uid="{00000000-0005-0000-0000-0000F20B0000}"/>
    <cellStyle name="20% - Accent2 4 3 2 4 4 4" xfId="12604" xr:uid="{00000000-0005-0000-0000-0000F30B0000}"/>
    <cellStyle name="20% - Accent2 4 3 2 4 4 5" xfId="12605" xr:uid="{00000000-0005-0000-0000-0000F40B0000}"/>
    <cellStyle name="20% - Accent2 4 3 2 4 5" xfId="12606" xr:uid="{00000000-0005-0000-0000-0000F50B0000}"/>
    <cellStyle name="20% - Accent2 4 3 2 4 5 2" xfId="12607" xr:uid="{00000000-0005-0000-0000-0000F60B0000}"/>
    <cellStyle name="20% - Accent2 4 3 2 4 5 3" xfId="12608" xr:uid="{00000000-0005-0000-0000-0000F70B0000}"/>
    <cellStyle name="20% - Accent2 4 3 2 4 6" xfId="12609" xr:uid="{00000000-0005-0000-0000-0000F80B0000}"/>
    <cellStyle name="20% - Accent2 4 3 2 4 6 2" xfId="12610" xr:uid="{00000000-0005-0000-0000-0000F90B0000}"/>
    <cellStyle name="20% - Accent2 4 3 2 4 6 3" xfId="12611" xr:uid="{00000000-0005-0000-0000-0000FA0B0000}"/>
    <cellStyle name="20% - Accent2 4 3 2 4 7" xfId="12612" xr:uid="{00000000-0005-0000-0000-0000FB0B0000}"/>
    <cellStyle name="20% - Accent2 4 3 2 4 7 2" xfId="12613" xr:uid="{00000000-0005-0000-0000-0000FC0B0000}"/>
    <cellStyle name="20% - Accent2 4 3 2 4 8" xfId="12614" xr:uid="{00000000-0005-0000-0000-0000FD0B0000}"/>
    <cellStyle name="20% - Accent2 4 3 2 4 9" xfId="12615" xr:uid="{00000000-0005-0000-0000-0000FE0B0000}"/>
    <cellStyle name="20% - Accent2 4 3 2 5" xfId="12616" xr:uid="{00000000-0005-0000-0000-0000FF0B0000}"/>
    <cellStyle name="20% - Accent2 4 3 2 5 2" xfId="12617" xr:uid="{00000000-0005-0000-0000-0000000C0000}"/>
    <cellStyle name="20% - Accent2 4 3 2 5 2 2" xfId="12618" xr:uid="{00000000-0005-0000-0000-0000010C0000}"/>
    <cellStyle name="20% - Accent2 4 3 2 5 2 3" xfId="12619" xr:uid="{00000000-0005-0000-0000-0000020C0000}"/>
    <cellStyle name="20% - Accent2 4 3 2 5 3" xfId="12620" xr:uid="{00000000-0005-0000-0000-0000030C0000}"/>
    <cellStyle name="20% - Accent2 4 3 2 5 3 2" xfId="12621" xr:uid="{00000000-0005-0000-0000-0000040C0000}"/>
    <cellStyle name="20% - Accent2 4 3 2 5 3 3" xfId="12622" xr:uid="{00000000-0005-0000-0000-0000050C0000}"/>
    <cellStyle name="20% - Accent2 4 3 2 5 4" xfId="12623" xr:uid="{00000000-0005-0000-0000-0000060C0000}"/>
    <cellStyle name="20% - Accent2 4 3 2 5 4 2" xfId="12624" xr:uid="{00000000-0005-0000-0000-0000070C0000}"/>
    <cellStyle name="20% - Accent2 4 3 2 5 5" xfId="12625" xr:uid="{00000000-0005-0000-0000-0000080C0000}"/>
    <cellStyle name="20% - Accent2 4 3 2 5 6" xfId="12626" xr:uid="{00000000-0005-0000-0000-0000090C0000}"/>
    <cellStyle name="20% - Accent2 4 3 2 6" xfId="12627" xr:uid="{00000000-0005-0000-0000-00000A0C0000}"/>
    <cellStyle name="20% - Accent2 4 3 2 6 2" xfId="12628" xr:uid="{00000000-0005-0000-0000-00000B0C0000}"/>
    <cellStyle name="20% - Accent2 4 3 2 6 2 2" xfId="12629" xr:uid="{00000000-0005-0000-0000-00000C0C0000}"/>
    <cellStyle name="20% - Accent2 4 3 2 6 2 3" xfId="12630" xr:uid="{00000000-0005-0000-0000-00000D0C0000}"/>
    <cellStyle name="20% - Accent2 4 3 2 6 3" xfId="12631" xr:uid="{00000000-0005-0000-0000-00000E0C0000}"/>
    <cellStyle name="20% - Accent2 4 3 2 6 3 2" xfId="12632" xr:uid="{00000000-0005-0000-0000-00000F0C0000}"/>
    <cellStyle name="20% - Accent2 4 3 2 6 3 3" xfId="12633" xr:uid="{00000000-0005-0000-0000-0000100C0000}"/>
    <cellStyle name="20% - Accent2 4 3 2 6 4" xfId="12634" xr:uid="{00000000-0005-0000-0000-0000110C0000}"/>
    <cellStyle name="20% - Accent2 4 3 2 6 4 2" xfId="12635" xr:uid="{00000000-0005-0000-0000-0000120C0000}"/>
    <cellStyle name="20% - Accent2 4 3 2 6 5" xfId="12636" xr:uid="{00000000-0005-0000-0000-0000130C0000}"/>
    <cellStyle name="20% - Accent2 4 3 2 6 6" xfId="12637" xr:uid="{00000000-0005-0000-0000-0000140C0000}"/>
    <cellStyle name="20% - Accent2 4 3 2 7" xfId="12638" xr:uid="{00000000-0005-0000-0000-0000150C0000}"/>
    <cellStyle name="20% - Accent2 4 3 2 7 2" xfId="12639" xr:uid="{00000000-0005-0000-0000-0000160C0000}"/>
    <cellStyle name="20% - Accent2 4 3 2 7 2 2" xfId="12640" xr:uid="{00000000-0005-0000-0000-0000170C0000}"/>
    <cellStyle name="20% - Accent2 4 3 2 7 2 3" xfId="12641" xr:uid="{00000000-0005-0000-0000-0000180C0000}"/>
    <cellStyle name="20% - Accent2 4 3 2 7 3" xfId="12642" xr:uid="{00000000-0005-0000-0000-0000190C0000}"/>
    <cellStyle name="20% - Accent2 4 3 2 7 3 2" xfId="12643" xr:uid="{00000000-0005-0000-0000-00001A0C0000}"/>
    <cellStyle name="20% - Accent2 4 3 2 7 4" xfId="12644" xr:uid="{00000000-0005-0000-0000-00001B0C0000}"/>
    <cellStyle name="20% - Accent2 4 3 2 7 5" xfId="12645" xr:uid="{00000000-0005-0000-0000-00001C0C0000}"/>
    <cellStyle name="20% - Accent2 4 3 2 8" xfId="12646" xr:uid="{00000000-0005-0000-0000-00001D0C0000}"/>
    <cellStyle name="20% - Accent2 4 3 2 8 2" xfId="12647" xr:uid="{00000000-0005-0000-0000-00001E0C0000}"/>
    <cellStyle name="20% - Accent2 4 3 2 8 3" xfId="12648" xr:uid="{00000000-0005-0000-0000-00001F0C0000}"/>
    <cellStyle name="20% - Accent2 4 3 2 9" xfId="12649" xr:uid="{00000000-0005-0000-0000-0000200C0000}"/>
    <cellStyle name="20% - Accent2 4 3 2 9 2" xfId="12650" xr:uid="{00000000-0005-0000-0000-0000210C0000}"/>
    <cellStyle name="20% - Accent2 4 3 2 9 3" xfId="12651" xr:uid="{00000000-0005-0000-0000-0000220C0000}"/>
    <cellStyle name="20% - Accent2 4 3 3" xfId="388" xr:uid="{00000000-0005-0000-0000-0000230C0000}"/>
    <cellStyle name="20% - Accent2 4 3 3 10" xfId="12652" xr:uid="{00000000-0005-0000-0000-0000240C0000}"/>
    <cellStyle name="20% - Accent2 4 3 3 2" xfId="389" xr:uid="{00000000-0005-0000-0000-0000250C0000}"/>
    <cellStyle name="20% - Accent2 4 3 3 2 2" xfId="12653" xr:uid="{00000000-0005-0000-0000-0000260C0000}"/>
    <cellStyle name="20% - Accent2 4 3 3 2 2 2" xfId="12654" xr:uid="{00000000-0005-0000-0000-0000270C0000}"/>
    <cellStyle name="20% - Accent2 4 3 3 2 2 2 2" xfId="12655" xr:uid="{00000000-0005-0000-0000-0000280C0000}"/>
    <cellStyle name="20% - Accent2 4 3 3 2 2 2 3" xfId="12656" xr:uid="{00000000-0005-0000-0000-0000290C0000}"/>
    <cellStyle name="20% - Accent2 4 3 3 2 2 3" xfId="12657" xr:uid="{00000000-0005-0000-0000-00002A0C0000}"/>
    <cellStyle name="20% - Accent2 4 3 3 2 2 3 2" xfId="12658" xr:uid="{00000000-0005-0000-0000-00002B0C0000}"/>
    <cellStyle name="20% - Accent2 4 3 3 2 2 3 3" xfId="12659" xr:uid="{00000000-0005-0000-0000-00002C0C0000}"/>
    <cellStyle name="20% - Accent2 4 3 3 2 2 4" xfId="12660" xr:uid="{00000000-0005-0000-0000-00002D0C0000}"/>
    <cellStyle name="20% - Accent2 4 3 3 2 2 4 2" xfId="12661" xr:uid="{00000000-0005-0000-0000-00002E0C0000}"/>
    <cellStyle name="20% - Accent2 4 3 3 2 2 5" xfId="12662" xr:uid="{00000000-0005-0000-0000-00002F0C0000}"/>
    <cellStyle name="20% - Accent2 4 3 3 2 2 6" xfId="12663" xr:uid="{00000000-0005-0000-0000-0000300C0000}"/>
    <cellStyle name="20% - Accent2 4 3 3 2 3" xfId="12664" xr:uid="{00000000-0005-0000-0000-0000310C0000}"/>
    <cellStyle name="20% - Accent2 4 3 3 2 3 2" xfId="12665" xr:uid="{00000000-0005-0000-0000-0000320C0000}"/>
    <cellStyle name="20% - Accent2 4 3 3 2 3 2 2" xfId="12666" xr:uid="{00000000-0005-0000-0000-0000330C0000}"/>
    <cellStyle name="20% - Accent2 4 3 3 2 3 2 3" xfId="12667" xr:uid="{00000000-0005-0000-0000-0000340C0000}"/>
    <cellStyle name="20% - Accent2 4 3 3 2 3 3" xfId="12668" xr:uid="{00000000-0005-0000-0000-0000350C0000}"/>
    <cellStyle name="20% - Accent2 4 3 3 2 3 3 2" xfId="12669" xr:uid="{00000000-0005-0000-0000-0000360C0000}"/>
    <cellStyle name="20% - Accent2 4 3 3 2 3 3 3" xfId="12670" xr:uid="{00000000-0005-0000-0000-0000370C0000}"/>
    <cellStyle name="20% - Accent2 4 3 3 2 3 4" xfId="12671" xr:uid="{00000000-0005-0000-0000-0000380C0000}"/>
    <cellStyle name="20% - Accent2 4 3 3 2 3 4 2" xfId="12672" xr:uid="{00000000-0005-0000-0000-0000390C0000}"/>
    <cellStyle name="20% - Accent2 4 3 3 2 3 5" xfId="12673" xr:uid="{00000000-0005-0000-0000-00003A0C0000}"/>
    <cellStyle name="20% - Accent2 4 3 3 2 3 6" xfId="12674" xr:uid="{00000000-0005-0000-0000-00003B0C0000}"/>
    <cellStyle name="20% - Accent2 4 3 3 2 4" xfId="12675" xr:uid="{00000000-0005-0000-0000-00003C0C0000}"/>
    <cellStyle name="20% - Accent2 4 3 3 2 4 2" xfId="12676" xr:uid="{00000000-0005-0000-0000-00003D0C0000}"/>
    <cellStyle name="20% - Accent2 4 3 3 2 4 2 2" xfId="12677" xr:uid="{00000000-0005-0000-0000-00003E0C0000}"/>
    <cellStyle name="20% - Accent2 4 3 3 2 4 2 3" xfId="12678" xr:uid="{00000000-0005-0000-0000-00003F0C0000}"/>
    <cellStyle name="20% - Accent2 4 3 3 2 4 3" xfId="12679" xr:uid="{00000000-0005-0000-0000-0000400C0000}"/>
    <cellStyle name="20% - Accent2 4 3 3 2 4 3 2" xfId="12680" xr:uid="{00000000-0005-0000-0000-0000410C0000}"/>
    <cellStyle name="20% - Accent2 4 3 3 2 4 4" xfId="12681" xr:uid="{00000000-0005-0000-0000-0000420C0000}"/>
    <cellStyle name="20% - Accent2 4 3 3 2 4 5" xfId="12682" xr:uid="{00000000-0005-0000-0000-0000430C0000}"/>
    <cellStyle name="20% - Accent2 4 3 3 2 5" xfId="12683" xr:uid="{00000000-0005-0000-0000-0000440C0000}"/>
    <cellStyle name="20% - Accent2 4 3 3 2 5 2" xfId="12684" xr:uid="{00000000-0005-0000-0000-0000450C0000}"/>
    <cellStyle name="20% - Accent2 4 3 3 2 5 3" xfId="12685" xr:uid="{00000000-0005-0000-0000-0000460C0000}"/>
    <cellStyle name="20% - Accent2 4 3 3 2 6" xfId="12686" xr:uid="{00000000-0005-0000-0000-0000470C0000}"/>
    <cellStyle name="20% - Accent2 4 3 3 2 6 2" xfId="12687" xr:uid="{00000000-0005-0000-0000-0000480C0000}"/>
    <cellStyle name="20% - Accent2 4 3 3 2 6 3" xfId="12688" xr:uid="{00000000-0005-0000-0000-0000490C0000}"/>
    <cellStyle name="20% - Accent2 4 3 3 2 7" xfId="12689" xr:uid="{00000000-0005-0000-0000-00004A0C0000}"/>
    <cellStyle name="20% - Accent2 4 3 3 2 7 2" xfId="12690" xr:uid="{00000000-0005-0000-0000-00004B0C0000}"/>
    <cellStyle name="20% - Accent2 4 3 3 2 8" xfId="12691" xr:uid="{00000000-0005-0000-0000-00004C0C0000}"/>
    <cellStyle name="20% - Accent2 4 3 3 2 9" xfId="12692" xr:uid="{00000000-0005-0000-0000-00004D0C0000}"/>
    <cellStyle name="20% - Accent2 4 3 3 3" xfId="12693" xr:uid="{00000000-0005-0000-0000-00004E0C0000}"/>
    <cellStyle name="20% - Accent2 4 3 3 3 2" xfId="12694" xr:uid="{00000000-0005-0000-0000-00004F0C0000}"/>
    <cellStyle name="20% - Accent2 4 3 3 3 2 2" xfId="12695" xr:uid="{00000000-0005-0000-0000-0000500C0000}"/>
    <cellStyle name="20% - Accent2 4 3 3 3 2 3" xfId="12696" xr:uid="{00000000-0005-0000-0000-0000510C0000}"/>
    <cellStyle name="20% - Accent2 4 3 3 3 3" xfId="12697" xr:uid="{00000000-0005-0000-0000-0000520C0000}"/>
    <cellStyle name="20% - Accent2 4 3 3 3 3 2" xfId="12698" xr:uid="{00000000-0005-0000-0000-0000530C0000}"/>
    <cellStyle name="20% - Accent2 4 3 3 3 3 3" xfId="12699" xr:uid="{00000000-0005-0000-0000-0000540C0000}"/>
    <cellStyle name="20% - Accent2 4 3 3 3 4" xfId="12700" xr:uid="{00000000-0005-0000-0000-0000550C0000}"/>
    <cellStyle name="20% - Accent2 4 3 3 3 4 2" xfId="12701" xr:uid="{00000000-0005-0000-0000-0000560C0000}"/>
    <cellStyle name="20% - Accent2 4 3 3 3 5" xfId="12702" xr:uid="{00000000-0005-0000-0000-0000570C0000}"/>
    <cellStyle name="20% - Accent2 4 3 3 3 6" xfId="12703" xr:uid="{00000000-0005-0000-0000-0000580C0000}"/>
    <cellStyle name="20% - Accent2 4 3 3 4" xfId="12704" xr:uid="{00000000-0005-0000-0000-0000590C0000}"/>
    <cellStyle name="20% - Accent2 4 3 3 4 2" xfId="12705" xr:uid="{00000000-0005-0000-0000-00005A0C0000}"/>
    <cellStyle name="20% - Accent2 4 3 3 4 2 2" xfId="12706" xr:uid="{00000000-0005-0000-0000-00005B0C0000}"/>
    <cellStyle name="20% - Accent2 4 3 3 4 2 3" xfId="12707" xr:uid="{00000000-0005-0000-0000-00005C0C0000}"/>
    <cellStyle name="20% - Accent2 4 3 3 4 3" xfId="12708" xr:uid="{00000000-0005-0000-0000-00005D0C0000}"/>
    <cellStyle name="20% - Accent2 4 3 3 4 3 2" xfId="12709" xr:uid="{00000000-0005-0000-0000-00005E0C0000}"/>
    <cellStyle name="20% - Accent2 4 3 3 4 3 3" xfId="12710" xr:uid="{00000000-0005-0000-0000-00005F0C0000}"/>
    <cellStyle name="20% - Accent2 4 3 3 4 4" xfId="12711" xr:uid="{00000000-0005-0000-0000-0000600C0000}"/>
    <cellStyle name="20% - Accent2 4 3 3 4 4 2" xfId="12712" xr:uid="{00000000-0005-0000-0000-0000610C0000}"/>
    <cellStyle name="20% - Accent2 4 3 3 4 5" xfId="12713" xr:uid="{00000000-0005-0000-0000-0000620C0000}"/>
    <cellStyle name="20% - Accent2 4 3 3 4 6" xfId="12714" xr:uid="{00000000-0005-0000-0000-0000630C0000}"/>
    <cellStyle name="20% - Accent2 4 3 3 5" xfId="12715" xr:uid="{00000000-0005-0000-0000-0000640C0000}"/>
    <cellStyle name="20% - Accent2 4 3 3 5 2" xfId="12716" xr:uid="{00000000-0005-0000-0000-0000650C0000}"/>
    <cellStyle name="20% - Accent2 4 3 3 5 2 2" xfId="12717" xr:uid="{00000000-0005-0000-0000-0000660C0000}"/>
    <cellStyle name="20% - Accent2 4 3 3 5 2 3" xfId="12718" xr:uid="{00000000-0005-0000-0000-0000670C0000}"/>
    <cellStyle name="20% - Accent2 4 3 3 5 3" xfId="12719" xr:uid="{00000000-0005-0000-0000-0000680C0000}"/>
    <cellStyle name="20% - Accent2 4 3 3 5 3 2" xfId="12720" xr:uid="{00000000-0005-0000-0000-0000690C0000}"/>
    <cellStyle name="20% - Accent2 4 3 3 5 4" xfId="12721" xr:uid="{00000000-0005-0000-0000-00006A0C0000}"/>
    <cellStyle name="20% - Accent2 4 3 3 5 5" xfId="12722" xr:uid="{00000000-0005-0000-0000-00006B0C0000}"/>
    <cellStyle name="20% - Accent2 4 3 3 6" xfId="12723" xr:uid="{00000000-0005-0000-0000-00006C0C0000}"/>
    <cellStyle name="20% - Accent2 4 3 3 6 2" xfId="12724" xr:uid="{00000000-0005-0000-0000-00006D0C0000}"/>
    <cellStyle name="20% - Accent2 4 3 3 6 3" xfId="12725" xr:uid="{00000000-0005-0000-0000-00006E0C0000}"/>
    <cellStyle name="20% - Accent2 4 3 3 7" xfId="12726" xr:uid="{00000000-0005-0000-0000-00006F0C0000}"/>
    <cellStyle name="20% - Accent2 4 3 3 7 2" xfId="12727" xr:uid="{00000000-0005-0000-0000-0000700C0000}"/>
    <cellStyle name="20% - Accent2 4 3 3 7 3" xfId="12728" xr:uid="{00000000-0005-0000-0000-0000710C0000}"/>
    <cellStyle name="20% - Accent2 4 3 3 8" xfId="12729" xr:uid="{00000000-0005-0000-0000-0000720C0000}"/>
    <cellStyle name="20% - Accent2 4 3 3 8 2" xfId="12730" xr:uid="{00000000-0005-0000-0000-0000730C0000}"/>
    <cellStyle name="20% - Accent2 4 3 3 9" xfId="12731" xr:uid="{00000000-0005-0000-0000-0000740C0000}"/>
    <cellStyle name="20% - Accent2 4 3 4" xfId="390" xr:uid="{00000000-0005-0000-0000-0000750C0000}"/>
    <cellStyle name="20% - Accent2 4 3 4 2" xfId="12732" xr:uid="{00000000-0005-0000-0000-0000760C0000}"/>
    <cellStyle name="20% - Accent2 4 3 4 2 2" xfId="12733" xr:uid="{00000000-0005-0000-0000-0000770C0000}"/>
    <cellStyle name="20% - Accent2 4 3 4 2 2 2" xfId="12734" xr:uid="{00000000-0005-0000-0000-0000780C0000}"/>
    <cellStyle name="20% - Accent2 4 3 4 2 2 3" xfId="12735" xr:uid="{00000000-0005-0000-0000-0000790C0000}"/>
    <cellStyle name="20% - Accent2 4 3 4 2 3" xfId="12736" xr:uid="{00000000-0005-0000-0000-00007A0C0000}"/>
    <cellStyle name="20% - Accent2 4 3 4 2 3 2" xfId="12737" xr:uid="{00000000-0005-0000-0000-00007B0C0000}"/>
    <cellStyle name="20% - Accent2 4 3 4 2 3 3" xfId="12738" xr:uid="{00000000-0005-0000-0000-00007C0C0000}"/>
    <cellStyle name="20% - Accent2 4 3 4 2 4" xfId="12739" xr:uid="{00000000-0005-0000-0000-00007D0C0000}"/>
    <cellStyle name="20% - Accent2 4 3 4 2 4 2" xfId="12740" xr:uid="{00000000-0005-0000-0000-00007E0C0000}"/>
    <cellStyle name="20% - Accent2 4 3 4 2 5" xfId="12741" xr:uid="{00000000-0005-0000-0000-00007F0C0000}"/>
    <cellStyle name="20% - Accent2 4 3 4 2 6" xfId="12742" xr:uid="{00000000-0005-0000-0000-0000800C0000}"/>
    <cellStyle name="20% - Accent2 4 3 4 3" xfId="12743" xr:uid="{00000000-0005-0000-0000-0000810C0000}"/>
    <cellStyle name="20% - Accent2 4 3 4 3 2" xfId="12744" xr:uid="{00000000-0005-0000-0000-0000820C0000}"/>
    <cellStyle name="20% - Accent2 4 3 4 3 2 2" xfId="12745" xr:uid="{00000000-0005-0000-0000-0000830C0000}"/>
    <cellStyle name="20% - Accent2 4 3 4 3 2 3" xfId="12746" xr:uid="{00000000-0005-0000-0000-0000840C0000}"/>
    <cellStyle name="20% - Accent2 4 3 4 3 3" xfId="12747" xr:uid="{00000000-0005-0000-0000-0000850C0000}"/>
    <cellStyle name="20% - Accent2 4 3 4 3 3 2" xfId="12748" xr:uid="{00000000-0005-0000-0000-0000860C0000}"/>
    <cellStyle name="20% - Accent2 4 3 4 3 3 3" xfId="12749" xr:uid="{00000000-0005-0000-0000-0000870C0000}"/>
    <cellStyle name="20% - Accent2 4 3 4 3 4" xfId="12750" xr:uid="{00000000-0005-0000-0000-0000880C0000}"/>
    <cellStyle name="20% - Accent2 4 3 4 3 4 2" xfId="12751" xr:uid="{00000000-0005-0000-0000-0000890C0000}"/>
    <cellStyle name="20% - Accent2 4 3 4 3 5" xfId="12752" xr:uid="{00000000-0005-0000-0000-00008A0C0000}"/>
    <cellStyle name="20% - Accent2 4 3 4 3 6" xfId="12753" xr:uid="{00000000-0005-0000-0000-00008B0C0000}"/>
    <cellStyle name="20% - Accent2 4 3 4 4" xfId="12754" xr:uid="{00000000-0005-0000-0000-00008C0C0000}"/>
    <cellStyle name="20% - Accent2 4 3 4 4 2" xfId="12755" xr:uid="{00000000-0005-0000-0000-00008D0C0000}"/>
    <cellStyle name="20% - Accent2 4 3 4 4 2 2" xfId="12756" xr:uid="{00000000-0005-0000-0000-00008E0C0000}"/>
    <cellStyle name="20% - Accent2 4 3 4 4 2 3" xfId="12757" xr:uid="{00000000-0005-0000-0000-00008F0C0000}"/>
    <cellStyle name="20% - Accent2 4 3 4 4 3" xfId="12758" xr:uid="{00000000-0005-0000-0000-0000900C0000}"/>
    <cellStyle name="20% - Accent2 4 3 4 4 3 2" xfId="12759" xr:uid="{00000000-0005-0000-0000-0000910C0000}"/>
    <cellStyle name="20% - Accent2 4 3 4 4 4" xfId="12760" xr:uid="{00000000-0005-0000-0000-0000920C0000}"/>
    <cellStyle name="20% - Accent2 4 3 4 4 5" xfId="12761" xr:uid="{00000000-0005-0000-0000-0000930C0000}"/>
    <cellStyle name="20% - Accent2 4 3 4 5" xfId="12762" xr:uid="{00000000-0005-0000-0000-0000940C0000}"/>
    <cellStyle name="20% - Accent2 4 3 4 5 2" xfId="12763" xr:uid="{00000000-0005-0000-0000-0000950C0000}"/>
    <cellStyle name="20% - Accent2 4 3 4 5 3" xfId="12764" xr:uid="{00000000-0005-0000-0000-0000960C0000}"/>
    <cellStyle name="20% - Accent2 4 3 4 6" xfId="12765" xr:uid="{00000000-0005-0000-0000-0000970C0000}"/>
    <cellStyle name="20% - Accent2 4 3 4 6 2" xfId="12766" xr:uid="{00000000-0005-0000-0000-0000980C0000}"/>
    <cellStyle name="20% - Accent2 4 3 4 6 3" xfId="12767" xr:uid="{00000000-0005-0000-0000-0000990C0000}"/>
    <cellStyle name="20% - Accent2 4 3 4 7" xfId="12768" xr:uid="{00000000-0005-0000-0000-00009A0C0000}"/>
    <cellStyle name="20% - Accent2 4 3 4 7 2" xfId="12769" xr:uid="{00000000-0005-0000-0000-00009B0C0000}"/>
    <cellStyle name="20% - Accent2 4 3 4 8" xfId="12770" xr:uid="{00000000-0005-0000-0000-00009C0C0000}"/>
    <cellStyle name="20% - Accent2 4 3 4 9" xfId="12771" xr:uid="{00000000-0005-0000-0000-00009D0C0000}"/>
    <cellStyle name="20% - Accent2 4 3 5" xfId="12772" xr:uid="{00000000-0005-0000-0000-00009E0C0000}"/>
    <cellStyle name="20% - Accent2 4 3 5 2" xfId="12773" xr:uid="{00000000-0005-0000-0000-00009F0C0000}"/>
    <cellStyle name="20% - Accent2 4 3 5 2 2" xfId="12774" xr:uid="{00000000-0005-0000-0000-0000A00C0000}"/>
    <cellStyle name="20% - Accent2 4 3 5 2 2 2" xfId="12775" xr:uid="{00000000-0005-0000-0000-0000A10C0000}"/>
    <cellStyle name="20% - Accent2 4 3 5 2 2 3" xfId="12776" xr:uid="{00000000-0005-0000-0000-0000A20C0000}"/>
    <cellStyle name="20% - Accent2 4 3 5 2 3" xfId="12777" xr:uid="{00000000-0005-0000-0000-0000A30C0000}"/>
    <cellStyle name="20% - Accent2 4 3 5 2 3 2" xfId="12778" xr:uid="{00000000-0005-0000-0000-0000A40C0000}"/>
    <cellStyle name="20% - Accent2 4 3 5 2 3 3" xfId="12779" xr:uid="{00000000-0005-0000-0000-0000A50C0000}"/>
    <cellStyle name="20% - Accent2 4 3 5 2 4" xfId="12780" xr:uid="{00000000-0005-0000-0000-0000A60C0000}"/>
    <cellStyle name="20% - Accent2 4 3 5 2 4 2" xfId="12781" xr:uid="{00000000-0005-0000-0000-0000A70C0000}"/>
    <cellStyle name="20% - Accent2 4 3 5 2 5" xfId="12782" xr:uid="{00000000-0005-0000-0000-0000A80C0000}"/>
    <cellStyle name="20% - Accent2 4 3 5 2 6" xfId="12783" xr:uid="{00000000-0005-0000-0000-0000A90C0000}"/>
    <cellStyle name="20% - Accent2 4 3 5 3" xfId="12784" xr:uid="{00000000-0005-0000-0000-0000AA0C0000}"/>
    <cellStyle name="20% - Accent2 4 3 5 3 2" xfId="12785" xr:uid="{00000000-0005-0000-0000-0000AB0C0000}"/>
    <cellStyle name="20% - Accent2 4 3 5 3 2 2" xfId="12786" xr:uid="{00000000-0005-0000-0000-0000AC0C0000}"/>
    <cellStyle name="20% - Accent2 4 3 5 3 2 3" xfId="12787" xr:uid="{00000000-0005-0000-0000-0000AD0C0000}"/>
    <cellStyle name="20% - Accent2 4 3 5 3 3" xfId="12788" xr:uid="{00000000-0005-0000-0000-0000AE0C0000}"/>
    <cellStyle name="20% - Accent2 4 3 5 3 3 2" xfId="12789" xr:uid="{00000000-0005-0000-0000-0000AF0C0000}"/>
    <cellStyle name="20% - Accent2 4 3 5 3 3 3" xfId="12790" xr:uid="{00000000-0005-0000-0000-0000B00C0000}"/>
    <cellStyle name="20% - Accent2 4 3 5 3 4" xfId="12791" xr:uid="{00000000-0005-0000-0000-0000B10C0000}"/>
    <cellStyle name="20% - Accent2 4 3 5 3 4 2" xfId="12792" xr:uid="{00000000-0005-0000-0000-0000B20C0000}"/>
    <cellStyle name="20% - Accent2 4 3 5 3 5" xfId="12793" xr:uid="{00000000-0005-0000-0000-0000B30C0000}"/>
    <cellStyle name="20% - Accent2 4 3 5 3 6" xfId="12794" xr:uid="{00000000-0005-0000-0000-0000B40C0000}"/>
    <cellStyle name="20% - Accent2 4 3 5 4" xfId="12795" xr:uid="{00000000-0005-0000-0000-0000B50C0000}"/>
    <cellStyle name="20% - Accent2 4 3 5 4 2" xfId="12796" xr:uid="{00000000-0005-0000-0000-0000B60C0000}"/>
    <cellStyle name="20% - Accent2 4 3 5 4 2 2" xfId="12797" xr:uid="{00000000-0005-0000-0000-0000B70C0000}"/>
    <cellStyle name="20% - Accent2 4 3 5 4 2 3" xfId="12798" xr:uid="{00000000-0005-0000-0000-0000B80C0000}"/>
    <cellStyle name="20% - Accent2 4 3 5 4 3" xfId="12799" xr:uid="{00000000-0005-0000-0000-0000B90C0000}"/>
    <cellStyle name="20% - Accent2 4 3 5 4 3 2" xfId="12800" xr:uid="{00000000-0005-0000-0000-0000BA0C0000}"/>
    <cellStyle name="20% - Accent2 4 3 5 4 4" xfId="12801" xr:uid="{00000000-0005-0000-0000-0000BB0C0000}"/>
    <cellStyle name="20% - Accent2 4 3 5 4 5" xfId="12802" xr:uid="{00000000-0005-0000-0000-0000BC0C0000}"/>
    <cellStyle name="20% - Accent2 4 3 5 5" xfId="12803" xr:uid="{00000000-0005-0000-0000-0000BD0C0000}"/>
    <cellStyle name="20% - Accent2 4 3 5 5 2" xfId="12804" xr:uid="{00000000-0005-0000-0000-0000BE0C0000}"/>
    <cellStyle name="20% - Accent2 4 3 5 5 3" xfId="12805" xr:uid="{00000000-0005-0000-0000-0000BF0C0000}"/>
    <cellStyle name="20% - Accent2 4 3 5 6" xfId="12806" xr:uid="{00000000-0005-0000-0000-0000C00C0000}"/>
    <cellStyle name="20% - Accent2 4 3 5 6 2" xfId="12807" xr:uid="{00000000-0005-0000-0000-0000C10C0000}"/>
    <cellStyle name="20% - Accent2 4 3 5 6 3" xfId="12808" xr:uid="{00000000-0005-0000-0000-0000C20C0000}"/>
    <cellStyle name="20% - Accent2 4 3 5 7" xfId="12809" xr:uid="{00000000-0005-0000-0000-0000C30C0000}"/>
    <cellStyle name="20% - Accent2 4 3 5 7 2" xfId="12810" xr:uid="{00000000-0005-0000-0000-0000C40C0000}"/>
    <cellStyle name="20% - Accent2 4 3 5 8" xfId="12811" xr:uid="{00000000-0005-0000-0000-0000C50C0000}"/>
    <cellStyle name="20% - Accent2 4 3 5 9" xfId="12812" xr:uid="{00000000-0005-0000-0000-0000C60C0000}"/>
    <cellStyle name="20% - Accent2 4 3 6" xfId="12813" xr:uid="{00000000-0005-0000-0000-0000C70C0000}"/>
    <cellStyle name="20% - Accent2 4 3 6 2" xfId="12814" xr:uid="{00000000-0005-0000-0000-0000C80C0000}"/>
    <cellStyle name="20% - Accent2 4 3 6 2 2" xfId="12815" xr:uid="{00000000-0005-0000-0000-0000C90C0000}"/>
    <cellStyle name="20% - Accent2 4 3 6 2 3" xfId="12816" xr:uid="{00000000-0005-0000-0000-0000CA0C0000}"/>
    <cellStyle name="20% - Accent2 4 3 6 3" xfId="12817" xr:uid="{00000000-0005-0000-0000-0000CB0C0000}"/>
    <cellStyle name="20% - Accent2 4 3 6 3 2" xfId="12818" xr:uid="{00000000-0005-0000-0000-0000CC0C0000}"/>
    <cellStyle name="20% - Accent2 4 3 6 3 3" xfId="12819" xr:uid="{00000000-0005-0000-0000-0000CD0C0000}"/>
    <cellStyle name="20% - Accent2 4 3 6 4" xfId="12820" xr:uid="{00000000-0005-0000-0000-0000CE0C0000}"/>
    <cellStyle name="20% - Accent2 4 3 6 4 2" xfId="12821" xr:uid="{00000000-0005-0000-0000-0000CF0C0000}"/>
    <cellStyle name="20% - Accent2 4 3 6 5" xfId="12822" xr:uid="{00000000-0005-0000-0000-0000D00C0000}"/>
    <cellStyle name="20% - Accent2 4 3 6 6" xfId="12823" xr:uid="{00000000-0005-0000-0000-0000D10C0000}"/>
    <cellStyle name="20% - Accent2 4 3 7" xfId="12824" xr:uid="{00000000-0005-0000-0000-0000D20C0000}"/>
    <cellStyle name="20% - Accent2 4 3 7 2" xfId="12825" xr:uid="{00000000-0005-0000-0000-0000D30C0000}"/>
    <cellStyle name="20% - Accent2 4 3 7 2 2" xfId="12826" xr:uid="{00000000-0005-0000-0000-0000D40C0000}"/>
    <cellStyle name="20% - Accent2 4 3 7 2 3" xfId="12827" xr:uid="{00000000-0005-0000-0000-0000D50C0000}"/>
    <cellStyle name="20% - Accent2 4 3 7 3" xfId="12828" xr:uid="{00000000-0005-0000-0000-0000D60C0000}"/>
    <cellStyle name="20% - Accent2 4 3 7 3 2" xfId="12829" xr:uid="{00000000-0005-0000-0000-0000D70C0000}"/>
    <cellStyle name="20% - Accent2 4 3 7 3 3" xfId="12830" xr:uid="{00000000-0005-0000-0000-0000D80C0000}"/>
    <cellStyle name="20% - Accent2 4 3 7 4" xfId="12831" xr:uid="{00000000-0005-0000-0000-0000D90C0000}"/>
    <cellStyle name="20% - Accent2 4 3 7 4 2" xfId="12832" xr:uid="{00000000-0005-0000-0000-0000DA0C0000}"/>
    <cellStyle name="20% - Accent2 4 3 7 5" xfId="12833" xr:uid="{00000000-0005-0000-0000-0000DB0C0000}"/>
    <cellStyle name="20% - Accent2 4 3 7 6" xfId="12834" xr:uid="{00000000-0005-0000-0000-0000DC0C0000}"/>
    <cellStyle name="20% - Accent2 4 3 8" xfId="12835" xr:uid="{00000000-0005-0000-0000-0000DD0C0000}"/>
    <cellStyle name="20% - Accent2 4 3 8 2" xfId="12836" xr:uid="{00000000-0005-0000-0000-0000DE0C0000}"/>
    <cellStyle name="20% - Accent2 4 3 8 2 2" xfId="12837" xr:uid="{00000000-0005-0000-0000-0000DF0C0000}"/>
    <cellStyle name="20% - Accent2 4 3 8 2 3" xfId="12838" xr:uid="{00000000-0005-0000-0000-0000E00C0000}"/>
    <cellStyle name="20% - Accent2 4 3 8 3" xfId="12839" xr:uid="{00000000-0005-0000-0000-0000E10C0000}"/>
    <cellStyle name="20% - Accent2 4 3 8 3 2" xfId="12840" xr:uid="{00000000-0005-0000-0000-0000E20C0000}"/>
    <cellStyle name="20% - Accent2 4 3 8 4" xfId="12841" xr:uid="{00000000-0005-0000-0000-0000E30C0000}"/>
    <cellStyle name="20% - Accent2 4 3 8 5" xfId="12842" xr:uid="{00000000-0005-0000-0000-0000E40C0000}"/>
    <cellStyle name="20% - Accent2 4 3 9" xfId="12843" xr:uid="{00000000-0005-0000-0000-0000E50C0000}"/>
    <cellStyle name="20% - Accent2 4 3 9 2" xfId="12844" xr:uid="{00000000-0005-0000-0000-0000E60C0000}"/>
    <cellStyle name="20% - Accent2 4 3 9 3" xfId="12845" xr:uid="{00000000-0005-0000-0000-0000E70C0000}"/>
    <cellStyle name="20% - Accent2 4 4" xfId="391" xr:uid="{00000000-0005-0000-0000-0000E80C0000}"/>
    <cellStyle name="20% - Accent2 4 4 10" xfId="12846" xr:uid="{00000000-0005-0000-0000-0000E90C0000}"/>
    <cellStyle name="20% - Accent2 4 4 10 2" xfId="12847" xr:uid="{00000000-0005-0000-0000-0000EA0C0000}"/>
    <cellStyle name="20% - Accent2 4 4 11" xfId="12848" xr:uid="{00000000-0005-0000-0000-0000EB0C0000}"/>
    <cellStyle name="20% - Accent2 4 4 12" xfId="12849" xr:uid="{00000000-0005-0000-0000-0000EC0C0000}"/>
    <cellStyle name="20% - Accent2 4 4 2" xfId="392" xr:uid="{00000000-0005-0000-0000-0000ED0C0000}"/>
    <cellStyle name="20% - Accent2 4 4 2 10" xfId="12850" xr:uid="{00000000-0005-0000-0000-0000EE0C0000}"/>
    <cellStyle name="20% - Accent2 4 4 2 2" xfId="393" xr:uid="{00000000-0005-0000-0000-0000EF0C0000}"/>
    <cellStyle name="20% - Accent2 4 4 2 2 2" xfId="12851" xr:uid="{00000000-0005-0000-0000-0000F00C0000}"/>
    <cellStyle name="20% - Accent2 4 4 2 2 2 2" xfId="12852" xr:uid="{00000000-0005-0000-0000-0000F10C0000}"/>
    <cellStyle name="20% - Accent2 4 4 2 2 2 2 2" xfId="12853" xr:uid="{00000000-0005-0000-0000-0000F20C0000}"/>
    <cellStyle name="20% - Accent2 4 4 2 2 2 2 3" xfId="12854" xr:uid="{00000000-0005-0000-0000-0000F30C0000}"/>
    <cellStyle name="20% - Accent2 4 4 2 2 2 3" xfId="12855" xr:uid="{00000000-0005-0000-0000-0000F40C0000}"/>
    <cellStyle name="20% - Accent2 4 4 2 2 2 3 2" xfId="12856" xr:uid="{00000000-0005-0000-0000-0000F50C0000}"/>
    <cellStyle name="20% - Accent2 4 4 2 2 2 3 3" xfId="12857" xr:uid="{00000000-0005-0000-0000-0000F60C0000}"/>
    <cellStyle name="20% - Accent2 4 4 2 2 2 4" xfId="12858" xr:uid="{00000000-0005-0000-0000-0000F70C0000}"/>
    <cellStyle name="20% - Accent2 4 4 2 2 2 4 2" xfId="12859" xr:uid="{00000000-0005-0000-0000-0000F80C0000}"/>
    <cellStyle name="20% - Accent2 4 4 2 2 2 5" xfId="12860" xr:uid="{00000000-0005-0000-0000-0000F90C0000}"/>
    <cellStyle name="20% - Accent2 4 4 2 2 2 6" xfId="12861" xr:uid="{00000000-0005-0000-0000-0000FA0C0000}"/>
    <cellStyle name="20% - Accent2 4 4 2 2 3" xfId="12862" xr:uid="{00000000-0005-0000-0000-0000FB0C0000}"/>
    <cellStyle name="20% - Accent2 4 4 2 2 3 2" xfId="12863" xr:uid="{00000000-0005-0000-0000-0000FC0C0000}"/>
    <cellStyle name="20% - Accent2 4 4 2 2 3 2 2" xfId="12864" xr:uid="{00000000-0005-0000-0000-0000FD0C0000}"/>
    <cellStyle name="20% - Accent2 4 4 2 2 3 2 3" xfId="12865" xr:uid="{00000000-0005-0000-0000-0000FE0C0000}"/>
    <cellStyle name="20% - Accent2 4 4 2 2 3 3" xfId="12866" xr:uid="{00000000-0005-0000-0000-0000FF0C0000}"/>
    <cellStyle name="20% - Accent2 4 4 2 2 3 3 2" xfId="12867" xr:uid="{00000000-0005-0000-0000-0000000D0000}"/>
    <cellStyle name="20% - Accent2 4 4 2 2 3 3 3" xfId="12868" xr:uid="{00000000-0005-0000-0000-0000010D0000}"/>
    <cellStyle name="20% - Accent2 4 4 2 2 3 4" xfId="12869" xr:uid="{00000000-0005-0000-0000-0000020D0000}"/>
    <cellStyle name="20% - Accent2 4 4 2 2 3 4 2" xfId="12870" xr:uid="{00000000-0005-0000-0000-0000030D0000}"/>
    <cellStyle name="20% - Accent2 4 4 2 2 3 5" xfId="12871" xr:uid="{00000000-0005-0000-0000-0000040D0000}"/>
    <cellStyle name="20% - Accent2 4 4 2 2 3 6" xfId="12872" xr:uid="{00000000-0005-0000-0000-0000050D0000}"/>
    <cellStyle name="20% - Accent2 4 4 2 2 4" xfId="12873" xr:uid="{00000000-0005-0000-0000-0000060D0000}"/>
    <cellStyle name="20% - Accent2 4 4 2 2 4 2" xfId="12874" xr:uid="{00000000-0005-0000-0000-0000070D0000}"/>
    <cellStyle name="20% - Accent2 4 4 2 2 4 2 2" xfId="12875" xr:uid="{00000000-0005-0000-0000-0000080D0000}"/>
    <cellStyle name="20% - Accent2 4 4 2 2 4 2 3" xfId="12876" xr:uid="{00000000-0005-0000-0000-0000090D0000}"/>
    <cellStyle name="20% - Accent2 4 4 2 2 4 3" xfId="12877" xr:uid="{00000000-0005-0000-0000-00000A0D0000}"/>
    <cellStyle name="20% - Accent2 4 4 2 2 4 3 2" xfId="12878" xr:uid="{00000000-0005-0000-0000-00000B0D0000}"/>
    <cellStyle name="20% - Accent2 4 4 2 2 4 4" xfId="12879" xr:uid="{00000000-0005-0000-0000-00000C0D0000}"/>
    <cellStyle name="20% - Accent2 4 4 2 2 4 5" xfId="12880" xr:uid="{00000000-0005-0000-0000-00000D0D0000}"/>
    <cellStyle name="20% - Accent2 4 4 2 2 5" xfId="12881" xr:uid="{00000000-0005-0000-0000-00000E0D0000}"/>
    <cellStyle name="20% - Accent2 4 4 2 2 5 2" xfId="12882" xr:uid="{00000000-0005-0000-0000-00000F0D0000}"/>
    <cellStyle name="20% - Accent2 4 4 2 2 5 3" xfId="12883" xr:uid="{00000000-0005-0000-0000-0000100D0000}"/>
    <cellStyle name="20% - Accent2 4 4 2 2 6" xfId="12884" xr:uid="{00000000-0005-0000-0000-0000110D0000}"/>
    <cellStyle name="20% - Accent2 4 4 2 2 6 2" xfId="12885" xr:uid="{00000000-0005-0000-0000-0000120D0000}"/>
    <cellStyle name="20% - Accent2 4 4 2 2 6 3" xfId="12886" xr:uid="{00000000-0005-0000-0000-0000130D0000}"/>
    <cellStyle name="20% - Accent2 4 4 2 2 7" xfId="12887" xr:uid="{00000000-0005-0000-0000-0000140D0000}"/>
    <cellStyle name="20% - Accent2 4 4 2 2 7 2" xfId="12888" xr:uid="{00000000-0005-0000-0000-0000150D0000}"/>
    <cellStyle name="20% - Accent2 4 4 2 2 8" xfId="12889" xr:uid="{00000000-0005-0000-0000-0000160D0000}"/>
    <cellStyle name="20% - Accent2 4 4 2 2 9" xfId="12890" xr:uid="{00000000-0005-0000-0000-0000170D0000}"/>
    <cellStyle name="20% - Accent2 4 4 2 3" xfId="12891" xr:uid="{00000000-0005-0000-0000-0000180D0000}"/>
    <cellStyle name="20% - Accent2 4 4 2 3 2" xfId="12892" xr:uid="{00000000-0005-0000-0000-0000190D0000}"/>
    <cellStyle name="20% - Accent2 4 4 2 3 2 2" xfId="12893" xr:uid="{00000000-0005-0000-0000-00001A0D0000}"/>
    <cellStyle name="20% - Accent2 4 4 2 3 2 3" xfId="12894" xr:uid="{00000000-0005-0000-0000-00001B0D0000}"/>
    <cellStyle name="20% - Accent2 4 4 2 3 3" xfId="12895" xr:uid="{00000000-0005-0000-0000-00001C0D0000}"/>
    <cellStyle name="20% - Accent2 4 4 2 3 3 2" xfId="12896" xr:uid="{00000000-0005-0000-0000-00001D0D0000}"/>
    <cellStyle name="20% - Accent2 4 4 2 3 3 3" xfId="12897" xr:uid="{00000000-0005-0000-0000-00001E0D0000}"/>
    <cellStyle name="20% - Accent2 4 4 2 3 4" xfId="12898" xr:uid="{00000000-0005-0000-0000-00001F0D0000}"/>
    <cellStyle name="20% - Accent2 4 4 2 3 4 2" xfId="12899" xr:uid="{00000000-0005-0000-0000-0000200D0000}"/>
    <cellStyle name="20% - Accent2 4 4 2 3 5" xfId="12900" xr:uid="{00000000-0005-0000-0000-0000210D0000}"/>
    <cellStyle name="20% - Accent2 4 4 2 3 6" xfId="12901" xr:uid="{00000000-0005-0000-0000-0000220D0000}"/>
    <cellStyle name="20% - Accent2 4 4 2 4" xfId="12902" xr:uid="{00000000-0005-0000-0000-0000230D0000}"/>
    <cellStyle name="20% - Accent2 4 4 2 4 2" xfId="12903" xr:uid="{00000000-0005-0000-0000-0000240D0000}"/>
    <cellStyle name="20% - Accent2 4 4 2 4 2 2" xfId="12904" xr:uid="{00000000-0005-0000-0000-0000250D0000}"/>
    <cellStyle name="20% - Accent2 4 4 2 4 2 3" xfId="12905" xr:uid="{00000000-0005-0000-0000-0000260D0000}"/>
    <cellStyle name="20% - Accent2 4 4 2 4 3" xfId="12906" xr:uid="{00000000-0005-0000-0000-0000270D0000}"/>
    <cellStyle name="20% - Accent2 4 4 2 4 3 2" xfId="12907" xr:uid="{00000000-0005-0000-0000-0000280D0000}"/>
    <cellStyle name="20% - Accent2 4 4 2 4 3 3" xfId="12908" xr:uid="{00000000-0005-0000-0000-0000290D0000}"/>
    <cellStyle name="20% - Accent2 4 4 2 4 4" xfId="12909" xr:uid="{00000000-0005-0000-0000-00002A0D0000}"/>
    <cellStyle name="20% - Accent2 4 4 2 4 4 2" xfId="12910" xr:uid="{00000000-0005-0000-0000-00002B0D0000}"/>
    <cellStyle name="20% - Accent2 4 4 2 4 5" xfId="12911" xr:uid="{00000000-0005-0000-0000-00002C0D0000}"/>
    <cellStyle name="20% - Accent2 4 4 2 4 6" xfId="12912" xr:uid="{00000000-0005-0000-0000-00002D0D0000}"/>
    <cellStyle name="20% - Accent2 4 4 2 5" xfId="12913" xr:uid="{00000000-0005-0000-0000-00002E0D0000}"/>
    <cellStyle name="20% - Accent2 4 4 2 5 2" xfId="12914" xr:uid="{00000000-0005-0000-0000-00002F0D0000}"/>
    <cellStyle name="20% - Accent2 4 4 2 5 2 2" xfId="12915" xr:uid="{00000000-0005-0000-0000-0000300D0000}"/>
    <cellStyle name="20% - Accent2 4 4 2 5 2 3" xfId="12916" xr:uid="{00000000-0005-0000-0000-0000310D0000}"/>
    <cellStyle name="20% - Accent2 4 4 2 5 3" xfId="12917" xr:uid="{00000000-0005-0000-0000-0000320D0000}"/>
    <cellStyle name="20% - Accent2 4 4 2 5 3 2" xfId="12918" xr:uid="{00000000-0005-0000-0000-0000330D0000}"/>
    <cellStyle name="20% - Accent2 4 4 2 5 4" xfId="12919" xr:uid="{00000000-0005-0000-0000-0000340D0000}"/>
    <cellStyle name="20% - Accent2 4 4 2 5 5" xfId="12920" xr:uid="{00000000-0005-0000-0000-0000350D0000}"/>
    <cellStyle name="20% - Accent2 4 4 2 6" xfId="12921" xr:uid="{00000000-0005-0000-0000-0000360D0000}"/>
    <cellStyle name="20% - Accent2 4 4 2 6 2" xfId="12922" xr:uid="{00000000-0005-0000-0000-0000370D0000}"/>
    <cellStyle name="20% - Accent2 4 4 2 6 3" xfId="12923" xr:uid="{00000000-0005-0000-0000-0000380D0000}"/>
    <cellStyle name="20% - Accent2 4 4 2 7" xfId="12924" xr:uid="{00000000-0005-0000-0000-0000390D0000}"/>
    <cellStyle name="20% - Accent2 4 4 2 7 2" xfId="12925" xr:uid="{00000000-0005-0000-0000-00003A0D0000}"/>
    <cellStyle name="20% - Accent2 4 4 2 7 3" xfId="12926" xr:uid="{00000000-0005-0000-0000-00003B0D0000}"/>
    <cellStyle name="20% - Accent2 4 4 2 8" xfId="12927" xr:uid="{00000000-0005-0000-0000-00003C0D0000}"/>
    <cellStyle name="20% - Accent2 4 4 2 8 2" xfId="12928" xr:uid="{00000000-0005-0000-0000-00003D0D0000}"/>
    <cellStyle name="20% - Accent2 4 4 2 9" xfId="12929" xr:uid="{00000000-0005-0000-0000-00003E0D0000}"/>
    <cellStyle name="20% - Accent2 4 4 3" xfId="394" xr:uid="{00000000-0005-0000-0000-00003F0D0000}"/>
    <cellStyle name="20% - Accent2 4 4 3 2" xfId="12930" xr:uid="{00000000-0005-0000-0000-0000400D0000}"/>
    <cellStyle name="20% - Accent2 4 4 3 2 2" xfId="12931" xr:uid="{00000000-0005-0000-0000-0000410D0000}"/>
    <cellStyle name="20% - Accent2 4 4 3 2 2 2" xfId="12932" xr:uid="{00000000-0005-0000-0000-0000420D0000}"/>
    <cellStyle name="20% - Accent2 4 4 3 2 2 3" xfId="12933" xr:uid="{00000000-0005-0000-0000-0000430D0000}"/>
    <cellStyle name="20% - Accent2 4 4 3 2 3" xfId="12934" xr:uid="{00000000-0005-0000-0000-0000440D0000}"/>
    <cellStyle name="20% - Accent2 4 4 3 2 3 2" xfId="12935" xr:uid="{00000000-0005-0000-0000-0000450D0000}"/>
    <cellStyle name="20% - Accent2 4 4 3 2 3 3" xfId="12936" xr:uid="{00000000-0005-0000-0000-0000460D0000}"/>
    <cellStyle name="20% - Accent2 4 4 3 2 4" xfId="12937" xr:uid="{00000000-0005-0000-0000-0000470D0000}"/>
    <cellStyle name="20% - Accent2 4 4 3 2 4 2" xfId="12938" xr:uid="{00000000-0005-0000-0000-0000480D0000}"/>
    <cellStyle name="20% - Accent2 4 4 3 2 5" xfId="12939" xr:uid="{00000000-0005-0000-0000-0000490D0000}"/>
    <cellStyle name="20% - Accent2 4 4 3 2 6" xfId="12940" xr:uid="{00000000-0005-0000-0000-00004A0D0000}"/>
    <cellStyle name="20% - Accent2 4 4 3 3" xfId="12941" xr:uid="{00000000-0005-0000-0000-00004B0D0000}"/>
    <cellStyle name="20% - Accent2 4 4 3 3 2" xfId="12942" xr:uid="{00000000-0005-0000-0000-00004C0D0000}"/>
    <cellStyle name="20% - Accent2 4 4 3 3 2 2" xfId="12943" xr:uid="{00000000-0005-0000-0000-00004D0D0000}"/>
    <cellStyle name="20% - Accent2 4 4 3 3 2 3" xfId="12944" xr:uid="{00000000-0005-0000-0000-00004E0D0000}"/>
    <cellStyle name="20% - Accent2 4 4 3 3 3" xfId="12945" xr:uid="{00000000-0005-0000-0000-00004F0D0000}"/>
    <cellStyle name="20% - Accent2 4 4 3 3 3 2" xfId="12946" xr:uid="{00000000-0005-0000-0000-0000500D0000}"/>
    <cellStyle name="20% - Accent2 4 4 3 3 3 3" xfId="12947" xr:uid="{00000000-0005-0000-0000-0000510D0000}"/>
    <cellStyle name="20% - Accent2 4 4 3 3 4" xfId="12948" xr:uid="{00000000-0005-0000-0000-0000520D0000}"/>
    <cellStyle name="20% - Accent2 4 4 3 3 4 2" xfId="12949" xr:uid="{00000000-0005-0000-0000-0000530D0000}"/>
    <cellStyle name="20% - Accent2 4 4 3 3 5" xfId="12950" xr:uid="{00000000-0005-0000-0000-0000540D0000}"/>
    <cellStyle name="20% - Accent2 4 4 3 3 6" xfId="12951" xr:uid="{00000000-0005-0000-0000-0000550D0000}"/>
    <cellStyle name="20% - Accent2 4 4 3 4" xfId="12952" xr:uid="{00000000-0005-0000-0000-0000560D0000}"/>
    <cellStyle name="20% - Accent2 4 4 3 4 2" xfId="12953" xr:uid="{00000000-0005-0000-0000-0000570D0000}"/>
    <cellStyle name="20% - Accent2 4 4 3 4 2 2" xfId="12954" xr:uid="{00000000-0005-0000-0000-0000580D0000}"/>
    <cellStyle name="20% - Accent2 4 4 3 4 2 3" xfId="12955" xr:uid="{00000000-0005-0000-0000-0000590D0000}"/>
    <cellStyle name="20% - Accent2 4 4 3 4 3" xfId="12956" xr:uid="{00000000-0005-0000-0000-00005A0D0000}"/>
    <cellStyle name="20% - Accent2 4 4 3 4 3 2" xfId="12957" xr:uid="{00000000-0005-0000-0000-00005B0D0000}"/>
    <cellStyle name="20% - Accent2 4 4 3 4 4" xfId="12958" xr:uid="{00000000-0005-0000-0000-00005C0D0000}"/>
    <cellStyle name="20% - Accent2 4 4 3 4 5" xfId="12959" xr:uid="{00000000-0005-0000-0000-00005D0D0000}"/>
    <cellStyle name="20% - Accent2 4 4 3 5" xfId="12960" xr:uid="{00000000-0005-0000-0000-00005E0D0000}"/>
    <cellStyle name="20% - Accent2 4 4 3 5 2" xfId="12961" xr:uid="{00000000-0005-0000-0000-00005F0D0000}"/>
    <cellStyle name="20% - Accent2 4 4 3 5 3" xfId="12962" xr:uid="{00000000-0005-0000-0000-0000600D0000}"/>
    <cellStyle name="20% - Accent2 4 4 3 6" xfId="12963" xr:uid="{00000000-0005-0000-0000-0000610D0000}"/>
    <cellStyle name="20% - Accent2 4 4 3 6 2" xfId="12964" xr:uid="{00000000-0005-0000-0000-0000620D0000}"/>
    <cellStyle name="20% - Accent2 4 4 3 6 3" xfId="12965" xr:uid="{00000000-0005-0000-0000-0000630D0000}"/>
    <cellStyle name="20% - Accent2 4 4 3 7" xfId="12966" xr:uid="{00000000-0005-0000-0000-0000640D0000}"/>
    <cellStyle name="20% - Accent2 4 4 3 7 2" xfId="12967" xr:uid="{00000000-0005-0000-0000-0000650D0000}"/>
    <cellStyle name="20% - Accent2 4 4 3 8" xfId="12968" xr:uid="{00000000-0005-0000-0000-0000660D0000}"/>
    <cellStyle name="20% - Accent2 4 4 3 9" xfId="12969" xr:uid="{00000000-0005-0000-0000-0000670D0000}"/>
    <cellStyle name="20% - Accent2 4 4 4" xfId="12970" xr:uid="{00000000-0005-0000-0000-0000680D0000}"/>
    <cellStyle name="20% - Accent2 4 4 4 2" xfId="12971" xr:uid="{00000000-0005-0000-0000-0000690D0000}"/>
    <cellStyle name="20% - Accent2 4 4 4 2 2" xfId="12972" xr:uid="{00000000-0005-0000-0000-00006A0D0000}"/>
    <cellStyle name="20% - Accent2 4 4 4 2 2 2" xfId="12973" xr:uid="{00000000-0005-0000-0000-00006B0D0000}"/>
    <cellStyle name="20% - Accent2 4 4 4 2 2 3" xfId="12974" xr:uid="{00000000-0005-0000-0000-00006C0D0000}"/>
    <cellStyle name="20% - Accent2 4 4 4 2 3" xfId="12975" xr:uid="{00000000-0005-0000-0000-00006D0D0000}"/>
    <cellStyle name="20% - Accent2 4 4 4 2 3 2" xfId="12976" xr:uid="{00000000-0005-0000-0000-00006E0D0000}"/>
    <cellStyle name="20% - Accent2 4 4 4 2 3 3" xfId="12977" xr:uid="{00000000-0005-0000-0000-00006F0D0000}"/>
    <cellStyle name="20% - Accent2 4 4 4 2 4" xfId="12978" xr:uid="{00000000-0005-0000-0000-0000700D0000}"/>
    <cellStyle name="20% - Accent2 4 4 4 2 4 2" xfId="12979" xr:uid="{00000000-0005-0000-0000-0000710D0000}"/>
    <cellStyle name="20% - Accent2 4 4 4 2 5" xfId="12980" xr:uid="{00000000-0005-0000-0000-0000720D0000}"/>
    <cellStyle name="20% - Accent2 4 4 4 2 6" xfId="12981" xr:uid="{00000000-0005-0000-0000-0000730D0000}"/>
    <cellStyle name="20% - Accent2 4 4 4 3" xfId="12982" xr:uid="{00000000-0005-0000-0000-0000740D0000}"/>
    <cellStyle name="20% - Accent2 4 4 4 3 2" xfId="12983" xr:uid="{00000000-0005-0000-0000-0000750D0000}"/>
    <cellStyle name="20% - Accent2 4 4 4 3 2 2" xfId="12984" xr:uid="{00000000-0005-0000-0000-0000760D0000}"/>
    <cellStyle name="20% - Accent2 4 4 4 3 2 3" xfId="12985" xr:uid="{00000000-0005-0000-0000-0000770D0000}"/>
    <cellStyle name="20% - Accent2 4 4 4 3 3" xfId="12986" xr:uid="{00000000-0005-0000-0000-0000780D0000}"/>
    <cellStyle name="20% - Accent2 4 4 4 3 3 2" xfId="12987" xr:uid="{00000000-0005-0000-0000-0000790D0000}"/>
    <cellStyle name="20% - Accent2 4 4 4 3 3 3" xfId="12988" xr:uid="{00000000-0005-0000-0000-00007A0D0000}"/>
    <cellStyle name="20% - Accent2 4 4 4 3 4" xfId="12989" xr:uid="{00000000-0005-0000-0000-00007B0D0000}"/>
    <cellStyle name="20% - Accent2 4 4 4 3 4 2" xfId="12990" xr:uid="{00000000-0005-0000-0000-00007C0D0000}"/>
    <cellStyle name="20% - Accent2 4 4 4 3 5" xfId="12991" xr:uid="{00000000-0005-0000-0000-00007D0D0000}"/>
    <cellStyle name="20% - Accent2 4 4 4 3 6" xfId="12992" xr:uid="{00000000-0005-0000-0000-00007E0D0000}"/>
    <cellStyle name="20% - Accent2 4 4 4 4" xfId="12993" xr:uid="{00000000-0005-0000-0000-00007F0D0000}"/>
    <cellStyle name="20% - Accent2 4 4 4 4 2" xfId="12994" xr:uid="{00000000-0005-0000-0000-0000800D0000}"/>
    <cellStyle name="20% - Accent2 4 4 4 4 2 2" xfId="12995" xr:uid="{00000000-0005-0000-0000-0000810D0000}"/>
    <cellStyle name="20% - Accent2 4 4 4 4 2 3" xfId="12996" xr:uid="{00000000-0005-0000-0000-0000820D0000}"/>
    <cellStyle name="20% - Accent2 4 4 4 4 3" xfId="12997" xr:uid="{00000000-0005-0000-0000-0000830D0000}"/>
    <cellStyle name="20% - Accent2 4 4 4 4 3 2" xfId="12998" xr:uid="{00000000-0005-0000-0000-0000840D0000}"/>
    <cellStyle name="20% - Accent2 4 4 4 4 4" xfId="12999" xr:uid="{00000000-0005-0000-0000-0000850D0000}"/>
    <cellStyle name="20% - Accent2 4 4 4 4 5" xfId="13000" xr:uid="{00000000-0005-0000-0000-0000860D0000}"/>
    <cellStyle name="20% - Accent2 4 4 4 5" xfId="13001" xr:uid="{00000000-0005-0000-0000-0000870D0000}"/>
    <cellStyle name="20% - Accent2 4 4 4 5 2" xfId="13002" xr:uid="{00000000-0005-0000-0000-0000880D0000}"/>
    <cellStyle name="20% - Accent2 4 4 4 5 3" xfId="13003" xr:uid="{00000000-0005-0000-0000-0000890D0000}"/>
    <cellStyle name="20% - Accent2 4 4 4 6" xfId="13004" xr:uid="{00000000-0005-0000-0000-00008A0D0000}"/>
    <cellStyle name="20% - Accent2 4 4 4 6 2" xfId="13005" xr:uid="{00000000-0005-0000-0000-00008B0D0000}"/>
    <cellStyle name="20% - Accent2 4 4 4 6 3" xfId="13006" xr:uid="{00000000-0005-0000-0000-00008C0D0000}"/>
    <cellStyle name="20% - Accent2 4 4 4 7" xfId="13007" xr:uid="{00000000-0005-0000-0000-00008D0D0000}"/>
    <cellStyle name="20% - Accent2 4 4 4 7 2" xfId="13008" xr:uid="{00000000-0005-0000-0000-00008E0D0000}"/>
    <cellStyle name="20% - Accent2 4 4 4 8" xfId="13009" xr:uid="{00000000-0005-0000-0000-00008F0D0000}"/>
    <cellStyle name="20% - Accent2 4 4 4 9" xfId="13010" xr:uid="{00000000-0005-0000-0000-0000900D0000}"/>
    <cellStyle name="20% - Accent2 4 4 5" xfId="13011" xr:uid="{00000000-0005-0000-0000-0000910D0000}"/>
    <cellStyle name="20% - Accent2 4 4 5 2" xfId="13012" xr:uid="{00000000-0005-0000-0000-0000920D0000}"/>
    <cellStyle name="20% - Accent2 4 4 5 2 2" xfId="13013" xr:uid="{00000000-0005-0000-0000-0000930D0000}"/>
    <cellStyle name="20% - Accent2 4 4 5 2 3" xfId="13014" xr:uid="{00000000-0005-0000-0000-0000940D0000}"/>
    <cellStyle name="20% - Accent2 4 4 5 3" xfId="13015" xr:uid="{00000000-0005-0000-0000-0000950D0000}"/>
    <cellStyle name="20% - Accent2 4 4 5 3 2" xfId="13016" xr:uid="{00000000-0005-0000-0000-0000960D0000}"/>
    <cellStyle name="20% - Accent2 4 4 5 3 3" xfId="13017" xr:uid="{00000000-0005-0000-0000-0000970D0000}"/>
    <cellStyle name="20% - Accent2 4 4 5 4" xfId="13018" xr:uid="{00000000-0005-0000-0000-0000980D0000}"/>
    <cellStyle name="20% - Accent2 4 4 5 4 2" xfId="13019" xr:uid="{00000000-0005-0000-0000-0000990D0000}"/>
    <cellStyle name="20% - Accent2 4 4 5 5" xfId="13020" xr:uid="{00000000-0005-0000-0000-00009A0D0000}"/>
    <cellStyle name="20% - Accent2 4 4 5 6" xfId="13021" xr:uid="{00000000-0005-0000-0000-00009B0D0000}"/>
    <cellStyle name="20% - Accent2 4 4 6" xfId="13022" xr:uid="{00000000-0005-0000-0000-00009C0D0000}"/>
    <cellStyle name="20% - Accent2 4 4 6 2" xfId="13023" xr:uid="{00000000-0005-0000-0000-00009D0D0000}"/>
    <cellStyle name="20% - Accent2 4 4 6 2 2" xfId="13024" xr:uid="{00000000-0005-0000-0000-00009E0D0000}"/>
    <cellStyle name="20% - Accent2 4 4 6 2 3" xfId="13025" xr:uid="{00000000-0005-0000-0000-00009F0D0000}"/>
    <cellStyle name="20% - Accent2 4 4 6 3" xfId="13026" xr:uid="{00000000-0005-0000-0000-0000A00D0000}"/>
    <cellStyle name="20% - Accent2 4 4 6 3 2" xfId="13027" xr:uid="{00000000-0005-0000-0000-0000A10D0000}"/>
    <cellStyle name="20% - Accent2 4 4 6 3 3" xfId="13028" xr:uid="{00000000-0005-0000-0000-0000A20D0000}"/>
    <cellStyle name="20% - Accent2 4 4 6 4" xfId="13029" xr:uid="{00000000-0005-0000-0000-0000A30D0000}"/>
    <cellStyle name="20% - Accent2 4 4 6 4 2" xfId="13030" xr:uid="{00000000-0005-0000-0000-0000A40D0000}"/>
    <cellStyle name="20% - Accent2 4 4 6 5" xfId="13031" xr:uid="{00000000-0005-0000-0000-0000A50D0000}"/>
    <cellStyle name="20% - Accent2 4 4 6 6" xfId="13032" xr:uid="{00000000-0005-0000-0000-0000A60D0000}"/>
    <cellStyle name="20% - Accent2 4 4 7" xfId="13033" xr:uid="{00000000-0005-0000-0000-0000A70D0000}"/>
    <cellStyle name="20% - Accent2 4 4 7 2" xfId="13034" xr:uid="{00000000-0005-0000-0000-0000A80D0000}"/>
    <cellStyle name="20% - Accent2 4 4 7 2 2" xfId="13035" xr:uid="{00000000-0005-0000-0000-0000A90D0000}"/>
    <cellStyle name="20% - Accent2 4 4 7 2 3" xfId="13036" xr:uid="{00000000-0005-0000-0000-0000AA0D0000}"/>
    <cellStyle name="20% - Accent2 4 4 7 3" xfId="13037" xr:uid="{00000000-0005-0000-0000-0000AB0D0000}"/>
    <cellStyle name="20% - Accent2 4 4 7 3 2" xfId="13038" xr:uid="{00000000-0005-0000-0000-0000AC0D0000}"/>
    <cellStyle name="20% - Accent2 4 4 7 4" xfId="13039" xr:uid="{00000000-0005-0000-0000-0000AD0D0000}"/>
    <cellStyle name="20% - Accent2 4 4 7 5" xfId="13040" xr:uid="{00000000-0005-0000-0000-0000AE0D0000}"/>
    <cellStyle name="20% - Accent2 4 4 8" xfId="13041" xr:uid="{00000000-0005-0000-0000-0000AF0D0000}"/>
    <cellStyle name="20% - Accent2 4 4 8 2" xfId="13042" xr:uid="{00000000-0005-0000-0000-0000B00D0000}"/>
    <cellStyle name="20% - Accent2 4 4 8 3" xfId="13043" xr:uid="{00000000-0005-0000-0000-0000B10D0000}"/>
    <cellStyle name="20% - Accent2 4 4 9" xfId="13044" xr:uid="{00000000-0005-0000-0000-0000B20D0000}"/>
    <cellStyle name="20% - Accent2 4 4 9 2" xfId="13045" xr:uid="{00000000-0005-0000-0000-0000B30D0000}"/>
    <cellStyle name="20% - Accent2 4 4 9 3" xfId="13046" xr:uid="{00000000-0005-0000-0000-0000B40D0000}"/>
    <cellStyle name="20% - Accent2 4 5" xfId="395" xr:uid="{00000000-0005-0000-0000-0000B50D0000}"/>
    <cellStyle name="20% - Accent2 4 5 10" xfId="13047" xr:uid="{00000000-0005-0000-0000-0000B60D0000}"/>
    <cellStyle name="20% - Accent2 4 5 2" xfId="396" xr:uid="{00000000-0005-0000-0000-0000B70D0000}"/>
    <cellStyle name="20% - Accent2 4 5 2 2" xfId="13048" xr:uid="{00000000-0005-0000-0000-0000B80D0000}"/>
    <cellStyle name="20% - Accent2 4 5 2 2 2" xfId="13049" xr:uid="{00000000-0005-0000-0000-0000B90D0000}"/>
    <cellStyle name="20% - Accent2 4 5 2 2 2 2" xfId="13050" xr:uid="{00000000-0005-0000-0000-0000BA0D0000}"/>
    <cellStyle name="20% - Accent2 4 5 2 2 2 3" xfId="13051" xr:uid="{00000000-0005-0000-0000-0000BB0D0000}"/>
    <cellStyle name="20% - Accent2 4 5 2 2 3" xfId="13052" xr:uid="{00000000-0005-0000-0000-0000BC0D0000}"/>
    <cellStyle name="20% - Accent2 4 5 2 2 3 2" xfId="13053" xr:uid="{00000000-0005-0000-0000-0000BD0D0000}"/>
    <cellStyle name="20% - Accent2 4 5 2 2 3 3" xfId="13054" xr:uid="{00000000-0005-0000-0000-0000BE0D0000}"/>
    <cellStyle name="20% - Accent2 4 5 2 2 4" xfId="13055" xr:uid="{00000000-0005-0000-0000-0000BF0D0000}"/>
    <cellStyle name="20% - Accent2 4 5 2 2 4 2" xfId="13056" xr:uid="{00000000-0005-0000-0000-0000C00D0000}"/>
    <cellStyle name="20% - Accent2 4 5 2 2 5" xfId="13057" xr:uid="{00000000-0005-0000-0000-0000C10D0000}"/>
    <cellStyle name="20% - Accent2 4 5 2 2 6" xfId="13058" xr:uid="{00000000-0005-0000-0000-0000C20D0000}"/>
    <cellStyle name="20% - Accent2 4 5 2 3" xfId="13059" xr:uid="{00000000-0005-0000-0000-0000C30D0000}"/>
    <cellStyle name="20% - Accent2 4 5 2 3 2" xfId="13060" xr:uid="{00000000-0005-0000-0000-0000C40D0000}"/>
    <cellStyle name="20% - Accent2 4 5 2 3 2 2" xfId="13061" xr:uid="{00000000-0005-0000-0000-0000C50D0000}"/>
    <cellStyle name="20% - Accent2 4 5 2 3 2 3" xfId="13062" xr:uid="{00000000-0005-0000-0000-0000C60D0000}"/>
    <cellStyle name="20% - Accent2 4 5 2 3 3" xfId="13063" xr:uid="{00000000-0005-0000-0000-0000C70D0000}"/>
    <cellStyle name="20% - Accent2 4 5 2 3 3 2" xfId="13064" xr:uid="{00000000-0005-0000-0000-0000C80D0000}"/>
    <cellStyle name="20% - Accent2 4 5 2 3 3 3" xfId="13065" xr:uid="{00000000-0005-0000-0000-0000C90D0000}"/>
    <cellStyle name="20% - Accent2 4 5 2 3 4" xfId="13066" xr:uid="{00000000-0005-0000-0000-0000CA0D0000}"/>
    <cellStyle name="20% - Accent2 4 5 2 3 4 2" xfId="13067" xr:uid="{00000000-0005-0000-0000-0000CB0D0000}"/>
    <cellStyle name="20% - Accent2 4 5 2 3 5" xfId="13068" xr:uid="{00000000-0005-0000-0000-0000CC0D0000}"/>
    <cellStyle name="20% - Accent2 4 5 2 3 6" xfId="13069" xr:uid="{00000000-0005-0000-0000-0000CD0D0000}"/>
    <cellStyle name="20% - Accent2 4 5 2 4" xfId="13070" xr:uid="{00000000-0005-0000-0000-0000CE0D0000}"/>
    <cellStyle name="20% - Accent2 4 5 2 4 2" xfId="13071" xr:uid="{00000000-0005-0000-0000-0000CF0D0000}"/>
    <cellStyle name="20% - Accent2 4 5 2 4 2 2" xfId="13072" xr:uid="{00000000-0005-0000-0000-0000D00D0000}"/>
    <cellStyle name="20% - Accent2 4 5 2 4 2 3" xfId="13073" xr:uid="{00000000-0005-0000-0000-0000D10D0000}"/>
    <cellStyle name="20% - Accent2 4 5 2 4 3" xfId="13074" xr:uid="{00000000-0005-0000-0000-0000D20D0000}"/>
    <cellStyle name="20% - Accent2 4 5 2 4 3 2" xfId="13075" xr:uid="{00000000-0005-0000-0000-0000D30D0000}"/>
    <cellStyle name="20% - Accent2 4 5 2 4 4" xfId="13076" xr:uid="{00000000-0005-0000-0000-0000D40D0000}"/>
    <cellStyle name="20% - Accent2 4 5 2 4 5" xfId="13077" xr:uid="{00000000-0005-0000-0000-0000D50D0000}"/>
    <cellStyle name="20% - Accent2 4 5 2 5" xfId="13078" xr:uid="{00000000-0005-0000-0000-0000D60D0000}"/>
    <cellStyle name="20% - Accent2 4 5 2 5 2" xfId="13079" xr:uid="{00000000-0005-0000-0000-0000D70D0000}"/>
    <cellStyle name="20% - Accent2 4 5 2 5 3" xfId="13080" xr:uid="{00000000-0005-0000-0000-0000D80D0000}"/>
    <cellStyle name="20% - Accent2 4 5 2 6" xfId="13081" xr:uid="{00000000-0005-0000-0000-0000D90D0000}"/>
    <cellStyle name="20% - Accent2 4 5 2 6 2" xfId="13082" xr:uid="{00000000-0005-0000-0000-0000DA0D0000}"/>
    <cellStyle name="20% - Accent2 4 5 2 6 3" xfId="13083" xr:uid="{00000000-0005-0000-0000-0000DB0D0000}"/>
    <cellStyle name="20% - Accent2 4 5 2 7" xfId="13084" xr:uid="{00000000-0005-0000-0000-0000DC0D0000}"/>
    <cellStyle name="20% - Accent2 4 5 2 7 2" xfId="13085" xr:uid="{00000000-0005-0000-0000-0000DD0D0000}"/>
    <cellStyle name="20% - Accent2 4 5 2 8" xfId="13086" xr:uid="{00000000-0005-0000-0000-0000DE0D0000}"/>
    <cellStyle name="20% - Accent2 4 5 2 9" xfId="13087" xr:uid="{00000000-0005-0000-0000-0000DF0D0000}"/>
    <cellStyle name="20% - Accent2 4 5 3" xfId="13088" xr:uid="{00000000-0005-0000-0000-0000E00D0000}"/>
    <cellStyle name="20% - Accent2 4 5 3 2" xfId="13089" xr:uid="{00000000-0005-0000-0000-0000E10D0000}"/>
    <cellStyle name="20% - Accent2 4 5 3 2 2" xfId="13090" xr:uid="{00000000-0005-0000-0000-0000E20D0000}"/>
    <cellStyle name="20% - Accent2 4 5 3 2 3" xfId="13091" xr:uid="{00000000-0005-0000-0000-0000E30D0000}"/>
    <cellStyle name="20% - Accent2 4 5 3 3" xfId="13092" xr:uid="{00000000-0005-0000-0000-0000E40D0000}"/>
    <cellStyle name="20% - Accent2 4 5 3 3 2" xfId="13093" xr:uid="{00000000-0005-0000-0000-0000E50D0000}"/>
    <cellStyle name="20% - Accent2 4 5 3 3 3" xfId="13094" xr:uid="{00000000-0005-0000-0000-0000E60D0000}"/>
    <cellStyle name="20% - Accent2 4 5 3 4" xfId="13095" xr:uid="{00000000-0005-0000-0000-0000E70D0000}"/>
    <cellStyle name="20% - Accent2 4 5 3 4 2" xfId="13096" xr:uid="{00000000-0005-0000-0000-0000E80D0000}"/>
    <cellStyle name="20% - Accent2 4 5 3 5" xfId="13097" xr:uid="{00000000-0005-0000-0000-0000E90D0000}"/>
    <cellStyle name="20% - Accent2 4 5 3 6" xfId="13098" xr:uid="{00000000-0005-0000-0000-0000EA0D0000}"/>
    <cellStyle name="20% - Accent2 4 5 4" xfId="13099" xr:uid="{00000000-0005-0000-0000-0000EB0D0000}"/>
    <cellStyle name="20% - Accent2 4 5 4 2" xfId="13100" xr:uid="{00000000-0005-0000-0000-0000EC0D0000}"/>
    <cellStyle name="20% - Accent2 4 5 4 2 2" xfId="13101" xr:uid="{00000000-0005-0000-0000-0000ED0D0000}"/>
    <cellStyle name="20% - Accent2 4 5 4 2 3" xfId="13102" xr:uid="{00000000-0005-0000-0000-0000EE0D0000}"/>
    <cellStyle name="20% - Accent2 4 5 4 3" xfId="13103" xr:uid="{00000000-0005-0000-0000-0000EF0D0000}"/>
    <cellStyle name="20% - Accent2 4 5 4 3 2" xfId="13104" xr:uid="{00000000-0005-0000-0000-0000F00D0000}"/>
    <cellStyle name="20% - Accent2 4 5 4 3 3" xfId="13105" xr:uid="{00000000-0005-0000-0000-0000F10D0000}"/>
    <cellStyle name="20% - Accent2 4 5 4 4" xfId="13106" xr:uid="{00000000-0005-0000-0000-0000F20D0000}"/>
    <cellStyle name="20% - Accent2 4 5 4 4 2" xfId="13107" xr:uid="{00000000-0005-0000-0000-0000F30D0000}"/>
    <cellStyle name="20% - Accent2 4 5 4 5" xfId="13108" xr:uid="{00000000-0005-0000-0000-0000F40D0000}"/>
    <cellStyle name="20% - Accent2 4 5 4 6" xfId="13109" xr:uid="{00000000-0005-0000-0000-0000F50D0000}"/>
    <cellStyle name="20% - Accent2 4 5 5" xfId="13110" xr:uid="{00000000-0005-0000-0000-0000F60D0000}"/>
    <cellStyle name="20% - Accent2 4 5 5 2" xfId="13111" xr:uid="{00000000-0005-0000-0000-0000F70D0000}"/>
    <cellStyle name="20% - Accent2 4 5 5 2 2" xfId="13112" xr:uid="{00000000-0005-0000-0000-0000F80D0000}"/>
    <cellStyle name="20% - Accent2 4 5 5 2 3" xfId="13113" xr:uid="{00000000-0005-0000-0000-0000F90D0000}"/>
    <cellStyle name="20% - Accent2 4 5 5 3" xfId="13114" xr:uid="{00000000-0005-0000-0000-0000FA0D0000}"/>
    <cellStyle name="20% - Accent2 4 5 5 3 2" xfId="13115" xr:uid="{00000000-0005-0000-0000-0000FB0D0000}"/>
    <cellStyle name="20% - Accent2 4 5 5 4" xfId="13116" xr:uid="{00000000-0005-0000-0000-0000FC0D0000}"/>
    <cellStyle name="20% - Accent2 4 5 5 5" xfId="13117" xr:uid="{00000000-0005-0000-0000-0000FD0D0000}"/>
    <cellStyle name="20% - Accent2 4 5 6" xfId="13118" xr:uid="{00000000-0005-0000-0000-0000FE0D0000}"/>
    <cellStyle name="20% - Accent2 4 5 6 2" xfId="13119" xr:uid="{00000000-0005-0000-0000-0000FF0D0000}"/>
    <cellStyle name="20% - Accent2 4 5 6 3" xfId="13120" xr:uid="{00000000-0005-0000-0000-0000000E0000}"/>
    <cellStyle name="20% - Accent2 4 5 7" xfId="13121" xr:uid="{00000000-0005-0000-0000-0000010E0000}"/>
    <cellStyle name="20% - Accent2 4 5 7 2" xfId="13122" xr:uid="{00000000-0005-0000-0000-0000020E0000}"/>
    <cellStyle name="20% - Accent2 4 5 7 3" xfId="13123" xr:uid="{00000000-0005-0000-0000-0000030E0000}"/>
    <cellStyle name="20% - Accent2 4 5 8" xfId="13124" xr:uid="{00000000-0005-0000-0000-0000040E0000}"/>
    <cellStyle name="20% - Accent2 4 5 8 2" xfId="13125" xr:uid="{00000000-0005-0000-0000-0000050E0000}"/>
    <cellStyle name="20% - Accent2 4 5 9" xfId="13126" xr:uid="{00000000-0005-0000-0000-0000060E0000}"/>
    <cellStyle name="20% - Accent2 4 6" xfId="397" xr:uid="{00000000-0005-0000-0000-0000070E0000}"/>
    <cellStyle name="20% - Accent2 4 6 2" xfId="13127" xr:uid="{00000000-0005-0000-0000-0000080E0000}"/>
    <cellStyle name="20% - Accent2 4 6 2 2" xfId="13128" xr:uid="{00000000-0005-0000-0000-0000090E0000}"/>
    <cellStyle name="20% - Accent2 4 6 2 2 2" xfId="13129" xr:uid="{00000000-0005-0000-0000-00000A0E0000}"/>
    <cellStyle name="20% - Accent2 4 6 2 2 3" xfId="13130" xr:uid="{00000000-0005-0000-0000-00000B0E0000}"/>
    <cellStyle name="20% - Accent2 4 6 2 3" xfId="13131" xr:uid="{00000000-0005-0000-0000-00000C0E0000}"/>
    <cellStyle name="20% - Accent2 4 6 2 3 2" xfId="13132" xr:uid="{00000000-0005-0000-0000-00000D0E0000}"/>
    <cellStyle name="20% - Accent2 4 6 2 3 3" xfId="13133" xr:uid="{00000000-0005-0000-0000-00000E0E0000}"/>
    <cellStyle name="20% - Accent2 4 6 2 4" xfId="13134" xr:uid="{00000000-0005-0000-0000-00000F0E0000}"/>
    <cellStyle name="20% - Accent2 4 6 2 4 2" xfId="13135" xr:uid="{00000000-0005-0000-0000-0000100E0000}"/>
    <cellStyle name="20% - Accent2 4 6 2 5" xfId="13136" xr:uid="{00000000-0005-0000-0000-0000110E0000}"/>
    <cellStyle name="20% - Accent2 4 6 2 6" xfId="13137" xr:uid="{00000000-0005-0000-0000-0000120E0000}"/>
    <cellStyle name="20% - Accent2 4 6 3" xfId="13138" xr:uid="{00000000-0005-0000-0000-0000130E0000}"/>
    <cellStyle name="20% - Accent2 4 6 3 2" xfId="13139" xr:uid="{00000000-0005-0000-0000-0000140E0000}"/>
    <cellStyle name="20% - Accent2 4 6 3 2 2" xfId="13140" xr:uid="{00000000-0005-0000-0000-0000150E0000}"/>
    <cellStyle name="20% - Accent2 4 6 3 2 3" xfId="13141" xr:uid="{00000000-0005-0000-0000-0000160E0000}"/>
    <cellStyle name="20% - Accent2 4 6 3 3" xfId="13142" xr:uid="{00000000-0005-0000-0000-0000170E0000}"/>
    <cellStyle name="20% - Accent2 4 6 3 3 2" xfId="13143" xr:uid="{00000000-0005-0000-0000-0000180E0000}"/>
    <cellStyle name="20% - Accent2 4 6 3 3 3" xfId="13144" xr:uid="{00000000-0005-0000-0000-0000190E0000}"/>
    <cellStyle name="20% - Accent2 4 6 3 4" xfId="13145" xr:uid="{00000000-0005-0000-0000-00001A0E0000}"/>
    <cellStyle name="20% - Accent2 4 6 3 4 2" xfId="13146" xr:uid="{00000000-0005-0000-0000-00001B0E0000}"/>
    <cellStyle name="20% - Accent2 4 6 3 5" xfId="13147" xr:uid="{00000000-0005-0000-0000-00001C0E0000}"/>
    <cellStyle name="20% - Accent2 4 6 3 6" xfId="13148" xr:uid="{00000000-0005-0000-0000-00001D0E0000}"/>
    <cellStyle name="20% - Accent2 4 6 4" xfId="13149" xr:uid="{00000000-0005-0000-0000-00001E0E0000}"/>
    <cellStyle name="20% - Accent2 4 6 4 2" xfId="13150" xr:uid="{00000000-0005-0000-0000-00001F0E0000}"/>
    <cellStyle name="20% - Accent2 4 6 4 2 2" xfId="13151" xr:uid="{00000000-0005-0000-0000-0000200E0000}"/>
    <cellStyle name="20% - Accent2 4 6 4 2 3" xfId="13152" xr:uid="{00000000-0005-0000-0000-0000210E0000}"/>
    <cellStyle name="20% - Accent2 4 6 4 3" xfId="13153" xr:uid="{00000000-0005-0000-0000-0000220E0000}"/>
    <cellStyle name="20% - Accent2 4 6 4 3 2" xfId="13154" xr:uid="{00000000-0005-0000-0000-0000230E0000}"/>
    <cellStyle name="20% - Accent2 4 6 4 4" xfId="13155" xr:uid="{00000000-0005-0000-0000-0000240E0000}"/>
    <cellStyle name="20% - Accent2 4 6 4 5" xfId="13156" xr:uid="{00000000-0005-0000-0000-0000250E0000}"/>
    <cellStyle name="20% - Accent2 4 6 5" xfId="13157" xr:uid="{00000000-0005-0000-0000-0000260E0000}"/>
    <cellStyle name="20% - Accent2 4 6 5 2" xfId="13158" xr:uid="{00000000-0005-0000-0000-0000270E0000}"/>
    <cellStyle name="20% - Accent2 4 6 5 3" xfId="13159" xr:uid="{00000000-0005-0000-0000-0000280E0000}"/>
    <cellStyle name="20% - Accent2 4 6 6" xfId="13160" xr:uid="{00000000-0005-0000-0000-0000290E0000}"/>
    <cellStyle name="20% - Accent2 4 6 6 2" xfId="13161" xr:uid="{00000000-0005-0000-0000-00002A0E0000}"/>
    <cellStyle name="20% - Accent2 4 6 6 3" xfId="13162" xr:uid="{00000000-0005-0000-0000-00002B0E0000}"/>
    <cellStyle name="20% - Accent2 4 6 7" xfId="13163" xr:uid="{00000000-0005-0000-0000-00002C0E0000}"/>
    <cellStyle name="20% - Accent2 4 6 7 2" xfId="13164" xr:uid="{00000000-0005-0000-0000-00002D0E0000}"/>
    <cellStyle name="20% - Accent2 4 6 8" xfId="13165" xr:uid="{00000000-0005-0000-0000-00002E0E0000}"/>
    <cellStyle name="20% - Accent2 4 6 9" xfId="13166" xr:uid="{00000000-0005-0000-0000-00002F0E0000}"/>
    <cellStyle name="20% - Accent2 4 7" xfId="8803" xr:uid="{00000000-0005-0000-0000-0000300E0000}"/>
    <cellStyle name="20% - Accent2 4 7 2" xfId="13167" xr:uid="{00000000-0005-0000-0000-0000310E0000}"/>
    <cellStyle name="20% - Accent2 4 7 2 2" xfId="13168" xr:uid="{00000000-0005-0000-0000-0000320E0000}"/>
    <cellStyle name="20% - Accent2 4 7 2 2 2" xfId="13169" xr:uid="{00000000-0005-0000-0000-0000330E0000}"/>
    <cellStyle name="20% - Accent2 4 7 2 2 3" xfId="13170" xr:uid="{00000000-0005-0000-0000-0000340E0000}"/>
    <cellStyle name="20% - Accent2 4 7 2 3" xfId="13171" xr:uid="{00000000-0005-0000-0000-0000350E0000}"/>
    <cellStyle name="20% - Accent2 4 7 2 3 2" xfId="13172" xr:uid="{00000000-0005-0000-0000-0000360E0000}"/>
    <cellStyle name="20% - Accent2 4 7 2 3 3" xfId="13173" xr:uid="{00000000-0005-0000-0000-0000370E0000}"/>
    <cellStyle name="20% - Accent2 4 7 2 4" xfId="13174" xr:uid="{00000000-0005-0000-0000-0000380E0000}"/>
    <cellStyle name="20% - Accent2 4 7 2 4 2" xfId="13175" xr:uid="{00000000-0005-0000-0000-0000390E0000}"/>
    <cellStyle name="20% - Accent2 4 7 2 5" xfId="13176" xr:uid="{00000000-0005-0000-0000-00003A0E0000}"/>
    <cellStyle name="20% - Accent2 4 7 2 6" xfId="13177" xr:uid="{00000000-0005-0000-0000-00003B0E0000}"/>
    <cellStyle name="20% - Accent2 4 7 3" xfId="13178" xr:uid="{00000000-0005-0000-0000-00003C0E0000}"/>
    <cellStyle name="20% - Accent2 4 7 3 2" xfId="13179" xr:uid="{00000000-0005-0000-0000-00003D0E0000}"/>
    <cellStyle name="20% - Accent2 4 7 3 2 2" xfId="13180" xr:uid="{00000000-0005-0000-0000-00003E0E0000}"/>
    <cellStyle name="20% - Accent2 4 7 3 2 3" xfId="13181" xr:uid="{00000000-0005-0000-0000-00003F0E0000}"/>
    <cellStyle name="20% - Accent2 4 7 3 3" xfId="13182" xr:uid="{00000000-0005-0000-0000-0000400E0000}"/>
    <cellStyle name="20% - Accent2 4 7 3 3 2" xfId="13183" xr:uid="{00000000-0005-0000-0000-0000410E0000}"/>
    <cellStyle name="20% - Accent2 4 7 3 3 3" xfId="13184" xr:uid="{00000000-0005-0000-0000-0000420E0000}"/>
    <cellStyle name="20% - Accent2 4 7 3 4" xfId="13185" xr:uid="{00000000-0005-0000-0000-0000430E0000}"/>
    <cellStyle name="20% - Accent2 4 7 3 4 2" xfId="13186" xr:uid="{00000000-0005-0000-0000-0000440E0000}"/>
    <cellStyle name="20% - Accent2 4 7 3 5" xfId="13187" xr:uid="{00000000-0005-0000-0000-0000450E0000}"/>
    <cellStyle name="20% - Accent2 4 7 3 6" xfId="13188" xr:uid="{00000000-0005-0000-0000-0000460E0000}"/>
    <cellStyle name="20% - Accent2 4 7 4" xfId="13189" xr:uid="{00000000-0005-0000-0000-0000470E0000}"/>
    <cellStyle name="20% - Accent2 4 7 4 2" xfId="13190" xr:uid="{00000000-0005-0000-0000-0000480E0000}"/>
    <cellStyle name="20% - Accent2 4 7 4 2 2" xfId="13191" xr:uid="{00000000-0005-0000-0000-0000490E0000}"/>
    <cellStyle name="20% - Accent2 4 7 4 2 3" xfId="13192" xr:uid="{00000000-0005-0000-0000-00004A0E0000}"/>
    <cellStyle name="20% - Accent2 4 7 4 3" xfId="13193" xr:uid="{00000000-0005-0000-0000-00004B0E0000}"/>
    <cellStyle name="20% - Accent2 4 7 4 3 2" xfId="13194" xr:uid="{00000000-0005-0000-0000-00004C0E0000}"/>
    <cellStyle name="20% - Accent2 4 7 4 4" xfId="13195" xr:uid="{00000000-0005-0000-0000-00004D0E0000}"/>
    <cellStyle name="20% - Accent2 4 7 4 5" xfId="13196" xr:uid="{00000000-0005-0000-0000-00004E0E0000}"/>
    <cellStyle name="20% - Accent2 4 7 5" xfId="13197" xr:uid="{00000000-0005-0000-0000-00004F0E0000}"/>
    <cellStyle name="20% - Accent2 4 7 5 2" xfId="13198" xr:uid="{00000000-0005-0000-0000-0000500E0000}"/>
    <cellStyle name="20% - Accent2 4 7 5 3" xfId="13199" xr:uid="{00000000-0005-0000-0000-0000510E0000}"/>
    <cellStyle name="20% - Accent2 4 7 6" xfId="13200" xr:uid="{00000000-0005-0000-0000-0000520E0000}"/>
    <cellStyle name="20% - Accent2 4 7 6 2" xfId="13201" xr:uid="{00000000-0005-0000-0000-0000530E0000}"/>
    <cellStyle name="20% - Accent2 4 7 6 3" xfId="13202" xr:uid="{00000000-0005-0000-0000-0000540E0000}"/>
    <cellStyle name="20% - Accent2 4 7 7" xfId="13203" xr:uid="{00000000-0005-0000-0000-0000550E0000}"/>
    <cellStyle name="20% - Accent2 4 7 7 2" xfId="13204" xr:uid="{00000000-0005-0000-0000-0000560E0000}"/>
    <cellStyle name="20% - Accent2 4 7 8" xfId="13205" xr:uid="{00000000-0005-0000-0000-0000570E0000}"/>
    <cellStyle name="20% - Accent2 4 7 9" xfId="13206" xr:uid="{00000000-0005-0000-0000-0000580E0000}"/>
    <cellStyle name="20% - Accent2 4 8" xfId="13207" xr:uid="{00000000-0005-0000-0000-0000590E0000}"/>
    <cellStyle name="20% - Accent2 4 8 2" xfId="13208" xr:uid="{00000000-0005-0000-0000-00005A0E0000}"/>
    <cellStyle name="20% - Accent2 4 8 2 2" xfId="13209" xr:uid="{00000000-0005-0000-0000-00005B0E0000}"/>
    <cellStyle name="20% - Accent2 4 8 2 3" xfId="13210" xr:uid="{00000000-0005-0000-0000-00005C0E0000}"/>
    <cellStyle name="20% - Accent2 4 8 3" xfId="13211" xr:uid="{00000000-0005-0000-0000-00005D0E0000}"/>
    <cellStyle name="20% - Accent2 4 8 3 2" xfId="13212" xr:uid="{00000000-0005-0000-0000-00005E0E0000}"/>
    <cellStyle name="20% - Accent2 4 8 3 3" xfId="13213" xr:uid="{00000000-0005-0000-0000-00005F0E0000}"/>
    <cellStyle name="20% - Accent2 4 8 4" xfId="13214" xr:uid="{00000000-0005-0000-0000-0000600E0000}"/>
    <cellStyle name="20% - Accent2 4 8 4 2" xfId="13215" xr:uid="{00000000-0005-0000-0000-0000610E0000}"/>
    <cellStyle name="20% - Accent2 4 8 5" xfId="13216" xr:uid="{00000000-0005-0000-0000-0000620E0000}"/>
    <cellStyle name="20% - Accent2 4 8 6" xfId="13217" xr:uid="{00000000-0005-0000-0000-0000630E0000}"/>
    <cellStyle name="20% - Accent2 4 9" xfId="13218" xr:uid="{00000000-0005-0000-0000-0000640E0000}"/>
    <cellStyle name="20% - Accent2 4 9 2" xfId="13219" xr:uid="{00000000-0005-0000-0000-0000650E0000}"/>
    <cellStyle name="20% - Accent2 4 9 2 2" xfId="13220" xr:uid="{00000000-0005-0000-0000-0000660E0000}"/>
    <cellStyle name="20% - Accent2 4 9 2 3" xfId="13221" xr:uid="{00000000-0005-0000-0000-0000670E0000}"/>
    <cellStyle name="20% - Accent2 4 9 3" xfId="13222" xr:uid="{00000000-0005-0000-0000-0000680E0000}"/>
    <cellStyle name="20% - Accent2 4 9 3 2" xfId="13223" xr:uid="{00000000-0005-0000-0000-0000690E0000}"/>
    <cellStyle name="20% - Accent2 4 9 3 3" xfId="13224" xr:uid="{00000000-0005-0000-0000-00006A0E0000}"/>
    <cellStyle name="20% - Accent2 4 9 4" xfId="13225" xr:uid="{00000000-0005-0000-0000-00006B0E0000}"/>
    <cellStyle name="20% - Accent2 4 9 4 2" xfId="13226" xr:uid="{00000000-0005-0000-0000-00006C0E0000}"/>
    <cellStyle name="20% - Accent2 4 9 5" xfId="13227" xr:uid="{00000000-0005-0000-0000-00006D0E0000}"/>
    <cellStyle name="20% - Accent2 4 9 6" xfId="13228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7861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04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7862" xr:uid="{00000000-0005-0000-0000-0000860E0000}"/>
    <cellStyle name="20% - Accent2 6 2 5" xfId="57863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7864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7865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7866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7867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7868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7869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7870" xr:uid="{00000000-0005-0000-0000-0000AF0E0000}"/>
    <cellStyle name="20% - Accent3 13" xfId="452" xr:uid="{00000000-0005-0000-0000-0000B00E0000}"/>
    <cellStyle name="20% - Accent3 13 2" xfId="57871" xr:uid="{00000000-0005-0000-0000-0000B10E0000}"/>
    <cellStyle name="20% - Accent3 14" xfId="8805" xr:uid="{00000000-0005-0000-0000-0000B20E0000}"/>
    <cellStyle name="20% - Accent3 15" xfId="9385" xr:uid="{00000000-0005-0000-0000-0000B30E0000}"/>
    <cellStyle name="20% - Accent3 16" xfId="9386" xr:uid="{00000000-0005-0000-0000-0000B40E0000}"/>
    <cellStyle name="20% - Accent3 17" xfId="9387" xr:uid="{00000000-0005-0000-0000-0000B50E0000}"/>
    <cellStyle name="20% - Accent3 17 2" xfId="57872" xr:uid="{00000000-0005-0000-0000-0000B60E0000}"/>
    <cellStyle name="20% - Accent3 18" xfId="57873" xr:uid="{00000000-0005-0000-0000-0000B70E0000}"/>
    <cellStyle name="20% - Accent3 19" xfId="57874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7875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7876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7877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7878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7879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7880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7881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7882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7883" xr:uid="{00000000-0005-0000-0000-0000020F0000}"/>
    <cellStyle name="20% - Accent3 20" xfId="57884" xr:uid="{00000000-0005-0000-0000-0000030F0000}"/>
    <cellStyle name="20% - Accent3 21" xfId="57885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06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07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08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09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10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11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12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13" xr:uid="{00000000-0005-0000-0000-00004D0F0000}"/>
    <cellStyle name="20% - Accent3 4" xfId="583" xr:uid="{00000000-0005-0000-0000-00004E0F0000}"/>
    <cellStyle name="20% - Accent3 4 10" xfId="13229" xr:uid="{00000000-0005-0000-0000-00004F0F0000}"/>
    <cellStyle name="20% - Accent3 4 10 2" xfId="13230" xr:uid="{00000000-0005-0000-0000-0000500F0000}"/>
    <cellStyle name="20% - Accent3 4 10 2 2" xfId="13231" xr:uid="{00000000-0005-0000-0000-0000510F0000}"/>
    <cellStyle name="20% - Accent3 4 10 2 3" xfId="13232" xr:uid="{00000000-0005-0000-0000-0000520F0000}"/>
    <cellStyle name="20% - Accent3 4 10 3" xfId="13233" xr:uid="{00000000-0005-0000-0000-0000530F0000}"/>
    <cellStyle name="20% - Accent3 4 10 3 2" xfId="13234" xr:uid="{00000000-0005-0000-0000-0000540F0000}"/>
    <cellStyle name="20% - Accent3 4 10 4" xfId="13235" xr:uid="{00000000-0005-0000-0000-0000550F0000}"/>
    <cellStyle name="20% - Accent3 4 10 5" xfId="13236" xr:uid="{00000000-0005-0000-0000-0000560F0000}"/>
    <cellStyle name="20% - Accent3 4 11" xfId="13237" xr:uid="{00000000-0005-0000-0000-0000570F0000}"/>
    <cellStyle name="20% - Accent3 4 11 2" xfId="13238" xr:uid="{00000000-0005-0000-0000-0000580F0000}"/>
    <cellStyle name="20% - Accent3 4 11 3" xfId="13239" xr:uid="{00000000-0005-0000-0000-0000590F0000}"/>
    <cellStyle name="20% - Accent3 4 12" xfId="13240" xr:uid="{00000000-0005-0000-0000-00005A0F0000}"/>
    <cellStyle name="20% - Accent3 4 12 2" xfId="13241" xr:uid="{00000000-0005-0000-0000-00005B0F0000}"/>
    <cellStyle name="20% - Accent3 4 12 3" xfId="13242" xr:uid="{00000000-0005-0000-0000-00005C0F0000}"/>
    <cellStyle name="20% - Accent3 4 13" xfId="13243" xr:uid="{00000000-0005-0000-0000-00005D0F0000}"/>
    <cellStyle name="20% - Accent3 4 13 2" xfId="13244" xr:uid="{00000000-0005-0000-0000-00005E0F0000}"/>
    <cellStyle name="20% - Accent3 4 14" xfId="13245" xr:uid="{00000000-0005-0000-0000-00005F0F0000}"/>
    <cellStyle name="20% - Accent3 4 15" xfId="13246" xr:uid="{00000000-0005-0000-0000-0000600F0000}"/>
    <cellStyle name="20% - Accent3 4 16" xfId="13247" xr:uid="{00000000-0005-0000-0000-0000610F0000}"/>
    <cellStyle name="20% - Accent3 4 2" xfId="584" xr:uid="{00000000-0005-0000-0000-0000620F0000}"/>
    <cellStyle name="20% - Accent3 4 2 10" xfId="13248" xr:uid="{00000000-0005-0000-0000-0000630F0000}"/>
    <cellStyle name="20% - Accent3 4 2 10 2" xfId="13249" xr:uid="{00000000-0005-0000-0000-0000640F0000}"/>
    <cellStyle name="20% - Accent3 4 2 10 3" xfId="13250" xr:uid="{00000000-0005-0000-0000-0000650F0000}"/>
    <cellStyle name="20% - Accent3 4 2 11" xfId="13251" xr:uid="{00000000-0005-0000-0000-0000660F0000}"/>
    <cellStyle name="20% - Accent3 4 2 11 2" xfId="13252" xr:uid="{00000000-0005-0000-0000-0000670F0000}"/>
    <cellStyle name="20% - Accent3 4 2 11 3" xfId="13253" xr:uid="{00000000-0005-0000-0000-0000680F0000}"/>
    <cellStyle name="20% - Accent3 4 2 12" xfId="13254" xr:uid="{00000000-0005-0000-0000-0000690F0000}"/>
    <cellStyle name="20% - Accent3 4 2 12 2" xfId="13255" xr:uid="{00000000-0005-0000-0000-00006A0F0000}"/>
    <cellStyle name="20% - Accent3 4 2 13" xfId="13256" xr:uid="{00000000-0005-0000-0000-00006B0F0000}"/>
    <cellStyle name="20% - Accent3 4 2 14" xfId="13257" xr:uid="{00000000-0005-0000-0000-00006C0F0000}"/>
    <cellStyle name="20% - Accent3 4 2 15" xfId="13258" xr:uid="{00000000-0005-0000-0000-00006D0F0000}"/>
    <cellStyle name="20% - Accent3 4 2 2" xfId="585" xr:uid="{00000000-0005-0000-0000-00006E0F0000}"/>
    <cellStyle name="20% - Accent3 4 2 2 10" xfId="13259" xr:uid="{00000000-0005-0000-0000-00006F0F0000}"/>
    <cellStyle name="20% - Accent3 4 2 2 10 2" xfId="13260" xr:uid="{00000000-0005-0000-0000-0000700F0000}"/>
    <cellStyle name="20% - Accent3 4 2 2 10 3" xfId="13261" xr:uid="{00000000-0005-0000-0000-0000710F0000}"/>
    <cellStyle name="20% - Accent3 4 2 2 11" xfId="13262" xr:uid="{00000000-0005-0000-0000-0000720F0000}"/>
    <cellStyle name="20% - Accent3 4 2 2 11 2" xfId="13263" xr:uid="{00000000-0005-0000-0000-0000730F0000}"/>
    <cellStyle name="20% - Accent3 4 2 2 12" xfId="13264" xr:uid="{00000000-0005-0000-0000-0000740F0000}"/>
    <cellStyle name="20% - Accent3 4 2 2 13" xfId="13265" xr:uid="{00000000-0005-0000-0000-0000750F0000}"/>
    <cellStyle name="20% - Accent3 4 2 2 2" xfId="586" xr:uid="{00000000-0005-0000-0000-0000760F0000}"/>
    <cellStyle name="20% - Accent3 4 2 2 2 10" xfId="13266" xr:uid="{00000000-0005-0000-0000-0000770F0000}"/>
    <cellStyle name="20% - Accent3 4 2 2 2 10 2" xfId="13267" xr:uid="{00000000-0005-0000-0000-0000780F0000}"/>
    <cellStyle name="20% - Accent3 4 2 2 2 11" xfId="13268" xr:uid="{00000000-0005-0000-0000-0000790F0000}"/>
    <cellStyle name="20% - Accent3 4 2 2 2 12" xfId="13269" xr:uid="{00000000-0005-0000-0000-00007A0F0000}"/>
    <cellStyle name="20% - Accent3 4 2 2 2 2" xfId="587" xr:uid="{00000000-0005-0000-0000-00007B0F0000}"/>
    <cellStyle name="20% - Accent3 4 2 2 2 2 10" xfId="13270" xr:uid="{00000000-0005-0000-0000-00007C0F0000}"/>
    <cellStyle name="20% - Accent3 4 2 2 2 2 2" xfId="588" xr:uid="{00000000-0005-0000-0000-00007D0F0000}"/>
    <cellStyle name="20% - Accent3 4 2 2 2 2 2 2" xfId="13271" xr:uid="{00000000-0005-0000-0000-00007E0F0000}"/>
    <cellStyle name="20% - Accent3 4 2 2 2 2 2 2 2" xfId="13272" xr:uid="{00000000-0005-0000-0000-00007F0F0000}"/>
    <cellStyle name="20% - Accent3 4 2 2 2 2 2 2 2 2" xfId="13273" xr:uid="{00000000-0005-0000-0000-0000800F0000}"/>
    <cellStyle name="20% - Accent3 4 2 2 2 2 2 2 2 3" xfId="13274" xr:uid="{00000000-0005-0000-0000-0000810F0000}"/>
    <cellStyle name="20% - Accent3 4 2 2 2 2 2 2 3" xfId="13275" xr:uid="{00000000-0005-0000-0000-0000820F0000}"/>
    <cellStyle name="20% - Accent3 4 2 2 2 2 2 2 3 2" xfId="13276" xr:uid="{00000000-0005-0000-0000-0000830F0000}"/>
    <cellStyle name="20% - Accent3 4 2 2 2 2 2 2 3 3" xfId="13277" xr:uid="{00000000-0005-0000-0000-0000840F0000}"/>
    <cellStyle name="20% - Accent3 4 2 2 2 2 2 2 4" xfId="13278" xr:uid="{00000000-0005-0000-0000-0000850F0000}"/>
    <cellStyle name="20% - Accent3 4 2 2 2 2 2 2 4 2" xfId="13279" xr:uid="{00000000-0005-0000-0000-0000860F0000}"/>
    <cellStyle name="20% - Accent3 4 2 2 2 2 2 2 5" xfId="13280" xr:uid="{00000000-0005-0000-0000-0000870F0000}"/>
    <cellStyle name="20% - Accent3 4 2 2 2 2 2 2 6" xfId="13281" xr:uid="{00000000-0005-0000-0000-0000880F0000}"/>
    <cellStyle name="20% - Accent3 4 2 2 2 2 2 3" xfId="13282" xr:uid="{00000000-0005-0000-0000-0000890F0000}"/>
    <cellStyle name="20% - Accent3 4 2 2 2 2 2 3 2" xfId="13283" xr:uid="{00000000-0005-0000-0000-00008A0F0000}"/>
    <cellStyle name="20% - Accent3 4 2 2 2 2 2 3 2 2" xfId="13284" xr:uid="{00000000-0005-0000-0000-00008B0F0000}"/>
    <cellStyle name="20% - Accent3 4 2 2 2 2 2 3 2 3" xfId="13285" xr:uid="{00000000-0005-0000-0000-00008C0F0000}"/>
    <cellStyle name="20% - Accent3 4 2 2 2 2 2 3 3" xfId="13286" xr:uid="{00000000-0005-0000-0000-00008D0F0000}"/>
    <cellStyle name="20% - Accent3 4 2 2 2 2 2 3 3 2" xfId="13287" xr:uid="{00000000-0005-0000-0000-00008E0F0000}"/>
    <cellStyle name="20% - Accent3 4 2 2 2 2 2 3 3 3" xfId="13288" xr:uid="{00000000-0005-0000-0000-00008F0F0000}"/>
    <cellStyle name="20% - Accent3 4 2 2 2 2 2 3 4" xfId="13289" xr:uid="{00000000-0005-0000-0000-0000900F0000}"/>
    <cellStyle name="20% - Accent3 4 2 2 2 2 2 3 4 2" xfId="13290" xr:uid="{00000000-0005-0000-0000-0000910F0000}"/>
    <cellStyle name="20% - Accent3 4 2 2 2 2 2 3 5" xfId="13291" xr:uid="{00000000-0005-0000-0000-0000920F0000}"/>
    <cellStyle name="20% - Accent3 4 2 2 2 2 2 3 6" xfId="13292" xr:uid="{00000000-0005-0000-0000-0000930F0000}"/>
    <cellStyle name="20% - Accent3 4 2 2 2 2 2 4" xfId="13293" xr:uid="{00000000-0005-0000-0000-0000940F0000}"/>
    <cellStyle name="20% - Accent3 4 2 2 2 2 2 4 2" xfId="13294" xr:uid="{00000000-0005-0000-0000-0000950F0000}"/>
    <cellStyle name="20% - Accent3 4 2 2 2 2 2 4 2 2" xfId="13295" xr:uid="{00000000-0005-0000-0000-0000960F0000}"/>
    <cellStyle name="20% - Accent3 4 2 2 2 2 2 4 2 3" xfId="13296" xr:uid="{00000000-0005-0000-0000-0000970F0000}"/>
    <cellStyle name="20% - Accent3 4 2 2 2 2 2 4 3" xfId="13297" xr:uid="{00000000-0005-0000-0000-0000980F0000}"/>
    <cellStyle name="20% - Accent3 4 2 2 2 2 2 4 3 2" xfId="13298" xr:uid="{00000000-0005-0000-0000-0000990F0000}"/>
    <cellStyle name="20% - Accent3 4 2 2 2 2 2 4 4" xfId="13299" xr:uid="{00000000-0005-0000-0000-00009A0F0000}"/>
    <cellStyle name="20% - Accent3 4 2 2 2 2 2 4 5" xfId="13300" xr:uid="{00000000-0005-0000-0000-00009B0F0000}"/>
    <cellStyle name="20% - Accent3 4 2 2 2 2 2 5" xfId="13301" xr:uid="{00000000-0005-0000-0000-00009C0F0000}"/>
    <cellStyle name="20% - Accent3 4 2 2 2 2 2 5 2" xfId="13302" xr:uid="{00000000-0005-0000-0000-00009D0F0000}"/>
    <cellStyle name="20% - Accent3 4 2 2 2 2 2 5 3" xfId="13303" xr:uid="{00000000-0005-0000-0000-00009E0F0000}"/>
    <cellStyle name="20% - Accent3 4 2 2 2 2 2 6" xfId="13304" xr:uid="{00000000-0005-0000-0000-00009F0F0000}"/>
    <cellStyle name="20% - Accent3 4 2 2 2 2 2 6 2" xfId="13305" xr:uid="{00000000-0005-0000-0000-0000A00F0000}"/>
    <cellStyle name="20% - Accent3 4 2 2 2 2 2 6 3" xfId="13306" xr:uid="{00000000-0005-0000-0000-0000A10F0000}"/>
    <cellStyle name="20% - Accent3 4 2 2 2 2 2 7" xfId="13307" xr:uid="{00000000-0005-0000-0000-0000A20F0000}"/>
    <cellStyle name="20% - Accent3 4 2 2 2 2 2 7 2" xfId="13308" xr:uid="{00000000-0005-0000-0000-0000A30F0000}"/>
    <cellStyle name="20% - Accent3 4 2 2 2 2 2 8" xfId="13309" xr:uid="{00000000-0005-0000-0000-0000A40F0000}"/>
    <cellStyle name="20% - Accent3 4 2 2 2 2 2 9" xfId="13310" xr:uid="{00000000-0005-0000-0000-0000A50F0000}"/>
    <cellStyle name="20% - Accent3 4 2 2 2 2 3" xfId="13311" xr:uid="{00000000-0005-0000-0000-0000A60F0000}"/>
    <cellStyle name="20% - Accent3 4 2 2 2 2 3 2" xfId="13312" xr:uid="{00000000-0005-0000-0000-0000A70F0000}"/>
    <cellStyle name="20% - Accent3 4 2 2 2 2 3 2 2" xfId="13313" xr:uid="{00000000-0005-0000-0000-0000A80F0000}"/>
    <cellStyle name="20% - Accent3 4 2 2 2 2 3 2 3" xfId="13314" xr:uid="{00000000-0005-0000-0000-0000A90F0000}"/>
    <cellStyle name="20% - Accent3 4 2 2 2 2 3 3" xfId="13315" xr:uid="{00000000-0005-0000-0000-0000AA0F0000}"/>
    <cellStyle name="20% - Accent3 4 2 2 2 2 3 3 2" xfId="13316" xr:uid="{00000000-0005-0000-0000-0000AB0F0000}"/>
    <cellStyle name="20% - Accent3 4 2 2 2 2 3 3 3" xfId="13317" xr:uid="{00000000-0005-0000-0000-0000AC0F0000}"/>
    <cellStyle name="20% - Accent3 4 2 2 2 2 3 4" xfId="13318" xr:uid="{00000000-0005-0000-0000-0000AD0F0000}"/>
    <cellStyle name="20% - Accent3 4 2 2 2 2 3 4 2" xfId="13319" xr:uid="{00000000-0005-0000-0000-0000AE0F0000}"/>
    <cellStyle name="20% - Accent3 4 2 2 2 2 3 5" xfId="13320" xr:uid="{00000000-0005-0000-0000-0000AF0F0000}"/>
    <cellStyle name="20% - Accent3 4 2 2 2 2 3 6" xfId="13321" xr:uid="{00000000-0005-0000-0000-0000B00F0000}"/>
    <cellStyle name="20% - Accent3 4 2 2 2 2 4" xfId="13322" xr:uid="{00000000-0005-0000-0000-0000B10F0000}"/>
    <cellStyle name="20% - Accent3 4 2 2 2 2 4 2" xfId="13323" xr:uid="{00000000-0005-0000-0000-0000B20F0000}"/>
    <cellStyle name="20% - Accent3 4 2 2 2 2 4 2 2" xfId="13324" xr:uid="{00000000-0005-0000-0000-0000B30F0000}"/>
    <cellStyle name="20% - Accent3 4 2 2 2 2 4 2 3" xfId="13325" xr:uid="{00000000-0005-0000-0000-0000B40F0000}"/>
    <cellStyle name="20% - Accent3 4 2 2 2 2 4 3" xfId="13326" xr:uid="{00000000-0005-0000-0000-0000B50F0000}"/>
    <cellStyle name="20% - Accent3 4 2 2 2 2 4 3 2" xfId="13327" xr:uid="{00000000-0005-0000-0000-0000B60F0000}"/>
    <cellStyle name="20% - Accent3 4 2 2 2 2 4 3 3" xfId="13328" xr:uid="{00000000-0005-0000-0000-0000B70F0000}"/>
    <cellStyle name="20% - Accent3 4 2 2 2 2 4 4" xfId="13329" xr:uid="{00000000-0005-0000-0000-0000B80F0000}"/>
    <cellStyle name="20% - Accent3 4 2 2 2 2 4 4 2" xfId="13330" xr:uid="{00000000-0005-0000-0000-0000B90F0000}"/>
    <cellStyle name="20% - Accent3 4 2 2 2 2 4 5" xfId="13331" xr:uid="{00000000-0005-0000-0000-0000BA0F0000}"/>
    <cellStyle name="20% - Accent3 4 2 2 2 2 4 6" xfId="13332" xr:uid="{00000000-0005-0000-0000-0000BB0F0000}"/>
    <cellStyle name="20% - Accent3 4 2 2 2 2 5" xfId="13333" xr:uid="{00000000-0005-0000-0000-0000BC0F0000}"/>
    <cellStyle name="20% - Accent3 4 2 2 2 2 5 2" xfId="13334" xr:uid="{00000000-0005-0000-0000-0000BD0F0000}"/>
    <cellStyle name="20% - Accent3 4 2 2 2 2 5 2 2" xfId="13335" xr:uid="{00000000-0005-0000-0000-0000BE0F0000}"/>
    <cellStyle name="20% - Accent3 4 2 2 2 2 5 2 3" xfId="13336" xr:uid="{00000000-0005-0000-0000-0000BF0F0000}"/>
    <cellStyle name="20% - Accent3 4 2 2 2 2 5 3" xfId="13337" xr:uid="{00000000-0005-0000-0000-0000C00F0000}"/>
    <cellStyle name="20% - Accent3 4 2 2 2 2 5 3 2" xfId="13338" xr:uid="{00000000-0005-0000-0000-0000C10F0000}"/>
    <cellStyle name="20% - Accent3 4 2 2 2 2 5 4" xfId="13339" xr:uid="{00000000-0005-0000-0000-0000C20F0000}"/>
    <cellStyle name="20% - Accent3 4 2 2 2 2 5 5" xfId="13340" xr:uid="{00000000-0005-0000-0000-0000C30F0000}"/>
    <cellStyle name="20% - Accent3 4 2 2 2 2 6" xfId="13341" xr:uid="{00000000-0005-0000-0000-0000C40F0000}"/>
    <cellStyle name="20% - Accent3 4 2 2 2 2 6 2" xfId="13342" xr:uid="{00000000-0005-0000-0000-0000C50F0000}"/>
    <cellStyle name="20% - Accent3 4 2 2 2 2 6 3" xfId="13343" xr:uid="{00000000-0005-0000-0000-0000C60F0000}"/>
    <cellStyle name="20% - Accent3 4 2 2 2 2 7" xfId="13344" xr:uid="{00000000-0005-0000-0000-0000C70F0000}"/>
    <cellStyle name="20% - Accent3 4 2 2 2 2 7 2" xfId="13345" xr:uid="{00000000-0005-0000-0000-0000C80F0000}"/>
    <cellStyle name="20% - Accent3 4 2 2 2 2 7 3" xfId="13346" xr:uid="{00000000-0005-0000-0000-0000C90F0000}"/>
    <cellStyle name="20% - Accent3 4 2 2 2 2 8" xfId="13347" xr:uid="{00000000-0005-0000-0000-0000CA0F0000}"/>
    <cellStyle name="20% - Accent3 4 2 2 2 2 8 2" xfId="13348" xr:uid="{00000000-0005-0000-0000-0000CB0F0000}"/>
    <cellStyle name="20% - Accent3 4 2 2 2 2 9" xfId="13349" xr:uid="{00000000-0005-0000-0000-0000CC0F0000}"/>
    <cellStyle name="20% - Accent3 4 2 2 2 3" xfId="589" xr:uid="{00000000-0005-0000-0000-0000CD0F0000}"/>
    <cellStyle name="20% - Accent3 4 2 2 2 3 2" xfId="13350" xr:uid="{00000000-0005-0000-0000-0000CE0F0000}"/>
    <cellStyle name="20% - Accent3 4 2 2 2 3 2 2" xfId="13351" xr:uid="{00000000-0005-0000-0000-0000CF0F0000}"/>
    <cellStyle name="20% - Accent3 4 2 2 2 3 2 2 2" xfId="13352" xr:uid="{00000000-0005-0000-0000-0000D00F0000}"/>
    <cellStyle name="20% - Accent3 4 2 2 2 3 2 2 3" xfId="13353" xr:uid="{00000000-0005-0000-0000-0000D10F0000}"/>
    <cellStyle name="20% - Accent3 4 2 2 2 3 2 3" xfId="13354" xr:uid="{00000000-0005-0000-0000-0000D20F0000}"/>
    <cellStyle name="20% - Accent3 4 2 2 2 3 2 3 2" xfId="13355" xr:uid="{00000000-0005-0000-0000-0000D30F0000}"/>
    <cellStyle name="20% - Accent3 4 2 2 2 3 2 3 3" xfId="13356" xr:uid="{00000000-0005-0000-0000-0000D40F0000}"/>
    <cellStyle name="20% - Accent3 4 2 2 2 3 2 4" xfId="13357" xr:uid="{00000000-0005-0000-0000-0000D50F0000}"/>
    <cellStyle name="20% - Accent3 4 2 2 2 3 2 4 2" xfId="13358" xr:uid="{00000000-0005-0000-0000-0000D60F0000}"/>
    <cellStyle name="20% - Accent3 4 2 2 2 3 2 5" xfId="13359" xr:uid="{00000000-0005-0000-0000-0000D70F0000}"/>
    <cellStyle name="20% - Accent3 4 2 2 2 3 2 6" xfId="13360" xr:uid="{00000000-0005-0000-0000-0000D80F0000}"/>
    <cellStyle name="20% - Accent3 4 2 2 2 3 3" xfId="13361" xr:uid="{00000000-0005-0000-0000-0000D90F0000}"/>
    <cellStyle name="20% - Accent3 4 2 2 2 3 3 2" xfId="13362" xr:uid="{00000000-0005-0000-0000-0000DA0F0000}"/>
    <cellStyle name="20% - Accent3 4 2 2 2 3 3 2 2" xfId="13363" xr:uid="{00000000-0005-0000-0000-0000DB0F0000}"/>
    <cellStyle name="20% - Accent3 4 2 2 2 3 3 2 3" xfId="13364" xr:uid="{00000000-0005-0000-0000-0000DC0F0000}"/>
    <cellStyle name="20% - Accent3 4 2 2 2 3 3 3" xfId="13365" xr:uid="{00000000-0005-0000-0000-0000DD0F0000}"/>
    <cellStyle name="20% - Accent3 4 2 2 2 3 3 3 2" xfId="13366" xr:uid="{00000000-0005-0000-0000-0000DE0F0000}"/>
    <cellStyle name="20% - Accent3 4 2 2 2 3 3 3 3" xfId="13367" xr:uid="{00000000-0005-0000-0000-0000DF0F0000}"/>
    <cellStyle name="20% - Accent3 4 2 2 2 3 3 4" xfId="13368" xr:uid="{00000000-0005-0000-0000-0000E00F0000}"/>
    <cellStyle name="20% - Accent3 4 2 2 2 3 3 4 2" xfId="13369" xr:uid="{00000000-0005-0000-0000-0000E10F0000}"/>
    <cellStyle name="20% - Accent3 4 2 2 2 3 3 5" xfId="13370" xr:uid="{00000000-0005-0000-0000-0000E20F0000}"/>
    <cellStyle name="20% - Accent3 4 2 2 2 3 3 6" xfId="13371" xr:uid="{00000000-0005-0000-0000-0000E30F0000}"/>
    <cellStyle name="20% - Accent3 4 2 2 2 3 4" xfId="13372" xr:uid="{00000000-0005-0000-0000-0000E40F0000}"/>
    <cellStyle name="20% - Accent3 4 2 2 2 3 4 2" xfId="13373" xr:uid="{00000000-0005-0000-0000-0000E50F0000}"/>
    <cellStyle name="20% - Accent3 4 2 2 2 3 4 2 2" xfId="13374" xr:uid="{00000000-0005-0000-0000-0000E60F0000}"/>
    <cellStyle name="20% - Accent3 4 2 2 2 3 4 2 3" xfId="13375" xr:uid="{00000000-0005-0000-0000-0000E70F0000}"/>
    <cellStyle name="20% - Accent3 4 2 2 2 3 4 3" xfId="13376" xr:uid="{00000000-0005-0000-0000-0000E80F0000}"/>
    <cellStyle name="20% - Accent3 4 2 2 2 3 4 3 2" xfId="13377" xr:uid="{00000000-0005-0000-0000-0000E90F0000}"/>
    <cellStyle name="20% - Accent3 4 2 2 2 3 4 4" xfId="13378" xr:uid="{00000000-0005-0000-0000-0000EA0F0000}"/>
    <cellStyle name="20% - Accent3 4 2 2 2 3 4 5" xfId="13379" xr:uid="{00000000-0005-0000-0000-0000EB0F0000}"/>
    <cellStyle name="20% - Accent3 4 2 2 2 3 5" xfId="13380" xr:uid="{00000000-0005-0000-0000-0000EC0F0000}"/>
    <cellStyle name="20% - Accent3 4 2 2 2 3 5 2" xfId="13381" xr:uid="{00000000-0005-0000-0000-0000ED0F0000}"/>
    <cellStyle name="20% - Accent3 4 2 2 2 3 5 3" xfId="13382" xr:uid="{00000000-0005-0000-0000-0000EE0F0000}"/>
    <cellStyle name="20% - Accent3 4 2 2 2 3 6" xfId="13383" xr:uid="{00000000-0005-0000-0000-0000EF0F0000}"/>
    <cellStyle name="20% - Accent3 4 2 2 2 3 6 2" xfId="13384" xr:uid="{00000000-0005-0000-0000-0000F00F0000}"/>
    <cellStyle name="20% - Accent3 4 2 2 2 3 6 3" xfId="13385" xr:uid="{00000000-0005-0000-0000-0000F10F0000}"/>
    <cellStyle name="20% - Accent3 4 2 2 2 3 7" xfId="13386" xr:uid="{00000000-0005-0000-0000-0000F20F0000}"/>
    <cellStyle name="20% - Accent3 4 2 2 2 3 7 2" xfId="13387" xr:uid="{00000000-0005-0000-0000-0000F30F0000}"/>
    <cellStyle name="20% - Accent3 4 2 2 2 3 8" xfId="13388" xr:uid="{00000000-0005-0000-0000-0000F40F0000}"/>
    <cellStyle name="20% - Accent3 4 2 2 2 3 9" xfId="13389" xr:uid="{00000000-0005-0000-0000-0000F50F0000}"/>
    <cellStyle name="20% - Accent3 4 2 2 2 4" xfId="13390" xr:uid="{00000000-0005-0000-0000-0000F60F0000}"/>
    <cellStyle name="20% - Accent3 4 2 2 2 4 2" xfId="13391" xr:uid="{00000000-0005-0000-0000-0000F70F0000}"/>
    <cellStyle name="20% - Accent3 4 2 2 2 4 2 2" xfId="13392" xr:uid="{00000000-0005-0000-0000-0000F80F0000}"/>
    <cellStyle name="20% - Accent3 4 2 2 2 4 2 2 2" xfId="13393" xr:uid="{00000000-0005-0000-0000-0000F90F0000}"/>
    <cellStyle name="20% - Accent3 4 2 2 2 4 2 2 3" xfId="13394" xr:uid="{00000000-0005-0000-0000-0000FA0F0000}"/>
    <cellStyle name="20% - Accent3 4 2 2 2 4 2 3" xfId="13395" xr:uid="{00000000-0005-0000-0000-0000FB0F0000}"/>
    <cellStyle name="20% - Accent3 4 2 2 2 4 2 3 2" xfId="13396" xr:uid="{00000000-0005-0000-0000-0000FC0F0000}"/>
    <cellStyle name="20% - Accent3 4 2 2 2 4 2 3 3" xfId="13397" xr:uid="{00000000-0005-0000-0000-0000FD0F0000}"/>
    <cellStyle name="20% - Accent3 4 2 2 2 4 2 4" xfId="13398" xr:uid="{00000000-0005-0000-0000-0000FE0F0000}"/>
    <cellStyle name="20% - Accent3 4 2 2 2 4 2 4 2" xfId="13399" xr:uid="{00000000-0005-0000-0000-0000FF0F0000}"/>
    <cellStyle name="20% - Accent3 4 2 2 2 4 2 5" xfId="13400" xr:uid="{00000000-0005-0000-0000-000000100000}"/>
    <cellStyle name="20% - Accent3 4 2 2 2 4 2 6" xfId="13401" xr:uid="{00000000-0005-0000-0000-000001100000}"/>
    <cellStyle name="20% - Accent3 4 2 2 2 4 3" xfId="13402" xr:uid="{00000000-0005-0000-0000-000002100000}"/>
    <cellStyle name="20% - Accent3 4 2 2 2 4 3 2" xfId="13403" xr:uid="{00000000-0005-0000-0000-000003100000}"/>
    <cellStyle name="20% - Accent3 4 2 2 2 4 3 2 2" xfId="13404" xr:uid="{00000000-0005-0000-0000-000004100000}"/>
    <cellStyle name="20% - Accent3 4 2 2 2 4 3 2 3" xfId="13405" xr:uid="{00000000-0005-0000-0000-000005100000}"/>
    <cellStyle name="20% - Accent3 4 2 2 2 4 3 3" xfId="13406" xr:uid="{00000000-0005-0000-0000-000006100000}"/>
    <cellStyle name="20% - Accent3 4 2 2 2 4 3 3 2" xfId="13407" xr:uid="{00000000-0005-0000-0000-000007100000}"/>
    <cellStyle name="20% - Accent3 4 2 2 2 4 3 3 3" xfId="13408" xr:uid="{00000000-0005-0000-0000-000008100000}"/>
    <cellStyle name="20% - Accent3 4 2 2 2 4 3 4" xfId="13409" xr:uid="{00000000-0005-0000-0000-000009100000}"/>
    <cellStyle name="20% - Accent3 4 2 2 2 4 3 4 2" xfId="13410" xr:uid="{00000000-0005-0000-0000-00000A100000}"/>
    <cellStyle name="20% - Accent3 4 2 2 2 4 3 5" xfId="13411" xr:uid="{00000000-0005-0000-0000-00000B100000}"/>
    <cellStyle name="20% - Accent3 4 2 2 2 4 3 6" xfId="13412" xr:uid="{00000000-0005-0000-0000-00000C100000}"/>
    <cellStyle name="20% - Accent3 4 2 2 2 4 4" xfId="13413" xr:uid="{00000000-0005-0000-0000-00000D100000}"/>
    <cellStyle name="20% - Accent3 4 2 2 2 4 4 2" xfId="13414" xr:uid="{00000000-0005-0000-0000-00000E100000}"/>
    <cellStyle name="20% - Accent3 4 2 2 2 4 4 2 2" xfId="13415" xr:uid="{00000000-0005-0000-0000-00000F100000}"/>
    <cellStyle name="20% - Accent3 4 2 2 2 4 4 2 3" xfId="13416" xr:uid="{00000000-0005-0000-0000-000010100000}"/>
    <cellStyle name="20% - Accent3 4 2 2 2 4 4 3" xfId="13417" xr:uid="{00000000-0005-0000-0000-000011100000}"/>
    <cellStyle name="20% - Accent3 4 2 2 2 4 4 3 2" xfId="13418" xr:uid="{00000000-0005-0000-0000-000012100000}"/>
    <cellStyle name="20% - Accent3 4 2 2 2 4 4 4" xfId="13419" xr:uid="{00000000-0005-0000-0000-000013100000}"/>
    <cellStyle name="20% - Accent3 4 2 2 2 4 4 5" xfId="13420" xr:uid="{00000000-0005-0000-0000-000014100000}"/>
    <cellStyle name="20% - Accent3 4 2 2 2 4 5" xfId="13421" xr:uid="{00000000-0005-0000-0000-000015100000}"/>
    <cellStyle name="20% - Accent3 4 2 2 2 4 5 2" xfId="13422" xr:uid="{00000000-0005-0000-0000-000016100000}"/>
    <cellStyle name="20% - Accent3 4 2 2 2 4 5 3" xfId="13423" xr:uid="{00000000-0005-0000-0000-000017100000}"/>
    <cellStyle name="20% - Accent3 4 2 2 2 4 6" xfId="13424" xr:uid="{00000000-0005-0000-0000-000018100000}"/>
    <cellStyle name="20% - Accent3 4 2 2 2 4 6 2" xfId="13425" xr:uid="{00000000-0005-0000-0000-000019100000}"/>
    <cellStyle name="20% - Accent3 4 2 2 2 4 6 3" xfId="13426" xr:uid="{00000000-0005-0000-0000-00001A100000}"/>
    <cellStyle name="20% - Accent3 4 2 2 2 4 7" xfId="13427" xr:uid="{00000000-0005-0000-0000-00001B100000}"/>
    <cellStyle name="20% - Accent3 4 2 2 2 4 7 2" xfId="13428" xr:uid="{00000000-0005-0000-0000-00001C100000}"/>
    <cellStyle name="20% - Accent3 4 2 2 2 4 8" xfId="13429" xr:uid="{00000000-0005-0000-0000-00001D100000}"/>
    <cellStyle name="20% - Accent3 4 2 2 2 4 9" xfId="13430" xr:uid="{00000000-0005-0000-0000-00001E100000}"/>
    <cellStyle name="20% - Accent3 4 2 2 2 5" xfId="13431" xr:uid="{00000000-0005-0000-0000-00001F100000}"/>
    <cellStyle name="20% - Accent3 4 2 2 2 5 2" xfId="13432" xr:uid="{00000000-0005-0000-0000-000020100000}"/>
    <cellStyle name="20% - Accent3 4 2 2 2 5 2 2" xfId="13433" xr:uid="{00000000-0005-0000-0000-000021100000}"/>
    <cellStyle name="20% - Accent3 4 2 2 2 5 2 3" xfId="13434" xr:uid="{00000000-0005-0000-0000-000022100000}"/>
    <cellStyle name="20% - Accent3 4 2 2 2 5 3" xfId="13435" xr:uid="{00000000-0005-0000-0000-000023100000}"/>
    <cellStyle name="20% - Accent3 4 2 2 2 5 3 2" xfId="13436" xr:uid="{00000000-0005-0000-0000-000024100000}"/>
    <cellStyle name="20% - Accent3 4 2 2 2 5 3 3" xfId="13437" xr:uid="{00000000-0005-0000-0000-000025100000}"/>
    <cellStyle name="20% - Accent3 4 2 2 2 5 4" xfId="13438" xr:uid="{00000000-0005-0000-0000-000026100000}"/>
    <cellStyle name="20% - Accent3 4 2 2 2 5 4 2" xfId="13439" xr:uid="{00000000-0005-0000-0000-000027100000}"/>
    <cellStyle name="20% - Accent3 4 2 2 2 5 5" xfId="13440" xr:uid="{00000000-0005-0000-0000-000028100000}"/>
    <cellStyle name="20% - Accent3 4 2 2 2 5 6" xfId="13441" xr:uid="{00000000-0005-0000-0000-000029100000}"/>
    <cellStyle name="20% - Accent3 4 2 2 2 6" xfId="13442" xr:uid="{00000000-0005-0000-0000-00002A100000}"/>
    <cellStyle name="20% - Accent3 4 2 2 2 6 2" xfId="13443" xr:uid="{00000000-0005-0000-0000-00002B100000}"/>
    <cellStyle name="20% - Accent3 4 2 2 2 6 2 2" xfId="13444" xr:uid="{00000000-0005-0000-0000-00002C100000}"/>
    <cellStyle name="20% - Accent3 4 2 2 2 6 2 3" xfId="13445" xr:uid="{00000000-0005-0000-0000-00002D100000}"/>
    <cellStyle name="20% - Accent3 4 2 2 2 6 3" xfId="13446" xr:uid="{00000000-0005-0000-0000-00002E100000}"/>
    <cellStyle name="20% - Accent3 4 2 2 2 6 3 2" xfId="13447" xr:uid="{00000000-0005-0000-0000-00002F100000}"/>
    <cellStyle name="20% - Accent3 4 2 2 2 6 3 3" xfId="13448" xr:uid="{00000000-0005-0000-0000-000030100000}"/>
    <cellStyle name="20% - Accent3 4 2 2 2 6 4" xfId="13449" xr:uid="{00000000-0005-0000-0000-000031100000}"/>
    <cellStyle name="20% - Accent3 4 2 2 2 6 4 2" xfId="13450" xr:uid="{00000000-0005-0000-0000-000032100000}"/>
    <cellStyle name="20% - Accent3 4 2 2 2 6 5" xfId="13451" xr:uid="{00000000-0005-0000-0000-000033100000}"/>
    <cellStyle name="20% - Accent3 4 2 2 2 6 6" xfId="13452" xr:uid="{00000000-0005-0000-0000-000034100000}"/>
    <cellStyle name="20% - Accent3 4 2 2 2 7" xfId="13453" xr:uid="{00000000-0005-0000-0000-000035100000}"/>
    <cellStyle name="20% - Accent3 4 2 2 2 7 2" xfId="13454" xr:uid="{00000000-0005-0000-0000-000036100000}"/>
    <cellStyle name="20% - Accent3 4 2 2 2 7 2 2" xfId="13455" xr:uid="{00000000-0005-0000-0000-000037100000}"/>
    <cellStyle name="20% - Accent3 4 2 2 2 7 2 3" xfId="13456" xr:uid="{00000000-0005-0000-0000-000038100000}"/>
    <cellStyle name="20% - Accent3 4 2 2 2 7 3" xfId="13457" xr:uid="{00000000-0005-0000-0000-000039100000}"/>
    <cellStyle name="20% - Accent3 4 2 2 2 7 3 2" xfId="13458" xr:uid="{00000000-0005-0000-0000-00003A100000}"/>
    <cellStyle name="20% - Accent3 4 2 2 2 7 4" xfId="13459" xr:uid="{00000000-0005-0000-0000-00003B100000}"/>
    <cellStyle name="20% - Accent3 4 2 2 2 7 5" xfId="13460" xr:uid="{00000000-0005-0000-0000-00003C100000}"/>
    <cellStyle name="20% - Accent3 4 2 2 2 8" xfId="13461" xr:uid="{00000000-0005-0000-0000-00003D100000}"/>
    <cellStyle name="20% - Accent3 4 2 2 2 8 2" xfId="13462" xr:uid="{00000000-0005-0000-0000-00003E100000}"/>
    <cellStyle name="20% - Accent3 4 2 2 2 8 3" xfId="13463" xr:uid="{00000000-0005-0000-0000-00003F100000}"/>
    <cellStyle name="20% - Accent3 4 2 2 2 9" xfId="13464" xr:uid="{00000000-0005-0000-0000-000040100000}"/>
    <cellStyle name="20% - Accent3 4 2 2 2 9 2" xfId="13465" xr:uid="{00000000-0005-0000-0000-000041100000}"/>
    <cellStyle name="20% - Accent3 4 2 2 2 9 3" xfId="13466" xr:uid="{00000000-0005-0000-0000-000042100000}"/>
    <cellStyle name="20% - Accent3 4 2 2 3" xfId="590" xr:uid="{00000000-0005-0000-0000-000043100000}"/>
    <cellStyle name="20% - Accent3 4 2 2 3 10" xfId="13467" xr:uid="{00000000-0005-0000-0000-000044100000}"/>
    <cellStyle name="20% - Accent3 4 2 2 3 2" xfId="591" xr:uid="{00000000-0005-0000-0000-000045100000}"/>
    <cellStyle name="20% - Accent3 4 2 2 3 2 2" xfId="13468" xr:uid="{00000000-0005-0000-0000-000046100000}"/>
    <cellStyle name="20% - Accent3 4 2 2 3 2 2 2" xfId="13469" xr:uid="{00000000-0005-0000-0000-000047100000}"/>
    <cellStyle name="20% - Accent3 4 2 2 3 2 2 2 2" xfId="13470" xr:uid="{00000000-0005-0000-0000-000048100000}"/>
    <cellStyle name="20% - Accent3 4 2 2 3 2 2 2 3" xfId="13471" xr:uid="{00000000-0005-0000-0000-000049100000}"/>
    <cellStyle name="20% - Accent3 4 2 2 3 2 2 3" xfId="13472" xr:uid="{00000000-0005-0000-0000-00004A100000}"/>
    <cellStyle name="20% - Accent3 4 2 2 3 2 2 3 2" xfId="13473" xr:uid="{00000000-0005-0000-0000-00004B100000}"/>
    <cellStyle name="20% - Accent3 4 2 2 3 2 2 3 3" xfId="13474" xr:uid="{00000000-0005-0000-0000-00004C100000}"/>
    <cellStyle name="20% - Accent3 4 2 2 3 2 2 4" xfId="13475" xr:uid="{00000000-0005-0000-0000-00004D100000}"/>
    <cellStyle name="20% - Accent3 4 2 2 3 2 2 4 2" xfId="13476" xr:uid="{00000000-0005-0000-0000-00004E100000}"/>
    <cellStyle name="20% - Accent3 4 2 2 3 2 2 5" xfId="13477" xr:uid="{00000000-0005-0000-0000-00004F100000}"/>
    <cellStyle name="20% - Accent3 4 2 2 3 2 2 6" xfId="13478" xr:uid="{00000000-0005-0000-0000-000050100000}"/>
    <cellStyle name="20% - Accent3 4 2 2 3 2 3" xfId="13479" xr:uid="{00000000-0005-0000-0000-000051100000}"/>
    <cellStyle name="20% - Accent3 4 2 2 3 2 3 2" xfId="13480" xr:uid="{00000000-0005-0000-0000-000052100000}"/>
    <cellStyle name="20% - Accent3 4 2 2 3 2 3 2 2" xfId="13481" xr:uid="{00000000-0005-0000-0000-000053100000}"/>
    <cellStyle name="20% - Accent3 4 2 2 3 2 3 2 3" xfId="13482" xr:uid="{00000000-0005-0000-0000-000054100000}"/>
    <cellStyle name="20% - Accent3 4 2 2 3 2 3 3" xfId="13483" xr:uid="{00000000-0005-0000-0000-000055100000}"/>
    <cellStyle name="20% - Accent3 4 2 2 3 2 3 3 2" xfId="13484" xr:uid="{00000000-0005-0000-0000-000056100000}"/>
    <cellStyle name="20% - Accent3 4 2 2 3 2 3 3 3" xfId="13485" xr:uid="{00000000-0005-0000-0000-000057100000}"/>
    <cellStyle name="20% - Accent3 4 2 2 3 2 3 4" xfId="13486" xr:uid="{00000000-0005-0000-0000-000058100000}"/>
    <cellStyle name="20% - Accent3 4 2 2 3 2 3 4 2" xfId="13487" xr:uid="{00000000-0005-0000-0000-000059100000}"/>
    <cellStyle name="20% - Accent3 4 2 2 3 2 3 5" xfId="13488" xr:uid="{00000000-0005-0000-0000-00005A100000}"/>
    <cellStyle name="20% - Accent3 4 2 2 3 2 3 6" xfId="13489" xr:uid="{00000000-0005-0000-0000-00005B100000}"/>
    <cellStyle name="20% - Accent3 4 2 2 3 2 4" xfId="13490" xr:uid="{00000000-0005-0000-0000-00005C100000}"/>
    <cellStyle name="20% - Accent3 4 2 2 3 2 4 2" xfId="13491" xr:uid="{00000000-0005-0000-0000-00005D100000}"/>
    <cellStyle name="20% - Accent3 4 2 2 3 2 4 2 2" xfId="13492" xr:uid="{00000000-0005-0000-0000-00005E100000}"/>
    <cellStyle name="20% - Accent3 4 2 2 3 2 4 2 3" xfId="13493" xr:uid="{00000000-0005-0000-0000-00005F100000}"/>
    <cellStyle name="20% - Accent3 4 2 2 3 2 4 3" xfId="13494" xr:uid="{00000000-0005-0000-0000-000060100000}"/>
    <cellStyle name="20% - Accent3 4 2 2 3 2 4 3 2" xfId="13495" xr:uid="{00000000-0005-0000-0000-000061100000}"/>
    <cellStyle name="20% - Accent3 4 2 2 3 2 4 4" xfId="13496" xr:uid="{00000000-0005-0000-0000-000062100000}"/>
    <cellStyle name="20% - Accent3 4 2 2 3 2 4 5" xfId="13497" xr:uid="{00000000-0005-0000-0000-000063100000}"/>
    <cellStyle name="20% - Accent3 4 2 2 3 2 5" xfId="13498" xr:uid="{00000000-0005-0000-0000-000064100000}"/>
    <cellStyle name="20% - Accent3 4 2 2 3 2 5 2" xfId="13499" xr:uid="{00000000-0005-0000-0000-000065100000}"/>
    <cellStyle name="20% - Accent3 4 2 2 3 2 5 3" xfId="13500" xr:uid="{00000000-0005-0000-0000-000066100000}"/>
    <cellStyle name="20% - Accent3 4 2 2 3 2 6" xfId="13501" xr:uid="{00000000-0005-0000-0000-000067100000}"/>
    <cellStyle name="20% - Accent3 4 2 2 3 2 6 2" xfId="13502" xr:uid="{00000000-0005-0000-0000-000068100000}"/>
    <cellStyle name="20% - Accent3 4 2 2 3 2 6 3" xfId="13503" xr:uid="{00000000-0005-0000-0000-000069100000}"/>
    <cellStyle name="20% - Accent3 4 2 2 3 2 7" xfId="13504" xr:uid="{00000000-0005-0000-0000-00006A100000}"/>
    <cellStyle name="20% - Accent3 4 2 2 3 2 7 2" xfId="13505" xr:uid="{00000000-0005-0000-0000-00006B100000}"/>
    <cellStyle name="20% - Accent3 4 2 2 3 2 8" xfId="13506" xr:uid="{00000000-0005-0000-0000-00006C100000}"/>
    <cellStyle name="20% - Accent3 4 2 2 3 2 9" xfId="13507" xr:uid="{00000000-0005-0000-0000-00006D100000}"/>
    <cellStyle name="20% - Accent3 4 2 2 3 3" xfId="13508" xr:uid="{00000000-0005-0000-0000-00006E100000}"/>
    <cellStyle name="20% - Accent3 4 2 2 3 3 2" xfId="13509" xr:uid="{00000000-0005-0000-0000-00006F100000}"/>
    <cellStyle name="20% - Accent3 4 2 2 3 3 2 2" xfId="13510" xr:uid="{00000000-0005-0000-0000-000070100000}"/>
    <cellStyle name="20% - Accent3 4 2 2 3 3 2 3" xfId="13511" xr:uid="{00000000-0005-0000-0000-000071100000}"/>
    <cellStyle name="20% - Accent3 4 2 2 3 3 3" xfId="13512" xr:uid="{00000000-0005-0000-0000-000072100000}"/>
    <cellStyle name="20% - Accent3 4 2 2 3 3 3 2" xfId="13513" xr:uid="{00000000-0005-0000-0000-000073100000}"/>
    <cellStyle name="20% - Accent3 4 2 2 3 3 3 3" xfId="13514" xr:uid="{00000000-0005-0000-0000-000074100000}"/>
    <cellStyle name="20% - Accent3 4 2 2 3 3 4" xfId="13515" xr:uid="{00000000-0005-0000-0000-000075100000}"/>
    <cellStyle name="20% - Accent3 4 2 2 3 3 4 2" xfId="13516" xr:uid="{00000000-0005-0000-0000-000076100000}"/>
    <cellStyle name="20% - Accent3 4 2 2 3 3 5" xfId="13517" xr:uid="{00000000-0005-0000-0000-000077100000}"/>
    <cellStyle name="20% - Accent3 4 2 2 3 3 6" xfId="13518" xr:uid="{00000000-0005-0000-0000-000078100000}"/>
    <cellStyle name="20% - Accent3 4 2 2 3 4" xfId="13519" xr:uid="{00000000-0005-0000-0000-000079100000}"/>
    <cellStyle name="20% - Accent3 4 2 2 3 4 2" xfId="13520" xr:uid="{00000000-0005-0000-0000-00007A100000}"/>
    <cellStyle name="20% - Accent3 4 2 2 3 4 2 2" xfId="13521" xr:uid="{00000000-0005-0000-0000-00007B100000}"/>
    <cellStyle name="20% - Accent3 4 2 2 3 4 2 3" xfId="13522" xr:uid="{00000000-0005-0000-0000-00007C100000}"/>
    <cellStyle name="20% - Accent3 4 2 2 3 4 3" xfId="13523" xr:uid="{00000000-0005-0000-0000-00007D100000}"/>
    <cellStyle name="20% - Accent3 4 2 2 3 4 3 2" xfId="13524" xr:uid="{00000000-0005-0000-0000-00007E100000}"/>
    <cellStyle name="20% - Accent3 4 2 2 3 4 3 3" xfId="13525" xr:uid="{00000000-0005-0000-0000-00007F100000}"/>
    <cellStyle name="20% - Accent3 4 2 2 3 4 4" xfId="13526" xr:uid="{00000000-0005-0000-0000-000080100000}"/>
    <cellStyle name="20% - Accent3 4 2 2 3 4 4 2" xfId="13527" xr:uid="{00000000-0005-0000-0000-000081100000}"/>
    <cellStyle name="20% - Accent3 4 2 2 3 4 5" xfId="13528" xr:uid="{00000000-0005-0000-0000-000082100000}"/>
    <cellStyle name="20% - Accent3 4 2 2 3 4 6" xfId="13529" xr:uid="{00000000-0005-0000-0000-000083100000}"/>
    <cellStyle name="20% - Accent3 4 2 2 3 5" xfId="13530" xr:uid="{00000000-0005-0000-0000-000084100000}"/>
    <cellStyle name="20% - Accent3 4 2 2 3 5 2" xfId="13531" xr:uid="{00000000-0005-0000-0000-000085100000}"/>
    <cellStyle name="20% - Accent3 4 2 2 3 5 2 2" xfId="13532" xr:uid="{00000000-0005-0000-0000-000086100000}"/>
    <cellStyle name="20% - Accent3 4 2 2 3 5 2 3" xfId="13533" xr:uid="{00000000-0005-0000-0000-000087100000}"/>
    <cellStyle name="20% - Accent3 4 2 2 3 5 3" xfId="13534" xr:uid="{00000000-0005-0000-0000-000088100000}"/>
    <cellStyle name="20% - Accent3 4 2 2 3 5 3 2" xfId="13535" xr:uid="{00000000-0005-0000-0000-000089100000}"/>
    <cellStyle name="20% - Accent3 4 2 2 3 5 4" xfId="13536" xr:uid="{00000000-0005-0000-0000-00008A100000}"/>
    <cellStyle name="20% - Accent3 4 2 2 3 5 5" xfId="13537" xr:uid="{00000000-0005-0000-0000-00008B100000}"/>
    <cellStyle name="20% - Accent3 4 2 2 3 6" xfId="13538" xr:uid="{00000000-0005-0000-0000-00008C100000}"/>
    <cellStyle name="20% - Accent3 4 2 2 3 6 2" xfId="13539" xr:uid="{00000000-0005-0000-0000-00008D100000}"/>
    <cellStyle name="20% - Accent3 4 2 2 3 6 3" xfId="13540" xr:uid="{00000000-0005-0000-0000-00008E100000}"/>
    <cellStyle name="20% - Accent3 4 2 2 3 7" xfId="13541" xr:uid="{00000000-0005-0000-0000-00008F100000}"/>
    <cellStyle name="20% - Accent3 4 2 2 3 7 2" xfId="13542" xr:uid="{00000000-0005-0000-0000-000090100000}"/>
    <cellStyle name="20% - Accent3 4 2 2 3 7 3" xfId="13543" xr:uid="{00000000-0005-0000-0000-000091100000}"/>
    <cellStyle name="20% - Accent3 4 2 2 3 8" xfId="13544" xr:uid="{00000000-0005-0000-0000-000092100000}"/>
    <cellStyle name="20% - Accent3 4 2 2 3 8 2" xfId="13545" xr:uid="{00000000-0005-0000-0000-000093100000}"/>
    <cellStyle name="20% - Accent3 4 2 2 3 9" xfId="13546" xr:uid="{00000000-0005-0000-0000-000094100000}"/>
    <cellStyle name="20% - Accent3 4 2 2 4" xfId="592" xr:uid="{00000000-0005-0000-0000-000095100000}"/>
    <cellStyle name="20% - Accent3 4 2 2 4 2" xfId="13547" xr:uid="{00000000-0005-0000-0000-000096100000}"/>
    <cellStyle name="20% - Accent3 4 2 2 4 2 2" xfId="13548" xr:uid="{00000000-0005-0000-0000-000097100000}"/>
    <cellStyle name="20% - Accent3 4 2 2 4 2 2 2" xfId="13549" xr:uid="{00000000-0005-0000-0000-000098100000}"/>
    <cellStyle name="20% - Accent3 4 2 2 4 2 2 3" xfId="13550" xr:uid="{00000000-0005-0000-0000-000099100000}"/>
    <cellStyle name="20% - Accent3 4 2 2 4 2 3" xfId="13551" xr:uid="{00000000-0005-0000-0000-00009A100000}"/>
    <cellStyle name="20% - Accent3 4 2 2 4 2 3 2" xfId="13552" xr:uid="{00000000-0005-0000-0000-00009B100000}"/>
    <cellStyle name="20% - Accent3 4 2 2 4 2 3 3" xfId="13553" xr:uid="{00000000-0005-0000-0000-00009C100000}"/>
    <cellStyle name="20% - Accent3 4 2 2 4 2 4" xfId="13554" xr:uid="{00000000-0005-0000-0000-00009D100000}"/>
    <cellStyle name="20% - Accent3 4 2 2 4 2 4 2" xfId="13555" xr:uid="{00000000-0005-0000-0000-00009E100000}"/>
    <cellStyle name="20% - Accent3 4 2 2 4 2 5" xfId="13556" xr:uid="{00000000-0005-0000-0000-00009F100000}"/>
    <cellStyle name="20% - Accent3 4 2 2 4 2 6" xfId="13557" xr:uid="{00000000-0005-0000-0000-0000A0100000}"/>
    <cellStyle name="20% - Accent3 4 2 2 4 3" xfId="13558" xr:uid="{00000000-0005-0000-0000-0000A1100000}"/>
    <cellStyle name="20% - Accent3 4 2 2 4 3 2" xfId="13559" xr:uid="{00000000-0005-0000-0000-0000A2100000}"/>
    <cellStyle name="20% - Accent3 4 2 2 4 3 2 2" xfId="13560" xr:uid="{00000000-0005-0000-0000-0000A3100000}"/>
    <cellStyle name="20% - Accent3 4 2 2 4 3 2 3" xfId="13561" xr:uid="{00000000-0005-0000-0000-0000A4100000}"/>
    <cellStyle name="20% - Accent3 4 2 2 4 3 3" xfId="13562" xr:uid="{00000000-0005-0000-0000-0000A5100000}"/>
    <cellStyle name="20% - Accent3 4 2 2 4 3 3 2" xfId="13563" xr:uid="{00000000-0005-0000-0000-0000A6100000}"/>
    <cellStyle name="20% - Accent3 4 2 2 4 3 3 3" xfId="13564" xr:uid="{00000000-0005-0000-0000-0000A7100000}"/>
    <cellStyle name="20% - Accent3 4 2 2 4 3 4" xfId="13565" xr:uid="{00000000-0005-0000-0000-0000A8100000}"/>
    <cellStyle name="20% - Accent3 4 2 2 4 3 4 2" xfId="13566" xr:uid="{00000000-0005-0000-0000-0000A9100000}"/>
    <cellStyle name="20% - Accent3 4 2 2 4 3 5" xfId="13567" xr:uid="{00000000-0005-0000-0000-0000AA100000}"/>
    <cellStyle name="20% - Accent3 4 2 2 4 3 6" xfId="13568" xr:uid="{00000000-0005-0000-0000-0000AB100000}"/>
    <cellStyle name="20% - Accent3 4 2 2 4 4" xfId="13569" xr:uid="{00000000-0005-0000-0000-0000AC100000}"/>
    <cellStyle name="20% - Accent3 4 2 2 4 4 2" xfId="13570" xr:uid="{00000000-0005-0000-0000-0000AD100000}"/>
    <cellStyle name="20% - Accent3 4 2 2 4 4 2 2" xfId="13571" xr:uid="{00000000-0005-0000-0000-0000AE100000}"/>
    <cellStyle name="20% - Accent3 4 2 2 4 4 2 3" xfId="13572" xr:uid="{00000000-0005-0000-0000-0000AF100000}"/>
    <cellStyle name="20% - Accent3 4 2 2 4 4 3" xfId="13573" xr:uid="{00000000-0005-0000-0000-0000B0100000}"/>
    <cellStyle name="20% - Accent3 4 2 2 4 4 3 2" xfId="13574" xr:uid="{00000000-0005-0000-0000-0000B1100000}"/>
    <cellStyle name="20% - Accent3 4 2 2 4 4 4" xfId="13575" xr:uid="{00000000-0005-0000-0000-0000B2100000}"/>
    <cellStyle name="20% - Accent3 4 2 2 4 4 5" xfId="13576" xr:uid="{00000000-0005-0000-0000-0000B3100000}"/>
    <cellStyle name="20% - Accent3 4 2 2 4 5" xfId="13577" xr:uid="{00000000-0005-0000-0000-0000B4100000}"/>
    <cellStyle name="20% - Accent3 4 2 2 4 5 2" xfId="13578" xr:uid="{00000000-0005-0000-0000-0000B5100000}"/>
    <cellStyle name="20% - Accent3 4 2 2 4 5 3" xfId="13579" xr:uid="{00000000-0005-0000-0000-0000B6100000}"/>
    <cellStyle name="20% - Accent3 4 2 2 4 6" xfId="13580" xr:uid="{00000000-0005-0000-0000-0000B7100000}"/>
    <cellStyle name="20% - Accent3 4 2 2 4 6 2" xfId="13581" xr:uid="{00000000-0005-0000-0000-0000B8100000}"/>
    <cellStyle name="20% - Accent3 4 2 2 4 6 3" xfId="13582" xr:uid="{00000000-0005-0000-0000-0000B9100000}"/>
    <cellStyle name="20% - Accent3 4 2 2 4 7" xfId="13583" xr:uid="{00000000-0005-0000-0000-0000BA100000}"/>
    <cellStyle name="20% - Accent3 4 2 2 4 7 2" xfId="13584" xr:uid="{00000000-0005-0000-0000-0000BB100000}"/>
    <cellStyle name="20% - Accent3 4 2 2 4 8" xfId="13585" xr:uid="{00000000-0005-0000-0000-0000BC100000}"/>
    <cellStyle name="20% - Accent3 4 2 2 4 9" xfId="13586" xr:uid="{00000000-0005-0000-0000-0000BD100000}"/>
    <cellStyle name="20% - Accent3 4 2 2 5" xfId="13587" xr:uid="{00000000-0005-0000-0000-0000BE100000}"/>
    <cellStyle name="20% - Accent3 4 2 2 5 2" xfId="13588" xr:uid="{00000000-0005-0000-0000-0000BF100000}"/>
    <cellStyle name="20% - Accent3 4 2 2 5 2 2" xfId="13589" xr:uid="{00000000-0005-0000-0000-0000C0100000}"/>
    <cellStyle name="20% - Accent3 4 2 2 5 2 2 2" xfId="13590" xr:uid="{00000000-0005-0000-0000-0000C1100000}"/>
    <cellStyle name="20% - Accent3 4 2 2 5 2 2 3" xfId="13591" xr:uid="{00000000-0005-0000-0000-0000C2100000}"/>
    <cellStyle name="20% - Accent3 4 2 2 5 2 3" xfId="13592" xr:uid="{00000000-0005-0000-0000-0000C3100000}"/>
    <cellStyle name="20% - Accent3 4 2 2 5 2 3 2" xfId="13593" xr:uid="{00000000-0005-0000-0000-0000C4100000}"/>
    <cellStyle name="20% - Accent3 4 2 2 5 2 3 3" xfId="13594" xr:uid="{00000000-0005-0000-0000-0000C5100000}"/>
    <cellStyle name="20% - Accent3 4 2 2 5 2 4" xfId="13595" xr:uid="{00000000-0005-0000-0000-0000C6100000}"/>
    <cellStyle name="20% - Accent3 4 2 2 5 2 4 2" xfId="13596" xr:uid="{00000000-0005-0000-0000-0000C7100000}"/>
    <cellStyle name="20% - Accent3 4 2 2 5 2 5" xfId="13597" xr:uid="{00000000-0005-0000-0000-0000C8100000}"/>
    <cellStyle name="20% - Accent3 4 2 2 5 2 6" xfId="13598" xr:uid="{00000000-0005-0000-0000-0000C9100000}"/>
    <cellStyle name="20% - Accent3 4 2 2 5 3" xfId="13599" xr:uid="{00000000-0005-0000-0000-0000CA100000}"/>
    <cellStyle name="20% - Accent3 4 2 2 5 3 2" xfId="13600" xr:uid="{00000000-0005-0000-0000-0000CB100000}"/>
    <cellStyle name="20% - Accent3 4 2 2 5 3 2 2" xfId="13601" xr:uid="{00000000-0005-0000-0000-0000CC100000}"/>
    <cellStyle name="20% - Accent3 4 2 2 5 3 2 3" xfId="13602" xr:uid="{00000000-0005-0000-0000-0000CD100000}"/>
    <cellStyle name="20% - Accent3 4 2 2 5 3 3" xfId="13603" xr:uid="{00000000-0005-0000-0000-0000CE100000}"/>
    <cellStyle name="20% - Accent3 4 2 2 5 3 3 2" xfId="13604" xr:uid="{00000000-0005-0000-0000-0000CF100000}"/>
    <cellStyle name="20% - Accent3 4 2 2 5 3 3 3" xfId="13605" xr:uid="{00000000-0005-0000-0000-0000D0100000}"/>
    <cellStyle name="20% - Accent3 4 2 2 5 3 4" xfId="13606" xr:uid="{00000000-0005-0000-0000-0000D1100000}"/>
    <cellStyle name="20% - Accent3 4 2 2 5 3 4 2" xfId="13607" xr:uid="{00000000-0005-0000-0000-0000D2100000}"/>
    <cellStyle name="20% - Accent3 4 2 2 5 3 5" xfId="13608" xr:uid="{00000000-0005-0000-0000-0000D3100000}"/>
    <cellStyle name="20% - Accent3 4 2 2 5 3 6" xfId="13609" xr:uid="{00000000-0005-0000-0000-0000D4100000}"/>
    <cellStyle name="20% - Accent3 4 2 2 5 4" xfId="13610" xr:uid="{00000000-0005-0000-0000-0000D5100000}"/>
    <cellStyle name="20% - Accent3 4 2 2 5 4 2" xfId="13611" xr:uid="{00000000-0005-0000-0000-0000D6100000}"/>
    <cellStyle name="20% - Accent3 4 2 2 5 4 2 2" xfId="13612" xr:uid="{00000000-0005-0000-0000-0000D7100000}"/>
    <cellStyle name="20% - Accent3 4 2 2 5 4 2 3" xfId="13613" xr:uid="{00000000-0005-0000-0000-0000D8100000}"/>
    <cellStyle name="20% - Accent3 4 2 2 5 4 3" xfId="13614" xr:uid="{00000000-0005-0000-0000-0000D9100000}"/>
    <cellStyle name="20% - Accent3 4 2 2 5 4 3 2" xfId="13615" xr:uid="{00000000-0005-0000-0000-0000DA100000}"/>
    <cellStyle name="20% - Accent3 4 2 2 5 4 4" xfId="13616" xr:uid="{00000000-0005-0000-0000-0000DB100000}"/>
    <cellStyle name="20% - Accent3 4 2 2 5 4 5" xfId="13617" xr:uid="{00000000-0005-0000-0000-0000DC100000}"/>
    <cellStyle name="20% - Accent3 4 2 2 5 5" xfId="13618" xr:uid="{00000000-0005-0000-0000-0000DD100000}"/>
    <cellStyle name="20% - Accent3 4 2 2 5 5 2" xfId="13619" xr:uid="{00000000-0005-0000-0000-0000DE100000}"/>
    <cellStyle name="20% - Accent3 4 2 2 5 5 3" xfId="13620" xr:uid="{00000000-0005-0000-0000-0000DF100000}"/>
    <cellStyle name="20% - Accent3 4 2 2 5 6" xfId="13621" xr:uid="{00000000-0005-0000-0000-0000E0100000}"/>
    <cellStyle name="20% - Accent3 4 2 2 5 6 2" xfId="13622" xr:uid="{00000000-0005-0000-0000-0000E1100000}"/>
    <cellStyle name="20% - Accent3 4 2 2 5 6 3" xfId="13623" xr:uid="{00000000-0005-0000-0000-0000E2100000}"/>
    <cellStyle name="20% - Accent3 4 2 2 5 7" xfId="13624" xr:uid="{00000000-0005-0000-0000-0000E3100000}"/>
    <cellStyle name="20% - Accent3 4 2 2 5 7 2" xfId="13625" xr:uid="{00000000-0005-0000-0000-0000E4100000}"/>
    <cellStyle name="20% - Accent3 4 2 2 5 8" xfId="13626" xr:uid="{00000000-0005-0000-0000-0000E5100000}"/>
    <cellStyle name="20% - Accent3 4 2 2 5 9" xfId="13627" xr:uid="{00000000-0005-0000-0000-0000E6100000}"/>
    <cellStyle name="20% - Accent3 4 2 2 6" xfId="13628" xr:uid="{00000000-0005-0000-0000-0000E7100000}"/>
    <cellStyle name="20% - Accent3 4 2 2 6 2" xfId="13629" xr:uid="{00000000-0005-0000-0000-0000E8100000}"/>
    <cellStyle name="20% - Accent3 4 2 2 6 2 2" xfId="13630" xr:uid="{00000000-0005-0000-0000-0000E9100000}"/>
    <cellStyle name="20% - Accent3 4 2 2 6 2 3" xfId="13631" xr:uid="{00000000-0005-0000-0000-0000EA100000}"/>
    <cellStyle name="20% - Accent3 4 2 2 6 3" xfId="13632" xr:uid="{00000000-0005-0000-0000-0000EB100000}"/>
    <cellStyle name="20% - Accent3 4 2 2 6 3 2" xfId="13633" xr:uid="{00000000-0005-0000-0000-0000EC100000}"/>
    <cellStyle name="20% - Accent3 4 2 2 6 3 3" xfId="13634" xr:uid="{00000000-0005-0000-0000-0000ED100000}"/>
    <cellStyle name="20% - Accent3 4 2 2 6 4" xfId="13635" xr:uid="{00000000-0005-0000-0000-0000EE100000}"/>
    <cellStyle name="20% - Accent3 4 2 2 6 4 2" xfId="13636" xr:uid="{00000000-0005-0000-0000-0000EF100000}"/>
    <cellStyle name="20% - Accent3 4 2 2 6 5" xfId="13637" xr:uid="{00000000-0005-0000-0000-0000F0100000}"/>
    <cellStyle name="20% - Accent3 4 2 2 6 6" xfId="13638" xr:uid="{00000000-0005-0000-0000-0000F1100000}"/>
    <cellStyle name="20% - Accent3 4 2 2 7" xfId="13639" xr:uid="{00000000-0005-0000-0000-0000F2100000}"/>
    <cellStyle name="20% - Accent3 4 2 2 7 2" xfId="13640" xr:uid="{00000000-0005-0000-0000-0000F3100000}"/>
    <cellStyle name="20% - Accent3 4 2 2 7 2 2" xfId="13641" xr:uid="{00000000-0005-0000-0000-0000F4100000}"/>
    <cellStyle name="20% - Accent3 4 2 2 7 2 3" xfId="13642" xr:uid="{00000000-0005-0000-0000-0000F5100000}"/>
    <cellStyle name="20% - Accent3 4 2 2 7 3" xfId="13643" xr:uid="{00000000-0005-0000-0000-0000F6100000}"/>
    <cellStyle name="20% - Accent3 4 2 2 7 3 2" xfId="13644" xr:uid="{00000000-0005-0000-0000-0000F7100000}"/>
    <cellStyle name="20% - Accent3 4 2 2 7 3 3" xfId="13645" xr:uid="{00000000-0005-0000-0000-0000F8100000}"/>
    <cellStyle name="20% - Accent3 4 2 2 7 4" xfId="13646" xr:uid="{00000000-0005-0000-0000-0000F9100000}"/>
    <cellStyle name="20% - Accent3 4 2 2 7 4 2" xfId="13647" xr:uid="{00000000-0005-0000-0000-0000FA100000}"/>
    <cellStyle name="20% - Accent3 4 2 2 7 5" xfId="13648" xr:uid="{00000000-0005-0000-0000-0000FB100000}"/>
    <cellStyle name="20% - Accent3 4 2 2 7 6" xfId="13649" xr:uid="{00000000-0005-0000-0000-0000FC100000}"/>
    <cellStyle name="20% - Accent3 4 2 2 8" xfId="13650" xr:uid="{00000000-0005-0000-0000-0000FD100000}"/>
    <cellStyle name="20% - Accent3 4 2 2 8 2" xfId="13651" xr:uid="{00000000-0005-0000-0000-0000FE100000}"/>
    <cellStyle name="20% - Accent3 4 2 2 8 2 2" xfId="13652" xr:uid="{00000000-0005-0000-0000-0000FF100000}"/>
    <cellStyle name="20% - Accent3 4 2 2 8 2 3" xfId="13653" xr:uid="{00000000-0005-0000-0000-000000110000}"/>
    <cellStyle name="20% - Accent3 4 2 2 8 3" xfId="13654" xr:uid="{00000000-0005-0000-0000-000001110000}"/>
    <cellStyle name="20% - Accent3 4 2 2 8 3 2" xfId="13655" xr:uid="{00000000-0005-0000-0000-000002110000}"/>
    <cellStyle name="20% - Accent3 4 2 2 8 4" xfId="13656" xr:uid="{00000000-0005-0000-0000-000003110000}"/>
    <cellStyle name="20% - Accent3 4 2 2 8 5" xfId="13657" xr:uid="{00000000-0005-0000-0000-000004110000}"/>
    <cellStyle name="20% - Accent3 4 2 2 9" xfId="13658" xr:uid="{00000000-0005-0000-0000-000005110000}"/>
    <cellStyle name="20% - Accent3 4 2 2 9 2" xfId="13659" xr:uid="{00000000-0005-0000-0000-000006110000}"/>
    <cellStyle name="20% - Accent3 4 2 2 9 3" xfId="13660" xr:uid="{00000000-0005-0000-0000-000007110000}"/>
    <cellStyle name="20% - Accent3 4 2 3" xfId="593" xr:uid="{00000000-0005-0000-0000-000008110000}"/>
    <cellStyle name="20% - Accent3 4 2 3 10" xfId="13661" xr:uid="{00000000-0005-0000-0000-000009110000}"/>
    <cellStyle name="20% - Accent3 4 2 3 10 2" xfId="13662" xr:uid="{00000000-0005-0000-0000-00000A110000}"/>
    <cellStyle name="20% - Accent3 4 2 3 11" xfId="13663" xr:uid="{00000000-0005-0000-0000-00000B110000}"/>
    <cellStyle name="20% - Accent3 4 2 3 12" xfId="13664" xr:uid="{00000000-0005-0000-0000-00000C110000}"/>
    <cellStyle name="20% - Accent3 4 2 3 2" xfId="594" xr:uid="{00000000-0005-0000-0000-00000D110000}"/>
    <cellStyle name="20% - Accent3 4 2 3 2 10" xfId="13665" xr:uid="{00000000-0005-0000-0000-00000E110000}"/>
    <cellStyle name="20% - Accent3 4 2 3 2 2" xfId="595" xr:uid="{00000000-0005-0000-0000-00000F110000}"/>
    <cellStyle name="20% - Accent3 4 2 3 2 2 2" xfId="13666" xr:uid="{00000000-0005-0000-0000-000010110000}"/>
    <cellStyle name="20% - Accent3 4 2 3 2 2 2 2" xfId="13667" xr:uid="{00000000-0005-0000-0000-000011110000}"/>
    <cellStyle name="20% - Accent3 4 2 3 2 2 2 2 2" xfId="13668" xr:uid="{00000000-0005-0000-0000-000012110000}"/>
    <cellStyle name="20% - Accent3 4 2 3 2 2 2 2 3" xfId="13669" xr:uid="{00000000-0005-0000-0000-000013110000}"/>
    <cellStyle name="20% - Accent3 4 2 3 2 2 2 3" xfId="13670" xr:uid="{00000000-0005-0000-0000-000014110000}"/>
    <cellStyle name="20% - Accent3 4 2 3 2 2 2 3 2" xfId="13671" xr:uid="{00000000-0005-0000-0000-000015110000}"/>
    <cellStyle name="20% - Accent3 4 2 3 2 2 2 3 3" xfId="13672" xr:uid="{00000000-0005-0000-0000-000016110000}"/>
    <cellStyle name="20% - Accent3 4 2 3 2 2 2 4" xfId="13673" xr:uid="{00000000-0005-0000-0000-000017110000}"/>
    <cellStyle name="20% - Accent3 4 2 3 2 2 2 4 2" xfId="13674" xr:uid="{00000000-0005-0000-0000-000018110000}"/>
    <cellStyle name="20% - Accent3 4 2 3 2 2 2 5" xfId="13675" xr:uid="{00000000-0005-0000-0000-000019110000}"/>
    <cellStyle name="20% - Accent3 4 2 3 2 2 2 6" xfId="13676" xr:uid="{00000000-0005-0000-0000-00001A110000}"/>
    <cellStyle name="20% - Accent3 4 2 3 2 2 3" xfId="13677" xr:uid="{00000000-0005-0000-0000-00001B110000}"/>
    <cellStyle name="20% - Accent3 4 2 3 2 2 3 2" xfId="13678" xr:uid="{00000000-0005-0000-0000-00001C110000}"/>
    <cellStyle name="20% - Accent3 4 2 3 2 2 3 2 2" xfId="13679" xr:uid="{00000000-0005-0000-0000-00001D110000}"/>
    <cellStyle name="20% - Accent3 4 2 3 2 2 3 2 3" xfId="13680" xr:uid="{00000000-0005-0000-0000-00001E110000}"/>
    <cellStyle name="20% - Accent3 4 2 3 2 2 3 3" xfId="13681" xr:uid="{00000000-0005-0000-0000-00001F110000}"/>
    <cellStyle name="20% - Accent3 4 2 3 2 2 3 3 2" xfId="13682" xr:uid="{00000000-0005-0000-0000-000020110000}"/>
    <cellStyle name="20% - Accent3 4 2 3 2 2 3 3 3" xfId="13683" xr:uid="{00000000-0005-0000-0000-000021110000}"/>
    <cellStyle name="20% - Accent3 4 2 3 2 2 3 4" xfId="13684" xr:uid="{00000000-0005-0000-0000-000022110000}"/>
    <cellStyle name="20% - Accent3 4 2 3 2 2 3 4 2" xfId="13685" xr:uid="{00000000-0005-0000-0000-000023110000}"/>
    <cellStyle name="20% - Accent3 4 2 3 2 2 3 5" xfId="13686" xr:uid="{00000000-0005-0000-0000-000024110000}"/>
    <cellStyle name="20% - Accent3 4 2 3 2 2 3 6" xfId="13687" xr:uid="{00000000-0005-0000-0000-000025110000}"/>
    <cellStyle name="20% - Accent3 4 2 3 2 2 4" xfId="13688" xr:uid="{00000000-0005-0000-0000-000026110000}"/>
    <cellStyle name="20% - Accent3 4 2 3 2 2 4 2" xfId="13689" xr:uid="{00000000-0005-0000-0000-000027110000}"/>
    <cellStyle name="20% - Accent3 4 2 3 2 2 4 2 2" xfId="13690" xr:uid="{00000000-0005-0000-0000-000028110000}"/>
    <cellStyle name="20% - Accent3 4 2 3 2 2 4 2 3" xfId="13691" xr:uid="{00000000-0005-0000-0000-000029110000}"/>
    <cellStyle name="20% - Accent3 4 2 3 2 2 4 3" xfId="13692" xr:uid="{00000000-0005-0000-0000-00002A110000}"/>
    <cellStyle name="20% - Accent3 4 2 3 2 2 4 3 2" xfId="13693" xr:uid="{00000000-0005-0000-0000-00002B110000}"/>
    <cellStyle name="20% - Accent3 4 2 3 2 2 4 4" xfId="13694" xr:uid="{00000000-0005-0000-0000-00002C110000}"/>
    <cellStyle name="20% - Accent3 4 2 3 2 2 4 5" xfId="13695" xr:uid="{00000000-0005-0000-0000-00002D110000}"/>
    <cellStyle name="20% - Accent3 4 2 3 2 2 5" xfId="13696" xr:uid="{00000000-0005-0000-0000-00002E110000}"/>
    <cellStyle name="20% - Accent3 4 2 3 2 2 5 2" xfId="13697" xr:uid="{00000000-0005-0000-0000-00002F110000}"/>
    <cellStyle name="20% - Accent3 4 2 3 2 2 5 3" xfId="13698" xr:uid="{00000000-0005-0000-0000-000030110000}"/>
    <cellStyle name="20% - Accent3 4 2 3 2 2 6" xfId="13699" xr:uid="{00000000-0005-0000-0000-000031110000}"/>
    <cellStyle name="20% - Accent3 4 2 3 2 2 6 2" xfId="13700" xr:uid="{00000000-0005-0000-0000-000032110000}"/>
    <cellStyle name="20% - Accent3 4 2 3 2 2 6 3" xfId="13701" xr:uid="{00000000-0005-0000-0000-000033110000}"/>
    <cellStyle name="20% - Accent3 4 2 3 2 2 7" xfId="13702" xr:uid="{00000000-0005-0000-0000-000034110000}"/>
    <cellStyle name="20% - Accent3 4 2 3 2 2 7 2" xfId="13703" xr:uid="{00000000-0005-0000-0000-000035110000}"/>
    <cellStyle name="20% - Accent3 4 2 3 2 2 8" xfId="13704" xr:uid="{00000000-0005-0000-0000-000036110000}"/>
    <cellStyle name="20% - Accent3 4 2 3 2 2 9" xfId="13705" xr:uid="{00000000-0005-0000-0000-000037110000}"/>
    <cellStyle name="20% - Accent3 4 2 3 2 3" xfId="13706" xr:uid="{00000000-0005-0000-0000-000038110000}"/>
    <cellStyle name="20% - Accent3 4 2 3 2 3 2" xfId="13707" xr:uid="{00000000-0005-0000-0000-000039110000}"/>
    <cellStyle name="20% - Accent3 4 2 3 2 3 2 2" xfId="13708" xr:uid="{00000000-0005-0000-0000-00003A110000}"/>
    <cellStyle name="20% - Accent3 4 2 3 2 3 2 3" xfId="13709" xr:uid="{00000000-0005-0000-0000-00003B110000}"/>
    <cellStyle name="20% - Accent3 4 2 3 2 3 3" xfId="13710" xr:uid="{00000000-0005-0000-0000-00003C110000}"/>
    <cellStyle name="20% - Accent3 4 2 3 2 3 3 2" xfId="13711" xr:uid="{00000000-0005-0000-0000-00003D110000}"/>
    <cellStyle name="20% - Accent3 4 2 3 2 3 3 3" xfId="13712" xr:uid="{00000000-0005-0000-0000-00003E110000}"/>
    <cellStyle name="20% - Accent3 4 2 3 2 3 4" xfId="13713" xr:uid="{00000000-0005-0000-0000-00003F110000}"/>
    <cellStyle name="20% - Accent3 4 2 3 2 3 4 2" xfId="13714" xr:uid="{00000000-0005-0000-0000-000040110000}"/>
    <cellStyle name="20% - Accent3 4 2 3 2 3 5" xfId="13715" xr:uid="{00000000-0005-0000-0000-000041110000}"/>
    <cellStyle name="20% - Accent3 4 2 3 2 3 6" xfId="13716" xr:uid="{00000000-0005-0000-0000-000042110000}"/>
    <cellStyle name="20% - Accent3 4 2 3 2 4" xfId="13717" xr:uid="{00000000-0005-0000-0000-000043110000}"/>
    <cellStyle name="20% - Accent3 4 2 3 2 4 2" xfId="13718" xr:uid="{00000000-0005-0000-0000-000044110000}"/>
    <cellStyle name="20% - Accent3 4 2 3 2 4 2 2" xfId="13719" xr:uid="{00000000-0005-0000-0000-000045110000}"/>
    <cellStyle name="20% - Accent3 4 2 3 2 4 2 3" xfId="13720" xr:uid="{00000000-0005-0000-0000-000046110000}"/>
    <cellStyle name="20% - Accent3 4 2 3 2 4 3" xfId="13721" xr:uid="{00000000-0005-0000-0000-000047110000}"/>
    <cellStyle name="20% - Accent3 4 2 3 2 4 3 2" xfId="13722" xr:uid="{00000000-0005-0000-0000-000048110000}"/>
    <cellStyle name="20% - Accent3 4 2 3 2 4 3 3" xfId="13723" xr:uid="{00000000-0005-0000-0000-000049110000}"/>
    <cellStyle name="20% - Accent3 4 2 3 2 4 4" xfId="13724" xr:uid="{00000000-0005-0000-0000-00004A110000}"/>
    <cellStyle name="20% - Accent3 4 2 3 2 4 4 2" xfId="13725" xr:uid="{00000000-0005-0000-0000-00004B110000}"/>
    <cellStyle name="20% - Accent3 4 2 3 2 4 5" xfId="13726" xr:uid="{00000000-0005-0000-0000-00004C110000}"/>
    <cellStyle name="20% - Accent3 4 2 3 2 4 6" xfId="13727" xr:uid="{00000000-0005-0000-0000-00004D110000}"/>
    <cellStyle name="20% - Accent3 4 2 3 2 5" xfId="13728" xr:uid="{00000000-0005-0000-0000-00004E110000}"/>
    <cellStyle name="20% - Accent3 4 2 3 2 5 2" xfId="13729" xr:uid="{00000000-0005-0000-0000-00004F110000}"/>
    <cellStyle name="20% - Accent3 4 2 3 2 5 2 2" xfId="13730" xr:uid="{00000000-0005-0000-0000-000050110000}"/>
    <cellStyle name="20% - Accent3 4 2 3 2 5 2 3" xfId="13731" xr:uid="{00000000-0005-0000-0000-000051110000}"/>
    <cellStyle name="20% - Accent3 4 2 3 2 5 3" xfId="13732" xr:uid="{00000000-0005-0000-0000-000052110000}"/>
    <cellStyle name="20% - Accent3 4 2 3 2 5 3 2" xfId="13733" xr:uid="{00000000-0005-0000-0000-000053110000}"/>
    <cellStyle name="20% - Accent3 4 2 3 2 5 4" xfId="13734" xr:uid="{00000000-0005-0000-0000-000054110000}"/>
    <cellStyle name="20% - Accent3 4 2 3 2 5 5" xfId="13735" xr:uid="{00000000-0005-0000-0000-000055110000}"/>
    <cellStyle name="20% - Accent3 4 2 3 2 6" xfId="13736" xr:uid="{00000000-0005-0000-0000-000056110000}"/>
    <cellStyle name="20% - Accent3 4 2 3 2 6 2" xfId="13737" xr:uid="{00000000-0005-0000-0000-000057110000}"/>
    <cellStyle name="20% - Accent3 4 2 3 2 6 3" xfId="13738" xr:uid="{00000000-0005-0000-0000-000058110000}"/>
    <cellStyle name="20% - Accent3 4 2 3 2 7" xfId="13739" xr:uid="{00000000-0005-0000-0000-000059110000}"/>
    <cellStyle name="20% - Accent3 4 2 3 2 7 2" xfId="13740" xr:uid="{00000000-0005-0000-0000-00005A110000}"/>
    <cellStyle name="20% - Accent3 4 2 3 2 7 3" xfId="13741" xr:uid="{00000000-0005-0000-0000-00005B110000}"/>
    <cellStyle name="20% - Accent3 4 2 3 2 8" xfId="13742" xr:uid="{00000000-0005-0000-0000-00005C110000}"/>
    <cellStyle name="20% - Accent3 4 2 3 2 8 2" xfId="13743" xr:uid="{00000000-0005-0000-0000-00005D110000}"/>
    <cellStyle name="20% - Accent3 4 2 3 2 9" xfId="13744" xr:uid="{00000000-0005-0000-0000-00005E110000}"/>
    <cellStyle name="20% - Accent3 4 2 3 3" xfId="596" xr:uid="{00000000-0005-0000-0000-00005F110000}"/>
    <cellStyle name="20% - Accent3 4 2 3 3 2" xfId="13745" xr:uid="{00000000-0005-0000-0000-000060110000}"/>
    <cellStyle name="20% - Accent3 4 2 3 3 2 2" xfId="13746" xr:uid="{00000000-0005-0000-0000-000061110000}"/>
    <cellStyle name="20% - Accent3 4 2 3 3 2 2 2" xfId="13747" xr:uid="{00000000-0005-0000-0000-000062110000}"/>
    <cellStyle name="20% - Accent3 4 2 3 3 2 2 3" xfId="13748" xr:uid="{00000000-0005-0000-0000-000063110000}"/>
    <cellStyle name="20% - Accent3 4 2 3 3 2 3" xfId="13749" xr:uid="{00000000-0005-0000-0000-000064110000}"/>
    <cellStyle name="20% - Accent3 4 2 3 3 2 3 2" xfId="13750" xr:uid="{00000000-0005-0000-0000-000065110000}"/>
    <cellStyle name="20% - Accent3 4 2 3 3 2 3 3" xfId="13751" xr:uid="{00000000-0005-0000-0000-000066110000}"/>
    <cellStyle name="20% - Accent3 4 2 3 3 2 4" xfId="13752" xr:uid="{00000000-0005-0000-0000-000067110000}"/>
    <cellStyle name="20% - Accent3 4 2 3 3 2 4 2" xfId="13753" xr:uid="{00000000-0005-0000-0000-000068110000}"/>
    <cellStyle name="20% - Accent3 4 2 3 3 2 5" xfId="13754" xr:uid="{00000000-0005-0000-0000-000069110000}"/>
    <cellStyle name="20% - Accent3 4 2 3 3 2 6" xfId="13755" xr:uid="{00000000-0005-0000-0000-00006A110000}"/>
    <cellStyle name="20% - Accent3 4 2 3 3 3" xfId="13756" xr:uid="{00000000-0005-0000-0000-00006B110000}"/>
    <cellStyle name="20% - Accent3 4 2 3 3 3 2" xfId="13757" xr:uid="{00000000-0005-0000-0000-00006C110000}"/>
    <cellStyle name="20% - Accent3 4 2 3 3 3 2 2" xfId="13758" xr:uid="{00000000-0005-0000-0000-00006D110000}"/>
    <cellStyle name="20% - Accent3 4 2 3 3 3 2 3" xfId="13759" xr:uid="{00000000-0005-0000-0000-00006E110000}"/>
    <cellStyle name="20% - Accent3 4 2 3 3 3 3" xfId="13760" xr:uid="{00000000-0005-0000-0000-00006F110000}"/>
    <cellStyle name="20% - Accent3 4 2 3 3 3 3 2" xfId="13761" xr:uid="{00000000-0005-0000-0000-000070110000}"/>
    <cellStyle name="20% - Accent3 4 2 3 3 3 3 3" xfId="13762" xr:uid="{00000000-0005-0000-0000-000071110000}"/>
    <cellStyle name="20% - Accent3 4 2 3 3 3 4" xfId="13763" xr:uid="{00000000-0005-0000-0000-000072110000}"/>
    <cellStyle name="20% - Accent3 4 2 3 3 3 4 2" xfId="13764" xr:uid="{00000000-0005-0000-0000-000073110000}"/>
    <cellStyle name="20% - Accent3 4 2 3 3 3 5" xfId="13765" xr:uid="{00000000-0005-0000-0000-000074110000}"/>
    <cellStyle name="20% - Accent3 4 2 3 3 3 6" xfId="13766" xr:uid="{00000000-0005-0000-0000-000075110000}"/>
    <cellStyle name="20% - Accent3 4 2 3 3 4" xfId="13767" xr:uid="{00000000-0005-0000-0000-000076110000}"/>
    <cellStyle name="20% - Accent3 4 2 3 3 4 2" xfId="13768" xr:uid="{00000000-0005-0000-0000-000077110000}"/>
    <cellStyle name="20% - Accent3 4 2 3 3 4 2 2" xfId="13769" xr:uid="{00000000-0005-0000-0000-000078110000}"/>
    <cellStyle name="20% - Accent3 4 2 3 3 4 2 3" xfId="13770" xr:uid="{00000000-0005-0000-0000-000079110000}"/>
    <cellStyle name="20% - Accent3 4 2 3 3 4 3" xfId="13771" xr:uid="{00000000-0005-0000-0000-00007A110000}"/>
    <cellStyle name="20% - Accent3 4 2 3 3 4 3 2" xfId="13772" xr:uid="{00000000-0005-0000-0000-00007B110000}"/>
    <cellStyle name="20% - Accent3 4 2 3 3 4 4" xfId="13773" xr:uid="{00000000-0005-0000-0000-00007C110000}"/>
    <cellStyle name="20% - Accent3 4 2 3 3 4 5" xfId="13774" xr:uid="{00000000-0005-0000-0000-00007D110000}"/>
    <cellStyle name="20% - Accent3 4 2 3 3 5" xfId="13775" xr:uid="{00000000-0005-0000-0000-00007E110000}"/>
    <cellStyle name="20% - Accent3 4 2 3 3 5 2" xfId="13776" xr:uid="{00000000-0005-0000-0000-00007F110000}"/>
    <cellStyle name="20% - Accent3 4 2 3 3 5 3" xfId="13777" xr:uid="{00000000-0005-0000-0000-000080110000}"/>
    <cellStyle name="20% - Accent3 4 2 3 3 6" xfId="13778" xr:uid="{00000000-0005-0000-0000-000081110000}"/>
    <cellStyle name="20% - Accent3 4 2 3 3 6 2" xfId="13779" xr:uid="{00000000-0005-0000-0000-000082110000}"/>
    <cellStyle name="20% - Accent3 4 2 3 3 6 3" xfId="13780" xr:uid="{00000000-0005-0000-0000-000083110000}"/>
    <cellStyle name="20% - Accent3 4 2 3 3 7" xfId="13781" xr:uid="{00000000-0005-0000-0000-000084110000}"/>
    <cellStyle name="20% - Accent3 4 2 3 3 7 2" xfId="13782" xr:uid="{00000000-0005-0000-0000-000085110000}"/>
    <cellStyle name="20% - Accent3 4 2 3 3 8" xfId="13783" xr:uid="{00000000-0005-0000-0000-000086110000}"/>
    <cellStyle name="20% - Accent3 4 2 3 3 9" xfId="13784" xr:uid="{00000000-0005-0000-0000-000087110000}"/>
    <cellStyle name="20% - Accent3 4 2 3 4" xfId="13785" xr:uid="{00000000-0005-0000-0000-000088110000}"/>
    <cellStyle name="20% - Accent3 4 2 3 4 2" xfId="13786" xr:uid="{00000000-0005-0000-0000-000089110000}"/>
    <cellStyle name="20% - Accent3 4 2 3 4 2 2" xfId="13787" xr:uid="{00000000-0005-0000-0000-00008A110000}"/>
    <cellStyle name="20% - Accent3 4 2 3 4 2 2 2" xfId="13788" xr:uid="{00000000-0005-0000-0000-00008B110000}"/>
    <cellStyle name="20% - Accent3 4 2 3 4 2 2 3" xfId="13789" xr:uid="{00000000-0005-0000-0000-00008C110000}"/>
    <cellStyle name="20% - Accent3 4 2 3 4 2 3" xfId="13790" xr:uid="{00000000-0005-0000-0000-00008D110000}"/>
    <cellStyle name="20% - Accent3 4 2 3 4 2 3 2" xfId="13791" xr:uid="{00000000-0005-0000-0000-00008E110000}"/>
    <cellStyle name="20% - Accent3 4 2 3 4 2 3 3" xfId="13792" xr:uid="{00000000-0005-0000-0000-00008F110000}"/>
    <cellStyle name="20% - Accent3 4 2 3 4 2 4" xfId="13793" xr:uid="{00000000-0005-0000-0000-000090110000}"/>
    <cellStyle name="20% - Accent3 4 2 3 4 2 4 2" xfId="13794" xr:uid="{00000000-0005-0000-0000-000091110000}"/>
    <cellStyle name="20% - Accent3 4 2 3 4 2 5" xfId="13795" xr:uid="{00000000-0005-0000-0000-000092110000}"/>
    <cellStyle name="20% - Accent3 4 2 3 4 2 6" xfId="13796" xr:uid="{00000000-0005-0000-0000-000093110000}"/>
    <cellStyle name="20% - Accent3 4 2 3 4 3" xfId="13797" xr:uid="{00000000-0005-0000-0000-000094110000}"/>
    <cellStyle name="20% - Accent3 4 2 3 4 3 2" xfId="13798" xr:uid="{00000000-0005-0000-0000-000095110000}"/>
    <cellStyle name="20% - Accent3 4 2 3 4 3 2 2" xfId="13799" xr:uid="{00000000-0005-0000-0000-000096110000}"/>
    <cellStyle name="20% - Accent3 4 2 3 4 3 2 3" xfId="13800" xr:uid="{00000000-0005-0000-0000-000097110000}"/>
    <cellStyle name="20% - Accent3 4 2 3 4 3 3" xfId="13801" xr:uid="{00000000-0005-0000-0000-000098110000}"/>
    <cellStyle name="20% - Accent3 4 2 3 4 3 3 2" xfId="13802" xr:uid="{00000000-0005-0000-0000-000099110000}"/>
    <cellStyle name="20% - Accent3 4 2 3 4 3 3 3" xfId="13803" xr:uid="{00000000-0005-0000-0000-00009A110000}"/>
    <cellStyle name="20% - Accent3 4 2 3 4 3 4" xfId="13804" xr:uid="{00000000-0005-0000-0000-00009B110000}"/>
    <cellStyle name="20% - Accent3 4 2 3 4 3 4 2" xfId="13805" xr:uid="{00000000-0005-0000-0000-00009C110000}"/>
    <cellStyle name="20% - Accent3 4 2 3 4 3 5" xfId="13806" xr:uid="{00000000-0005-0000-0000-00009D110000}"/>
    <cellStyle name="20% - Accent3 4 2 3 4 3 6" xfId="13807" xr:uid="{00000000-0005-0000-0000-00009E110000}"/>
    <cellStyle name="20% - Accent3 4 2 3 4 4" xfId="13808" xr:uid="{00000000-0005-0000-0000-00009F110000}"/>
    <cellStyle name="20% - Accent3 4 2 3 4 4 2" xfId="13809" xr:uid="{00000000-0005-0000-0000-0000A0110000}"/>
    <cellStyle name="20% - Accent3 4 2 3 4 4 2 2" xfId="13810" xr:uid="{00000000-0005-0000-0000-0000A1110000}"/>
    <cellStyle name="20% - Accent3 4 2 3 4 4 2 3" xfId="13811" xr:uid="{00000000-0005-0000-0000-0000A2110000}"/>
    <cellStyle name="20% - Accent3 4 2 3 4 4 3" xfId="13812" xr:uid="{00000000-0005-0000-0000-0000A3110000}"/>
    <cellStyle name="20% - Accent3 4 2 3 4 4 3 2" xfId="13813" xr:uid="{00000000-0005-0000-0000-0000A4110000}"/>
    <cellStyle name="20% - Accent3 4 2 3 4 4 4" xfId="13814" xr:uid="{00000000-0005-0000-0000-0000A5110000}"/>
    <cellStyle name="20% - Accent3 4 2 3 4 4 5" xfId="13815" xr:uid="{00000000-0005-0000-0000-0000A6110000}"/>
    <cellStyle name="20% - Accent3 4 2 3 4 5" xfId="13816" xr:uid="{00000000-0005-0000-0000-0000A7110000}"/>
    <cellStyle name="20% - Accent3 4 2 3 4 5 2" xfId="13817" xr:uid="{00000000-0005-0000-0000-0000A8110000}"/>
    <cellStyle name="20% - Accent3 4 2 3 4 5 3" xfId="13818" xr:uid="{00000000-0005-0000-0000-0000A9110000}"/>
    <cellStyle name="20% - Accent3 4 2 3 4 6" xfId="13819" xr:uid="{00000000-0005-0000-0000-0000AA110000}"/>
    <cellStyle name="20% - Accent3 4 2 3 4 6 2" xfId="13820" xr:uid="{00000000-0005-0000-0000-0000AB110000}"/>
    <cellStyle name="20% - Accent3 4 2 3 4 6 3" xfId="13821" xr:uid="{00000000-0005-0000-0000-0000AC110000}"/>
    <cellStyle name="20% - Accent3 4 2 3 4 7" xfId="13822" xr:uid="{00000000-0005-0000-0000-0000AD110000}"/>
    <cellStyle name="20% - Accent3 4 2 3 4 7 2" xfId="13823" xr:uid="{00000000-0005-0000-0000-0000AE110000}"/>
    <cellStyle name="20% - Accent3 4 2 3 4 8" xfId="13824" xr:uid="{00000000-0005-0000-0000-0000AF110000}"/>
    <cellStyle name="20% - Accent3 4 2 3 4 9" xfId="13825" xr:uid="{00000000-0005-0000-0000-0000B0110000}"/>
    <cellStyle name="20% - Accent3 4 2 3 5" xfId="13826" xr:uid="{00000000-0005-0000-0000-0000B1110000}"/>
    <cellStyle name="20% - Accent3 4 2 3 5 2" xfId="13827" xr:uid="{00000000-0005-0000-0000-0000B2110000}"/>
    <cellStyle name="20% - Accent3 4 2 3 5 2 2" xfId="13828" xr:uid="{00000000-0005-0000-0000-0000B3110000}"/>
    <cellStyle name="20% - Accent3 4 2 3 5 2 3" xfId="13829" xr:uid="{00000000-0005-0000-0000-0000B4110000}"/>
    <cellStyle name="20% - Accent3 4 2 3 5 3" xfId="13830" xr:uid="{00000000-0005-0000-0000-0000B5110000}"/>
    <cellStyle name="20% - Accent3 4 2 3 5 3 2" xfId="13831" xr:uid="{00000000-0005-0000-0000-0000B6110000}"/>
    <cellStyle name="20% - Accent3 4 2 3 5 3 3" xfId="13832" xr:uid="{00000000-0005-0000-0000-0000B7110000}"/>
    <cellStyle name="20% - Accent3 4 2 3 5 4" xfId="13833" xr:uid="{00000000-0005-0000-0000-0000B8110000}"/>
    <cellStyle name="20% - Accent3 4 2 3 5 4 2" xfId="13834" xr:uid="{00000000-0005-0000-0000-0000B9110000}"/>
    <cellStyle name="20% - Accent3 4 2 3 5 5" xfId="13835" xr:uid="{00000000-0005-0000-0000-0000BA110000}"/>
    <cellStyle name="20% - Accent3 4 2 3 5 6" xfId="13836" xr:uid="{00000000-0005-0000-0000-0000BB110000}"/>
    <cellStyle name="20% - Accent3 4 2 3 6" xfId="13837" xr:uid="{00000000-0005-0000-0000-0000BC110000}"/>
    <cellStyle name="20% - Accent3 4 2 3 6 2" xfId="13838" xr:uid="{00000000-0005-0000-0000-0000BD110000}"/>
    <cellStyle name="20% - Accent3 4 2 3 6 2 2" xfId="13839" xr:uid="{00000000-0005-0000-0000-0000BE110000}"/>
    <cellStyle name="20% - Accent3 4 2 3 6 2 3" xfId="13840" xr:uid="{00000000-0005-0000-0000-0000BF110000}"/>
    <cellStyle name="20% - Accent3 4 2 3 6 3" xfId="13841" xr:uid="{00000000-0005-0000-0000-0000C0110000}"/>
    <cellStyle name="20% - Accent3 4 2 3 6 3 2" xfId="13842" xr:uid="{00000000-0005-0000-0000-0000C1110000}"/>
    <cellStyle name="20% - Accent3 4 2 3 6 3 3" xfId="13843" xr:uid="{00000000-0005-0000-0000-0000C2110000}"/>
    <cellStyle name="20% - Accent3 4 2 3 6 4" xfId="13844" xr:uid="{00000000-0005-0000-0000-0000C3110000}"/>
    <cellStyle name="20% - Accent3 4 2 3 6 4 2" xfId="13845" xr:uid="{00000000-0005-0000-0000-0000C4110000}"/>
    <cellStyle name="20% - Accent3 4 2 3 6 5" xfId="13846" xr:uid="{00000000-0005-0000-0000-0000C5110000}"/>
    <cellStyle name="20% - Accent3 4 2 3 6 6" xfId="13847" xr:uid="{00000000-0005-0000-0000-0000C6110000}"/>
    <cellStyle name="20% - Accent3 4 2 3 7" xfId="13848" xr:uid="{00000000-0005-0000-0000-0000C7110000}"/>
    <cellStyle name="20% - Accent3 4 2 3 7 2" xfId="13849" xr:uid="{00000000-0005-0000-0000-0000C8110000}"/>
    <cellStyle name="20% - Accent3 4 2 3 7 2 2" xfId="13850" xr:uid="{00000000-0005-0000-0000-0000C9110000}"/>
    <cellStyle name="20% - Accent3 4 2 3 7 2 3" xfId="13851" xr:uid="{00000000-0005-0000-0000-0000CA110000}"/>
    <cellStyle name="20% - Accent3 4 2 3 7 3" xfId="13852" xr:uid="{00000000-0005-0000-0000-0000CB110000}"/>
    <cellStyle name="20% - Accent3 4 2 3 7 3 2" xfId="13853" xr:uid="{00000000-0005-0000-0000-0000CC110000}"/>
    <cellStyle name="20% - Accent3 4 2 3 7 4" xfId="13854" xr:uid="{00000000-0005-0000-0000-0000CD110000}"/>
    <cellStyle name="20% - Accent3 4 2 3 7 5" xfId="13855" xr:uid="{00000000-0005-0000-0000-0000CE110000}"/>
    <cellStyle name="20% - Accent3 4 2 3 8" xfId="13856" xr:uid="{00000000-0005-0000-0000-0000CF110000}"/>
    <cellStyle name="20% - Accent3 4 2 3 8 2" xfId="13857" xr:uid="{00000000-0005-0000-0000-0000D0110000}"/>
    <cellStyle name="20% - Accent3 4 2 3 8 3" xfId="13858" xr:uid="{00000000-0005-0000-0000-0000D1110000}"/>
    <cellStyle name="20% - Accent3 4 2 3 9" xfId="13859" xr:uid="{00000000-0005-0000-0000-0000D2110000}"/>
    <cellStyle name="20% - Accent3 4 2 3 9 2" xfId="13860" xr:uid="{00000000-0005-0000-0000-0000D3110000}"/>
    <cellStyle name="20% - Accent3 4 2 3 9 3" xfId="13861" xr:uid="{00000000-0005-0000-0000-0000D4110000}"/>
    <cellStyle name="20% - Accent3 4 2 4" xfId="597" xr:uid="{00000000-0005-0000-0000-0000D5110000}"/>
    <cellStyle name="20% - Accent3 4 2 4 10" xfId="13862" xr:uid="{00000000-0005-0000-0000-0000D6110000}"/>
    <cellStyle name="20% - Accent3 4 2 4 2" xfId="598" xr:uid="{00000000-0005-0000-0000-0000D7110000}"/>
    <cellStyle name="20% - Accent3 4 2 4 2 2" xfId="13863" xr:uid="{00000000-0005-0000-0000-0000D8110000}"/>
    <cellStyle name="20% - Accent3 4 2 4 2 2 2" xfId="13864" xr:uid="{00000000-0005-0000-0000-0000D9110000}"/>
    <cellStyle name="20% - Accent3 4 2 4 2 2 2 2" xfId="13865" xr:uid="{00000000-0005-0000-0000-0000DA110000}"/>
    <cellStyle name="20% - Accent3 4 2 4 2 2 2 3" xfId="13866" xr:uid="{00000000-0005-0000-0000-0000DB110000}"/>
    <cellStyle name="20% - Accent3 4 2 4 2 2 3" xfId="13867" xr:uid="{00000000-0005-0000-0000-0000DC110000}"/>
    <cellStyle name="20% - Accent3 4 2 4 2 2 3 2" xfId="13868" xr:uid="{00000000-0005-0000-0000-0000DD110000}"/>
    <cellStyle name="20% - Accent3 4 2 4 2 2 3 3" xfId="13869" xr:uid="{00000000-0005-0000-0000-0000DE110000}"/>
    <cellStyle name="20% - Accent3 4 2 4 2 2 4" xfId="13870" xr:uid="{00000000-0005-0000-0000-0000DF110000}"/>
    <cellStyle name="20% - Accent3 4 2 4 2 2 4 2" xfId="13871" xr:uid="{00000000-0005-0000-0000-0000E0110000}"/>
    <cellStyle name="20% - Accent3 4 2 4 2 2 5" xfId="13872" xr:uid="{00000000-0005-0000-0000-0000E1110000}"/>
    <cellStyle name="20% - Accent3 4 2 4 2 2 6" xfId="13873" xr:uid="{00000000-0005-0000-0000-0000E2110000}"/>
    <cellStyle name="20% - Accent3 4 2 4 2 3" xfId="13874" xr:uid="{00000000-0005-0000-0000-0000E3110000}"/>
    <cellStyle name="20% - Accent3 4 2 4 2 3 2" xfId="13875" xr:uid="{00000000-0005-0000-0000-0000E4110000}"/>
    <cellStyle name="20% - Accent3 4 2 4 2 3 2 2" xfId="13876" xr:uid="{00000000-0005-0000-0000-0000E5110000}"/>
    <cellStyle name="20% - Accent3 4 2 4 2 3 2 3" xfId="13877" xr:uid="{00000000-0005-0000-0000-0000E6110000}"/>
    <cellStyle name="20% - Accent3 4 2 4 2 3 3" xfId="13878" xr:uid="{00000000-0005-0000-0000-0000E7110000}"/>
    <cellStyle name="20% - Accent3 4 2 4 2 3 3 2" xfId="13879" xr:uid="{00000000-0005-0000-0000-0000E8110000}"/>
    <cellStyle name="20% - Accent3 4 2 4 2 3 3 3" xfId="13880" xr:uid="{00000000-0005-0000-0000-0000E9110000}"/>
    <cellStyle name="20% - Accent3 4 2 4 2 3 4" xfId="13881" xr:uid="{00000000-0005-0000-0000-0000EA110000}"/>
    <cellStyle name="20% - Accent3 4 2 4 2 3 4 2" xfId="13882" xr:uid="{00000000-0005-0000-0000-0000EB110000}"/>
    <cellStyle name="20% - Accent3 4 2 4 2 3 5" xfId="13883" xr:uid="{00000000-0005-0000-0000-0000EC110000}"/>
    <cellStyle name="20% - Accent3 4 2 4 2 3 6" xfId="13884" xr:uid="{00000000-0005-0000-0000-0000ED110000}"/>
    <cellStyle name="20% - Accent3 4 2 4 2 4" xfId="13885" xr:uid="{00000000-0005-0000-0000-0000EE110000}"/>
    <cellStyle name="20% - Accent3 4 2 4 2 4 2" xfId="13886" xr:uid="{00000000-0005-0000-0000-0000EF110000}"/>
    <cellStyle name="20% - Accent3 4 2 4 2 4 2 2" xfId="13887" xr:uid="{00000000-0005-0000-0000-0000F0110000}"/>
    <cellStyle name="20% - Accent3 4 2 4 2 4 2 3" xfId="13888" xr:uid="{00000000-0005-0000-0000-0000F1110000}"/>
    <cellStyle name="20% - Accent3 4 2 4 2 4 3" xfId="13889" xr:uid="{00000000-0005-0000-0000-0000F2110000}"/>
    <cellStyle name="20% - Accent3 4 2 4 2 4 3 2" xfId="13890" xr:uid="{00000000-0005-0000-0000-0000F3110000}"/>
    <cellStyle name="20% - Accent3 4 2 4 2 4 4" xfId="13891" xr:uid="{00000000-0005-0000-0000-0000F4110000}"/>
    <cellStyle name="20% - Accent3 4 2 4 2 4 5" xfId="13892" xr:uid="{00000000-0005-0000-0000-0000F5110000}"/>
    <cellStyle name="20% - Accent3 4 2 4 2 5" xfId="13893" xr:uid="{00000000-0005-0000-0000-0000F6110000}"/>
    <cellStyle name="20% - Accent3 4 2 4 2 5 2" xfId="13894" xr:uid="{00000000-0005-0000-0000-0000F7110000}"/>
    <cellStyle name="20% - Accent3 4 2 4 2 5 3" xfId="13895" xr:uid="{00000000-0005-0000-0000-0000F8110000}"/>
    <cellStyle name="20% - Accent3 4 2 4 2 6" xfId="13896" xr:uid="{00000000-0005-0000-0000-0000F9110000}"/>
    <cellStyle name="20% - Accent3 4 2 4 2 6 2" xfId="13897" xr:uid="{00000000-0005-0000-0000-0000FA110000}"/>
    <cellStyle name="20% - Accent3 4 2 4 2 6 3" xfId="13898" xr:uid="{00000000-0005-0000-0000-0000FB110000}"/>
    <cellStyle name="20% - Accent3 4 2 4 2 7" xfId="13899" xr:uid="{00000000-0005-0000-0000-0000FC110000}"/>
    <cellStyle name="20% - Accent3 4 2 4 2 7 2" xfId="13900" xr:uid="{00000000-0005-0000-0000-0000FD110000}"/>
    <cellStyle name="20% - Accent3 4 2 4 2 8" xfId="13901" xr:uid="{00000000-0005-0000-0000-0000FE110000}"/>
    <cellStyle name="20% - Accent3 4 2 4 2 9" xfId="13902" xr:uid="{00000000-0005-0000-0000-0000FF110000}"/>
    <cellStyle name="20% - Accent3 4 2 4 3" xfId="13903" xr:uid="{00000000-0005-0000-0000-000000120000}"/>
    <cellStyle name="20% - Accent3 4 2 4 3 2" xfId="13904" xr:uid="{00000000-0005-0000-0000-000001120000}"/>
    <cellStyle name="20% - Accent3 4 2 4 3 2 2" xfId="13905" xr:uid="{00000000-0005-0000-0000-000002120000}"/>
    <cellStyle name="20% - Accent3 4 2 4 3 2 3" xfId="13906" xr:uid="{00000000-0005-0000-0000-000003120000}"/>
    <cellStyle name="20% - Accent3 4 2 4 3 3" xfId="13907" xr:uid="{00000000-0005-0000-0000-000004120000}"/>
    <cellStyle name="20% - Accent3 4 2 4 3 3 2" xfId="13908" xr:uid="{00000000-0005-0000-0000-000005120000}"/>
    <cellStyle name="20% - Accent3 4 2 4 3 3 3" xfId="13909" xr:uid="{00000000-0005-0000-0000-000006120000}"/>
    <cellStyle name="20% - Accent3 4 2 4 3 4" xfId="13910" xr:uid="{00000000-0005-0000-0000-000007120000}"/>
    <cellStyle name="20% - Accent3 4 2 4 3 4 2" xfId="13911" xr:uid="{00000000-0005-0000-0000-000008120000}"/>
    <cellStyle name="20% - Accent3 4 2 4 3 5" xfId="13912" xr:uid="{00000000-0005-0000-0000-000009120000}"/>
    <cellStyle name="20% - Accent3 4 2 4 3 6" xfId="13913" xr:uid="{00000000-0005-0000-0000-00000A120000}"/>
    <cellStyle name="20% - Accent3 4 2 4 4" xfId="13914" xr:uid="{00000000-0005-0000-0000-00000B120000}"/>
    <cellStyle name="20% - Accent3 4 2 4 4 2" xfId="13915" xr:uid="{00000000-0005-0000-0000-00000C120000}"/>
    <cellStyle name="20% - Accent3 4 2 4 4 2 2" xfId="13916" xr:uid="{00000000-0005-0000-0000-00000D120000}"/>
    <cellStyle name="20% - Accent3 4 2 4 4 2 3" xfId="13917" xr:uid="{00000000-0005-0000-0000-00000E120000}"/>
    <cellStyle name="20% - Accent3 4 2 4 4 3" xfId="13918" xr:uid="{00000000-0005-0000-0000-00000F120000}"/>
    <cellStyle name="20% - Accent3 4 2 4 4 3 2" xfId="13919" xr:uid="{00000000-0005-0000-0000-000010120000}"/>
    <cellStyle name="20% - Accent3 4 2 4 4 3 3" xfId="13920" xr:uid="{00000000-0005-0000-0000-000011120000}"/>
    <cellStyle name="20% - Accent3 4 2 4 4 4" xfId="13921" xr:uid="{00000000-0005-0000-0000-000012120000}"/>
    <cellStyle name="20% - Accent3 4 2 4 4 4 2" xfId="13922" xr:uid="{00000000-0005-0000-0000-000013120000}"/>
    <cellStyle name="20% - Accent3 4 2 4 4 5" xfId="13923" xr:uid="{00000000-0005-0000-0000-000014120000}"/>
    <cellStyle name="20% - Accent3 4 2 4 4 6" xfId="13924" xr:uid="{00000000-0005-0000-0000-000015120000}"/>
    <cellStyle name="20% - Accent3 4 2 4 5" xfId="13925" xr:uid="{00000000-0005-0000-0000-000016120000}"/>
    <cellStyle name="20% - Accent3 4 2 4 5 2" xfId="13926" xr:uid="{00000000-0005-0000-0000-000017120000}"/>
    <cellStyle name="20% - Accent3 4 2 4 5 2 2" xfId="13927" xr:uid="{00000000-0005-0000-0000-000018120000}"/>
    <cellStyle name="20% - Accent3 4 2 4 5 2 3" xfId="13928" xr:uid="{00000000-0005-0000-0000-000019120000}"/>
    <cellStyle name="20% - Accent3 4 2 4 5 3" xfId="13929" xr:uid="{00000000-0005-0000-0000-00001A120000}"/>
    <cellStyle name="20% - Accent3 4 2 4 5 3 2" xfId="13930" xr:uid="{00000000-0005-0000-0000-00001B120000}"/>
    <cellStyle name="20% - Accent3 4 2 4 5 4" xfId="13931" xr:uid="{00000000-0005-0000-0000-00001C120000}"/>
    <cellStyle name="20% - Accent3 4 2 4 5 5" xfId="13932" xr:uid="{00000000-0005-0000-0000-00001D120000}"/>
    <cellStyle name="20% - Accent3 4 2 4 6" xfId="13933" xr:uid="{00000000-0005-0000-0000-00001E120000}"/>
    <cellStyle name="20% - Accent3 4 2 4 6 2" xfId="13934" xr:uid="{00000000-0005-0000-0000-00001F120000}"/>
    <cellStyle name="20% - Accent3 4 2 4 6 3" xfId="13935" xr:uid="{00000000-0005-0000-0000-000020120000}"/>
    <cellStyle name="20% - Accent3 4 2 4 7" xfId="13936" xr:uid="{00000000-0005-0000-0000-000021120000}"/>
    <cellStyle name="20% - Accent3 4 2 4 7 2" xfId="13937" xr:uid="{00000000-0005-0000-0000-000022120000}"/>
    <cellStyle name="20% - Accent3 4 2 4 7 3" xfId="13938" xr:uid="{00000000-0005-0000-0000-000023120000}"/>
    <cellStyle name="20% - Accent3 4 2 4 8" xfId="13939" xr:uid="{00000000-0005-0000-0000-000024120000}"/>
    <cellStyle name="20% - Accent3 4 2 4 8 2" xfId="13940" xr:uid="{00000000-0005-0000-0000-000025120000}"/>
    <cellStyle name="20% - Accent3 4 2 4 9" xfId="13941" xr:uid="{00000000-0005-0000-0000-000026120000}"/>
    <cellStyle name="20% - Accent3 4 2 5" xfId="599" xr:uid="{00000000-0005-0000-0000-000027120000}"/>
    <cellStyle name="20% - Accent3 4 2 5 2" xfId="13942" xr:uid="{00000000-0005-0000-0000-000028120000}"/>
    <cellStyle name="20% - Accent3 4 2 5 2 2" xfId="13943" xr:uid="{00000000-0005-0000-0000-000029120000}"/>
    <cellStyle name="20% - Accent3 4 2 5 2 2 2" xfId="13944" xr:uid="{00000000-0005-0000-0000-00002A120000}"/>
    <cellStyle name="20% - Accent3 4 2 5 2 2 3" xfId="13945" xr:uid="{00000000-0005-0000-0000-00002B120000}"/>
    <cellStyle name="20% - Accent3 4 2 5 2 3" xfId="13946" xr:uid="{00000000-0005-0000-0000-00002C120000}"/>
    <cellStyle name="20% - Accent3 4 2 5 2 3 2" xfId="13947" xr:uid="{00000000-0005-0000-0000-00002D120000}"/>
    <cellStyle name="20% - Accent3 4 2 5 2 3 3" xfId="13948" xr:uid="{00000000-0005-0000-0000-00002E120000}"/>
    <cellStyle name="20% - Accent3 4 2 5 2 4" xfId="13949" xr:uid="{00000000-0005-0000-0000-00002F120000}"/>
    <cellStyle name="20% - Accent3 4 2 5 2 4 2" xfId="13950" xr:uid="{00000000-0005-0000-0000-000030120000}"/>
    <cellStyle name="20% - Accent3 4 2 5 2 5" xfId="13951" xr:uid="{00000000-0005-0000-0000-000031120000}"/>
    <cellStyle name="20% - Accent3 4 2 5 2 6" xfId="13952" xr:uid="{00000000-0005-0000-0000-000032120000}"/>
    <cellStyle name="20% - Accent3 4 2 5 3" xfId="13953" xr:uid="{00000000-0005-0000-0000-000033120000}"/>
    <cellStyle name="20% - Accent3 4 2 5 3 2" xfId="13954" xr:uid="{00000000-0005-0000-0000-000034120000}"/>
    <cellStyle name="20% - Accent3 4 2 5 3 2 2" xfId="13955" xr:uid="{00000000-0005-0000-0000-000035120000}"/>
    <cellStyle name="20% - Accent3 4 2 5 3 2 3" xfId="13956" xr:uid="{00000000-0005-0000-0000-000036120000}"/>
    <cellStyle name="20% - Accent3 4 2 5 3 3" xfId="13957" xr:uid="{00000000-0005-0000-0000-000037120000}"/>
    <cellStyle name="20% - Accent3 4 2 5 3 3 2" xfId="13958" xr:uid="{00000000-0005-0000-0000-000038120000}"/>
    <cellStyle name="20% - Accent3 4 2 5 3 3 3" xfId="13959" xr:uid="{00000000-0005-0000-0000-000039120000}"/>
    <cellStyle name="20% - Accent3 4 2 5 3 4" xfId="13960" xr:uid="{00000000-0005-0000-0000-00003A120000}"/>
    <cellStyle name="20% - Accent3 4 2 5 3 4 2" xfId="13961" xr:uid="{00000000-0005-0000-0000-00003B120000}"/>
    <cellStyle name="20% - Accent3 4 2 5 3 5" xfId="13962" xr:uid="{00000000-0005-0000-0000-00003C120000}"/>
    <cellStyle name="20% - Accent3 4 2 5 3 6" xfId="13963" xr:uid="{00000000-0005-0000-0000-00003D120000}"/>
    <cellStyle name="20% - Accent3 4 2 5 4" xfId="13964" xr:uid="{00000000-0005-0000-0000-00003E120000}"/>
    <cellStyle name="20% - Accent3 4 2 5 4 2" xfId="13965" xr:uid="{00000000-0005-0000-0000-00003F120000}"/>
    <cellStyle name="20% - Accent3 4 2 5 4 2 2" xfId="13966" xr:uid="{00000000-0005-0000-0000-000040120000}"/>
    <cellStyle name="20% - Accent3 4 2 5 4 2 3" xfId="13967" xr:uid="{00000000-0005-0000-0000-000041120000}"/>
    <cellStyle name="20% - Accent3 4 2 5 4 3" xfId="13968" xr:uid="{00000000-0005-0000-0000-000042120000}"/>
    <cellStyle name="20% - Accent3 4 2 5 4 3 2" xfId="13969" xr:uid="{00000000-0005-0000-0000-000043120000}"/>
    <cellStyle name="20% - Accent3 4 2 5 4 4" xfId="13970" xr:uid="{00000000-0005-0000-0000-000044120000}"/>
    <cellStyle name="20% - Accent3 4 2 5 4 5" xfId="13971" xr:uid="{00000000-0005-0000-0000-000045120000}"/>
    <cellStyle name="20% - Accent3 4 2 5 5" xfId="13972" xr:uid="{00000000-0005-0000-0000-000046120000}"/>
    <cellStyle name="20% - Accent3 4 2 5 5 2" xfId="13973" xr:uid="{00000000-0005-0000-0000-000047120000}"/>
    <cellStyle name="20% - Accent3 4 2 5 5 3" xfId="13974" xr:uid="{00000000-0005-0000-0000-000048120000}"/>
    <cellStyle name="20% - Accent3 4 2 5 6" xfId="13975" xr:uid="{00000000-0005-0000-0000-000049120000}"/>
    <cellStyle name="20% - Accent3 4 2 5 6 2" xfId="13976" xr:uid="{00000000-0005-0000-0000-00004A120000}"/>
    <cellStyle name="20% - Accent3 4 2 5 6 3" xfId="13977" xr:uid="{00000000-0005-0000-0000-00004B120000}"/>
    <cellStyle name="20% - Accent3 4 2 5 7" xfId="13978" xr:uid="{00000000-0005-0000-0000-00004C120000}"/>
    <cellStyle name="20% - Accent3 4 2 5 7 2" xfId="13979" xr:uid="{00000000-0005-0000-0000-00004D120000}"/>
    <cellStyle name="20% - Accent3 4 2 5 8" xfId="13980" xr:uid="{00000000-0005-0000-0000-00004E120000}"/>
    <cellStyle name="20% - Accent3 4 2 5 9" xfId="13981" xr:uid="{00000000-0005-0000-0000-00004F120000}"/>
    <cellStyle name="20% - Accent3 4 2 6" xfId="13982" xr:uid="{00000000-0005-0000-0000-000050120000}"/>
    <cellStyle name="20% - Accent3 4 2 6 2" xfId="13983" xr:uid="{00000000-0005-0000-0000-000051120000}"/>
    <cellStyle name="20% - Accent3 4 2 6 2 2" xfId="13984" xr:uid="{00000000-0005-0000-0000-000052120000}"/>
    <cellStyle name="20% - Accent3 4 2 6 2 2 2" xfId="13985" xr:uid="{00000000-0005-0000-0000-000053120000}"/>
    <cellStyle name="20% - Accent3 4 2 6 2 2 3" xfId="13986" xr:uid="{00000000-0005-0000-0000-000054120000}"/>
    <cellStyle name="20% - Accent3 4 2 6 2 3" xfId="13987" xr:uid="{00000000-0005-0000-0000-000055120000}"/>
    <cellStyle name="20% - Accent3 4 2 6 2 3 2" xfId="13988" xr:uid="{00000000-0005-0000-0000-000056120000}"/>
    <cellStyle name="20% - Accent3 4 2 6 2 3 3" xfId="13989" xr:uid="{00000000-0005-0000-0000-000057120000}"/>
    <cellStyle name="20% - Accent3 4 2 6 2 4" xfId="13990" xr:uid="{00000000-0005-0000-0000-000058120000}"/>
    <cellStyle name="20% - Accent3 4 2 6 2 4 2" xfId="13991" xr:uid="{00000000-0005-0000-0000-000059120000}"/>
    <cellStyle name="20% - Accent3 4 2 6 2 5" xfId="13992" xr:uid="{00000000-0005-0000-0000-00005A120000}"/>
    <cellStyle name="20% - Accent3 4 2 6 2 6" xfId="13993" xr:uid="{00000000-0005-0000-0000-00005B120000}"/>
    <cellStyle name="20% - Accent3 4 2 6 3" xfId="13994" xr:uid="{00000000-0005-0000-0000-00005C120000}"/>
    <cellStyle name="20% - Accent3 4 2 6 3 2" xfId="13995" xr:uid="{00000000-0005-0000-0000-00005D120000}"/>
    <cellStyle name="20% - Accent3 4 2 6 3 2 2" xfId="13996" xr:uid="{00000000-0005-0000-0000-00005E120000}"/>
    <cellStyle name="20% - Accent3 4 2 6 3 2 3" xfId="13997" xr:uid="{00000000-0005-0000-0000-00005F120000}"/>
    <cellStyle name="20% - Accent3 4 2 6 3 3" xfId="13998" xr:uid="{00000000-0005-0000-0000-000060120000}"/>
    <cellStyle name="20% - Accent3 4 2 6 3 3 2" xfId="13999" xr:uid="{00000000-0005-0000-0000-000061120000}"/>
    <cellStyle name="20% - Accent3 4 2 6 3 3 3" xfId="14000" xr:uid="{00000000-0005-0000-0000-000062120000}"/>
    <cellStyle name="20% - Accent3 4 2 6 3 4" xfId="14001" xr:uid="{00000000-0005-0000-0000-000063120000}"/>
    <cellStyle name="20% - Accent3 4 2 6 3 4 2" xfId="14002" xr:uid="{00000000-0005-0000-0000-000064120000}"/>
    <cellStyle name="20% - Accent3 4 2 6 3 5" xfId="14003" xr:uid="{00000000-0005-0000-0000-000065120000}"/>
    <cellStyle name="20% - Accent3 4 2 6 3 6" xfId="14004" xr:uid="{00000000-0005-0000-0000-000066120000}"/>
    <cellStyle name="20% - Accent3 4 2 6 4" xfId="14005" xr:uid="{00000000-0005-0000-0000-000067120000}"/>
    <cellStyle name="20% - Accent3 4 2 6 4 2" xfId="14006" xr:uid="{00000000-0005-0000-0000-000068120000}"/>
    <cellStyle name="20% - Accent3 4 2 6 4 2 2" xfId="14007" xr:uid="{00000000-0005-0000-0000-000069120000}"/>
    <cellStyle name="20% - Accent3 4 2 6 4 2 3" xfId="14008" xr:uid="{00000000-0005-0000-0000-00006A120000}"/>
    <cellStyle name="20% - Accent3 4 2 6 4 3" xfId="14009" xr:uid="{00000000-0005-0000-0000-00006B120000}"/>
    <cellStyle name="20% - Accent3 4 2 6 4 3 2" xfId="14010" xr:uid="{00000000-0005-0000-0000-00006C120000}"/>
    <cellStyle name="20% - Accent3 4 2 6 4 4" xfId="14011" xr:uid="{00000000-0005-0000-0000-00006D120000}"/>
    <cellStyle name="20% - Accent3 4 2 6 4 5" xfId="14012" xr:uid="{00000000-0005-0000-0000-00006E120000}"/>
    <cellStyle name="20% - Accent3 4 2 6 5" xfId="14013" xr:uid="{00000000-0005-0000-0000-00006F120000}"/>
    <cellStyle name="20% - Accent3 4 2 6 5 2" xfId="14014" xr:uid="{00000000-0005-0000-0000-000070120000}"/>
    <cellStyle name="20% - Accent3 4 2 6 5 3" xfId="14015" xr:uid="{00000000-0005-0000-0000-000071120000}"/>
    <cellStyle name="20% - Accent3 4 2 6 6" xfId="14016" xr:uid="{00000000-0005-0000-0000-000072120000}"/>
    <cellStyle name="20% - Accent3 4 2 6 6 2" xfId="14017" xr:uid="{00000000-0005-0000-0000-000073120000}"/>
    <cellStyle name="20% - Accent3 4 2 6 6 3" xfId="14018" xr:uid="{00000000-0005-0000-0000-000074120000}"/>
    <cellStyle name="20% - Accent3 4 2 6 7" xfId="14019" xr:uid="{00000000-0005-0000-0000-000075120000}"/>
    <cellStyle name="20% - Accent3 4 2 6 7 2" xfId="14020" xr:uid="{00000000-0005-0000-0000-000076120000}"/>
    <cellStyle name="20% - Accent3 4 2 6 8" xfId="14021" xr:uid="{00000000-0005-0000-0000-000077120000}"/>
    <cellStyle name="20% - Accent3 4 2 6 9" xfId="14022" xr:uid="{00000000-0005-0000-0000-000078120000}"/>
    <cellStyle name="20% - Accent3 4 2 7" xfId="14023" xr:uid="{00000000-0005-0000-0000-000079120000}"/>
    <cellStyle name="20% - Accent3 4 2 7 2" xfId="14024" xr:uid="{00000000-0005-0000-0000-00007A120000}"/>
    <cellStyle name="20% - Accent3 4 2 7 2 2" xfId="14025" xr:uid="{00000000-0005-0000-0000-00007B120000}"/>
    <cellStyle name="20% - Accent3 4 2 7 2 3" xfId="14026" xr:uid="{00000000-0005-0000-0000-00007C120000}"/>
    <cellStyle name="20% - Accent3 4 2 7 3" xfId="14027" xr:uid="{00000000-0005-0000-0000-00007D120000}"/>
    <cellStyle name="20% - Accent3 4 2 7 3 2" xfId="14028" xr:uid="{00000000-0005-0000-0000-00007E120000}"/>
    <cellStyle name="20% - Accent3 4 2 7 3 3" xfId="14029" xr:uid="{00000000-0005-0000-0000-00007F120000}"/>
    <cellStyle name="20% - Accent3 4 2 7 4" xfId="14030" xr:uid="{00000000-0005-0000-0000-000080120000}"/>
    <cellStyle name="20% - Accent3 4 2 7 4 2" xfId="14031" xr:uid="{00000000-0005-0000-0000-000081120000}"/>
    <cellStyle name="20% - Accent3 4 2 7 5" xfId="14032" xr:uid="{00000000-0005-0000-0000-000082120000}"/>
    <cellStyle name="20% - Accent3 4 2 7 6" xfId="14033" xr:uid="{00000000-0005-0000-0000-000083120000}"/>
    <cellStyle name="20% - Accent3 4 2 8" xfId="14034" xr:uid="{00000000-0005-0000-0000-000084120000}"/>
    <cellStyle name="20% - Accent3 4 2 8 2" xfId="14035" xr:uid="{00000000-0005-0000-0000-000085120000}"/>
    <cellStyle name="20% - Accent3 4 2 8 2 2" xfId="14036" xr:uid="{00000000-0005-0000-0000-000086120000}"/>
    <cellStyle name="20% - Accent3 4 2 8 2 3" xfId="14037" xr:uid="{00000000-0005-0000-0000-000087120000}"/>
    <cellStyle name="20% - Accent3 4 2 8 3" xfId="14038" xr:uid="{00000000-0005-0000-0000-000088120000}"/>
    <cellStyle name="20% - Accent3 4 2 8 3 2" xfId="14039" xr:uid="{00000000-0005-0000-0000-000089120000}"/>
    <cellStyle name="20% - Accent3 4 2 8 3 3" xfId="14040" xr:uid="{00000000-0005-0000-0000-00008A120000}"/>
    <cellStyle name="20% - Accent3 4 2 8 4" xfId="14041" xr:uid="{00000000-0005-0000-0000-00008B120000}"/>
    <cellStyle name="20% - Accent3 4 2 8 4 2" xfId="14042" xr:uid="{00000000-0005-0000-0000-00008C120000}"/>
    <cellStyle name="20% - Accent3 4 2 8 5" xfId="14043" xr:uid="{00000000-0005-0000-0000-00008D120000}"/>
    <cellStyle name="20% - Accent3 4 2 8 6" xfId="14044" xr:uid="{00000000-0005-0000-0000-00008E120000}"/>
    <cellStyle name="20% - Accent3 4 2 9" xfId="14045" xr:uid="{00000000-0005-0000-0000-00008F120000}"/>
    <cellStyle name="20% - Accent3 4 2 9 2" xfId="14046" xr:uid="{00000000-0005-0000-0000-000090120000}"/>
    <cellStyle name="20% - Accent3 4 2 9 2 2" xfId="14047" xr:uid="{00000000-0005-0000-0000-000091120000}"/>
    <cellStyle name="20% - Accent3 4 2 9 2 3" xfId="14048" xr:uid="{00000000-0005-0000-0000-000092120000}"/>
    <cellStyle name="20% - Accent3 4 2 9 3" xfId="14049" xr:uid="{00000000-0005-0000-0000-000093120000}"/>
    <cellStyle name="20% - Accent3 4 2 9 3 2" xfId="14050" xr:uid="{00000000-0005-0000-0000-000094120000}"/>
    <cellStyle name="20% - Accent3 4 2 9 4" xfId="14051" xr:uid="{00000000-0005-0000-0000-000095120000}"/>
    <cellStyle name="20% - Accent3 4 2 9 5" xfId="14052" xr:uid="{00000000-0005-0000-0000-000096120000}"/>
    <cellStyle name="20% - Accent3 4 3" xfId="600" xr:uid="{00000000-0005-0000-0000-000097120000}"/>
    <cellStyle name="20% - Accent3 4 3 10" xfId="14053" xr:uid="{00000000-0005-0000-0000-000098120000}"/>
    <cellStyle name="20% - Accent3 4 3 10 2" xfId="14054" xr:uid="{00000000-0005-0000-0000-000099120000}"/>
    <cellStyle name="20% - Accent3 4 3 10 3" xfId="14055" xr:uid="{00000000-0005-0000-0000-00009A120000}"/>
    <cellStyle name="20% - Accent3 4 3 11" xfId="14056" xr:uid="{00000000-0005-0000-0000-00009B120000}"/>
    <cellStyle name="20% - Accent3 4 3 11 2" xfId="14057" xr:uid="{00000000-0005-0000-0000-00009C120000}"/>
    <cellStyle name="20% - Accent3 4 3 12" xfId="14058" xr:uid="{00000000-0005-0000-0000-00009D120000}"/>
    <cellStyle name="20% - Accent3 4 3 13" xfId="14059" xr:uid="{00000000-0005-0000-0000-00009E120000}"/>
    <cellStyle name="20% - Accent3 4 3 14" xfId="14060" xr:uid="{00000000-0005-0000-0000-00009F120000}"/>
    <cellStyle name="20% - Accent3 4 3 2" xfId="601" xr:uid="{00000000-0005-0000-0000-0000A0120000}"/>
    <cellStyle name="20% - Accent3 4 3 2 10" xfId="14061" xr:uid="{00000000-0005-0000-0000-0000A1120000}"/>
    <cellStyle name="20% - Accent3 4 3 2 10 2" xfId="14062" xr:uid="{00000000-0005-0000-0000-0000A2120000}"/>
    <cellStyle name="20% - Accent3 4 3 2 11" xfId="14063" xr:uid="{00000000-0005-0000-0000-0000A3120000}"/>
    <cellStyle name="20% - Accent3 4 3 2 12" xfId="14064" xr:uid="{00000000-0005-0000-0000-0000A4120000}"/>
    <cellStyle name="20% - Accent3 4 3 2 2" xfId="602" xr:uid="{00000000-0005-0000-0000-0000A5120000}"/>
    <cellStyle name="20% - Accent3 4 3 2 2 10" xfId="14065" xr:uid="{00000000-0005-0000-0000-0000A6120000}"/>
    <cellStyle name="20% - Accent3 4 3 2 2 2" xfId="603" xr:uid="{00000000-0005-0000-0000-0000A7120000}"/>
    <cellStyle name="20% - Accent3 4 3 2 2 2 2" xfId="14066" xr:uid="{00000000-0005-0000-0000-0000A8120000}"/>
    <cellStyle name="20% - Accent3 4 3 2 2 2 2 2" xfId="14067" xr:uid="{00000000-0005-0000-0000-0000A9120000}"/>
    <cellStyle name="20% - Accent3 4 3 2 2 2 2 2 2" xfId="14068" xr:uid="{00000000-0005-0000-0000-0000AA120000}"/>
    <cellStyle name="20% - Accent3 4 3 2 2 2 2 2 3" xfId="14069" xr:uid="{00000000-0005-0000-0000-0000AB120000}"/>
    <cellStyle name="20% - Accent3 4 3 2 2 2 2 3" xfId="14070" xr:uid="{00000000-0005-0000-0000-0000AC120000}"/>
    <cellStyle name="20% - Accent3 4 3 2 2 2 2 3 2" xfId="14071" xr:uid="{00000000-0005-0000-0000-0000AD120000}"/>
    <cellStyle name="20% - Accent3 4 3 2 2 2 2 3 3" xfId="14072" xr:uid="{00000000-0005-0000-0000-0000AE120000}"/>
    <cellStyle name="20% - Accent3 4 3 2 2 2 2 4" xfId="14073" xr:uid="{00000000-0005-0000-0000-0000AF120000}"/>
    <cellStyle name="20% - Accent3 4 3 2 2 2 2 4 2" xfId="14074" xr:uid="{00000000-0005-0000-0000-0000B0120000}"/>
    <cellStyle name="20% - Accent3 4 3 2 2 2 2 5" xfId="14075" xr:uid="{00000000-0005-0000-0000-0000B1120000}"/>
    <cellStyle name="20% - Accent3 4 3 2 2 2 2 6" xfId="14076" xr:uid="{00000000-0005-0000-0000-0000B2120000}"/>
    <cellStyle name="20% - Accent3 4 3 2 2 2 3" xfId="14077" xr:uid="{00000000-0005-0000-0000-0000B3120000}"/>
    <cellStyle name="20% - Accent3 4 3 2 2 2 3 2" xfId="14078" xr:uid="{00000000-0005-0000-0000-0000B4120000}"/>
    <cellStyle name="20% - Accent3 4 3 2 2 2 3 2 2" xfId="14079" xr:uid="{00000000-0005-0000-0000-0000B5120000}"/>
    <cellStyle name="20% - Accent3 4 3 2 2 2 3 2 3" xfId="14080" xr:uid="{00000000-0005-0000-0000-0000B6120000}"/>
    <cellStyle name="20% - Accent3 4 3 2 2 2 3 3" xfId="14081" xr:uid="{00000000-0005-0000-0000-0000B7120000}"/>
    <cellStyle name="20% - Accent3 4 3 2 2 2 3 3 2" xfId="14082" xr:uid="{00000000-0005-0000-0000-0000B8120000}"/>
    <cellStyle name="20% - Accent3 4 3 2 2 2 3 3 3" xfId="14083" xr:uid="{00000000-0005-0000-0000-0000B9120000}"/>
    <cellStyle name="20% - Accent3 4 3 2 2 2 3 4" xfId="14084" xr:uid="{00000000-0005-0000-0000-0000BA120000}"/>
    <cellStyle name="20% - Accent3 4 3 2 2 2 3 4 2" xfId="14085" xr:uid="{00000000-0005-0000-0000-0000BB120000}"/>
    <cellStyle name="20% - Accent3 4 3 2 2 2 3 5" xfId="14086" xr:uid="{00000000-0005-0000-0000-0000BC120000}"/>
    <cellStyle name="20% - Accent3 4 3 2 2 2 3 6" xfId="14087" xr:uid="{00000000-0005-0000-0000-0000BD120000}"/>
    <cellStyle name="20% - Accent3 4 3 2 2 2 4" xfId="14088" xr:uid="{00000000-0005-0000-0000-0000BE120000}"/>
    <cellStyle name="20% - Accent3 4 3 2 2 2 4 2" xfId="14089" xr:uid="{00000000-0005-0000-0000-0000BF120000}"/>
    <cellStyle name="20% - Accent3 4 3 2 2 2 4 2 2" xfId="14090" xr:uid="{00000000-0005-0000-0000-0000C0120000}"/>
    <cellStyle name="20% - Accent3 4 3 2 2 2 4 2 3" xfId="14091" xr:uid="{00000000-0005-0000-0000-0000C1120000}"/>
    <cellStyle name="20% - Accent3 4 3 2 2 2 4 3" xfId="14092" xr:uid="{00000000-0005-0000-0000-0000C2120000}"/>
    <cellStyle name="20% - Accent3 4 3 2 2 2 4 3 2" xfId="14093" xr:uid="{00000000-0005-0000-0000-0000C3120000}"/>
    <cellStyle name="20% - Accent3 4 3 2 2 2 4 4" xfId="14094" xr:uid="{00000000-0005-0000-0000-0000C4120000}"/>
    <cellStyle name="20% - Accent3 4 3 2 2 2 4 5" xfId="14095" xr:uid="{00000000-0005-0000-0000-0000C5120000}"/>
    <cellStyle name="20% - Accent3 4 3 2 2 2 5" xfId="14096" xr:uid="{00000000-0005-0000-0000-0000C6120000}"/>
    <cellStyle name="20% - Accent3 4 3 2 2 2 5 2" xfId="14097" xr:uid="{00000000-0005-0000-0000-0000C7120000}"/>
    <cellStyle name="20% - Accent3 4 3 2 2 2 5 3" xfId="14098" xr:uid="{00000000-0005-0000-0000-0000C8120000}"/>
    <cellStyle name="20% - Accent3 4 3 2 2 2 6" xfId="14099" xr:uid="{00000000-0005-0000-0000-0000C9120000}"/>
    <cellStyle name="20% - Accent3 4 3 2 2 2 6 2" xfId="14100" xr:uid="{00000000-0005-0000-0000-0000CA120000}"/>
    <cellStyle name="20% - Accent3 4 3 2 2 2 6 3" xfId="14101" xr:uid="{00000000-0005-0000-0000-0000CB120000}"/>
    <cellStyle name="20% - Accent3 4 3 2 2 2 7" xfId="14102" xr:uid="{00000000-0005-0000-0000-0000CC120000}"/>
    <cellStyle name="20% - Accent3 4 3 2 2 2 7 2" xfId="14103" xr:uid="{00000000-0005-0000-0000-0000CD120000}"/>
    <cellStyle name="20% - Accent3 4 3 2 2 2 8" xfId="14104" xr:uid="{00000000-0005-0000-0000-0000CE120000}"/>
    <cellStyle name="20% - Accent3 4 3 2 2 2 9" xfId="14105" xr:uid="{00000000-0005-0000-0000-0000CF120000}"/>
    <cellStyle name="20% - Accent3 4 3 2 2 3" xfId="14106" xr:uid="{00000000-0005-0000-0000-0000D0120000}"/>
    <cellStyle name="20% - Accent3 4 3 2 2 3 2" xfId="14107" xr:uid="{00000000-0005-0000-0000-0000D1120000}"/>
    <cellStyle name="20% - Accent3 4 3 2 2 3 2 2" xfId="14108" xr:uid="{00000000-0005-0000-0000-0000D2120000}"/>
    <cellStyle name="20% - Accent3 4 3 2 2 3 2 3" xfId="14109" xr:uid="{00000000-0005-0000-0000-0000D3120000}"/>
    <cellStyle name="20% - Accent3 4 3 2 2 3 3" xfId="14110" xr:uid="{00000000-0005-0000-0000-0000D4120000}"/>
    <cellStyle name="20% - Accent3 4 3 2 2 3 3 2" xfId="14111" xr:uid="{00000000-0005-0000-0000-0000D5120000}"/>
    <cellStyle name="20% - Accent3 4 3 2 2 3 3 3" xfId="14112" xr:uid="{00000000-0005-0000-0000-0000D6120000}"/>
    <cellStyle name="20% - Accent3 4 3 2 2 3 4" xfId="14113" xr:uid="{00000000-0005-0000-0000-0000D7120000}"/>
    <cellStyle name="20% - Accent3 4 3 2 2 3 4 2" xfId="14114" xr:uid="{00000000-0005-0000-0000-0000D8120000}"/>
    <cellStyle name="20% - Accent3 4 3 2 2 3 5" xfId="14115" xr:uid="{00000000-0005-0000-0000-0000D9120000}"/>
    <cellStyle name="20% - Accent3 4 3 2 2 3 6" xfId="14116" xr:uid="{00000000-0005-0000-0000-0000DA120000}"/>
    <cellStyle name="20% - Accent3 4 3 2 2 4" xfId="14117" xr:uid="{00000000-0005-0000-0000-0000DB120000}"/>
    <cellStyle name="20% - Accent3 4 3 2 2 4 2" xfId="14118" xr:uid="{00000000-0005-0000-0000-0000DC120000}"/>
    <cellStyle name="20% - Accent3 4 3 2 2 4 2 2" xfId="14119" xr:uid="{00000000-0005-0000-0000-0000DD120000}"/>
    <cellStyle name="20% - Accent3 4 3 2 2 4 2 3" xfId="14120" xr:uid="{00000000-0005-0000-0000-0000DE120000}"/>
    <cellStyle name="20% - Accent3 4 3 2 2 4 3" xfId="14121" xr:uid="{00000000-0005-0000-0000-0000DF120000}"/>
    <cellStyle name="20% - Accent3 4 3 2 2 4 3 2" xfId="14122" xr:uid="{00000000-0005-0000-0000-0000E0120000}"/>
    <cellStyle name="20% - Accent3 4 3 2 2 4 3 3" xfId="14123" xr:uid="{00000000-0005-0000-0000-0000E1120000}"/>
    <cellStyle name="20% - Accent3 4 3 2 2 4 4" xfId="14124" xr:uid="{00000000-0005-0000-0000-0000E2120000}"/>
    <cellStyle name="20% - Accent3 4 3 2 2 4 4 2" xfId="14125" xr:uid="{00000000-0005-0000-0000-0000E3120000}"/>
    <cellStyle name="20% - Accent3 4 3 2 2 4 5" xfId="14126" xr:uid="{00000000-0005-0000-0000-0000E4120000}"/>
    <cellStyle name="20% - Accent3 4 3 2 2 4 6" xfId="14127" xr:uid="{00000000-0005-0000-0000-0000E5120000}"/>
    <cellStyle name="20% - Accent3 4 3 2 2 5" xfId="14128" xr:uid="{00000000-0005-0000-0000-0000E6120000}"/>
    <cellStyle name="20% - Accent3 4 3 2 2 5 2" xfId="14129" xr:uid="{00000000-0005-0000-0000-0000E7120000}"/>
    <cellStyle name="20% - Accent3 4 3 2 2 5 2 2" xfId="14130" xr:uid="{00000000-0005-0000-0000-0000E8120000}"/>
    <cellStyle name="20% - Accent3 4 3 2 2 5 2 3" xfId="14131" xr:uid="{00000000-0005-0000-0000-0000E9120000}"/>
    <cellStyle name="20% - Accent3 4 3 2 2 5 3" xfId="14132" xr:uid="{00000000-0005-0000-0000-0000EA120000}"/>
    <cellStyle name="20% - Accent3 4 3 2 2 5 3 2" xfId="14133" xr:uid="{00000000-0005-0000-0000-0000EB120000}"/>
    <cellStyle name="20% - Accent3 4 3 2 2 5 4" xfId="14134" xr:uid="{00000000-0005-0000-0000-0000EC120000}"/>
    <cellStyle name="20% - Accent3 4 3 2 2 5 5" xfId="14135" xr:uid="{00000000-0005-0000-0000-0000ED120000}"/>
    <cellStyle name="20% - Accent3 4 3 2 2 6" xfId="14136" xr:uid="{00000000-0005-0000-0000-0000EE120000}"/>
    <cellStyle name="20% - Accent3 4 3 2 2 6 2" xfId="14137" xr:uid="{00000000-0005-0000-0000-0000EF120000}"/>
    <cellStyle name="20% - Accent3 4 3 2 2 6 3" xfId="14138" xr:uid="{00000000-0005-0000-0000-0000F0120000}"/>
    <cellStyle name="20% - Accent3 4 3 2 2 7" xfId="14139" xr:uid="{00000000-0005-0000-0000-0000F1120000}"/>
    <cellStyle name="20% - Accent3 4 3 2 2 7 2" xfId="14140" xr:uid="{00000000-0005-0000-0000-0000F2120000}"/>
    <cellStyle name="20% - Accent3 4 3 2 2 7 3" xfId="14141" xr:uid="{00000000-0005-0000-0000-0000F3120000}"/>
    <cellStyle name="20% - Accent3 4 3 2 2 8" xfId="14142" xr:uid="{00000000-0005-0000-0000-0000F4120000}"/>
    <cellStyle name="20% - Accent3 4 3 2 2 8 2" xfId="14143" xr:uid="{00000000-0005-0000-0000-0000F5120000}"/>
    <cellStyle name="20% - Accent3 4 3 2 2 9" xfId="14144" xr:uid="{00000000-0005-0000-0000-0000F6120000}"/>
    <cellStyle name="20% - Accent3 4 3 2 3" xfId="604" xr:uid="{00000000-0005-0000-0000-0000F7120000}"/>
    <cellStyle name="20% - Accent3 4 3 2 3 2" xfId="14145" xr:uid="{00000000-0005-0000-0000-0000F8120000}"/>
    <cellStyle name="20% - Accent3 4 3 2 3 2 2" xfId="14146" xr:uid="{00000000-0005-0000-0000-0000F9120000}"/>
    <cellStyle name="20% - Accent3 4 3 2 3 2 2 2" xfId="14147" xr:uid="{00000000-0005-0000-0000-0000FA120000}"/>
    <cellStyle name="20% - Accent3 4 3 2 3 2 2 3" xfId="14148" xr:uid="{00000000-0005-0000-0000-0000FB120000}"/>
    <cellStyle name="20% - Accent3 4 3 2 3 2 3" xfId="14149" xr:uid="{00000000-0005-0000-0000-0000FC120000}"/>
    <cellStyle name="20% - Accent3 4 3 2 3 2 3 2" xfId="14150" xr:uid="{00000000-0005-0000-0000-0000FD120000}"/>
    <cellStyle name="20% - Accent3 4 3 2 3 2 3 3" xfId="14151" xr:uid="{00000000-0005-0000-0000-0000FE120000}"/>
    <cellStyle name="20% - Accent3 4 3 2 3 2 4" xfId="14152" xr:uid="{00000000-0005-0000-0000-0000FF120000}"/>
    <cellStyle name="20% - Accent3 4 3 2 3 2 4 2" xfId="14153" xr:uid="{00000000-0005-0000-0000-000000130000}"/>
    <cellStyle name="20% - Accent3 4 3 2 3 2 5" xfId="14154" xr:uid="{00000000-0005-0000-0000-000001130000}"/>
    <cellStyle name="20% - Accent3 4 3 2 3 2 6" xfId="14155" xr:uid="{00000000-0005-0000-0000-000002130000}"/>
    <cellStyle name="20% - Accent3 4 3 2 3 3" xfId="14156" xr:uid="{00000000-0005-0000-0000-000003130000}"/>
    <cellStyle name="20% - Accent3 4 3 2 3 3 2" xfId="14157" xr:uid="{00000000-0005-0000-0000-000004130000}"/>
    <cellStyle name="20% - Accent3 4 3 2 3 3 2 2" xfId="14158" xr:uid="{00000000-0005-0000-0000-000005130000}"/>
    <cellStyle name="20% - Accent3 4 3 2 3 3 2 3" xfId="14159" xr:uid="{00000000-0005-0000-0000-000006130000}"/>
    <cellStyle name="20% - Accent3 4 3 2 3 3 3" xfId="14160" xr:uid="{00000000-0005-0000-0000-000007130000}"/>
    <cellStyle name="20% - Accent3 4 3 2 3 3 3 2" xfId="14161" xr:uid="{00000000-0005-0000-0000-000008130000}"/>
    <cellStyle name="20% - Accent3 4 3 2 3 3 3 3" xfId="14162" xr:uid="{00000000-0005-0000-0000-000009130000}"/>
    <cellStyle name="20% - Accent3 4 3 2 3 3 4" xfId="14163" xr:uid="{00000000-0005-0000-0000-00000A130000}"/>
    <cellStyle name="20% - Accent3 4 3 2 3 3 4 2" xfId="14164" xr:uid="{00000000-0005-0000-0000-00000B130000}"/>
    <cellStyle name="20% - Accent3 4 3 2 3 3 5" xfId="14165" xr:uid="{00000000-0005-0000-0000-00000C130000}"/>
    <cellStyle name="20% - Accent3 4 3 2 3 3 6" xfId="14166" xr:uid="{00000000-0005-0000-0000-00000D130000}"/>
    <cellStyle name="20% - Accent3 4 3 2 3 4" xfId="14167" xr:uid="{00000000-0005-0000-0000-00000E130000}"/>
    <cellStyle name="20% - Accent3 4 3 2 3 4 2" xfId="14168" xr:uid="{00000000-0005-0000-0000-00000F130000}"/>
    <cellStyle name="20% - Accent3 4 3 2 3 4 2 2" xfId="14169" xr:uid="{00000000-0005-0000-0000-000010130000}"/>
    <cellStyle name="20% - Accent3 4 3 2 3 4 2 3" xfId="14170" xr:uid="{00000000-0005-0000-0000-000011130000}"/>
    <cellStyle name="20% - Accent3 4 3 2 3 4 3" xfId="14171" xr:uid="{00000000-0005-0000-0000-000012130000}"/>
    <cellStyle name="20% - Accent3 4 3 2 3 4 3 2" xfId="14172" xr:uid="{00000000-0005-0000-0000-000013130000}"/>
    <cellStyle name="20% - Accent3 4 3 2 3 4 4" xfId="14173" xr:uid="{00000000-0005-0000-0000-000014130000}"/>
    <cellStyle name="20% - Accent3 4 3 2 3 4 5" xfId="14174" xr:uid="{00000000-0005-0000-0000-000015130000}"/>
    <cellStyle name="20% - Accent3 4 3 2 3 5" xfId="14175" xr:uid="{00000000-0005-0000-0000-000016130000}"/>
    <cellStyle name="20% - Accent3 4 3 2 3 5 2" xfId="14176" xr:uid="{00000000-0005-0000-0000-000017130000}"/>
    <cellStyle name="20% - Accent3 4 3 2 3 5 3" xfId="14177" xr:uid="{00000000-0005-0000-0000-000018130000}"/>
    <cellStyle name="20% - Accent3 4 3 2 3 6" xfId="14178" xr:uid="{00000000-0005-0000-0000-000019130000}"/>
    <cellStyle name="20% - Accent3 4 3 2 3 6 2" xfId="14179" xr:uid="{00000000-0005-0000-0000-00001A130000}"/>
    <cellStyle name="20% - Accent3 4 3 2 3 6 3" xfId="14180" xr:uid="{00000000-0005-0000-0000-00001B130000}"/>
    <cellStyle name="20% - Accent3 4 3 2 3 7" xfId="14181" xr:uid="{00000000-0005-0000-0000-00001C130000}"/>
    <cellStyle name="20% - Accent3 4 3 2 3 7 2" xfId="14182" xr:uid="{00000000-0005-0000-0000-00001D130000}"/>
    <cellStyle name="20% - Accent3 4 3 2 3 8" xfId="14183" xr:uid="{00000000-0005-0000-0000-00001E130000}"/>
    <cellStyle name="20% - Accent3 4 3 2 3 9" xfId="14184" xr:uid="{00000000-0005-0000-0000-00001F130000}"/>
    <cellStyle name="20% - Accent3 4 3 2 4" xfId="14185" xr:uid="{00000000-0005-0000-0000-000020130000}"/>
    <cellStyle name="20% - Accent3 4 3 2 4 2" xfId="14186" xr:uid="{00000000-0005-0000-0000-000021130000}"/>
    <cellStyle name="20% - Accent3 4 3 2 4 2 2" xfId="14187" xr:uid="{00000000-0005-0000-0000-000022130000}"/>
    <cellStyle name="20% - Accent3 4 3 2 4 2 2 2" xfId="14188" xr:uid="{00000000-0005-0000-0000-000023130000}"/>
    <cellStyle name="20% - Accent3 4 3 2 4 2 2 3" xfId="14189" xr:uid="{00000000-0005-0000-0000-000024130000}"/>
    <cellStyle name="20% - Accent3 4 3 2 4 2 3" xfId="14190" xr:uid="{00000000-0005-0000-0000-000025130000}"/>
    <cellStyle name="20% - Accent3 4 3 2 4 2 3 2" xfId="14191" xr:uid="{00000000-0005-0000-0000-000026130000}"/>
    <cellStyle name="20% - Accent3 4 3 2 4 2 3 3" xfId="14192" xr:uid="{00000000-0005-0000-0000-000027130000}"/>
    <cellStyle name="20% - Accent3 4 3 2 4 2 4" xfId="14193" xr:uid="{00000000-0005-0000-0000-000028130000}"/>
    <cellStyle name="20% - Accent3 4 3 2 4 2 4 2" xfId="14194" xr:uid="{00000000-0005-0000-0000-000029130000}"/>
    <cellStyle name="20% - Accent3 4 3 2 4 2 5" xfId="14195" xr:uid="{00000000-0005-0000-0000-00002A130000}"/>
    <cellStyle name="20% - Accent3 4 3 2 4 2 6" xfId="14196" xr:uid="{00000000-0005-0000-0000-00002B130000}"/>
    <cellStyle name="20% - Accent3 4 3 2 4 3" xfId="14197" xr:uid="{00000000-0005-0000-0000-00002C130000}"/>
    <cellStyle name="20% - Accent3 4 3 2 4 3 2" xfId="14198" xr:uid="{00000000-0005-0000-0000-00002D130000}"/>
    <cellStyle name="20% - Accent3 4 3 2 4 3 2 2" xfId="14199" xr:uid="{00000000-0005-0000-0000-00002E130000}"/>
    <cellStyle name="20% - Accent3 4 3 2 4 3 2 3" xfId="14200" xr:uid="{00000000-0005-0000-0000-00002F130000}"/>
    <cellStyle name="20% - Accent3 4 3 2 4 3 3" xfId="14201" xr:uid="{00000000-0005-0000-0000-000030130000}"/>
    <cellStyle name="20% - Accent3 4 3 2 4 3 3 2" xfId="14202" xr:uid="{00000000-0005-0000-0000-000031130000}"/>
    <cellStyle name="20% - Accent3 4 3 2 4 3 3 3" xfId="14203" xr:uid="{00000000-0005-0000-0000-000032130000}"/>
    <cellStyle name="20% - Accent3 4 3 2 4 3 4" xfId="14204" xr:uid="{00000000-0005-0000-0000-000033130000}"/>
    <cellStyle name="20% - Accent3 4 3 2 4 3 4 2" xfId="14205" xr:uid="{00000000-0005-0000-0000-000034130000}"/>
    <cellStyle name="20% - Accent3 4 3 2 4 3 5" xfId="14206" xr:uid="{00000000-0005-0000-0000-000035130000}"/>
    <cellStyle name="20% - Accent3 4 3 2 4 3 6" xfId="14207" xr:uid="{00000000-0005-0000-0000-000036130000}"/>
    <cellStyle name="20% - Accent3 4 3 2 4 4" xfId="14208" xr:uid="{00000000-0005-0000-0000-000037130000}"/>
    <cellStyle name="20% - Accent3 4 3 2 4 4 2" xfId="14209" xr:uid="{00000000-0005-0000-0000-000038130000}"/>
    <cellStyle name="20% - Accent3 4 3 2 4 4 2 2" xfId="14210" xr:uid="{00000000-0005-0000-0000-000039130000}"/>
    <cellStyle name="20% - Accent3 4 3 2 4 4 2 3" xfId="14211" xr:uid="{00000000-0005-0000-0000-00003A130000}"/>
    <cellStyle name="20% - Accent3 4 3 2 4 4 3" xfId="14212" xr:uid="{00000000-0005-0000-0000-00003B130000}"/>
    <cellStyle name="20% - Accent3 4 3 2 4 4 3 2" xfId="14213" xr:uid="{00000000-0005-0000-0000-00003C130000}"/>
    <cellStyle name="20% - Accent3 4 3 2 4 4 4" xfId="14214" xr:uid="{00000000-0005-0000-0000-00003D130000}"/>
    <cellStyle name="20% - Accent3 4 3 2 4 4 5" xfId="14215" xr:uid="{00000000-0005-0000-0000-00003E130000}"/>
    <cellStyle name="20% - Accent3 4 3 2 4 5" xfId="14216" xr:uid="{00000000-0005-0000-0000-00003F130000}"/>
    <cellStyle name="20% - Accent3 4 3 2 4 5 2" xfId="14217" xr:uid="{00000000-0005-0000-0000-000040130000}"/>
    <cellStyle name="20% - Accent3 4 3 2 4 5 3" xfId="14218" xr:uid="{00000000-0005-0000-0000-000041130000}"/>
    <cellStyle name="20% - Accent3 4 3 2 4 6" xfId="14219" xr:uid="{00000000-0005-0000-0000-000042130000}"/>
    <cellStyle name="20% - Accent3 4 3 2 4 6 2" xfId="14220" xr:uid="{00000000-0005-0000-0000-000043130000}"/>
    <cellStyle name="20% - Accent3 4 3 2 4 6 3" xfId="14221" xr:uid="{00000000-0005-0000-0000-000044130000}"/>
    <cellStyle name="20% - Accent3 4 3 2 4 7" xfId="14222" xr:uid="{00000000-0005-0000-0000-000045130000}"/>
    <cellStyle name="20% - Accent3 4 3 2 4 7 2" xfId="14223" xr:uid="{00000000-0005-0000-0000-000046130000}"/>
    <cellStyle name="20% - Accent3 4 3 2 4 8" xfId="14224" xr:uid="{00000000-0005-0000-0000-000047130000}"/>
    <cellStyle name="20% - Accent3 4 3 2 4 9" xfId="14225" xr:uid="{00000000-0005-0000-0000-000048130000}"/>
    <cellStyle name="20% - Accent3 4 3 2 5" xfId="14226" xr:uid="{00000000-0005-0000-0000-000049130000}"/>
    <cellStyle name="20% - Accent3 4 3 2 5 2" xfId="14227" xr:uid="{00000000-0005-0000-0000-00004A130000}"/>
    <cellStyle name="20% - Accent3 4 3 2 5 2 2" xfId="14228" xr:uid="{00000000-0005-0000-0000-00004B130000}"/>
    <cellStyle name="20% - Accent3 4 3 2 5 2 3" xfId="14229" xr:uid="{00000000-0005-0000-0000-00004C130000}"/>
    <cellStyle name="20% - Accent3 4 3 2 5 3" xfId="14230" xr:uid="{00000000-0005-0000-0000-00004D130000}"/>
    <cellStyle name="20% - Accent3 4 3 2 5 3 2" xfId="14231" xr:uid="{00000000-0005-0000-0000-00004E130000}"/>
    <cellStyle name="20% - Accent3 4 3 2 5 3 3" xfId="14232" xr:uid="{00000000-0005-0000-0000-00004F130000}"/>
    <cellStyle name="20% - Accent3 4 3 2 5 4" xfId="14233" xr:uid="{00000000-0005-0000-0000-000050130000}"/>
    <cellStyle name="20% - Accent3 4 3 2 5 4 2" xfId="14234" xr:uid="{00000000-0005-0000-0000-000051130000}"/>
    <cellStyle name="20% - Accent3 4 3 2 5 5" xfId="14235" xr:uid="{00000000-0005-0000-0000-000052130000}"/>
    <cellStyle name="20% - Accent3 4 3 2 5 6" xfId="14236" xr:uid="{00000000-0005-0000-0000-000053130000}"/>
    <cellStyle name="20% - Accent3 4 3 2 6" xfId="14237" xr:uid="{00000000-0005-0000-0000-000054130000}"/>
    <cellStyle name="20% - Accent3 4 3 2 6 2" xfId="14238" xr:uid="{00000000-0005-0000-0000-000055130000}"/>
    <cellStyle name="20% - Accent3 4 3 2 6 2 2" xfId="14239" xr:uid="{00000000-0005-0000-0000-000056130000}"/>
    <cellStyle name="20% - Accent3 4 3 2 6 2 3" xfId="14240" xr:uid="{00000000-0005-0000-0000-000057130000}"/>
    <cellStyle name="20% - Accent3 4 3 2 6 3" xfId="14241" xr:uid="{00000000-0005-0000-0000-000058130000}"/>
    <cellStyle name="20% - Accent3 4 3 2 6 3 2" xfId="14242" xr:uid="{00000000-0005-0000-0000-000059130000}"/>
    <cellStyle name="20% - Accent3 4 3 2 6 3 3" xfId="14243" xr:uid="{00000000-0005-0000-0000-00005A130000}"/>
    <cellStyle name="20% - Accent3 4 3 2 6 4" xfId="14244" xr:uid="{00000000-0005-0000-0000-00005B130000}"/>
    <cellStyle name="20% - Accent3 4 3 2 6 4 2" xfId="14245" xr:uid="{00000000-0005-0000-0000-00005C130000}"/>
    <cellStyle name="20% - Accent3 4 3 2 6 5" xfId="14246" xr:uid="{00000000-0005-0000-0000-00005D130000}"/>
    <cellStyle name="20% - Accent3 4 3 2 6 6" xfId="14247" xr:uid="{00000000-0005-0000-0000-00005E130000}"/>
    <cellStyle name="20% - Accent3 4 3 2 7" xfId="14248" xr:uid="{00000000-0005-0000-0000-00005F130000}"/>
    <cellStyle name="20% - Accent3 4 3 2 7 2" xfId="14249" xr:uid="{00000000-0005-0000-0000-000060130000}"/>
    <cellStyle name="20% - Accent3 4 3 2 7 2 2" xfId="14250" xr:uid="{00000000-0005-0000-0000-000061130000}"/>
    <cellStyle name="20% - Accent3 4 3 2 7 2 3" xfId="14251" xr:uid="{00000000-0005-0000-0000-000062130000}"/>
    <cellStyle name="20% - Accent3 4 3 2 7 3" xfId="14252" xr:uid="{00000000-0005-0000-0000-000063130000}"/>
    <cellStyle name="20% - Accent3 4 3 2 7 3 2" xfId="14253" xr:uid="{00000000-0005-0000-0000-000064130000}"/>
    <cellStyle name="20% - Accent3 4 3 2 7 4" xfId="14254" xr:uid="{00000000-0005-0000-0000-000065130000}"/>
    <cellStyle name="20% - Accent3 4 3 2 7 5" xfId="14255" xr:uid="{00000000-0005-0000-0000-000066130000}"/>
    <cellStyle name="20% - Accent3 4 3 2 8" xfId="14256" xr:uid="{00000000-0005-0000-0000-000067130000}"/>
    <cellStyle name="20% - Accent3 4 3 2 8 2" xfId="14257" xr:uid="{00000000-0005-0000-0000-000068130000}"/>
    <cellStyle name="20% - Accent3 4 3 2 8 3" xfId="14258" xr:uid="{00000000-0005-0000-0000-000069130000}"/>
    <cellStyle name="20% - Accent3 4 3 2 9" xfId="14259" xr:uid="{00000000-0005-0000-0000-00006A130000}"/>
    <cellStyle name="20% - Accent3 4 3 2 9 2" xfId="14260" xr:uid="{00000000-0005-0000-0000-00006B130000}"/>
    <cellStyle name="20% - Accent3 4 3 2 9 3" xfId="14261" xr:uid="{00000000-0005-0000-0000-00006C130000}"/>
    <cellStyle name="20% - Accent3 4 3 3" xfId="605" xr:uid="{00000000-0005-0000-0000-00006D130000}"/>
    <cellStyle name="20% - Accent3 4 3 3 10" xfId="14262" xr:uid="{00000000-0005-0000-0000-00006E130000}"/>
    <cellStyle name="20% - Accent3 4 3 3 2" xfId="606" xr:uid="{00000000-0005-0000-0000-00006F130000}"/>
    <cellStyle name="20% - Accent3 4 3 3 2 2" xfId="14263" xr:uid="{00000000-0005-0000-0000-000070130000}"/>
    <cellStyle name="20% - Accent3 4 3 3 2 2 2" xfId="14264" xr:uid="{00000000-0005-0000-0000-000071130000}"/>
    <cellStyle name="20% - Accent3 4 3 3 2 2 2 2" xfId="14265" xr:uid="{00000000-0005-0000-0000-000072130000}"/>
    <cellStyle name="20% - Accent3 4 3 3 2 2 2 3" xfId="14266" xr:uid="{00000000-0005-0000-0000-000073130000}"/>
    <cellStyle name="20% - Accent3 4 3 3 2 2 3" xfId="14267" xr:uid="{00000000-0005-0000-0000-000074130000}"/>
    <cellStyle name="20% - Accent3 4 3 3 2 2 3 2" xfId="14268" xr:uid="{00000000-0005-0000-0000-000075130000}"/>
    <cellStyle name="20% - Accent3 4 3 3 2 2 3 3" xfId="14269" xr:uid="{00000000-0005-0000-0000-000076130000}"/>
    <cellStyle name="20% - Accent3 4 3 3 2 2 4" xfId="14270" xr:uid="{00000000-0005-0000-0000-000077130000}"/>
    <cellStyle name="20% - Accent3 4 3 3 2 2 4 2" xfId="14271" xr:uid="{00000000-0005-0000-0000-000078130000}"/>
    <cellStyle name="20% - Accent3 4 3 3 2 2 5" xfId="14272" xr:uid="{00000000-0005-0000-0000-000079130000}"/>
    <cellStyle name="20% - Accent3 4 3 3 2 2 6" xfId="14273" xr:uid="{00000000-0005-0000-0000-00007A130000}"/>
    <cellStyle name="20% - Accent3 4 3 3 2 3" xfId="14274" xr:uid="{00000000-0005-0000-0000-00007B130000}"/>
    <cellStyle name="20% - Accent3 4 3 3 2 3 2" xfId="14275" xr:uid="{00000000-0005-0000-0000-00007C130000}"/>
    <cellStyle name="20% - Accent3 4 3 3 2 3 2 2" xfId="14276" xr:uid="{00000000-0005-0000-0000-00007D130000}"/>
    <cellStyle name="20% - Accent3 4 3 3 2 3 2 3" xfId="14277" xr:uid="{00000000-0005-0000-0000-00007E130000}"/>
    <cellStyle name="20% - Accent3 4 3 3 2 3 3" xfId="14278" xr:uid="{00000000-0005-0000-0000-00007F130000}"/>
    <cellStyle name="20% - Accent3 4 3 3 2 3 3 2" xfId="14279" xr:uid="{00000000-0005-0000-0000-000080130000}"/>
    <cellStyle name="20% - Accent3 4 3 3 2 3 3 3" xfId="14280" xr:uid="{00000000-0005-0000-0000-000081130000}"/>
    <cellStyle name="20% - Accent3 4 3 3 2 3 4" xfId="14281" xr:uid="{00000000-0005-0000-0000-000082130000}"/>
    <cellStyle name="20% - Accent3 4 3 3 2 3 4 2" xfId="14282" xr:uid="{00000000-0005-0000-0000-000083130000}"/>
    <cellStyle name="20% - Accent3 4 3 3 2 3 5" xfId="14283" xr:uid="{00000000-0005-0000-0000-000084130000}"/>
    <cellStyle name="20% - Accent3 4 3 3 2 3 6" xfId="14284" xr:uid="{00000000-0005-0000-0000-000085130000}"/>
    <cellStyle name="20% - Accent3 4 3 3 2 4" xfId="14285" xr:uid="{00000000-0005-0000-0000-000086130000}"/>
    <cellStyle name="20% - Accent3 4 3 3 2 4 2" xfId="14286" xr:uid="{00000000-0005-0000-0000-000087130000}"/>
    <cellStyle name="20% - Accent3 4 3 3 2 4 2 2" xfId="14287" xr:uid="{00000000-0005-0000-0000-000088130000}"/>
    <cellStyle name="20% - Accent3 4 3 3 2 4 2 3" xfId="14288" xr:uid="{00000000-0005-0000-0000-000089130000}"/>
    <cellStyle name="20% - Accent3 4 3 3 2 4 3" xfId="14289" xr:uid="{00000000-0005-0000-0000-00008A130000}"/>
    <cellStyle name="20% - Accent3 4 3 3 2 4 3 2" xfId="14290" xr:uid="{00000000-0005-0000-0000-00008B130000}"/>
    <cellStyle name="20% - Accent3 4 3 3 2 4 4" xfId="14291" xr:uid="{00000000-0005-0000-0000-00008C130000}"/>
    <cellStyle name="20% - Accent3 4 3 3 2 4 5" xfId="14292" xr:uid="{00000000-0005-0000-0000-00008D130000}"/>
    <cellStyle name="20% - Accent3 4 3 3 2 5" xfId="14293" xr:uid="{00000000-0005-0000-0000-00008E130000}"/>
    <cellStyle name="20% - Accent3 4 3 3 2 5 2" xfId="14294" xr:uid="{00000000-0005-0000-0000-00008F130000}"/>
    <cellStyle name="20% - Accent3 4 3 3 2 5 3" xfId="14295" xr:uid="{00000000-0005-0000-0000-000090130000}"/>
    <cellStyle name="20% - Accent3 4 3 3 2 6" xfId="14296" xr:uid="{00000000-0005-0000-0000-000091130000}"/>
    <cellStyle name="20% - Accent3 4 3 3 2 6 2" xfId="14297" xr:uid="{00000000-0005-0000-0000-000092130000}"/>
    <cellStyle name="20% - Accent3 4 3 3 2 6 3" xfId="14298" xr:uid="{00000000-0005-0000-0000-000093130000}"/>
    <cellStyle name="20% - Accent3 4 3 3 2 7" xfId="14299" xr:uid="{00000000-0005-0000-0000-000094130000}"/>
    <cellStyle name="20% - Accent3 4 3 3 2 7 2" xfId="14300" xr:uid="{00000000-0005-0000-0000-000095130000}"/>
    <cellStyle name="20% - Accent3 4 3 3 2 8" xfId="14301" xr:uid="{00000000-0005-0000-0000-000096130000}"/>
    <cellStyle name="20% - Accent3 4 3 3 2 9" xfId="14302" xr:uid="{00000000-0005-0000-0000-000097130000}"/>
    <cellStyle name="20% - Accent3 4 3 3 3" xfId="14303" xr:uid="{00000000-0005-0000-0000-000098130000}"/>
    <cellStyle name="20% - Accent3 4 3 3 3 2" xfId="14304" xr:uid="{00000000-0005-0000-0000-000099130000}"/>
    <cellStyle name="20% - Accent3 4 3 3 3 2 2" xfId="14305" xr:uid="{00000000-0005-0000-0000-00009A130000}"/>
    <cellStyle name="20% - Accent3 4 3 3 3 2 3" xfId="14306" xr:uid="{00000000-0005-0000-0000-00009B130000}"/>
    <cellStyle name="20% - Accent3 4 3 3 3 3" xfId="14307" xr:uid="{00000000-0005-0000-0000-00009C130000}"/>
    <cellStyle name="20% - Accent3 4 3 3 3 3 2" xfId="14308" xr:uid="{00000000-0005-0000-0000-00009D130000}"/>
    <cellStyle name="20% - Accent3 4 3 3 3 3 3" xfId="14309" xr:uid="{00000000-0005-0000-0000-00009E130000}"/>
    <cellStyle name="20% - Accent3 4 3 3 3 4" xfId="14310" xr:uid="{00000000-0005-0000-0000-00009F130000}"/>
    <cellStyle name="20% - Accent3 4 3 3 3 4 2" xfId="14311" xr:uid="{00000000-0005-0000-0000-0000A0130000}"/>
    <cellStyle name="20% - Accent3 4 3 3 3 5" xfId="14312" xr:uid="{00000000-0005-0000-0000-0000A1130000}"/>
    <cellStyle name="20% - Accent3 4 3 3 3 6" xfId="14313" xr:uid="{00000000-0005-0000-0000-0000A2130000}"/>
    <cellStyle name="20% - Accent3 4 3 3 4" xfId="14314" xr:uid="{00000000-0005-0000-0000-0000A3130000}"/>
    <cellStyle name="20% - Accent3 4 3 3 4 2" xfId="14315" xr:uid="{00000000-0005-0000-0000-0000A4130000}"/>
    <cellStyle name="20% - Accent3 4 3 3 4 2 2" xfId="14316" xr:uid="{00000000-0005-0000-0000-0000A5130000}"/>
    <cellStyle name="20% - Accent3 4 3 3 4 2 3" xfId="14317" xr:uid="{00000000-0005-0000-0000-0000A6130000}"/>
    <cellStyle name="20% - Accent3 4 3 3 4 3" xfId="14318" xr:uid="{00000000-0005-0000-0000-0000A7130000}"/>
    <cellStyle name="20% - Accent3 4 3 3 4 3 2" xfId="14319" xr:uid="{00000000-0005-0000-0000-0000A8130000}"/>
    <cellStyle name="20% - Accent3 4 3 3 4 3 3" xfId="14320" xr:uid="{00000000-0005-0000-0000-0000A9130000}"/>
    <cellStyle name="20% - Accent3 4 3 3 4 4" xfId="14321" xr:uid="{00000000-0005-0000-0000-0000AA130000}"/>
    <cellStyle name="20% - Accent3 4 3 3 4 4 2" xfId="14322" xr:uid="{00000000-0005-0000-0000-0000AB130000}"/>
    <cellStyle name="20% - Accent3 4 3 3 4 5" xfId="14323" xr:uid="{00000000-0005-0000-0000-0000AC130000}"/>
    <cellStyle name="20% - Accent3 4 3 3 4 6" xfId="14324" xr:uid="{00000000-0005-0000-0000-0000AD130000}"/>
    <cellStyle name="20% - Accent3 4 3 3 5" xfId="14325" xr:uid="{00000000-0005-0000-0000-0000AE130000}"/>
    <cellStyle name="20% - Accent3 4 3 3 5 2" xfId="14326" xr:uid="{00000000-0005-0000-0000-0000AF130000}"/>
    <cellStyle name="20% - Accent3 4 3 3 5 2 2" xfId="14327" xr:uid="{00000000-0005-0000-0000-0000B0130000}"/>
    <cellStyle name="20% - Accent3 4 3 3 5 2 3" xfId="14328" xr:uid="{00000000-0005-0000-0000-0000B1130000}"/>
    <cellStyle name="20% - Accent3 4 3 3 5 3" xfId="14329" xr:uid="{00000000-0005-0000-0000-0000B2130000}"/>
    <cellStyle name="20% - Accent3 4 3 3 5 3 2" xfId="14330" xr:uid="{00000000-0005-0000-0000-0000B3130000}"/>
    <cellStyle name="20% - Accent3 4 3 3 5 4" xfId="14331" xr:uid="{00000000-0005-0000-0000-0000B4130000}"/>
    <cellStyle name="20% - Accent3 4 3 3 5 5" xfId="14332" xr:uid="{00000000-0005-0000-0000-0000B5130000}"/>
    <cellStyle name="20% - Accent3 4 3 3 6" xfId="14333" xr:uid="{00000000-0005-0000-0000-0000B6130000}"/>
    <cellStyle name="20% - Accent3 4 3 3 6 2" xfId="14334" xr:uid="{00000000-0005-0000-0000-0000B7130000}"/>
    <cellStyle name="20% - Accent3 4 3 3 6 3" xfId="14335" xr:uid="{00000000-0005-0000-0000-0000B8130000}"/>
    <cellStyle name="20% - Accent3 4 3 3 7" xfId="14336" xr:uid="{00000000-0005-0000-0000-0000B9130000}"/>
    <cellStyle name="20% - Accent3 4 3 3 7 2" xfId="14337" xr:uid="{00000000-0005-0000-0000-0000BA130000}"/>
    <cellStyle name="20% - Accent3 4 3 3 7 3" xfId="14338" xr:uid="{00000000-0005-0000-0000-0000BB130000}"/>
    <cellStyle name="20% - Accent3 4 3 3 8" xfId="14339" xr:uid="{00000000-0005-0000-0000-0000BC130000}"/>
    <cellStyle name="20% - Accent3 4 3 3 8 2" xfId="14340" xr:uid="{00000000-0005-0000-0000-0000BD130000}"/>
    <cellStyle name="20% - Accent3 4 3 3 9" xfId="14341" xr:uid="{00000000-0005-0000-0000-0000BE130000}"/>
    <cellStyle name="20% - Accent3 4 3 4" xfId="607" xr:uid="{00000000-0005-0000-0000-0000BF130000}"/>
    <cellStyle name="20% - Accent3 4 3 4 2" xfId="14342" xr:uid="{00000000-0005-0000-0000-0000C0130000}"/>
    <cellStyle name="20% - Accent3 4 3 4 2 2" xfId="14343" xr:uid="{00000000-0005-0000-0000-0000C1130000}"/>
    <cellStyle name="20% - Accent3 4 3 4 2 2 2" xfId="14344" xr:uid="{00000000-0005-0000-0000-0000C2130000}"/>
    <cellStyle name="20% - Accent3 4 3 4 2 2 3" xfId="14345" xr:uid="{00000000-0005-0000-0000-0000C3130000}"/>
    <cellStyle name="20% - Accent3 4 3 4 2 3" xfId="14346" xr:uid="{00000000-0005-0000-0000-0000C4130000}"/>
    <cellStyle name="20% - Accent3 4 3 4 2 3 2" xfId="14347" xr:uid="{00000000-0005-0000-0000-0000C5130000}"/>
    <cellStyle name="20% - Accent3 4 3 4 2 3 3" xfId="14348" xr:uid="{00000000-0005-0000-0000-0000C6130000}"/>
    <cellStyle name="20% - Accent3 4 3 4 2 4" xfId="14349" xr:uid="{00000000-0005-0000-0000-0000C7130000}"/>
    <cellStyle name="20% - Accent3 4 3 4 2 4 2" xfId="14350" xr:uid="{00000000-0005-0000-0000-0000C8130000}"/>
    <cellStyle name="20% - Accent3 4 3 4 2 5" xfId="14351" xr:uid="{00000000-0005-0000-0000-0000C9130000}"/>
    <cellStyle name="20% - Accent3 4 3 4 2 6" xfId="14352" xr:uid="{00000000-0005-0000-0000-0000CA130000}"/>
    <cellStyle name="20% - Accent3 4 3 4 3" xfId="14353" xr:uid="{00000000-0005-0000-0000-0000CB130000}"/>
    <cellStyle name="20% - Accent3 4 3 4 3 2" xfId="14354" xr:uid="{00000000-0005-0000-0000-0000CC130000}"/>
    <cellStyle name="20% - Accent3 4 3 4 3 2 2" xfId="14355" xr:uid="{00000000-0005-0000-0000-0000CD130000}"/>
    <cellStyle name="20% - Accent3 4 3 4 3 2 3" xfId="14356" xr:uid="{00000000-0005-0000-0000-0000CE130000}"/>
    <cellStyle name="20% - Accent3 4 3 4 3 3" xfId="14357" xr:uid="{00000000-0005-0000-0000-0000CF130000}"/>
    <cellStyle name="20% - Accent3 4 3 4 3 3 2" xfId="14358" xr:uid="{00000000-0005-0000-0000-0000D0130000}"/>
    <cellStyle name="20% - Accent3 4 3 4 3 3 3" xfId="14359" xr:uid="{00000000-0005-0000-0000-0000D1130000}"/>
    <cellStyle name="20% - Accent3 4 3 4 3 4" xfId="14360" xr:uid="{00000000-0005-0000-0000-0000D2130000}"/>
    <cellStyle name="20% - Accent3 4 3 4 3 4 2" xfId="14361" xr:uid="{00000000-0005-0000-0000-0000D3130000}"/>
    <cellStyle name="20% - Accent3 4 3 4 3 5" xfId="14362" xr:uid="{00000000-0005-0000-0000-0000D4130000}"/>
    <cellStyle name="20% - Accent3 4 3 4 3 6" xfId="14363" xr:uid="{00000000-0005-0000-0000-0000D5130000}"/>
    <cellStyle name="20% - Accent3 4 3 4 4" xfId="14364" xr:uid="{00000000-0005-0000-0000-0000D6130000}"/>
    <cellStyle name="20% - Accent3 4 3 4 4 2" xfId="14365" xr:uid="{00000000-0005-0000-0000-0000D7130000}"/>
    <cellStyle name="20% - Accent3 4 3 4 4 2 2" xfId="14366" xr:uid="{00000000-0005-0000-0000-0000D8130000}"/>
    <cellStyle name="20% - Accent3 4 3 4 4 2 3" xfId="14367" xr:uid="{00000000-0005-0000-0000-0000D9130000}"/>
    <cellStyle name="20% - Accent3 4 3 4 4 3" xfId="14368" xr:uid="{00000000-0005-0000-0000-0000DA130000}"/>
    <cellStyle name="20% - Accent3 4 3 4 4 3 2" xfId="14369" xr:uid="{00000000-0005-0000-0000-0000DB130000}"/>
    <cellStyle name="20% - Accent3 4 3 4 4 4" xfId="14370" xr:uid="{00000000-0005-0000-0000-0000DC130000}"/>
    <cellStyle name="20% - Accent3 4 3 4 4 5" xfId="14371" xr:uid="{00000000-0005-0000-0000-0000DD130000}"/>
    <cellStyle name="20% - Accent3 4 3 4 5" xfId="14372" xr:uid="{00000000-0005-0000-0000-0000DE130000}"/>
    <cellStyle name="20% - Accent3 4 3 4 5 2" xfId="14373" xr:uid="{00000000-0005-0000-0000-0000DF130000}"/>
    <cellStyle name="20% - Accent3 4 3 4 5 3" xfId="14374" xr:uid="{00000000-0005-0000-0000-0000E0130000}"/>
    <cellStyle name="20% - Accent3 4 3 4 6" xfId="14375" xr:uid="{00000000-0005-0000-0000-0000E1130000}"/>
    <cellStyle name="20% - Accent3 4 3 4 6 2" xfId="14376" xr:uid="{00000000-0005-0000-0000-0000E2130000}"/>
    <cellStyle name="20% - Accent3 4 3 4 6 3" xfId="14377" xr:uid="{00000000-0005-0000-0000-0000E3130000}"/>
    <cellStyle name="20% - Accent3 4 3 4 7" xfId="14378" xr:uid="{00000000-0005-0000-0000-0000E4130000}"/>
    <cellStyle name="20% - Accent3 4 3 4 7 2" xfId="14379" xr:uid="{00000000-0005-0000-0000-0000E5130000}"/>
    <cellStyle name="20% - Accent3 4 3 4 8" xfId="14380" xr:uid="{00000000-0005-0000-0000-0000E6130000}"/>
    <cellStyle name="20% - Accent3 4 3 4 9" xfId="14381" xr:uid="{00000000-0005-0000-0000-0000E7130000}"/>
    <cellStyle name="20% - Accent3 4 3 5" xfId="14382" xr:uid="{00000000-0005-0000-0000-0000E8130000}"/>
    <cellStyle name="20% - Accent3 4 3 5 2" xfId="14383" xr:uid="{00000000-0005-0000-0000-0000E9130000}"/>
    <cellStyle name="20% - Accent3 4 3 5 2 2" xfId="14384" xr:uid="{00000000-0005-0000-0000-0000EA130000}"/>
    <cellStyle name="20% - Accent3 4 3 5 2 2 2" xfId="14385" xr:uid="{00000000-0005-0000-0000-0000EB130000}"/>
    <cellStyle name="20% - Accent3 4 3 5 2 2 3" xfId="14386" xr:uid="{00000000-0005-0000-0000-0000EC130000}"/>
    <cellStyle name="20% - Accent3 4 3 5 2 3" xfId="14387" xr:uid="{00000000-0005-0000-0000-0000ED130000}"/>
    <cellStyle name="20% - Accent3 4 3 5 2 3 2" xfId="14388" xr:uid="{00000000-0005-0000-0000-0000EE130000}"/>
    <cellStyle name="20% - Accent3 4 3 5 2 3 3" xfId="14389" xr:uid="{00000000-0005-0000-0000-0000EF130000}"/>
    <cellStyle name="20% - Accent3 4 3 5 2 4" xfId="14390" xr:uid="{00000000-0005-0000-0000-0000F0130000}"/>
    <cellStyle name="20% - Accent3 4 3 5 2 4 2" xfId="14391" xr:uid="{00000000-0005-0000-0000-0000F1130000}"/>
    <cellStyle name="20% - Accent3 4 3 5 2 5" xfId="14392" xr:uid="{00000000-0005-0000-0000-0000F2130000}"/>
    <cellStyle name="20% - Accent3 4 3 5 2 6" xfId="14393" xr:uid="{00000000-0005-0000-0000-0000F3130000}"/>
    <cellStyle name="20% - Accent3 4 3 5 3" xfId="14394" xr:uid="{00000000-0005-0000-0000-0000F4130000}"/>
    <cellStyle name="20% - Accent3 4 3 5 3 2" xfId="14395" xr:uid="{00000000-0005-0000-0000-0000F5130000}"/>
    <cellStyle name="20% - Accent3 4 3 5 3 2 2" xfId="14396" xr:uid="{00000000-0005-0000-0000-0000F6130000}"/>
    <cellStyle name="20% - Accent3 4 3 5 3 2 3" xfId="14397" xr:uid="{00000000-0005-0000-0000-0000F7130000}"/>
    <cellStyle name="20% - Accent3 4 3 5 3 3" xfId="14398" xr:uid="{00000000-0005-0000-0000-0000F8130000}"/>
    <cellStyle name="20% - Accent3 4 3 5 3 3 2" xfId="14399" xr:uid="{00000000-0005-0000-0000-0000F9130000}"/>
    <cellStyle name="20% - Accent3 4 3 5 3 3 3" xfId="14400" xr:uid="{00000000-0005-0000-0000-0000FA130000}"/>
    <cellStyle name="20% - Accent3 4 3 5 3 4" xfId="14401" xr:uid="{00000000-0005-0000-0000-0000FB130000}"/>
    <cellStyle name="20% - Accent3 4 3 5 3 4 2" xfId="14402" xr:uid="{00000000-0005-0000-0000-0000FC130000}"/>
    <cellStyle name="20% - Accent3 4 3 5 3 5" xfId="14403" xr:uid="{00000000-0005-0000-0000-0000FD130000}"/>
    <cellStyle name="20% - Accent3 4 3 5 3 6" xfId="14404" xr:uid="{00000000-0005-0000-0000-0000FE130000}"/>
    <cellStyle name="20% - Accent3 4 3 5 4" xfId="14405" xr:uid="{00000000-0005-0000-0000-0000FF130000}"/>
    <cellStyle name="20% - Accent3 4 3 5 4 2" xfId="14406" xr:uid="{00000000-0005-0000-0000-000000140000}"/>
    <cellStyle name="20% - Accent3 4 3 5 4 2 2" xfId="14407" xr:uid="{00000000-0005-0000-0000-000001140000}"/>
    <cellStyle name="20% - Accent3 4 3 5 4 2 3" xfId="14408" xr:uid="{00000000-0005-0000-0000-000002140000}"/>
    <cellStyle name="20% - Accent3 4 3 5 4 3" xfId="14409" xr:uid="{00000000-0005-0000-0000-000003140000}"/>
    <cellStyle name="20% - Accent3 4 3 5 4 3 2" xfId="14410" xr:uid="{00000000-0005-0000-0000-000004140000}"/>
    <cellStyle name="20% - Accent3 4 3 5 4 4" xfId="14411" xr:uid="{00000000-0005-0000-0000-000005140000}"/>
    <cellStyle name="20% - Accent3 4 3 5 4 5" xfId="14412" xr:uid="{00000000-0005-0000-0000-000006140000}"/>
    <cellStyle name="20% - Accent3 4 3 5 5" xfId="14413" xr:uid="{00000000-0005-0000-0000-000007140000}"/>
    <cellStyle name="20% - Accent3 4 3 5 5 2" xfId="14414" xr:uid="{00000000-0005-0000-0000-000008140000}"/>
    <cellStyle name="20% - Accent3 4 3 5 5 3" xfId="14415" xr:uid="{00000000-0005-0000-0000-000009140000}"/>
    <cellStyle name="20% - Accent3 4 3 5 6" xfId="14416" xr:uid="{00000000-0005-0000-0000-00000A140000}"/>
    <cellStyle name="20% - Accent3 4 3 5 6 2" xfId="14417" xr:uid="{00000000-0005-0000-0000-00000B140000}"/>
    <cellStyle name="20% - Accent3 4 3 5 6 3" xfId="14418" xr:uid="{00000000-0005-0000-0000-00000C140000}"/>
    <cellStyle name="20% - Accent3 4 3 5 7" xfId="14419" xr:uid="{00000000-0005-0000-0000-00000D140000}"/>
    <cellStyle name="20% - Accent3 4 3 5 7 2" xfId="14420" xr:uid="{00000000-0005-0000-0000-00000E140000}"/>
    <cellStyle name="20% - Accent3 4 3 5 8" xfId="14421" xr:uid="{00000000-0005-0000-0000-00000F140000}"/>
    <cellStyle name="20% - Accent3 4 3 5 9" xfId="14422" xr:uid="{00000000-0005-0000-0000-000010140000}"/>
    <cellStyle name="20% - Accent3 4 3 6" xfId="14423" xr:uid="{00000000-0005-0000-0000-000011140000}"/>
    <cellStyle name="20% - Accent3 4 3 6 2" xfId="14424" xr:uid="{00000000-0005-0000-0000-000012140000}"/>
    <cellStyle name="20% - Accent3 4 3 6 2 2" xfId="14425" xr:uid="{00000000-0005-0000-0000-000013140000}"/>
    <cellStyle name="20% - Accent3 4 3 6 2 3" xfId="14426" xr:uid="{00000000-0005-0000-0000-000014140000}"/>
    <cellStyle name="20% - Accent3 4 3 6 3" xfId="14427" xr:uid="{00000000-0005-0000-0000-000015140000}"/>
    <cellStyle name="20% - Accent3 4 3 6 3 2" xfId="14428" xr:uid="{00000000-0005-0000-0000-000016140000}"/>
    <cellStyle name="20% - Accent3 4 3 6 3 3" xfId="14429" xr:uid="{00000000-0005-0000-0000-000017140000}"/>
    <cellStyle name="20% - Accent3 4 3 6 4" xfId="14430" xr:uid="{00000000-0005-0000-0000-000018140000}"/>
    <cellStyle name="20% - Accent3 4 3 6 4 2" xfId="14431" xr:uid="{00000000-0005-0000-0000-000019140000}"/>
    <cellStyle name="20% - Accent3 4 3 6 5" xfId="14432" xr:uid="{00000000-0005-0000-0000-00001A140000}"/>
    <cellStyle name="20% - Accent3 4 3 6 6" xfId="14433" xr:uid="{00000000-0005-0000-0000-00001B140000}"/>
    <cellStyle name="20% - Accent3 4 3 7" xfId="14434" xr:uid="{00000000-0005-0000-0000-00001C140000}"/>
    <cellStyle name="20% - Accent3 4 3 7 2" xfId="14435" xr:uid="{00000000-0005-0000-0000-00001D140000}"/>
    <cellStyle name="20% - Accent3 4 3 7 2 2" xfId="14436" xr:uid="{00000000-0005-0000-0000-00001E140000}"/>
    <cellStyle name="20% - Accent3 4 3 7 2 3" xfId="14437" xr:uid="{00000000-0005-0000-0000-00001F140000}"/>
    <cellStyle name="20% - Accent3 4 3 7 3" xfId="14438" xr:uid="{00000000-0005-0000-0000-000020140000}"/>
    <cellStyle name="20% - Accent3 4 3 7 3 2" xfId="14439" xr:uid="{00000000-0005-0000-0000-000021140000}"/>
    <cellStyle name="20% - Accent3 4 3 7 3 3" xfId="14440" xr:uid="{00000000-0005-0000-0000-000022140000}"/>
    <cellStyle name="20% - Accent3 4 3 7 4" xfId="14441" xr:uid="{00000000-0005-0000-0000-000023140000}"/>
    <cellStyle name="20% - Accent3 4 3 7 4 2" xfId="14442" xr:uid="{00000000-0005-0000-0000-000024140000}"/>
    <cellStyle name="20% - Accent3 4 3 7 5" xfId="14443" xr:uid="{00000000-0005-0000-0000-000025140000}"/>
    <cellStyle name="20% - Accent3 4 3 7 6" xfId="14444" xr:uid="{00000000-0005-0000-0000-000026140000}"/>
    <cellStyle name="20% - Accent3 4 3 8" xfId="14445" xr:uid="{00000000-0005-0000-0000-000027140000}"/>
    <cellStyle name="20% - Accent3 4 3 8 2" xfId="14446" xr:uid="{00000000-0005-0000-0000-000028140000}"/>
    <cellStyle name="20% - Accent3 4 3 8 2 2" xfId="14447" xr:uid="{00000000-0005-0000-0000-000029140000}"/>
    <cellStyle name="20% - Accent3 4 3 8 2 3" xfId="14448" xr:uid="{00000000-0005-0000-0000-00002A140000}"/>
    <cellStyle name="20% - Accent3 4 3 8 3" xfId="14449" xr:uid="{00000000-0005-0000-0000-00002B140000}"/>
    <cellStyle name="20% - Accent3 4 3 8 3 2" xfId="14450" xr:uid="{00000000-0005-0000-0000-00002C140000}"/>
    <cellStyle name="20% - Accent3 4 3 8 4" xfId="14451" xr:uid="{00000000-0005-0000-0000-00002D140000}"/>
    <cellStyle name="20% - Accent3 4 3 8 5" xfId="14452" xr:uid="{00000000-0005-0000-0000-00002E140000}"/>
    <cellStyle name="20% - Accent3 4 3 9" xfId="14453" xr:uid="{00000000-0005-0000-0000-00002F140000}"/>
    <cellStyle name="20% - Accent3 4 3 9 2" xfId="14454" xr:uid="{00000000-0005-0000-0000-000030140000}"/>
    <cellStyle name="20% - Accent3 4 3 9 3" xfId="14455" xr:uid="{00000000-0005-0000-0000-000031140000}"/>
    <cellStyle name="20% - Accent3 4 4" xfId="608" xr:uid="{00000000-0005-0000-0000-000032140000}"/>
    <cellStyle name="20% - Accent3 4 4 10" xfId="14456" xr:uid="{00000000-0005-0000-0000-000033140000}"/>
    <cellStyle name="20% - Accent3 4 4 10 2" xfId="14457" xr:uid="{00000000-0005-0000-0000-000034140000}"/>
    <cellStyle name="20% - Accent3 4 4 11" xfId="14458" xr:uid="{00000000-0005-0000-0000-000035140000}"/>
    <cellStyle name="20% - Accent3 4 4 12" xfId="14459" xr:uid="{00000000-0005-0000-0000-000036140000}"/>
    <cellStyle name="20% - Accent3 4 4 2" xfId="609" xr:uid="{00000000-0005-0000-0000-000037140000}"/>
    <cellStyle name="20% - Accent3 4 4 2 10" xfId="14460" xr:uid="{00000000-0005-0000-0000-000038140000}"/>
    <cellStyle name="20% - Accent3 4 4 2 2" xfId="610" xr:uid="{00000000-0005-0000-0000-000039140000}"/>
    <cellStyle name="20% - Accent3 4 4 2 2 2" xfId="14461" xr:uid="{00000000-0005-0000-0000-00003A140000}"/>
    <cellStyle name="20% - Accent3 4 4 2 2 2 2" xfId="14462" xr:uid="{00000000-0005-0000-0000-00003B140000}"/>
    <cellStyle name="20% - Accent3 4 4 2 2 2 2 2" xfId="14463" xr:uid="{00000000-0005-0000-0000-00003C140000}"/>
    <cellStyle name="20% - Accent3 4 4 2 2 2 2 3" xfId="14464" xr:uid="{00000000-0005-0000-0000-00003D140000}"/>
    <cellStyle name="20% - Accent3 4 4 2 2 2 3" xfId="14465" xr:uid="{00000000-0005-0000-0000-00003E140000}"/>
    <cellStyle name="20% - Accent3 4 4 2 2 2 3 2" xfId="14466" xr:uid="{00000000-0005-0000-0000-00003F140000}"/>
    <cellStyle name="20% - Accent3 4 4 2 2 2 3 3" xfId="14467" xr:uid="{00000000-0005-0000-0000-000040140000}"/>
    <cellStyle name="20% - Accent3 4 4 2 2 2 4" xfId="14468" xr:uid="{00000000-0005-0000-0000-000041140000}"/>
    <cellStyle name="20% - Accent3 4 4 2 2 2 4 2" xfId="14469" xr:uid="{00000000-0005-0000-0000-000042140000}"/>
    <cellStyle name="20% - Accent3 4 4 2 2 2 5" xfId="14470" xr:uid="{00000000-0005-0000-0000-000043140000}"/>
    <cellStyle name="20% - Accent3 4 4 2 2 2 6" xfId="14471" xr:uid="{00000000-0005-0000-0000-000044140000}"/>
    <cellStyle name="20% - Accent3 4 4 2 2 3" xfId="14472" xr:uid="{00000000-0005-0000-0000-000045140000}"/>
    <cellStyle name="20% - Accent3 4 4 2 2 3 2" xfId="14473" xr:uid="{00000000-0005-0000-0000-000046140000}"/>
    <cellStyle name="20% - Accent3 4 4 2 2 3 2 2" xfId="14474" xr:uid="{00000000-0005-0000-0000-000047140000}"/>
    <cellStyle name="20% - Accent3 4 4 2 2 3 2 3" xfId="14475" xr:uid="{00000000-0005-0000-0000-000048140000}"/>
    <cellStyle name="20% - Accent3 4 4 2 2 3 3" xfId="14476" xr:uid="{00000000-0005-0000-0000-000049140000}"/>
    <cellStyle name="20% - Accent3 4 4 2 2 3 3 2" xfId="14477" xr:uid="{00000000-0005-0000-0000-00004A140000}"/>
    <cellStyle name="20% - Accent3 4 4 2 2 3 3 3" xfId="14478" xr:uid="{00000000-0005-0000-0000-00004B140000}"/>
    <cellStyle name="20% - Accent3 4 4 2 2 3 4" xfId="14479" xr:uid="{00000000-0005-0000-0000-00004C140000}"/>
    <cellStyle name="20% - Accent3 4 4 2 2 3 4 2" xfId="14480" xr:uid="{00000000-0005-0000-0000-00004D140000}"/>
    <cellStyle name="20% - Accent3 4 4 2 2 3 5" xfId="14481" xr:uid="{00000000-0005-0000-0000-00004E140000}"/>
    <cellStyle name="20% - Accent3 4 4 2 2 3 6" xfId="14482" xr:uid="{00000000-0005-0000-0000-00004F140000}"/>
    <cellStyle name="20% - Accent3 4 4 2 2 4" xfId="14483" xr:uid="{00000000-0005-0000-0000-000050140000}"/>
    <cellStyle name="20% - Accent3 4 4 2 2 4 2" xfId="14484" xr:uid="{00000000-0005-0000-0000-000051140000}"/>
    <cellStyle name="20% - Accent3 4 4 2 2 4 2 2" xfId="14485" xr:uid="{00000000-0005-0000-0000-000052140000}"/>
    <cellStyle name="20% - Accent3 4 4 2 2 4 2 3" xfId="14486" xr:uid="{00000000-0005-0000-0000-000053140000}"/>
    <cellStyle name="20% - Accent3 4 4 2 2 4 3" xfId="14487" xr:uid="{00000000-0005-0000-0000-000054140000}"/>
    <cellStyle name="20% - Accent3 4 4 2 2 4 3 2" xfId="14488" xr:uid="{00000000-0005-0000-0000-000055140000}"/>
    <cellStyle name="20% - Accent3 4 4 2 2 4 4" xfId="14489" xr:uid="{00000000-0005-0000-0000-000056140000}"/>
    <cellStyle name="20% - Accent3 4 4 2 2 4 5" xfId="14490" xr:uid="{00000000-0005-0000-0000-000057140000}"/>
    <cellStyle name="20% - Accent3 4 4 2 2 5" xfId="14491" xr:uid="{00000000-0005-0000-0000-000058140000}"/>
    <cellStyle name="20% - Accent3 4 4 2 2 5 2" xfId="14492" xr:uid="{00000000-0005-0000-0000-000059140000}"/>
    <cellStyle name="20% - Accent3 4 4 2 2 5 3" xfId="14493" xr:uid="{00000000-0005-0000-0000-00005A140000}"/>
    <cellStyle name="20% - Accent3 4 4 2 2 6" xfId="14494" xr:uid="{00000000-0005-0000-0000-00005B140000}"/>
    <cellStyle name="20% - Accent3 4 4 2 2 6 2" xfId="14495" xr:uid="{00000000-0005-0000-0000-00005C140000}"/>
    <cellStyle name="20% - Accent3 4 4 2 2 6 3" xfId="14496" xr:uid="{00000000-0005-0000-0000-00005D140000}"/>
    <cellStyle name="20% - Accent3 4 4 2 2 7" xfId="14497" xr:uid="{00000000-0005-0000-0000-00005E140000}"/>
    <cellStyle name="20% - Accent3 4 4 2 2 7 2" xfId="14498" xr:uid="{00000000-0005-0000-0000-00005F140000}"/>
    <cellStyle name="20% - Accent3 4 4 2 2 8" xfId="14499" xr:uid="{00000000-0005-0000-0000-000060140000}"/>
    <cellStyle name="20% - Accent3 4 4 2 2 9" xfId="14500" xr:uid="{00000000-0005-0000-0000-000061140000}"/>
    <cellStyle name="20% - Accent3 4 4 2 3" xfId="14501" xr:uid="{00000000-0005-0000-0000-000062140000}"/>
    <cellStyle name="20% - Accent3 4 4 2 3 2" xfId="14502" xr:uid="{00000000-0005-0000-0000-000063140000}"/>
    <cellStyle name="20% - Accent3 4 4 2 3 2 2" xfId="14503" xr:uid="{00000000-0005-0000-0000-000064140000}"/>
    <cellStyle name="20% - Accent3 4 4 2 3 2 3" xfId="14504" xr:uid="{00000000-0005-0000-0000-000065140000}"/>
    <cellStyle name="20% - Accent3 4 4 2 3 3" xfId="14505" xr:uid="{00000000-0005-0000-0000-000066140000}"/>
    <cellStyle name="20% - Accent3 4 4 2 3 3 2" xfId="14506" xr:uid="{00000000-0005-0000-0000-000067140000}"/>
    <cellStyle name="20% - Accent3 4 4 2 3 3 3" xfId="14507" xr:uid="{00000000-0005-0000-0000-000068140000}"/>
    <cellStyle name="20% - Accent3 4 4 2 3 4" xfId="14508" xr:uid="{00000000-0005-0000-0000-000069140000}"/>
    <cellStyle name="20% - Accent3 4 4 2 3 4 2" xfId="14509" xr:uid="{00000000-0005-0000-0000-00006A140000}"/>
    <cellStyle name="20% - Accent3 4 4 2 3 5" xfId="14510" xr:uid="{00000000-0005-0000-0000-00006B140000}"/>
    <cellStyle name="20% - Accent3 4 4 2 3 6" xfId="14511" xr:uid="{00000000-0005-0000-0000-00006C140000}"/>
    <cellStyle name="20% - Accent3 4 4 2 4" xfId="14512" xr:uid="{00000000-0005-0000-0000-00006D140000}"/>
    <cellStyle name="20% - Accent3 4 4 2 4 2" xfId="14513" xr:uid="{00000000-0005-0000-0000-00006E140000}"/>
    <cellStyle name="20% - Accent3 4 4 2 4 2 2" xfId="14514" xr:uid="{00000000-0005-0000-0000-00006F140000}"/>
    <cellStyle name="20% - Accent3 4 4 2 4 2 3" xfId="14515" xr:uid="{00000000-0005-0000-0000-000070140000}"/>
    <cellStyle name="20% - Accent3 4 4 2 4 3" xfId="14516" xr:uid="{00000000-0005-0000-0000-000071140000}"/>
    <cellStyle name="20% - Accent3 4 4 2 4 3 2" xfId="14517" xr:uid="{00000000-0005-0000-0000-000072140000}"/>
    <cellStyle name="20% - Accent3 4 4 2 4 3 3" xfId="14518" xr:uid="{00000000-0005-0000-0000-000073140000}"/>
    <cellStyle name="20% - Accent3 4 4 2 4 4" xfId="14519" xr:uid="{00000000-0005-0000-0000-000074140000}"/>
    <cellStyle name="20% - Accent3 4 4 2 4 4 2" xfId="14520" xr:uid="{00000000-0005-0000-0000-000075140000}"/>
    <cellStyle name="20% - Accent3 4 4 2 4 5" xfId="14521" xr:uid="{00000000-0005-0000-0000-000076140000}"/>
    <cellStyle name="20% - Accent3 4 4 2 4 6" xfId="14522" xr:uid="{00000000-0005-0000-0000-000077140000}"/>
    <cellStyle name="20% - Accent3 4 4 2 5" xfId="14523" xr:uid="{00000000-0005-0000-0000-000078140000}"/>
    <cellStyle name="20% - Accent3 4 4 2 5 2" xfId="14524" xr:uid="{00000000-0005-0000-0000-000079140000}"/>
    <cellStyle name="20% - Accent3 4 4 2 5 2 2" xfId="14525" xr:uid="{00000000-0005-0000-0000-00007A140000}"/>
    <cellStyle name="20% - Accent3 4 4 2 5 2 3" xfId="14526" xr:uid="{00000000-0005-0000-0000-00007B140000}"/>
    <cellStyle name="20% - Accent3 4 4 2 5 3" xfId="14527" xr:uid="{00000000-0005-0000-0000-00007C140000}"/>
    <cellStyle name="20% - Accent3 4 4 2 5 3 2" xfId="14528" xr:uid="{00000000-0005-0000-0000-00007D140000}"/>
    <cellStyle name="20% - Accent3 4 4 2 5 4" xfId="14529" xr:uid="{00000000-0005-0000-0000-00007E140000}"/>
    <cellStyle name="20% - Accent3 4 4 2 5 5" xfId="14530" xr:uid="{00000000-0005-0000-0000-00007F140000}"/>
    <cellStyle name="20% - Accent3 4 4 2 6" xfId="14531" xr:uid="{00000000-0005-0000-0000-000080140000}"/>
    <cellStyle name="20% - Accent3 4 4 2 6 2" xfId="14532" xr:uid="{00000000-0005-0000-0000-000081140000}"/>
    <cellStyle name="20% - Accent3 4 4 2 6 3" xfId="14533" xr:uid="{00000000-0005-0000-0000-000082140000}"/>
    <cellStyle name="20% - Accent3 4 4 2 7" xfId="14534" xr:uid="{00000000-0005-0000-0000-000083140000}"/>
    <cellStyle name="20% - Accent3 4 4 2 7 2" xfId="14535" xr:uid="{00000000-0005-0000-0000-000084140000}"/>
    <cellStyle name="20% - Accent3 4 4 2 7 3" xfId="14536" xr:uid="{00000000-0005-0000-0000-000085140000}"/>
    <cellStyle name="20% - Accent3 4 4 2 8" xfId="14537" xr:uid="{00000000-0005-0000-0000-000086140000}"/>
    <cellStyle name="20% - Accent3 4 4 2 8 2" xfId="14538" xr:uid="{00000000-0005-0000-0000-000087140000}"/>
    <cellStyle name="20% - Accent3 4 4 2 9" xfId="14539" xr:uid="{00000000-0005-0000-0000-000088140000}"/>
    <cellStyle name="20% - Accent3 4 4 3" xfId="611" xr:uid="{00000000-0005-0000-0000-000089140000}"/>
    <cellStyle name="20% - Accent3 4 4 3 2" xfId="14540" xr:uid="{00000000-0005-0000-0000-00008A140000}"/>
    <cellStyle name="20% - Accent3 4 4 3 2 2" xfId="14541" xr:uid="{00000000-0005-0000-0000-00008B140000}"/>
    <cellStyle name="20% - Accent3 4 4 3 2 2 2" xfId="14542" xr:uid="{00000000-0005-0000-0000-00008C140000}"/>
    <cellStyle name="20% - Accent3 4 4 3 2 2 3" xfId="14543" xr:uid="{00000000-0005-0000-0000-00008D140000}"/>
    <cellStyle name="20% - Accent3 4 4 3 2 3" xfId="14544" xr:uid="{00000000-0005-0000-0000-00008E140000}"/>
    <cellStyle name="20% - Accent3 4 4 3 2 3 2" xfId="14545" xr:uid="{00000000-0005-0000-0000-00008F140000}"/>
    <cellStyle name="20% - Accent3 4 4 3 2 3 3" xfId="14546" xr:uid="{00000000-0005-0000-0000-000090140000}"/>
    <cellStyle name="20% - Accent3 4 4 3 2 4" xfId="14547" xr:uid="{00000000-0005-0000-0000-000091140000}"/>
    <cellStyle name="20% - Accent3 4 4 3 2 4 2" xfId="14548" xr:uid="{00000000-0005-0000-0000-000092140000}"/>
    <cellStyle name="20% - Accent3 4 4 3 2 5" xfId="14549" xr:uid="{00000000-0005-0000-0000-000093140000}"/>
    <cellStyle name="20% - Accent3 4 4 3 2 6" xfId="14550" xr:uid="{00000000-0005-0000-0000-000094140000}"/>
    <cellStyle name="20% - Accent3 4 4 3 3" xfId="14551" xr:uid="{00000000-0005-0000-0000-000095140000}"/>
    <cellStyle name="20% - Accent3 4 4 3 3 2" xfId="14552" xr:uid="{00000000-0005-0000-0000-000096140000}"/>
    <cellStyle name="20% - Accent3 4 4 3 3 2 2" xfId="14553" xr:uid="{00000000-0005-0000-0000-000097140000}"/>
    <cellStyle name="20% - Accent3 4 4 3 3 2 3" xfId="14554" xr:uid="{00000000-0005-0000-0000-000098140000}"/>
    <cellStyle name="20% - Accent3 4 4 3 3 3" xfId="14555" xr:uid="{00000000-0005-0000-0000-000099140000}"/>
    <cellStyle name="20% - Accent3 4 4 3 3 3 2" xfId="14556" xr:uid="{00000000-0005-0000-0000-00009A140000}"/>
    <cellStyle name="20% - Accent3 4 4 3 3 3 3" xfId="14557" xr:uid="{00000000-0005-0000-0000-00009B140000}"/>
    <cellStyle name="20% - Accent3 4 4 3 3 4" xfId="14558" xr:uid="{00000000-0005-0000-0000-00009C140000}"/>
    <cellStyle name="20% - Accent3 4 4 3 3 4 2" xfId="14559" xr:uid="{00000000-0005-0000-0000-00009D140000}"/>
    <cellStyle name="20% - Accent3 4 4 3 3 5" xfId="14560" xr:uid="{00000000-0005-0000-0000-00009E140000}"/>
    <cellStyle name="20% - Accent3 4 4 3 3 6" xfId="14561" xr:uid="{00000000-0005-0000-0000-00009F140000}"/>
    <cellStyle name="20% - Accent3 4 4 3 4" xfId="14562" xr:uid="{00000000-0005-0000-0000-0000A0140000}"/>
    <cellStyle name="20% - Accent3 4 4 3 4 2" xfId="14563" xr:uid="{00000000-0005-0000-0000-0000A1140000}"/>
    <cellStyle name="20% - Accent3 4 4 3 4 2 2" xfId="14564" xr:uid="{00000000-0005-0000-0000-0000A2140000}"/>
    <cellStyle name="20% - Accent3 4 4 3 4 2 3" xfId="14565" xr:uid="{00000000-0005-0000-0000-0000A3140000}"/>
    <cellStyle name="20% - Accent3 4 4 3 4 3" xfId="14566" xr:uid="{00000000-0005-0000-0000-0000A4140000}"/>
    <cellStyle name="20% - Accent3 4 4 3 4 3 2" xfId="14567" xr:uid="{00000000-0005-0000-0000-0000A5140000}"/>
    <cellStyle name="20% - Accent3 4 4 3 4 4" xfId="14568" xr:uid="{00000000-0005-0000-0000-0000A6140000}"/>
    <cellStyle name="20% - Accent3 4 4 3 4 5" xfId="14569" xr:uid="{00000000-0005-0000-0000-0000A7140000}"/>
    <cellStyle name="20% - Accent3 4 4 3 5" xfId="14570" xr:uid="{00000000-0005-0000-0000-0000A8140000}"/>
    <cellStyle name="20% - Accent3 4 4 3 5 2" xfId="14571" xr:uid="{00000000-0005-0000-0000-0000A9140000}"/>
    <cellStyle name="20% - Accent3 4 4 3 5 3" xfId="14572" xr:uid="{00000000-0005-0000-0000-0000AA140000}"/>
    <cellStyle name="20% - Accent3 4 4 3 6" xfId="14573" xr:uid="{00000000-0005-0000-0000-0000AB140000}"/>
    <cellStyle name="20% - Accent3 4 4 3 6 2" xfId="14574" xr:uid="{00000000-0005-0000-0000-0000AC140000}"/>
    <cellStyle name="20% - Accent3 4 4 3 6 3" xfId="14575" xr:uid="{00000000-0005-0000-0000-0000AD140000}"/>
    <cellStyle name="20% - Accent3 4 4 3 7" xfId="14576" xr:uid="{00000000-0005-0000-0000-0000AE140000}"/>
    <cellStyle name="20% - Accent3 4 4 3 7 2" xfId="14577" xr:uid="{00000000-0005-0000-0000-0000AF140000}"/>
    <cellStyle name="20% - Accent3 4 4 3 8" xfId="14578" xr:uid="{00000000-0005-0000-0000-0000B0140000}"/>
    <cellStyle name="20% - Accent3 4 4 3 9" xfId="14579" xr:uid="{00000000-0005-0000-0000-0000B1140000}"/>
    <cellStyle name="20% - Accent3 4 4 4" xfId="14580" xr:uid="{00000000-0005-0000-0000-0000B2140000}"/>
    <cellStyle name="20% - Accent3 4 4 4 2" xfId="14581" xr:uid="{00000000-0005-0000-0000-0000B3140000}"/>
    <cellStyle name="20% - Accent3 4 4 4 2 2" xfId="14582" xr:uid="{00000000-0005-0000-0000-0000B4140000}"/>
    <cellStyle name="20% - Accent3 4 4 4 2 2 2" xfId="14583" xr:uid="{00000000-0005-0000-0000-0000B5140000}"/>
    <cellStyle name="20% - Accent3 4 4 4 2 2 3" xfId="14584" xr:uid="{00000000-0005-0000-0000-0000B6140000}"/>
    <cellStyle name="20% - Accent3 4 4 4 2 3" xfId="14585" xr:uid="{00000000-0005-0000-0000-0000B7140000}"/>
    <cellStyle name="20% - Accent3 4 4 4 2 3 2" xfId="14586" xr:uid="{00000000-0005-0000-0000-0000B8140000}"/>
    <cellStyle name="20% - Accent3 4 4 4 2 3 3" xfId="14587" xr:uid="{00000000-0005-0000-0000-0000B9140000}"/>
    <cellStyle name="20% - Accent3 4 4 4 2 4" xfId="14588" xr:uid="{00000000-0005-0000-0000-0000BA140000}"/>
    <cellStyle name="20% - Accent3 4 4 4 2 4 2" xfId="14589" xr:uid="{00000000-0005-0000-0000-0000BB140000}"/>
    <cellStyle name="20% - Accent3 4 4 4 2 5" xfId="14590" xr:uid="{00000000-0005-0000-0000-0000BC140000}"/>
    <cellStyle name="20% - Accent3 4 4 4 2 6" xfId="14591" xr:uid="{00000000-0005-0000-0000-0000BD140000}"/>
    <cellStyle name="20% - Accent3 4 4 4 3" xfId="14592" xr:uid="{00000000-0005-0000-0000-0000BE140000}"/>
    <cellStyle name="20% - Accent3 4 4 4 3 2" xfId="14593" xr:uid="{00000000-0005-0000-0000-0000BF140000}"/>
    <cellStyle name="20% - Accent3 4 4 4 3 2 2" xfId="14594" xr:uid="{00000000-0005-0000-0000-0000C0140000}"/>
    <cellStyle name="20% - Accent3 4 4 4 3 2 3" xfId="14595" xr:uid="{00000000-0005-0000-0000-0000C1140000}"/>
    <cellStyle name="20% - Accent3 4 4 4 3 3" xfId="14596" xr:uid="{00000000-0005-0000-0000-0000C2140000}"/>
    <cellStyle name="20% - Accent3 4 4 4 3 3 2" xfId="14597" xr:uid="{00000000-0005-0000-0000-0000C3140000}"/>
    <cellStyle name="20% - Accent3 4 4 4 3 3 3" xfId="14598" xr:uid="{00000000-0005-0000-0000-0000C4140000}"/>
    <cellStyle name="20% - Accent3 4 4 4 3 4" xfId="14599" xr:uid="{00000000-0005-0000-0000-0000C5140000}"/>
    <cellStyle name="20% - Accent3 4 4 4 3 4 2" xfId="14600" xr:uid="{00000000-0005-0000-0000-0000C6140000}"/>
    <cellStyle name="20% - Accent3 4 4 4 3 5" xfId="14601" xr:uid="{00000000-0005-0000-0000-0000C7140000}"/>
    <cellStyle name="20% - Accent3 4 4 4 3 6" xfId="14602" xr:uid="{00000000-0005-0000-0000-0000C8140000}"/>
    <cellStyle name="20% - Accent3 4 4 4 4" xfId="14603" xr:uid="{00000000-0005-0000-0000-0000C9140000}"/>
    <cellStyle name="20% - Accent3 4 4 4 4 2" xfId="14604" xr:uid="{00000000-0005-0000-0000-0000CA140000}"/>
    <cellStyle name="20% - Accent3 4 4 4 4 2 2" xfId="14605" xr:uid="{00000000-0005-0000-0000-0000CB140000}"/>
    <cellStyle name="20% - Accent3 4 4 4 4 2 3" xfId="14606" xr:uid="{00000000-0005-0000-0000-0000CC140000}"/>
    <cellStyle name="20% - Accent3 4 4 4 4 3" xfId="14607" xr:uid="{00000000-0005-0000-0000-0000CD140000}"/>
    <cellStyle name="20% - Accent3 4 4 4 4 3 2" xfId="14608" xr:uid="{00000000-0005-0000-0000-0000CE140000}"/>
    <cellStyle name="20% - Accent3 4 4 4 4 4" xfId="14609" xr:uid="{00000000-0005-0000-0000-0000CF140000}"/>
    <cellStyle name="20% - Accent3 4 4 4 4 5" xfId="14610" xr:uid="{00000000-0005-0000-0000-0000D0140000}"/>
    <cellStyle name="20% - Accent3 4 4 4 5" xfId="14611" xr:uid="{00000000-0005-0000-0000-0000D1140000}"/>
    <cellStyle name="20% - Accent3 4 4 4 5 2" xfId="14612" xr:uid="{00000000-0005-0000-0000-0000D2140000}"/>
    <cellStyle name="20% - Accent3 4 4 4 5 3" xfId="14613" xr:uid="{00000000-0005-0000-0000-0000D3140000}"/>
    <cellStyle name="20% - Accent3 4 4 4 6" xfId="14614" xr:uid="{00000000-0005-0000-0000-0000D4140000}"/>
    <cellStyle name="20% - Accent3 4 4 4 6 2" xfId="14615" xr:uid="{00000000-0005-0000-0000-0000D5140000}"/>
    <cellStyle name="20% - Accent3 4 4 4 6 3" xfId="14616" xr:uid="{00000000-0005-0000-0000-0000D6140000}"/>
    <cellStyle name="20% - Accent3 4 4 4 7" xfId="14617" xr:uid="{00000000-0005-0000-0000-0000D7140000}"/>
    <cellStyle name="20% - Accent3 4 4 4 7 2" xfId="14618" xr:uid="{00000000-0005-0000-0000-0000D8140000}"/>
    <cellStyle name="20% - Accent3 4 4 4 8" xfId="14619" xr:uid="{00000000-0005-0000-0000-0000D9140000}"/>
    <cellStyle name="20% - Accent3 4 4 4 9" xfId="14620" xr:uid="{00000000-0005-0000-0000-0000DA140000}"/>
    <cellStyle name="20% - Accent3 4 4 5" xfId="14621" xr:uid="{00000000-0005-0000-0000-0000DB140000}"/>
    <cellStyle name="20% - Accent3 4 4 5 2" xfId="14622" xr:uid="{00000000-0005-0000-0000-0000DC140000}"/>
    <cellStyle name="20% - Accent3 4 4 5 2 2" xfId="14623" xr:uid="{00000000-0005-0000-0000-0000DD140000}"/>
    <cellStyle name="20% - Accent3 4 4 5 2 3" xfId="14624" xr:uid="{00000000-0005-0000-0000-0000DE140000}"/>
    <cellStyle name="20% - Accent3 4 4 5 3" xfId="14625" xr:uid="{00000000-0005-0000-0000-0000DF140000}"/>
    <cellStyle name="20% - Accent3 4 4 5 3 2" xfId="14626" xr:uid="{00000000-0005-0000-0000-0000E0140000}"/>
    <cellStyle name="20% - Accent3 4 4 5 3 3" xfId="14627" xr:uid="{00000000-0005-0000-0000-0000E1140000}"/>
    <cellStyle name="20% - Accent3 4 4 5 4" xfId="14628" xr:uid="{00000000-0005-0000-0000-0000E2140000}"/>
    <cellStyle name="20% - Accent3 4 4 5 4 2" xfId="14629" xr:uid="{00000000-0005-0000-0000-0000E3140000}"/>
    <cellStyle name="20% - Accent3 4 4 5 5" xfId="14630" xr:uid="{00000000-0005-0000-0000-0000E4140000}"/>
    <cellStyle name="20% - Accent3 4 4 5 6" xfId="14631" xr:uid="{00000000-0005-0000-0000-0000E5140000}"/>
    <cellStyle name="20% - Accent3 4 4 6" xfId="14632" xr:uid="{00000000-0005-0000-0000-0000E6140000}"/>
    <cellStyle name="20% - Accent3 4 4 6 2" xfId="14633" xr:uid="{00000000-0005-0000-0000-0000E7140000}"/>
    <cellStyle name="20% - Accent3 4 4 6 2 2" xfId="14634" xr:uid="{00000000-0005-0000-0000-0000E8140000}"/>
    <cellStyle name="20% - Accent3 4 4 6 2 3" xfId="14635" xr:uid="{00000000-0005-0000-0000-0000E9140000}"/>
    <cellStyle name="20% - Accent3 4 4 6 3" xfId="14636" xr:uid="{00000000-0005-0000-0000-0000EA140000}"/>
    <cellStyle name="20% - Accent3 4 4 6 3 2" xfId="14637" xr:uid="{00000000-0005-0000-0000-0000EB140000}"/>
    <cellStyle name="20% - Accent3 4 4 6 3 3" xfId="14638" xr:uid="{00000000-0005-0000-0000-0000EC140000}"/>
    <cellStyle name="20% - Accent3 4 4 6 4" xfId="14639" xr:uid="{00000000-0005-0000-0000-0000ED140000}"/>
    <cellStyle name="20% - Accent3 4 4 6 4 2" xfId="14640" xr:uid="{00000000-0005-0000-0000-0000EE140000}"/>
    <cellStyle name="20% - Accent3 4 4 6 5" xfId="14641" xr:uid="{00000000-0005-0000-0000-0000EF140000}"/>
    <cellStyle name="20% - Accent3 4 4 6 6" xfId="14642" xr:uid="{00000000-0005-0000-0000-0000F0140000}"/>
    <cellStyle name="20% - Accent3 4 4 7" xfId="14643" xr:uid="{00000000-0005-0000-0000-0000F1140000}"/>
    <cellStyle name="20% - Accent3 4 4 7 2" xfId="14644" xr:uid="{00000000-0005-0000-0000-0000F2140000}"/>
    <cellStyle name="20% - Accent3 4 4 7 2 2" xfId="14645" xr:uid="{00000000-0005-0000-0000-0000F3140000}"/>
    <cellStyle name="20% - Accent3 4 4 7 2 3" xfId="14646" xr:uid="{00000000-0005-0000-0000-0000F4140000}"/>
    <cellStyle name="20% - Accent3 4 4 7 3" xfId="14647" xr:uid="{00000000-0005-0000-0000-0000F5140000}"/>
    <cellStyle name="20% - Accent3 4 4 7 3 2" xfId="14648" xr:uid="{00000000-0005-0000-0000-0000F6140000}"/>
    <cellStyle name="20% - Accent3 4 4 7 4" xfId="14649" xr:uid="{00000000-0005-0000-0000-0000F7140000}"/>
    <cellStyle name="20% - Accent3 4 4 7 5" xfId="14650" xr:uid="{00000000-0005-0000-0000-0000F8140000}"/>
    <cellStyle name="20% - Accent3 4 4 8" xfId="14651" xr:uid="{00000000-0005-0000-0000-0000F9140000}"/>
    <cellStyle name="20% - Accent3 4 4 8 2" xfId="14652" xr:uid="{00000000-0005-0000-0000-0000FA140000}"/>
    <cellStyle name="20% - Accent3 4 4 8 3" xfId="14653" xr:uid="{00000000-0005-0000-0000-0000FB140000}"/>
    <cellStyle name="20% - Accent3 4 4 9" xfId="14654" xr:uid="{00000000-0005-0000-0000-0000FC140000}"/>
    <cellStyle name="20% - Accent3 4 4 9 2" xfId="14655" xr:uid="{00000000-0005-0000-0000-0000FD140000}"/>
    <cellStyle name="20% - Accent3 4 4 9 3" xfId="14656" xr:uid="{00000000-0005-0000-0000-0000FE140000}"/>
    <cellStyle name="20% - Accent3 4 5" xfId="612" xr:uid="{00000000-0005-0000-0000-0000FF140000}"/>
    <cellStyle name="20% - Accent3 4 5 10" xfId="14657" xr:uid="{00000000-0005-0000-0000-000000150000}"/>
    <cellStyle name="20% - Accent3 4 5 2" xfId="613" xr:uid="{00000000-0005-0000-0000-000001150000}"/>
    <cellStyle name="20% - Accent3 4 5 2 2" xfId="14658" xr:uid="{00000000-0005-0000-0000-000002150000}"/>
    <cellStyle name="20% - Accent3 4 5 2 2 2" xfId="14659" xr:uid="{00000000-0005-0000-0000-000003150000}"/>
    <cellStyle name="20% - Accent3 4 5 2 2 2 2" xfId="14660" xr:uid="{00000000-0005-0000-0000-000004150000}"/>
    <cellStyle name="20% - Accent3 4 5 2 2 2 3" xfId="14661" xr:uid="{00000000-0005-0000-0000-000005150000}"/>
    <cellStyle name="20% - Accent3 4 5 2 2 3" xfId="14662" xr:uid="{00000000-0005-0000-0000-000006150000}"/>
    <cellStyle name="20% - Accent3 4 5 2 2 3 2" xfId="14663" xr:uid="{00000000-0005-0000-0000-000007150000}"/>
    <cellStyle name="20% - Accent3 4 5 2 2 3 3" xfId="14664" xr:uid="{00000000-0005-0000-0000-000008150000}"/>
    <cellStyle name="20% - Accent3 4 5 2 2 4" xfId="14665" xr:uid="{00000000-0005-0000-0000-000009150000}"/>
    <cellStyle name="20% - Accent3 4 5 2 2 4 2" xfId="14666" xr:uid="{00000000-0005-0000-0000-00000A150000}"/>
    <cellStyle name="20% - Accent3 4 5 2 2 5" xfId="14667" xr:uid="{00000000-0005-0000-0000-00000B150000}"/>
    <cellStyle name="20% - Accent3 4 5 2 2 6" xfId="14668" xr:uid="{00000000-0005-0000-0000-00000C150000}"/>
    <cellStyle name="20% - Accent3 4 5 2 3" xfId="14669" xr:uid="{00000000-0005-0000-0000-00000D150000}"/>
    <cellStyle name="20% - Accent3 4 5 2 3 2" xfId="14670" xr:uid="{00000000-0005-0000-0000-00000E150000}"/>
    <cellStyle name="20% - Accent3 4 5 2 3 2 2" xfId="14671" xr:uid="{00000000-0005-0000-0000-00000F150000}"/>
    <cellStyle name="20% - Accent3 4 5 2 3 2 3" xfId="14672" xr:uid="{00000000-0005-0000-0000-000010150000}"/>
    <cellStyle name="20% - Accent3 4 5 2 3 3" xfId="14673" xr:uid="{00000000-0005-0000-0000-000011150000}"/>
    <cellStyle name="20% - Accent3 4 5 2 3 3 2" xfId="14674" xr:uid="{00000000-0005-0000-0000-000012150000}"/>
    <cellStyle name="20% - Accent3 4 5 2 3 3 3" xfId="14675" xr:uid="{00000000-0005-0000-0000-000013150000}"/>
    <cellStyle name="20% - Accent3 4 5 2 3 4" xfId="14676" xr:uid="{00000000-0005-0000-0000-000014150000}"/>
    <cellStyle name="20% - Accent3 4 5 2 3 4 2" xfId="14677" xr:uid="{00000000-0005-0000-0000-000015150000}"/>
    <cellStyle name="20% - Accent3 4 5 2 3 5" xfId="14678" xr:uid="{00000000-0005-0000-0000-000016150000}"/>
    <cellStyle name="20% - Accent3 4 5 2 3 6" xfId="14679" xr:uid="{00000000-0005-0000-0000-000017150000}"/>
    <cellStyle name="20% - Accent3 4 5 2 4" xfId="14680" xr:uid="{00000000-0005-0000-0000-000018150000}"/>
    <cellStyle name="20% - Accent3 4 5 2 4 2" xfId="14681" xr:uid="{00000000-0005-0000-0000-000019150000}"/>
    <cellStyle name="20% - Accent3 4 5 2 4 2 2" xfId="14682" xr:uid="{00000000-0005-0000-0000-00001A150000}"/>
    <cellStyle name="20% - Accent3 4 5 2 4 2 3" xfId="14683" xr:uid="{00000000-0005-0000-0000-00001B150000}"/>
    <cellStyle name="20% - Accent3 4 5 2 4 3" xfId="14684" xr:uid="{00000000-0005-0000-0000-00001C150000}"/>
    <cellStyle name="20% - Accent3 4 5 2 4 3 2" xfId="14685" xr:uid="{00000000-0005-0000-0000-00001D150000}"/>
    <cellStyle name="20% - Accent3 4 5 2 4 4" xfId="14686" xr:uid="{00000000-0005-0000-0000-00001E150000}"/>
    <cellStyle name="20% - Accent3 4 5 2 4 5" xfId="14687" xr:uid="{00000000-0005-0000-0000-00001F150000}"/>
    <cellStyle name="20% - Accent3 4 5 2 5" xfId="14688" xr:uid="{00000000-0005-0000-0000-000020150000}"/>
    <cellStyle name="20% - Accent3 4 5 2 5 2" xfId="14689" xr:uid="{00000000-0005-0000-0000-000021150000}"/>
    <cellStyle name="20% - Accent3 4 5 2 5 3" xfId="14690" xr:uid="{00000000-0005-0000-0000-000022150000}"/>
    <cellStyle name="20% - Accent3 4 5 2 6" xfId="14691" xr:uid="{00000000-0005-0000-0000-000023150000}"/>
    <cellStyle name="20% - Accent3 4 5 2 6 2" xfId="14692" xr:uid="{00000000-0005-0000-0000-000024150000}"/>
    <cellStyle name="20% - Accent3 4 5 2 6 3" xfId="14693" xr:uid="{00000000-0005-0000-0000-000025150000}"/>
    <cellStyle name="20% - Accent3 4 5 2 7" xfId="14694" xr:uid="{00000000-0005-0000-0000-000026150000}"/>
    <cellStyle name="20% - Accent3 4 5 2 7 2" xfId="14695" xr:uid="{00000000-0005-0000-0000-000027150000}"/>
    <cellStyle name="20% - Accent3 4 5 2 8" xfId="14696" xr:uid="{00000000-0005-0000-0000-000028150000}"/>
    <cellStyle name="20% - Accent3 4 5 2 9" xfId="14697" xr:uid="{00000000-0005-0000-0000-000029150000}"/>
    <cellStyle name="20% - Accent3 4 5 3" xfId="14698" xr:uid="{00000000-0005-0000-0000-00002A150000}"/>
    <cellStyle name="20% - Accent3 4 5 3 2" xfId="14699" xr:uid="{00000000-0005-0000-0000-00002B150000}"/>
    <cellStyle name="20% - Accent3 4 5 3 2 2" xfId="14700" xr:uid="{00000000-0005-0000-0000-00002C150000}"/>
    <cellStyle name="20% - Accent3 4 5 3 2 3" xfId="14701" xr:uid="{00000000-0005-0000-0000-00002D150000}"/>
    <cellStyle name="20% - Accent3 4 5 3 3" xfId="14702" xr:uid="{00000000-0005-0000-0000-00002E150000}"/>
    <cellStyle name="20% - Accent3 4 5 3 3 2" xfId="14703" xr:uid="{00000000-0005-0000-0000-00002F150000}"/>
    <cellStyle name="20% - Accent3 4 5 3 3 3" xfId="14704" xr:uid="{00000000-0005-0000-0000-000030150000}"/>
    <cellStyle name="20% - Accent3 4 5 3 4" xfId="14705" xr:uid="{00000000-0005-0000-0000-000031150000}"/>
    <cellStyle name="20% - Accent3 4 5 3 4 2" xfId="14706" xr:uid="{00000000-0005-0000-0000-000032150000}"/>
    <cellStyle name="20% - Accent3 4 5 3 5" xfId="14707" xr:uid="{00000000-0005-0000-0000-000033150000}"/>
    <cellStyle name="20% - Accent3 4 5 3 6" xfId="14708" xr:uid="{00000000-0005-0000-0000-000034150000}"/>
    <cellStyle name="20% - Accent3 4 5 4" xfId="14709" xr:uid="{00000000-0005-0000-0000-000035150000}"/>
    <cellStyle name="20% - Accent3 4 5 4 2" xfId="14710" xr:uid="{00000000-0005-0000-0000-000036150000}"/>
    <cellStyle name="20% - Accent3 4 5 4 2 2" xfId="14711" xr:uid="{00000000-0005-0000-0000-000037150000}"/>
    <cellStyle name="20% - Accent3 4 5 4 2 3" xfId="14712" xr:uid="{00000000-0005-0000-0000-000038150000}"/>
    <cellStyle name="20% - Accent3 4 5 4 3" xfId="14713" xr:uid="{00000000-0005-0000-0000-000039150000}"/>
    <cellStyle name="20% - Accent3 4 5 4 3 2" xfId="14714" xr:uid="{00000000-0005-0000-0000-00003A150000}"/>
    <cellStyle name="20% - Accent3 4 5 4 3 3" xfId="14715" xr:uid="{00000000-0005-0000-0000-00003B150000}"/>
    <cellStyle name="20% - Accent3 4 5 4 4" xfId="14716" xr:uid="{00000000-0005-0000-0000-00003C150000}"/>
    <cellStyle name="20% - Accent3 4 5 4 4 2" xfId="14717" xr:uid="{00000000-0005-0000-0000-00003D150000}"/>
    <cellStyle name="20% - Accent3 4 5 4 5" xfId="14718" xr:uid="{00000000-0005-0000-0000-00003E150000}"/>
    <cellStyle name="20% - Accent3 4 5 4 6" xfId="14719" xr:uid="{00000000-0005-0000-0000-00003F150000}"/>
    <cellStyle name="20% - Accent3 4 5 5" xfId="14720" xr:uid="{00000000-0005-0000-0000-000040150000}"/>
    <cellStyle name="20% - Accent3 4 5 5 2" xfId="14721" xr:uid="{00000000-0005-0000-0000-000041150000}"/>
    <cellStyle name="20% - Accent3 4 5 5 2 2" xfId="14722" xr:uid="{00000000-0005-0000-0000-000042150000}"/>
    <cellStyle name="20% - Accent3 4 5 5 2 3" xfId="14723" xr:uid="{00000000-0005-0000-0000-000043150000}"/>
    <cellStyle name="20% - Accent3 4 5 5 3" xfId="14724" xr:uid="{00000000-0005-0000-0000-000044150000}"/>
    <cellStyle name="20% - Accent3 4 5 5 3 2" xfId="14725" xr:uid="{00000000-0005-0000-0000-000045150000}"/>
    <cellStyle name="20% - Accent3 4 5 5 4" xfId="14726" xr:uid="{00000000-0005-0000-0000-000046150000}"/>
    <cellStyle name="20% - Accent3 4 5 5 5" xfId="14727" xr:uid="{00000000-0005-0000-0000-000047150000}"/>
    <cellStyle name="20% - Accent3 4 5 6" xfId="14728" xr:uid="{00000000-0005-0000-0000-000048150000}"/>
    <cellStyle name="20% - Accent3 4 5 6 2" xfId="14729" xr:uid="{00000000-0005-0000-0000-000049150000}"/>
    <cellStyle name="20% - Accent3 4 5 6 3" xfId="14730" xr:uid="{00000000-0005-0000-0000-00004A150000}"/>
    <cellStyle name="20% - Accent3 4 5 7" xfId="14731" xr:uid="{00000000-0005-0000-0000-00004B150000}"/>
    <cellStyle name="20% - Accent3 4 5 7 2" xfId="14732" xr:uid="{00000000-0005-0000-0000-00004C150000}"/>
    <cellStyle name="20% - Accent3 4 5 7 3" xfId="14733" xr:uid="{00000000-0005-0000-0000-00004D150000}"/>
    <cellStyle name="20% - Accent3 4 5 8" xfId="14734" xr:uid="{00000000-0005-0000-0000-00004E150000}"/>
    <cellStyle name="20% - Accent3 4 5 8 2" xfId="14735" xr:uid="{00000000-0005-0000-0000-00004F150000}"/>
    <cellStyle name="20% - Accent3 4 5 9" xfId="14736" xr:uid="{00000000-0005-0000-0000-000050150000}"/>
    <cellStyle name="20% - Accent3 4 6" xfId="614" xr:uid="{00000000-0005-0000-0000-000051150000}"/>
    <cellStyle name="20% - Accent3 4 6 2" xfId="14737" xr:uid="{00000000-0005-0000-0000-000052150000}"/>
    <cellStyle name="20% - Accent3 4 6 2 2" xfId="14738" xr:uid="{00000000-0005-0000-0000-000053150000}"/>
    <cellStyle name="20% - Accent3 4 6 2 2 2" xfId="14739" xr:uid="{00000000-0005-0000-0000-000054150000}"/>
    <cellStyle name="20% - Accent3 4 6 2 2 3" xfId="14740" xr:uid="{00000000-0005-0000-0000-000055150000}"/>
    <cellStyle name="20% - Accent3 4 6 2 3" xfId="14741" xr:uid="{00000000-0005-0000-0000-000056150000}"/>
    <cellStyle name="20% - Accent3 4 6 2 3 2" xfId="14742" xr:uid="{00000000-0005-0000-0000-000057150000}"/>
    <cellStyle name="20% - Accent3 4 6 2 3 3" xfId="14743" xr:uid="{00000000-0005-0000-0000-000058150000}"/>
    <cellStyle name="20% - Accent3 4 6 2 4" xfId="14744" xr:uid="{00000000-0005-0000-0000-000059150000}"/>
    <cellStyle name="20% - Accent3 4 6 2 4 2" xfId="14745" xr:uid="{00000000-0005-0000-0000-00005A150000}"/>
    <cellStyle name="20% - Accent3 4 6 2 5" xfId="14746" xr:uid="{00000000-0005-0000-0000-00005B150000}"/>
    <cellStyle name="20% - Accent3 4 6 2 6" xfId="14747" xr:uid="{00000000-0005-0000-0000-00005C150000}"/>
    <cellStyle name="20% - Accent3 4 6 3" xfId="14748" xr:uid="{00000000-0005-0000-0000-00005D150000}"/>
    <cellStyle name="20% - Accent3 4 6 3 2" xfId="14749" xr:uid="{00000000-0005-0000-0000-00005E150000}"/>
    <cellStyle name="20% - Accent3 4 6 3 2 2" xfId="14750" xr:uid="{00000000-0005-0000-0000-00005F150000}"/>
    <cellStyle name="20% - Accent3 4 6 3 2 3" xfId="14751" xr:uid="{00000000-0005-0000-0000-000060150000}"/>
    <cellStyle name="20% - Accent3 4 6 3 3" xfId="14752" xr:uid="{00000000-0005-0000-0000-000061150000}"/>
    <cellStyle name="20% - Accent3 4 6 3 3 2" xfId="14753" xr:uid="{00000000-0005-0000-0000-000062150000}"/>
    <cellStyle name="20% - Accent3 4 6 3 3 3" xfId="14754" xr:uid="{00000000-0005-0000-0000-000063150000}"/>
    <cellStyle name="20% - Accent3 4 6 3 4" xfId="14755" xr:uid="{00000000-0005-0000-0000-000064150000}"/>
    <cellStyle name="20% - Accent3 4 6 3 4 2" xfId="14756" xr:uid="{00000000-0005-0000-0000-000065150000}"/>
    <cellStyle name="20% - Accent3 4 6 3 5" xfId="14757" xr:uid="{00000000-0005-0000-0000-000066150000}"/>
    <cellStyle name="20% - Accent3 4 6 3 6" xfId="14758" xr:uid="{00000000-0005-0000-0000-000067150000}"/>
    <cellStyle name="20% - Accent3 4 6 4" xfId="14759" xr:uid="{00000000-0005-0000-0000-000068150000}"/>
    <cellStyle name="20% - Accent3 4 6 4 2" xfId="14760" xr:uid="{00000000-0005-0000-0000-000069150000}"/>
    <cellStyle name="20% - Accent3 4 6 4 2 2" xfId="14761" xr:uid="{00000000-0005-0000-0000-00006A150000}"/>
    <cellStyle name="20% - Accent3 4 6 4 2 3" xfId="14762" xr:uid="{00000000-0005-0000-0000-00006B150000}"/>
    <cellStyle name="20% - Accent3 4 6 4 3" xfId="14763" xr:uid="{00000000-0005-0000-0000-00006C150000}"/>
    <cellStyle name="20% - Accent3 4 6 4 3 2" xfId="14764" xr:uid="{00000000-0005-0000-0000-00006D150000}"/>
    <cellStyle name="20% - Accent3 4 6 4 4" xfId="14765" xr:uid="{00000000-0005-0000-0000-00006E150000}"/>
    <cellStyle name="20% - Accent3 4 6 4 5" xfId="14766" xr:uid="{00000000-0005-0000-0000-00006F150000}"/>
    <cellStyle name="20% - Accent3 4 6 5" xfId="14767" xr:uid="{00000000-0005-0000-0000-000070150000}"/>
    <cellStyle name="20% - Accent3 4 6 5 2" xfId="14768" xr:uid="{00000000-0005-0000-0000-000071150000}"/>
    <cellStyle name="20% - Accent3 4 6 5 3" xfId="14769" xr:uid="{00000000-0005-0000-0000-000072150000}"/>
    <cellStyle name="20% - Accent3 4 6 6" xfId="14770" xr:uid="{00000000-0005-0000-0000-000073150000}"/>
    <cellStyle name="20% - Accent3 4 6 6 2" xfId="14771" xr:uid="{00000000-0005-0000-0000-000074150000}"/>
    <cellStyle name="20% - Accent3 4 6 6 3" xfId="14772" xr:uid="{00000000-0005-0000-0000-000075150000}"/>
    <cellStyle name="20% - Accent3 4 6 7" xfId="14773" xr:uid="{00000000-0005-0000-0000-000076150000}"/>
    <cellStyle name="20% - Accent3 4 6 7 2" xfId="14774" xr:uid="{00000000-0005-0000-0000-000077150000}"/>
    <cellStyle name="20% - Accent3 4 6 8" xfId="14775" xr:uid="{00000000-0005-0000-0000-000078150000}"/>
    <cellStyle name="20% - Accent3 4 6 9" xfId="14776" xr:uid="{00000000-0005-0000-0000-000079150000}"/>
    <cellStyle name="20% - Accent3 4 7" xfId="8814" xr:uid="{00000000-0005-0000-0000-00007A150000}"/>
    <cellStyle name="20% - Accent3 4 7 2" xfId="14777" xr:uid="{00000000-0005-0000-0000-00007B150000}"/>
    <cellStyle name="20% - Accent3 4 7 2 2" xfId="14778" xr:uid="{00000000-0005-0000-0000-00007C150000}"/>
    <cellStyle name="20% - Accent3 4 7 2 2 2" xfId="14779" xr:uid="{00000000-0005-0000-0000-00007D150000}"/>
    <cellStyle name="20% - Accent3 4 7 2 2 3" xfId="14780" xr:uid="{00000000-0005-0000-0000-00007E150000}"/>
    <cellStyle name="20% - Accent3 4 7 2 3" xfId="14781" xr:uid="{00000000-0005-0000-0000-00007F150000}"/>
    <cellStyle name="20% - Accent3 4 7 2 3 2" xfId="14782" xr:uid="{00000000-0005-0000-0000-000080150000}"/>
    <cellStyle name="20% - Accent3 4 7 2 3 3" xfId="14783" xr:uid="{00000000-0005-0000-0000-000081150000}"/>
    <cellStyle name="20% - Accent3 4 7 2 4" xfId="14784" xr:uid="{00000000-0005-0000-0000-000082150000}"/>
    <cellStyle name="20% - Accent3 4 7 2 4 2" xfId="14785" xr:uid="{00000000-0005-0000-0000-000083150000}"/>
    <cellStyle name="20% - Accent3 4 7 2 5" xfId="14786" xr:uid="{00000000-0005-0000-0000-000084150000}"/>
    <cellStyle name="20% - Accent3 4 7 2 6" xfId="14787" xr:uid="{00000000-0005-0000-0000-000085150000}"/>
    <cellStyle name="20% - Accent3 4 7 3" xfId="14788" xr:uid="{00000000-0005-0000-0000-000086150000}"/>
    <cellStyle name="20% - Accent3 4 7 3 2" xfId="14789" xr:uid="{00000000-0005-0000-0000-000087150000}"/>
    <cellStyle name="20% - Accent3 4 7 3 2 2" xfId="14790" xr:uid="{00000000-0005-0000-0000-000088150000}"/>
    <cellStyle name="20% - Accent3 4 7 3 2 3" xfId="14791" xr:uid="{00000000-0005-0000-0000-000089150000}"/>
    <cellStyle name="20% - Accent3 4 7 3 3" xfId="14792" xr:uid="{00000000-0005-0000-0000-00008A150000}"/>
    <cellStyle name="20% - Accent3 4 7 3 3 2" xfId="14793" xr:uid="{00000000-0005-0000-0000-00008B150000}"/>
    <cellStyle name="20% - Accent3 4 7 3 3 3" xfId="14794" xr:uid="{00000000-0005-0000-0000-00008C150000}"/>
    <cellStyle name="20% - Accent3 4 7 3 4" xfId="14795" xr:uid="{00000000-0005-0000-0000-00008D150000}"/>
    <cellStyle name="20% - Accent3 4 7 3 4 2" xfId="14796" xr:uid="{00000000-0005-0000-0000-00008E150000}"/>
    <cellStyle name="20% - Accent3 4 7 3 5" xfId="14797" xr:uid="{00000000-0005-0000-0000-00008F150000}"/>
    <cellStyle name="20% - Accent3 4 7 3 6" xfId="14798" xr:uid="{00000000-0005-0000-0000-000090150000}"/>
    <cellStyle name="20% - Accent3 4 7 4" xfId="14799" xr:uid="{00000000-0005-0000-0000-000091150000}"/>
    <cellStyle name="20% - Accent3 4 7 4 2" xfId="14800" xr:uid="{00000000-0005-0000-0000-000092150000}"/>
    <cellStyle name="20% - Accent3 4 7 4 2 2" xfId="14801" xr:uid="{00000000-0005-0000-0000-000093150000}"/>
    <cellStyle name="20% - Accent3 4 7 4 2 3" xfId="14802" xr:uid="{00000000-0005-0000-0000-000094150000}"/>
    <cellStyle name="20% - Accent3 4 7 4 3" xfId="14803" xr:uid="{00000000-0005-0000-0000-000095150000}"/>
    <cellStyle name="20% - Accent3 4 7 4 3 2" xfId="14804" xr:uid="{00000000-0005-0000-0000-000096150000}"/>
    <cellStyle name="20% - Accent3 4 7 4 4" xfId="14805" xr:uid="{00000000-0005-0000-0000-000097150000}"/>
    <cellStyle name="20% - Accent3 4 7 4 5" xfId="14806" xr:uid="{00000000-0005-0000-0000-000098150000}"/>
    <cellStyle name="20% - Accent3 4 7 5" xfId="14807" xr:uid="{00000000-0005-0000-0000-000099150000}"/>
    <cellStyle name="20% - Accent3 4 7 5 2" xfId="14808" xr:uid="{00000000-0005-0000-0000-00009A150000}"/>
    <cellStyle name="20% - Accent3 4 7 5 3" xfId="14809" xr:uid="{00000000-0005-0000-0000-00009B150000}"/>
    <cellStyle name="20% - Accent3 4 7 6" xfId="14810" xr:uid="{00000000-0005-0000-0000-00009C150000}"/>
    <cellStyle name="20% - Accent3 4 7 6 2" xfId="14811" xr:uid="{00000000-0005-0000-0000-00009D150000}"/>
    <cellStyle name="20% - Accent3 4 7 6 3" xfId="14812" xr:uid="{00000000-0005-0000-0000-00009E150000}"/>
    <cellStyle name="20% - Accent3 4 7 7" xfId="14813" xr:uid="{00000000-0005-0000-0000-00009F150000}"/>
    <cellStyle name="20% - Accent3 4 7 7 2" xfId="14814" xr:uid="{00000000-0005-0000-0000-0000A0150000}"/>
    <cellStyle name="20% - Accent3 4 7 8" xfId="14815" xr:uid="{00000000-0005-0000-0000-0000A1150000}"/>
    <cellStyle name="20% - Accent3 4 7 9" xfId="14816" xr:uid="{00000000-0005-0000-0000-0000A2150000}"/>
    <cellStyle name="20% - Accent3 4 8" xfId="14817" xr:uid="{00000000-0005-0000-0000-0000A3150000}"/>
    <cellStyle name="20% - Accent3 4 8 2" xfId="14818" xr:uid="{00000000-0005-0000-0000-0000A4150000}"/>
    <cellStyle name="20% - Accent3 4 8 2 2" xfId="14819" xr:uid="{00000000-0005-0000-0000-0000A5150000}"/>
    <cellStyle name="20% - Accent3 4 8 2 3" xfId="14820" xr:uid="{00000000-0005-0000-0000-0000A6150000}"/>
    <cellStyle name="20% - Accent3 4 8 3" xfId="14821" xr:uid="{00000000-0005-0000-0000-0000A7150000}"/>
    <cellStyle name="20% - Accent3 4 8 3 2" xfId="14822" xr:uid="{00000000-0005-0000-0000-0000A8150000}"/>
    <cellStyle name="20% - Accent3 4 8 3 3" xfId="14823" xr:uid="{00000000-0005-0000-0000-0000A9150000}"/>
    <cellStyle name="20% - Accent3 4 8 4" xfId="14824" xr:uid="{00000000-0005-0000-0000-0000AA150000}"/>
    <cellStyle name="20% - Accent3 4 8 4 2" xfId="14825" xr:uid="{00000000-0005-0000-0000-0000AB150000}"/>
    <cellStyle name="20% - Accent3 4 8 5" xfId="14826" xr:uid="{00000000-0005-0000-0000-0000AC150000}"/>
    <cellStyle name="20% - Accent3 4 8 6" xfId="14827" xr:uid="{00000000-0005-0000-0000-0000AD150000}"/>
    <cellStyle name="20% - Accent3 4 9" xfId="14828" xr:uid="{00000000-0005-0000-0000-0000AE150000}"/>
    <cellStyle name="20% - Accent3 4 9 2" xfId="14829" xr:uid="{00000000-0005-0000-0000-0000AF150000}"/>
    <cellStyle name="20% - Accent3 4 9 2 2" xfId="14830" xr:uid="{00000000-0005-0000-0000-0000B0150000}"/>
    <cellStyle name="20% - Accent3 4 9 2 3" xfId="14831" xr:uid="{00000000-0005-0000-0000-0000B1150000}"/>
    <cellStyle name="20% - Accent3 4 9 3" xfId="14832" xr:uid="{00000000-0005-0000-0000-0000B2150000}"/>
    <cellStyle name="20% - Accent3 4 9 3 2" xfId="14833" xr:uid="{00000000-0005-0000-0000-0000B3150000}"/>
    <cellStyle name="20% - Accent3 4 9 3 3" xfId="14834" xr:uid="{00000000-0005-0000-0000-0000B4150000}"/>
    <cellStyle name="20% - Accent3 4 9 4" xfId="14835" xr:uid="{00000000-0005-0000-0000-0000B5150000}"/>
    <cellStyle name="20% - Accent3 4 9 4 2" xfId="14836" xr:uid="{00000000-0005-0000-0000-0000B6150000}"/>
    <cellStyle name="20% - Accent3 4 9 5" xfId="14837" xr:uid="{00000000-0005-0000-0000-0000B7150000}"/>
    <cellStyle name="20% - Accent3 4 9 6" xfId="14838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7886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15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7887" xr:uid="{00000000-0005-0000-0000-0000D0150000}"/>
    <cellStyle name="20% - Accent3 6 2 5" xfId="57888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7889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7890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7891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7892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7893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7894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7895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7896" xr:uid="{00000000-0005-0000-0000-0000FE150000}"/>
    <cellStyle name="20% - Accent4 14" xfId="673" xr:uid="{00000000-0005-0000-0000-0000FF150000}"/>
    <cellStyle name="20% - Accent4 14 2" xfId="57897" xr:uid="{00000000-0005-0000-0000-000000160000}"/>
    <cellStyle name="20% - Accent4 15" xfId="8816" xr:uid="{00000000-0005-0000-0000-000001160000}"/>
    <cellStyle name="20% - Accent4 16" xfId="9388" xr:uid="{00000000-0005-0000-0000-000002160000}"/>
    <cellStyle name="20% - Accent4 17" xfId="9389" xr:uid="{00000000-0005-0000-0000-000003160000}"/>
    <cellStyle name="20% - Accent4 17 2" xfId="57898" xr:uid="{00000000-0005-0000-0000-000004160000}"/>
    <cellStyle name="20% - Accent4 18" xfId="57899" xr:uid="{00000000-0005-0000-0000-000005160000}"/>
    <cellStyle name="20% - Accent4 19" xfId="57900" xr:uid="{00000000-0005-0000-0000-000006160000}"/>
    <cellStyle name="20% - Accent4 2" xfId="674" xr:uid="{00000000-0005-0000-0000-000007160000}"/>
    <cellStyle name="20% - Accent4 2 10" xfId="57901" xr:uid="{00000000-0005-0000-0000-000008160000}"/>
    <cellStyle name="20% - Accent4 2 11" xfId="57902" xr:uid="{00000000-0005-0000-0000-000009160000}"/>
    <cellStyle name="20% - Accent4 2 12" xfId="57903" xr:uid="{00000000-0005-0000-0000-00000A160000}"/>
    <cellStyle name="20% - Accent4 2 13" xfId="57904" xr:uid="{00000000-0005-0000-0000-00000B160000}"/>
    <cellStyle name="20% - Accent4 2 2" xfId="675" xr:uid="{00000000-0005-0000-0000-00000C160000}"/>
    <cellStyle name="20% - Accent4 2 2 10" xfId="57905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17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18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19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20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21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22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23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7906" xr:uid="{00000000-0005-0000-0000-000036160000}"/>
    <cellStyle name="20% - Accent4 2 2 6" xfId="709" xr:uid="{00000000-0005-0000-0000-000037160000}"/>
    <cellStyle name="20% - Accent4 2 2 6 2" xfId="57907" xr:uid="{00000000-0005-0000-0000-000038160000}"/>
    <cellStyle name="20% - Accent4 2 2 7" xfId="710" xr:uid="{00000000-0005-0000-0000-000039160000}"/>
    <cellStyle name="20% - Accent4 2 2 8" xfId="8824" xr:uid="{00000000-0005-0000-0000-00003A160000}"/>
    <cellStyle name="20% - Accent4 2 2 9" xfId="57908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25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26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27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28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29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30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31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32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33" xr:uid="{00000000-0005-0000-0000-00005C160000}"/>
    <cellStyle name="20% - Accent4 2 4 2 2 3" xfId="735" xr:uid="{00000000-0005-0000-0000-00005D160000}"/>
    <cellStyle name="20% - Accent4 2 4 2 2 4" xfId="8834" xr:uid="{00000000-0005-0000-0000-00005E160000}"/>
    <cellStyle name="20% - Accent4 2 4 2 3" xfId="736" xr:uid="{00000000-0005-0000-0000-00005F160000}"/>
    <cellStyle name="20% - Accent4 2 4 2 3 2" xfId="8835" xr:uid="{00000000-0005-0000-0000-000060160000}"/>
    <cellStyle name="20% - Accent4 2 4 2 4" xfId="737" xr:uid="{00000000-0005-0000-0000-000061160000}"/>
    <cellStyle name="20% - Accent4 2 4 2 5" xfId="8836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37" xr:uid="{00000000-0005-0000-0000-000065160000}"/>
    <cellStyle name="20% - Accent4 2 4 3 3" xfId="740" xr:uid="{00000000-0005-0000-0000-000066160000}"/>
    <cellStyle name="20% - Accent4 2 4 3 4" xfId="8838" xr:uid="{00000000-0005-0000-0000-000067160000}"/>
    <cellStyle name="20% - Accent4 2 4 4" xfId="741" xr:uid="{00000000-0005-0000-0000-000068160000}"/>
    <cellStyle name="20% - Accent4 2 4 4 2" xfId="8839" xr:uid="{00000000-0005-0000-0000-000069160000}"/>
    <cellStyle name="20% - Accent4 2 4 5" xfId="742" xr:uid="{00000000-0005-0000-0000-00006A160000}"/>
    <cellStyle name="20% - Accent4 2 4 6" xfId="8840" xr:uid="{00000000-0005-0000-0000-00006B160000}"/>
    <cellStyle name="20% - Accent4 2 4 7" xfId="57909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41" xr:uid="{00000000-0005-0000-0000-000070160000}"/>
    <cellStyle name="20% - Accent4 2 5 2 3" xfId="746" xr:uid="{00000000-0005-0000-0000-000071160000}"/>
    <cellStyle name="20% - Accent4 2 5 2 4" xfId="8842" xr:uid="{00000000-0005-0000-0000-000072160000}"/>
    <cellStyle name="20% - Accent4 2 5 3" xfId="747" xr:uid="{00000000-0005-0000-0000-000073160000}"/>
    <cellStyle name="20% - Accent4 2 5 3 2" xfId="8843" xr:uid="{00000000-0005-0000-0000-000074160000}"/>
    <cellStyle name="20% - Accent4 2 5 4" xfId="748" xr:uid="{00000000-0005-0000-0000-000075160000}"/>
    <cellStyle name="20% - Accent4 2 5 5" xfId="8844" xr:uid="{00000000-0005-0000-0000-000076160000}"/>
    <cellStyle name="20% - Accent4 2 5 6" xfId="57910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45" xr:uid="{00000000-0005-0000-0000-00007A160000}"/>
    <cellStyle name="20% - Accent4 2 6 3" xfId="751" xr:uid="{00000000-0005-0000-0000-00007B160000}"/>
    <cellStyle name="20% - Accent4 2 6 4" xfId="8846" xr:uid="{00000000-0005-0000-0000-00007C160000}"/>
    <cellStyle name="20% - Accent4 2 6 5" xfId="57911" xr:uid="{00000000-0005-0000-0000-00007D160000}"/>
    <cellStyle name="20% - Accent4 2 7" xfId="752" xr:uid="{00000000-0005-0000-0000-00007E160000}"/>
    <cellStyle name="20% - Accent4 2 7 2" xfId="8847" xr:uid="{00000000-0005-0000-0000-00007F160000}"/>
    <cellStyle name="20% - Accent4 2 7 3" xfId="57912" xr:uid="{00000000-0005-0000-0000-000080160000}"/>
    <cellStyle name="20% - Accent4 2 7 4" xfId="57913" xr:uid="{00000000-0005-0000-0000-000081160000}"/>
    <cellStyle name="20% - Accent4 2 8" xfId="753" xr:uid="{00000000-0005-0000-0000-000082160000}"/>
    <cellStyle name="20% - Accent4 2 8 2" xfId="57914" xr:uid="{00000000-0005-0000-0000-000083160000}"/>
    <cellStyle name="20% - Accent4 2 8 3" xfId="57915" xr:uid="{00000000-0005-0000-0000-000084160000}"/>
    <cellStyle name="20% - Accent4 2 9" xfId="8848" xr:uid="{00000000-0005-0000-0000-000085160000}"/>
    <cellStyle name="20% - Accent4 2 9 2" xfId="57916" xr:uid="{00000000-0005-0000-0000-000086160000}"/>
    <cellStyle name="20% - Accent4 20" xfId="57917" xr:uid="{00000000-0005-0000-0000-000087160000}"/>
    <cellStyle name="20% - Accent4 21" xfId="57918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49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850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851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852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853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854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855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856" xr:uid="{00000000-0005-0000-0000-0000B5160000}"/>
    <cellStyle name="20% - Accent4 3 2 9" xfId="57919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857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858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859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860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861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862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863" xr:uid="{00000000-0005-0000-0000-0000CF160000}"/>
    <cellStyle name="20% - Accent4 3 3 4 4" xfId="57920" xr:uid="{00000000-0005-0000-0000-0000D0160000}"/>
    <cellStyle name="20% - Accent4 3 3 5" xfId="809" xr:uid="{00000000-0005-0000-0000-0000D1160000}"/>
    <cellStyle name="20% - Accent4 3 3 5 2" xfId="57921" xr:uid="{00000000-0005-0000-0000-0000D2160000}"/>
    <cellStyle name="20% - Accent4 3 3 6" xfId="810" xr:uid="{00000000-0005-0000-0000-0000D3160000}"/>
    <cellStyle name="20% - Accent4 3 3 7" xfId="8864" xr:uid="{00000000-0005-0000-0000-0000D4160000}"/>
    <cellStyle name="20% - Accent4 3 3 8" xfId="57922" xr:uid="{00000000-0005-0000-0000-0000D5160000}"/>
    <cellStyle name="20% - Accent4 3 3 9" xfId="57923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865" xr:uid="{00000000-0005-0000-0000-0000DB160000}"/>
    <cellStyle name="20% - Accent4 3 4 2 2 3" xfId="815" xr:uid="{00000000-0005-0000-0000-0000DC160000}"/>
    <cellStyle name="20% - Accent4 3 4 2 2 4" xfId="8866" xr:uid="{00000000-0005-0000-0000-0000DD160000}"/>
    <cellStyle name="20% - Accent4 3 4 2 3" xfId="816" xr:uid="{00000000-0005-0000-0000-0000DE160000}"/>
    <cellStyle name="20% - Accent4 3 4 2 3 2" xfId="8867" xr:uid="{00000000-0005-0000-0000-0000DF160000}"/>
    <cellStyle name="20% - Accent4 3 4 2 4" xfId="817" xr:uid="{00000000-0005-0000-0000-0000E0160000}"/>
    <cellStyle name="20% - Accent4 3 4 2 5" xfId="8868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869" xr:uid="{00000000-0005-0000-0000-0000E4160000}"/>
    <cellStyle name="20% - Accent4 3 4 3 3" xfId="820" xr:uid="{00000000-0005-0000-0000-0000E5160000}"/>
    <cellStyle name="20% - Accent4 3 4 3 4" xfId="8870" xr:uid="{00000000-0005-0000-0000-0000E6160000}"/>
    <cellStyle name="20% - Accent4 3 4 4" xfId="821" xr:uid="{00000000-0005-0000-0000-0000E7160000}"/>
    <cellStyle name="20% - Accent4 3 4 4 2" xfId="8871" xr:uid="{00000000-0005-0000-0000-0000E8160000}"/>
    <cellStyle name="20% - Accent4 3 4 4 3" xfId="57924" xr:uid="{00000000-0005-0000-0000-0000E9160000}"/>
    <cellStyle name="20% - Accent4 3 4 4 4" xfId="57925" xr:uid="{00000000-0005-0000-0000-0000EA160000}"/>
    <cellStyle name="20% - Accent4 3 4 5" xfId="822" xr:uid="{00000000-0005-0000-0000-0000EB160000}"/>
    <cellStyle name="20% - Accent4 3 4 5 2" xfId="57926" xr:uid="{00000000-0005-0000-0000-0000EC160000}"/>
    <cellStyle name="20% - Accent4 3 4 6" xfId="8872" xr:uid="{00000000-0005-0000-0000-0000ED160000}"/>
    <cellStyle name="20% - Accent4 3 4 7" xfId="57927" xr:uid="{00000000-0005-0000-0000-0000EE160000}"/>
    <cellStyle name="20% - Accent4 3 4 8" xfId="57928" xr:uid="{00000000-0005-0000-0000-0000EF160000}"/>
    <cellStyle name="20% - Accent4 3 4 9" xfId="57929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873" xr:uid="{00000000-0005-0000-0000-0000F4160000}"/>
    <cellStyle name="20% - Accent4 3 5 2 3" xfId="826" xr:uid="{00000000-0005-0000-0000-0000F5160000}"/>
    <cellStyle name="20% - Accent4 3 5 2 4" xfId="8874" xr:uid="{00000000-0005-0000-0000-0000F6160000}"/>
    <cellStyle name="20% - Accent4 3 5 3" xfId="827" xr:uid="{00000000-0005-0000-0000-0000F7160000}"/>
    <cellStyle name="20% - Accent4 3 5 3 2" xfId="8875" xr:uid="{00000000-0005-0000-0000-0000F8160000}"/>
    <cellStyle name="20% - Accent4 3 5 4" xfId="828" xr:uid="{00000000-0005-0000-0000-0000F9160000}"/>
    <cellStyle name="20% - Accent4 3 5 5" xfId="8876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877" xr:uid="{00000000-0005-0000-0000-0000FD160000}"/>
    <cellStyle name="20% - Accent4 3 6 3" xfId="831" xr:uid="{00000000-0005-0000-0000-0000FE160000}"/>
    <cellStyle name="20% - Accent4 3 6 4" xfId="8878" xr:uid="{00000000-0005-0000-0000-0000FF160000}"/>
    <cellStyle name="20% - Accent4 3 7" xfId="832" xr:uid="{00000000-0005-0000-0000-000000170000}"/>
    <cellStyle name="20% - Accent4 3 7 2" xfId="8879" xr:uid="{00000000-0005-0000-0000-000001170000}"/>
    <cellStyle name="20% - Accent4 3 7 3" xfId="57930" xr:uid="{00000000-0005-0000-0000-000002170000}"/>
    <cellStyle name="20% - Accent4 3 7 4" xfId="57931" xr:uid="{00000000-0005-0000-0000-000003170000}"/>
    <cellStyle name="20% - Accent4 3 8" xfId="833" xr:uid="{00000000-0005-0000-0000-000004170000}"/>
    <cellStyle name="20% - Accent4 3 9" xfId="8880" xr:uid="{00000000-0005-0000-0000-000005170000}"/>
    <cellStyle name="20% - Accent4 4" xfId="834" xr:uid="{00000000-0005-0000-0000-000006170000}"/>
    <cellStyle name="20% - Accent4 4 10" xfId="14839" xr:uid="{00000000-0005-0000-0000-000007170000}"/>
    <cellStyle name="20% - Accent4 4 10 2" xfId="14840" xr:uid="{00000000-0005-0000-0000-000008170000}"/>
    <cellStyle name="20% - Accent4 4 10 2 2" xfId="14841" xr:uid="{00000000-0005-0000-0000-000009170000}"/>
    <cellStyle name="20% - Accent4 4 10 2 3" xfId="14842" xr:uid="{00000000-0005-0000-0000-00000A170000}"/>
    <cellStyle name="20% - Accent4 4 10 3" xfId="14843" xr:uid="{00000000-0005-0000-0000-00000B170000}"/>
    <cellStyle name="20% - Accent4 4 10 3 2" xfId="14844" xr:uid="{00000000-0005-0000-0000-00000C170000}"/>
    <cellStyle name="20% - Accent4 4 10 4" xfId="14845" xr:uid="{00000000-0005-0000-0000-00000D170000}"/>
    <cellStyle name="20% - Accent4 4 10 5" xfId="14846" xr:uid="{00000000-0005-0000-0000-00000E170000}"/>
    <cellStyle name="20% - Accent4 4 11" xfId="14847" xr:uid="{00000000-0005-0000-0000-00000F170000}"/>
    <cellStyle name="20% - Accent4 4 11 2" xfId="14848" xr:uid="{00000000-0005-0000-0000-000010170000}"/>
    <cellStyle name="20% - Accent4 4 11 3" xfId="14849" xr:uid="{00000000-0005-0000-0000-000011170000}"/>
    <cellStyle name="20% - Accent4 4 12" xfId="14850" xr:uid="{00000000-0005-0000-0000-000012170000}"/>
    <cellStyle name="20% - Accent4 4 12 2" xfId="14851" xr:uid="{00000000-0005-0000-0000-000013170000}"/>
    <cellStyle name="20% - Accent4 4 12 3" xfId="14852" xr:uid="{00000000-0005-0000-0000-000014170000}"/>
    <cellStyle name="20% - Accent4 4 13" xfId="14853" xr:uid="{00000000-0005-0000-0000-000015170000}"/>
    <cellStyle name="20% - Accent4 4 13 2" xfId="14854" xr:uid="{00000000-0005-0000-0000-000016170000}"/>
    <cellStyle name="20% - Accent4 4 14" xfId="14855" xr:uid="{00000000-0005-0000-0000-000017170000}"/>
    <cellStyle name="20% - Accent4 4 15" xfId="14856" xr:uid="{00000000-0005-0000-0000-000018170000}"/>
    <cellStyle name="20% - Accent4 4 16" xfId="14857" xr:uid="{00000000-0005-0000-0000-000019170000}"/>
    <cellStyle name="20% - Accent4 4 2" xfId="835" xr:uid="{00000000-0005-0000-0000-00001A170000}"/>
    <cellStyle name="20% - Accent4 4 2 10" xfId="14858" xr:uid="{00000000-0005-0000-0000-00001B170000}"/>
    <cellStyle name="20% - Accent4 4 2 10 2" xfId="14859" xr:uid="{00000000-0005-0000-0000-00001C170000}"/>
    <cellStyle name="20% - Accent4 4 2 10 3" xfId="14860" xr:uid="{00000000-0005-0000-0000-00001D170000}"/>
    <cellStyle name="20% - Accent4 4 2 11" xfId="14861" xr:uid="{00000000-0005-0000-0000-00001E170000}"/>
    <cellStyle name="20% - Accent4 4 2 11 2" xfId="14862" xr:uid="{00000000-0005-0000-0000-00001F170000}"/>
    <cellStyle name="20% - Accent4 4 2 11 3" xfId="14863" xr:uid="{00000000-0005-0000-0000-000020170000}"/>
    <cellStyle name="20% - Accent4 4 2 12" xfId="14864" xr:uid="{00000000-0005-0000-0000-000021170000}"/>
    <cellStyle name="20% - Accent4 4 2 12 2" xfId="14865" xr:uid="{00000000-0005-0000-0000-000022170000}"/>
    <cellStyle name="20% - Accent4 4 2 13" xfId="14866" xr:uid="{00000000-0005-0000-0000-000023170000}"/>
    <cellStyle name="20% - Accent4 4 2 14" xfId="14867" xr:uid="{00000000-0005-0000-0000-000024170000}"/>
    <cellStyle name="20% - Accent4 4 2 15" xfId="14868" xr:uid="{00000000-0005-0000-0000-000025170000}"/>
    <cellStyle name="20% - Accent4 4 2 2" xfId="836" xr:uid="{00000000-0005-0000-0000-000026170000}"/>
    <cellStyle name="20% - Accent4 4 2 2 10" xfId="14869" xr:uid="{00000000-0005-0000-0000-000027170000}"/>
    <cellStyle name="20% - Accent4 4 2 2 10 2" xfId="14870" xr:uid="{00000000-0005-0000-0000-000028170000}"/>
    <cellStyle name="20% - Accent4 4 2 2 10 3" xfId="14871" xr:uid="{00000000-0005-0000-0000-000029170000}"/>
    <cellStyle name="20% - Accent4 4 2 2 11" xfId="14872" xr:uid="{00000000-0005-0000-0000-00002A170000}"/>
    <cellStyle name="20% - Accent4 4 2 2 11 2" xfId="14873" xr:uid="{00000000-0005-0000-0000-00002B170000}"/>
    <cellStyle name="20% - Accent4 4 2 2 12" xfId="14874" xr:uid="{00000000-0005-0000-0000-00002C170000}"/>
    <cellStyle name="20% - Accent4 4 2 2 13" xfId="14875" xr:uid="{00000000-0005-0000-0000-00002D170000}"/>
    <cellStyle name="20% - Accent4 4 2 2 2" xfId="837" xr:uid="{00000000-0005-0000-0000-00002E170000}"/>
    <cellStyle name="20% - Accent4 4 2 2 2 10" xfId="14876" xr:uid="{00000000-0005-0000-0000-00002F170000}"/>
    <cellStyle name="20% - Accent4 4 2 2 2 10 2" xfId="14877" xr:uid="{00000000-0005-0000-0000-000030170000}"/>
    <cellStyle name="20% - Accent4 4 2 2 2 11" xfId="14878" xr:uid="{00000000-0005-0000-0000-000031170000}"/>
    <cellStyle name="20% - Accent4 4 2 2 2 12" xfId="14879" xr:uid="{00000000-0005-0000-0000-000032170000}"/>
    <cellStyle name="20% - Accent4 4 2 2 2 2" xfId="838" xr:uid="{00000000-0005-0000-0000-000033170000}"/>
    <cellStyle name="20% - Accent4 4 2 2 2 2 10" xfId="1488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881" xr:uid="{00000000-0005-0000-0000-000037170000}"/>
    <cellStyle name="20% - Accent4 4 2 2 2 2 2 2 2 2" xfId="14882" xr:uid="{00000000-0005-0000-0000-000038170000}"/>
    <cellStyle name="20% - Accent4 4 2 2 2 2 2 2 2 3" xfId="14883" xr:uid="{00000000-0005-0000-0000-000039170000}"/>
    <cellStyle name="20% - Accent4 4 2 2 2 2 2 2 3" xfId="14884" xr:uid="{00000000-0005-0000-0000-00003A170000}"/>
    <cellStyle name="20% - Accent4 4 2 2 2 2 2 2 3 2" xfId="14885" xr:uid="{00000000-0005-0000-0000-00003B170000}"/>
    <cellStyle name="20% - Accent4 4 2 2 2 2 2 2 3 3" xfId="14886" xr:uid="{00000000-0005-0000-0000-00003C170000}"/>
    <cellStyle name="20% - Accent4 4 2 2 2 2 2 2 4" xfId="14887" xr:uid="{00000000-0005-0000-0000-00003D170000}"/>
    <cellStyle name="20% - Accent4 4 2 2 2 2 2 2 4 2" xfId="14888" xr:uid="{00000000-0005-0000-0000-00003E170000}"/>
    <cellStyle name="20% - Accent4 4 2 2 2 2 2 2 5" xfId="14889" xr:uid="{00000000-0005-0000-0000-00003F170000}"/>
    <cellStyle name="20% - Accent4 4 2 2 2 2 2 2 6" xfId="14890" xr:uid="{00000000-0005-0000-0000-000040170000}"/>
    <cellStyle name="20% - Accent4 4 2 2 2 2 2 3" xfId="14891" xr:uid="{00000000-0005-0000-0000-000041170000}"/>
    <cellStyle name="20% - Accent4 4 2 2 2 2 2 3 2" xfId="14892" xr:uid="{00000000-0005-0000-0000-000042170000}"/>
    <cellStyle name="20% - Accent4 4 2 2 2 2 2 3 2 2" xfId="14893" xr:uid="{00000000-0005-0000-0000-000043170000}"/>
    <cellStyle name="20% - Accent4 4 2 2 2 2 2 3 2 3" xfId="14894" xr:uid="{00000000-0005-0000-0000-000044170000}"/>
    <cellStyle name="20% - Accent4 4 2 2 2 2 2 3 3" xfId="14895" xr:uid="{00000000-0005-0000-0000-000045170000}"/>
    <cellStyle name="20% - Accent4 4 2 2 2 2 2 3 3 2" xfId="14896" xr:uid="{00000000-0005-0000-0000-000046170000}"/>
    <cellStyle name="20% - Accent4 4 2 2 2 2 2 3 3 3" xfId="14897" xr:uid="{00000000-0005-0000-0000-000047170000}"/>
    <cellStyle name="20% - Accent4 4 2 2 2 2 2 3 4" xfId="14898" xr:uid="{00000000-0005-0000-0000-000048170000}"/>
    <cellStyle name="20% - Accent4 4 2 2 2 2 2 3 4 2" xfId="14899" xr:uid="{00000000-0005-0000-0000-000049170000}"/>
    <cellStyle name="20% - Accent4 4 2 2 2 2 2 3 5" xfId="14900" xr:uid="{00000000-0005-0000-0000-00004A170000}"/>
    <cellStyle name="20% - Accent4 4 2 2 2 2 2 3 6" xfId="14901" xr:uid="{00000000-0005-0000-0000-00004B170000}"/>
    <cellStyle name="20% - Accent4 4 2 2 2 2 2 4" xfId="14902" xr:uid="{00000000-0005-0000-0000-00004C170000}"/>
    <cellStyle name="20% - Accent4 4 2 2 2 2 2 4 2" xfId="14903" xr:uid="{00000000-0005-0000-0000-00004D170000}"/>
    <cellStyle name="20% - Accent4 4 2 2 2 2 2 4 2 2" xfId="14904" xr:uid="{00000000-0005-0000-0000-00004E170000}"/>
    <cellStyle name="20% - Accent4 4 2 2 2 2 2 4 2 3" xfId="14905" xr:uid="{00000000-0005-0000-0000-00004F170000}"/>
    <cellStyle name="20% - Accent4 4 2 2 2 2 2 4 3" xfId="14906" xr:uid="{00000000-0005-0000-0000-000050170000}"/>
    <cellStyle name="20% - Accent4 4 2 2 2 2 2 4 3 2" xfId="14907" xr:uid="{00000000-0005-0000-0000-000051170000}"/>
    <cellStyle name="20% - Accent4 4 2 2 2 2 2 4 4" xfId="14908" xr:uid="{00000000-0005-0000-0000-000052170000}"/>
    <cellStyle name="20% - Accent4 4 2 2 2 2 2 4 5" xfId="14909" xr:uid="{00000000-0005-0000-0000-000053170000}"/>
    <cellStyle name="20% - Accent4 4 2 2 2 2 2 5" xfId="14910" xr:uid="{00000000-0005-0000-0000-000054170000}"/>
    <cellStyle name="20% - Accent4 4 2 2 2 2 2 5 2" xfId="14911" xr:uid="{00000000-0005-0000-0000-000055170000}"/>
    <cellStyle name="20% - Accent4 4 2 2 2 2 2 5 3" xfId="14912" xr:uid="{00000000-0005-0000-0000-000056170000}"/>
    <cellStyle name="20% - Accent4 4 2 2 2 2 2 6" xfId="14913" xr:uid="{00000000-0005-0000-0000-000057170000}"/>
    <cellStyle name="20% - Accent4 4 2 2 2 2 2 6 2" xfId="14914" xr:uid="{00000000-0005-0000-0000-000058170000}"/>
    <cellStyle name="20% - Accent4 4 2 2 2 2 2 6 3" xfId="14915" xr:uid="{00000000-0005-0000-0000-000059170000}"/>
    <cellStyle name="20% - Accent4 4 2 2 2 2 2 7" xfId="14916" xr:uid="{00000000-0005-0000-0000-00005A170000}"/>
    <cellStyle name="20% - Accent4 4 2 2 2 2 2 7 2" xfId="14917" xr:uid="{00000000-0005-0000-0000-00005B170000}"/>
    <cellStyle name="20% - Accent4 4 2 2 2 2 2 8" xfId="14918" xr:uid="{00000000-0005-0000-0000-00005C170000}"/>
    <cellStyle name="20% - Accent4 4 2 2 2 2 2 9" xfId="14919" xr:uid="{00000000-0005-0000-0000-00005D170000}"/>
    <cellStyle name="20% - Accent4 4 2 2 2 2 3" xfId="841" xr:uid="{00000000-0005-0000-0000-00005E170000}"/>
    <cellStyle name="20% - Accent4 4 2 2 2 2 3 2" xfId="14920" xr:uid="{00000000-0005-0000-0000-00005F170000}"/>
    <cellStyle name="20% - Accent4 4 2 2 2 2 3 2 2" xfId="14921" xr:uid="{00000000-0005-0000-0000-000060170000}"/>
    <cellStyle name="20% - Accent4 4 2 2 2 2 3 2 3" xfId="14922" xr:uid="{00000000-0005-0000-0000-000061170000}"/>
    <cellStyle name="20% - Accent4 4 2 2 2 2 3 3" xfId="14923" xr:uid="{00000000-0005-0000-0000-000062170000}"/>
    <cellStyle name="20% - Accent4 4 2 2 2 2 3 3 2" xfId="14924" xr:uid="{00000000-0005-0000-0000-000063170000}"/>
    <cellStyle name="20% - Accent4 4 2 2 2 2 3 3 3" xfId="14925" xr:uid="{00000000-0005-0000-0000-000064170000}"/>
    <cellStyle name="20% - Accent4 4 2 2 2 2 3 4" xfId="14926" xr:uid="{00000000-0005-0000-0000-000065170000}"/>
    <cellStyle name="20% - Accent4 4 2 2 2 2 3 4 2" xfId="14927" xr:uid="{00000000-0005-0000-0000-000066170000}"/>
    <cellStyle name="20% - Accent4 4 2 2 2 2 3 5" xfId="14928" xr:uid="{00000000-0005-0000-0000-000067170000}"/>
    <cellStyle name="20% - Accent4 4 2 2 2 2 3 6" xfId="14929" xr:uid="{00000000-0005-0000-0000-000068170000}"/>
    <cellStyle name="20% - Accent4 4 2 2 2 2 4" xfId="8881" xr:uid="{00000000-0005-0000-0000-000069170000}"/>
    <cellStyle name="20% - Accent4 4 2 2 2 2 4 2" xfId="14930" xr:uid="{00000000-0005-0000-0000-00006A170000}"/>
    <cellStyle name="20% - Accent4 4 2 2 2 2 4 2 2" xfId="14931" xr:uid="{00000000-0005-0000-0000-00006B170000}"/>
    <cellStyle name="20% - Accent4 4 2 2 2 2 4 2 3" xfId="14932" xr:uid="{00000000-0005-0000-0000-00006C170000}"/>
    <cellStyle name="20% - Accent4 4 2 2 2 2 4 3" xfId="14933" xr:uid="{00000000-0005-0000-0000-00006D170000}"/>
    <cellStyle name="20% - Accent4 4 2 2 2 2 4 3 2" xfId="14934" xr:uid="{00000000-0005-0000-0000-00006E170000}"/>
    <cellStyle name="20% - Accent4 4 2 2 2 2 4 3 3" xfId="14935" xr:uid="{00000000-0005-0000-0000-00006F170000}"/>
    <cellStyle name="20% - Accent4 4 2 2 2 2 4 4" xfId="14936" xr:uid="{00000000-0005-0000-0000-000070170000}"/>
    <cellStyle name="20% - Accent4 4 2 2 2 2 4 4 2" xfId="14937" xr:uid="{00000000-0005-0000-0000-000071170000}"/>
    <cellStyle name="20% - Accent4 4 2 2 2 2 4 5" xfId="14938" xr:uid="{00000000-0005-0000-0000-000072170000}"/>
    <cellStyle name="20% - Accent4 4 2 2 2 2 4 6" xfId="14939" xr:uid="{00000000-0005-0000-0000-000073170000}"/>
    <cellStyle name="20% - Accent4 4 2 2 2 2 5" xfId="14940" xr:uid="{00000000-0005-0000-0000-000074170000}"/>
    <cellStyle name="20% - Accent4 4 2 2 2 2 5 2" xfId="14941" xr:uid="{00000000-0005-0000-0000-000075170000}"/>
    <cellStyle name="20% - Accent4 4 2 2 2 2 5 2 2" xfId="14942" xr:uid="{00000000-0005-0000-0000-000076170000}"/>
    <cellStyle name="20% - Accent4 4 2 2 2 2 5 2 3" xfId="14943" xr:uid="{00000000-0005-0000-0000-000077170000}"/>
    <cellStyle name="20% - Accent4 4 2 2 2 2 5 3" xfId="14944" xr:uid="{00000000-0005-0000-0000-000078170000}"/>
    <cellStyle name="20% - Accent4 4 2 2 2 2 5 3 2" xfId="14945" xr:uid="{00000000-0005-0000-0000-000079170000}"/>
    <cellStyle name="20% - Accent4 4 2 2 2 2 5 4" xfId="14946" xr:uid="{00000000-0005-0000-0000-00007A170000}"/>
    <cellStyle name="20% - Accent4 4 2 2 2 2 5 5" xfId="14947" xr:uid="{00000000-0005-0000-0000-00007B170000}"/>
    <cellStyle name="20% - Accent4 4 2 2 2 2 6" xfId="14948" xr:uid="{00000000-0005-0000-0000-00007C170000}"/>
    <cellStyle name="20% - Accent4 4 2 2 2 2 6 2" xfId="14949" xr:uid="{00000000-0005-0000-0000-00007D170000}"/>
    <cellStyle name="20% - Accent4 4 2 2 2 2 6 3" xfId="14950" xr:uid="{00000000-0005-0000-0000-00007E170000}"/>
    <cellStyle name="20% - Accent4 4 2 2 2 2 7" xfId="14951" xr:uid="{00000000-0005-0000-0000-00007F170000}"/>
    <cellStyle name="20% - Accent4 4 2 2 2 2 7 2" xfId="14952" xr:uid="{00000000-0005-0000-0000-000080170000}"/>
    <cellStyle name="20% - Accent4 4 2 2 2 2 7 3" xfId="14953" xr:uid="{00000000-0005-0000-0000-000081170000}"/>
    <cellStyle name="20% - Accent4 4 2 2 2 2 8" xfId="14954" xr:uid="{00000000-0005-0000-0000-000082170000}"/>
    <cellStyle name="20% - Accent4 4 2 2 2 2 8 2" xfId="14955" xr:uid="{00000000-0005-0000-0000-000083170000}"/>
    <cellStyle name="20% - Accent4 4 2 2 2 2 9" xfId="1495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957" xr:uid="{00000000-0005-0000-0000-000087170000}"/>
    <cellStyle name="20% - Accent4 4 2 2 2 3 2 2 2" xfId="14958" xr:uid="{00000000-0005-0000-0000-000088170000}"/>
    <cellStyle name="20% - Accent4 4 2 2 2 3 2 2 3" xfId="14959" xr:uid="{00000000-0005-0000-0000-000089170000}"/>
    <cellStyle name="20% - Accent4 4 2 2 2 3 2 3" xfId="14960" xr:uid="{00000000-0005-0000-0000-00008A170000}"/>
    <cellStyle name="20% - Accent4 4 2 2 2 3 2 3 2" xfId="14961" xr:uid="{00000000-0005-0000-0000-00008B170000}"/>
    <cellStyle name="20% - Accent4 4 2 2 2 3 2 3 3" xfId="14962" xr:uid="{00000000-0005-0000-0000-00008C170000}"/>
    <cellStyle name="20% - Accent4 4 2 2 2 3 2 4" xfId="14963" xr:uid="{00000000-0005-0000-0000-00008D170000}"/>
    <cellStyle name="20% - Accent4 4 2 2 2 3 2 4 2" xfId="14964" xr:uid="{00000000-0005-0000-0000-00008E170000}"/>
    <cellStyle name="20% - Accent4 4 2 2 2 3 2 5" xfId="14965" xr:uid="{00000000-0005-0000-0000-00008F170000}"/>
    <cellStyle name="20% - Accent4 4 2 2 2 3 2 6" xfId="14966" xr:uid="{00000000-0005-0000-0000-000090170000}"/>
    <cellStyle name="20% - Accent4 4 2 2 2 3 3" xfId="14967" xr:uid="{00000000-0005-0000-0000-000091170000}"/>
    <cellStyle name="20% - Accent4 4 2 2 2 3 3 2" xfId="14968" xr:uid="{00000000-0005-0000-0000-000092170000}"/>
    <cellStyle name="20% - Accent4 4 2 2 2 3 3 2 2" xfId="14969" xr:uid="{00000000-0005-0000-0000-000093170000}"/>
    <cellStyle name="20% - Accent4 4 2 2 2 3 3 2 3" xfId="14970" xr:uid="{00000000-0005-0000-0000-000094170000}"/>
    <cellStyle name="20% - Accent4 4 2 2 2 3 3 3" xfId="14971" xr:uid="{00000000-0005-0000-0000-000095170000}"/>
    <cellStyle name="20% - Accent4 4 2 2 2 3 3 3 2" xfId="14972" xr:uid="{00000000-0005-0000-0000-000096170000}"/>
    <cellStyle name="20% - Accent4 4 2 2 2 3 3 3 3" xfId="14973" xr:uid="{00000000-0005-0000-0000-000097170000}"/>
    <cellStyle name="20% - Accent4 4 2 2 2 3 3 4" xfId="14974" xr:uid="{00000000-0005-0000-0000-000098170000}"/>
    <cellStyle name="20% - Accent4 4 2 2 2 3 3 4 2" xfId="14975" xr:uid="{00000000-0005-0000-0000-000099170000}"/>
    <cellStyle name="20% - Accent4 4 2 2 2 3 3 5" xfId="14976" xr:uid="{00000000-0005-0000-0000-00009A170000}"/>
    <cellStyle name="20% - Accent4 4 2 2 2 3 3 6" xfId="14977" xr:uid="{00000000-0005-0000-0000-00009B170000}"/>
    <cellStyle name="20% - Accent4 4 2 2 2 3 4" xfId="14978" xr:uid="{00000000-0005-0000-0000-00009C170000}"/>
    <cellStyle name="20% - Accent4 4 2 2 2 3 4 2" xfId="14979" xr:uid="{00000000-0005-0000-0000-00009D170000}"/>
    <cellStyle name="20% - Accent4 4 2 2 2 3 4 2 2" xfId="14980" xr:uid="{00000000-0005-0000-0000-00009E170000}"/>
    <cellStyle name="20% - Accent4 4 2 2 2 3 4 2 3" xfId="14981" xr:uid="{00000000-0005-0000-0000-00009F170000}"/>
    <cellStyle name="20% - Accent4 4 2 2 2 3 4 3" xfId="14982" xr:uid="{00000000-0005-0000-0000-0000A0170000}"/>
    <cellStyle name="20% - Accent4 4 2 2 2 3 4 3 2" xfId="14983" xr:uid="{00000000-0005-0000-0000-0000A1170000}"/>
    <cellStyle name="20% - Accent4 4 2 2 2 3 4 4" xfId="14984" xr:uid="{00000000-0005-0000-0000-0000A2170000}"/>
    <cellStyle name="20% - Accent4 4 2 2 2 3 4 5" xfId="14985" xr:uid="{00000000-0005-0000-0000-0000A3170000}"/>
    <cellStyle name="20% - Accent4 4 2 2 2 3 5" xfId="14986" xr:uid="{00000000-0005-0000-0000-0000A4170000}"/>
    <cellStyle name="20% - Accent4 4 2 2 2 3 5 2" xfId="14987" xr:uid="{00000000-0005-0000-0000-0000A5170000}"/>
    <cellStyle name="20% - Accent4 4 2 2 2 3 5 3" xfId="14988" xr:uid="{00000000-0005-0000-0000-0000A6170000}"/>
    <cellStyle name="20% - Accent4 4 2 2 2 3 6" xfId="14989" xr:uid="{00000000-0005-0000-0000-0000A7170000}"/>
    <cellStyle name="20% - Accent4 4 2 2 2 3 6 2" xfId="14990" xr:uid="{00000000-0005-0000-0000-0000A8170000}"/>
    <cellStyle name="20% - Accent4 4 2 2 2 3 6 3" xfId="14991" xr:uid="{00000000-0005-0000-0000-0000A9170000}"/>
    <cellStyle name="20% - Accent4 4 2 2 2 3 7" xfId="14992" xr:uid="{00000000-0005-0000-0000-0000AA170000}"/>
    <cellStyle name="20% - Accent4 4 2 2 2 3 7 2" xfId="14993" xr:uid="{00000000-0005-0000-0000-0000AB170000}"/>
    <cellStyle name="20% - Accent4 4 2 2 2 3 8" xfId="14994" xr:uid="{00000000-0005-0000-0000-0000AC170000}"/>
    <cellStyle name="20% - Accent4 4 2 2 2 3 9" xfId="14995" xr:uid="{00000000-0005-0000-0000-0000AD170000}"/>
    <cellStyle name="20% - Accent4 4 2 2 2 4" xfId="844" xr:uid="{00000000-0005-0000-0000-0000AE170000}"/>
    <cellStyle name="20% - Accent4 4 2 2 2 4 2" xfId="14996" xr:uid="{00000000-0005-0000-0000-0000AF170000}"/>
    <cellStyle name="20% - Accent4 4 2 2 2 4 2 2" xfId="14997" xr:uid="{00000000-0005-0000-0000-0000B0170000}"/>
    <cellStyle name="20% - Accent4 4 2 2 2 4 2 2 2" xfId="14998" xr:uid="{00000000-0005-0000-0000-0000B1170000}"/>
    <cellStyle name="20% - Accent4 4 2 2 2 4 2 2 3" xfId="14999" xr:uid="{00000000-0005-0000-0000-0000B2170000}"/>
    <cellStyle name="20% - Accent4 4 2 2 2 4 2 3" xfId="15000" xr:uid="{00000000-0005-0000-0000-0000B3170000}"/>
    <cellStyle name="20% - Accent4 4 2 2 2 4 2 3 2" xfId="15001" xr:uid="{00000000-0005-0000-0000-0000B4170000}"/>
    <cellStyle name="20% - Accent4 4 2 2 2 4 2 3 3" xfId="15002" xr:uid="{00000000-0005-0000-0000-0000B5170000}"/>
    <cellStyle name="20% - Accent4 4 2 2 2 4 2 4" xfId="15003" xr:uid="{00000000-0005-0000-0000-0000B6170000}"/>
    <cellStyle name="20% - Accent4 4 2 2 2 4 2 4 2" xfId="15004" xr:uid="{00000000-0005-0000-0000-0000B7170000}"/>
    <cellStyle name="20% - Accent4 4 2 2 2 4 2 5" xfId="15005" xr:uid="{00000000-0005-0000-0000-0000B8170000}"/>
    <cellStyle name="20% - Accent4 4 2 2 2 4 2 6" xfId="15006" xr:uid="{00000000-0005-0000-0000-0000B9170000}"/>
    <cellStyle name="20% - Accent4 4 2 2 2 4 3" xfId="15007" xr:uid="{00000000-0005-0000-0000-0000BA170000}"/>
    <cellStyle name="20% - Accent4 4 2 2 2 4 3 2" xfId="15008" xr:uid="{00000000-0005-0000-0000-0000BB170000}"/>
    <cellStyle name="20% - Accent4 4 2 2 2 4 3 2 2" xfId="15009" xr:uid="{00000000-0005-0000-0000-0000BC170000}"/>
    <cellStyle name="20% - Accent4 4 2 2 2 4 3 2 3" xfId="15010" xr:uid="{00000000-0005-0000-0000-0000BD170000}"/>
    <cellStyle name="20% - Accent4 4 2 2 2 4 3 3" xfId="15011" xr:uid="{00000000-0005-0000-0000-0000BE170000}"/>
    <cellStyle name="20% - Accent4 4 2 2 2 4 3 3 2" xfId="15012" xr:uid="{00000000-0005-0000-0000-0000BF170000}"/>
    <cellStyle name="20% - Accent4 4 2 2 2 4 3 3 3" xfId="15013" xr:uid="{00000000-0005-0000-0000-0000C0170000}"/>
    <cellStyle name="20% - Accent4 4 2 2 2 4 3 4" xfId="15014" xr:uid="{00000000-0005-0000-0000-0000C1170000}"/>
    <cellStyle name="20% - Accent4 4 2 2 2 4 3 4 2" xfId="15015" xr:uid="{00000000-0005-0000-0000-0000C2170000}"/>
    <cellStyle name="20% - Accent4 4 2 2 2 4 3 5" xfId="15016" xr:uid="{00000000-0005-0000-0000-0000C3170000}"/>
    <cellStyle name="20% - Accent4 4 2 2 2 4 3 6" xfId="15017" xr:uid="{00000000-0005-0000-0000-0000C4170000}"/>
    <cellStyle name="20% - Accent4 4 2 2 2 4 4" xfId="15018" xr:uid="{00000000-0005-0000-0000-0000C5170000}"/>
    <cellStyle name="20% - Accent4 4 2 2 2 4 4 2" xfId="15019" xr:uid="{00000000-0005-0000-0000-0000C6170000}"/>
    <cellStyle name="20% - Accent4 4 2 2 2 4 4 2 2" xfId="15020" xr:uid="{00000000-0005-0000-0000-0000C7170000}"/>
    <cellStyle name="20% - Accent4 4 2 2 2 4 4 2 3" xfId="15021" xr:uid="{00000000-0005-0000-0000-0000C8170000}"/>
    <cellStyle name="20% - Accent4 4 2 2 2 4 4 3" xfId="15022" xr:uid="{00000000-0005-0000-0000-0000C9170000}"/>
    <cellStyle name="20% - Accent4 4 2 2 2 4 4 3 2" xfId="15023" xr:uid="{00000000-0005-0000-0000-0000CA170000}"/>
    <cellStyle name="20% - Accent4 4 2 2 2 4 4 4" xfId="15024" xr:uid="{00000000-0005-0000-0000-0000CB170000}"/>
    <cellStyle name="20% - Accent4 4 2 2 2 4 4 5" xfId="15025" xr:uid="{00000000-0005-0000-0000-0000CC170000}"/>
    <cellStyle name="20% - Accent4 4 2 2 2 4 5" xfId="15026" xr:uid="{00000000-0005-0000-0000-0000CD170000}"/>
    <cellStyle name="20% - Accent4 4 2 2 2 4 5 2" xfId="15027" xr:uid="{00000000-0005-0000-0000-0000CE170000}"/>
    <cellStyle name="20% - Accent4 4 2 2 2 4 5 3" xfId="15028" xr:uid="{00000000-0005-0000-0000-0000CF170000}"/>
    <cellStyle name="20% - Accent4 4 2 2 2 4 6" xfId="15029" xr:uid="{00000000-0005-0000-0000-0000D0170000}"/>
    <cellStyle name="20% - Accent4 4 2 2 2 4 6 2" xfId="15030" xr:uid="{00000000-0005-0000-0000-0000D1170000}"/>
    <cellStyle name="20% - Accent4 4 2 2 2 4 6 3" xfId="15031" xr:uid="{00000000-0005-0000-0000-0000D2170000}"/>
    <cellStyle name="20% - Accent4 4 2 2 2 4 7" xfId="15032" xr:uid="{00000000-0005-0000-0000-0000D3170000}"/>
    <cellStyle name="20% - Accent4 4 2 2 2 4 7 2" xfId="15033" xr:uid="{00000000-0005-0000-0000-0000D4170000}"/>
    <cellStyle name="20% - Accent4 4 2 2 2 4 8" xfId="15034" xr:uid="{00000000-0005-0000-0000-0000D5170000}"/>
    <cellStyle name="20% - Accent4 4 2 2 2 4 9" xfId="15035" xr:uid="{00000000-0005-0000-0000-0000D6170000}"/>
    <cellStyle name="20% - Accent4 4 2 2 2 5" xfId="845" xr:uid="{00000000-0005-0000-0000-0000D7170000}"/>
    <cellStyle name="20% - Accent4 4 2 2 2 5 2" xfId="15036" xr:uid="{00000000-0005-0000-0000-0000D8170000}"/>
    <cellStyle name="20% - Accent4 4 2 2 2 5 2 2" xfId="15037" xr:uid="{00000000-0005-0000-0000-0000D9170000}"/>
    <cellStyle name="20% - Accent4 4 2 2 2 5 2 3" xfId="15038" xr:uid="{00000000-0005-0000-0000-0000DA170000}"/>
    <cellStyle name="20% - Accent4 4 2 2 2 5 3" xfId="15039" xr:uid="{00000000-0005-0000-0000-0000DB170000}"/>
    <cellStyle name="20% - Accent4 4 2 2 2 5 3 2" xfId="15040" xr:uid="{00000000-0005-0000-0000-0000DC170000}"/>
    <cellStyle name="20% - Accent4 4 2 2 2 5 3 3" xfId="15041" xr:uid="{00000000-0005-0000-0000-0000DD170000}"/>
    <cellStyle name="20% - Accent4 4 2 2 2 5 4" xfId="15042" xr:uid="{00000000-0005-0000-0000-0000DE170000}"/>
    <cellStyle name="20% - Accent4 4 2 2 2 5 4 2" xfId="15043" xr:uid="{00000000-0005-0000-0000-0000DF170000}"/>
    <cellStyle name="20% - Accent4 4 2 2 2 5 5" xfId="15044" xr:uid="{00000000-0005-0000-0000-0000E0170000}"/>
    <cellStyle name="20% - Accent4 4 2 2 2 5 6" xfId="15045" xr:uid="{00000000-0005-0000-0000-0000E1170000}"/>
    <cellStyle name="20% - Accent4 4 2 2 2 6" xfId="8882" xr:uid="{00000000-0005-0000-0000-0000E2170000}"/>
    <cellStyle name="20% - Accent4 4 2 2 2 6 2" xfId="15046" xr:uid="{00000000-0005-0000-0000-0000E3170000}"/>
    <cellStyle name="20% - Accent4 4 2 2 2 6 2 2" xfId="15047" xr:uid="{00000000-0005-0000-0000-0000E4170000}"/>
    <cellStyle name="20% - Accent4 4 2 2 2 6 2 3" xfId="15048" xr:uid="{00000000-0005-0000-0000-0000E5170000}"/>
    <cellStyle name="20% - Accent4 4 2 2 2 6 3" xfId="15049" xr:uid="{00000000-0005-0000-0000-0000E6170000}"/>
    <cellStyle name="20% - Accent4 4 2 2 2 6 3 2" xfId="15050" xr:uid="{00000000-0005-0000-0000-0000E7170000}"/>
    <cellStyle name="20% - Accent4 4 2 2 2 6 3 3" xfId="15051" xr:uid="{00000000-0005-0000-0000-0000E8170000}"/>
    <cellStyle name="20% - Accent4 4 2 2 2 6 4" xfId="15052" xr:uid="{00000000-0005-0000-0000-0000E9170000}"/>
    <cellStyle name="20% - Accent4 4 2 2 2 6 4 2" xfId="15053" xr:uid="{00000000-0005-0000-0000-0000EA170000}"/>
    <cellStyle name="20% - Accent4 4 2 2 2 6 5" xfId="15054" xr:uid="{00000000-0005-0000-0000-0000EB170000}"/>
    <cellStyle name="20% - Accent4 4 2 2 2 6 6" xfId="15055" xr:uid="{00000000-0005-0000-0000-0000EC170000}"/>
    <cellStyle name="20% - Accent4 4 2 2 2 7" xfId="15056" xr:uid="{00000000-0005-0000-0000-0000ED170000}"/>
    <cellStyle name="20% - Accent4 4 2 2 2 7 2" xfId="15057" xr:uid="{00000000-0005-0000-0000-0000EE170000}"/>
    <cellStyle name="20% - Accent4 4 2 2 2 7 2 2" xfId="15058" xr:uid="{00000000-0005-0000-0000-0000EF170000}"/>
    <cellStyle name="20% - Accent4 4 2 2 2 7 2 3" xfId="15059" xr:uid="{00000000-0005-0000-0000-0000F0170000}"/>
    <cellStyle name="20% - Accent4 4 2 2 2 7 3" xfId="15060" xr:uid="{00000000-0005-0000-0000-0000F1170000}"/>
    <cellStyle name="20% - Accent4 4 2 2 2 7 3 2" xfId="15061" xr:uid="{00000000-0005-0000-0000-0000F2170000}"/>
    <cellStyle name="20% - Accent4 4 2 2 2 7 4" xfId="15062" xr:uid="{00000000-0005-0000-0000-0000F3170000}"/>
    <cellStyle name="20% - Accent4 4 2 2 2 7 5" xfId="15063" xr:uid="{00000000-0005-0000-0000-0000F4170000}"/>
    <cellStyle name="20% - Accent4 4 2 2 2 8" xfId="15064" xr:uid="{00000000-0005-0000-0000-0000F5170000}"/>
    <cellStyle name="20% - Accent4 4 2 2 2 8 2" xfId="15065" xr:uid="{00000000-0005-0000-0000-0000F6170000}"/>
    <cellStyle name="20% - Accent4 4 2 2 2 8 3" xfId="15066" xr:uid="{00000000-0005-0000-0000-0000F7170000}"/>
    <cellStyle name="20% - Accent4 4 2 2 2 9" xfId="15067" xr:uid="{00000000-0005-0000-0000-0000F8170000}"/>
    <cellStyle name="20% - Accent4 4 2 2 2 9 2" xfId="15068" xr:uid="{00000000-0005-0000-0000-0000F9170000}"/>
    <cellStyle name="20% - Accent4 4 2 2 2 9 3" xfId="15069" xr:uid="{00000000-0005-0000-0000-0000FA170000}"/>
    <cellStyle name="20% - Accent4 4 2 2 3" xfId="846" xr:uid="{00000000-0005-0000-0000-0000FB170000}"/>
    <cellStyle name="20% - Accent4 4 2 2 3 10" xfId="1507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5071" xr:uid="{00000000-0005-0000-0000-0000FF170000}"/>
    <cellStyle name="20% - Accent4 4 2 2 3 2 2 2 2" xfId="15072" xr:uid="{00000000-0005-0000-0000-000000180000}"/>
    <cellStyle name="20% - Accent4 4 2 2 3 2 2 2 3" xfId="15073" xr:uid="{00000000-0005-0000-0000-000001180000}"/>
    <cellStyle name="20% - Accent4 4 2 2 3 2 2 3" xfId="15074" xr:uid="{00000000-0005-0000-0000-000002180000}"/>
    <cellStyle name="20% - Accent4 4 2 2 3 2 2 3 2" xfId="15075" xr:uid="{00000000-0005-0000-0000-000003180000}"/>
    <cellStyle name="20% - Accent4 4 2 2 3 2 2 3 3" xfId="15076" xr:uid="{00000000-0005-0000-0000-000004180000}"/>
    <cellStyle name="20% - Accent4 4 2 2 3 2 2 4" xfId="15077" xr:uid="{00000000-0005-0000-0000-000005180000}"/>
    <cellStyle name="20% - Accent4 4 2 2 3 2 2 4 2" xfId="15078" xr:uid="{00000000-0005-0000-0000-000006180000}"/>
    <cellStyle name="20% - Accent4 4 2 2 3 2 2 5" xfId="15079" xr:uid="{00000000-0005-0000-0000-000007180000}"/>
    <cellStyle name="20% - Accent4 4 2 2 3 2 2 6" xfId="15080" xr:uid="{00000000-0005-0000-0000-000008180000}"/>
    <cellStyle name="20% - Accent4 4 2 2 3 2 3" xfId="15081" xr:uid="{00000000-0005-0000-0000-000009180000}"/>
    <cellStyle name="20% - Accent4 4 2 2 3 2 3 2" xfId="15082" xr:uid="{00000000-0005-0000-0000-00000A180000}"/>
    <cellStyle name="20% - Accent4 4 2 2 3 2 3 2 2" xfId="15083" xr:uid="{00000000-0005-0000-0000-00000B180000}"/>
    <cellStyle name="20% - Accent4 4 2 2 3 2 3 2 3" xfId="15084" xr:uid="{00000000-0005-0000-0000-00000C180000}"/>
    <cellStyle name="20% - Accent4 4 2 2 3 2 3 3" xfId="15085" xr:uid="{00000000-0005-0000-0000-00000D180000}"/>
    <cellStyle name="20% - Accent4 4 2 2 3 2 3 3 2" xfId="15086" xr:uid="{00000000-0005-0000-0000-00000E180000}"/>
    <cellStyle name="20% - Accent4 4 2 2 3 2 3 3 3" xfId="15087" xr:uid="{00000000-0005-0000-0000-00000F180000}"/>
    <cellStyle name="20% - Accent4 4 2 2 3 2 3 4" xfId="15088" xr:uid="{00000000-0005-0000-0000-000010180000}"/>
    <cellStyle name="20% - Accent4 4 2 2 3 2 3 4 2" xfId="15089" xr:uid="{00000000-0005-0000-0000-000011180000}"/>
    <cellStyle name="20% - Accent4 4 2 2 3 2 3 5" xfId="15090" xr:uid="{00000000-0005-0000-0000-000012180000}"/>
    <cellStyle name="20% - Accent4 4 2 2 3 2 3 6" xfId="15091" xr:uid="{00000000-0005-0000-0000-000013180000}"/>
    <cellStyle name="20% - Accent4 4 2 2 3 2 4" xfId="15092" xr:uid="{00000000-0005-0000-0000-000014180000}"/>
    <cellStyle name="20% - Accent4 4 2 2 3 2 4 2" xfId="15093" xr:uid="{00000000-0005-0000-0000-000015180000}"/>
    <cellStyle name="20% - Accent4 4 2 2 3 2 4 2 2" xfId="15094" xr:uid="{00000000-0005-0000-0000-000016180000}"/>
    <cellStyle name="20% - Accent4 4 2 2 3 2 4 2 3" xfId="15095" xr:uid="{00000000-0005-0000-0000-000017180000}"/>
    <cellStyle name="20% - Accent4 4 2 2 3 2 4 3" xfId="15096" xr:uid="{00000000-0005-0000-0000-000018180000}"/>
    <cellStyle name="20% - Accent4 4 2 2 3 2 4 3 2" xfId="15097" xr:uid="{00000000-0005-0000-0000-000019180000}"/>
    <cellStyle name="20% - Accent4 4 2 2 3 2 4 4" xfId="15098" xr:uid="{00000000-0005-0000-0000-00001A180000}"/>
    <cellStyle name="20% - Accent4 4 2 2 3 2 4 5" xfId="15099" xr:uid="{00000000-0005-0000-0000-00001B180000}"/>
    <cellStyle name="20% - Accent4 4 2 2 3 2 5" xfId="15100" xr:uid="{00000000-0005-0000-0000-00001C180000}"/>
    <cellStyle name="20% - Accent4 4 2 2 3 2 5 2" xfId="15101" xr:uid="{00000000-0005-0000-0000-00001D180000}"/>
    <cellStyle name="20% - Accent4 4 2 2 3 2 5 3" xfId="15102" xr:uid="{00000000-0005-0000-0000-00001E180000}"/>
    <cellStyle name="20% - Accent4 4 2 2 3 2 6" xfId="15103" xr:uid="{00000000-0005-0000-0000-00001F180000}"/>
    <cellStyle name="20% - Accent4 4 2 2 3 2 6 2" xfId="15104" xr:uid="{00000000-0005-0000-0000-000020180000}"/>
    <cellStyle name="20% - Accent4 4 2 2 3 2 6 3" xfId="15105" xr:uid="{00000000-0005-0000-0000-000021180000}"/>
    <cellStyle name="20% - Accent4 4 2 2 3 2 7" xfId="15106" xr:uid="{00000000-0005-0000-0000-000022180000}"/>
    <cellStyle name="20% - Accent4 4 2 2 3 2 7 2" xfId="15107" xr:uid="{00000000-0005-0000-0000-000023180000}"/>
    <cellStyle name="20% - Accent4 4 2 2 3 2 8" xfId="15108" xr:uid="{00000000-0005-0000-0000-000024180000}"/>
    <cellStyle name="20% - Accent4 4 2 2 3 2 9" xfId="15109" xr:uid="{00000000-0005-0000-0000-000025180000}"/>
    <cellStyle name="20% - Accent4 4 2 2 3 3" xfId="849" xr:uid="{00000000-0005-0000-0000-000026180000}"/>
    <cellStyle name="20% - Accent4 4 2 2 3 3 2" xfId="15110" xr:uid="{00000000-0005-0000-0000-000027180000}"/>
    <cellStyle name="20% - Accent4 4 2 2 3 3 2 2" xfId="15111" xr:uid="{00000000-0005-0000-0000-000028180000}"/>
    <cellStyle name="20% - Accent4 4 2 2 3 3 2 3" xfId="15112" xr:uid="{00000000-0005-0000-0000-000029180000}"/>
    <cellStyle name="20% - Accent4 4 2 2 3 3 3" xfId="15113" xr:uid="{00000000-0005-0000-0000-00002A180000}"/>
    <cellStyle name="20% - Accent4 4 2 2 3 3 3 2" xfId="15114" xr:uid="{00000000-0005-0000-0000-00002B180000}"/>
    <cellStyle name="20% - Accent4 4 2 2 3 3 3 3" xfId="15115" xr:uid="{00000000-0005-0000-0000-00002C180000}"/>
    <cellStyle name="20% - Accent4 4 2 2 3 3 4" xfId="15116" xr:uid="{00000000-0005-0000-0000-00002D180000}"/>
    <cellStyle name="20% - Accent4 4 2 2 3 3 4 2" xfId="15117" xr:uid="{00000000-0005-0000-0000-00002E180000}"/>
    <cellStyle name="20% - Accent4 4 2 2 3 3 5" xfId="15118" xr:uid="{00000000-0005-0000-0000-00002F180000}"/>
    <cellStyle name="20% - Accent4 4 2 2 3 3 6" xfId="15119" xr:uid="{00000000-0005-0000-0000-000030180000}"/>
    <cellStyle name="20% - Accent4 4 2 2 3 4" xfId="8883" xr:uid="{00000000-0005-0000-0000-000031180000}"/>
    <cellStyle name="20% - Accent4 4 2 2 3 4 2" xfId="15120" xr:uid="{00000000-0005-0000-0000-000032180000}"/>
    <cellStyle name="20% - Accent4 4 2 2 3 4 2 2" xfId="15121" xr:uid="{00000000-0005-0000-0000-000033180000}"/>
    <cellStyle name="20% - Accent4 4 2 2 3 4 2 3" xfId="15122" xr:uid="{00000000-0005-0000-0000-000034180000}"/>
    <cellStyle name="20% - Accent4 4 2 2 3 4 3" xfId="15123" xr:uid="{00000000-0005-0000-0000-000035180000}"/>
    <cellStyle name="20% - Accent4 4 2 2 3 4 3 2" xfId="15124" xr:uid="{00000000-0005-0000-0000-000036180000}"/>
    <cellStyle name="20% - Accent4 4 2 2 3 4 3 3" xfId="15125" xr:uid="{00000000-0005-0000-0000-000037180000}"/>
    <cellStyle name="20% - Accent4 4 2 2 3 4 4" xfId="15126" xr:uid="{00000000-0005-0000-0000-000038180000}"/>
    <cellStyle name="20% - Accent4 4 2 2 3 4 4 2" xfId="15127" xr:uid="{00000000-0005-0000-0000-000039180000}"/>
    <cellStyle name="20% - Accent4 4 2 2 3 4 5" xfId="15128" xr:uid="{00000000-0005-0000-0000-00003A180000}"/>
    <cellStyle name="20% - Accent4 4 2 2 3 4 6" xfId="15129" xr:uid="{00000000-0005-0000-0000-00003B180000}"/>
    <cellStyle name="20% - Accent4 4 2 2 3 5" xfId="15130" xr:uid="{00000000-0005-0000-0000-00003C180000}"/>
    <cellStyle name="20% - Accent4 4 2 2 3 5 2" xfId="15131" xr:uid="{00000000-0005-0000-0000-00003D180000}"/>
    <cellStyle name="20% - Accent4 4 2 2 3 5 2 2" xfId="15132" xr:uid="{00000000-0005-0000-0000-00003E180000}"/>
    <cellStyle name="20% - Accent4 4 2 2 3 5 2 3" xfId="15133" xr:uid="{00000000-0005-0000-0000-00003F180000}"/>
    <cellStyle name="20% - Accent4 4 2 2 3 5 3" xfId="15134" xr:uid="{00000000-0005-0000-0000-000040180000}"/>
    <cellStyle name="20% - Accent4 4 2 2 3 5 3 2" xfId="15135" xr:uid="{00000000-0005-0000-0000-000041180000}"/>
    <cellStyle name="20% - Accent4 4 2 2 3 5 4" xfId="15136" xr:uid="{00000000-0005-0000-0000-000042180000}"/>
    <cellStyle name="20% - Accent4 4 2 2 3 5 5" xfId="15137" xr:uid="{00000000-0005-0000-0000-000043180000}"/>
    <cellStyle name="20% - Accent4 4 2 2 3 6" xfId="15138" xr:uid="{00000000-0005-0000-0000-000044180000}"/>
    <cellStyle name="20% - Accent4 4 2 2 3 6 2" xfId="15139" xr:uid="{00000000-0005-0000-0000-000045180000}"/>
    <cellStyle name="20% - Accent4 4 2 2 3 6 3" xfId="15140" xr:uid="{00000000-0005-0000-0000-000046180000}"/>
    <cellStyle name="20% - Accent4 4 2 2 3 7" xfId="15141" xr:uid="{00000000-0005-0000-0000-000047180000}"/>
    <cellStyle name="20% - Accent4 4 2 2 3 7 2" xfId="15142" xr:uid="{00000000-0005-0000-0000-000048180000}"/>
    <cellStyle name="20% - Accent4 4 2 2 3 7 3" xfId="15143" xr:uid="{00000000-0005-0000-0000-000049180000}"/>
    <cellStyle name="20% - Accent4 4 2 2 3 8" xfId="15144" xr:uid="{00000000-0005-0000-0000-00004A180000}"/>
    <cellStyle name="20% - Accent4 4 2 2 3 8 2" xfId="15145" xr:uid="{00000000-0005-0000-0000-00004B180000}"/>
    <cellStyle name="20% - Accent4 4 2 2 3 9" xfId="1514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5147" xr:uid="{00000000-0005-0000-0000-00004F180000}"/>
    <cellStyle name="20% - Accent4 4 2 2 4 2 2 2" xfId="15148" xr:uid="{00000000-0005-0000-0000-000050180000}"/>
    <cellStyle name="20% - Accent4 4 2 2 4 2 2 3" xfId="15149" xr:uid="{00000000-0005-0000-0000-000051180000}"/>
    <cellStyle name="20% - Accent4 4 2 2 4 2 3" xfId="15150" xr:uid="{00000000-0005-0000-0000-000052180000}"/>
    <cellStyle name="20% - Accent4 4 2 2 4 2 3 2" xfId="15151" xr:uid="{00000000-0005-0000-0000-000053180000}"/>
    <cellStyle name="20% - Accent4 4 2 2 4 2 3 3" xfId="15152" xr:uid="{00000000-0005-0000-0000-000054180000}"/>
    <cellStyle name="20% - Accent4 4 2 2 4 2 4" xfId="15153" xr:uid="{00000000-0005-0000-0000-000055180000}"/>
    <cellStyle name="20% - Accent4 4 2 2 4 2 4 2" xfId="15154" xr:uid="{00000000-0005-0000-0000-000056180000}"/>
    <cellStyle name="20% - Accent4 4 2 2 4 2 5" xfId="15155" xr:uid="{00000000-0005-0000-0000-000057180000}"/>
    <cellStyle name="20% - Accent4 4 2 2 4 2 6" xfId="15156" xr:uid="{00000000-0005-0000-0000-000058180000}"/>
    <cellStyle name="20% - Accent4 4 2 2 4 3" xfId="15157" xr:uid="{00000000-0005-0000-0000-000059180000}"/>
    <cellStyle name="20% - Accent4 4 2 2 4 3 2" xfId="15158" xr:uid="{00000000-0005-0000-0000-00005A180000}"/>
    <cellStyle name="20% - Accent4 4 2 2 4 3 2 2" xfId="15159" xr:uid="{00000000-0005-0000-0000-00005B180000}"/>
    <cellStyle name="20% - Accent4 4 2 2 4 3 2 3" xfId="15160" xr:uid="{00000000-0005-0000-0000-00005C180000}"/>
    <cellStyle name="20% - Accent4 4 2 2 4 3 3" xfId="15161" xr:uid="{00000000-0005-0000-0000-00005D180000}"/>
    <cellStyle name="20% - Accent4 4 2 2 4 3 3 2" xfId="15162" xr:uid="{00000000-0005-0000-0000-00005E180000}"/>
    <cellStyle name="20% - Accent4 4 2 2 4 3 3 3" xfId="15163" xr:uid="{00000000-0005-0000-0000-00005F180000}"/>
    <cellStyle name="20% - Accent4 4 2 2 4 3 4" xfId="15164" xr:uid="{00000000-0005-0000-0000-000060180000}"/>
    <cellStyle name="20% - Accent4 4 2 2 4 3 4 2" xfId="15165" xr:uid="{00000000-0005-0000-0000-000061180000}"/>
    <cellStyle name="20% - Accent4 4 2 2 4 3 5" xfId="15166" xr:uid="{00000000-0005-0000-0000-000062180000}"/>
    <cellStyle name="20% - Accent4 4 2 2 4 3 6" xfId="15167" xr:uid="{00000000-0005-0000-0000-000063180000}"/>
    <cellStyle name="20% - Accent4 4 2 2 4 4" xfId="15168" xr:uid="{00000000-0005-0000-0000-000064180000}"/>
    <cellStyle name="20% - Accent4 4 2 2 4 4 2" xfId="15169" xr:uid="{00000000-0005-0000-0000-000065180000}"/>
    <cellStyle name="20% - Accent4 4 2 2 4 4 2 2" xfId="15170" xr:uid="{00000000-0005-0000-0000-000066180000}"/>
    <cellStyle name="20% - Accent4 4 2 2 4 4 2 3" xfId="15171" xr:uid="{00000000-0005-0000-0000-000067180000}"/>
    <cellStyle name="20% - Accent4 4 2 2 4 4 3" xfId="15172" xr:uid="{00000000-0005-0000-0000-000068180000}"/>
    <cellStyle name="20% - Accent4 4 2 2 4 4 3 2" xfId="15173" xr:uid="{00000000-0005-0000-0000-000069180000}"/>
    <cellStyle name="20% - Accent4 4 2 2 4 4 4" xfId="15174" xr:uid="{00000000-0005-0000-0000-00006A180000}"/>
    <cellStyle name="20% - Accent4 4 2 2 4 4 5" xfId="15175" xr:uid="{00000000-0005-0000-0000-00006B180000}"/>
    <cellStyle name="20% - Accent4 4 2 2 4 5" xfId="15176" xr:uid="{00000000-0005-0000-0000-00006C180000}"/>
    <cellStyle name="20% - Accent4 4 2 2 4 5 2" xfId="15177" xr:uid="{00000000-0005-0000-0000-00006D180000}"/>
    <cellStyle name="20% - Accent4 4 2 2 4 5 3" xfId="15178" xr:uid="{00000000-0005-0000-0000-00006E180000}"/>
    <cellStyle name="20% - Accent4 4 2 2 4 6" xfId="15179" xr:uid="{00000000-0005-0000-0000-00006F180000}"/>
    <cellStyle name="20% - Accent4 4 2 2 4 6 2" xfId="15180" xr:uid="{00000000-0005-0000-0000-000070180000}"/>
    <cellStyle name="20% - Accent4 4 2 2 4 6 3" xfId="15181" xr:uid="{00000000-0005-0000-0000-000071180000}"/>
    <cellStyle name="20% - Accent4 4 2 2 4 7" xfId="15182" xr:uid="{00000000-0005-0000-0000-000072180000}"/>
    <cellStyle name="20% - Accent4 4 2 2 4 7 2" xfId="15183" xr:uid="{00000000-0005-0000-0000-000073180000}"/>
    <cellStyle name="20% - Accent4 4 2 2 4 8" xfId="15184" xr:uid="{00000000-0005-0000-0000-000074180000}"/>
    <cellStyle name="20% - Accent4 4 2 2 4 9" xfId="15185" xr:uid="{00000000-0005-0000-0000-000075180000}"/>
    <cellStyle name="20% - Accent4 4 2 2 5" xfId="852" xr:uid="{00000000-0005-0000-0000-000076180000}"/>
    <cellStyle name="20% - Accent4 4 2 2 5 2" xfId="15186" xr:uid="{00000000-0005-0000-0000-000077180000}"/>
    <cellStyle name="20% - Accent4 4 2 2 5 2 2" xfId="15187" xr:uid="{00000000-0005-0000-0000-000078180000}"/>
    <cellStyle name="20% - Accent4 4 2 2 5 2 2 2" xfId="15188" xr:uid="{00000000-0005-0000-0000-000079180000}"/>
    <cellStyle name="20% - Accent4 4 2 2 5 2 2 3" xfId="15189" xr:uid="{00000000-0005-0000-0000-00007A180000}"/>
    <cellStyle name="20% - Accent4 4 2 2 5 2 3" xfId="15190" xr:uid="{00000000-0005-0000-0000-00007B180000}"/>
    <cellStyle name="20% - Accent4 4 2 2 5 2 3 2" xfId="15191" xr:uid="{00000000-0005-0000-0000-00007C180000}"/>
    <cellStyle name="20% - Accent4 4 2 2 5 2 3 3" xfId="15192" xr:uid="{00000000-0005-0000-0000-00007D180000}"/>
    <cellStyle name="20% - Accent4 4 2 2 5 2 4" xfId="15193" xr:uid="{00000000-0005-0000-0000-00007E180000}"/>
    <cellStyle name="20% - Accent4 4 2 2 5 2 4 2" xfId="15194" xr:uid="{00000000-0005-0000-0000-00007F180000}"/>
    <cellStyle name="20% - Accent4 4 2 2 5 2 5" xfId="15195" xr:uid="{00000000-0005-0000-0000-000080180000}"/>
    <cellStyle name="20% - Accent4 4 2 2 5 2 6" xfId="15196" xr:uid="{00000000-0005-0000-0000-000081180000}"/>
    <cellStyle name="20% - Accent4 4 2 2 5 3" xfId="15197" xr:uid="{00000000-0005-0000-0000-000082180000}"/>
    <cellStyle name="20% - Accent4 4 2 2 5 3 2" xfId="15198" xr:uid="{00000000-0005-0000-0000-000083180000}"/>
    <cellStyle name="20% - Accent4 4 2 2 5 3 2 2" xfId="15199" xr:uid="{00000000-0005-0000-0000-000084180000}"/>
    <cellStyle name="20% - Accent4 4 2 2 5 3 2 3" xfId="15200" xr:uid="{00000000-0005-0000-0000-000085180000}"/>
    <cellStyle name="20% - Accent4 4 2 2 5 3 3" xfId="15201" xr:uid="{00000000-0005-0000-0000-000086180000}"/>
    <cellStyle name="20% - Accent4 4 2 2 5 3 3 2" xfId="15202" xr:uid="{00000000-0005-0000-0000-000087180000}"/>
    <cellStyle name="20% - Accent4 4 2 2 5 3 3 3" xfId="15203" xr:uid="{00000000-0005-0000-0000-000088180000}"/>
    <cellStyle name="20% - Accent4 4 2 2 5 3 4" xfId="15204" xr:uid="{00000000-0005-0000-0000-000089180000}"/>
    <cellStyle name="20% - Accent4 4 2 2 5 3 4 2" xfId="15205" xr:uid="{00000000-0005-0000-0000-00008A180000}"/>
    <cellStyle name="20% - Accent4 4 2 2 5 3 5" xfId="15206" xr:uid="{00000000-0005-0000-0000-00008B180000}"/>
    <cellStyle name="20% - Accent4 4 2 2 5 3 6" xfId="15207" xr:uid="{00000000-0005-0000-0000-00008C180000}"/>
    <cellStyle name="20% - Accent4 4 2 2 5 4" xfId="15208" xr:uid="{00000000-0005-0000-0000-00008D180000}"/>
    <cellStyle name="20% - Accent4 4 2 2 5 4 2" xfId="15209" xr:uid="{00000000-0005-0000-0000-00008E180000}"/>
    <cellStyle name="20% - Accent4 4 2 2 5 4 2 2" xfId="15210" xr:uid="{00000000-0005-0000-0000-00008F180000}"/>
    <cellStyle name="20% - Accent4 4 2 2 5 4 2 3" xfId="15211" xr:uid="{00000000-0005-0000-0000-000090180000}"/>
    <cellStyle name="20% - Accent4 4 2 2 5 4 3" xfId="15212" xr:uid="{00000000-0005-0000-0000-000091180000}"/>
    <cellStyle name="20% - Accent4 4 2 2 5 4 3 2" xfId="15213" xr:uid="{00000000-0005-0000-0000-000092180000}"/>
    <cellStyle name="20% - Accent4 4 2 2 5 4 4" xfId="15214" xr:uid="{00000000-0005-0000-0000-000093180000}"/>
    <cellStyle name="20% - Accent4 4 2 2 5 4 5" xfId="15215" xr:uid="{00000000-0005-0000-0000-000094180000}"/>
    <cellStyle name="20% - Accent4 4 2 2 5 5" xfId="15216" xr:uid="{00000000-0005-0000-0000-000095180000}"/>
    <cellStyle name="20% - Accent4 4 2 2 5 5 2" xfId="15217" xr:uid="{00000000-0005-0000-0000-000096180000}"/>
    <cellStyle name="20% - Accent4 4 2 2 5 5 3" xfId="15218" xr:uid="{00000000-0005-0000-0000-000097180000}"/>
    <cellStyle name="20% - Accent4 4 2 2 5 6" xfId="15219" xr:uid="{00000000-0005-0000-0000-000098180000}"/>
    <cellStyle name="20% - Accent4 4 2 2 5 6 2" xfId="15220" xr:uid="{00000000-0005-0000-0000-000099180000}"/>
    <cellStyle name="20% - Accent4 4 2 2 5 6 3" xfId="15221" xr:uid="{00000000-0005-0000-0000-00009A180000}"/>
    <cellStyle name="20% - Accent4 4 2 2 5 7" xfId="15222" xr:uid="{00000000-0005-0000-0000-00009B180000}"/>
    <cellStyle name="20% - Accent4 4 2 2 5 7 2" xfId="15223" xr:uid="{00000000-0005-0000-0000-00009C180000}"/>
    <cellStyle name="20% - Accent4 4 2 2 5 8" xfId="15224" xr:uid="{00000000-0005-0000-0000-00009D180000}"/>
    <cellStyle name="20% - Accent4 4 2 2 5 9" xfId="15225" xr:uid="{00000000-0005-0000-0000-00009E180000}"/>
    <cellStyle name="20% - Accent4 4 2 2 6" xfId="853" xr:uid="{00000000-0005-0000-0000-00009F180000}"/>
    <cellStyle name="20% - Accent4 4 2 2 6 2" xfId="15226" xr:uid="{00000000-0005-0000-0000-0000A0180000}"/>
    <cellStyle name="20% - Accent4 4 2 2 6 2 2" xfId="15227" xr:uid="{00000000-0005-0000-0000-0000A1180000}"/>
    <cellStyle name="20% - Accent4 4 2 2 6 2 3" xfId="15228" xr:uid="{00000000-0005-0000-0000-0000A2180000}"/>
    <cellStyle name="20% - Accent4 4 2 2 6 3" xfId="15229" xr:uid="{00000000-0005-0000-0000-0000A3180000}"/>
    <cellStyle name="20% - Accent4 4 2 2 6 3 2" xfId="15230" xr:uid="{00000000-0005-0000-0000-0000A4180000}"/>
    <cellStyle name="20% - Accent4 4 2 2 6 3 3" xfId="15231" xr:uid="{00000000-0005-0000-0000-0000A5180000}"/>
    <cellStyle name="20% - Accent4 4 2 2 6 4" xfId="15232" xr:uid="{00000000-0005-0000-0000-0000A6180000}"/>
    <cellStyle name="20% - Accent4 4 2 2 6 4 2" xfId="15233" xr:uid="{00000000-0005-0000-0000-0000A7180000}"/>
    <cellStyle name="20% - Accent4 4 2 2 6 5" xfId="15234" xr:uid="{00000000-0005-0000-0000-0000A8180000}"/>
    <cellStyle name="20% - Accent4 4 2 2 6 6" xfId="15235" xr:uid="{00000000-0005-0000-0000-0000A9180000}"/>
    <cellStyle name="20% - Accent4 4 2 2 7" xfId="8884" xr:uid="{00000000-0005-0000-0000-0000AA180000}"/>
    <cellStyle name="20% - Accent4 4 2 2 7 2" xfId="15236" xr:uid="{00000000-0005-0000-0000-0000AB180000}"/>
    <cellStyle name="20% - Accent4 4 2 2 7 2 2" xfId="15237" xr:uid="{00000000-0005-0000-0000-0000AC180000}"/>
    <cellStyle name="20% - Accent4 4 2 2 7 2 3" xfId="15238" xr:uid="{00000000-0005-0000-0000-0000AD180000}"/>
    <cellStyle name="20% - Accent4 4 2 2 7 3" xfId="15239" xr:uid="{00000000-0005-0000-0000-0000AE180000}"/>
    <cellStyle name="20% - Accent4 4 2 2 7 3 2" xfId="15240" xr:uid="{00000000-0005-0000-0000-0000AF180000}"/>
    <cellStyle name="20% - Accent4 4 2 2 7 3 3" xfId="15241" xr:uid="{00000000-0005-0000-0000-0000B0180000}"/>
    <cellStyle name="20% - Accent4 4 2 2 7 4" xfId="15242" xr:uid="{00000000-0005-0000-0000-0000B1180000}"/>
    <cellStyle name="20% - Accent4 4 2 2 7 4 2" xfId="15243" xr:uid="{00000000-0005-0000-0000-0000B2180000}"/>
    <cellStyle name="20% - Accent4 4 2 2 7 5" xfId="15244" xr:uid="{00000000-0005-0000-0000-0000B3180000}"/>
    <cellStyle name="20% - Accent4 4 2 2 7 6" xfId="15245" xr:uid="{00000000-0005-0000-0000-0000B4180000}"/>
    <cellStyle name="20% - Accent4 4 2 2 8" xfId="15246" xr:uid="{00000000-0005-0000-0000-0000B5180000}"/>
    <cellStyle name="20% - Accent4 4 2 2 8 2" xfId="15247" xr:uid="{00000000-0005-0000-0000-0000B6180000}"/>
    <cellStyle name="20% - Accent4 4 2 2 8 2 2" xfId="15248" xr:uid="{00000000-0005-0000-0000-0000B7180000}"/>
    <cellStyle name="20% - Accent4 4 2 2 8 2 3" xfId="15249" xr:uid="{00000000-0005-0000-0000-0000B8180000}"/>
    <cellStyle name="20% - Accent4 4 2 2 8 3" xfId="15250" xr:uid="{00000000-0005-0000-0000-0000B9180000}"/>
    <cellStyle name="20% - Accent4 4 2 2 8 3 2" xfId="15251" xr:uid="{00000000-0005-0000-0000-0000BA180000}"/>
    <cellStyle name="20% - Accent4 4 2 2 8 4" xfId="15252" xr:uid="{00000000-0005-0000-0000-0000BB180000}"/>
    <cellStyle name="20% - Accent4 4 2 2 8 5" xfId="15253" xr:uid="{00000000-0005-0000-0000-0000BC180000}"/>
    <cellStyle name="20% - Accent4 4 2 2 9" xfId="15254" xr:uid="{00000000-0005-0000-0000-0000BD180000}"/>
    <cellStyle name="20% - Accent4 4 2 2 9 2" xfId="15255" xr:uid="{00000000-0005-0000-0000-0000BE180000}"/>
    <cellStyle name="20% - Accent4 4 2 2 9 3" xfId="15256" xr:uid="{00000000-0005-0000-0000-0000BF180000}"/>
    <cellStyle name="20% - Accent4 4 2 3" xfId="854" xr:uid="{00000000-0005-0000-0000-0000C0180000}"/>
    <cellStyle name="20% - Accent4 4 2 3 10" xfId="15257" xr:uid="{00000000-0005-0000-0000-0000C1180000}"/>
    <cellStyle name="20% - Accent4 4 2 3 10 2" xfId="15258" xr:uid="{00000000-0005-0000-0000-0000C2180000}"/>
    <cellStyle name="20% - Accent4 4 2 3 11" xfId="15259" xr:uid="{00000000-0005-0000-0000-0000C3180000}"/>
    <cellStyle name="20% - Accent4 4 2 3 12" xfId="15260" xr:uid="{00000000-0005-0000-0000-0000C4180000}"/>
    <cellStyle name="20% - Accent4 4 2 3 2" xfId="855" xr:uid="{00000000-0005-0000-0000-0000C5180000}"/>
    <cellStyle name="20% - Accent4 4 2 3 2 10" xfId="1526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5262" xr:uid="{00000000-0005-0000-0000-0000C9180000}"/>
    <cellStyle name="20% - Accent4 4 2 3 2 2 2 2 2" xfId="15263" xr:uid="{00000000-0005-0000-0000-0000CA180000}"/>
    <cellStyle name="20% - Accent4 4 2 3 2 2 2 2 3" xfId="15264" xr:uid="{00000000-0005-0000-0000-0000CB180000}"/>
    <cellStyle name="20% - Accent4 4 2 3 2 2 2 3" xfId="15265" xr:uid="{00000000-0005-0000-0000-0000CC180000}"/>
    <cellStyle name="20% - Accent4 4 2 3 2 2 2 3 2" xfId="15266" xr:uid="{00000000-0005-0000-0000-0000CD180000}"/>
    <cellStyle name="20% - Accent4 4 2 3 2 2 2 3 3" xfId="15267" xr:uid="{00000000-0005-0000-0000-0000CE180000}"/>
    <cellStyle name="20% - Accent4 4 2 3 2 2 2 4" xfId="15268" xr:uid="{00000000-0005-0000-0000-0000CF180000}"/>
    <cellStyle name="20% - Accent4 4 2 3 2 2 2 4 2" xfId="15269" xr:uid="{00000000-0005-0000-0000-0000D0180000}"/>
    <cellStyle name="20% - Accent4 4 2 3 2 2 2 5" xfId="15270" xr:uid="{00000000-0005-0000-0000-0000D1180000}"/>
    <cellStyle name="20% - Accent4 4 2 3 2 2 2 6" xfId="15271" xr:uid="{00000000-0005-0000-0000-0000D2180000}"/>
    <cellStyle name="20% - Accent4 4 2 3 2 2 3" xfId="15272" xr:uid="{00000000-0005-0000-0000-0000D3180000}"/>
    <cellStyle name="20% - Accent4 4 2 3 2 2 3 2" xfId="15273" xr:uid="{00000000-0005-0000-0000-0000D4180000}"/>
    <cellStyle name="20% - Accent4 4 2 3 2 2 3 2 2" xfId="15274" xr:uid="{00000000-0005-0000-0000-0000D5180000}"/>
    <cellStyle name="20% - Accent4 4 2 3 2 2 3 2 3" xfId="15275" xr:uid="{00000000-0005-0000-0000-0000D6180000}"/>
    <cellStyle name="20% - Accent4 4 2 3 2 2 3 3" xfId="15276" xr:uid="{00000000-0005-0000-0000-0000D7180000}"/>
    <cellStyle name="20% - Accent4 4 2 3 2 2 3 3 2" xfId="15277" xr:uid="{00000000-0005-0000-0000-0000D8180000}"/>
    <cellStyle name="20% - Accent4 4 2 3 2 2 3 3 3" xfId="15278" xr:uid="{00000000-0005-0000-0000-0000D9180000}"/>
    <cellStyle name="20% - Accent4 4 2 3 2 2 3 4" xfId="15279" xr:uid="{00000000-0005-0000-0000-0000DA180000}"/>
    <cellStyle name="20% - Accent4 4 2 3 2 2 3 4 2" xfId="15280" xr:uid="{00000000-0005-0000-0000-0000DB180000}"/>
    <cellStyle name="20% - Accent4 4 2 3 2 2 3 5" xfId="15281" xr:uid="{00000000-0005-0000-0000-0000DC180000}"/>
    <cellStyle name="20% - Accent4 4 2 3 2 2 3 6" xfId="15282" xr:uid="{00000000-0005-0000-0000-0000DD180000}"/>
    <cellStyle name="20% - Accent4 4 2 3 2 2 4" xfId="15283" xr:uid="{00000000-0005-0000-0000-0000DE180000}"/>
    <cellStyle name="20% - Accent4 4 2 3 2 2 4 2" xfId="15284" xr:uid="{00000000-0005-0000-0000-0000DF180000}"/>
    <cellStyle name="20% - Accent4 4 2 3 2 2 4 2 2" xfId="15285" xr:uid="{00000000-0005-0000-0000-0000E0180000}"/>
    <cellStyle name="20% - Accent4 4 2 3 2 2 4 2 3" xfId="15286" xr:uid="{00000000-0005-0000-0000-0000E1180000}"/>
    <cellStyle name="20% - Accent4 4 2 3 2 2 4 3" xfId="15287" xr:uid="{00000000-0005-0000-0000-0000E2180000}"/>
    <cellStyle name="20% - Accent4 4 2 3 2 2 4 3 2" xfId="15288" xr:uid="{00000000-0005-0000-0000-0000E3180000}"/>
    <cellStyle name="20% - Accent4 4 2 3 2 2 4 4" xfId="15289" xr:uid="{00000000-0005-0000-0000-0000E4180000}"/>
    <cellStyle name="20% - Accent4 4 2 3 2 2 4 5" xfId="15290" xr:uid="{00000000-0005-0000-0000-0000E5180000}"/>
    <cellStyle name="20% - Accent4 4 2 3 2 2 5" xfId="15291" xr:uid="{00000000-0005-0000-0000-0000E6180000}"/>
    <cellStyle name="20% - Accent4 4 2 3 2 2 5 2" xfId="15292" xr:uid="{00000000-0005-0000-0000-0000E7180000}"/>
    <cellStyle name="20% - Accent4 4 2 3 2 2 5 3" xfId="15293" xr:uid="{00000000-0005-0000-0000-0000E8180000}"/>
    <cellStyle name="20% - Accent4 4 2 3 2 2 6" xfId="15294" xr:uid="{00000000-0005-0000-0000-0000E9180000}"/>
    <cellStyle name="20% - Accent4 4 2 3 2 2 6 2" xfId="15295" xr:uid="{00000000-0005-0000-0000-0000EA180000}"/>
    <cellStyle name="20% - Accent4 4 2 3 2 2 6 3" xfId="15296" xr:uid="{00000000-0005-0000-0000-0000EB180000}"/>
    <cellStyle name="20% - Accent4 4 2 3 2 2 7" xfId="15297" xr:uid="{00000000-0005-0000-0000-0000EC180000}"/>
    <cellStyle name="20% - Accent4 4 2 3 2 2 7 2" xfId="15298" xr:uid="{00000000-0005-0000-0000-0000ED180000}"/>
    <cellStyle name="20% - Accent4 4 2 3 2 2 8" xfId="15299" xr:uid="{00000000-0005-0000-0000-0000EE180000}"/>
    <cellStyle name="20% - Accent4 4 2 3 2 2 9" xfId="15300" xr:uid="{00000000-0005-0000-0000-0000EF180000}"/>
    <cellStyle name="20% - Accent4 4 2 3 2 3" xfId="858" xr:uid="{00000000-0005-0000-0000-0000F0180000}"/>
    <cellStyle name="20% - Accent4 4 2 3 2 3 2" xfId="15301" xr:uid="{00000000-0005-0000-0000-0000F1180000}"/>
    <cellStyle name="20% - Accent4 4 2 3 2 3 2 2" xfId="15302" xr:uid="{00000000-0005-0000-0000-0000F2180000}"/>
    <cellStyle name="20% - Accent4 4 2 3 2 3 2 3" xfId="15303" xr:uid="{00000000-0005-0000-0000-0000F3180000}"/>
    <cellStyle name="20% - Accent4 4 2 3 2 3 3" xfId="15304" xr:uid="{00000000-0005-0000-0000-0000F4180000}"/>
    <cellStyle name="20% - Accent4 4 2 3 2 3 3 2" xfId="15305" xr:uid="{00000000-0005-0000-0000-0000F5180000}"/>
    <cellStyle name="20% - Accent4 4 2 3 2 3 3 3" xfId="15306" xr:uid="{00000000-0005-0000-0000-0000F6180000}"/>
    <cellStyle name="20% - Accent4 4 2 3 2 3 4" xfId="15307" xr:uid="{00000000-0005-0000-0000-0000F7180000}"/>
    <cellStyle name="20% - Accent4 4 2 3 2 3 4 2" xfId="15308" xr:uid="{00000000-0005-0000-0000-0000F8180000}"/>
    <cellStyle name="20% - Accent4 4 2 3 2 3 5" xfId="15309" xr:uid="{00000000-0005-0000-0000-0000F9180000}"/>
    <cellStyle name="20% - Accent4 4 2 3 2 3 6" xfId="15310" xr:uid="{00000000-0005-0000-0000-0000FA180000}"/>
    <cellStyle name="20% - Accent4 4 2 3 2 4" xfId="8885" xr:uid="{00000000-0005-0000-0000-0000FB180000}"/>
    <cellStyle name="20% - Accent4 4 2 3 2 4 2" xfId="15311" xr:uid="{00000000-0005-0000-0000-0000FC180000}"/>
    <cellStyle name="20% - Accent4 4 2 3 2 4 2 2" xfId="15312" xr:uid="{00000000-0005-0000-0000-0000FD180000}"/>
    <cellStyle name="20% - Accent4 4 2 3 2 4 2 3" xfId="15313" xr:uid="{00000000-0005-0000-0000-0000FE180000}"/>
    <cellStyle name="20% - Accent4 4 2 3 2 4 3" xfId="15314" xr:uid="{00000000-0005-0000-0000-0000FF180000}"/>
    <cellStyle name="20% - Accent4 4 2 3 2 4 3 2" xfId="15315" xr:uid="{00000000-0005-0000-0000-000000190000}"/>
    <cellStyle name="20% - Accent4 4 2 3 2 4 3 3" xfId="15316" xr:uid="{00000000-0005-0000-0000-000001190000}"/>
    <cellStyle name="20% - Accent4 4 2 3 2 4 4" xfId="15317" xr:uid="{00000000-0005-0000-0000-000002190000}"/>
    <cellStyle name="20% - Accent4 4 2 3 2 4 4 2" xfId="15318" xr:uid="{00000000-0005-0000-0000-000003190000}"/>
    <cellStyle name="20% - Accent4 4 2 3 2 4 5" xfId="15319" xr:uid="{00000000-0005-0000-0000-000004190000}"/>
    <cellStyle name="20% - Accent4 4 2 3 2 4 6" xfId="15320" xr:uid="{00000000-0005-0000-0000-000005190000}"/>
    <cellStyle name="20% - Accent4 4 2 3 2 5" xfId="15321" xr:uid="{00000000-0005-0000-0000-000006190000}"/>
    <cellStyle name="20% - Accent4 4 2 3 2 5 2" xfId="15322" xr:uid="{00000000-0005-0000-0000-000007190000}"/>
    <cellStyle name="20% - Accent4 4 2 3 2 5 2 2" xfId="15323" xr:uid="{00000000-0005-0000-0000-000008190000}"/>
    <cellStyle name="20% - Accent4 4 2 3 2 5 2 3" xfId="15324" xr:uid="{00000000-0005-0000-0000-000009190000}"/>
    <cellStyle name="20% - Accent4 4 2 3 2 5 3" xfId="15325" xr:uid="{00000000-0005-0000-0000-00000A190000}"/>
    <cellStyle name="20% - Accent4 4 2 3 2 5 3 2" xfId="15326" xr:uid="{00000000-0005-0000-0000-00000B190000}"/>
    <cellStyle name="20% - Accent4 4 2 3 2 5 4" xfId="15327" xr:uid="{00000000-0005-0000-0000-00000C190000}"/>
    <cellStyle name="20% - Accent4 4 2 3 2 5 5" xfId="15328" xr:uid="{00000000-0005-0000-0000-00000D190000}"/>
    <cellStyle name="20% - Accent4 4 2 3 2 6" xfId="15329" xr:uid="{00000000-0005-0000-0000-00000E190000}"/>
    <cellStyle name="20% - Accent4 4 2 3 2 6 2" xfId="15330" xr:uid="{00000000-0005-0000-0000-00000F190000}"/>
    <cellStyle name="20% - Accent4 4 2 3 2 6 3" xfId="15331" xr:uid="{00000000-0005-0000-0000-000010190000}"/>
    <cellStyle name="20% - Accent4 4 2 3 2 7" xfId="15332" xr:uid="{00000000-0005-0000-0000-000011190000}"/>
    <cellStyle name="20% - Accent4 4 2 3 2 7 2" xfId="15333" xr:uid="{00000000-0005-0000-0000-000012190000}"/>
    <cellStyle name="20% - Accent4 4 2 3 2 7 3" xfId="15334" xr:uid="{00000000-0005-0000-0000-000013190000}"/>
    <cellStyle name="20% - Accent4 4 2 3 2 8" xfId="15335" xr:uid="{00000000-0005-0000-0000-000014190000}"/>
    <cellStyle name="20% - Accent4 4 2 3 2 8 2" xfId="15336" xr:uid="{00000000-0005-0000-0000-000015190000}"/>
    <cellStyle name="20% - Accent4 4 2 3 2 9" xfId="1533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5338" xr:uid="{00000000-0005-0000-0000-000019190000}"/>
    <cellStyle name="20% - Accent4 4 2 3 3 2 2 2" xfId="15339" xr:uid="{00000000-0005-0000-0000-00001A190000}"/>
    <cellStyle name="20% - Accent4 4 2 3 3 2 2 3" xfId="15340" xr:uid="{00000000-0005-0000-0000-00001B190000}"/>
    <cellStyle name="20% - Accent4 4 2 3 3 2 3" xfId="15341" xr:uid="{00000000-0005-0000-0000-00001C190000}"/>
    <cellStyle name="20% - Accent4 4 2 3 3 2 3 2" xfId="15342" xr:uid="{00000000-0005-0000-0000-00001D190000}"/>
    <cellStyle name="20% - Accent4 4 2 3 3 2 3 3" xfId="15343" xr:uid="{00000000-0005-0000-0000-00001E190000}"/>
    <cellStyle name="20% - Accent4 4 2 3 3 2 4" xfId="15344" xr:uid="{00000000-0005-0000-0000-00001F190000}"/>
    <cellStyle name="20% - Accent4 4 2 3 3 2 4 2" xfId="15345" xr:uid="{00000000-0005-0000-0000-000020190000}"/>
    <cellStyle name="20% - Accent4 4 2 3 3 2 5" xfId="15346" xr:uid="{00000000-0005-0000-0000-000021190000}"/>
    <cellStyle name="20% - Accent4 4 2 3 3 2 6" xfId="15347" xr:uid="{00000000-0005-0000-0000-000022190000}"/>
    <cellStyle name="20% - Accent4 4 2 3 3 3" xfId="15348" xr:uid="{00000000-0005-0000-0000-000023190000}"/>
    <cellStyle name="20% - Accent4 4 2 3 3 3 2" xfId="15349" xr:uid="{00000000-0005-0000-0000-000024190000}"/>
    <cellStyle name="20% - Accent4 4 2 3 3 3 2 2" xfId="15350" xr:uid="{00000000-0005-0000-0000-000025190000}"/>
    <cellStyle name="20% - Accent4 4 2 3 3 3 2 3" xfId="15351" xr:uid="{00000000-0005-0000-0000-000026190000}"/>
    <cellStyle name="20% - Accent4 4 2 3 3 3 3" xfId="15352" xr:uid="{00000000-0005-0000-0000-000027190000}"/>
    <cellStyle name="20% - Accent4 4 2 3 3 3 3 2" xfId="15353" xr:uid="{00000000-0005-0000-0000-000028190000}"/>
    <cellStyle name="20% - Accent4 4 2 3 3 3 3 3" xfId="15354" xr:uid="{00000000-0005-0000-0000-000029190000}"/>
    <cellStyle name="20% - Accent4 4 2 3 3 3 4" xfId="15355" xr:uid="{00000000-0005-0000-0000-00002A190000}"/>
    <cellStyle name="20% - Accent4 4 2 3 3 3 4 2" xfId="15356" xr:uid="{00000000-0005-0000-0000-00002B190000}"/>
    <cellStyle name="20% - Accent4 4 2 3 3 3 5" xfId="15357" xr:uid="{00000000-0005-0000-0000-00002C190000}"/>
    <cellStyle name="20% - Accent4 4 2 3 3 3 6" xfId="15358" xr:uid="{00000000-0005-0000-0000-00002D190000}"/>
    <cellStyle name="20% - Accent4 4 2 3 3 4" xfId="15359" xr:uid="{00000000-0005-0000-0000-00002E190000}"/>
    <cellStyle name="20% - Accent4 4 2 3 3 4 2" xfId="15360" xr:uid="{00000000-0005-0000-0000-00002F190000}"/>
    <cellStyle name="20% - Accent4 4 2 3 3 4 2 2" xfId="15361" xr:uid="{00000000-0005-0000-0000-000030190000}"/>
    <cellStyle name="20% - Accent4 4 2 3 3 4 2 3" xfId="15362" xr:uid="{00000000-0005-0000-0000-000031190000}"/>
    <cellStyle name="20% - Accent4 4 2 3 3 4 3" xfId="15363" xr:uid="{00000000-0005-0000-0000-000032190000}"/>
    <cellStyle name="20% - Accent4 4 2 3 3 4 3 2" xfId="15364" xr:uid="{00000000-0005-0000-0000-000033190000}"/>
    <cellStyle name="20% - Accent4 4 2 3 3 4 4" xfId="15365" xr:uid="{00000000-0005-0000-0000-000034190000}"/>
    <cellStyle name="20% - Accent4 4 2 3 3 4 5" xfId="15366" xr:uid="{00000000-0005-0000-0000-000035190000}"/>
    <cellStyle name="20% - Accent4 4 2 3 3 5" xfId="15367" xr:uid="{00000000-0005-0000-0000-000036190000}"/>
    <cellStyle name="20% - Accent4 4 2 3 3 5 2" xfId="15368" xr:uid="{00000000-0005-0000-0000-000037190000}"/>
    <cellStyle name="20% - Accent4 4 2 3 3 5 3" xfId="15369" xr:uid="{00000000-0005-0000-0000-000038190000}"/>
    <cellStyle name="20% - Accent4 4 2 3 3 6" xfId="15370" xr:uid="{00000000-0005-0000-0000-000039190000}"/>
    <cellStyle name="20% - Accent4 4 2 3 3 6 2" xfId="15371" xr:uid="{00000000-0005-0000-0000-00003A190000}"/>
    <cellStyle name="20% - Accent4 4 2 3 3 6 3" xfId="15372" xr:uid="{00000000-0005-0000-0000-00003B190000}"/>
    <cellStyle name="20% - Accent4 4 2 3 3 7" xfId="15373" xr:uid="{00000000-0005-0000-0000-00003C190000}"/>
    <cellStyle name="20% - Accent4 4 2 3 3 7 2" xfId="15374" xr:uid="{00000000-0005-0000-0000-00003D190000}"/>
    <cellStyle name="20% - Accent4 4 2 3 3 8" xfId="15375" xr:uid="{00000000-0005-0000-0000-00003E190000}"/>
    <cellStyle name="20% - Accent4 4 2 3 3 9" xfId="15376" xr:uid="{00000000-0005-0000-0000-00003F190000}"/>
    <cellStyle name="20% - Accent4 4 2 3 4" xfId="861" xr:uid="{00000000-0005-0000-0000-000040190000}"/>
    <cellStyle name="20% - Accent4 4 2 3 4 2" xfId="15377" xr:uid="{00000000-0005-0000-0000-000041190000}"/>
    <cellStyle name="20% - Accent4 4 2 3 4 2 2" xfId="15378" xr:uid="{00000000-0005-0000-0000-000042190000}"/>
    <cellStyle name="20% - Accent4 4 2 3 4 2 2 2" xfId="15379" xr:uid="{00000000-0005-0000-0000-000043190000}"/>
    <cellStyle name="20% - Accent4 4 2 3 4 2 2 3" xfId="15380" xr:uid="{00000000-0005-0000-0000-000044190000}"/>
    <cellStyle name="20% - Accent4 4 2 3 4 2 3" xfId="15381" xr:uid="{00000000-0005-0000-0000-000045190000}"/>
    <cellStyle name="20% - Accent4 4 2 3 4 2 3 2" xfId="15382" xr:uid="{00000000-0005-0000-0000-000046190000}"/>
    <cellStyle name="20% - Accent4 4 2 3 4 2 3 3" xfId="15383" xr:uid="{00000000-0005-0000-0000-000047190000}"/>
    <cellStyle name="20% - Accent4 4 2 3 4 2 4" xfId="15384" xr:uid="{00000000-0005-0000-0000-000048190000}"/>
    <cellStyle name="20% - Accent4 4 2 3 4 2 4 2" xfId="15385" xr:uid="{00000000-0005-0000-0000-000049190000}"/>
    <cellStyle name="20% - Accent4 4 2 3 4 2 5" xfId="15386" xr:uid="{00000000-0005-0000-0000-00004A190000}"/>
    <cellStyle name="20% - Accent4 4 2 3 4 2 6" xfId="15387" xr:uid="{00000000-0005-0000-0000-00004B190000}"/>
    <cellStyle name="20% - Accent4 4 2 3 4 3" xfId="15388" xr:uid="{00000000-0005-0000-0000-00004C190000}"/>
    <cellStyle name="20% - Accent4 4 2 3 4 3 2" xfId="15389" xr:uid="{00000000-0005-0000-0000-00004D190000}"/>
    <cellStyle name="20% - Accent4 4 2 3 4 3 2 2" xfId="15390" xr:uid="{00000000-0005-0000-0000-00004E190000}"/>
    <cellStyle name="20% - Accent4 4 2 3 4 3 2 3" xfId="15391" xr:uid="{00000000-0005-0000-0000-00004F190000}"/>
    <cellStyle name="20% - Accent4 4 2 3 4 3 3" xfId="15392" xr:uid="{00000000-0005-0000-0000-000050190000}"/>
    <cellStyle name="20% - Accent4 4 2 3 4 3 3 2" xfId="15393" xr:uid="{00000000-0005-0000-0000-000051190000}"/>
    <cellStyle name="20% - Accent4 4 2 3 4 3 3 3" xfId="15394" xr:uid="{00000000-0005-0000-0000-000052190000}"/>
    <cellStyle name="20% - Accent4 4 2 3 4 3 4" xfId="15395" xr:uid="{00000000-0005-0000-0000-000053190000}"/>
    <cellStyle name="20% - Accent4 4 2 3 4 3 4 2" xfId="15396" xr:uid="{00000000-0005-0000-0000-000054190000}"/>
    <cellStyle name="20% - Accent4 4 2 3 4 3 5" xfId="15397" xr:uid="{00000000-0005-0000-0000-000055190000}"/>
    <cellStyle name="20% - Accent4 4 2 3 4 3 6" xfId="15398" xr:uid="{00000000-0005-0000-0000-000056190000}"/>
    <cellStyle name="20% - Accent4 4 2 3 4 4" xfId="15399" xr:uid="{00000000-0005-0000-0000-000057190000}"/>
    <cellStyle name="20% - Accent4 4 2 3 4 4 2" xfId="15400" xr:uid="{00000000-0005-0000-0000-000058190000}"/>
    <cellStyle name="20% - Accent4 4 2 3 4 4 2 2" xfId="15401" xr:uid="{00000000-0005-0000-0000-000059190000}"/>
    <cellStyle name="20% - Accent4 4 2 3 4 4 2 3" xfId="15402" xr:uid="{00000000-0005-0000-0000-00005A190000}"/>
    <cellStyle name="20% - Accent4 4 2 3 4 4 3" xfId="15403" xr:uid="{00000000-0005-0000-0000-00005B190000}"/>
    <cellStyle name="20% - Accent4 4 2 3 4 4 3 2" xfId="15404" xr:uid="{00000000-0005-0000-0000-00005C190000}"/>
    <cellStyle name="20% - Accent4 4 2 3 4 4 4" xfId="15405" xr:uid="{00000000-0005-0000-0000-00005D190000}"/>
    <cellStyle name="20% - Accent4 4 2 3 4 4 5" xfId="15406" xr:uid="{00000000-0005-0000-0000-00005E190000}"/>
    <cellStyle name="20% - Accent4 4 2 3 4 5" xfId="15407" xr:uid="{00000000-0005-0000-0000-00005F190000}"/>
    <cellStyle name="20% - Accent4 4 2 3 4 5 2" xfId="15408" xr:uid="{00000000-0005-0000-0000-000060190000}"/>
    <cellStyle name="20% - Accent4 4 2 3 4 5 3" xfId="15409" xr:uid="{00000000-0005-0000-0000-000061190000}"/>
    <cellStyle name="20% - Accent4 4 2 3 4 6" xfId="15410" xr:uid="{00000000-0005-0000-0000-000062190000}"/>
    <cellStyle name="20% - Accent4 4 2 3 4 6 2" xfId="15411" xr:uid="{00000000-0005-0000-0000-000063190000}"/>
    <cellStyle name="20% - Accent4 4 2 3 4 6 3" xfId="15412" xr:uid="{00000000-0005-0000-0000-000064190000}"/>
    <cellStyle name="20% - Accent4 4 2 3 4 7" xfId="15413" xr:uid="{00000000-0005-0000-0000-000065190000}"/>
    <cellStyle name="20% - Accent4 4 2 3 4 7 2" xfId="15414" xr:uid="{00000000-0005-0000-0000-000066190000}"/>
    <cellStyle name="20% - Accent4 4 2 3 4 8" xfId="15415" xr:uid="{00000000-0005-0000-0000-000067190000}"/>
    <cellStyle name="20% - Accent4 4 2 3 4 9" xfId="15416" xr:uid="{00000000-0005-0000-0000-000068190000}"/>
    <cellStyle name="20% - Accent4 4 2 3 5" xfId="862" xr:uid="{00000000-0005-0000-0000-000069190000}"/>
    <cellStyle name="20% - Accent4 4 2 3 5 2" xfId="15417" xr:uid="{00000000-0005-0000-0000-00006A190000}"/>
    <cellStyle name="20% - Accent4 4 2 3 5 2 2" xfId="15418" xr:uid="{00000000-0005-0000-0000-00006B190000}"/>
    <cellStyle name="20% - Accent4 4 2 3 5 2 3" xfId="15419" xr:uid="{00000000-0005-0000-0000-00006C190000}"/>
    <cellStyle name="20% - Accent4 4 2 3 5 3" xfId="15420" xr:uid="{00000000-0005-0000-0000-00006D190000}"/>
    <cellStyle name="20% - Accent4 4 2 3 5 3 2" xfId="15421" xr:uid="{00000000-0005-0000-0000-00006E190000}"/>
    <cellStyle name="20% - Accent4 4 2 3 5 3 3" xfId="15422" xr:uid="{00000000-0005-0000-0000-00006F190000}"/>
    <cellStyle name="20% - Accent4 4 2 3 5 4" xfId="15423" xr:uid="{00000000-0005-0000-0000-000070190000}"/>
    <cellStyle name="20% - Accent4 4 2 3 5 4 2" xfId="15424" xr:uid="{00000000-0005-0000-0000-000071190000}"/>
    <cellStyle name="20% - Accent4 4 2 3 5 5" xfId="15425" xr:uid="{00000000-0005-0000-0000-000072190000}"/>
    <cellStyle name="20% - Accent4 4 2 3 5 6" xfId="15426" xr:uid="{00000000-0005-0000-0000-000073190000}"/>
    <cellStyle name="20% - Accent4 4 2 3 6" xfId="8886" xr:uid="{00000000-0005-0000-0000-000074190000}"/>
    <cellStyle name="20% - Accent4 4 2 3 6 2" xfId="15427" xr:uid="{00000000-0005-0000-0000-000075190000}"/>
    <cellStyle name="20% - Accent4 4 2 3 6 2 2" xfId="15428" xr:uid="{00000000-0005-0000-0000-000076190000}"/>
    <cellStyle name="20% - Accent4 4 2 3 6 2 3" xfId="15429" xr:uid="{00000000-0005-0000-0000-000077190000}"/>
    <cellStyle name="20% - Accent4 4 2 3 6 3" xfId="15430" xr:uid="{00000000-0005-0000-0000-000078190000}"/>
    <cellStyle name="20% - Accent4 4 2 3 6 3 2" xfId="15431" xr:uid="{00000000-0005-0000-0000-000079190000}"/>
    <cellStyle name="20% - Accent4 4 2 3 6 3 3" xfId="15432" xr:uid="{00000000-0005-0000-0000-00007A190000}"/>
    <cellStyle name="20% - Accent4 4 2 3 6 4" xfId="15433" xr:uid="{00000000-0005-0000-0000-00007B190000}"/>
    <cellStyle name="20% - Accent4 4 2 3 6 4 2" xfId="15434" xr:uid="{00000000-0005-0000-0000-00007C190000}"/>
    <cellStyle name="20% - Accent4 4 2 3 6 5" xfId="15435" xr:uid="{00000000-0005-0000-0000-00007D190000}"/>
    <cellStyle name="20% - Accent4 4 2 3 6 6" xfId="15436" xr:uid="{00000000-0005-0000-0000-00007E190000}"/>
    <cellStyle name="20% - Accent4 4 2 3 7" xfId="15437" xr:uid="{00000000-0005-0000-0000-00007F190000}"/>
    <cellStyle name="20% - Accent4 4 2 3 7 2" xfId="15438" xr:uid="{00000000-0005-0000-0000-000080190000}"/>
    <cellStyle name="20% - Accent4 4 2 3 7 2 2" xfId="15439" xr:uid="{00000000-0005-0000-0000-000081190000}"/>
    <cellStyle name="20% - Accent4 4 2 3 7 2 3" xfId="15440" xr:uid="{00000000-0005-0000-0000-000082190000}"/>
    <cellStyle name="20% - Accent4 4 2 3 7 3" xfId="15441" xr:uid="{00000000-0005-0000-0000-000083190000}"/>
    <cellStyle name="20% - Accent4 4 2 3 7 3 2" xfId="15442" xr:uid="{00000000-0005-0000-0000-000084190000}"/>
    <cellStyle name="20% - Accent4 4 2 3 7 4" xfId="15443" xr:uid="{00000000-0005-0000-0000-000085190000}"/>
    <cellStyle name="20% - Accent4 4 2 3 7 5" xfId="15444" xr:uid="{00000000-0005-0000-0000-000086190000}"/>
    <cellStyle name="20% - Accent4 4 2 3 8" xfId="15445" xr:uid="{00000000-0005-0000-0000-000087190000}"/>
    <cellStyle name="20% - Accent4 4 2 3 8 2" xfId="15446" xr:uid="{00000000-0005-0000-0000-000088190000}"/>
    <cellStyle name="20% - Accent4 4 2 3 8 3" xfId="15447" xr:uid="{00000000-0005-0000-0000-000089190000}"/>
    <cellStyle name="20% - Accent4 4 2 3 9" xfId="15448" xr:uid="{00000000-0005-0000-0000-00008A190000}"/>
    <cellStyle name="20% - Accent4 4 2 3 9 2" xfId="15449" xr:uid="{00000000-0005-0000-0000-00008B190000}"/>
    <cellStyle name="20% - Accent4 4 2 3 9 3" xfId="15450" xr:uid="{00000000-0005-0000-0000-00008C190000}"/>
    <cellStyle name="20% - Accent4 4 2 4" xfId="863" xr:uid="{00000000-0005-0000-0000-00008D190000}"/>
    <cellStyle name="20% - Accent4 4 2 4 10" xfId="1545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5452" xr:uid="{00000000-0005-0000-0000-000091190000}"/>
    <cellStyle name="20% - Accent4 4 2 4 2 2 2 2" xfId="15453" xr:uid="{00000000-0005-0000-0000-000092190000}"/>
    <cellStyle name="20% - Accent4 4 2 4 2 2 2 3" xfId="15454" xr:uid="{00000000-0005-0000-0000-000093190000}"/>
    <cellStyle name="20% - Accent4 4 2 4 2 2 3" xfId="15455" xr:uid="{00000000-0005-0000-0000-000094190000}"/>
    <cellStyle name="20% - Accent4 4 2 4 2 2 3 2" xfId="15456" xr:uid="{00000000-0005-0000-0000-000095190000}"/>
    <cellStyle name="20% - Accent4 4 2 4 2 2 3 3" xfId="15457" xr:uid="{00000000-0005-0000-0000-000096190000}"/>
    <cellStyle name="20% - Accent4 4 2 4 2 2 4" xfId="15458" xr:uid="{00000000-0005-0000-0000-000097190000}"/>
    <cellStyle name="20% - Accent4 4 2 4 2 2 4 2" xfId="15459" xr:uid="{00000000-0005-0000-0000-000098190000}"/>
    <cellStyle name="20% - Accent4 4 2 4 2 2 5" xfId="15460" xr:uid="{00000000-0005-0000-0000-000099190000}"/>
    <cellStyle name="20% - Accent4 4 2 4 2 2 6" xfId="15461" xr:uid="{00000000-0005-0000-0000-00009A190000}"/>
    <cellStyle name="20% - Accent4 4 2 4 2 3" xfId="15462" xr:uid="{00000000-0005-0000-0000-00009B190000}"/>
    <cellStyle name="20% - Accent4 4 2 4 2 3 2" xfId="15463" xr:uid="{00000000-0005-0000-0000-00009C190000}"/>
    <cellStyle name="20% - Accent4 4 2 4 2 3 2 2" xfId="15464" xr:uid="{00000000-0005-0000-0000-00009D190000}"/>
    <cellStyle name="20% - Accent4 4 2 4 2 3 2 3" xfId="15465" xr:uid="{00000000-0005-0000-0000-00009E190000}"/>
    <cellStyle name="20% - Accent4 4 2 4 2 3 3" xfId="15466" xr:uid="{00000000-0005-0000-0000-00009F190000}"/>
    <cellStyle name="20% - Accent4 4 2 4 2 3 3 2" xfId="15467" xr:uid="{00000000-0005-0000-0000-0000A0190000}"/>
    <cellStyle name="20% - Accent4 4 2 4 2 3 3 3" xfId="15468" xr:uid="{00000000-0005-0000-0000-0000A1190000}"/>
    <cellStyle name="20% - Accent4 4 2 4 2 3 4" xfId="15469" xr:uid="{00000000-0005-0000-0000-0000A2190000}"/>
    <cellStyle name="20% - Accent4 4 2 4 2 3 4 2" xfId="15470" xr:uid="{00000000-0005-0000-0000-0000A3190000}"/>
    <cellStyle name="20% - Accent4 4 2 4 2 3 5" xfId="15471" xr:uid="{00000000-0005-0000-0000-0000A4190000}"/>
    <cellStyle name="20% - Accent4 4 2 4 2 3 6" xfId="15472" xr:uid="{00000000-0005-0000-0000-0000A5190000}"/>
    <cellStyle name="20% - Accent4 4 2 4 2 4" xfId="15473" xr:uid="{00000000-0005-0000-0000-0000A6190000}"/>
    <cellStyle name="20% - Accent4 4 2 4 2 4 2" xfId="15474" xr:uid="{00000000-0005-0000-0000-0000A7190000}"/>
    <cellStyle name="20% - Accent4 4 2 4 2 4 2 2" xfId="15475" xr:uid="{00000000-0005-0000-0000-0000A8190000}"/>
    <cellStyle name="20% - Accent4 4 2 4 2 4 2 3" xfId="15476" xr:uid="{00000000-0005-0000-0000-0000A9190000}"/>
    <cellStyle name="20% - Accent4 4 2 4 2 4 3" xfId="15477" xr:uid="{00000000-0005-0000-0000-0000AA190000}"/>
    <cellStyle name="20% - Accent4 4 2 4 2 4 3 2" xfId="15478" xr:uid="{00000000-0005-0000-0000-0000AB190000}"/>
    <cellStyle name="20% - Accent4 4 2 4 2 4 4" xfId="15479" xr:uid="{00000000-0005-0000-0000-0000AC190000}"/>
    <cellStyle name="20% - Accent4 4 2 4 2 4 5" xfId="15480" xr:uid="{00000000-0005-0000-0000-0000AD190000}"/>
    <cellStyle name="20% - Accent4 4 2 4 2 5" xfId="15481" xr:uid="{00000000-0005-0000-0000-0000AE190000}"/>
    <cellStyle name="20% - Accent4 4 2 4 2 5 2" xfId="15482" xr:uid="{00000000-0005-0000-0000-0000AF190000}"/>
    <cellStyle name="20% - Accent4 4 2 4 2 5 3" xfId="15483" xr:uid="{00000000-0005-0000-0000-0000B0190000}"/>
    <cellStyle name="20% - Accent4 4 2 4 2 6" xfId="15484" xr:uid="{00000000-0005-0000-0000-0000B1190000}"/>
    <cellStyle name="20% - Accent4 4 2 4 2 6 2" xfId="15485" xr:uid="{00000000-0005-0000-0000-0000B2190000}"/>
    <cellStyle name="20% - Accent4 4 2 4 2 6 3" xfId="15486" xr:uid="{00000000-0005-0000-0000-0000B3190000}"/>
    <cellStyle name="20% - Accent4 4 2 4 2 7" xfId="15487" xr:uid="{00000000-0005-0000-0000-0000B4190000}"/>
    <cellStyle name="20% - Accent4 4 2 4 2 7 2" xfId="15488" xr:uid="{00000000-0005-0000-0000-0000B5190000}"/>
    <cellStyle name="20% - Accent4 4 2 4 2 8" xfId="15489" xr:uid="{00000000-0005-0000-0000-0000B6190000}"/>
    <cellStyle name="20% - Accent4 4 2 4 2 9" xfId="15490" xr:uid="{00000000-0005-0000-0000-0000B7190000}"/>
    <cellStyle name="20% - Accent4 4 2 4 3" xfId="866" xr:uid="{00000000-0005-0000-0000-0000B8190000}"/>
    <cellStyle name="20% - Accent4 4 2 4 3 2" xfId="15491" xr:uid="{00000000-0005-0000-0000-0000B9190000}"/>
    <cellStyle name="20% - Accent4 4 2 4 3 2 2" xfId="15492" xr:uid="{00000000-0005-0000-0000-0000BA190000}"/>
    <cellStyle name="20% - Accent4 4 2 4 3 2 3" xfId="15493" xr:uid="{00000000-0005-0000-0000-0000BB190000}"/>
    <cellStyle name="20% - Accent4 4 2 4 3 3" xfId="15494" xr:uid="{00000000-0005-0000-0000-0000BC190000}"/>
    <cellStyle name="20% - Accent4 4 2 4 3 3 2" xfId="15495" xr:uid="{00000000-0005-0000-0000-0000BD190000}"/>
    <cellStyle name="20% - Accent4 4 2 4 3 3 3" xfId="15496" xr:uid="{00000000-0005-0000-0000-0000BE190000}"/>
    <cellStyle name="20% - Accent4 4 2 4 3 4" xfId="15497" xr:uid="{00000000-0005-0000-0000-0000BF190000}"/>
    <cellStyle name="20% - Accent4 4 2 4 3 4 2" xfId="15498" xr:uid="{00000000-0005-0000-0000-0000C0190000}"/>
    <cellStyle name="20% - Accent4 4 2 4 3 5" xfId="15499" xr:uid="{00000000-0005-0000-0000-0000C1190000}"/>
    <cellStyle name="20% - Accent4 4 2 4 3 6" xfId="15500" xr:uid="{00000000-0005-0000-0000-0000C2190000}"/>
    <cellStyle name="20% - Accent4 4 2 4 4" xfId="8887" xr:uid="{00000000-0005-0000-0000-0000C3190000}"/>
    <cellStyle name="20% - Accent4 4 2 4 4 2" xfId="15501" xr:uid="{00000000-0005-0000-0000-0000C4190000}"/>
    <cellStyle name="20% - Accent4 4 2 4 4 2 2" xfId="15502" xr:uid="{00000000-0005-0000-0000-0000C5190000}"/>
    <cellStyle name="20% - Accent4 4 2 4 4 2 3" xfId="15503" xr:uid="{00000000-0005-0000-0000-0000C6190000}"/>
    <cellStyle name="20% - Accent4 4 2 4 4 3" xfId="15504" xr:uid="{00000000-0005-0000-0000-0000C7190000}"/>
    <cellStyle name="20% - Accent4 4 2 4 4 3 2" xfId="15505" xr:uid="{00000000-0005-0000-0000-0000C8190000}"/>
    <cellStyle name="20% - Accent4 4 2 4 4 3 3" xfId="15506" xr:uid="{00000000-0005-0000-0000-0000C9190000}"/>
    <cellStyle name="20% - Accent4 4 2 4 4 4" xfId="15507" xr:uid="{00000000-0005-0000-0000-0000CA190000}"/>
    <cellStyle name="20% - Accent4 4 2 4 4 4 2" xfId="15508" xr:uid="{00000000-0005-0000-0000-0000CB190000}"/>
    <cellStyle name="20% - Accent4 4 2 4 4 5" xfId="15509" xr:uid="{00000000-0005-0000-0000-0000CC190000}"/>
    <cellStyle name="20% - Accent4 4 2 4 4 6" xfId="15510" xr:uid="{00000000-0005-0000-0000-0000CD190000}"/>
    <cellStyle name="20% - Accent4 4 2 4 5" xfId="15511" xr:uid="{00000000-0005-0000-0000-0000CE190000}"/>
    <cellStyle name="20% - Accent4 4 2 4 5 2" xfId="15512" xr:uid="{00000000-0005-0000-0000-0000CF190000}"/>
    <cellStyle name="20% - Accent4 4 2 4 5 2 2" xfId="15513" xr:uid="{00000000-0005-0000-0000-0000D0190000}"/>
    <cellStyle name="20% - Accent4 4 2 4 5 2 3" xfId="15514" xr:uid="{00000000-0005-0000-0000-0000D1190000}"/>
    <cellStyle name="20% - Accent4 4 2 4 5 3" xfId="15515" xr:uid="{00000000-0005-0000-0000-0000D2190000}"/>
    <cellStyle name="20% - Accent4 4 2 4 5 3 2" xfId="15516" xr:uid="{00000000-0005-0000-0000-0000D3190000}"/>
    <cellStyle name="20% - Accent4 4 2 4 5 4" xfId="15517" xr:uid="{00000000-0005-0000-0000-0000D4190000}"/>
    <cellStyle name="20% - Accent4 4 2 4 5 5" xfId="15518" xr:uid="{00000000-0005-0000-0000-0000D5190000}"/>
    <cellStyle name="20% - Accent4 4 2 4 6" xfId="15519" xr:uid="{00000000-0005-0000-0000-0000D6190000}"/>
    <cellStyle name="20% - Accent4 4 2 4 6 2" xfId="15520" xr:uid="{00000000-0005-0000-0000-0000D7190000}"/>
    <cellStyle name="20% - Accent4 4 2 4 6 3" xfId="15521" xr:uid="{00000000-0005-0000-0000-0000D8190000}"/>
    <cellStyle name="20% - Accent4 4 2 4 7" xfId="15522" xr:uid="{00000000-0005-0000-0000-0000D9190000}"/>
    <cellStyle name="20% - Accent4 4 2 4 7 2" xfId="15523" xr:uid="{00000000-0005-0000-0000-0000DA190000}"/>
    <cellStyle name="20% - Accent4 4 2 4 7 3" xfId="15524" xr:uid="{00000000-0005-0000-0000-0000DB190000}"/>
    <cellStyle name="20% - Accent4 4 2 4 8" xfId="15525" xr:uid="{00000000-0005-0000-0000-0000DC190000}"/>
    <cellStyle name="20% - Accent4 4 2 4 8 2" xfId="15526" xr:uid="{00000000-0005-0000-0000-0000DD190000}"/>
    <cellStyle name="20% - Accent4 4 2 4 9" xfId="1552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5528" xr:uid="{00000000-0005-0000-0000-0000E1190000}"/>
    <cellStyle name="20% - Accent4 4 2 5 2 2 2" xfId="15529" xr:uid="{00000000-0005-0000-0000-0000E2190000}"/>
    <cellStyle name="20% - Accent4 4 2 5 2 2 3" xfId="15530" xr:uid="{00000000-0005-0000-0000-0000E3190000}"/>
    <cellStyle name="20% - Accent4 4 2 5 2 3" xfId="15531" xr:uid="{00000000-0005-0000-0000-0000E4190000}"/>
    <cellStyle name="20% - Accent4 4 2 5 2 3 2" xfId="15532" xr:uid="{00000000-0005-0000-0000-0000E5190000}"/>
    <cellStyle name="20% - Accent4 4 2 5 2 3 3" xfId="15533" xr:uid="{00000000-0005-0000-0000-0000E6190000}"/>
    <cellStyle name="20% - Accent4 4 2 5 2 4" xfId="15534" xr:uid="{00000000-0005-0000-0000-0000E7190000}"/>
    <cellStyle name="20% - Accent4 4 2 5 2 4 2" xfId="15535" xr:uid="{00000000-0005-0000-0000-0000E8190000}"/>
    <cellStyle name="20% - Accent4 4 2 5 2 5" xfId="15536" xr:uid="{00000000-0005-0000-0000-0000E9190000}"/>
    <cellStyle name="20% - Accent4 4 2 5 2 6" xfId="15537" xr:uid="{00000000-0005-0000-0000-0000EA190000}"/>
    <cellStyle name="20% - Accent4 4 2 5 3" xfId="15538" xr:uid="{00000000-0005-0000-0000-0000EB190000}"/>
    <cellStyle name="20% - Accent4 4 2 5 3 2" xfId="15539" xr:uid="{00000000-0005-0000-0000-0000EC190000}"/>
    <cellStyle name="20% - Accent4 4 2 5 3 2 2" xfId="15540" xr:uid="{00000000-0005-0000-0000-0000ED190000}"/>
    <cellStyle name="20% - Accent4 4 2 5 3 2 3" xfId="15541" xr:uid="{00000000-0005-0000-0000-0000EE190000}"/>
    <cellStyle name="20% - Accent4 4 2 5 3 3" xfId="15542" xr:uid="{00000000-0005-0000-0000-0000EF190000}"/>
    <cellStyle name="20% - Accent4 4 2 5 3 3 2" xfId="15543" xr:uid="{00000000-0005-0000-0000-0000F0190000}"/>
    <cellStyle name="20% - Accent4 4 2 5 3 3 3" xfId="15544" xr:uid="{00000000-0005-0000-0000-0000F1190000}"/>
    <cellStyle name="20% - Accent4 4 2 5 3 4" xfId="15545" xr:uid="{00000000-0005-0000-0000-0000F2190000}"/>
    <cellStyle name="20% - Accent4 4 2 5 3 4 2" xfId="15546" xr:uid="{00000000-0005-0000-0000-0000F3190000}"/>
    <cellStyle name="20% - Accent4 4 2 5 3 5" xfId="15547" xr:uid="{00000000-0005-0000-0000-0000F4190000}"/>
    <cellStyle name="20% - Accent4 4 2 5 3 6" xfId="15548" xr:uid="{00000000-0005-0000-0000-0000F5190000}"/>
    <cellStyle name="20% - Accent4 4 2 5 4" xfId="15549" xr:uid="{00000000-0005-0000-0000-0000F6190000}"/>
    <cellStyle name="20% - Accent4 4 2 5 4 2" xfId="15550" xr:uid="{00000000-0005-0000-0000-0000F7190000}"/>
    <cellStyle name="20% - Accent4 4 2 5 4 2 2" xfId="15551" xr:uid="{00000000-0005-0000-0000-0000F8190000}"/>
    <cellStyle name="20% - Accent4 4 2 5 4 2 3" xfId="15552" xr:uid="{00000000-0005-0000-0000-0000F9190000}"/>
    <cellStyle name="20% - Accent4 4 2 5 4 3" xfId="15553" xr:uid="{00000000-0005-0000-0000-0000FA190000}"/>
    <cellStyle name="20% - Accent4 4 2 5 4 3 2" xfId="15554" xr:uid="{00000000-0005-0000-0000-0000FB190000}"/>
    <cellStyle name="20% - Accent4 4 2 5 4 4" xfId="15555" xr:uid="{00000000-0005-0000-0000-0000FC190000}"/>
    <cellStyle name="20% - Accent4 4 2 5 4 5" xfId="15556" xr:uid="{00000000-0005-0000-0000-0000FD190000}"/>
    <cellStyle name="20% - Accent4 4 2 5 5" xfId="15557" xr:uid="{00000000-0005-0000-0000-0000FE190000}"/>
    <cellStyle name="20% - Accent4 4 2 5 5 2" xfId="15558" xr:uid="{00000000-0005-0000-0000-0000FF190000}"/>
    <cellStyle name="20% - Accent4 4 2 5 5 3" xfId="15559" xr:uid="{00000000-0005-0000-0000-0000001A0000}"/>
    <cellStyle name="20% - Accent4 4 2 5 6" xfId="15560" xr:uid="{00000000-0005-0000-0000-0000011A0000}"/>
    <cellStyle name="20% - Accent4 4 2 5 6 2" xfId="15561" xr:uid="{00000000-0005-0000-0000-0000021A0000}"/>
    <cellStyle name="20% - Accent4 4 2 5 6 3" xfId="15562" xr:uid="{00000000-0005-0000-0000-0000031A0000}"/>
    <cellStyle name="20% - Accent4 4 2 5 7" xfId="15563" xr:uid="{00000000-0005-0000-0000-0000041A0000}"/>
    <cellStyle name="20% - Accent4 4 2 5 7 2" xfId="15564" xr:uid="{00000000-0005-0000-0000-0000051A0000}"/>
    <cellStyle name="20% - Accent4 4 2 5 8" xfId="15565" xr:uid="{00000000-0005-0000-0000-0000061A0000}"/>
    <cellStyle name="20% - Accent4 4 2 5 9" xfId="15566" xr:uid="{00000000-0005-0000-0000-0000071A0000}"/>
    <cellStyle name="20% - Accent4 4 2 6" xfId="869" xr:uid="{00000000-0005-0000-0000-0000081A0000}"/>
    <cellStyle name="20% - Accent4 4 2 6 2" xfId="15567" xr:uid="{00000000-0005-0000-0000-0000091A0000}"/>
    <cellStyle name="20% - Accent4 4 2 6 2 2" xfId="15568" xr:uid="{00000000-0005-0000-0000-00000A1A0000}"/>
    <cellStyle name="20% - Accent4 4 2 6 2 2 2" xfId="15569" xr:uid="{00000000-0005-0000-0000-00000B1A0000}"/>
    <cellStyle name="20% - Accent4 4 2 6 2 2 3" xfId="15570" xr:uid="{00000000-0005-0000-0000-00000C1A0000}"/>
    <cellStyle name="20% - Accent4 4 2 6 2 3" xfId="15571" xr:uid="{00000000-0005-0000-0000-00000D1A0000}"/>
    <cellStyle name="20% - Accent4 4 2 6 2 3 2" xfId="15572" xr:uid="{00000000-0005-0000-0000-00000E1A0000}"/>
    <cellStyle name="20% - Accent4 4 2 6 2 3 3" xfId="15573" xr:uid="{00000000-0005-0000-0000-00000F1A0000}"/>
    <cellStyle name="20% - Accent4 4 2 6 2 4" xfId="15574" xr:uid="{00000000-0005-0000-0000-0000101A0000}"/>
    <cellStyle name="20% - Accent4 4 2 6 2 4 2" xfId="15575" xr:uid="{00000000-0005-0000-0000-0000111A0000}"/>
    <cellStyle name="20% - Accent4 4 2 6 2 5" xfId="15576" xr:uid="{00000000-0005-0000-0000-0000121A0000}"/>
    <cellStyle name="20% - Accent4 4 2 6 2 6" xfId="15577" xr:uid="{00000000-0005-0000-0000-0000131A0000}"/>
    <cellStyle name="20% - Accent4 4 2 6 3" xfId="15578" xr:uid="{00000000-0005-0000-0000-0000141A0000}"/>
    <cellStyle name="20% - Accent4 4 2 6 3 2" xfId="15579" xr:uid="{00000000-0005-0000-0000-0000151A0000}"/>
    <cellStyle name="20% - Accent4 4 2 6 3 2 2" xfId="15580" xr:uid="{00000000-0005-0000-0000-0000161A0000}"/>
    <cellStyle name="20% - Accent4 4 2 6 3 2 3" xfId="15581" xr:uid="{00000000-0005-0000-0000-0000171A0000}"/>
    <cellStyle name="20% - Accent4 4 2 6 3 3" xfId="15582" xr:uid="{00000000-0005-0000-0000-0000181A0000}"/>
    <cellStyle name="20% - Accent4 4 2 6 3 3 2" xfId="15583" xr:uid="{00000000-0005-0000-0000-0000191A0000}"/>
    <cellStyle name="20% - Accent4 4 2 6 3 3 3" xfId="15584" xr:uid="{00000000-0005-0000-0000-00001A1A0000}"/>
    <cellStyle name="20% - Accent4 4 2 6 3 4" xfId="15585" xr:uid="{00000000-0005-0000-0000-00001B1A0000}"/>
    <cellStyle name="20% - Accent4 4 2 6 3 4 2" xfId="15586" xr:uid="{00000000-0005-0000-0000-00001C1A0000}"/>
    <cellStyle name="20% - Accent4 4 2 6 3 5" xfId="15587" xr:uid="{00000000-0005-0000-0000-00001D1A0000}"/>
    <cellStyle name="20% - Accent4 4 2 6 3 6" xfId="15588" xr:uid="{00000000-0005-0000-0000-00001E1A0000}"/>
    <cellStyle name="20% - Accent4 4 2 6 4" xfId="15589" xr:uid="{00000000-0005-0000-0000-00001F1A0000}"/>
    <cellStyle name="20% - Accent4 4 2 6 4 2" xfId="15590" xr:uid="{00000000-0005-0000-0000-0000201A0000}"/>
    <cellStyle name="20% - Accent4 4 2 6 4 2 2" xfId="15591" xr:uid="{00000000-0005-0000-0000-0000211A0000}"/>
    <cellStyle name="20% - Accent4 4 2 6 4 2 3" xfId="15592" xr:uid="{00000000-0005-0000-0000-0000221A0000}"/>
    <cellStyle name="20% - Accent4 4 2 6 4 3" xfId="15593" xr:uid="{00000000-0005-0000-0000-0000231A0000}"/>
    <cellStyle name="20% - Accent4 4 2 6 4 3 2" xfId="15594" xr:uid="{00000000-0005-0000-0000-0000241A0000}"/>
    <cellStyle name="20% - Accent4 4 2 6 4 4" xfId="15595" xr:uid="{00000000-0005-0000-0000-0000251A0000}"/>
    <cellStyle name="20% - Accent4 4 2 6 4 5" xfId="15596" xr:uid="{00000000-0005-0000-0000-0000261A0000}"/>
    <cellStyle name="20% - Accent4 4 2 6 5" xfId="15597" xr:uid="{00000000-0005-0000-0000-0000271A0000}"/>
    <cellStyle name="20% - Accent4 4 2 6 5 2" xfId="15598" xr:uid="{00000000-0005-0000-0000-0000281A0000}"/>
    <cellStyle name="20% - Accent4 4 2 6 5 3" xfId="15599" xr:uid="{00000000-0005-0000-0000-0000291A0000}"/>
    <cellStyle name="20% - Accent4 4 2 6 6" xfId="15600" xr:uid="{00000000-0005-0000-0000-00002A1A0000}"/>
    <cellStyle name="20% - Accent4 4 2 6 6 2" xfId="15601" xr:uid="{00000000-0005-0000-0000-00002B1A0000}"/>
    <cellStyle name="20% - Accent4 4 2 6 6 3" xfId="15602" xr:uid="{00000000-0005-0000-0000-00002C1A0000}"/>
    <cellStyle name="20% - Accent4 4 2 6 7" xfId="15603" xr:uid="{00000000-0005-0000-0000-00002D1A0000}"/>
    <cellStyle name="20% - Accent4 4 2 6 7 2" xfId="15604" xr:uid="{00000000-0005-0000-0000-00002E1A0000}"/>
    <cellStyle name="20% - Accent4 4 2 6 8" xfId="15605" xr:uid="{00000000-0005-0000-0000-00002F1A0000}"/>
    <cellStyle name="20% - Accent4 4 2 6 9" xfId="15606" xr:uid="{00000000-0005-0000-0000-0000301A0000}"/>
    <cellStyle name="20% - Accent4 4 2 7" xfId="870" xr:uid="{00000000-0005-0000-0000-0000311A0000}"/>
    <cellStyle name="20% - Accent4 4 2 7 2" xfId="15607" xr:uid="{00000000-0005-0000-0000-0000321A0000}"/>
    <cellStyle name="20% - Accent4 4 2 7 2 2" xfId="15608" xr:uid="{00000000-0005-0000-0000-0000331A0000}"/>
    <cellStyle name="20% - Accent4 4 2 7 2 3" xfId="15609" xr:uid="{00000000-0005-0000-0000-0000341A0000}"/>
    <cellStyle name="20% - Accent4 4 2 7 3" xfId="15610" xr:uid="{00000000-0005-0000-0000-0000351A0000}"/>
    <cellStyle name="20% - Accent4 4 2 7 3 2" xfId="15611" xr:uid="{00000000-0005-0000-0000-0000361A0000}"/>
    <cellStyle name="20% - Accent4 4 2 7 3 3" xfId="15612" xr:uid="{00000000-0005-0000-0000-0000371A0000}"/>
    <cellStyle name="20% - Accent4 4 2 7 4" xfId="15613" xr:uid="{00000000-0005-0000-0000-0000381A0000}"/>
    <cellStyle name="20% - Accent4 4 2 7 4 2" xfId="15614" xr:uid="{00000000-0005-0000-0000-0000391A0000}"/>
    <cellStyle name="20% - Accent4 4 2 7 5" xfId="15615" xr:uid="{00000000-0005-0000-0000-00003A1A0000}"/>
    <cellStyle name="20% - Accent4 4 2 7 6" xfId="15616" xr:uid="{00000000-0005-0000-0000-00003B1A0000}"/>
    <cellStyle name="20% - Accent4 4 2 8" xfId="8888" xr:uid="{00000000-0005-0000-0000-00003C1A0000}"/>
    <cellStyle name="20% - Accent4 4 2 8 2" xfId="15617" xr:uid="{00000000-0005-0000-0000-00003D1A0000}"/>
    <cellStyle name="20% - Accent4 4 2 8 2 2" xfId="15618" xr:uid="{00000000-0005-0000-0000-00003E1A0000}"/>
    <cellStyle name="20% - Accent4 4 2 8 2 3" xfId="15619" xr:uid="{00000000-0005-0000-0000-00003F1A0000}"/>
    <cellStyle name="20% - Accent4 4 2 8 3" xfId="15620" xr:uid="{00000000-0005-0000-0000-0000401A0000}"/>
    <cellStyle name="20% - Accent4 4 2 8 3 2" xfId="15621" xr:uid="{00000000-0005-0000-0000-0000411A0000}"/>
    <cellStyle name="20% - Accent4 4 2 8 3 3" xfId="15622" xr:uid="{00000000-0005-0000-0000-0000421A0000}"/>
    <cellStyle name="20% - Accent4 4 2 8 4" xfId="15623" xr:uid="{00000000-0005-0000-0000-0000431A0000}"/>
    <cellStyle name="20% - Accent4 4 2 8 4 2" xfId="15624" xr:uid="{00000000-0005-0000-0000-0000441A0000}"/>
    <cellStyle name="20% - Accent4 4 2 8 5" xfId="15625" xr:uid="{00000000-0005-0000-0000-0000451A0000}"/>
    <cellStyle name="20% - Accent4 4 2 8 6" xfId="15626" xr:uid="{00000000-0005-0000-0000-0000461A0000}"/>
    <cellStyle name="20% - Accent4 4 2 9" xfId="15627" xr:uid="{00000000-0005-0000-0000-0000471A0000}"/>
    <cellStyle name="20% - Accent4 4 2 9 2" xfId="15628" xr:uid="{00000000-0005-0000-0000-0000481A0000}"/>
    <cellStyle name="20% - Accent4 4 2 9 2 2" xfId="15629" xr:uid="{00000000-0005-0000-0000-0000491A0000}"/>
    <cellStyle name="20% - Accent4 4 2 9 2 3" xfId="15630" xr:uid="{00000000-0005-0000-0000-00004A1A0000}"/>
    <cellStyle name="20% - Accent4 4 2 9 3" xfId="15631" xr:uid="{00000000-0005-0000-0000-00004B1A0000}"/>
    <cellStyle name="20% - Accent4 4 2 9 3 2" xfId="15632" xr:uid="{00000000-0005-0000-0000-00004C1A0000}"/>
    <cellStyle name="20% - Accent4 4 2 9 4" xfId="15633" xr:uid="{00000000-0005-0000-0000-00004D1A0000}"/>
    <cellStyle name="20% - Accent4 4 2 9 5" xfId="15634" xr:uid="{00000000-0005-0000-0000-00004E1A0000}"/>
    <cellStyle name="20% - Accent4 4 3" xfId="871" xr:uid="{00000000-0005-0000-0000-00004F1A0000}"/>
    <cellStyle name="20% - Accent4 4 3 10" xfId="15635" xr:uid="{00000000-0005-0000-0000-0000501A0000}"/>
    <cellStyle name="20% - Accent4 4 3 10 2" xfId="15636" xr:uid="{00000000-0005-0000-0000-0000511A0000}"/>
    <cellStyle name="20% - Accent4 4 3 10 3" xfId="15637" xr:uid="{00000000-0005-0000-0000-0000521A0000}"/>
    <cellStyle name="20% - Accent4 4 3 11" xfId="15638" xr:uid="{00000000-0005-0000-0000-0000531A0000}"/>
    <cellStyle name="20% - Accent4 4 3 11 2" xfId="15639" xr:uid="{00000000-0005-0000-0000-0000541A0000}"/>
    <cellStyle name="20% - Accent4 4 3 12" xfId="15640" xr:uid="{00000000-0005-0000-0000-0000551A0000}"/>
    <cellStyle name="20% - Accent4 4 3 13" xfId="15641" xr:uid="{00000000-0005-0000-0000-0000561A0000}"/>
    <cellStyle name="20% - Accent4 4 3 14" xfId="15642" xr:uid="{00000000-0005-0000-0000-0000571A0000}"/>
    <cellStyle name="20% - Accent4 4 3 2" xfId="872" xr:uid="{00000000-0005-0000-0000-0000581A0000}"/>
    <cellStyle name="20% - Accent4 4 3 2 10" xfId="15643" xr:uid="{00000000-0005-0000-0000-0000591A0000}"/>
    <cellStyle name="20% - Accent4 4 3 2 10 2" xfId="15644" xr:uid="{00000000-0005-0000-0000-00005A1A0000}"/>
    <cellStyle name="20% - Accent4 4 3 2 11" xfId="15645" xr:uid="{00000000-0005-0000-0000-00005B1A0000}"/>
    <cellStyle name="20% - Accent4 4 3 2 12" xfId="15646" xr:uid="{00000000-0005-0000-0000-00005C1A0000}"/>
    <cellStyle name="20% - Accent4 4 3 2 2" xfId="873" xr:uid="{00000000-0005-0000-0000-00005D1A0000}"/>
    <cellStyle name="20% - Accent4 4 3 2 2 10" xfId="1564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648" xr:uid="{00000000-0005-0000-0000-0000611A0000}"/>
    <cellStyle name="20% - Accent4 4 3 2 2 2 2 2 2" xfId="15649" xr:uid="{00000000-0005-0000-0000-0000621A0000}"/>
    <cellStyle name="20% - Accent4 4 3 2 2 2 2 2 3" xfId="15650" xr:uid="{00000000-0005-0000-0000-0000631A0000}"/>
    <cellStyle name="20% - Accent4 4 3 2 2 2 2 3" xfId="15651" xr:uid="{00000000-0005-0000-0000-0000641A0000}"/>
    <cellStyle name="20% - Accent4 4 3 2 2 2 2 3 2" xfId="15652" xr:uid="{00000000-0005-0000-0000-0000651A0000}"/>
    <cellStyle name="20% - Accent4 4 3 2 2 2 2 3 3" xfId="15653" xr:uid="{00000000-0005-0000-0000-0000661A0000}"/>
    <cellStyle name="20% - Accent4 4 3 2 2 2 2 4" xfId="15654" xr:uid="{00000000-0005-0000-0000-0000671A0000}"/>
    <cellStyle name="20% - Accent4 4 3 2 2 2 2 4 2" xfId="15655" xr:uid="{00000000-0005-0000-0000-0000681A0000}"/>
    <cellStyle name="20% - Accent4 4 3 2 2 2 2 5" xfId="15656" xr:uid="{00000000-0005-0000-0000-0000691A0000}"/>
    <cellStyle name="20% - Accent4 4 3 2 2 2 2 6" xfId="15657" xr:uid="{00000000-0005-0000-0000-00006A1A0000}"/>
    <cellStyle name="20% - Accent4 4 3 2 2 2 3" xfId="8889" xr:uid="{00000000-0005-0000-0000-00006B1A0000}"/>
    <cellStyle name="20% - Accent4 4 3 2 2 2 3 2" xfId="15658" xr:uid="{00000000-0005-0000-0000-00006C1A0000}"/>
    <cellStyle name="20% - Accent4 4 3 2 2 2 3 2 2" xfId="15659" xr:uid="{00000000-0005-0000-0000-00006D1A0000}"/>
    <cellStyle name="20% - Accent4 4 3 2 2 2 3 2 3" xfId="15660" xr:uid="{00000000-0005-0000-0000-00006E1A0000}"/>
    <cellStyle name="20% - Accent4 4 3 2 2 2 3 3" xfId="15661" xr:uid="{00000000-0005-0000-0000-00006F1A0000}"/>
    <cellStyle name="20% - Accent4 4 3 2 2 2 3 3 2" xfId="15662" xr:uid="{00000000-0005-0000-0000-0000701A0000}"/>
    <cellStyle name="20% - Accent4 4 3 2 2 2 3 3 3" xfId="15663" xr:uid="{00000000-0005-0000-0000-0000711A0000}"/>
    <cellStyle name="20% - Accent4 4 3 2 2 2 3 4" xfId="15664" xr:uid="{00000000-0005-0000-0000-0000721A0000}"/>
    <cellStyle name="20% - Accent4 4 3 2 2 2 3 4 2" xfId="15665" xr:uid="{00000000-0005-0000-0000-0000731A0000}"/>
    <cellStyle name="20% - Accent4 4 3 2 2 2 3 5" xfId="15666" xr:uid="{00000000-0005-0000-0000-0000741A0000}"/>
    <cellStyle name="20% - Accent4 4 3 2 2 2 3 6" xfId="15667" xr:uid="{00000000-0005-0000-0000-0000751A0000}"/>
    <cellStyle name="20% - Accent4 4 3 2 2 2 4" xfId="15668" xr:uid="{00000000-0005-0000-0000-0000761A0000}"/>
    <cellStyle name="20% - Accent4 4 3 2 2 2 4 2" xfId="15669" xr:uid="{00000000-0005-0000-0000-0000771A0000}"/>
    <cellStyle name="20% - Accent4 4 3 2 2 2 4 2 2" xfId="15670" xr:uid="{00000000-0005-0000-0000-0000781A0000}"/>
    <cellStyle name="20% - Accent4 4 3 2 2 2 4 2 3" xfId="15671" xr:uid="{00000000-0005-0000-0000-0000791A0000}"/>
    <cellStyle name="20% - Accent4 4 3 2 2 2 4 3" xfId="15672" xr:uid="{00000000-0005-0000-0000-00007A1A0000}"/>
    <cellStyle name="20% - Accent4 4 3 2 2 2 4 3 2" xfId="15673" xr:uid="{00000000-0005-0000-0000-00007B1A0000}"/>
    <cellStyle name="20% - Accent4 4 3 2 2 2 4 4" xfId="15674" xr:uid="{00000000-0005-0000-0000-00007C1A0000}"/>
    <cellStyle name="20% - Accent4 4 3 2 2 2 4 5" xfId="15675" xr:uid="{00000000-0005-0000-0000-00007D1A0000}"/>
    <cellStyle name="20% - Accent4 4 3 2 2 2 5" xfId="15676" xr:uid="{00000000-0005-0000-0000-00007E1A0000}"/>
    <cellStyle name="20% - Accent4 4 3 2 2 2 5 2" xfId="15677" xr:uid="{00000000-0005-0000-0000-00007F1A0000}"/>
    <cellStyle name="20% - Accent4 4 3 2 2 2 5 3" xfId="15678" xr:uid="{00000000-0005-0000-0000-0000801A0000}"/>
    <cellStyle name="20% - Accent4 4 3 2 2 2 6" xfId="15679" xr:uid="{00000000-0005-0000-0000-0000811A0000}"/>
    <cellStyle name="20% - Accent4 4 3 2 2 2 6 2" xfId="15680" xr:uid="{00000000-0005-0000-0000-0000821A0000}"/>
    <cellStyle name="20% - Accent4 4 3 2 2 2 6 3" xfId="15681" xr:uid="{00000000-0005-0000-0000-0000831A0000}"/>
    <cellStyle name="20% - Accent4 4 3 2 2 2 7" xfId="15682" xr:uid="{00000000-0005-0000-0000-0000841A0000}"/>
    <cellStyle name="20% - Accent4 4 3 2 2 2 7 2" xfId="15683" xr:uid="{00000000-0005-0000-0000-0000851A0000}"/>
    <cellStyle name="20% - Accent4 4 3 2 2 2 8" xfId="15684" xr:uid="{00000000-0005-0000-0000-0000861A0000}"/>
    <cellStyle name="20% - Accent4 4 3 2 2 2 9" xfId="15685" xr:uid="{00000000-0005-0000-0000-0000871A0000}"/>
    <cellStyle name="20% - Accent4 4 3 2 2 3" xfId="876" xr:uid="{00000000-0005-0000-0000-0000881A0000}"/>
    <cellStyle name="20% - Accent4 4 3 2 2 3 2" xfId="15686" xr:uid="{00000000-0005-0000-0000-0000891A0000}"/>
    <cellStyle name="20% - Accent4 4 3 2 2 3 2 2" xfId="15687" xr:uid="{00000000-0005-0000-0000-00008A1A0000}"/>
    <cellStyle name="20% - Accent4 4 3 2 2 3 2 3" xfId="15688" xr:uid="{00000000-0005-0000-0000-00008B1A0000}"/>
    <cellStyle name="20% - Accent4 4 3 2 2 3 3" xfId="15689" xr:uid="{00000000-0005-0000-0000-00008C1A0000}"/>
    <cellStyle name="20% - Accent4 4 3 2 2 3 3 2" xfId="15690" xr:uid="{00000000-0005-0000-0000-00008D1A0000}"/>
    <cellStyle name="20% - Accent4 4 3 2 2 3 3 3" xfId="15691" xr:uid="{00000000-0005-0000-0000-00008E1A0000}"/>
    <cellStyle name="20% - Accent4 4 3 2 2 3 4" xfId="15692" xr:uid="{00000000-0005-0000-0000-00008F1A0000}"/>
    <cellStyle name="20% - Accent4 4 3 2 2 3 4 2" xfId="15693" xr:uid="{00000000-0005-0000-0000-0000901A0000}"/>
    <cellStyle name="20% - Accent4 4 3 2 2 3 5" xfId="15694" xr:uid="{00000000-0005-0000-0000-0000911A0000}"/>
    <cellStyle name="20% - Accent4 4 3 2 2 3 6" xfId="15695" xr:uid="{00000000-0005-0000-0000-0000921A0000}"/>
    <cellStyle name="20% - Accent4 4 3 2 2 4" xfId="877" xr:uid="{00000000-0005-0000-0000-0000931A0000}"/>
    <cellStyle name="20% - Accent4 4 3 2 2 4 2" xfId="15696" xr:uid="{00000000-0005-0000-0000-0000941A0000}"/>
    <cellStyle name="20% - Accent4 4 3 2 2 4 2 2" xfId="15697" xr:uid="{00000000-0005-0000-0000-0000951A0000}"/>
    <cellStyle name="20% - Accent4 4 3 2 2 4 2 3" xfId="15698" xr:uid="{00000000-0005-0000-0000-0000961A0000}"/>
    <cellStyle name="20% - Accent4 4 3 2 2 4 3" xfId="15699" xr:uid="{00000000-0005-0000-0000-0000971A0000}"/>
    <cellStyle name="20% - Accent4 4 3 2 2 4 3 2" xfId="15700" xr:uid="{00000000-0005-0000-0000-0000981A0000}"/>
    <cellStyle name="20% - Accent4 4 3 2 2 4 3 3" xfId="15701" xr:uid="{00000000-0005-0000-0000-0000991A0000}"/>
    <cellStyle name="20% - Accent4 4 3 2 2 4 4" xfId="15702" xr:uid="{00000000-0005-0000-0000-00009A1A0000}"/>
    <cellStyle name="20% - Accent4 4 3 2 2 4 4 2" xfId="15703" xr:uid="{00000000-0005-0000-0000-00009B1A0000}"/>
    <cellStyle name="20% - Accent4 4 3 2 2 4 5" xfId="15704" xr:uid="{00000000-0005-0000-0000-00009C1A0000}"/>
    <cellStyle name="20% - Accent4 4 3 2 2 4 6" xfId="15705" xr:uid="{00000000-0005-0000-0000-00009D1A0000}"/>
    <cellStyle name="20% - Accent4 4 3 2 2 5" xfId="8890" xr:uid="{00000000-0005-0000-0000-00009E1A0000}"/>
    <cellStyle name="20% - Accent4 4 3 2 2 5 2" xfId="15706" xr:uid="{00000000-0005-0000-0000-00009F1A0000}"/>
    <cellStyle name="20% - Accent4 4 3 2 2 5 2 2" xfId="15707" xr:uid="{00000000-0005-0000-0000-0000A01A0000}"/>
    <cellStyle name="20% - Accent4 4 3 2 2 5 2 3" xfId="15708" xr:uid="{00000000-0005-0000-0000-0000A11A0000}"/>
    <cellStyle name="20% - Accent4 4 3 2 2 5 3" xfId="15709" xr:uid="{00000000-0005-0000-0000-0000A21A0000}"/>
    <cellStyle name="20% - Accent4 4 3 2 2 5 3 2" xfId="15710" xr:uid="{00000000-0005-0000-0000-0000A31A0000}"/>
    <cellStyle name="20% - Accent4 4 3 2 2 5 4" xfId="15711" xr:uid="{00000000-0005-0000-0000-0000A41A0000}"/>
    <cellStyle name="20% - Accent4 4 3 2 2 5 5" xfId="15712" xr:uid="{00000000-0005-0000-0000-0000A51A0000}"/>
    <cellStyle name="20% - Accent4 4 3 2 2 6" xfId="15713" xr:uid="{00000000-0005-0000-0000-0000A61A0000}"/>
    <cellStyle name="20% - Accent4 4 3 2 2 6 2" xfId="15714" xr:uid="{00000000-0005-0000-0000-0000A71A0000}"/>
    <cellStyle name="20% - Accent4 4 3 2 2 6 3" xfId="15715" xr:uid="{00000000-0005-0000-0000-0000A81A0000}"/>
    <cellStyle name="20% - Accent4 4 3 2 2 7" xfId="15716" xr:uid="{00000000-0005-0000-0000-0000A91A0000}"/>
    <cellStyle name="20% - Accent4 4 3 2 2 7 2" xfId="15717" xr:uid="{00000000-0005-0000-0000-0000AA1A0000}"/>
    <cellStyle name="20% - Accent4 4 3 2 2 7 3" xfId="15718" xr:uid="{00000000-0005-0000-0000-0000AB1A0000}"/>
    <cellStyle name="20% - Accent4 4 3 2 2 8" xfId="15719" xr:uid="{00000000-0005-0000-0000-0000AC1A0000}"/>
    <cellStyle name="20% - Accent4 4 3 2 2 8 2" xfId="15720" xr:uid="{00000000-0005-0000-0000-0000AD1A0000}"/>
    <cellStyle name="20% - Accent4 4 3 2 2 9" xfId="1572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722" xr:uid="{00000000-0005-0000-0000-0000B11A0000}"/>
    <cellStyle name="20% - Accent4 4 3 2 3 2 2 2" xfId="15723" xr:uid="{00000000-0005-0000-0000-0000B21A0000}"/>
    <cellStyle name="20% - Accent4 4 3 2 3 2 2 3" xfId="15724" xr:uid="{00000000-0005-0000-0000-0000B31A0000}"/>
    <cellStyle name="20% - Accent4 4 3 2 3 2 3" xfId="15725" xr:uid="{00000000-0005-0000-0000-0000B41A0000}"/>
    <cellStyle name="20% - Accent4 4 3 2 3 2 3 2" xfId="15726" xr:uid="{00000000-0005-0000-0000-0000B51A0000}"/>
    <cellStyle name="20% - Accent4 4 3 2 3 2 3 3" xfId="15727" xr:uid="{00000000-0005-0000-0000-0000B61A0000}"/>
    <cellStyle name="20% - Accent4 4 3 2 3 2 4" xfId="15728" xr:uid="{00000000-0005-0000-0000-0000B71A0000}"/>
    <cellStyle name="20% - Accent4 4 3 2 3 2 4 2" xfId="15729" xr:uid="{00000000-0005-0000-0000-0000B81A0000}"/>
    <cellStyle name="20% - Accent4 4 3 2 3 2 5" xfId="15730" xr:uid="{00000000-0005-0000-0000-0000B91A0000}"/>
    <cellStyle name="20% - Accent4 4 3 2 3 2 6" xfId="15731" xr:uid="{00000000-0005-0000-0000-0000BA1A0000}"/>
    <cellStyle name="20% - Accent4 4 3 2 3 3" xfId="8891" xr:uid="{00000000-0005-0000-0000-0000BB1A0000}"/>
    <cellStyle name="20% - Accent4 4 3 2 3 3 2" xfId="15732" xr:uid="{00000000-0005-0000-0000-0000BC1A0000}"/>
    <cellStyle name="20% - Accent4 4 3 2 3 3 2 2" xfId="15733" xr:uid="{00000000-0005-0000-0000-0000BD1A0000}"/>
    <cellStyle name="20% - Accent4 4 3 2 3 3 2 3" xfId="15734" xr:uid="{00000000-0005-0000-0000-0000BE1A0000}"/>
    <cellStyle name="20% - Accent4 4 3 2 3 3 3" xfId="15735" xr:uid="{00000000-0005-0000-0000-0000BF1A0000}"/>
    <cellStyle name="20% - Accent4 4 3 2 3 3 3 2" xfId="15736" xr:uid="{00000000-0005-0000-0000-0000C01A0000}"/>
    <cellStyle name="20% - Accent4 4 3 2 3 3 3 3" xfId="15737" xr:uid="{00000000-0005-0000-0000-0000C11A0000}"/>
    <cellStyle name="20% - Accent4 4 3 2 3 3 4" xfId="15738" xr:uid="{00000000-0005-0000-0000-0000C21A0000}"/>
    <cellStyle name="20% - Accent4 4 3 2 3 3 4 2" xfId="15739" xr:uid="{00000000-0005-0000-0000-0000C31A0000}"/>
    <cellStyle name="20% - Accent4 4 3 2 3 3 5" xfId="15740" xr:uid="{00000000-0005-0000-0000-0000C41A0000}"/>
    <cellStyle name="20% - Accent4 4 3 2 3 3 6" xfId="15741" xr:uid="{00000000-0005-0000-0000-0000C51A0000}"/>
    <cellStyle name="20% - Accent4 4 3 2 3 4" xfId="15742" xr:uid="{00000000-0005-0000-0000-0000C61A0000}"/>
    <cellStyle name="20% - Accent4 4 3 2 3 4 2" xfId="15743" xr:uid="{00000000-0005-0000-0000-0000C71A0000}"/>
    <cellStyle name="20% - Accent4 4 3 2 3 4 2 2" xfId="15744" xr:uid="{00000000-0005-0000-0000-0000C81A0000}"/>
    <cellStyle name="20% - Accent4 4 3 2 3 4 2 3" xfId="15745" xr:uid="{00000000-0005-0000-0000-0000C91A0000}"/>
    <cellStyle name="20% - Accent4 4 3 2 3 4 3" xfId="15746" xr:uid="{00000000-0005-0000-0000-0000CA1A0000}"/>
    <cellStyle name="20% - Accent4 4 3 2 3 4 3 2" xfId="15747" xr:uid="{00000000-0005-0000-0000-0000CB1A0000}"/>
    <cellStyle name="20% - Accent4 4 3 2 3 4 4" xfId="15748" xr:uid="{00000000-0005-0000-0000-0000CC1A0000}"/>
    <cellStyle name="20% - Accent4 4 3 2 3 4 5" xfId="15749" xr:uid="{00000000-0005-0000-0000-0000CD1A0000}"/>
    <cellStyle name="20% - Accent4 4 3 2 3 5" xfId="15750" xr:uid="{00000000-0005-0000-0000-0000CE1A0000}"/>
    <cellStyle name="20% - Accent4 4 3 2 3 5 2" xfId="15751" xr:uid="{00000000-0005-0000-0000-0000CF1A0000}"/>
    <cellStyle name="20% - Accent4 4 3 2 3 5 3" xfId="15752" xr:uid="{00000000-0005-0000-0000-0000D01A0000}"/>
    <cellStyle name="20% - Accent4 4 3 2 3 6" xfId="15753" xr:uid="{00000000-0005-0000-0000-0000D11A0000}"/>
    <cellStyle name="20% - Accent4 4 3 2 3 6 2" xfId="15754" xr:uid="{00000000-0005-0000-0000-0000D21A0000}"/>
    <cellStyle name="20% - Accent4 4 3 2 3 6 3" xfId="15755" xr:uid="{00000000-0005-0000-0000-0000D31A0000}"/>
    <cellStyle name="20% - Accent4 4 3 2 3 7" xfId="15756" xr:uid="{00000000-0005-0000-0000-0000D41A0000}"/>
    <cellStyle name="20% - Accent4 4 3 2 3 7 2" xfId="15757" xr:uid="{00000000-0005-0000-0000-0000D51A0000}"/>
    <cellStyle name="20% - Accent4 4 3 2 3 8" xfId="15758" xr:uid="{00000000-0005-0000-0000-0000D61A0000}"/>
    <cellStyle name="20% - Accent4 4 3 2 3 9" xfId="15759" xr:uid="{00000000-0005-0000-0000-0000D71A0000}"/>
    <cellStyle name="20% - Accent4 4 3 2 4" xfId="880" xr:uid="{00000000-0005-0000-0000-0000D81A0000}"/>
    <cellStyle name="20% - Accent4 4 3 2 4 2" xfId="15760" xr:uid="{00000000-0005-0000-0000-0000D91A0000}"/>
    <cellStyle name="20% - Accent4 4 3 2 4 2 2" xfId="15761" xr:uid="{00000000-0005-0000-0000-0000DA1A0000}"/>
    <cellStyle name="20% - Accent4 4 3 2 4 2 2 2" xfId="15762" xr:uid="{00000000-0005-0000-0000-0000DB1A0000}"/>
    <cellStyle name="20% - Accent4 4 3 2 4 2 2 3" xfId="15763" xr:uid="{00000000-0005-0000-0000-0000DC1A0000}"/>
    <cellStyle name="20% - Accent4 4 3 2 4 2 3" xfId="15764" xr:uid="{00000000-0005-0000-0000-0000DD1A0000}"/>
    <cellStyle name="20% - Accent4 4 3 2 4 2 3 2" xfId="15765" xr:uid="{00000000-0005-0000-0000-0000DE1A0000}"/>
    <cellStyle name="20% - Accent4 4 3 2 4 2 3 3" xfId="15766" xr:uid="{00000000-0005-0000-0000-0000DF1A0000}"/>
    <cellStyle name="20% - Accent4 4 3 2 4 2 4" xfId="15767" xr:uid="{00000000-0005-0000-0000-0000E01A0000}"/>
    <cellStyle name="20% - Accent4 4 3 2 4 2 4 2" xfId="15768" xr:uid="{00000000-0005-0000-0000-0000E11A0000}"/>
    <cellStyle name="20% - Accent4 4 3 2 4 2 5" xfId="15769" xr:uid="{00000000-0005-0000-0000-0000E21A0000}"/>
    <cellStyle name="20% - Accent4 4 3 2 4 2 6" xfId="15770" xr:uid="{00000000-0005-0000-0000-0000E31A0000}"/>
    <cellStyle name="20% - Accent4 4 3 2 4 3" xfId="15771" xr:uid="{00000000-0005-0000-0000-0000E41A0000}"/>
    <cellStyle name="20% - Accent4 4 3 2 4 3 2" xfId="15772" xr:uid="{00000000-0005-0000-0000-0000E51A0000}"/>
    <cellStyle name="20% - Accent4 4 3 2 4 3 2 2" xfId="15773" xr:uid="{00000000-0005-0000-0000-0000E61A0000}"/>
    <cellStyle name="20% - Accent4 4 3 2 4 3 2 3" xfId="15774" xr:uid="{00000000-0005-0000-0000-0000E71A0000}"/>
    <cellStyle name="20% - Accent4 4 3 2 4 3 3" xfId="15775" xr:uid="{00000000-0005-0000-0000-0000E81A0000}"/>
    <cellStyle name="20% - Accent4 4 3 2 4 3 3 2" xfId="15776" xr:uid="{00000000-0005-0000-0000-0000E91A0000}"/>
    <cellStyle name="20% - Accent4 4 3 2 4 3 3 3" xfId="15777" xr:uid="{00000000-0005-0000-0000-0000EA1A0000}"/>
    <cellStyle name="20% - Accent4 4 3 2 4 3 4" xfId="15778" xr:uid="{00000000-0005-0000-0000-0000EB1A0000}"/>
    <cellStyle name="20% - Accent4 4 3 2 4 3 4 2" xfId="15779" xr:uid="{00000000-0005-0000-0000-0000EC1A0000}"/>
    <cellStyle name="20% - Accent4 4 3 2 4 3 5" xfId="15780" xr:uid="{00000000-0005-0000-0000-0000ED1A0000}"/>
    <cellStyle name="20% - Accent4 4 3 2 4 3 6" xfId="15781" xr:uid="{00000000-0005-0000-0000-0000EE1A0000}"/>
    <cellStyle name="20% - Accent4 4 3 2 4 4" xfId="15782" xr:uid="{00000000-0005-0000-0000-0000EF1A0000}"/>
    <cellStyle name="20% - Accent4 4 3 2 4 4 2" xfId="15783" xr:uid="{00000000-0005-0000-0000-0000F01A0000}"/>
    <cellStyle name="20% - Accent4 4 3 2 4 4 2 2" xfId="15784" xr:uid="{00000000-0005-0000-0000-0000F11A0000}"/>
    <cellStyle name="20% - Accent4 4 3 2 4 4 2 3" xfId="15785" xr:uid="{00000000-0005-0000-0000-0000F21A0000}"/>
    <cellStyle name="20% - Accent4 4 3 2 4 4 3" xfId="15786" xr:uid="{00000000-0005-0000-0000-0000F31A0000}"/>
    <cellStyle name="20% - Accent4 4 3 2 4 4 3 2" xfId="15787" xr:uid="{00000000-0005-0000-0000-0000F41A0000}"/>
    <cellStyle name="20% - Accent4 4 3 2 4 4 4" xfId="15788" xr:uid="{00000000-0005-0000-0000-0000F51A0000}"/>
    <cellStyle name="20% - Accent4 4 3 2 4 4 5" xfId="15789" xr:uid="{00000000-0005-0000-0000-0000F61A0000}"/>
    <cellStyle name="20% - Accent4 4 3 2 4 5" xfId="15790" xr:uid="{00000000-0005-0000-0000-0000F71A0000}"/>
    <cellStyle name="20% - Accent4 4 3 2 4 5 2" xfId="15791" xr:uid="{00000000-0005-0000-0000-0000F81A0000}"/>
    <cellStyle name="20% - Accent4 4 3 2 4 5 3" xfId="15792" xr:uid="{00000000-0005-0000-0000-0000F91A0000}"/>
    <cellStyle name="20% - Accent4 4 3 2 4 6" xfId="15793" xr:uid="{00000000-0005-0000-0000-0000FA1A0000}"/>
    <cellStyle name="20% - Accent4 4 3 2 4 6 2" xfId="15794" xr:uid="{00000000-0005-0000-0000-0000FB1A0000}"/>
    <cellStyle name="20% - Accent4 4 3 2 4 6 3" xfId="15795" xr:uid="{00000000-0005-0000-0000-0000FC1A0000}"/>
    <cellStyle name="20% - Accent4 4 3 2 4 7" xfId="15796" xr:uid="{00000000-0005-0000-0000-0000FD1A0000}"/>
    <cellStyle name="20% - Accent4 4 3 2 4 7 2" xfId="15797" xr:uid="{00000000-0005-0000-0000-0000FE1A0000}"/>
    <cellStyle name="20% - Accent4 4 3 2 4 8" xfId="15798" xr:uid="{00000000-0005-0000-0000-0000FF1A0000}"/>
    <cellStyle name="20% - Accent4 4 3 2 4 9" xfId="15799" xr:uid="{00000000-0005-0000-0000-0000001B0000}"/>
    <cellStyle name="20% - Accent4 4 3 2 5" xfId="881" xr:uid="{00000000-0005-0000-0000-0000011B0000}"/>
    <cellStyle name="20% - Accent4 4 3 2 5 2" xfId="15800" xr:uid="{00000000-0005-0000-0000-0000021B0000}"/>
    <cellStyle name="20% - Accent4 4 3 2 5 2 2" xfId="15801" xr:uid="{00000000-0005-0000-0000-0000031B0000}"/>
    <cellStyle name="20% - Accent4 4 3 2 5 2 3" xfId="15802" xr:uid="{00000000-0005-0000-0000-0000041B0000}"/>
    <cellStyle name="20% - Accent4 4 3 2 5 3" xfId="15803" xr:uid="{00000000-0005-0000-0000-0000051B0000}"/>
    <cellStyle name="20% - Accent4 4 3 2 5 3 2" xfId="15804" xr:uid="{00000000-0005-0000-0000-0000061B0000}"/>
    <cellStyle name="20% - Accent4 4 3 2 5 3 3" xfId="15805" xr:uid="{00000000-0005-0000-0000-0000071B0000}"/>
    <cellStyle name="20% - Accent4 4 3 2 5 4" xfId="15806" xr:uid="{00000000-0005-0000-0000-0000081B0000}"/>
    <cellStyle name="20% - Accent4 4 3 2 5 4 2" xfId="15807" xr:uid="{00000000-0005-0000-0000-0000091B0000}"/>
    <cellStyle name="20% - Accent4 4 3 2 5 5" xfId="15808" xr:uid="{00000000-0005-0000-0000-00000A1B0000}"/>
    <cellStyle name="20% - Accent4 4 3 2 5 6" xfId="15809" xr:uid="{00000000-0005-0000-0000-00000B1B0000}"/>
    <cellStyle name="20% - Accent4 4 3 2 6" xfId="8892" xr:uid="{00000000-0005-0000-0000-00000C1B0000}"/>
    <cellStyle name="20% - Accent4 4 3 2 6 2" xfId="15810" xr:uid="{00000000-0005-0000-0000-00000D1B0000}"/>
    <cellStyle name="20% - Accent4 4 3 2 6 2 2" xfId="15811" xr:uid="{00000000-0005-0000-0000-00000E1B0000}"/>
    <cellStyle name="20% - Accent4 4 3 2 6 2 3" xfId="15812" xr:uid="{00000000-0005-0000-0000-00000F1B0000}"/>
    <cellStyle name="20% - Accent4 4 3 2 6 3" xfId="15813" xr:uid="{00000000-0005-0000-0000-0000101B0000}"/>
    <cellStyle name="20% - Accent4 4 3 2 6 3 2" xfId="15814" xr:uid="{00000000-0005-0000-0000-0000111B0000}"/>
    <cellStyle name="20% - Accent4 4 3 2 6 3 3" xfId="15815" xr:uid="{00000000-0005-0000-0000-0000121B0000}"/>
    <cellStyle name="20% - Accent4 4 3 2 6 4" xfId="15816" xr:uid="{00000000-0005-0000-0000-0000131B0000}"/>
    <cellStyle name="20% - Accent4 4 3 2 6 4 2" xfId="15817" xr:uid="{00000000-0005-0000-0000-0000141B0000}"/>
    <cellStyle name="20% - Accent4 4 3 2 6 5" xfId="15818" xr:uid="{00000000-0005-0000-0000-0000151B0000}"/>
    <cellStyle name="20% - Accent4 4 3 2 6 6" xfId="15819" xr:uid="{00000000-0005-0000-0000-0000161B0000}"/>
    <cellStyle name="20% - Accent4 4 3 2 7" xfId="15820" xr:uid="{00000000-0005-0000-0000-0000171B0000}"/>
    <cellStyle name="20% - Accent4 4 3 2 7 2" xfId="15821" xr:uid="{00000000-0005-0000-0000-0000181B0000}"/>
    <cellStyle name="20% - Accent4 4 3 2 7 2 2" xfId="15822" xr:uid="{00000000-0005-0000-0000-0000191B0000}"/>
    <cellStyle name="20% - Accent4 4 3 2 7 2 3" xfId="15823" xr:uid="{00000000-0005-0000-0000-00001A1B0000}"/>
    <cellStyle name="20% - Accent4 4 3 2 7 3" xfId="15824" xr:uid="{00000000-0005-0000-0000-00001B1B0000}"/>
    <cellStyle name="20% - Accent4 4 3 2 7 3 2" xfId="15825" xr:uid="{00000000-0005-0000-0000-00001C1B0000}"/>
    <cellStyle name="20% - Accent4 4 3 2 7 4" xfId="15826" xr:uid="{00000000-0005-0000-0000-00001D1B0000}"/>
    <cellStyle name="20% - Accent4 4 3 2 7 5" xfId="15827" xr:uid="{00000000-0005-0000-0000-00001E1B0000}"/>
    <cellStyle name="20% - Accent4 4 3 2 8" xfId="15828" xr:uid="{00000000-0005-0000-0000-00001F1B0000}"/>
    <cellStyle name="20% - Accent4 4 3 2 8 2" xfId="15829" xr:uid="{00000000-0005-0000-0000-0000201B0000}"/>
    <cellStyle name="20% - Accent4 4 3 2 8 3" xfId="15830" xr:uid="{00000000-0005-0000-0000-0000211B0000}"/>
    <cellStyle name="20% - Accent4 4 3 2 9" xfId="15831" xr:uid="{00000000-0005-0000-0000-0000221B0000}"/>
    <cellStyle name="20% - Accent4 4 3 2 9 2" xfId="15832" xr:uid="{00000000-0005-0000-0000-0000231B0000}"/>
    <cellStyle name="20% - Accent4 4 3 2 9 3" xfId="15833" xr:uid="{00000000-0005-0000-0000-0000241B0000}"/>
    <cellStyle name="20% - Accent4 4 3 3" xfId="882" xr:uid="{00000000-0005-0000-0000-0000251B0000}"/>
    <cellStyle name="20% - Accent4 4 3 3 10" xfId="1583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835" xr:uid="{00000000-0005-0000-0000-0000291B0000}"/>
    <cellStyle name="20% - Accent4 4 3 3 2 2 2 2" xfId="15836" xr:uid="{00000000-0005-0000-0000-00002A1B0000}"/>
    <cellStyle name="20% - Accent4 4 3 3 2 2 2 3" xfId="15837" xr:uid="{00000000-0005-0000-0000-00002B1B0000}"/>
    <cellStyle name="20% - Accent4 4 3 3 2 2 3" xfId="15838" xr:uid="{00000000-0005-0000-0000-00002C1B0000}"/>
    <cellStyle name="20% - Accent4 4 3 3 2 2 3 2" xfId="15839" xr:uid="{00000000-0005-0000-0000-00002D1B0000}"/>
    <cellStyle name="20% - Accent4 4 3 3 2 2 3 3" xfId="15840" xr:uid="{00000000-0005-0000-0000-00002E1B0000}"/>
    <cellStyle name="20% - Accent4 4 3 3 2 2 4" xfId="15841" xr:uid="{00000000-0005-0000-0000-00002F1B0000}"/>
    <cellStyle name="20% - Accent4 4 3 3 2 2 4 2" xfId="15842" xr:uid="{00000000-0005-0000-0000-0000301B0000}"/>
    <cellStyle name="20% - Accent4 4 3 3 2 2 5" xfId="15843" xr:uid="{00000000-0005-0000-0000-0000311B0000}"/>
    <cellStyle name="20% - Accent4 4 3 3 2 2 6" xfId="15844" xr:uid="{00000000-0005-0000-0000-0000321B0000}"/>
    <cellStyle name="20% - Accent4 4 3 3 2 3" xfId="8893" xr:uid="{00000000-0005-0000-0000-0000331B0000}"/>
    <cellStyle name="20% - Accent4 4 3 3 2 3 2" xfId="15845" xr:uid="{00000000-0005-0000-0000-0000341B0000}"/>
    <cellStyle name="20% - Accent4 4 3 3 2 3 2 2" xfId="15846" xr:uid="{00000000-0005-0000-0000-0000351B0000}"/>
    <cellStyle name="20% - Accent4 4 3 3 2 3 2 3" xfId="15847" xr:uid="{00000000-0005-0000-0000-0000361B0000}"/>
    <cellStyle name="20% - Accent4 4 3 3 2 3 3" xfId="15848" xr:uid="{00000000-0005-0000-0000-0000371B0000}"/>
    <cellStyle name="20% - Accent4 4 3 3 2 3 3 2" xfId="15849" xr:uid="{00000000-0005-0000-0000-0000381B0000}"/>
    <cellStyle name="20% - Accent4 4 3 3 2 3 3 3" xfId="15850" xr:uid="{00000000-0005-0000-0000-0000391B0000}"/>
    <cellStyle name="20% - Accent4 4 3 3 2 3 4" xfId="15851" xr:uid="{00000000-0005-0000-0000-00003A1B0000}"/>
    <cellStyle name="20% - Accent4 4 3 3 2 3 4 2" xfId="15852" xr:uid="{00000000-0005-0000-0000-00003B1B0000}"/>
    <cellStyle name="20% - Accent4 4 3 3 2 3 5" xfId="15853" xr:uid="{00000000-0005-0000-0000-00003C1B0000}"/>
    <cellStyle name="20% - Accent4 4 3 3 2 3 6" xfId="15854" xr:uid="{00000000-0005-0000-0000-00003D1B0000}"/>
    <cellStyle name="20% - Accent4 4 3 3 2 4" xfId="15855" xr:uid="{00000000-0005-0000-0000-00003E1B0000}"/>
    <cellStyle name="20% - Accent4 4 3 3 2 4 2" xfId="15856" xr:uid="{00000000-0005-0000-0000-00003F1B0000}"/>
    <cellStyle name="20% - Accent4 4 3 3 2 4 2 2" xfId="15857" xr:uid="{00000000-0005-0000-0000-0000401B0000}"/>
    <cellStyle name="20% - Accent4 4 3 3 2 4 2 3" xfId="15858" xr:uid="{00000000-0005-0000-0000-0000411B0000}"/>
    <cellStyle name="20% - Accent4 4 3 3 2 4 3" xfId="15859" xr:uid="{00000000-0005-0000-0000-0000421B0000}"/>
    <cellStyle name="20% - Accent4 4 3 3 2 4 3 2" xfId="15860" xr:uid="{00000000-0005-0000-0000-0000431B0000}"/>
    <cellStyle name="20% - Accent4 4 3 3 2 4 4" xfId="15861" xr:uid="{00000000-0005-0000-0000-0000441B0000}"/>
    <cellStyle name="20% - Accent4 4 3 3 2 4 5" xfId="15862" xr:uid="{00000000-0005-0000-0000-0000451B0000}"/>
    <cellStyle name="20% - Accent4 4 3 3 2 5" xfId="15863" xr:uid="{00000000-0005-0000-0000-0000461B0000}"/>
    <cellStyle name="20% - Accent4 4 3 3 2 5 2" xfId="15864" xr:uid="{00000000-0005-0000-0000-0000471B0000}"/>
    <cellStyle name="20% - Accent4 4 3 3 2 5 3" xfId="15865" xr:uid="{00000000-0005-0000-0000-0000481B0000}"/>
    <cellStyle name="20% - Accent4 4 3 3 2 6" xfId="15866" xr:uid="{00000000-0005-0000-0000-0000491B0000}"/>
    <cellStyle name="20% - Accent4 4 3 3 2 6 2" xfId="15867" xr:uid="{00000000-0005-0000-0000-00004A1B0000}"/>
    <cellStyle name="20% - Accent4 4 3 3 2 6 3" xfId="15868" xr:uid="{00000000-0005-0000-0000-00004B1B0000}"/>
    <cellStyle name="20% - Accent4 4 3 3 2 7" xfId="15869" xr:uid="{00000000-0005-0000-0000-00004C1B0000}"/>
    <cellStyle name="20% - Accent4 4 3 3 2 7 2" xfId="15870" xr:uid="{00000000-0005-0000-0000-00004D1B0000}"/>
    <cellStyle name="20% - Accent4 4 3 3 2 8" xfId="15871" xr:uid="{00000000-0005-0000-0000-00004E1B0000}"/>
    <cellStyle name="20% - Accent4 4 3 3 2 9" xfId="15872" xr:uid="{00000000-0005-0000-0000-00004F1B0000}"/>
    <cellStyle name="20% - Accent4 4 3 3 3" xfId="885" xr:uid="{00000000-0005-0000-0000-0000501B0000}"/>
    <cellStyle name="20% - Accent4 4 3 3 3 2" xfId="15873" xr:uid="{00000000-0005-0000-0000-0000511B0000}"/>
    <cellStyle name="20% - Accent4 4 3 3 3 2 2" xfId="15874" xr:uid="{00000000-0005-0000-0000-0000521B0000}"/>
    <cellStyle name="20% - Accent4 4 3 3 3 2 3" xfId="15875" xr:uid="{00000000-0005-0000-0000-0000531B0000}"/>
    <cellStyle name="20% - Accent4 4 3 3 3 3" xfId="15876" xr:uid="{00000000-0005-0000-0000-0000541B0000}"/>
    <cellStyle name="20% - Accent4 4 3 3 3 3 2" xfId="15877" xr:uid="{00000000-0005-0000-0000-0000551B0000}"/>
    <cellStyle name="20% - Accent4 4 3 3 3 3 3" xfId="15878" xr:uid="{00000000-0005-0000-0000-0000561B0000}"/>
    <cellStyle name="20% - Accent4 4 3 3 3 4" xfId="15879" xr:uid="{00000000-0005-0000-0000-0000571B0000}"/>
    <cellStyle name="20% - Accent4 4 3 3 3 4 2" xfId="15880" xr:uid="{00000000-0005-0000-0000-0000581B0000}"/>
    <cellStyle name="20% - Accent4 4 3 3 3 5" xfId="15881" xr:uid="{00000000-0005-0000-0000-0000591B0000}"/>
    <cellStyle name="20% - Accent4 4 3 3 3 6" xfId="15882" xr:uid="{00000000-0005-0000-0000-00005A1B0000}"/>
    <cellStyle name="20% - Accent4 4 3 3 4" xfId="886" xr:uid="{00000000-0005-0000-0000-00005B1B0000}"/>
    <cellStyle name="20% - Accent4 4 3 3 4 2" xfId="15883" xr:uid="{00000000-0005-0000-0000-00005C1B0000}"/>
    <cellStyle name="20% - Accent4 4 3 3 4 2 2" xfId="15884" xr:uid="{00000000-0005-0000-0000-00005D1B0000}"/>
    <cellStyle name="20% - Accent4 4 3 3 4 2 3" xfId="15885" xr:uid="{00000000-0005-0000-0000-00005E1B0000}"/>
    <cellStyle name="20% - Accent4 4 3 3 4 3" xfId="15886" xr:uid="{00000000-0005-0000-0000-00005F1B0000}"/>
    <cellStyle name="20% - Accent4 4 3 3 4 3 2" xfId="15887" xr:uid="{00000000-0005-0000-0000-0000601B0000}"/>
    <cellStyle name="20% - Accent4 4 3 3 4 3 3" xfId="15888" xr:uid="{00000000-0005-0000-0000-0000611B0000}"/>
    <cellStyle name="20% - Accent4 4 3 3 4 4" xfId="15889" xr:uid="{00000000-0005-0000-0000-0000621B0000}"/>
    <cellStyle name="20% - Accent4 4 3 3 4 4 2" xfId="15890" xr:uid="{00000000-0005-0000-0000-0000631B0000}"/>
    <cellStyle name="20% - Accent4 4 3 3 4 5" xfId="15891" xr:uid="{00000000-0005-0000-0000-0000641B0000}"/>
    <cellStyle name="20% - Accent4 4 3 3 4 6" xfId="15892" xr:uid="{00000000-0005-0000-0000-0000651B0000}"/>
    <cellStyle name="20% - Accent4 4 3 3 5" xfId="8894" xr:uid="{00000000-0005-0000-0000-0000661B0000}"/>
    <cellStyle name="20% - Accent4 4 3 3 5 2" xfId="15893" xr:uid="{00000000-0005-0000-0000-0000671B0000}"/>
    <cellStyle name="20% - Accent4 4 3 3 5 2 2" xfId="15894" xr:uid="{00000000-0005-0000-0000-0000681B0000}"/>
    <cellStyle name="20% - Accent4 4 3 3 5 2 3" xfId="15895" xr:uid="{00000000-0005-0000-0000-0000691B0000}"/>
    <cellStyle name="20% - Accent4 4 3 3 5 3" xfId="15896" xr:uid="{00000000-0005-0000-0000-00006A1B0000}"/>
    <cellStyle name="20% - Accent4 4 3 3 5 3 2" xfId="15897" xr:uid="{00000000-0005-0000-0000-00006B1B0000}"/>
    <cellStyle name="20% - Accent4 4 3 3 5 4" xfId="15898" xr:uid="{00000000-0005-0000-0000-00006C1B0000}"/>
    <cellStyle name="20% - Accent4 4 3 3 5 5" xfId="15899" xr:uid="{00000000-0005-0000-0000-00006D1B0000}"/>
    <cellStyle name="20% - Accent4 4 3 3 6" xfId="15900" xr:uid="{00000000-0005-0000-0000-00006E1B0000}"/>
    <cellStyle name="20% - Accent4 4 3 3 6 2" xfId="15901" xr:uid="{00000000-0005-0000-0000-00006F1B0000}"/>
    <cellStyle name="20% - Accent4 4 3 3 6 3" xfId="15902" xr:uid="{00000000-0005-0000-0000-0000701B0000}"/>
    <cellStyle name="20% - Accent4 4 3 3 7" xfId="15903" xr:uid="{00000000-0005-0000-0000-0000711B0000}"/>
    <cellStyle name="20% - Accent4 4 3 3 7 2" xfId="15904" xr:uid="{00000000-0005-0000-0000-0000721B0000}"/>
    <cellStyle name="20% - Accent4 4 3 3 7 3" xfId="15905" xr:uid="{00000000-0005-0000-0000-0000731B0000}"/>
    <cellStyle name="20% - Accent4 4 3 3 8" xfId="15906" xr:uid="{00000000-0005-0000-0000-0000741B0000}"/>
    <cellStyle name="20% - Accent4 4 3 3 8 2" xfId="15907" xr:uid="{00000000-0005-0000-0000-0000751B0000}"/>
    <cellStyle name="20% - Accent4 4 3 3 9" xfId="1590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909" xr:uid="{00000000-0005-0000-0000-0000791B0000}"/>
    <cellStyle name="20% - Accent4 4 3 4 2 2 2" xfId="15910" xr:uid="{00000000-0005-0000-0000-00007A1B0000}"/>
    <cellStyle name="20% - Accent4 4 3 4 2 2 3" xfId="15911" xr:uid="{00000000-0005-0000-0000-00007B1B0000}"/>
    <cellStyle name="20% - Accent4 4 3 4 2 3" xfId="15912" xr:uid="{00000000-0005-0000-0000-00007C1B0000}"/>
    <cellStyle name="20% - Accent4 4 3 4 2 3 2" xfId="15913" xr:uid="{00000000-0005-0000-0000-00007D1B0000}"/>
    <cellStyle name="20% - Accent4 4 3 4 2 3 3" xfId="15914" xr:uid="{00000000-0005-0000-0000-00007E1B0000}"/>
    <cellStyle name="20% - Accent4 4 3 4 2 4" xfId="15915" xr:uid="{00000000-0005-0000-0000-00007F1B0000}"/>
    <cellStyle name="20% - Accent4 4 3 4 2 4 2" xfId="15916" xr:uid="{00000000-0005-0000-0000-0000801B0000}"/>
    <cellStyle name="20% - Accent4 4 3 4 2 5" xfId="15917" xr:uid="{00000000-0005-0000-0000-0000811B0000}"/>
    <cellStyle name="20% - Accent4 4 3 4 2 6" xfId="15918" xr:uid="{00000000-0005-0000-0000-0000821B0000}"/>
    <cellStyle name="20% - Accent4 4 3 4 3" xfId="8895" xr:uid="{00000000-0005-0000-0000-0000831B0000}"/>
    <cellStyle name="20% - Accent4 4 3 4 3 2" xfId="15919" xr:uid="{00000000-0005-0000-0000-0000841B0000}"/>
    <cellStyle name="20% - Accent4 4 3 4 3 2 2" xfId="15920" xr:uid="{00000000-0005-0000-0000-0000851B0000}"/>
    <cellStyle name="20% - Accent4 4 3 4 3 2 3" xfId="15921" xr:uid="{00000000-0005-0000-0000-0000861B0000}"/>
    <cellStyle name="20% - Accent4 4 3 4 3 3" xfId="15922" xr:uid="{00000000-0005-0000-0000-0000871B0000}"/>
    <cellStyle name="20% - Accent4 4 3 4 3 3 2" xfId="15923" xr:uid="{00000000-0005-0000-0000-0000881B0000}"/>
    <cellStyle name="20% - Accent4 4 3 4 3 3 3" xfId="15924" xr:uid="{00000000-0005-0000-0000-0000891B0000}"/>
    <cellStyle name="20% - Accent4 4 3 4 3 4" xfId="15925" xr:uid="{00000000-0005-0000-0000-00008A1B0000}"/>
    <cellStyle name="20% - Accent4 4 3 4 3 4 2" xfId="15926" xr:uid="{00000000-0005-0000-0000-00008B1B0000}"/>
    <cellStyle name="20% - Accent4 4 3 4 3 5" xfId="15927" xr:uid="{00000000-0005-0000-0000-00008C1B0000}"/>
    <cellStyle name="20% - Accent4 4 3 4 3 6" xfId="15928" xr:uid="{00000000-0005-0000-0000-00008D1B0000}"/>
    <cellStyle name="20% - Accent4 4 3 4 4" xfId="15929" xr:uid="{00000000-0005-0000-0000-00008E1B0000}"/>
    <cellStyle name="20% - Accent4 4 3 4 4 2" xfId="15930" xr:uid="{00000000-0005-0000-0000-00008F1B0000}"/>
    <cellStyle name="20% - Accent4 4 3 4 4 2 2" xfId="15931" xr:uid="{00000000-0005-0000-0000-0000901B0000}"/>
    <cellStyle name="20% - Accent4 4 3 4 4 2 3" xfId="15932" xr:uid="{00000000-0005-0000-0000-0000911B0000}"/>
    <cellStyle name="20% - Accent4 4 3 4 4 3" xfId="15933" xr:uid="{00000000-0005-0000-0000-0000921B0000}"/>
    <cellStyle name="20% - Accent4 4 3 4 4 3 2" xfId="15934" xr:uid="{00000000-0005-0000-0000-0000931B0000}"/>
    <cellStyle name="20% - Accent4 4 3 4 4 4" xfId="15935" xr:uid="{00000000-0005-0000-0000-0000941B0000}"/>
    <cellStyle name="20% - Accent4 4 3 4 4 5" xfId="15936" xr:uid="{00000000-0005-0000-0000-0000951B0000}"/>
    <cellStyle name="20% - Accent4 4 3 4 5" xfId="15937" xr:uid="{00000000-0005-0000-0000-0000961B0000}"/>
    <cellStyle name="20% - Accent4 4 3 4 5 2" xfId="15938" xr:uid="{00000000-0005-0000-0000-0000971B0000}"/>
    <cellStyle name="20% - Accent4 4 3 4 5 3" xfId="15939" xr:uid="{00000000-0005-0000-0000-0000981B0000}"/>
    <cellStyle name="20% - Accent4 4 3 4 6" xfId="15940" xr:uid="{00000000-0005-0000-0000-0000991B0000}"/>
    <cellStyle name="20% - Accent4 4 3 4 6 2" xfId="15941" xr:uid="{00000000-0005-0000-0000-00009A1B0000}"/>
    <cellStyle name="20% - Accent4 4 3 4 6 3" xfId="15942" xr:uid="{00000000-0005-0000-0000-00009B1B0000}"/>
    <cellStyle name="20% - Accent4 4 3 4 7" xfId="15943" xr:uid="{00000000-0005-0000-0000-00009C1B0000}"/>
    <cellStyle name="20% - Accent4 4 3 4 7 2" xfId="15944" xr:uid="{00000000-0005-0000-0000-00009D1B0000}"/>
    <cellStyle name="20% - Accent4 4 3 4 8" xfId="15945" xr:uid="{00000000-0005-0000-0000-00009E1B0000}"/>
    <cellStyle name="20% - Accent4 4 3 4 9" xfId="15946" xr:uid="{00000000-0005-0000-0000-00009F1B0000}"/>
    <cellStyle name="20% - Accent4 4 3 5" xfId="889" xr:uid="{00000000-0005-0000-0000-0000A01B0000}"/>
    <cellStyle name="20% - Accent4 4 3 5 2" xfId="15947" xr:uid="{00000000-0005-0000-0000-0000A11B0000}"/>
    <cellStyle name="20% - Accent4 4 3 5 2 2" xfId="15948" xr:uid="{00000000-0005-0000-0000-0000A21B0000}"/>
    <cellStyle name="20% - Accent4 4 3 5 2 2 2" xfId="15949" xr:uid="{00000000-0005-0000-0000-0000A31B0000}"/>
    <cellStyle name="20% - Accent4 4 3 5 2 2 3" xfId="15950" xr:uid="{00000000-0005-0000-0000-0000A41B0000}"/>
    <cellStyle name="20% - Accent4 4 3 5 2 3" xfId="15951" xr:uid="{00000000-0005-0000-0000-0000A51B0000}"/>
    <cellStyle name="20% - Accent4 4 3 5 2 3 2" xfId="15952" xr:uid="{00000000-0005-0000-0000-0000A61B0000}"/>
    <cellStyle name="20% - Accent4 4 3 5 2 3 3" xfId="15953" xr:uid="{00000000-0005-0000-0000-0000A71B0000}"/>
    <cellStyle name="20% - Accent4 4 3 5 2 4" xfId="15954" xr:uid="{00000000-0005-0000-0000-0000A81B0000}"/>
    <cellStyle name="20% - Accent4 4 3 5 2 4 2" xfId="15955" xr:uid="{00000000-0005-0000-0000-0000A91B0000}"/>
    <cellStyle name="20% - Accent4 4 3 5 2 5" xfId="15956" xr:uid="{00000000-0005-0000-0000-0000AA1B0000}"/>
    <cellStyle name="20% - Accent4 4 3 5 2 6" xfId="15957" xr:uid="{00000000-0005-0000-0000-0000AB1B0000}"/>
    <cellStyle name="20% - Accent4 4 3 5 3" xfId="15958" xr:uid="{00000000-0005-0000-0000-0000AC1B0000}"/>
    <cellStyle name="20% - Accent4 4 3 5 3 2" xfId="15959" xr:uid="{00000000-0005-0000-0000-0000AD1B0000}"/>
    <cellStyle name="20% - Accent4 4 3 5 3 2 2" xfId="15960" xr:uid="{00000000-0005-0000-0000-0000AE1B0000}"/>
    <cellStyle name="20% - Accent4 4 3 5 3 2 3" xfId="15961" xr:uid="{00000000-0005-0000-0000-0000AF1B0000}"/>
    <cellStyle name="20% - Accent4 4 3 5 3 3" xfId="15962" xr:uid="{00000000-0005-0000-0000-0000B01B0000}"/>
    <cellStyle name="20% - Accent4 4 3 5 3 3 2" xfId="15963" xr:uid="{00000000-0005-0000-0000-0000B11B0000}"/>
    <cellStyle name="20% - Accent4 4 3 5 3 3 3" xfId="15964" xr:uid="{00000000-0005-0000-0000-0000B21B0000}"/>
    <cellStyle name="20% - Accent4 4 3 5 3 4" xfId="15965" xr:uid="{00000000-0005-0000-0000-0000B31B0000}"/>
    <cellStyle name="20% - Accent4 4 3 5 3 4 2" xfId="15966" xr:uid="{00000000-0005-0000-0000-0000B41B0000}"/>
    <cellStyle name="20% - Accent4 4 3 5 3 5" xfId="15967" xr:uid="{00000000-0005-0000-0000-0000B51B0000}"/>
    <cellStyle name="20% - Accent4 4 3 5 3 6" xfId="15968" xr:uid="{00000000-0005-0000-0000-0000B61B0000}"/>
    <cellStyle name="20% - Accent4 4 3 5 4" xfId="15969" xr:uid="{00000000-0005-0000-0000-0000B71B0000}"/>
    <cellStyle name="20% - Accent4 4 3 5 4 2" xfId="15970" xr:uid="{00000000-0005-0000-0000-0000B81B0000}"/>
    <cellStyle name="20% - Accent4 4 3 5 4 2 2" xfId="15971" xr:uid="{00000000-0005-0000-0000-0000B91B0000}"/>
    <cellStyle name="20% - Accent4 4 3 5 4 2 3" xfId="15972" xr:uid="{00000000-0005-0000-0000-0000BA1B0000}"/>
    <cellStyle name="20% - Accent4 4 3 5 4 3" xfId="15973" xr:uid="{00000000-0005-0000-0000-0000BB1B0000}"/>
    <cellStyle name="20% - Accent4 4 3 5 4 3 2" xfId="15974" xr:uid="{00000000-0005-0000-0000-0000BC1B0000}"/>
    <cellStyle name="20% - Accent4 4 3 5 4 4" xfId="15975" xr:uid="{00000000-0005-0000-0000-0000BD1B0000}"/>
    <cellStyle name="20% - Accent4 4 3 5 4 5" xfId="15976" xr:uid="{00000000-0005-0000-0000-0000BE1B0000}"/>
    <cellStyle name="20% - Accent4 4 3 5 5" xfId="15977" xr:uid="{00000000-0005-0000-0000-0000BF1B0000}"/>
    <cellStyle name="20% - Accent4 4 3 5 5 2" xfId="15978" xr:uid="{00000000-0005-0000-0000-0000C01B0000}"/>
    <cellStyle name="20% - Accent4 4 3 5 5 3" xfId="15979" xr:uid="{00000000-0005-0000-0000-0000C11B0000}"/>
    <cellStyle name="20% - Accent4 4 3 5 6" xfId="15980" xr:uid="{00000000-0005-0000-0000-0000C21B0000}"/>
    <cellStyle name="20% - Accent4 4 3 5 6 2" xfId="15981" xr:uid="{00000000-0005-0000-0000-0000C31B0000}"/>
    <cellStyle name="20% - Accent4 4 3 5 6 3" xfId="15982" xr:uid="{00000000-0005-0000-0000-0000C41B0000}"/>
    <cellStyle name="20% - Accent4 4 3 5 7" xfId="15983" xr:uid="{00000000-0005-0000-0000-0000C51B0000}"/>
    <cellStyle name="20% - Accent4 4 3 5 7 2" xfId="15984" xr:uid="{00000000-0005-0000-0000-0000C61B0000}"/>
    <cellStyle name="20% - Accent4 4 3 5 8" xfId="15985" xr:uid="{00000000-0005-0000-0000-0000C71B0000}"/>
    <cellStyle name="20% - Accent4 4 3 5 9" xfId="15986" xr:uid="{00000000-0005-0000-0000-0000C81B0000}"/>
    <cellStyle name="20% - Accent4 4 3 6" xfId="890" xr:uid="{00000000-0005-0000-0000-0000C91B0000}"/>
    <cellStyle name="20% - Accent4 4 3 6 2" xfId="15987" xr:uid="{00000000-0005-0000-0000-0000CA1B0000}"/>
    <cellStyle name="20% - Accent4 4 3 6 2 2" xfId="15988" xr:uid="{00000000-0005-0000-0000-0000CB1B0000}"/>
    <cellStyle name="20% - Accent4 4 3 6 2 3" xfId="15989" xr:uid="{00000000-0005-0000-0000-0000CC1B0000}"/>
    <cellStyle name="20% - Accent4 4 3 6 3" xfId="15990" xr:uid="{00000000-0005-0000-0000-0000CD1B0000}"/>
    <cellStyle name="20% - Accent4 4 3 6 3 2" xfId="15991" xr:uid="{00000000-0005-0000-0000-0000CE1B0000}"/>
    <cellStyle name="20% - Accent4 4 3 6 3 3" xfId="15992" xr:uid="{00000000-0005-0000-0000-0000CF1B0000}"/>
    <cellStyle name="20% - Accent4 4 3 6 4" xfId="15993" xr:uid="{00000000-0005-0000-0000-0000D01B0000}"/>
    <cellStyle name="20% - Accent4 4 3 6 4 2" xfId="15994" xr:uid="{00000000-0005-0000-0000-0000D11B0000}"/>
    <cellStyle name="20% - Accent4 4 3 6 5" xfId="15995" xr:uid="{00000000-0005-0000-0000-0000D21B0000}"/>
    <cellStyle name="20% - Accent4 4 3 6 6" xfId="15996" xr:uid="{00000000-0005-0000-0000-0000D31B0000}"/>
    <cellStyle name="20% - Accent4 4 3 7" xfId="8896" xr:uid="{00000000-0005-0000-0000-0000D41B0000}"/>
    <cellStyle name="20% - Accent4 4 3 7 2" xfId="15997" xr:uid="{00000000-0005-0000-0000-0000D51B0000}"/>
    <cellStyle name="20% - Accent4 4 3 7 2 2" xfId="15998" xr:uid="{00000000-0005-0000-0000-0000D61B0000}"/>
    <cellStyle name="20% - Accent4 4 3 7 2 3" xfId="15999" xr:uid="{00000000-0005-0000-0000-0000D71B0000}"/>
    <cellStyle name="20% - Accent4 4 3 7 3" xfId="16000" xr:uid="{00000000-0005-0000-0000-0000D81B0000}"/>
    <cellStyle name="20% - Accent4 4 3 7 3 2" xfId="16001" xr:uid="{00000000-0005-0000-0000-0000D91B0000}"/>
    <cellStyle name="20% - Accent4 4 3 7 3 3" xfId="16002" xr:uid="{00000000-0005-0000-0000-0000DA1B0000}"/>
    <cellStyle name="20% - Accent4 4 3 7 4" xfId="16003" xr:uid="{00000000-0005-0000-0000-0000DB1B0000}"/>
    <cellStyle name="20% - Accent4 4 3 7 4 2" xfId="16004" xr:uid="{00000000-0005-0000-0000-0000DC1B0000}"/>
    <cellStyle name="20% - Accent4 4 3 7 5" xfId="16005" xr:uid="{00000000-0005-0000-0000-0000DD1B0000}"/>
    <cellStyle name="20% - Accent4 4 3 7 6" xfId="16006" xr:uid="{00000000-0005-0000-0000-0000DE1B0000}"/>
    <cellStyle name="20% - Accent4 4 3 8" xfId="16007" xr:uid="{00000000-0005-0000-0000-0000DF1B0000}"/>
    <cellStyle name="20% - Accent4 4 3 8 2" xfId="16008" xr:uid="{00000000-0005-0000-0000-0000E01B0000}"/>
    <cellStyle name="20% - Accent4 4 3 8 2 2" xfId="16009" xr:uid="{00000000-0005-0000-0000-0000E11B0000}"/>
    <cellStyle name="20% - Accent4 4 3 8 2 3" xfId="16010" xr:uid="{00000000-0005-0000-0000-0000E21B0000}"/>
    <cellStyle name="20% - Accent4 4 3 8 3" xfId="16011" xr:uid="{00000000-0005-0000-0000-0000E31B0000}"/>
    <cellStyle name="20% - Accent4 4 3 8 3 2" xfId="16012" xr:uid="{00000000-0005-0000-0000-0000E41B0000}"/>
    <cellStyle name="20% - Accent4 4 3 8 4" xfId="16013" xr:uid="{00000000-0005-0000-0000-0000E51B0000}"/>
    <cellStyle name="20% - Accent4 4 3 8 5" xfId="16014" xr:uid="{00000000-0005-0000-0000-0000E61B0000}"/>
    <cellStyle name="20% - Accent4 4 3 9" xfId="16015" xr:uid="{00000000-0005-0000-0000-0000E71B0000}"/>
    <cellStyle name="20% - Accent4 4 3 9 2" xfId="16016" xr:uid="{00000000-0005-0000-0000-0000E81B0000}"/>
    <cellStyle name="20% - Accent4 4 3 9 3" xfId="16017" xr:uid="{00000000-0005-0000-0000-0000E91B0000}"/>
    <cellStyle name="20% - Accent4 4 4" xfId="891" xr:uid="{00000000-0005-0000-0000-0000EA1B0000}"/>
    <cellStyle name="20% - Accent4 4 4 10" xfId="16018" xr:uid="{00000000-0005-0000-0000-0000EB1B0000}"/>
    <cellStyle name="20% - Accent4 4 4 10 2" xfId="16019" xr:uid="{00000000-0005-0000-0000-0000EC1B0000}"/>
    <cellStyle name="20% - Accent4 4 4 11" xfId="16020" xr:uid="{00000000-0005-0000-0000-0000ED1B0000}"/>
    <cellStyle name="20% - Accent4 4 4 12" xfId="16021" xr:uid="{00000000-0005-0000-0000-0000EE1B0000}"/>
    <cellStyle name="20% - Accent4 4 4 2" xfId="892" xr:uid="{00000000-0005-0000-0000-0000EF1B0000}"/>
    <cellStyle name="20% - Accent4 4 4 2 10" xfId="1602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897" xr:uid="{00000000-0005-0000-0000-0000F31B0000}"/>
    <cellStyle name="20% - Accent4 4 4 2 2 2 2 2" xfId="16023" xr:uid="{00000000-0005-0000-0000-0000F41B0000}"/>
    <cellStyle name="20% - Accent4 4 4 2 2 2 2 3" xfId="16024" xr:uid="{00000000-0005-0000-0000-0000F51B0000}"/>
    <cellStyle name="20% - Accent4 4 4 2 2 2 3" xfId="16025" xr:uid="{00000000-0005-0000-0000-0000F61B0000}"/>
    <cellStyle name="20% - Accent4 4 4 2 2 2 3 2" xfId="16026" xr:uid="{00000000-0005-0000-0000-0000F71B0000}"/>
    <cellStyle name="20% - Accent4 4 4 2 2 2 3 3" xfId="16027" xr:uid="{00000000-0005-0000-0000-0000F81B0000}"/>
    <cellStyle name="20% - Accent4 4 4 2 2 2 4" xfId="16028" xr:uid="{00000000-0005-0000-0000-0000F91B0000}"/>
    <cellStyle name="20% - Accent4 4 4 2 2 2 4 2" xfId="16029" xr:uid="{00000000-0005-0000-0000-0000FA1B0000}"/>
    <cellStyle name="20% - Accent4 4 4 2 2 2 5" xfId="16030" xr:uid="{00000000-0005-0000-0000-0000FB1B0000}"/>
    <cellStyle name="20% - Accent4 4 4 2 2 2 6" xfId="16031" xr:uid="{00000000-0005-0000-0000-0000FC1B0000}"/>
    <cellStyle name="20% - Accent4 4 4 2 2 3" xfId="895" xr:uid="{00000000-0005-0000-0000-0000FD1B0000}"/>
    <cellStyle name="20% - Accent4 4 4 2 2 3 2" xfId="16032" xr:uid="{00000000-0005-0000-0000-0000FE1B0000}"/>
    <cellStyle name="20% - Accent4 4 4 2 2 3 2 2" xfId="16033" xr:uid="{00000000-0005-0000-0000-0000FF1B0000}"/>
    <cellStyle name="20% - Accent4 4 4 2 2 3 2 3" xfId="16034" xr:uid="{00000000-0005-0000-0000-0000001C0000}"/>
    <cellStyle name="20% - Accent4 4 4 2 2 3 3" xfId="16035" xr:uid="{00000000-0005-0000-0000-0000011C0000}"/>
    <cellStyle name="20% - Accent4 4 4 2 2 3 3 2" xfId="16036" xr:uid="{00000000-0005-0000-0000-0000021C0000}"/>
    <cellStyle name="20% - Accent4 4 4 2 2 3 3 3" xfId="16037" xr:uid="{00000000-0005-0000-0000-0000031C0000}"/>
    <cellStyle name="20% - Accent4 4 4 2 2 3 4" xfId="16038" xr:uid="{00000000-0005-0000-0000-0000041C0000}"/>
    <cellStyle name="20% - Accent4 4 4 2 2 3 4 2" xfId="16039" xr:uid="{00000000-0005-0000-0000-0000051C0000}"/>
    <cellStyle name="20% - Accent4 4 4 2 2 3 5" xfId="16040" xr:uid="{00000000-0005-0000-0000-0000061C0000}"/>
    <cellStyle name="20% - Accent4 4 4 2 2 3 6" xfId="16041" xr:uid="{00000000-0005-0000-0000-0000071C0000}"/>
    <cellStyle name="20% - Accent4 4 4 2 2 4" xfId="8898" xr:uid="{00000000-0005-0000-0000-0000081C0000}"/>
    <cellStyle name="20% - Accent4 4 4 2 2 4 2" xfId="16042" xr:uid="{00000000-0005-0000-0000-0000091C0000}"/>
    <cellStyle name="20% - Accent4 4 4 2 2 4 2 2" xfId="16043" xr:uid="{00000000-0005-0000-0000-00000A1C0000}"/>
    <cellStyle name="20% - Accent4 4 4 2 2 4 2 3" xfId="16044" xr:uid="{00000000-0005-0000-0000-00000B1C0000}"/>
    <cellStyle name="20% - Accent4 4 4 2 2 4 3" xfId="16045" xr:uid="{00000000-0005-0000-0000-00000C1C0000}"/>
    <cellStyle name="20% - Accent4 4 4 2 2 4 3 2" xfId="16046" xr:uid="{00000000-0005-0000-0000-00000D1C0000}"/>
    <cellStyle name="20% - Accent4 4 4 2 2 4 4" xfId="16047" xr:uid="{00000000-0005-0000-0000-00000E1C0000}"/>
    <cellStyle name="20% - Accent4 4 4 2 2 4 5" xfId="16048" xr:uid="{00000000-0005-0000-0000-00000F1C0000}"/>
    <cellStyle name="20% - Accent4 4 4 2 2 5" xfId="16049" xr:uid="{00000000-0005-0000-0000-0000101C0000}"/>
    <cellStyle name="20% - Accent4 4 4 2 2 5 2" xfId="16050" xr:uid="{00000000-0005-0000-0000-0000111C0000}"/>
    <cellStyle name="20% - Accent4 4 4 2 2 5 3" xfId="16051" xr:uid="{00000000-0005-0000-0000-0000121C0000}"/>
    <cellStyle name="20% - Accent4 4 4 2 2 6" xfId="16052" xr:uid="{00000000-0005-0000-0000-0000131C0000}"/>
    <cellStyle name="20% - Accent4 4 4 2 2 6 2" xfId="16053" xr:uid="{00000000-0005-0000-0000-0000141C0000}"/>
    <cellStyle name="20% - Accent4 4 4 2 2 6 3" xfId="16054" xr:uid="{00000000-0005-0000-0000-0000151C0000}"/>
    <cellStyle name="20% - Accent4 4 4 2 2 7" xfId="16055" xr:uid="{00000000-0005-0000-0000-0000161C0000}"/>
    <cellStyle name="20% - Accent4 4 4 2 2 7 2" xfId="16056" xr:uid="{00000000-0005-0000-0000-0000171C0000}"/>
    <cellStyle name="20% - Accent4 4 4 2 2 8" xfId="16057" xr:uid="{00000000-0005-0000-0000-0000181C0000}"/>
    <cellStyle name="20% - Accent4 4 4 2 2 9" xfId="16058" xr:uid="{00000000-0005-0000-0000-0000191C0000}"/>
    <cellStyle name="20% - Accent4 4 4 2 3" xfId="896" xr:uid="{00000000-0005-0000-0000-00001A1C0000}"/>
    <cellStyle name="20% - Accent4 4 4 2 3 2" xfId="8899" xr:uid="{00000000-0005-0000-0000-00001B1C0000}"/>
    <cellStyle name="20% - Accent4 4 4 2 3 2 2" xfId="16059" xr:uid="{00000000-0005-0000-0000-00001C1C0000}"/>
    <cellStyle name="20% - Accent4 4 4 2 3 2 3" xfId="16060" xr:uid="{00000000-0005-0000-0000-00001D1C0000}"/>
    <cellStyle name="20% - Accent4 4 4 2 3 3" xfId="16061" xr:uid="{00000000-0005-0000-0000-00001E1C0000}"/>
    <cellStyle name="20% - Accent4 4 4 2 3 3 2" xfId="16062" xr:uid="{00000000-0005-0000-0000-00001F1C0000}"/>
    <cellStyle name="20% - Accent4 4 4 2 3 3 3" xfId="16063" xr:uid="{00000000-0005-0000-0000-0000201C0000}"/>
    <cellStyle name="20% - Accent4 4 4 2 3 4" xfId="16064" xr:uid="{00000000-0005-0000-0000-0000211C0000}"/>
    <cellStyle name="20% - Accent4 4 4 2 3 4 2" xfId="16065" xr:uid="{00000000-0005-0000-0000-0000221C0000}"/>
    <cellStyle name="20% - Accent4 4 4 2 3 5" xfId="16066" xr:uid="{00000000-0005-0000-0000-0000231C0000}"/>
    <cellStyle name="20% - Accent4 4 4 2 3 6" xfId="16067" xr:uid="{00000000-0005-0000-0000-0000241C0000}"/>
    <cellStyle name="20% - Accent4 4 4 2 4" xfId="897" xr:uid="{00000000-0005-0000-0000-0000251C0000}"/>
    <cellStyle name="20% - Accent4 4 4 2 4 2" xfId="16068" xr:uid="{00000000-0005-0000-0000-0000261C0000}"/>
    <cellStyle name="20% - Accent4 4 4 2 4 2 2" xfId="16069" xr:uid="{00000000-0005-0000-0000-0000271C0000}"/>
    <cellStyle name="20% - Accent4 4 4 2 4 2 3" xfId="16070" xr:uid="{00000000-0005-0000-0000-0000281C0000}"/>
    <cellStyle name="20% - Accent4 4 4 2 4 3" xfId="16071" xr:uid="{00000000-0005-0000-0000-0000291C0000}"/>
    <cellStyle name="20% - Accent4 4 4 2 4 3 2" xfId="16072" xr:uid="{00000000-0005-0000-0000-00002A1C0000}"/>
    <cellStyle name="20% - Accent4 4 4 2 4 3 3" xfId="16073" xr:uid="{00000000-0005-0000-0000-00002B1C0000}"/>
    <cellStyle name="20% - Accent4 4 4 2 4 4" xfId="16074" xr:uid="{00000000-0005-0000-0000-00002C1C0000}"/>
    <cellStyle name="20% - Accent4 4 4 2 4 4 2" xfId="16075" xr:uid="{00000000-0005-0000-0000-00002D1C0000}"/>
    <cellStyle name="20% - Accent4 4 4 2 4 5" xfId="16076" xr:uid="{00000000-0005-0000-0000-00002E1C0000}"/>
    <cellStyle name="20% - Accent4 4 4 2 4 6" xfId="16077" xr:uid="{00000000-0005-0000-0000-00002F1C0000}"/>
    <cellStyle name="20% - Accent4 4 4 2 5" xfId="8900" xr:uid="{00000000-0005-0000-0000-0000301C0000}"/>
    <cellStyle name="20% - Accent4 4 4 2 5 2" xfId="16078" xr:uid="{00000000-0005-0000-0000-0000311C0000}"/>
    <cellStyle name="20% - Accent4 4 4 2 5 2 2" xfId="16079" xr:uid="{00000000-0005-0000-0000-0000321C0000}"/>
    <cellStyle name="20% - Accent4 4 4 2 5 2 3" xfId="16080" xr:uid="{00000000-0005-0000-0000-0000331C0000}"/>
    <cellStyle name="20% - Accent4 4 4 2 5 3" xfId="16081" xr:uid="{00000000-0005-0000-0000-0000341C0000}"/>
    <cellStyle name="20% - Accent4 4 4 2 5 3 2" xfId="16082" xr:uid="{00000000-0005-0000-0000-0000351C0000}"/>
    <cellStyle name="20% - Accent4 4 4 2 5 4" xfId="16083" xr:uid="{00000000-0005-0000-0000-0000361C0000}"/>
    <cellStyle name="20% - Accent4 4 4 2 5 5" xfId="16084" xr:uid="{00000000-0005-0000-0000-0000371C0000}"/>
    <cellStyle name="20% - Accent4 4 4 2 6" xfId="16085" xr:uid="{00000000-0005-0000-0000-0000381C0000}"/>
    <cellStyle name="20% - Accent4 4 4 2 6 2" xfId="16086" xr:uid="{00000000-0005-0000-0000-0000391C0000}"/>
    <cellStyle name="20% - Accent4 4 4 2 6 3" xfId="16087" xr:uid="{00000000-0005-0000-0000-00003A1C0000}"/>
    <cellStyle name="20% - Accent4 4 4 2 7" xfId="16088" xr:uid="{00000000-0005-0000-0000-00003B1C0000}"/>
    <cellStyle name="20% - Accent4 4 4 2 7 2" xfId="16089" xr:uid="{00000000-0005-0000-0000-00003C1C0000}"/>
    <cellStyle name="20% - Accent4 4 4 2 7 3" xfId="16090" xr:uid="{00000000-0005-0000-0000-00003D1C0000}"/>
    <cellStyle name="20% - Accent4 4 4 2 8" xfId="16091" xr:uid="{00000000-0005-0000-0000-00003E1C0000}"/>
    <cellStyle name="20% - Accent4 4 4 2 8 2" xfId="16092" xr:uid="{00000000-0005-0000-0000-00003F1C0000}"/>
    <cellStyle name="20% - Accent4 4 4 2 9" xfId="1609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01" xr:uid="{00000000-0005-0000-0000-0000431C0000}"/>
    <cellStyle name="20% - Accent4 4 4 3 2 2 2" xfId="16094" xr:uid="{00000000-0005-0000-0000-0000441C0000}"/>
    <cellStyle name="20% - Accent4 4 4 3 2 2 3" xfId="16095" xr:uid="{00000000-0005-0000-0000-0000451C0000}"/>
    <cellStyle name="20% - Accent4 4 4 3 2 3" xfId="16096" xr:uid="{00000000-0005-0000-0000-0000461C0000}"/>
    <cellStyle name="20% - Accent4 4 4 3 2 3 2" xfId="16097" xr:uid="{00000000-0005-0000-0000-0000471C0000}"/>
    <cellStyle name="20% - Accent4 4 4 3 2 3 3" xfId="16098" xr:uid="{00000000-0005-0000-0000-0000481C0000}"/>
    <cellStyle name="20% - Accent4 4 4 3 2 4" xfId="16099" xr:uid="{00000000-0005-0000-0000-0000491C0000}"/>
    <cellStyle name="20% - Accent4 4 4 3 2 4 2" xfId="16100" xr:uid="{00000000-0005-0000-0000-00004A1C0000}"/>
    <cellStyle name="20% - Accent4 4 4 3 2 5" xfId="16101" xr:uid="{00000000-0005-0000-0000-00004B1C0000}"/>
    <cellStyle name="20% - Accent4 4 4 3 2 6" xfId="16102" xr:uid="{00000000-0005-0000-0000-00004C1C0000}"/>
    <cellStyle name="20% - Accent4 4 4 3 3" xfId="900" xr:uid="{00000000-0005-0000-0000-00004D1C0000}"/>
    <cellStyle name="20% - Accent4 4 4 3 3 2" xfId="16103" xr:uid="{00000000-0005-0000-0000-00004E1C0000}"/>
    <cellStyle name="20% - Accent4 4 4 3 3 2 2" xfId="16104" xr:uid="{00000000-0005-0000-0000-00004F1C0000}"/>
    <cellStyle name="20% - Accent4 4 4 3 3 2 3" xfId="16105" xr:uid="{00000000-0005-0000-0000-0000501C0000}"/>
    <cellStyle name="20% - Accent4 4 4 3 3 3" xfId="16106" xr:uid="{00000000-0005-0000-0000-0000511C0000}"/>
    <cellStyle name="20% - Accent4 4 4 3 3 3 2" xfId="16107" xr:uid="{00000000-0005-0000-0000-0000521C0000}"/>
    <cellStyle name="20% - Accent4 4 4 3 3 3 3" xfId="16108" xr:uid="{00000000-0005-0000-0000-0000531C0000}"/>
    <cellStyle name="20% - Accent4 4 4 3 3 4" xfId="16109" xr:uid="{00000000-0005-0000-0000-0000541C0000}"/>
    <cellStyle name="20% - Accent4 4 4 3 3 4 2" xfId="16110" xr:uid="{00000000-0005-0000-0000-0000551C0000}"/>
    <cellStyle name="20% - Accent4 4 4 3 3 5" xfId="16111" xr:uid="{00000000-0005-0000-0000-0000561C0000}"/>
    <cellStyle name="20% - Accent4 4 4 3 3 6" xfId="16112" xr:uid="{00000000-0005-0000-0000-0000571C0000}"/>
    <cellStyle name="20% - Accent4 4 4 3 4" xfId="8902" xr:uid="{00000000-0005-0000-0000-0000581C0000}"/>
    <cellStyle name="20% - Accent4 4 4 3 4 2" xfId="16113" xr:uid="{00000000-0005-0000-0000-0000591C0000}"/>
    <cellStyle name="20% - Accent4 4 4 3 4 2 2" xfId="16114" xr:uid="{00000000-0005-0000-0000-00005A1C0000}"/>
    <cellStyle name="20% - Accent4 4 4 3 4 2 3" xfId="16115" xr:uid="{00000000-0005-0000-0000-00005B1C0000}"/>
    <cellStyle name="20% - Accent4 4 4 3 4 3" xfId="16116" xr:uid="{00000000-0005-0000-0000-00005C1C0000}"/>
    <cellStyle name="20% - Accent4 4 4 3 4 3 2" xfId="16117" xr:uid="{00000000-0005-0000-0000-00005D1C0000}"/>
    <cellStyle name="20% - Accent4 4 4 3 4 4" xfId="16118" xr:uid="{00000000-0005-0000-0000-00005E1C0000}"/>
    <cellStyle name="20% - Accent4 4 4 3 4 5" xfId="16119" xr:uid="{00000000-0005-0000-0000-00005F1C0000}"/>
    <cellStyle name="20% - Accent4 4 4 3 5" xfId="16120" xr:uid="{00000000-0005-0000-0000-0000601C0000}"/>
    <cellStyle name="20% - Accent4 4 4 3 5 2" xfId="16121" xr:uid="{00000000-0005-0000-0000-0000611C0000}"/>
    <cellStyle name="20% - Accent4 4 4 3 5 3" xfId="16122" xr:uid="{00000000-0005-0000-0000-0000621C0000}"/>
    <cellStyle name="20% - Accent4 4 4 3 6" xfId="16123" xr:uid="{00000000-0005-0000-0000-0000631C0000}"/>
    <cellStyle name="20% - Accent4 4 4 3 6 2" xfId="16124" xr:uid="{00000000-0005-0000-0000-0000641C0000}"/>
    <cellStyle name="20% - Accent4 4 4 3 6 3" xfId="16125" xr:uid="{00000000-0005-0000-0000-0000651C0000}"/>
    <cellStyle name="20% - Accent4 4 4 3 7" xfId="16126" xr:uid="{00000000-0005-0000-0000-0000661C0000}"/>
    <cellStyle name="20% - Accent4 4 4 3 7 2" xfId="16127" xr:uid="{00000000-0005-0000-0000-0000671C0000}"/>
    <cellStyle name="20% - Accent4 4 4 3 8" xfId="16128" xr:uid="{00000000-0005-0000-0000-0000681C0000}"/>
    <cellStyle name="20% - Accent4 4 4 3 9" xfId="16129" xr:uid="{00000000-0005-0000-0000-0000691C0000}"/>
    <cellStyle name="20% - Accent4 4 4 4" xfId="901" xr:uid="{00000000-0005-0000-0000-00006A1C0000}"/>
    <cellStyle name="20% - Accent4 4 4 4 2" xfId="8903" xr:uid="{00000000-0005-0000-0000-00006B1C0000}"/>
    <cellStyle name="20% - Accent4 4 4 4 2 2" xfId="16130" xr:uid="{00000000-0005-0000-0000-00006C1C0000}"/>
    <cellStyle name="20% - Accent4 4 4 4 2 2 2" xfId="16131" xr:uid="{00000000-0005-0000-0000-00006D1C0000}"/>
    <cellStyle name="20% - Accent4 4 4 4 2 2 3" xfId="16132" xr:uid="{00000000-0005-0000-0000-00006E1C0000}"/>
    <cellStyle name="20% - Accent4 4 4 4 2 3" xfId="16133" xr:uid="{00000000-0005-0000-0000-00006F1C0000}"/>
    <cellStyle name="20% - Accent4 4 4 4 2 3 2" xfId="16134" xr:uid="{00000000-0005-0000-0000-0000701C0000}"/>
    <cellStyle name="20% - Accent4 4 4 4 2 3 3" xfId="16135" xr:uid="{00000000-0005-0000-0000-0000711C0000}"/>
    <cellStyle name="20% - Accent4 4 4 4 2 4" xfId="16136" xr:uid="{00000000-0005-0000-0000-0000721C0000}"/>
    <cellStyle name="20% - Accent4 4 4 4 2 4 2" xfId="16137" xr:uid="{00000000-0005-0000-0000-0000731C0000}"/>
    <cellStyle name="20% - Accent4 4 4 4 2 5" xfId="16138" xr:uid="{00000000-0005-0000-0000-0000741C0000}"/>
    <cellStyle name="20% - Accent4 4 4 4 2 6" xfId="16139" xr:uid="{00000000-0005-0000-0000-0000751C0000}"/>
    <cellStyle name="20% - Accent4 4 4 4 3" xfId="16140" xr:uid="{00000000-0005-0000-0000-0000761C0000}"/>
    <cellStyle name="20% - Accent4 4 4 4 3 2" xfId="16141" xr:uid="{00000000-0005-0000-0000-0000771C0000}"/>
    <cellStyle name="20% - Accent4 4 4 4 3 2 2" xfId="16142" xr:uid="{00000000-0005-0000-0000-0000781C0000}"/>
    <cellStyle name="20% - Accent4 4 4 4 3 2 3" xfId="16143" xr:uid="{00000000-0005-0000-0000-0000791C0000}"/>
    <cellStyle name="20% - Accent4 4 4 4 3 3" xfId="16144" xr:uid="{00000000-0005-0000-0000-00007A1C0000}"/>
    <cellStyle name="20% - Accent4 4 4 4 3 3 2" xfId="16145" xr:uid="{00000000-0005-0000-0000-00007B1C0000}"/>
    <cellStyle name="20% - Accent4 4 4 4 3 3 3" xfId="16146" xr:uid="{00000000-0005-0000-0000-00007C1C0000}"/>
    <cellStyle name="20% - Accent4 4 4 4 3 4" xfId="16147" xr:uid="{00000000-0005-0000-0000-00007D1C0000}"/>
    <cellStyle name="20% - Accent4 4 4 4 3 4 2" xfId="16148" xr:uid="{00000000-0005-0000-0000-00007E1C0000}"/>
    <cellStyle name="20% - Accent4 4 4 4 3 5" xfId="16149" xr:uid="{00000000-0005-0000-0000-00007F1C0000}"/>
    <cellStyle name="20% - Accent4 4 4 4 3 6" xfId="16150" xr:uid="{00000000-0005-0000-0000-0000801C0000}"/>
    <cellStyle name="20% - Accent4 4 4 4 4" xfId="16151" xr:uid="{00000000-0005-0000-0000-0000811C0000}"/>
    <cellStyle name="20% - Accent4 4 4 4 4 2" xfId="16152" xr:uid="{00000000-0005-0000-0000-0000821C0000}"/>
    <cellStyle name="20% - Accent4 4 4 4 4 2 2" xfId="16153" xr:uid="{00000000-0005-0000-0000-0000831C0000}"/>
    <cellStyle name="20% - Accent4 4 4 4 4 2 3" xfId="16154" xr:uid="{00000000-0005-0000-0000-0000841C0000}"/>
    <cellStyle name="20% - Accent4 4 4 4 4 3" xfId="16155" xr:uid="{00000000-0005-0000-0000-0000851C0000}"/>
    <cellStyle name="20% - Accent4 4 4 4 4 3 2" xfId="16156" xr:uid="{00000000-0005-0000-0000-0000861C0000}"/>
    <cellStyle name="20% - Accent4 4 4 4 4 4" xfId="16157" xr:uid="{00000000-0005-0000-0000-0000871C0000}"/>
    <cellStyle name="20% - Accent4 4 4 4 4 5" xfId="16158" xr:uid="{00000000-0005-0000-0000-0000881C0000}"/>
    <cellStyle name="20% - Accent4 4 4 4 5" xfId="16159" xr:uid="{00000000-0005-0000-0000-0000891C0000}"/>
    <cellStyle name="20% - Accent4 4 4 4 5 2" xfId="16160" xr:uid="{00000000-0005-0000-0000-00008A1C0000}"/>
    <cellStyle name="20% - Accent4 4 4 4 5 3" xfId="16161" xr:uid="{00000000-0005-0000-0000-00008B1C0000}"/>
    <cellStyle name="20% - Accent4 4 4 4 6" xfId="16162" xr:uid="{00000000-0005-0000-0000-00008C1C0000}"/>
    <cellStyle name="20% - Accent4 4 4 4 6 2" xfId="16163" xr:uid="{00000000-0005-0000-0000-00008D1C0000}"/>
    <cellStyle name="20% - Accent4 4 4 4 6 3" xfId="16164" xr:uid="{00000000-0005-0000-0000-00008E1C0000}"/>
    <cellStyle name="20% - Accent4 4 4 4 7" xfId="16165" xr:uid="{00000000-0005-0000-0000-00008F1C0000}"/>
    <cellStyle name="20% - Accent4 4 4 4 7 2" xfId="16166" xr:uid="{00000000-0005-0000-0000-0000901C0000}"/>
    <cellStyle name="20% - Accent4 4 4 4 8" xfId="16167" xr:uid="{00000000-0005-0000-0000-0000911C0000}"/>
    <cellStyle name="20% - Accent4 4 4 4 9" xfId="16168" xr:uid="{00000000-0005-0000-0000-0000921C0000}"/>
    <cellStyle name="20% - Accent4 4 4 5" xfId="902" xr:uid="{00000000-0005-0000-0000-0000931C0000}"/>
    <cellStyle name="20% - Accent4 4 4 5 2" xfId="16169" xr:uid="{00000000-0005-0000-0000-0000941C0000}"/>
    <cellStyle name="20% - Accent4 4 4 5 2 2" xfId="16170" xr:uid="{00000000-0005-0000-0000-0000951C0000}"/>
    <cellStyle name="20% - Accent4 4 4 5 2 3" xfId="16171" xr:uid="{00000000-0005-0000-0000-0000961C0000}"/>
    <cellStyle name="20% - Accent4 4 4 5 3" xfId="16172" xr:uid="{00000000-0005-0000-0000-0000971C0000}"/>
    <cellStyle name="20% - Accent4 4 4 5 3 2" xfId="16173" xr:uid="{00000000-0005-0000-0000-0000981C0000}"/>
    <cellStyle name="20% - Accent4 4 4 5 3 3" xfId="16174" xr:uid="{00000000-0005-0000-0000-0000991C0000}"/>
    <cellStyle name="20% - Accent4 4 4 5 4" xfId="16175" xr:uid="{00000000-0005-0000-0000-00009A1C0000}"/>
    <cellStyle name="20% - Accent4 4 4 5 4 2" xfId="16176" xr:uid="{00000000-0005-0000-0000-00009B1C0000}"/>
    <cellStyle name="20% - Accent4 4 4 5 5" xfId="16177" xr:uid="{00000000-0005-0000-0000-00009C1C0000}"/>
    <cellStyle name="20% - Accent4 4 4 5 6" xfId="16178" xr:uid="{00000000-0005-0000-0000-00009D1C0000}"/>
    <cellStyle name="20% - Accent4 4 4 6" xfId="8904" xr:uid="{00000000-0005-0000-0000-00009E1C0000}"/>
    <cellStyle name="20% - Accent4 4 4 6 2" xfId="16179" xr:uid="{00000000-0005-0000-0000-00009F1C0000}"/>
    <cellStyle name="20% - Accent4 4 4 6 2 2" xfId="16180" xr:uid="{00000000-0005-0000-0000-0000A01C0000}"/>
    <cellStyle name="20% - Accent4 4 4 6 2 3" xfId="16181" xr:uid="{00000000-0005-0000-0000-0000A11C0000}"/>
    <cellStyle name="20% - Accent4 4 4 6 3" xfId="16182" xr:uid="{00000000-0005-0000-0000-0000A21C0000}"/>
    <cellStyle name="20% - Accent4 4 4 6 3 2" xfId="16183" xr:uid="{00000000-0005-0000-0000-0000A31C0000}"/>
    <cellStyle name="20% - Accent4 4 4 6 3 3" xfId="16184" xr:uid="{00000000-0005-0000-0000-0000A41C0000}"/>
    <cellStyle name="20% - Accent4 4 4 6 4" xfId="16185" xr:uid="{00000000-0005-0000-0000-0000A51C0000}"/>
    <cellStyle name="20% - Accent4 4 4 6 4 2" xfId="16186" xr:uid="{00000000-0005-0000-0000-0000A61C0000}"/>
    <cellStyle name="20% - Accent4 4 4 6 5" xfId="16187" xr:uid="{00000000-0005-0000-0000-0000A71C0000}"/>
    <cellStyle name="20% - Accent4 4 4 6 6" xfId="16188" xr:uid="{00000000-0005-0000-0000-0000A81C0000}"/>
    <cellStyle name="20% - Accent4 4 4 7" xfId="16189" xr:uid="{00000000-0005-0000-0000-0000A91C0000}"/>
    <cellStyle name="20% - Accent4 4 4 7 2" xfId="16190" xr:uid="{00000000-0005-0000-0000-0000AA1C0000}"/>
    <cellStyle name="20% - Accent4 4 4 7 2 2" xfId="16191" xr:uid="{00000000-0005-0000-0000-0000AB1C0000}"/>
    <cellStyle name="20% - Accent4 4 4 7 2 3" xfId="16192" xr:uid="{00000000-0005-0000-0000-0000AC1C0000}"/>
    <cellStyle name="20% - Accent4 4 4 7 3" xfId="16193" xr:uid="{00000000-0005-0000-0000-0000AD1C0000}"/>
    <cellStyle name="20% - Accent4 4 4 7 3 2" xfId="16194" xr:uid="{00000000-0005-0000-0000-0000AE1C0000}"/>
    <cellStyle name="20% - Accent4 4 4 7 4" xfId="16195" xr:uid="{00000000-0005-0000-0000-0000AF1C0000}"/>
    <cellStyle name="20% - Accent4 4 4 7 5" xfId="16196" xr:uid="{00000000-0005-0000-0000-0000B01C0000}"/>
    <cellStyle name="20% - Accent4 4 4 8" xfId="16197" xr:uid="{00000000-0005-0000-0000-0000B11C0000}"/>
    <cellStyle name="20% - Accent4 4 4 8 2" xfId="16198" xr:uid="{00000000-0005-0000-0000-0000B21C0000}"/>
    <cellStyle name="20% - Accent4 4 4 8 3" xfId="16199" xr:uid="{00000000-0005-0000-0000-0000B31C0000}"/>
    <cellStyle name="20% - Accent4 4 4 9" xfId="16200" xr:uid="{00000000-0005-0000-0000-0000B41C0000}"/>
    <cellStyle name="20% - Accent4 4 4 9 2" xfId="16201" xr:uid="{00000000-0005-0000-0000-0000B51C0000}"/>
    <cellStyle name="20% - Accent4 4 4 9 3" xfId="16202" xr:uid="{00000000-0005-0000-0000-0000B61C0000}"/>
    <cellStyle name="20% - Accent4 4 5" xfId="903" xr:uid="{00000000-0005-0000-0000-0000B71C0000}"/>
    <cellStyle name="20% - Accent4 4 5 10" xfId="1620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05" xr:uid="{00000000-0005-0000-0000-0000BB1C0000}"/>
    <cellStyle name="20% - Accent4 4 5 2 2 2 2" xfId="16204" xr:uid="{00000000-0005-0000-0000-0000BC1C0000}"/>
    <cellStyle name="20% - Accent4 4 5 2 2 2 3" xfId="16205" xr:uid="{00000000-0005-0000-0000-0000BD1C0000}"/>
    <cellStyle name="20% - Accent4 4 5 2 2 3" xfId="16206" xr:uid="{00000000-0005-0000-0000-0000BE1C0000}"/>
    <cellStyle name="20% - Accent4 4 5 2 2 3 2" xfId="16207" xr:uid="{00000000-0005-0000-0000-0000BF1C0000}"/>
    <cellStyle name="20% - Accent4 4 5 2 2 3 3" xfId="16208" xr:uid="{00000000-0005-0000-0000-0000C01C0000}"/>
    <cellStyle name="20% - Accent4 4 5 2 2 4" xfId="16209" xr:uid="{00000000-0005-0000-0000-0000C11C0000}"/>
    <cellStyle name="20% - Accent4 4 5 2 2 4 2" xfId="16210" xr:uid="{00000000-0005-0000-0000-0000C21C0000}"/>
    <cellStyle name="20% - Accent4 4 5 2 2 5" xfId="16211" xr:uid="{00000000-0005-0000-0000-0000C31C0000}"/>
    <cellStyle name="20% - Accent4 4 5 2 2 6" xfId="16212" xr:uid="{00000000-0005-0000-0000-0000C41C0000}"/>
    <cellStyle name="20% - Accent4 4 5 2 3" xfId="906" xr:uid="{00000000-0005-0000-0000-0000C51C0000}"/>
    <cellStyle name="20% - Accent4 4 5 2 3 2" xfId="16213" xr:uid="{00000000-0005-0000-0000-0000C61C0000}"/>
    <cellStyle name="20% - Accent4 4 5 2 3 2 2" xfId="16214" xr:uid="{00000000-0005-0000-0000-0000C71C0000}"/>
    <cellStyle name="20% - Accent4 4 5 2 3 2 3" xfId="16215" xr:uid="{00000000-0005-0000-0000-0000C81C0000}"/>
    <cellStyle name="20% - Accent4 4 5 2 3 3" xfId="16216" xr:uid="{00000000-0005-0000-0000-0000C91C0000}"/>
    <cellStyle name="20% - Accent4 4 5 2 3 3 2" xfId="16217" xr:uid="{00000000-0005-0000-0000-0000CA1C0000}"/>
    <cellStyle name="20% - Accent4 4 5 2 3 3 3" xfId="16218" xr:uid="{00000000-0005-0000-0000-0000CB1C0000}"/>
    <cellStyle name="20% - Accent4 4 5 2 3 4" xfId="16219" xr:uid="{00000000-0005-0000-0000-0000CC1C0000}"/>
    <cellStyle name="20% - Accent4 4 5 2 3 4 2" xfId="16220" xr:uid="{00000000-0005-0000-0000-0000CD1C0000}"/>
    <cellStyle name="20% - Accent4 4 5 2 3 5" xfId="16221" xr:uid="{00000000-0005-0000-0000-0000CE1C0000}"/>
    <cellStyle name="20% - Accent4 4 5 2 3 6" xfId="16222" xr:uid="{00000000-0005-0000-0000-0000CF1C0000}"/>
    <cellStyle name="20% - Accent4 4 5 2 4" xfId="8906" xr:uid="{00000000-0005-0000-0000-0000D01C0000}"/>
    <cellStyle name="20% - Accent4 4 5 2 4 2" xfId="16223" xr:uid="{00000000-0005-0000-0000-0000D11C0000}"/>
    <cellStyle name="20% - Accent4 4 5 2 4 2 2" xfId="16224" xr:uid="{00000000-0005-0000-0000-0000D21C0000}"/>
    <cellStyle name="20% - Accent4 4 5 2 4 2 3" xfId="16225" xr:uid="{00000000-0005-0000-0000-0000D31C0000}"/>
    <cellStyle name="20% - Accent4 4 5 2 4 3" xfId="16226" xr:uid="{00000000-0005-0000-0000-0000D41C0000}"/>
    <cellStyle name="20% - Accent4 4 5 2 4 3 2" xfId="16227" xr:uid="{00000000-0005-0000-0000-0000D51C0000}"/>
    <cellStyle name="20% - Accent4 4 5 2 4 4" xfId="16228" xr:uid="{00000000-0005-0000-0000-0000D61C0000}"/>
    <cellStyle name="20% - Accent4 4 5 2 4 5" xfId="16229" xr:uid="{00000000-0005-0000-0000-0000D71C0000}"/>
    <cellStyle name="20% - Accent4 4 5 2 5" xfId="16230" xr:uid="{00000000-0005-0000-0000-0000D81C0000}"/>
    <cellStyle name="20% - Accent4 4 5 2 5 2" xfId="16231" xr:uid="{00000000-0005-0000-0000-0000D91C0000}"/>
    <cellStyle name="20% - Accent4 4 5 2 5 3" xfId="16232" xr:uid="{00000000-0005-0000-0000-0000DA1C0000}"/>
    <cellStyle name="20% - Accent4 4 5 2 6" xfId="16233" xr:uid="{00000000-0005-0000-0000-0000DB1C0000}"/>
    <cellStyle name="20% - Accent4 4 5 2 6 2" xfId="16234" xr:uid="{00000000-0005-0000-0000-0000DC1C0000}"/>
    <cellStyle name="20% - Accent4 4 5 2 6 3" xfId="16235" xr:uid="{00000000-0005-0000-0000-0000DD1C0000}"/>
    <cellStyle name="20% - Accent4 4 5 2 7" xfId="16236" xr:uid="{00000000-0005-0000-0000-0000DE1C0000}"/>
    <cellStyle name="20% - Accent4 4 5 2 7 2" xfId="16237" xr:uid="{00000000-0005-0000-0000-0000DF1C0000}"/>
    <cellStyle name="20% - Accent4 4 5 2 8" xfId="16238" xr:uid="{00000000-0005-0000-0000-0000E01C0000}"/>
    <cellStyle name="20% - Accent4 4 5 2 9" xfId="16239" xr:uid="{00000000-0005-0000-0000-0000E11C0000}"/>
    <cellStyle name="20% - Accent4 4 5 3" xfId="907" xr:uid="{00000000-0005-0000-0000-0000E21C0000}"/>
    <cellStyle name="20% - Accent4 4 5 3 2" xfId="8907" xr:uid="{00000000-0005-0000-0000-0000E31C0000}"/>
    <cellStyle name="20% - Accent4 4 5 3 2 2" xfId="16240" xr:uid="{00000000-0005-0000-0000-0000E41C0000}"/>
    <cellStyle name="20% - Accent4 4 5 3 2 3" xfId="16241" xr:uid="{00000000-0005-0000-0000-0000E51C0000}"/>
    <cellStyle name="20% - Accent4 4 5 3 3" xfId="16242" xr:uid="{00000000-0005-0000-0000-0000E61C0000}"/>
    <cellStyle name="20% - Accent4 4 5 3 3 2" xfId="16243" xr:uid="{00000000-0005-0000-0000-0000E71C0000}"/>
    <cellStyle name="20% - Accent4 4 5 3 3 3" xfId="16244" xr:uid="{00000000-0005-0000-0000-0000E81C0000}"/>
    <cellStyle name="20% - Accent4 4 5 3 4" xfId="16245" xr:uid="{00000000-0005-0000-0000-0000E91C0000}"/>
    <cellStyle name="20% - Accent4 4 5 3 4 2" xfId="16246" xr:uid="{00000000-0005-0000-0000-0000EA1C0000}"/>
    <cellStyle name="20% - Accent4 4 5 3 5" xfId="16247" xr:uid="{00000000-0005-0000-0000-0000EB1C0000}"/>
    <cellStyle name="20% - Accent4 4 5 3 6" xfId="16248" xr:uid="{00000000-0005-0000-0000-0000EC1C0000}"/>
    <cellStyle name="20% - Accent4 4 5 4" xfId="908" xr:uid="{00000000-0005-0000-0000-0000ED1C0000}"/>
    <cellStyle name="20% - Accent4 4 5 4 2" xfId="16249" xr:uid="{00000000-0005-0000-0000-0000EE1C0000}"/>
    <cellStyle name="20% - Accent4 4 5 4 2 2" xfId="16250" xr:uid="{00000000-0005-0000-0000-0000EF1C0000}"/>
    <cellStyle name="20% - Accent4 4 5 4 2 3" xfId="16251" xr:uid="{00000000-0005-0000-0000-0000F01C0000}"/>
    <cellStyle name="20% - Accent4 4 5 4 3" xfId="16252" xr:uid="{00000000-0005-0000-0000-0000F11C0000}"/>
    <cellStyle name="20% - Accent4 4 5 4 3 2" xfId="16253" xr:uid="{00000000-0005-0000-0000-0000F21C0000}"/>
    <cellStyle name="20% - Accent4 4 5 4 3 3" xfId="16254" xr:uid="{00000000-0005-0000-0000-0000F31C0000}"/>
    <cellStyle name="20% - Accent4 4 5 4 4" xfId="16255" xr:uid="{00000000-0005-0000-0000-0000F41C0000}"/>
    <cellStyle name="20% - Accent4 4 5 4 4 2" xfId="16256" xr:uid="{00000000-0005-0000-0000-0000F51C0000}"/>
    <cellStyle name="20% - Accent4 4 5 4 5" xfId="16257" xr:uid="{00000000-0005-0000-0000-0000F61C0000}"/>
    <cellStyle name="20% - Accent4 4 5 4 6" xfId="16258" xr:uid="{00000000-0005-0000-0000-0000F71C0000}"/>
    <cellStyle name="20% - Accent4 4 5 5" xfId="8908" xr:uid="{00000000-0005-0000-0000-0000F81C0000}"/>
    <cellStyle name="20% - Accent4 4 5 5 2" xfId="16259" xr:uid="{00000000-0005-0000-0000-0000F91C0000}"/>
    <cellStyle name="20% - Accent4 4 5 5 2 2" xfId="16260" xr:uid="{00000000-0005-0000-0000-0000FA1C0000}"/>
    <cellStyle name="20% - Accent4 4 5 5 2 3" xfId="16261" xr:uid="{00000000-0005-0000-0000-0000FB1C0000}"/>
    <cellStyle name="20% - Accent4 4 5 5 3" xfId="16262" xr:uid="{00000000-0005-0000-0000-0000FC1C0000}"/>
    <cellStyle name="20% - Accent4 4 5 5 3 2" xfId="16263" xr:uid="{00000000-0005-0000-0000-0000FD1C0000}"/>
    <cellStyle name="20% - Accent4 4 5 5 4" xfId="16264" xr:uid="{00000000-0005-0000-0000-0000FE1C0000}"/>
    <cellStyle name="20% - Accent4 4 5 5 5" xfId="16265" xr:uid="{00000000-0005-0000-0000-0000FF1C0000}"/>
    <cellStyle name="20% - Accent4 4 5 6" xfId="16266" xr:uid="{00000000-0005-0000-0000-0000001D0000}"/>
    <cellStyle name="20% - Accent4 4 5 6 2" xfId="16267" xr:uid="{00000000-0005-0000-0000-0000011D0000}"/>
    <cellStyle name="20% - Accent4 4 5 6 3" xfId="16268" xr:uid="{00000000-0005-0000-0000-0000021D0000}"/>
    <cellStyle name="20% - Accent4 4 5 7" xfId="16269" xr:uid="{00000000-0005-0000-0000-0000031D0000}"/>
    <cellStyle name="20% - Accent4 4 5 7 2" xfId="16270" xr:uid="{00000000-0005-0000-0000-0000041D0000}"/>
    <cellStyle name="20% - Accent4 4 5 7 3" xfId="16271" xr:uid="{00000000-0005-0000-0000-0000051D0000}"/>
    <cellStyle name="20% - Accent4 4 5 8" xfId="16272" xr:uid="{00000000-0005-0000-0000-0000061D0000}"/>
    <cellStyle name="20% - Accent4 4 5 8 2" xfId="16273" xr:uid="{00000000-0005-0000-0000-0000071D0000}"/>
    <cellStyle name="20% - Accent4 4 5 9" xfId="1627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09" xr:uid="{00000000-0005-0000-0000-00000B1D0000}"/>
    <cellStyle name="20% - Accent4 4 6 2 2 2" xfId="16275" xr:uid="{00000000-0005-0000-0000-00000C1D0000}"/>
    <cellStyle name="20% - Accent4 4 6 2 2 3" xfId="16276" xr:uid="{00000000-0005-0000-0000-00000D1D0000}"/>
    <cellStyle name="20% - Accent4 4 6 2 3" xfId="16277" xr:uid="{00000000-0005-0000-0000-00000E1D0000}"/>
    <cellStyle name="20% - Accent4 4 6 2 3 2" xfId="16278" xr:uid="{00000000-0005-0000-0000-00000F1D0000}"/>
    <cellStyle name="20% - Accent4 4 6 2 3 3" xfId="16279" xr:uid="{00000000-0005-0000-0000-0000101D0000}"/>
    <cellStyle name="20% - Accent4 4 6 2 4" xfId="16280" xr:uid="{00000000-0005-0000-0000-0000111D0000}"/>
    <cellStyle name="20% - Accent4 4 6 2 4 2" xfId="16281" xr:uid="{00000000-0005-0000-0000-0000121D0000}"/>
    <cellStyle name="20% - Accent4 4 6 2 5" xfId="16282" xr:uid="{00000000-0005-0000-0000-0000131D0000}"/>
    <cellStyle name="20% - Accent4 4 6 2 6" xfId="16283" xr:uid="{00000000-0005-0000-0000-0000141D0000}"/>
    <cellStyle name="20% - Accent4 4 6 3" xfId="911" xr:uid="{00000000-0005-0000-0000-0000151D0000}"/>
    <cellStyle name="20% - Accent4 4 6 3 2" xfId="16284" xr:uid="{00000000-0005-0000-0000-0000161D0000}"/>
    <cellStyle name="20% - Accent4 4 6 3 2 2" xfId="16285" xr:uid="{00000000-0005-0000-0000-0000171D0000}"/>
    <cellStyle name="20% - Accent4 4 6 3 2 3" xfId="16286" xr:uid="{00000000-0005-0000-0000-0000181D0000}"/>
    <cellStyle name="20% - Accent4 4 6 3 3" xfId="16287" xr:uid="{00000000-0005-0000-0000-0000191D0000}"/>
    <cellStyle name="20% - Accent4 4 6 3 3 2" xfId="16288" xr:uid="{00000000-0005-0000-0000-00001A1D0000}"/>
    <cellStyle name="20% - Accent4 4 6 3 3 3" xfId="16289" xr:uid="{00000000-0005-0000-0000-00001B1D0000}"/>
    <cellStyle name="20% - Accent4 4 6 3 4" xfId="16290" xr:uid="{00000000-0005-0000-0000-00001C1D0000}"/>
    <cellStyle name="20% - Accent4 4 6 3 4 2" xfId="16291" xr:uid="{00000000-0005-0000-0000-00001D1D0000}"/>
    <cellStyle name="20% - Accent4 4 6 3 5" xfId="16292" xr:uid="{00000000-0005-0000-0000-00001E1D0000}"/>
    <cellStyle name="20% - Accent4 4 6 3 6" xfId="16293" xr:uid="{00000000-0005-0000-0000-00001F1D0000}"/>
    <cellStyle name="20% - Accent4 4 6 4" xfId="8910" xr:uid="{00000000-0005-0000-0000-0000201D0000}"/>
    <cellStyle name="20% - Accent4 4 6 4 2" xfId="16294" xr:uid="{00000000-0005-0000-0000-0000211D0000}"/>
    <cellStyle name="20% - Accent4 4 6 4 2 2" xfId="16295" xr:uid="{00000000-0005-0000-0000-0000221D0000}"/>
    <cellStyle name="20% - Accent4 4 6 4 2 3" xfId="16296" xr:uid="{00000000-0005-0000-0000-0000231D0000}"/>
    <cellStyle name="20% - Accent4 4 6 4 3" xfId="16297" xr:uid="{00000000-0005-0000-0000-0000241D0000}"/>
    <cellStyle name="20% - Accent4 4 6 4 3 2" xfId="16298" xr:uid="{00000000-0005-0000-0000-0000251D0000}"/>
    <cellStyle name="20% - Accent4 4 6 4 4" xfId="16299" xr:uid="{00000000-0005-0000-0000-0000261D0000}"/>
    <cellStyle name="20% - Accent4 4 6 4 5" xfId="16300" xr:uid="{00000000-0005-0000-0000-0000271D0000}"/>
    <cellStyle name="20% - Accent4 4 6 5" xfId="16301" xr:uid="{00000000-0005-0000-0000-0000281D0000}"/>
    <cellStyle name="20% - Accent4 4 6 5 2" xfId="16302" xr:uid="{00000000-0005-0000-0000-0000291D0000}"/>
    <cellStyle name="20% - Accent4 4 6 5 3" xfId="16303" xr:uid="{00000000-0005-0000-0000-00002A1D0000}"/>
    <cellStyle name="20% - Accent4 4 6 6" xfId="16304" xr:uid="{00000000-0005-0000-0000-00002B1D0000}"/>
    <cellStyle name="20% - Accent4 4 6 6 2" xfId="16305" xr:uid="{00000000-0005-0000-0000-00002C1D0000}"/>
    <cellStyle name="20% - Accent4 4 6 6 3" xfId="16306" xr:uid="{00000000-0005-0000-0000-00002D1D0000}"/>
    <cellStyle name="20% - Accent4 4 6 7" xfId="16307" xr:uid="{00000000-0005-0000-0000-00002E1D0000}"/>
    <cellStyle name="20% - Accent4 4 6 7 2" xfId="16308" xr:uid="{00000000-0005-0000-0000-00002F1D0000}"/>
    <cellStyle name="20% - Accent4 4 6 8" xfId="16309" xr:uid="{00000000-0005-0000-0000-0000301D0000}"/>
    <cellStyle name="20% - Accent4 4 6 9" xfId="16310" xr:uid="{00000000-0005-0000-0000-0000311D0000}"/>
    <cellStyle name="20% - Accent4 4 7" xfId="912" xr:uid="{00000000-0005-0000-0000-0000321D0000}"/>
    <cellStyle name="20% - Accent4 4 7 2" xfId="8911" xr:uid="{00000000-0005-0000-0000-0000331D0000}"/>
    <cellStyle name="20% - Accent4 4 7 2 2" xfId="16311" xr:uid="{00000000-0005-0000-0000-0000341D0000}"/>
    <cellStyle name="20% - Accent4 4 7 2 2 2" xfId="16312" xr:uid="{00000000-0005-0000-0000-0000351D0000}"/>
    <cellStyle name="20% - Accent4 4 7 2 2 3" xfId="16313" xr:uid="{00000000-0005-0000-0000-0000361D0000}"/>
    <cellStyle name="20% - Accent4 4 7 2 3" xfId="16314" xr:uid="{00000000-0005-0000-0000-0000371D0000}"/>
    <cellStyle name="20% - Accent4 4 7 2 3 2" xfId="16315" xr:uid="{00000000-0005-0000-0000-0000381D0000}"/>
    <cellStyle name="20% - Accent4 4 7 2 3 3" xfId="16316" xr:uid="{00000000-0005-0000-0000-0000391D0000}"/>
    <cellStyle name="20% - Accent4 4 7 2 4" xfId="16317" xr:uid="{00000000-0005-0000-0000-00003A1D0000}"/>
    <cellStyle name="20% - Accent4 4 7 2 4 2" xfId="16318" xr:uid="{00000000-0005-0000-0000-00003B1D0000}"/>
    <cellStyle name="20% - Accent4 4 7 2 5" xfId="16319" xr:uid="{00000000-0005-0000-0000-00003C1D0000}"/>
    <cellStyle name="20% - Accent4 4 7 2 6" xfId="16320" xr:uid="{00000000-0005-0000-0000-00003D1D0000}"/>
    <cellStyle name="20% - Accent4 4 7 3" xfId="16321" xr:uid="{00000000-0005-0000-0000-00003E1D0000}"/>
    <cellStyle name="20% - Accent4 4 7 3 2" xfId="16322" xr:uid="{00000000-0005-0000-0000-00003F1D0000}"/>
    <cellStyle name="20% - Accent4 4 7 3 2 2" xfId="16323" xr:uid="{00000000-0005-0000-0000-0000401D0000}"/>
    <cellStyle name="20% - Accent4 4 7 3 2 3" xfId="16324" xr:uid="{00000000-0005-0000-0000-0000411D0000}"/>
    <cellStyle name="20% - Accent4 4 7 3 3" xfId="16325" xr:uid="{00000000-0005-0000-0000-0000421D0000}"/>
    <cellStyle name="20% - Accent4 4 7 3 3 2" xfId="16326" xr:uid="{00000000-0005-0000-0000-0000431D0000}"/>
    <cellStyle name="20% - Accent4 4 7 3 3 3" xfId="16327" xr:uid="{00000000-0005-0000-0000-0000441D0000}"/>
    <cellStyle name="20% - Accent4 4 7 3 4" xfId="16328" xr:uid="{00000000-0005-0000-0000-0000451D0000}"/>
    <cellStyle name="20% - Accent4 4 7 3 4 2" xfId="16329" xr:uid="{00000000-0005-0000-0000-0000461D0000}"/>
    <cellStyle name="20% - Accent4 4 7 3 5" xfId="16330" xr:uid="{00000000-0005-0000-0000-0000471D0000}"/>
    <cellStyle name="20% - Accent4 4 7 3 6" xfId="16331" xr:uid="{00000000-0005-0000-0000-0000481D0000}"/>
    <cellStyle name="20% - Accent4 4 7 4" xfId="16332" xr:uid="{00000000-0005-0000-0000-0000491D0000}"/>
    <cellStyle name="20% - Accent4 4 7 4 2" xfId="16333" xr:uid="{00000000-0005-0000-0000-00004A1D0000}"/>
    <cellStyle name="20% - Accent4 4 7 4 2 2" xfId="16334" xr:uid="{00000000-0005-0000-0000-00004B1D0000}"/>
    <cellStyle name="20% - Accent4 4 7 4 2 3" xfId="16335" xr:uid="{00000000-0005-0000-0000-00004C1D0000}"/>
    <cellStyle name="20% - Accent4 4 7 4 3" xfId="16336" xr:uid="{00000000-0005-0000-0000-00004D1D0000}"/>
    <cellStyle name="20% - Accent4 4 7 4 3 2" xfId="16337" xr:uid="{00000000-0005-0000-0000-00004E1D0000}"/>
    <cellStyle name="20% - Accent4 4 7 4 4" xfId="16338" xr:uid="{00000000-0005-0000-0000-00004F1D0000}"/>
    <cellStyle name="20% - Accent4 4 7 4 5" xfId="16339" xr:uid="{00000000-0005-0000-0000-0000501D0000}"/>
    <cellStyle name="20% - Accent4 4 7 5" xfId="16340" xr:uid="{00000000-0005-0000-0000-0000511D0000}"/>
    <cellStyle name="20% - Accent4 4 7 5 2" xfId="16341" xr:uid="{00000000-0005-0000-0000-0000521D0000}"/>
    <cellStyle name="20% - Accent4 4 7 5 3" xfId="16342" xr:uid="{00000000-0005-0000-0000-0000531D0000}"/>
    <cellStyle name="20% - Accent4 4 7 6" xfId="16343" xr:uid="{00000000-0005-0000-0000-0000541D0000}"/>
    <cellStyle name="20% - Accent4 4 7 6 2" xfId="16344" xr:uid="{00000000-0005-0000-0000-0000551D0000}"/>
    <cellStyle name="20% - Accent4 4 7 6 3" xfId="16345" xr:uid="{00000000-0005-0000-0000-0000561D0000}"/>
    <cellStyle name="20% - Accent4 4 7 7" xfId="16346" xr:uid="{00000000-0005-0000-0000-0000571D0000}"/>
    <cellStyle name="20% - Accent4 4 7 7 2" xfId="16347" xr:uid="{00000000-0005-0000-0000-0000581D0000}"/>
    <cellStyle name="20% - Accent4 4 7 8" xfId="16348" xr:uid="{00000000-0005-0000-0000-0000591D0000}"/>
    <cellStyle name="20% - Accent4 4 7 9" xfId="16349" xr:uid="{00000000-0005-0000-0000-00005A1D0000}"/>
    <cellStyle name="20% - Accent4 4 8" xfId="913" xr:uid="{00000000-0005-0000-0000-00005B1D0000}"/>
    <cellStyle name="20% - Accent4 4 8 2" xfId="16350" xr:uid="{00000000-0005-0000-0000-00005C1D0000}"/>
    <cellStyle name="20% - Accent4 4 8 2 2" xfId="16351" xr:uid="{00000000-0005-0000-0000-00005D1D0000}"/>
    <cellStyle name="20% - Accent4 4 8 2 3" xfId="16352" xr:uid="{00000000-0005-0000-0000-00005E1D0000}"/>
    <cellStyle name="20% - Accent4 4 8 3" xfId="16353" xr:uid="{00000000-0005-0000-0000-00005F1D0000}"/>
    <cellStyle name="20% - Accent4 4 8 3 2" xfId="16354" xr:uid="{00000000-0005-0000-0000-0000601D0000}"/>
    <cellStyle name="20% - Accent4 4 8 3 3" xfId="16355" xr:uid="{00000000-0005-0000-0000-0000611D0000}"/>
    <cellStyle name="20% - Accent4 4 8 4" xfId="16356" xr:uid="{00000000-0005-0000-0000-0000621D0000}"/>
    <cellStyle name="20% - Accent4 4 8 4 2" xfId="16357" xr:uid="{00000000-0005-0000-0000-0000631D0000}"/>
    <cellStyle name="20% - Accent4 4 8 5" xfId="16358" xr:uid="{00000000-0005-0000-0000-0000641D0000}"/>
    <cellStyle name="20% - Accent4 4 8 6" xfId="16359" xr:uid="{00000000-0005-0000-0000-0000651D0000}"/>
    <cellStyle name="20% - Accent4 4 9" xfId="8912" xr:uid="{00000000-0005-0000-0000-0000661D0000}"/>
    <cellStyle name="20% - Accent4 4 9 2" xfId="16360" xr:uid="{00000000-0005-0000-0000-0000671D0000}"/>
    <cellStyle name="20% - Accent4 4 9 2 2" xfId="16361" xr:uid="{00000000-0005-0000-0000-0000681D0000}"/>
    <cellStyle name="20% - Accent4 4 9 2 3" xfId="16362" xr:uid="{00000000-0005-0000-0000-0000691D0000}"/>
    <cellStyle name="20% - Accent4 4 9 3" xfId="16363" xr:uid="{00000000-0005-0000-0000-00006A1D0000}"/>
    <cellStyle name="20% - Accent4 4 9 3 2" xfId="16364" xr:uid="{00000000-0005-0000-0000-00006B1D0000}"/>
    <cellStyle name="20% - Accent4 4 9 3 3" xfId="16365" xr:uid="{00000000-0005-0000-0000-00006C1D0000}"/>
    <cellStyle name="20% - Accent4 4 9 4" xfId="16366" xr:uid="{00000000-0005-0000-0000-00006D1D0000}"/>
    <cellStyle name="20% - Accent4 4 9 4 2" xfId="16367" xr:uid="{00000000-0005-0000-0000-00006E1D0000}"/>
    <cellStyle name="20% - Accent4 4 9 5" xfId="16368" xr:uid="{00000000-0005-0000-0000-00006F1D0000}"/>
    <cellStyle name="20% - Accent4 4 9 6" xfId="1636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7932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7933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13" xr:uid="{00000000-0005-0000-0000-0000991D0000}"/>
    <cellStyle name="20% - Accent4 6 2 2 3" xfId="952" xr:uid="{00000000-0005-0000-0000-00009A1D0000}"/>
    <cellStyle name="20% - Accent4 6 2 2 4" xfId="8914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15" xr:uid="{00000000-0005-0000-0000-00009E1D0000}"/>
    <cellStyle name="20% - Accent4 6 2 4" xfId="955" xr:uid="{00000000-0005-0000-0000-00009F1D0000}"/>
    <cellStyle name="20% - Accent4 6 2 5" xfId="8916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17" xr:uid="{00000000-0005-0000-0000-0000A41D0000}"/>
    <cellStyle name="20% - Accent4 6 3 3" xfId="959" xr:uid="{00000000-0005-0000-0000-0000A51D0000}"/>
    <cellStyle name="20% - Accent4 6 3 4" xfId="8918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19" xr:uid="{00000000-0005-0000-0000-0000A91D0000}"/>
    <cellStyle name="20% - Accent4 6 5" xfId="962" xr:uid="{00000000-0005-0000-0000-0000AA1D0000}"/>
    <cellStyle name="20% - Accent4 6 6" xfId="8920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21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22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7934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7935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7936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7937" xr:uid="{00000000-0005-0000-0000-0000D31D0000}"/>
    <cellStyle name="20% - Accent5 13" xfId="997" xr:uid="{00000000-0005-0000-0000-0000D41D0000}"/>
    <cellStyle name="20% - Accent5 13 2" xfId="57938" xr:uid="{00000000-0005-0000-0000-0000D51D0000}"/>
    <cellStyle name="20% - Accent5 14" xfId="8923" xr:uid="{00000000-0005-0000-0000-0000D61D0000}"/>
    <cellStyle name="20% - Accent5 15" xfId="9390" xr:uid="{00000000-0005-0000-0000-0000D71D0000}"/>
    <cellStyle name="20% - Accent5 16" xfId="9391" xr:uid="{00000000-0005-0000-0000-0000D81D0000}"/>
    <cellStyle name="20% - Accent5 17" xfId="9392" xr:uid="{00000000-0005-0000-0000-0000D91D0000}"/>
    <cellStyle name="20% - Accent5 18" xfId="57939" xr:uid="{00000000-0005-0000-0000-0000DA1D0000}"/>
    <cellStyle name="20% - Accent5 19" xfId="57940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7941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7942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7943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7944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7945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7946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7947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7948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7949" xr:uid="{00000000-0005-0000-0000-0000251E0000}"/>
    <cellStyle name="20% - Accent5 20" xfId="57950" xr:uid="{00000000-0005-0000-0000-0000261E0000}"/>
    <cellStyle name="20% - Accent5 21" xfId="57951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24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25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26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27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28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29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30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31" xr:uid="{00000000-0005-0000-0000-0000701E0000}"/>
    <cellStyle name="20% - Accent5 4" xfId="1128" xr:uid="{00000000-0005-0000-0000-0000711E0000}"/>
    <cellStyle name="20% - Accent5 4 10" xfId="16370" xr:uid="{00000000-0005-0000-0000-0000721E0000}"/>
    <cellStyle name="20% - Accent5 4 10 2" xfId="16371" xr:uid="{00000000-0005-0000-0000-0000731E0000}"/>
    <cellStyle name="20% - Accent5 4 10 2 2" xfId="16372" xr:uid="{00000000-0005-0000-0000-0000741E0000}"/>
    <cellStyle name="20% - Accent5 4 10 2 3" xfId="16373" xr:uid="{00000000-0005-0000-0000-0000751E0000}"/>
    <cellStyle name="20% - Accent5 4 10 3" xfId="16374" xr:uid="{00000000-0005-0000-0000-0000761E0000}"/>
    <cellStyle name="20% - Accent5 4 10 3 2" xfId="16375" xr:uid="{00000000-0005-0000-0000-0000771E0000}"/>
    <cellStyle name="20% - Accent5 4 10 4" xfId="16376" xr:uid="{00000000-0005-0000-0000-0000781E0000}"/>
    <cellStyle name="20% - Accent5 4 10 5" xfId="16377" xr:uid="{00000000-0005-0000-0000-0000791E0000}"/>
    <cellStyle name="20% - Accent5 4 11" xfId="16378" xr:uid="{00000000-0005-0000-0000-00007A1E0000}"/>
    <cellStyle name="20% - Accent5 4 11 2" xfId="16379" xr:uid="{00000000-0005-0000-0000-00007B1E0000}"/>
    <cellStyle name="20% - Accent5 4 11 3" xfId="16380" xr:uid="{00000000-0005-0000-0000-00007C1E0000}"/>
    <cellStyle name="20% - Accent5 4 12" xfId="16381" xr:uid="{00000000-0005-0000-0000-00007D1E0000}"/>
    <cellStyle name="20% - Accent5 4 12 2" xfId="16382" xr:uid="{00000000-0005-0000-0000-00007E1E0000}"/>
    <cellStyle name="20% - Accent5 4 12 3" xfId="16383" xr:uid="{00000000-0005-0000-0000-00007F1E0000}"/>
    <cellStyle name="20% - Accent5 4 13" xfId="16384" xr:uid="{00000000-0005-0000-0000-0000801E0000}"/>
    <cellStyle name="20% - Accent5 4 13 2" xfId="16385" xr:uid="{00000000-0005-0000-0000-0000811E0000}"/>
    <cellStyle name="20% - Accent5 4 14" xfId="16386" xr:uid="{00000000-0005-0000-0000-0000821E0000}"/>
    <cellStyle name="20% - Accent5 4 15" xfId="16387" xr:uid="{00000000-0005-0000-0000-0000831E0000}"/>
    <cellStyle name="20% - Accent5 4 16" xfId="16388" xr:uid="{00000000-0005-0000-0000-0000841E0000}"/>
    <cellStyle name="20% - Accent5 4 2" xfId="1129" xr:uid="{00000000-0005-0000-0000-0000851E0000}"/>
    <cellStyle name="20% - Accent5 4 2 10" xfId="16389" xr:uid="{00000000-0005-0000-0000-0000861E0000}"/>
    <cellStyle name="20% - Accent5 4 2 10 2" xfId="16390" xr:uid="{00000000-0005-0000-0000-0000871E0000}"/>
    <cellStyle name="20% - Accent5 4 2 10 3" xfId="16391" xr:uid="{00000000-0005-0000-0000-0000881E0000}"/>
    <cellStyle name="20% - Accent5 4 2 11" xfId="16392" xr:uid="{00000000-0005-0000-0000-0000891E0000}"/>
    <cellStyle name="20% - Accent5 4 2 11 2" xfId="16393" xr:uid="{00000000-0005-0000-0000-00008A1E0000}"/>
    <cellStyle name="20% - Accent5 4 2 11 3" xfId="16394" xr:uid="{00000000-0005-0000-0000-00008B1E0000}"/>
    <cellStyle name="20% - Accent5 4 2 12" xfId="16395" xr:uid="{00000000-0005-0000-0000-00008C1E0000}"/>
    <cellStyle name="20% - Accent5 4 2 12 2" xfId="16396" xr:uid="{00000000-0005-0000-0000-00008D1E0000}"/>
    <cellStyle name="20% - Accent5 4 2 13" xfId="16397" xr:uid="{00000000-0005-0000-0000-00008E1E0000}"/>
    <cellStyle name="20% - Accent5 4 2 14" xfId="16398" xr:uid="{00000000-0005-0000-0000-00008F1E0000}"/>
    <cellStyle name="20% - Accent5 4 2 15" xfId="16399" xr:uid="{00000000-0005-0000-0000-0000901E0000}"/>
    <cellStyle name="20% - Accent5 4 2 2" xfId="1130" xr:uid="{00000000-0005-0000-0000-0000911E0000}"/>
    <cellStyle name="20% - Accent5 4 2 2 10" xfId="16400" xr:uid="{00000000-0005-0000-0000-0000921E0000}"/>
    <cellStyle name="20% - Accent5 4 2 2 10 2" xfId="16401" xr:uid="{00000000-0005-0000-0000-0000931E0000}"/>
    <cellStyle name="20% - Accent5 4 2 2 10 3" xfId="16402" xr:uid="{00000000-0005-0000-0000-0000941E0000}"/>
    <cellStyle name="20% - Accent5 4 2 2 11" xfId="16403" xr:uid="{00000000-0005-0000-0000-0000951E0000}"/>
    <cellStyle name="20% - Accent5 4 2 2 11 2" xfId="16404" xr:uid="{00000000-0005-0000-0000-0000961E0000}"/>
    <cellStyle name="20% - Accent5 4 2 2 12" xfId="16405" xr:uid="{00000000-0005-0000-0000-0000971E0000}"/>
    <cellStyle name="20% - Accent5 4 2 2 13" xfId="16406" xr:uid="{00000000-0005-0000-0000-0000981E0000}"/>
    <cellStyle name="20% - Accent5 4 2 2 2" xfId="1131" xr:uid="{00000000-0005-0000-0000-0000991E0000}"/>
    <cellStyle name="20% - Accent5 4 2 2 2 10" xfId="16407" xr:uid="{00000000-0005-0000-0000-00009A1E0000}"/>
    <cellStyle name="20% - Accent5 4 2 2 2 10 2" xfId="16408" xr:uid="{00000000-0005-0000-0000-00009B1E0000}"/>
    <cellStyle name="20% - Accent5 4 2 2 2 11" xfId="16409" xr:uid="{00000000-0005-0000-0000-00009C1E0000}"/>
    <cellStyle name="20% - Accent5 4 2 2 2 12" xfId="16410" xr:uid="{00000000-0005-0000-0000-00009D1E0000}"/>
    <cellStyle name="20% - Accent5 4 2 2 2 2" xfId="1132" xr:uid="{00000000-0005-0000-0000-00009E1E0000}"/>
    <cellStyle name="20% - Accent5 4 2 2 2 2 10" xfId="16411" xr:uid="{00000000-0005-0000-0000-00009F1E0000}"/>
    <cellStyle name="20% - Accent5 4 2 2 2 2 2" xfId="1133" xr:uid="{00000000-0005-0000-0000-0000A01E0000}"/>
    <cellStyle name="20% - Accent5 4 2 2 2 2 2 2" xfId="16412" xr:uid="{00000000-0005-0000-0000-0000A11E0000}"/>
    <cellStyle name="20% - Accent5 4 2 2 2 2 2 2 2" xfId="16413" xr:uid="{00000000-0005-0000-0000-0000A21E0000}"/>
    <cellStyle name="20% - Accent5 4 2 2 2 2 2 2 2 2" xfId="16414" xr:uid="{00000000-0005-0000-0000-0000A31E0000}"/>
    <cellStyle name="20% - Accent5 4 2 2 2 2 2 2 2 3" xfId="16415" xr:uid="{00000000-0005-0000-0000-0000A41E0000}"/>
    <cellStyle name="20% - Accent5 4 2 2 2 2 2 2 3" xfId="16416" xr:uid="{00000000-0005-0000-0000-0000A51E0000}"/>
    <cellStyle name="20% - Accent5 4 2 2 2 2 2 2 3 2" xfId="16417" xr:uid="{00000000-0005-0000-0000-0000A61E0000}"/>
    <cellStyle name="20% - Accent5 4 2 2 2 2 2 2 3 3" xfId="16418" xr:uid="{00000000-0005-0000-0000-0000A71E0000}"/>
    <cellStyle name="20% - Accent5 4 2 2 2 2 2 2 4" xfId="16419" xr:uid="{00000000-0005-0000-0000-0000A81E0000}"/>
    <cellStyle name="20% - Accent5 4 2 2 2 2 2 2 4 2" xfId="16420" xr:uid="{00000000-0005-0000-0000-0000A91E0000}"/>
    <cellStyle name="20% - Accent5 4 2 2 2 2 2 2 5" xfId="16421" xr:uid="{00000000-0005-0000-0000-0000AA1E0000}"/>
    <cellStyle name="20% - Accent5 4 2 2 2 2 2 2 6" xfId="16422" xr:uid="{00000000-0005-0000-0000-0000AB1E0000}"/>
    <cellStyle name="20% - Accent5 4 2 2 2 2 2 3" xfId="16423" xr:uid="{00000000-0005-0000-0000-0000AC1E0000}"/>
    <cellStyle name="20% - Accent5 4 2 2 2 2 2 3 2" xfId="16424" xr:uid="{00000000-0005-0000-0000-0000AD1E0000}"/>
    <cellStyle name="20% - Accent5 4 2 2 2 2 2 3 2 2" xfId="16425" xr:uid="{00000000-0005-0000-0000-0000AE1E0000}"/>
    <cellStyle name="20% - Accent5 4 2 2 2 2 2 3 2 3" xfId="16426" xr:uid="{00000000-0005-0000-0000-0000AF1E0000}"/>
    <cellStyle name="20% - Accent5 4 2 2 2 2 2 3 3" xfId="16427" xr:uid="{00000000-0005-0000-0000-0000B01E0000}"/>
    <cellStyle name="20% - Accent5 4 2 2 2 2 2 3 3 2" xfId="16428" xr:uid="{00000000-0005-0000-0000-0000B11E0000}"/>
    <cellStyle name="20% - Accent5 4 2 2 2 2 2 3 3 3" xfId="16429" xr:uid="{00000000-0005-0000-0000-0000B21E0000}"/>
    <cellStyle name="20% - Accent5 4 2 2 2 2 2 3 4" xfId="16430" xr:uid="{00000000-0005-0000-0000-0000B31E0000}"/>
    <cellStyle name="20% - Accent5 4 2 2 2 2 2 3 4 2" xfId="16431" xr:uid="{00000000-0005-0000-0000-0000B41E0000}"/>
    <cellStyle name="20% - Accent5 4 2 2 2 2 2 3 5" xfId="16432" xr:uid="{00000000-0005-0000-0000-0000B51E0000}"/>
    <cellStyle name="20% - Accent5 4 2 2 2 2 2 3 6" xfId="16433" xr:uid="{00000000-0005-0000-0000-0000B61E0000}"/>
    <cellStyle name="20% - Accent5 4 2 2 2 2 2 4" xfId="16434" xr:uid="{00000000-0005-0000-0000-0000B71E0000}"/>
    <cellStyle name="20% - Accent5 4 2 2 2 2 2 4 2" xfId="16435" xr:uid="{00000000-0005-0000-0000-0000B81E0000}"/>
    <cellStyle name="20% - Accent5 4 2 2 2 2 2 4 2 2" xfId="16436" xr:uid="{00000000-0005-0000-0000-0000B91E0000}"/>
    <cellStyle name="20% - Accent5 4 2 2 2 2 2 4 2 3" xfId="16437" xr:uid="{00000000-0005-0000-0000-0000BA1E0000}"/>
    <cellStyle name="20% - Accent5 4 2 2 2 2 2 4 3" xfId="16438" xr:uid="{00000000-0005-0000-0000-0000BB1E0000}"/>
    <cellStyle name="20% - Accent5 4 2 2 2 2 2 4 3 2" xfId="16439" xr:uid="{00000000-0005-0000-0000-0000BC1E0000}"/>
    <cellStyle name="20% - Accent5 4 2 2 2 2 2 4 4" xfId="16440" xr:uid="{00000000-0005-0000-0000-0000BD1E0000}"/>
    <cellStyle name="20% - Accent5 4 2 2 2 2 2 4 5" xfId="16441" xr:uid="{00000000-0005-0000-0000-0000BE1E0000}"/>
    <cellStyle name="20% - Accent5 4 2 2 2 2 2 5" xfId="16442" xr:uid="{00000000-0005-0000-0000-0000BF1E0000}"/>
    <cellStyle name="20% - Accent5 4 2 2 2 2 2 5 2" xfId="16443" xr:uid="{00000000-0005-0000-0000-0000C01E0000}"/>
    <cellStyle name="20% - Accent5 4 2 2 2 2 2 5 3" xfId="16444" xr:uid="{00000000-0005-0000-0000-0000C11E0000}"/>
    <cellStyle name="20% - Accent5 4 2 2 2 2 2 6" xfId="16445" xr:uid="{00000000-0005-0000-0000-0000C21E0000}"/>
    <cellStyle name="20% - Accent5 4 2 2 2 2 2 6 2" xfId="16446" xr:uid="{00000000-0005-0000-0000-0000C31E0000}"/>
    <cellStyle name="20% - Accent5 4 2 2 2 2 2 6 3" xfId="16447" xr:uid="{00000000-0005-0000-0000-0000C41E0000}"/>
    <cellStyle name="20% - Accent5 4 2 2 2 2 2 7" xfId="16448" xr:uid="{00000000-0005-0000-0000-0000C51E0000}"/>
    <cellStyle name="20% - Accent5 4 2 2 2 2 2 7 2" xfId="16449" xr:uid="{00000000-0005-0000-0000-0000C61E0000}"/>
    <cellStyle name="20% - Accent5 4 2 2 2 2 2 8" xfId="16450" xr:uid="{00000000-0005-0000-0000-0000C71E0000}"/>
    <cellStyle name="20% - Accent5 4 2 2 2 2 2 9" xfId="16451" xr:uid="{00000000-0005-0000-0000-0000C81E0000}"/>
    <cellStyle name="20% - Accent5 4 2 2 2 2 3" xfId="16452" xr:uid="{00000000-0005-0000-0000-0000C91E0000}"/>
    <cellStyle name="20% - Accent5 4 2 2 2 2 3 2" xfId="16453" xr:uid="{00000000-0005-0000-0000-0000CA1E0000}"/>
    <cellStyle name="20% - Accent5 4 2 2 2 2 3 2 2" xfId="16454" xr:uid="{00000000-0005-0000-0000-0000CB1E0000}"/>
    <cellStyle name="20% - Accent5 4 2 2 2 2 3 2 3" xfId="16455" xr:uid="{00000000-0005-0000-0000-0000CC1E0000}"/>
    <cellStyle name="20% - Accent5 4 2 2 2 2 3 3" xfId="16456" xr:uid="{00000000-0005-0000-0000-0000CD1E0000}"/>
    <cellStyle name="20% - Accent5 4 2 2 2 2 3 3 2" xfId="16457" xr:uid="{00000000-0005-0000-0000-0000CE1E0000}"/>
    <cellStyle name="20% - Accent5 4 2 2 2 2 3 3 3" xfId="16458" xr:uid="{00000000-0005-0000-0000-0000CF1E0000}"/>
    <cellStyle name="20% - Accent5 4 2 2 2 2 3 4" xfId="16459" xr:uid="{00000000-0005-0000-0000-0000D01E0000}"/>
    <cellStyle name="20% - Accent5 4 2 2 2 2 3 4 2" xfId="16460" xr:uid="{00000000-0005-0000-0000-0000D11E0000}"/>
    <cellStyle name="20% - Accent5 4 2 2 2 2 3 5" xfId="16461" xr:uid="{00000000-0005-0000-0000-0000D21E0000}"/>
    <cellStyle name="20% - Accent5 4 2 2 2 2 3 6" xfId="16462" xr:uid="{00000000-0005-0000-0000-0000D31E0000}"/>
    <cellStyle name="20% - Accent5 4 2 2 2 2 4" xfId="16463" xr:uid="{00000000-0005-0000-0000-0000D41E0000}"/>
    <cellStyle name="20% - Accent5 4 2 2 2 2 4 2" xfId="16464" xr:uid="{00000000-0005-0000-0000-0000D51E0000}"/>
    <cellStyle name="20% - Accent5 4 2 2 2 2 4 2 2" xfId="16465" xr:uid="{00000000-0005-0000-0000-0000D61E0000}"/>
    <cellStyle name="20% - Accent5 4 2 2 2 2 4 2 3" xfId="16466" xr:uid="{00000000-0005-0000-0000-0000D71E0000}"/>
    <cellStyle name="20% - Accent5 4 2 2 2 2 4 3" xfId="16467" xr:uid="{00000000-0005-0000-0000-0000D81E0000}"/>
    <cellStyle name="20% - Accent5 4 2 2 2 2 4 3 2" xfId="16468" xr:uid="{00000000-0005-0000-0000-0000D91E0000}"/>
    <cellStyle name="20% - Accent5 4 2 2 2 2 4 3 3" xfId="16469" xr:uid="{00000000-0005-0000-0000-0000DA1E0000}"/>
    <cellStyle name="20% - Accent5 4 2 2 2 2 4 4" xfId="16470" xr:uid="{00000000-0005-0000-0000-0000DB1E0000}"/>
    <cellStyle name="20% - Accent5 4 2 2 2 2 4 4 2" xfId="16471" xr:uid="{00000000-0005-0000-0000-0000DC1E0000}"/>
    <cellStyle name="20% - Accent5 4 2 2 2 2 4 5" xfId="16472" xr:uid="{00000000-0005-0000-0000-0000DD1E0000}"/>
    <cellStyle name="20% - Accent5 4 2 2 2 2 4 6" xfId="16473" xr:uid="{00000000-0005-0000-0000-0000DE1E0000}"/>
    <cellStyle name="20% - Accent5 4 2 2 2 2 5" xfId="16474" xr:uid="{00000000-0005-0000-0000-0000DF1E0000}"/>
    <cellStyle name="20% - Accent5 4 2 2 2 2 5 2" xfId="16475" xr:uid="{00000000-0005-0000-0000-0000E01E0000}"/>
    <cellStyle name="20% - Accent5 4 2 2 2 2 5 2 2" xfId="16476" xr:uid="{00000000-0005-0000-0000-0000E11E0000}"/>
    <cellStyle name="20% - Accent5 4 2 2 2 2 5 2 3" xfId="16477" xr:uid="{00000000-0005-0000-0000-0000E21E0000}"/>
    <cellStyle name="20% - Accent5 4 2 2 2 2 5 3" xfId="16478" xr:uid="{00000000-0005-0000-0000-0000E31E0000}"/>
    <cellStyle name="20% - Accent5 4 2 2 2 2 5 3 2" xfId="16479" xr:uid="{00000000-0005-0000-0000-0000E41E0000}"/>
    <cellStyle name="20% - Accent5 4 2 2 2 2 5 4" xfId="16480" xr:uid="{00000000-0005-0000-0000-0000E51E0000}"/>
    <cellStyle name="20% - Accent5 4 2 2 2 2 5 5" xfId="16481" xr:uid="{00000000-0005-0000-0000-0000E61E0000}"/>
    <cellStyle name="20% - Accent5 4 2 2 2 2 6" xfId="16482" xr:uid="{00000000-0005-0000-0000-0000E71E0000}"/>
    <cellStyle name="20% - Accent5 4 2 2 2 2 6 2" xfId="16483" xr:uid="{00000000-0005-0000-0000-0000E81E0000}"/>
    <cellStyle name="20% - Accent5 4 2 2 2 2 6 3" xfId="16484" xr:uid="{00000000-0005-0000-0000-0000E91E0000}"/>
    <cellStyle name="20% - Accent5 4 2 2 2 2 7" xfId="16485" xr:uid="{00000000-0005-0000-0000-0000EA1E0000}"/>
    <cellStyle name="20% - Accent5 4 2 2 2 2 7 2" xfId="16486" xr:uid="{00000000-0005-0000-0000-0000EB1E0000}"/>
    <cellStyle name="20% - Accent5 4 2 2 2 2 7 3" xfId="16487" xr:uid="{00000000-0005-0000-0000-0000EC1E0000}"/>
    <cellStyle name="20% - Accent5 4 2 2 2 2 8" xfId="16488" xr:uid="{00000000-0005-0000-0000-0000ED1E0000}"/>
    <cellStyle name="20% - Accent5 4 2 2 2 2 8 2" xfId="16489" xr:uid="{00000000-0005-0000-0000-0000EE1E0000}"/>
    <cellStyle name="20% - Accent5 4 2 2 2 2 9" xfId="16490" xr:uid="{00000000-0005-0000-0000-0000EF1E0000}"/>
    <cellStyle name="20% - Accent5 4 2 2 2 3" xfId="1134" xr:uid="{00000000-0005-0000-0000-0000F01E0000}"/>
    <cellStyle name="20% - Accent5 4 2 2 2 3 2" xfId="16491" xr:uid="{00000000-0005-0000-0000-0000F11E0000}"/>
    <cellStyle name="20% - Accent5 4 2 2 2 3 2 2" xfId="16492" xr:uid="{00000000-0005-0000-0000-0000F21E0000}"/>
    <cellStyle name="20% - Accent5 4 2 2 2 3 2 2 2" xfId="16493" xr:uid="{00000000-0005-0000-0000-0000F31E0000}"/>
    <cellStyle name="20% - Accent5 4 2 2 2 3 2 2 3" xfId="16494" xr:uid="{00000000-0005-0000-0000-0000F41E0000}"/>
    <cellStyle name="20% - Accent5 4 2 2 2 3 2 3" xfId="16495" xr:uid="{00000000-0005-0000-0000-0000F51E0000}"/>
    <cellStyle name="20% - Accent5 4 2 2 2 3 2 3 2" xfId="16496" xr:uid="{00000000-0005-0000-0000-0000F61E0000}"/>
    <cellStyle name="20% - Accent5 4 2 2 2 3 2 3 3" xfId="16497" xr:uid="{00000000-0005-0000-0000-0000F71E0000}"/>
    <cellStyle name="20% - Accent5 4 2 2 2 3 2 4" xfId="16498" xr:uid="{00000000-0005-0000-0000-0000F81E0000}"/>
    <cellStyle name="20% - Accent5 4 2 2 2 3 2 4 2" xfId="16499" xr:uid="{00000000-0005-0000-0000-0000F91E0000}"/>
    <cellStyle name="20% - Accent5 4 2 2 2 3 2 5" xfId="16500" xr:uid="{00000000-0005-0000-0000-0000FA1E0000}"/>
    <cellStyle name="20% - Accent5 4 2 2 2 3 2 6" xfId="16501" xr:uid="{00000000-0005-0000-0000-0000FB1E0000}"/>
    <cellStyle name="20% - Accent5 4 2 2 2 3 3" xfId="16502" xr:uid="{00000000-0005-0000-0000-0000FC1E0000}"/>
    <cellStyle name="20% - Accent5 4 2 2 2 3 3 2" xfId="16503" xr:uid="{00000000-0005-0000-0000-0000FD1E0000}"/>
    <cellStyle name="20% - Accent5 4 2 2 2 3 3 2 2" xfId="16504" xr:uid="{00000000-0005-0000-0000-0000FE1E0000}"/>
    <cellStyle name="20% - Accent5 4 2 2 2 3 3 2 3" xfId="16505" xr:uid="{00000000-0005-0000-0000-0000FF1E0000}"/>
    <cellStyle name="20% - Accent5 4 2 2 2 3 3 3" xfId="16506" xr:uid="{00000000-0005-0000-0000-0000001F0000}"/>
    <cellStyle name="20% - Accent5 4 2 2 2 3 3 3 2" xfId="16507" xr:uid="{00000000-0005-0000-0000-0000011F0000}"/>
    <cellStyle name="20% - Accent5 4 2 2 2 3 3 3 3" xfId="16508" xr:uid="{00000000-0005-0000-0000-0000021F0000}"/>
    <cellStyle name="20% - Accent5 4 2 2 2 3 3 4" xfId="16509" xr:uid="{00000000-0005-0000-0000-0000031F0000}"/>
    <cellStyle name="20% - Accent5 4 2 2 2 3 3 4 2" xfId="16510" xr:uid="{00000000-0005-0000-0000-0000041F0000}"/>
    <cellStyle name="20% - Accent5 4 2 2 2 3 3 5" xfId="16511" xr:uid="{00000000-0005-0000-0000-0000051F0000}"/>
    <cellStyle name="20% - Accent5 4 2 2 2 3 3 6" xfId="16512" xr:uid="{00000000-0005-0000-0000-0000061F0000}"/>
    <cellStyle name="20% - Accent5 4 2 2 2 3 4" xfId="16513" xr:uid="{00000000-0005-0000-0000-0000071F0000}"/>
    <cellStyle name="20% - Accent5 4 2 2 2 3 4 2" xfId="16514" xr:uid="{00000000-0005-0000-0000-0000081F0000}"/>
    <cellStyle name="20% - Accent5 4 2 2 2 3 4 2 2" xfId="16515" xr:uid="{00000000-0005-0000-0000-0000091F0000}"/>
    <cellStyle name="20% - Accent5 4 2 2 2 3 4 2 3" xfId="16516" xr:uid="{00000000-0005-0000-0000-00000A1F0000}"/>
    <cellStyle name="20% - Accent5 4 2 2 2 3 4 3" xfId="16517" xr:uid="{00000000-0005-0000-0000-00000B1F0000}"/>
    <cellStyle name="20% - Accent5 4 2 2 2 3 4 3 2" xfId="16518" xr:uid="{00000000-0005-0000-0000-00000C1F0000}"/>
    <cellStyle name="20% - Accent5 4 2 2 2 3 4 4" xfId="16519" xr:uid="{00000000-0005-0000-0000-00000D1F0000}"/>
    <cellStyle name="20% - Accent5 4 2 2 2 3 4 5" xfId="16520" xr:uid="{00000000-0005-0000-0000-00000E1F0000}"/>
    <cellStyle name="20% - Accent5 4 2 2 2 3 5" xfId="16521" xr:uid="{00000000-0005-0000-0000-00000F1F0000}"/>
    <cellStyle name="20% - Accent5 4 2 2 2 3 5 2" xfId="16522" xr:uid="{00000000-0005-0000-0000-0000101F0000}"/>
    <cellStyle name="20% - Accent5 4 2 2 2 3 5 3" xfId="16523" xr:uid="{00000000-0005-0000-0000-0000111F0000}"/>
    <cellStyle name="20% - Accent5 4 2 2 2 3 6" xfId="16524" xr:uid="{00000000-0005-0000-0000-0000121F0000}"/>
    <cellStyle name="20% - Accent5 4 2 2 2 3 6 2" xfId="16525" xr:uid="{00000000-0005-0000-0000-0000131F0000}"/>
    <cellStyle name="20% - Accent5 4 2 2 2 3 6 3" xfId="16526" xr:uid="{00000000-0005-0000-0000-0000141F0000}"/>
    <cellStyle name="20% - Accent5 4 2 2 2 3 7" xfId="16527" xr:uid="{00000000-0005-0000-0000-0000151F0000}"/>
    <cellStyle name="20% - Accent5 4 2 2 2 3 7 2" xfId="16528" xr:uid="{00000000-0005-0000-0000-0000161F0000}"/>
    <cellStyle name="20% - Accent5 4 2 2 2 3 8" xfId="16529" xr:uid="{00000000-0005-0000-0000-0000171F0000}"/>
    <cellStyle name="20% - Accent5 4 2 2 2 3 9" xfId="16530" xr:uid="{00000000-0005-0000-0000-0000181F0000}"/>
    <cellStyle name="20% - Accent5 4 2 2 2 4" xfId="16531" xr:uid="{00000000-0005-0000-0000-0000191F0000}"/>
    <cellStyle name="20% - Accent5 4 2 2 2 4 2" xfId="16532" xr:uid="{00000000-0005-0000-0000-00001A1F0000}"/>
    <cellStyle name="20% - Accent5 4 2 2 2 4 2 2" xfId="16533" xr:uid="{00000000-0005-0000-0000-00001B1F0000}"/>
    <cellStyle name="20% - Accent5 4 2 2 2 4 2 2 2" xfId="16534" xr:uid="{00000000-0005-0000-0000-00001C1F0000}"/>
    <cellStyle name="20% - Accent5 4 2 2 2 4 2 2 3" xfId="16535" xr:uid="{00000000-0005-0000-0000-00001D1F0000}"/>
    <cellStyle name="20% - Accent5 4 2 2 2 4 2 3" xfId="16536" xr:uid="{00000000-0005-0000-0000-00001E1F0000}"/>
    <cellStyle name="20% - Accent5 4 2 2 2 4 2 3 2" xfId="16537" xr:uid="{00000000-0005-0000-0000-00001F1F0000}"/>
    <cellStyle name="20% - Accent5 4 2 2 2 4 2 3 3" xfId="16538" xr:uid="{00000000-0005-0000-0000-0000201F0000}"/>
    <cellStyle name="20% - Accent5 4 2 2 2 4 2 4" xfId="16539" xr:uid="{00000000-0005-0000-0000-0000211F0000}"/>
    <cellStyle name="20% - Accent5 4 2 2 2 4 2 4 2" xfId="16540" xr:uid="{00000000-0005-0000-0000-0000221F0000}"/>
    <cellStyle name="20% - Accent5 4 2 2 2 4 2 5" xfId="16541" xr:uid="{00000000-0005-0000-0000-0000231F0000}"/>
    <cellStyle name="20% - Accent5 4 2 2 2 4 2 6" xfId="16542" xr:uid="{00000000-0005-0000-0000-0000241F0000}"/>
    <cellStyle name="20% - Accent5 4 2 2 2 4 3" xfId="16543" xr:uid="{00000000-0005-0000-0000-0000251F0000}"/>
    <cellStyle name="20% - Accent5 4 2 2 2 4 3 2" xfId="16544" xr:uid="{00000000-0005-0000-0000-0000261F0000}"/>
    <cellStyle name="20% - Accent5 4 2 2 2 4 3 2 2" xfId="16545" xr:uid="{00000000-0005-0000-0000-0000271F0000}"/>
    <cellStyle name="20% - Accent5 4 2 2 2 4 3 2 3" xfId="16546" xr:uid="{00000000-0005-0000-0000-0000281F0000}"/>
    <cellStyle name="20% - Accent5 4 2 2 2 4 3 3" xfId="16547" xr:uid="{00000000-0005-0000-0000-0000291F0000}"/>
    <cellStyle name="20% - Accent5 4 2 2 2 4 3 3 2" xfId="16548" xr:uid="{00000000-0005-0000-0000-00002A1F0000}"/>
    <cellStyle name="20% - Accent5 4 2 2 2 4 3 3 3" xfId="16549" xr:uid="{00000000-0005-0000-0000-00002B1F0000}"/>
    <cellStyle name="20% - Accent5 4 2 2 2 4 3 4" xfId="16550" xr:uid="{00000000-0005-0000-0000-00002C1F0000}"/>
    <cellStyle name="20% - Accent5 4 2 2 2 4 3 4 2" xfId="16551" xr:uid="{00000000-0005-0000-0000-00002D1F0000}"/>
    <cellStyle name="20% - Accent5 4 2 2 2 4 3 5" xfId="16552" xr:uid="{00000000-0005-0000-0000-00002E1F0000}"/>
    <cellStyle name="20% - Accent5 4 2 2 2 4 3 6" xfId="16553" xr:uid="{00000000-0005-0000-0000-00002F1F0000}"/>
    <cellStyle name="20% - Accent5 4 2 2 2 4 4" xfId="16554" xr:uid="{00000000-0005-0000-0000-0000301F0000}"/>
    <cellStyle name="20% - Accent5 4 2 2 2 4 4 2" xfId="16555" xr:uid="{00000000-0005-0000-0000-0000311F0000}"/>
    <cellStyle name="20% - Accent5 4 2 2 2 4 4 2 2" xfId="16556" xr:uid="{00000000-0005-0000-0000-0000321F0000}"/>
    <cellStyle name="20% - Accent5 4 2 2 2 4 4 2 3" xfId="16557" xr:uid="{00000000-0005-0000-0000-0000331F0000}"/>
    <cellStyle name="20% - Accent5 4 2 2 2 4 4 3" xfId="16558" xr:uid="{00000000-0005-0000-0000-0000341F0000}"/>
    <cellStyle name="20% - Accent5 4 2 2 2 4 4 3 2" xfId="16559" xr:uid="{00000000-0005-0000-0000-0000351F0000}"/>
    <cellStyle name="20% - Accent5 4 2 2 2 4 4 4" xfId="16560" xr:uid="{00000000-0005-0000-0000-0000361F0000}"/>
    <cellStyle name="20% - Accent5 4 2 2 2 4 4 5" xfId="16561" xr:uid="{00000000-0005-0000-0000-0000371F0000}"/>
    <cellStyle name="20% - Accent5 4 2 2 2 4 5" xfId="16562" xr:uid="{00000000-0005-0000-0000-0000381F0000}"/>
    <cellStyle name="20% - Accent5 4 2 2 2 4 5 2" xfId="16563" xr:uid="{00000000-0005-0000-0000-0000391F0000}"/>
    <cellStyle name="20% - Accent5 4 2 2 2 4 5 3" xfId="16564" xr:uid="{00000000-0005-0000-0000-00003A1F0000}"/>
    <cellStyle name="20% - Accent5 4 2 2 2 4 6" xfId="16565" xr:uid="{00000000-0005-0000-0000-00003B1F0000}"/>
    <cellStyle name="20% - Accent5 4 2 2 2 4 6 2" xfId="16566" xr:uid="{00000000-0005-0000-0000-00003C1F0000}"/>
    <cellStyle name="20% - Accent5 4 2 2 2 4 6 3" xfId="16567" xr:uid="{00000000-0005-0000-0000-00003D1F0000}"/>
    <cellStyle name="20% - Accent5 4 2 2 2 4 7" xfId="16568" xr:uid="{00000000-0005-0000-0000-00003E1F0000}"/>
    <cellStyle name="20% - Accent5 4 2 2 2 4 7 2" xfId="16569" xr:uid="{00000000-0005-0000-0000-00003F1F0000}"/>
    <cellStyle name="20% - Accent5 4 2 2 2 4 8" xfId="16570" xr:uid="{00000000-0005-0000-0000-0000401F0000}"/>
    <cellStyle name="20% - Accent5 4 2 2 2 4 9" xfId="16571" xr:uid="{00000000-0005-0000-0000-0000411F0000}"/>
    <cellStyle name="20% - Accent5 4 2 2 2 5" xfId="16572" xr:uid="{00000000-0005-0000-0000-0000421F0000}"/>
    <cellStyle name="20% - Accent5 4 2 2 2 5 2" xfId="16573" xr:uid="{00000000-0005-0000-0000-0000431F0000}"/>
    <cellStyle name="20% - Accent5 4 2 2 2 5 2 2" xfId="16574" xr:uid="{00000000-0005-0000-0000-0000441F0000}"/>
    <cellStyle name="20% - Accent5 4 2 2 2 5 2 3" xfId="16575" xr:uid="{00000000-0005-0000-0000-0000451F0000}"/>
    <cellStyle name="20% - Accent5 4 2 2 2 5 3" xfId="16576" xr:uid="{00000000-0005-0000-0000-0000461F0000}"/>
    <cellStyle name="20% - Accent5 4 2 2 2 5 3 2" xfId="16577" xr:uid="{00000000-0005-0000-0000-0000471F0000}"/>
    <cellStyle name="20% - Accent5 4 2 2 2 5 3 3" xfId="16578" xr:uid="{00000000-0005-0000-0000-0000481F0000}"/>
    <cellStyle name="20% - Accent5 4 2 2 2 5 4" xfId="16579" xr:uid="{00000000-0005-0000-0000-0000491F0000}"/>
    <cellStyle name="20% - Accent5 4 2 2 2 5 4 2" xfId="16580" xr:uid="{00000000-0005-0000-0000-00004A1F0000}"/>
    <cellStyle name="20% - Accent5 4 2 2 2 5 5" xfId="16581" xr:uid="{00000000-0005-0000-0000-00004B1F0000}"/>
    <cellStyle name="20% - Accent5 4 2 2 2 5 6" xfId="16582" xr:uid="{00000000-0005-0000-0000-00004C1F0000}"/>
    <cellStyle name="20% - Accent5 4 2 2 2 6" xfId="16583" xr:uid="{00000000-0005-0000-0000-00004D1F0000}"/>
    <cellStyle name="20% - Accent5 4 2 2 2 6 2" xfId="16584" xr:uid="{00000000-0005-0000-0000-00004E1F0000}"/>
    <cellStyle name="20% - Accent5 4 2 2 2 6 2 2" xfId="16585" xr:uid="{00000000-0005-0000-0000-00004F1F0000}"/>
    <cellStyle name="20% - Accent5 4 2 2 2 6 2 3" xfId="16586" xr:uid="{00000000-0005-0000-0000-0000501F0000}"/>
    <cellStyle name="20% - Accent5 4 2 2 2 6 3" xfId="16587" xr:uid="{00000000-0005-0000-0000-0000511F0000}"/>
    <cellStyle name="20% - Accent5 4 2 2 2 6 3 2" xfId="16588" xr:uid="{00000000-0005-0000-0000-0000521F0000}"/>
    <cellStyle name="20% - Accent5 4 2 2 2 6 3 3" xfId="16589" xr:uid="{00000000-0005-0000-0000-0000531F0000}"/>
    <cellStyle name="20% - Accent5 4 2 2 2 6 4" xfId="16590" xr:uid="{00000000-0005-0000-0000-0000541F0000}"/>
    <cellStyle name="20% - Accent5 4 2 2 2 6 4 2" xfId="16591" xr:uid="{00000000-0005-0000-0000-0000551F0000}"/>
    <cellStyle name="20% - Accent5 4 2 2 2 6 5" xfId="16592" xr:uid="{00000000-0005-0000-0000-0000561F0000}"/>
    <cellStyle name="20% - Accent5 4 2 2 2 6 6" xfId="16593" xr:uid="{00000000-0005-0000-0000-0000571F0000}"/>
    <cellStyle name="20% - Accent5 4 2 2 2 7" xfId="16594" xr:uid="{00000000-0005-0000-0000-0000581F0000}"/>
    <cellStyle name="20% - Accent5 4 2 2 2 7 2" xfId="16595" xr:uid="{00000000-0005-0000-0000-0000591F0000}"/>
    <cellStyle name="20% - Accent5 4 2 2 2 7 2 2" xfId="16596" xr:uid="{00000000-0005-0000-0000-00005A1F0000}"/>
    <cellStyle name="20% - Accent5 4 2 2 2 7 2 3" xfId="16597" xr:uid="{00000000-0005-0000-0000-00005B1F0000}"/>
    <cellStyle name="20% - Accent5 4 2 2 2 7 3" xfId="16598" xr:uid="{00000000-0005-0000-0000-00005C1F0000}"/>
    <cellStyle name="20% - Accent5 4 2 2 2 7 3 2" xfId="16599" xr:uid="{00000000-0005-0000-0000-00005D1F0000}"/>
    <cellStyle name="20% - Accent5 4 2 2 2 7 4" xfId="16600" xr:uid="{00000000-0005-0000-0000-00005E1F0000}"/>
    <cellStyle name="20% - Accent5 4 2 2 2 7 5" xfId="16601" xr:uid="{00000000-0005-0000-0000-00005F1F0000}"/>
    <cellStyle name="20% - Accent5 4 2 2 2 8" xfId="16602" xr:uid="{00000000-0005-0000-0000-0000601F0000}"/>
    <cellStyle name="20% - Accent5 4 2 2 2 8 2" xfId="16603" xr:uid="{00000000-0005-0000-0000-0000611F0000}"/>
    <cellStyle name="20% - Accent5 4 2 2 2 8 3" xfId="16604" xr:uid="{00000000-0005-0000-0000-0000621F0000}"/>
    <cellStyle name="20% - Accent5 4 2 2 2 9" xfId="16605" xr:uid="{00000000-0005-0000-0000-0000631F0000}"/>
    <cellStyle name="20% - Accent5 4 2 2 2 9 2" xfId="16606" xr:uid="{00000000-0005-0000-0000-0000641F0000}"/>
    <cellStyle name="20% - Accent5 4 2 2 2 9 3" xfId="16607" xr:uid="{00000000-0005-0000-0000-0000651F0000}"/>
    <cellStyle name="20% - Accent5 4 2 2 3" xfId="1135" xr:uid="{00000000-0005-0000-0000-0000661F0000}"/>
    <cellStyle name="20% - Accent5 4 2 2 3 10" xfId="16608" xr:uid="{00000000-0005-0000-0000-0000671F0000}"/>
    <cellStyle name="20% - Accent5 4 2 2 3 2" xfId="1136" xr:uid="{00000000-0005-0000-0000-0000681F0000}"/>
    <cellStyle name="20% - Accent5 4 2 2 3 2 2" xfId="16609" xr:uid="{00000000-0005-0000-0000-0000691F0000}"/>
    <cellStyle name="20% - Accent5 4 2 2 3 2 2 2" xfId="16610" xr:uid="{00000000-0005-0000-0000-00006A1F0000}"/>
    <cellStyle name="20% - Accent5 4 2 2 3 2 2 2 2" xfId="16611" xr:uid="{00000000-0005-0000-0000-00006B1F0000}"/>
    <cellStyle name="20% - Accent5 4 2 2 3 2 2 2 3" xfId="16612" xr:uid="{00000000-0005-0000-0000-00006C1F0000}"/>
    <cellStyle name="20% - Accent5 4 2 2 3 2 2 3" xfId="16613" xr:uid="{00000000-0005-0000-0000-00006D1F0000}"/>
    <cellStyle name="20% - Accent5 4 2 2 3 2 2 3 2" xfId="16614" xr:uid="{00000000-0005-0000-0000-00006E1F0000}"/>
    <cellStyle name="20% - Accent5 4 2 2 3 2 2 3 3" xfId="16615" xr:uid="{00000000-0005-0000-0000-00006F1F0000}"/>
    <cellStyle name="20% - Accent5 4 2 2 3 2 2 4" xfId="16616" xr:uid="{00000000-0005-0000-0000-0000701F0000}"/>
    <cellStyle name="20% - Accent5 4 2 2 3 2 2 4 2" xfId="16617" xr:uid="{00000000-0005-0000-0000-0000711F0000}"/>
    <cellStyle name="20% - Accent5 4 2 2 3 2 2 5" xfId="16618" xr:uid="{00000000-0005-0000-0000-0000721F0000}"/>
    <cellStyle name="20% - Accent5 4 2 2 3 2 2 6" xfId="16619" xr:uid="{00000000-0005-0000-0000-0000731F0000}"/>
    <cellStyle name="20% - Accent5 4 2 2 3 2 3" xfId="16620" xr:uid="{00000000-0005-0000-0000-0000741F0000}"/>
    <cellStyle name="20% - Accent5 4 2 2 3 2 3 2" xfId="16621" xr:uid="{00000000-0005-0000-0000-0000751F0000}"/>
    <cellStyle name="20% - Accent5 4 2 2 3 2 3 2 2" xfId="16622" xr:uid="{00000000-0005-0000-0000-0000761F0000}"/>
    <cellStyle name="20% - Accent5 4 2 2 3 2 3 2 3" xfId="16623" xr:uid="{00000000-0005-0000-0000-0000771F0000}"/>
    <cellStyle name="20% - Accent5 4 2 2 3 2 3 3" xfId="16624" xr:uid="{00000000-0005-0000-0000-0000781F0000}"/>
    <cellStyle name="20% - Accent5 4 2 2 3 2 3 3 2" xfId="16625" xr:uid="{00000000-0005-0000-0000-0000791F0000}"/>
    <cellStyle name="20% - Accent5 4 2 2 3 2 3 3 3" xfId="16626" xr:uid="{00000000-0005-0000-0000-00007A1F0000}"/>
    <cellStyle name="20% - Accent5 4 2 2 3 2 3 4" xfId="16627" xr:uid="{00000000-0005-0000-0000-00007B1F0000}"/>
    <cellStyle name="20% - Accent5 4 2 2 3 2 3 4 2" xfId="16628" xr:uid="{00000000-0005-0000-0000-00007C1F0000}"/>
    <cellStyle name="20% - Accent5 4 2 2 3 2 3 5" xfId="16629" xr:uid="{00000000-0005-0000-0000-00007D1F0000}"/>
    <cellStyle name="20% - Accent5 4 2 2 3 2 3 6" xfId="16630" xr:uid="{00000000-0005-0000-0000-00007E1F0000}"/>
    <cellStyle name="20% - Accent5 4 2 2 3 2 4" xfId="16631" xr:uid="{00000000-0005-0000-0000-00007F1F0000}"/>
    <cellStyle name="20% - Accent5 4 2 2 3 2 4 2" xfId="16632" xr:uid="{00000000-0005-0000-0000-0000801F0000}"/>
    <cellStyle name="20% - Accent5 4 2 2 3 2 4 2 2" xfId="16633" xr:uid="{00000000-0005-0000-0000-0000811F0000}"/>
    <cellStyle name="20% - Accent5 4 2 2 3 2 4 2 3" xfId="16634" xr:uid="{00000000-0005-0000-0000-0000821F0000}"/>
    <cellStyle name="20% - Accent5 4 2 2 3 2 4 3" xfId="16635" xr:uid="{00000000-0005-0000-0000-0000831F0000}"/>
    <cellStyle name="20% - Accent5 4 2 2 3 2 4 3 2" xfId="16636" xr:uid="{00000000-0005-0000-0000-0000841F0000}"/>
    <cellStyle name="20% - Accent5 4 2 2 3 2 4 4" xfId="16637" xr:uid="{00000000-0005-0000-0000-0000851F0000}"/>
    <cellStyle name="20% - Accent5 4 2 2 3 2 4 5" xfId="16638" xr:uid="{00000000-0005-0000-0000-0000861F0000}"/>
    <cellStyle name="20% - Accent5 4 2 2 3 2 5" xfId="16639" xr:uid="{00000000-0005-0000-0000-0000871F0000}"/>
    <cellStyle name="20% - Accent5 4 2 2 3 2 5 2" xfId="16640" xr:uid="{00000000-0005-0000-0000-0000881F0000}"/>
    <cellStyle name="20% - Accent5 4 2 2 3 2 5 3" xfId="16641" xr:uid="{00000000-0005-0000-0000-0000891F0000}"/>
    <cellStyle name="20% - Accent5 4 2 2 3 2 6" xfId="16642" xr:uid="{00000000-0005-0000-0000-00008A1F0000}"/>
    <cellStyle name="20% - Accent5 4 2 2 3 2 6 2" xfId="16643" xr:uid="{00000000-0005-0000-0000-00008B1F0000}"/>
    <cellStyle name="20% - Accent5 4 2 2 3 2 6 3" xfId="16644" xr:uid="{00000000-0005-0000-0000-00008C1F0000}"/>
    <cellStyle name="20% - Accent5 4 2 2 3 2 7" xfId="16645" xr:uid="{00000000-0005-0000-0000-00008D1F0000}"/>
    <cellStyle name="20% - Accent5 4 2 2 3 2 7 2" xfId="16646" xr:uid="{00000000-0005-0000-0000-00008E1F0000}"/>
    <cellStyle name="20% - Accent5 4 2 2 3 2 8" xfId="16647" xr:uid="{00000000-0005-0000-0000-00008F1F0000}"/>
    <cellStyle name="20% - Accent5 4 2 2 3 2 9" xfId="16648" xr:uid="{00000000-0005-0000-0000-0000901F0000}"/>
    <cellStyle name="20% - Accent5 4 2 2 3 3" xfId="16649" xr:uid="{00000000-0005-0000-0000-0000911F0000}"/>
    <cellStyle name="20% - Accent5 4 2 2 3 3 2" xfId="16650" xr:uid="{00000000-0005-0000-0000-0000921F0000}"/>
    <cellStyle name="20% - Accent5 4 2 2 3 3 2 2" xfId="16651" xr:uid="{00000000-0005-0000-0000-0000931F0000}"/>
    <cellStyle name="20% - Accent5 4 2 2 3 3 2 3" xfId="16652" xr:uid="{00000000-0005-0000-0000-0000941F0000}"/>
    <cellStyle name="20% - Accent5 4 2 2 3 3 3" xfId="16653" xr:uid="{00000000-0005-0000-0000-0000951F0000}"/>
    <cellStyle name="20% - Accent5 4 2 2 3 3 3 2" xfId="16654" xr:uid="{00000000-0005-0000-0000-0000961F0000}"/>
    <cellStyle name="20% - Accent5 4 2 2 3 3 3 3" xfId="16655" xr:uid="{00000000-0005-0000-0000-0000971F0000}"/>
    <cellStyle name="20% - Accent5 4 2 2 3 3 4" xfId="16656" xr:uid="{00000000-0005-0000-0000-0000981F0000}"/>
    <cellStyle name="20% - Accent5 4 2 2 3 3 4 2" xfId="16657" xr:uid="{00000000-0005-0000-0000-0000991F0000}"/>
    <cellStyle name="20% - Accent5 4 2 2 3 3 5" xfId="16658" xr:uid="{00000000-0005-0000-0000-00009A1F0000}"/>
    <cellStyle name="20% - Accent5 4 2 2 3 3 6" xfId="16659" xr:uid="{00000000-0005-0000-0000-00009B1F0000}"/>
    <cellStyle name="20% - Accent5 4 2 2 3 4" xfId="16660" xr:uid="{00000000-0005-0000-0000-00009C1F0000}"/>
    <cellStyle name="20% - Accent5 4 2 2 3 4 2" xfId="16661" xr:uid="{00000000-0005-0000-0000-00009D1F0000}"/>
    <cellStyle name="20% - Accent5 4 2 2 3 4 2 2" xfId="16662" xr:uid="{00000000-0005-0000-0000-00009E1F0000}"/>
    <cellStyle name="20% - Accent5 4 2 2 3 4 2 3" xfId="16663" xr:uid="{00000000-0005-0000-0000-00009F1F0000}"/>
    <cellStyle name="20% - Accent5 4 2 2 3 4 3" xfId="16664" xr:uid="{00000000-0005-0000-0000-0000A01F0000}"/>
    <cellStyle name="20% - Accent5 4 2 2 3 4 3 2" xfId="16665" xr:uid="{00000000-0005-0000-0000-0000A11F0000}"/>
    <cellStyle name="20% - Accent5 4 2 2 3 4 3 3" xfId="16666" xr:uid="{00000000-0005-0000-0000-0000A21F0000}"/>
    <cellStyle name="20% - Accent5 4 2 2 3 4 4" xfId="16667" xr:uid="{00000000-0005-0000-0000-0000A31F0000}"/>
    <cellStyle name="20% - Accent5 4 2 2 3 4 4 2" xfId="16668" xr:uid="{00000000-0005-0000-0000-0000A41F0000}"/>
    <cellStyle name="20% - Accent5 4 2 2 3 4 5" xfId="16669" xr:uid="{00000000-0005-0000-0000-0000A51F0000}"/>
    <cellStyle name="20% - Accent5 4 2 2 3 4 6" xfId="16670" xr:uid="{00000000-0005-0000-0000-0000A61F0000}"/>
    <cellStyle name="20% - Accent5 4 2 2 3 5" xfId="16671" xr:uid="{00000000-0005-0000-0000-0000A71F0000}"/>
    <cellStyle name="20% - Accent5 4 2 2 3 5 2" xfId="16672" xr:uid="{00000000-0005-0000-0000-0000A81F0000}"/>
    <cellStyle name="20% - Accent5 4 2 2 3 5 2 2" xfId="16673" xr:uid="{00000000-0005-0000-0000-0000A91F0000}"/>
    <cellStyle name="20% - Accent5 4 2 2 3 5 2 3" xfId="16674" xr:uid="{00000000-0005-0000-0000-0000AA1F0000}"/>
    <cellStyle name="20% - Accent5 4 2 2 3 5 3" xfId="16675" xr:uid="{00000000-0005-0000-0000-0000AB1F0000}"/>
    <cellStyle name="20% - Accent5 4 2 2 3 5 3 2" xfId="16676" xr:uid="{00000000-0005-0000-0000-0000AC1F0000}"/>
    <cellStyle name="20% - Accent5 4 2 2 3 5 4" xfId="16677" xr:uid="{00000000-0005-0000-0000-0000AD1F0000}"/>
    <cellStyle name="20% - Accent5 4 2 2 3 5 5" xfId="16678" xr:uid="{00000000-0005-0000-0000-0000AE1F0000}"/>
    <cellStyle name="20% - Accent5 4 2 2 3 6" xfId="16679" xr:uid="{00000000-0005-0000-0000-0000AF1F0000}"/>
    <cellStyle name="20% - Accent5 4 2 2 3 6 2" xfId="16680" xr:uid="{00000000-0005-0000-0000-0000B01F0000}"/>
    <cellStyle name="20% - Accent5 4 2 2 3 6 3" xfId="16681" xr:uid="{00000000-0005-0000-0000-0000B11F0000}"/>
    <cellStyle name="20% - Accent5 4 2 2 3 7" xfId="16682" xr:uid="{00000000-0005-0000-0000-0000B21F0000}"/>
    <cellStyle name="20% - Accent5 4 2 2 3 7 2" xfId="16683" xr:uid="{00000000-0005-0000-0000-0000B31F0000}"/>
    <cellStyle name="20% - Accent5 4 2 2 3 7 3" xfId="16684" xr:uid="{00000000-0005-0000-0000-0000B41F0000}"/>
    <cellStyle name="20% - Accent5 4 2 2 3 8" xfId="16685" xr:uid="{00000000-0005-0000-0000-0000B51F0000}"/>
    <cellStyle name="20% - Accent5 4 2 2 3 8 2" xfId="16686" xr:uid="{00000000-0005-0000-0000-0000B61F0000}"/>
    <cellStyle name="20% - Accent5 4 2 2 3 9" xfId="16687" xr:uid="{00000000-0005-0000-0000-0000B71F0000}"/>
    <cellStyle name="20% - Accent5 4 2 2 4" xfId="1137" xr:uid="{00000000-0005-0000-0000-0000B81F0000}"/>
    <cellStyle name="20% - Accent5 4 2 2 4 2" xfId="16688" xr:uid="{00000000-0005-0000-0000-0000B91F0000}"/>
    <cellStyle name="20% - Accent5 4 2 2 4 2 2" xfId="16689" xr:uid="{00000000-0005-0000-0000-0000BA1F0000}"/>
    <cellStyle name="20% - Accent5 4 2 2 4 2 2 2" xfId="16690" xr:uid="{00000000-0005-0000-0000-0000BB1F0000}"/>
    <cellStyle name="20% - Accent5 4 2 2 4 2 2 3" xfId="16691" xr:uid="{00000000-0005-0000-0000-0000BC1F0000}"/>
    <cellStyle name="20% - Accent5 4 2 2 4 2 3" xfId="16692" xr:uid="{00000000-0005-0000-0000-0000BD1F0000}"/>
    <cellStyle name="20% - Accent5 4 2 2 4 2 3 2" xfId="16693" xr:uid="{00000000-0005-0000-0000-0000BE1F0000}"/>
    <cellStyle name="20% - Accent5 4 2 2 4 2 3 3" xfId="16694" xr:uid="{00000000-0005-0000-0000-0000BF1F0000}"/>
    <cellStyle name="20% - Accent5 4 2 2 4 2 4" xfId="16695" xr:uid="{00000000-0005-0000-0000-0000C01F0000}"/>
    <cellStyle name="20% - Accent5 4 2 2 4 2 4 2" xfId="16696" xr:uid="{00000000-0005-0000-0000-0000C11F0000}"/>
    <cellStyle name="20% - Accent5 4 2 2 4 2 5" xfId="16697" xr:uid="{00000000-0005-0000-0000-0000C21F0000}"/>
    <cellStyle name="20% - Accent5 4 2 2 4 2 6" xfId="16698" xr:uid="{00000000-0005-0000-0000-0000C31F0000}"/>
    <cellStyle name="20% - Accent5 4 2 2 4 3" xfId="16699" xr:uid="{00000000-0005-0000-0000-0000C41F0000}"/>
    <cellStyle name="20% - Accent5 4 2 2 4 3 2" xfId="16700" xr:uid="{00000000-0005-0000-0000-0000C51F0000}"/>
    <cellStyle name="20% - Accent5 4 2 2 4 3 2 2" xfId="16701" xr:uid="{00000000-0005-0000-0000-0000C61F0000}"/>
    <cellStyle name="20% - Accent5 4 2 2 4 3 2 3" xfId="16702" xr:uid="{00000000-0005-0000-0000-0000C71F0000}"/>
    <cellStyle name="20% - Accent5 4 2 2 4 3 3" xfId="16703" xr:uid="{00000000-0005-0000-0000-0000C81F0000}"/>
    <cellStyle name="20% - Accent5 4 2 2 4 3 3 2" xfId="16704" xr:uid="{00000000-0005-0000-0000-0000C91F0000}"/>
    <cellStyle name="20% - Accent5 4 2 2 4 3 3 3" xfId="16705" xr:uid="{00000000-0005-0000-0000-0000CA1F0000}"/>
    <cellStyle name="20% - Accent5 4 2 2 4 3 4" xfId="16706" xr:uid="{00000000-0005-0000-0000-0000CB1F0000}"/>
    <cellStyle name="20% - Accent5 4 2 2 4 3 4 2" xfId="16707" xr:uid="{00000000-0005-0000-0000-0000CC1F0000}"/>
    <cellStyle name="20% - Accent5 4 2 2 4 3 5" xfId="16708" xr:uid="{00000000-0005-0000-0000-0000CD1F0000}"/>
    <cellStyle name="20% - Accent5 4 2 2 4 3 6" xfId="16709" xr:uid="{00000000-0005-0000-0000-0000CE1F0000}"/>
    <cellStyle name="20% - Accent5 4 2 2 4 4" xfId="16710" xr:uid="{00000000-0005-0000-0000-0000CF1F0000}"/>
    <cellStyle name="20% - Accent5 4 2 2 4 4 2" xfId="16711" xr:uid="{00000000-0005-0000-0000-0000D01F0000}"/>
    <cellStyle name="20% - Accent5 4 2 2 4 4 2 2" xfId="16712" xr:uid="{00000000-0005-0000-0000-0000D11F0000}"/>
    <cellStyle name="20% - Accent5 4 2 2 4 4 2 3" xfId="16713" xr:uid="{00000000-0005-0000-0000-0000D21F0000}"/>
    <cellStyle name="20% - Accent5 4 2 2 4 4 3" xfId="16714" xr:uid="{00000000-0005-0000-0000-0000D31F0000}"/>
    <cellStyle name="20% - Accent5 4 2 2 4 4 3 2" xfId="16715" xr:uid="{00000000-0005-0000-0000-0000D41F0000}"/>
    <cellStyle name="20% - Accent5 4 2 2 4 4 4" xfId="16716" xr:uid="{00000000-0005-0000-0000-0000D51F0000}"/>
    <cellStyle name="20% - Accent5 4 2 2 4 4 5" xfId="16717" xr:uid="{00000000-0005-0000-0000-0000D61F0000}"/>
    <cellStyle name="20% - Accent5 4 2 2 4 5" xfId="16718" xr:uid="{00000000-0005-0000-0000-0000D71F0000}"/>
    <cellStyle name="20% - Accent5 4 2 2 4 5 2" xfId="16719" xr:uid="{00000000-0005-0000-0000-0000D81F0000}"/>
    <cellStyle name="20% - Accent5 4 2 2 4 5 3" xfId="16720" xr:uid="{00000000-0005-0000-0000-0000D91F0000}"/>
    <cellStyle name="20% - Accent5 4 2 2 4 6" xfId="16721" xr:uid="{00000000-0005-0000-0000-0000DA1F0000}"/>
    <cellStyle name="20% - Accent5 4 2 2 4 6 2" xfId="16722" xr:uid="{00000000-0005-0000-0000-0000DB1F0000}"/>
    <cellStyle name="20% - Accent5 4 2 2 4 6 3" xfId="16723" xr:uid="{00000000-0005-0000-0000-0000DC1F0000}"/>
    <cellStyle name="20% - Accent5 4 2 2 4 7" xfId="16724" xr:uid="{00000000-0005-0000-0000-0000DD1F0000}"/>
    <cellStyle name="20% - Accent5 4 2 2 4 7 2" xfId="16725" xr:uid="{00000000-0005-0000-0000-0000DE1F0000}"/>
    <cellStyle name="20% - Accent5 4 2 2 4 8" xfId="16726" xr:uid="{00000000-0005-0000-0000-0000DF1F0000}"/>
    <cellStyle name="20% - Accent5 4 2 2 4 9" xfId="16727" xr:uid="{00000000-0005-0000-0000-0000E01F0000}"/>
    <cellStyle name="20% - Accent5 4 2 2 5" xfId="16728" xr:uid="{00000000-0005-0000-0000-0000E11F0000}"/>
    <cellStyle name="20% - Accent5 4 2 2 5 2" xfId="16729" xr:uid="{00000000-0005-0000-0000-0000E21F0000}"/>
    <cellStyle name="20% - Accent5 4 2 2 5 2 2" xfId="16730" xr:uid="{00000000-0005-0000-0000-0000E31F0000}"/>
    <cellStyle name="20% - Accent5 4 2 2 5 2 2 2" xfId="16731" xr:uid="{00000000-0005-0000-0000-0000E41F0000}"/>
    <cellStyle name="20% - Accent5 4 2 2 5 2 2 3" xfId="16732" xr:uid="{00000000-0005-0000-0000-0000E51F0000}"/>
    <cellStyle name="20% - Accent5 4 2 2 5 2 3" xfId="16733" xr:uid="{00000000-0005-0000-0000-0000E61F0000}"/>
    <cellStyle name="20% - Accent5 4 2 2 5 2 3 2" xfId="16734" xr:uid="{00000000-0005-0000-0000-0000E71F0000}"/>
    <cellStyle name="20% - Accent5 4 2 2 5 2 3 3" xfId="16735" xr:uid="{00000000-0005-0000-0000-0000E81F0000}"/>
    <cellStyle name="20% - Accent5 4 2 2 5 2 4" xfId="16736" xr:uid="{00000000-0005-0000-0000-0000E91F0000}"/>
    <cellStyle name="20% - Accent5 4 2 2 5 2 4 2" xfId="16737" xr:uid="{00000000-0005-0000-0000-0000EA1F0000}"/>
    <cellStyle name="20% - Accent5 4 2 2 5 2 5" xfId="16738" xr:uid="{00000000-0005-0000-0000-0000EB1F0000}"/>
    <cellStyle name="20% - Accent5 4 2 2 5 2 6" xfId="16739" xr:uid="{00000000-0005-0000-0000-0000EC1F0000}"/>
    <cellStyle name="20% - Accent5 4 2 2 5 3" xfId="16740" xr:uid="{00000000-0005-0000-0000-0000ED1F0000}"/>
    <cellStyle name="20% - Accent5 4 2 2 5 3 2" xfId="16741" xr:uid="{00000000-0005-0000-0000-0000EE1F0000}"/>
    <cellStyle name="20% - Accent5 4 2 2 5 3 2 2" xfId="16742" xr:uid="{00000000-0005-0000-0000-0000EF1F0000}"/>
    <cellStyle name="20% - Accent5 4 2 2 5 3 2 3" xfId="16743" xr:uid="{00000000-0005-0000-0000-0000F01F0000}"/>
    <cellStyle name="20% - Accent5 4 2 2 5 3 3" xfId="16744" xr:uid="{00000000-0005-0000-0000-0000F11F0000}"/>
    <cellStyle name="20% - Accent5 4 2 2 5 3 3 2" xfId="16745" xr:uid="{00000000-0005-0000-0000-0000F21F0000}"/>
    <cellStyle name="20% - Accent5 4 2 2 5 3 3 3" xfId="16746" xr:uid="{00000000-0005-0000-0000-0000F31F0000}"/>
    <cellStyle name="20% - Accent5 4 2 2 5 3 4" xfId="16747" xr:uid="{00000000-0005-0000-0000-0000F41F0000}"/>
    <cellStyle name="20% - Accent5 4 2 2 5 3 4 2" xfId="16748" xr:uid="{00000000-0005-0000-0000-0000F51F0000}"/>
    <cellStyle name="20% - Accent5 4 2 2 5 3 5" xfId="16749" xr:uid="{00000000-0005-0000-0000-0000F61F0000}"/>
    <cellStyle name="20% - Accent5 4 2 2 5 3 6" xfId="16750" xr:uid="{00000000-0005-0000-0000-0000F71F0000}"/>
    <cellStyle name="20% - Accent5 4 2 2 5 4" xfId="16751" xr:uid="{00000000-0005-0000-0000-0000F81F0000}"/>
    <cellStyle name="20% - Accent5 4 2 2 5 4 2" xfId="16752" xr:uid="{00000000-0005-0000-0000-0000F91F0000}"/>
    <cellStyle name="20% - Accent5 4 2 2 5 4 2 2" xfId="16753" xr:uid="{00000000-0005-0000-0000-0000FA1F0000}"/>
    <cellStyle name="20% - Accent5 4 2 2 5 4 2 3" xfId="16754" xr:uid="{00000000-0005-0000-0000-0000FB1F0000}"/>
    <cellStyle name="20% - Accent5 4 2 2 5 4 3" xfId="16755" xr:uid="{00000000-0005-0000-0000-0000FC1F0000}"/>
    <cellStyle name="20% - Accent5 4 2 2 5 4 3 2" xfId="16756" xr:uid="{00000000-0005-0000-0000-0000FD1F0000}"/>
    <cellStyle name="20% - Accent5 4 2 2 5 4 4" xfId="16757" xr:uid="{00000000-0005-0000-0000-0000FE1F0000}"/>
    <cellStyle name="20% - Accent5 4 2 2 5 4 5" xfId="16758" xr:uid="{00000000-0005-0000-0000-0000FF1F0000}"/>
    <cellStyle name="20% - Accent5 4 2 2 5 5" xfId="16759" xr:uid="{00000000-0005-0000-0000-000000200000}"/>
    <cellStyle name="20% - Accent5 4 2 2 5 5 2" xfId="16760" xr:uid="{00000000-0005-0000-0000-000001200000}"/>
    <cellStyle name="20% - Accent5 4 2 2 5 5 3" xfId="16761" xr:uid="{00000000-0005-0000-0000-000002200000}"/>
    <cellStyle name="20% - Accent5 4 2 2 5 6" xfId="16762" xr:uid="{00000000-0005-0000-0000-000003200000}"/>
    <cellStyle name="20% - Accent5 4 2 2 5 6 2" xfId="16763" xr:uid="{00000000-0005-0000-0000-000004200000}"/>
    <cellStyle name="20% - Accent5 4 2 2 5 6 3" xfId="16764" xr:uid="{00000000-0005-0000-0000-000005200000}"/>
    <cellStyle name="20% - Accent5 4 2 2 5 7" xfId="16765" xr:uid="{00000000-0005-0000-0000-000006200000}"/>
    <cellStyle name="20% - Accent5 4 2 2 5 7 2" xfId="16766" xr:uid="{00000000-0005-0000-0000-000007200000}"/>
    <cellStyle name="20% - Accent5 4 2 2 5 8" xfId="16767" xr:uid="{00000000-0005-0000-0000-000008200000}"/>
    <cellStyle name="20% - Accent5 4 2 2 5 9" xfId="16768" xr:uid="{00000000-0005-0000-0000-000009200000}"/>
    <cellStyle name="20% - Accent5 4 2 2 6" xfId="16769" xr:uid="{00000000-0005-0000-0000-00000A200000}"/>
    <cellStyle name="20% - Accent5 4 2 2 6 2" xfId="16770" xr:uid="{00000000-0005-0000-0000-00000B200000}"/>
    <cellStyle name="20% - Accent5 4 2 2 6 2 2" xfId="16771" xr:uid="{00000000-0005-0000-0000-00000C200000}"/>
    <cellStyle name="20% - Accent5 4 2 2 6 2 3" xfId="16772" xr:uid="{00000000-0005-0000-0000-00000D200000}"/>
    <cellStyle name="20% - Accent5 4 2 2 6 3" xfId="16773" xr:uid="{00000000-0005-0000-0000-00000E200000}"/>
    <cellStyle name="20% - Accent5 4 2 2 6 3 2" xfId="16774" xr:uid="{00000000-0005-0000-0000-00000F200000}"/>
    <cellStyle name="20% - Accent5 4 2 2 6 3 3" xfId="16775" xr:uid="{00000000-0005-0000-0000-000010200000}"/>
    <cellStyle name="20% - Accent5 4 2 2 6 4" xfId="16776" xr:uid="{00000000-0005-0000-0000-000011200000}"/>
    <cellStyle name="20% - Accent5 4 2 2 6 4 2" xfId="16777" xr:uid="{00000000-0005-0000-0000-000012200000}"/>
    <cellStyle name="20% - Accent5 4 2 2 6 5" xfId="16778" xr:uid="{00000000-0005-0000-0000-000013200000}"/>
    <cellStyle name="20% - Accent5 4 2 2 6 6" xfId="16779" xr:uid="{00000000-0005-0000-0000-000014200000}"/>
    <cellStyle name="20% - Accent5 4 2 2 7" xfId="16780" xr:uid="{00000000-0005-0000-0000-000015200000}"/>
    <cellStyle name="20% - Accent5 4 2 2 7 2" xfId="16781" xr:uid="{00000000-0005-0000-0000-000016200000}"/>
    <cellStyle name="20% - Accent5 4 2 2 7 2 2" xfId="16782" xr:uid="{00000000-0005-0000-0000-000017200000}"/>
    <cellStyle name="20% - Accent5 4 2 2 7 2 3" xfId="16783" xr:uid="{00000000-0005-0000-0000-000018200000}"/>
    <cellStyle name="20% - Accent5 4 2 2 7 3" xfId="16784" xr:uid="{00000000-0005-0000-0000-000019200000}"/>
    <cellStyle name="20% - Accent5 4 2 2 7 3 2" xfId="16785" xr:uid="{00000000-0005-0000-0000-00001A200000}"/>
    <cellStyle name="20% - Accent5 4 2 2 7 3 3" xfId="16786" xr:uid="{00000000-0005-0000-0000-00001B200000}"/>
    <cellStyle name="20% - Accent5 4 2 2 7 4" xfId="16787" xr:uid="{00000000-0005-0000-0000-00001C200000}"/>
    <cellStyle name="20% - Accent5 4 2 2 7 4 2" xfId="16788" xr:uid="{00000000-0005-0000-0000-00001D200000}"/>
    <cellStyle name="20% - Accent5 4 2 2 7 5" xfId="16789" xr:uid="{00000000-0005-0000-0000-00001E200000}"/>
    <cellStyle name="20% - Accent5 4 2 2 7 6" xfId="16790" xr:uid="{00000000-0005-0000-0000-00001F200000}"/>
    <cellStyle name="20% - Accent5 4 2 2 8" xfId="16791" xr:uid="{00000000-0005-0000-0000-000020200000}"/>
    <cellStyle name="20% - Accent5 4 2 2 8 2" xfId="16792" xr:uid="{00000000-0005-0000-0000-000021200000}"/>
    <cellStyle name="20% - Accent5 4 2 2 8 2 2" xfId="16793" xr:uid="{00000000-0005-0000-0000-000022200000}"/>
    <cellStyle name="20% - Accent5 4 2 2 8 2 3" xfId="16794" xr:uid="{00000000-0005-0000-0000-000023200000}"/>
    <cellStyle name="20% - Accent5 4 2 2 8 3" xfId="16795" xr:uid="{00000000-0005-0000-0000-000024200000}"/>
    <cellStyle name="20% - Accent5 4 2 2 8 3 2" xfId="16796" xr:uid="{00000000-0005-0000-0000-000025200000}"/>
    <cellStyle name="20% - Accent5 4 2 2 8 4" xfId="16797" xr:uid="{00000000-0005-0000-0000-000026200000}"/>
    <cellStyle name="20% - Accent5 4 2 2 8 5" xfId="16798" xr:uid="{00000000-0005-0000-0000-000027200000}"/>
    <cellStyle name="20% - Accent5 4 2 2 9" xfId="16799" xr:uid="{00000000-0005-0000-0000-000028200000}"/>
    <cellStyle name="20% - Accent5 4 2 2 9 2" xfId="16800" xr:uid="{00000000-0005-0000-0000-000029200000}"/>
    <cellStyle name="20% - Accent5 4 2 2 9 3" xfId="16801" xr:uid="{00000000-0005-0000-0000-00002A200000}"/>
    <cellStyle name="20% - Accent5 4 2 3" xfId="1138" xr:uid="{00000000-0005-0000-0000-00002B200000}"/>
    <cellStyle name="20% - Accent5 4 2 3 10" xfId="16802" xr:uid="{00000000-0005-0000-0000-00002C200000}"/>
    <cellStyle name="20% - Accent5 4 2 3 10 2" xfId="16803" xr:uid="{00000000-0005-0000-0000-00002D200000}"/>
    <cellStyle name="20% - Accent5 4 2 3 11" xfId="16804" xr:uid="{00000000-0005-0000-0000-00002E200000}"/>
    <cellStyle name="20% - Accent5 4 2 3 12" xfId="16805" xr:uid="{00000000-0005-0000-0000-00002F200000}"/>
    <cellStyle name="20% - Accent5 4 2 3 2" xfId="1139" xr:uid="{00000000-0005-0000-0000-000030200000}"/>
    <cellStyle name="20% - Accent5 4 2 3 2 10" xfId="16806" xr:uid="{00000000-0005-0000-0000-000031200000}"/>
    <cellStyle name="20% - Accent5 4 2 3 2 2" xfId="1140" xr:uid="{00000000-0005-0000-0000-000032200000}"/>
    <cellStyle name="20% - Accent5 4 2 3 2 2 2" xfId="16807" xr:uid="{00000000-0005-0000-0000-000033200000}"/>
    <cellStyle name="20% - Accent5 4 2 3 2 2 2 2" xfId="16808" xr:uid="{00000000-0005-0000-0000-000034200000}"/>
    <cellStyle name="20% - Accent5 4 2 3 2 2 2 2 2" xfId="16809" xr:uid="{00000000-0005-0000-0000-000035200000}"/>
    <cellStyle name="20% - Accent5 4 2 3 2 2 2 2 3" xfId="16810" xr:uid="{00000000-0005-0000-0000-000036200000}"/>
    <cellStyle name="20% - Accent5 4 2 3 2 2 2 3" xfId="16811" xr:uid="{00000000-0005-0000-0000-000037200000}"/>
    <cellStyle name="20% - Accent5 4 2 3 2 2 2 3 2" xfId="16812" xr:uid="{00000000-0005-0000-0000-000038200000}"/>
    <cellStyle name="20% - Accent5 4 2 3 2 2 2 3 3" xfId="16813" xr:uid="{00000000-0005-0000-0000-000039200000}"/>
    <cellStyle name="20% - Accent5 4 2 3 2 2 2 4" xfId="16814" xr:uid="{00000000-0005-0000-0000-00003A200000}"/>
    <cellStyle name="20% - Accent5 4 2 3 2 2 2 4 2" xfId="16815" xr:uid="{00000000-0005-0000-0000-00003B200000}"/>
    <cellStyle name="20% - Accent5 4 2 3 2 2 2 5" xfId="16816" xr:uid="{00000000-0005-0000-0000-00003C200000}"/>
    <cellStyle name="20% - Accent5 4 2 3 2 2 2 6" xfId="16817" xr:uid="{00000000-0005-0000-0000-00003D200000}"/>
    <cellStyle name="20% - Accent5 4 2 3 2 2 3" xfId="16818" xr:uid="{00000000-0005-0000-0000-00003E200000}"/>
    <cellStyle name="20% - Accent5 4 2 3 2 2 3 2" xfId="16819" xr:uid="{00000000-0005-0000-0000-00003F200000}"/>
    <cellStyle name="20% - Accent5 4 2 3 2 2 3 2 2" xfId="16820" xr:uid="{00000000-0005-0000-0000-000040200000}"/>
    <cellStyle name="20% - Accent5 4 2 3 2 2 3 2 3" xfId="16821" xr:uid="{00000000-0005-0000-0000-000041200000}"/>
    <cellStyle name="20% - Accent5 4 2 3 2 2 3 3" xfId="16822" xr:uid="{00000000-0005-0000-0000-000042200000}"/>
    <cellStyle name="20% - Accent5 4 2 3 2 2 3 3 2" xfId="16823" xr:uid="{00000000-0005-0000-0000-000043200000}"/>
    <cellStyle name="20% - Accent5 4 2 3 2 2 3 3 3" xfId="16824" xr:uid="{00000000-0005-0000-0000-000044200000}"/>
    <cellStyle name="20% - Accent5 4 2 3 2 2 3 4" xfId="16825" xr:uid="{00000000-0005-0000-0000-000045200000}"/>
    <cellStyle name="20% - Accent5 4 2 3 2 2 3 4 2" xfId="16826" xr:uid="{00000000-0005-0000-0000-000046200000}"/>
    <cellStyle name="20% - Accent5 4 2 3 2 2 3 5" xfId="16827" xr:uid="{00000000-0005-0000-0000-000047200000}"/>
    <cellStyle name="20% - Accent5 4 2 3 2 2 3 6" xfId="16828" xr:uid="{00000000-0005-0000-0000-000048200000}"/>
    <cellStyle name="20% - Accent5 4 2 3 2 2 4" xfId="16829" xr:uid="{00000000-0005-0000-0000-000049200000}"/>
    <cellStyle name="20% - Accent5 4 2 3 2 2 4 2" xfId="16830" xr:uid="{00000000-0005-0000-0000-00004A200000}"/>
    <cellStyle name="20% - Accent5 4 2 3 2 2 4 2 2" xfId="16831" xr:uid="{00000000-0005-0000-0000-00004B200000}"/>
    <cellStyle name="20% - Accent5 4 2 3 2 2 4 2 3" xfId="16832" xr:uid="{00000000-0005-0000-0000-00004C200000}"/>
    <cellStyle name="20% - Accent5 4 2 3 2 2 4 3" xfId="16833" xr:uid="{00000000-0005-0000-0000-00004D200000}"/>
    <cellStyle name="20% - Accent5 4 2 3 2 2 4 3 2" xfId="16834" xr:uid="{00000000-0005-0000-0000-00004E200000}"/>
    <cellStyle name="20% - Accent5 4 2 3 2 2 4 4" xfId="16835" xr:uid="{00000000-0005-0000-0000-00004F200000}"/>
    <cellStyle name="20% - Accent5 4 2 3 2 2 4 5" xfId="16836" xr:uid="{00000000-0005-0000-0000-000050200000}"/>
    <cellStyle name="20% - Accent5 4 2 3 2 2 5" xfId="16837" xr:uid="{00000000-0005-0000-0000-000051200000}"/>
    <cellStyle name="20% - Accent5 4 2 3 2 2 5 2" xfId="16838" xr:uid="{00000000-0005-0000-0000-000052200000}"/>
    <cellStyle name="20% - Accent5 4 2 3 2 2 5 3" xfId="16839" xr:uid="{00000000-0005-0000-0000-000053200000}"/>
    <cellStyle name="20% - Accent5 4 2 3 2 2 6" xfId="16840" xr:uid="{00000000-0005-0000-0000-000054200000}"/>
    <cellStyle name="20% - Accent5 4 2 3 2 2 6 2" xfId="16841" xr:uid="{00000000-0005-0000-0000-000055200000}"/>
    <cellStyle name="20% - Accent5 4 2 3 2 2 6 3" xfId="16842" xr:uid="{00000000-0005-0000-0000-000056200000}"/>
    <cellStyle name="20% - Accent5 4 2 3 2 2 7" xfId="16843" xr:uid="{00000000-0005-0000-0000-000057200000}"/>
    <cellStyle name="20% - Accent5 4 2 3 2 2 7 2" xfId="16844" xr:uid="{00000000-0005-0000-0000-000058200000}"/>
    <cellStyle name="20% - Accent5 4 2 3 2 2 8" xfId="16845" xr:uid="{00000000-0005-0000-0000-000059200000}"/>
    <cellStyle name="20% - Accent5 4 2 3 2 2 9" xfId="16846" xr:uid="{00000000-0005-0000-0000-00005A200000}"/>
    <cellStyle name="20% - Accent5 4 2 3 2 3" xfId="16847" xr:uid="{00000000-0005-0000-0000-00005B200000}"/>
    <cellStyle name="20% - Accent5 4 2 3 2 3 2" xfId="16848" xr:uid="{00000000-0005-0000-0000-00005C200000}"/>
    <cellStyle name="20% - Accent5 4 2 3 2 3 2 2" xfId="16849" xr:uid="{00000000-0005-0000-0000-00005D200000}"/>
    <cellStyle name="20% - Accent5 4 2 3 2 3 2 3" xfId="16850" xr:uid="{00000000-0005-0000-0000-00005E200000}"/>
    <cellStyle name="20% - Accent5 4 2 3 2 3 3" xfId="16851" xr:uid="{00000000-0005-0000-0000-00005F200000}"/>
    <cellStyle name="20% - Accent5 4 2 3 2 3 3 2" xfId="16852" xr:uid="{00000000-0005-0000-0000-000060200000}"/>
    <cellStyle name="20% - Accent5 4 2 3 2 3 3 3" xfId="16853" xr:uid="{00000000-0005-0000-0000-000061200000}"/>
    <cellStyle name="20% - Accent5 4 2 3 2 3 4" xfId="16854" xr:uid="{00000000-0005-0000-0000-000062200000}"/>
    <cellStyle name="20% - Accent5 4 2 3 2 3 4 2" xfId="16855" xr:uid="{00000000-0005-0000-0000-000063200000}"/>
    <cellStyle name="20% - Accent5 4 2 3 2 3 5" xfId="16856" xr:uid="{00000000-0005-0000-0000-000064200000}"/>
    <cellStyle name="20% - Accent5 4 2 3 2 3 6" xfId="16857" xr:uid="{00000000-0005-0000-0000-000065200000}"/>
    <cellStyle name="20% - Accent5 4 2 3 2 4" xfId="16858" xr:uid="{00000000-0005-0000-0000-000066200000}"/>
    <cellStyle name="20% - Accent5 4 2 3 2 4 2" xfId="16859" xr:uid="{00000000-0005-0000-0000-000067200000}"/>
    <cellStyle name="20% - Accent5 4 2 3 2 4 2 2" xfId="16860" xr:uid="{00000000-0005-0000-0000-000068200000}"/>
    <cellStyle name="20% - Accent5 4 2 3 2 4 2 3" xfId="16861" xr:uid="{00000000-0005-0000-0000-000069200000}"/>
    <cellStyle name="20% - Accent5 4 2 3 2 4 3" xfId="16862" xr:uid="{00000000-0005-0000-0000-00006A200000}"/>
    <cellStyle name="20% - Accent5 4 2 3 2 4 3 2" xfId="16863" xr:uid="{00000000-0005-0000-0000-00006B200000}"/>
    <cellStyle name="20% - Accent5 4 2 3 2 4 3 3" xfId="16864" xr:uid="{00000000-0005-0000-0000-00006C200000}"/>
    <cellStyle name="20% - Accent5 4 2 3 2 4 4" xfId="16865" xr:uid="{00000000-0005-0000-0000-00006D200000}"/>
    <cellStyle name="20% - Accent5 4 2 3 2 4 4 2" xfId="16866" xr:uid="{00000000-0005-0000-0000-00006E200000}"/>
    <cellStyle name="20% - Accent5 4 2 3 2 4 5" xfId="16867" xr:uid="{00000000-0005-0000-0000-00006F200000}"/>
    <cellStyle name="20% - Accent5 4 2 3 2 4 6" xfId="16868" xr:uid="{00000000-0005-0000-0000-000070200000}"/>
    <cellStyle name="20% - Accent5 4 2 3 2 5" xfId="16869" xr:uid="{00000000-0005-0000-0000-000071200000}"/>
    <cellStyle name="20% - Accent5 4 2 3 2 5 2" xfId="16870" xr:uid="{00000000-0005-0000-0000-000072200000}"/>
    <cellStyle name="20% - Accent5 4 2 3 2 5 2 2" xfId="16871" xr:uid="{00000000-0005-0000-0000-000073200000}"/>
    <cellStyle name="20% - Accent5 4 2 3 2 5 2 3" xfId="16872" xr:uid="{00000000-0005-0000-0000-000074200000}"/>
    <cellStyle name="20% - Accent5 4 2 3 2 5 3" xfId="16873" xr:uid="{00000000-0005-0000-0000-000075200000}"/>
    <cellStyle name="20% - Accent5 4 2 3 2 5 3 2" xfId="16874" xr:uid="{00000000-0005-0000-0000-000076200000}"/>
    <cellStyle name="20% - Accent5 4 2 3 2 5 4" xfId="16875" xr:uid="{00000000-0005-0000-0000-000077200000}"/>
    <cellStyle name="20% - Accent5 4 2 3 2 5 5" xfId="16876" xr:uid="{00000000-0005-0000-0000-000078200000}"/>
    <cellStyle name="20% - Accent5 4 2 3 2 6" xfId="16877" xr:uid="{00000000-0005-0000-0000-000079200000}"/>
    <cellStyle name="20% - Accent5 4 2 3 2 6 2" xfId="16878" xr:uid="{00000000-0005-0000-0000-00007A200000}"/>
    <cellStyle name="20% - Accent5 4 2 3 2 6 3" xfId="16879" xr:uid="{00000000-0005-0000-0000-00007B200000}"/>
    <cellStyle name="20% - Accent5 4 2 3 2 7" xfId="16880" xr:uid="{00000000-0005-0000-0000-00007C200000}"/>
    <cellStyle name="20% - Accent5 4 2 3 2 7 2" xfId="16881" xr:uid="{00000000-0005-0000-0000-00007D200000}"/>
    <cellStyle name="20% - Accent5 4 2 3 2 7 3" xfId="16882" xr:uid="{00000000-0005-0000-0000-00007E200000}"/>
    <cellStyle name="20% - Accent5 4 2 3 2 8" xfId="16883" xr:uid="{00000000-0005-0000-0000-00007F200000}"/>
    <cellStyle name="20% - Accent5 4 2 3 2 8 2" xfId="16884" xr:uid="{00000000-0005-0000-0000-000080200000}"/>
    <cellStyle name="20% - Accent5 4 2 3 2 9" xfId="16885" xr:uid="{00000000-0005-0000-0000-000081200000}"/>
    <cellStyle name="20% - Accent5 4 2 3 3" xfId="1141" xr:uid="{00000000-0005-0000-0000-000082200000}"/>
    <cellStyle name="20% - Accent5 4 2 3 3 2" xfId="16886" xr:uid="{00000000-0005-0000-0000-000083200000}"/>
    <cellStyle name="20% - Accent5 4 2 3 3 2 2" xfId="16887" xr:uid="{00000000-0005-0000-0000-000084200000}"/>
    <cellStyle name="20% - Accent5 4 2 3 3 2 2 2" xfId="16888" xr:uid="{00000000-0005-0000-0000-000085200000}"/>
    <cellStyle name="20% - Accent5 4 2 3 3 2 2 3" xfId="16889" xr:uid="{00000000-0005-0000-0000-000086200000}"/>
    <cellStyle name="20% - Accent5 4 2 3 3 2 3" xfId="16890" xr:uid="{00000000-0005-0000-0000-000087200000}"/>
    <cellStyle name="20% - Accent5 4 2 3 3 2 3 2" xfId="16891" xr:uid="{00000000-0005-0000-0000-000088200000}"/>
    <cellStyle name="20% - Accent5 4 2 3 3 2 3 3" xfId="16892" xr:uid="{00000000-0005-0000-0000-000089200000}"/>
    <cellStyle name="20% - Accent5 4 2 3 3 2 4" xfId="16893" xr:uid="{00000000-0005-0000-0000-00008A200000}"/>
    <cellStyle name="20% - Accent5 4 2 3 3 2 4 2" xfId="16894" xr:uid="{00000000-0005-0000-0000-00008B200000}"/>
    <cellStyle name="20% - Accent5 4 2 3 3 2 5" xfId="16895" xr:uid="{00000000-0005-0000-0000-00008C200000}"/>
    <cellStyle name="20% - Accent5 4 2 3 3 2 6" xfId="16896" xr:uid="{00000000-0005-0000-0000-00008D200000}"/>
    <cellStyle name="20% - Accent5 4 2 3 3 3" xfId="16897" xr:uid="{00000000-0005-0000-0000-00008E200000}"/>
    <cellStyle name="20% - Accent5 4 2 3 3 3 2" xfId="16898" xr:uid="{00000000-0005-0000-0000-00008F200000}"/>
    <cellStyle name="20% - Accent5 4 2 3 3 3 2 2" xfId="16899" xr:uid="{00000000-0005-0000-0000-000090200000}"/>
    <cellStyle name="20% - Accent5 4 2 3 3 3 2 3" xfId="16900" xr:uid="{00000000-0005-0000-0000-000091200000}"/>
    <cellStyle name="20% - Accent5 4 2 3 3 3 3" xfId="16901" xr:uid="{00000000-0005-0000-0000-000092200000}"/>
    <cellStyle name="20% - Accent5 4 2 3 3 3 3 2" xfId="16902" xr:uid="{00000000-0005-0000-0000-000093200000}"/>
    <cellStyle name="20% - Accent5 4 2 3 3 3 3 3" xfId="16903" xr:uid="{00000000-0005-0000-0000-000094200000}"/>
    <cellStyle name="20% - Accent5 4 2 3 3 3 4" xfId="16904" xr:uid="{00000000-0005-0000-0000-000095200000}"/>
    <cellStyle name="20% - Accent5 4 2 3 3 3 4 2" xfId="16905" xr:uid="{00000000-0005-0000-0000-000096200000}"/>
    <cellStyle name="20% - Accent5 4 2 3 3 3 5" xfId="16906" xr:uid="{00000000-0005-0000-0000-000097200000}"/>
    <cellStyle name="20% - Accent5 4 2 3 3 3 6" xfId="16907" xr:uid="{00000000-0005-0000-0000-000098200000}"/>
    <cellStyle name="20% - Accent5 4 2 3 3 4" xfId="16908" xr:uid="{00000000-0005-0000-0000-000099200000}"/>
    <cellStyle name="20% - Accent5 4 2 3 3 4 2" xfId="16909" xr:uid="{00000000-0005-0000-0000-00009A200000}"/>
    <cellStyle name="20% - Accent5 4 2 3 3 4 2 2" xfId="16910" xr:uid="{00000000-0005-0000-0000-00009B200000}"/>
    <cellStyle name="20% - Accent5 4 2 3 3 4 2 3" xfId="16911" xr:uid="{00000000-0005-0000-0000-00009C200000}"/>
    <cellStyle name="20% - Accent5 4 2 3 3 4 3" xfId="16912" xr:uid="{00000000-0005-0000-0000-00009D200000}"/>
    <cellStyle name="20% - Accent5 4 2 3 3 4 3 2" xfId="16913" xr:uid="{00000000-0005-0000-0000-00009E200000}"/>
    <cellStyle name="20% - Accent5 4 2 3 3 4 4" xfId="16914" xr:uid="{00000000-0005-0000-0000-00009F200000}"/>
    <cellStyle name="20% - Accent5 4 2 3 3 4 5" xfId="16915" xr:uid="{00000000-0005-0000-0000-0000A0200000}"/>
    <cellStyle name="20% - Accent5 4 2 3 3 5" xfId="16916" xr:uid="{00000000-0005-0000-0000-0000A1200000}"/>
    <cellStyle name="20% - Accent5 4 2 3 3 5 2" xfId="16917" xr:uid="{00000000-0005-0000-0000-0000A2200000}"/>
    <cellStyle name="20% - Accent5 4 2 3 3 5 3" xfId="16918" xr:uid="{00000000-0005-0000-0000-0000A3200000}"/>
    <cellStyle name="20% - Accent5 4 2 3 3 6" xfId="16919" xr:uid="{00000000-0005-0000-0000-0000A4200000}"/>
    <cellStyle name="20% - Accent5 4 2 3 3 6 2" xfId="16920" xr:uid="{00000000-0005-0000-0000-0000A5200000}"/>
    <cellStyle name="20% - Accent5 4 2 3 3 6 3" xfId="16921" xr:uid="{00000000-0005-0000-0000-0000A6200000}"/>
    <cellStyle name="20% - Accent5 4 2 3 3 7" xfId="16922" xr:uid="{00000000-0005-0000-0000-0000A7200000}"/>
    <cellStyle name="20% - Accent5 4 2 3 3 7 2" xfId="16923" xr:uid="{00000000-0005-0000-0000-0000A8200000}"/>
    <cellStyle name="20% - Accent5 4 2 3 3 8" xfId="16924" xr:uid="{00000000-0005-0000-0000-0000A9200000}"/>
    <cellStyle name="20% - Accent5 4 2 3 3 9" xfId="16925" xr:uid="{00000000-0005-0000-0000-0000AA200000}"/>
    <cellStyle name="20% - Accent5 4 2 3 4" xfId="16926" xr:uid="{00000000-0005-0000-0000-0000AB200000}"/>
    <cellStyle name="20% - Accent5 4 2 3 4 2" xfId="16927" xr:uid="{00000000-0005-0000-0000-0000AC200000}"/>
    <cellStyle name="20% - Accent5 4 2 3 4 2 2" xfId="16928" xr:uid="{00000000-0005-0000-0000-0000AD200000}"/>
    <cellStyle name="20% - Accent5 4 2 3 4 2 2 2" xfId="16929" xr:uid="{00000000-0005-0000-0000-0000AE200000}"/>
    <cellStyle name="20% - Accent5 4 2 3 4 2 2 3" xfId="16930" xr:uid="{00000000-0005-0000-0000-0000AF200000}"/>
    <cellStyle name="20% - Accent5 4 2 3 4 2 3" xfId="16931" xr:uid="{00000000-0005-0000-0000-0000B0200000}"/>
    <cellStyle name="20% - Accent5 4 2 3 4 2 3 2" xfId="16932" xr:uid="{00000000-0005-0000-0000-0000B1200000}"/>
    <cellStyle name="20% - Accent5 4 2 3 4 2 3 3" xfId="16933" xr:uid="{00000000-0005-0000-0000-0000B2200000}"/>
    <cellStyle name="20% - Accent5 4 2 3 4 2 4" xfId="16934" xr:uid="{00000000-0005-0000-0000-0000B3200000}"/>
    <cellStyle name="20% - Accent5 4 2 3 4 2 4 2" xfId="16935" xr:uid="{00000000-0005-0000-0000-0000B4200000}"/>
    <cellStyle name="20% - Accent5 4 2 3 4 2 5" xfId="16936" xr:uid="{00000000-0005-0000-0000-0000B5200000}"/>
    <cellStyle name="20% - Accent5 4 2 3 4 2 6" xfId="16937" xr:uid="{00000000-0005-0000-0000-0000B6200000}"/>
    <cellStyle name="20% - Accent5 4 2 3 4 3" xfId="16938" xr:uid="{00000000-0005-0000-0000-0000B7200000}"/>
    <cellStyle name="20% - Accent5 4 2 3 4 3 2" xfId="16939" xr:uid="{00000000-0005-0000-0000-0000B8200000}"/>
    <cellStyle name="20% - Accent5 4 2 3 4 3 2 2" xfId="16940" xr:uid="{00000000-0005-0000-0000-0000B9200000}"/>
    <cellStyle name="20% - Accent5 4 2 3 4 3 2 3" xfId="16941" xr:uid="{00000000-0005-0000-0000-0000BA200000}"/>
    <cellStyle name="20% - Accent5 4 2 3 4 3 3" xfId="16942" xr:uid="{00000000-0005-0000-0000-0000BB200000}"/>
    <cellStyle name="20% - Accent5 4 2 3 4 3 3 2" xfId="16943" xr:uid="{00000000-0005-0000-0000-0000BC200000}"/>
    <cellStyle name="20% - Accent5 4 2 3 4 3 3 3" xfId="16944" xr:uid="{00000000-0005-0000-0000-0000BD200000}"/>
    <cellStyle name="20% - Accent5 4 2 3 4 3 4" xfId="16945" xr:uid="{00000000-0005-0000-0000-0000BE200000}"/>
    <cellStyle name="20% - Accent5 4 2 3 4 3 4 2" xfId="16946" xr:uid="{00000000-0005-0000-0000-0000BF200000}"/>
    <cellStyle name="20% - Accent5 4 2 3 4 3 5" xfId="16947" xr:uid="{00000000-0005-0000-0000-0000C0200000}"/>
    <cellStyle name="20% - Accent5 4 2 3 4 3 6" xfId="16948" xr:uid="{00000000-0005-0000-0000-0000C1200000}"/>
    <cellStyle name="20% - Accent5 4 2 3 4 4" xfId="16949" xr:uid="{00000000-0005-0000-0000-0000C2200000}"/>
    <cellStyle name="20% - Accent5 4 2 3 4 4 2" xfId="16950" xr:uid="{00000000-0005-0000-0000-0000C3200000}"/>
    <cellStyle name="20% - Accent5 4 2 3 4 4 2 2" xfId="16951" xr:uid="{00000000-0005-0000-0000-0000C4200000}"/>
    <cellStyle name="20% - Accent5 4 2 3 4 4 2 3" xfId="16952" xr:uid="{00000000-0005-0000-0000-0000C5200000}"/>
    <cellStyle name="20% - Accent5 4 2 3 4 4 3" xfId="16953" xr:uid="{00000000-0005-0000-0000-0000C6200000}"/>
    <cellStyle name="20% - Accent5 4 2 3 4 4 3 2" xfId="16954" xr:uid="{00000000-0005-0000-0000-0000C7200000}"/>
    <cellStyle name="20% - Accent5 4 2 3 4 4 4" xfId="16955" xr:uid="{00000000-0005-0000-0000-0000C8200000}"/>
    <cellStyle name="20% - Accent5 4 2 3 4 4 5" xfId="16956" xr:uid="{00000000-0005-0000-0000-0000C9200000}"/>
    <cellStyle name="20% - Accent5 4 2 3 4 5" xfId="16957" xr:uid="{00000000-0005-0000-0000-0000CA200000}"/>
    <cellStyle name="20% - Accent5 4 2 3 4 5 2" xfId="16958" xr:uid="{00000000-0005-0000-0000-0000CB200000}"/>
    <cellStyle name="20% - Accent5 4 2 3 4 5 3" xfId="16959" xr:uid="{00000000-0005-0000-0000-0000CC200000}"/>
    <cellStyle name="20% - Accent5 4 2 3 4 6" xfId="16960" xr:uid="{00000000-0005-0000-0000-0000CD200000}"/>
    <cellStyle name="20% - Accent5 4 2 3 4 6 2" xfId="16961" xr:uid="{00000000-0005-0000-0000-0000CE200000}"/>
    <cellStyle name="20% - Accent5 4 2 3 4 6 3" xfId="16962" xr:uid="{00000000-0005-0000-0000-0000CF200000}"/>
    <cellStyle name="20% - Accent5 4 2 3 4 7" xfId="16963" xr:uid="{00000000-0005-0000-0000-0000D0200000}"/>
    <cellStyle name="20% - Accent5 4 2 3 4 7 2" xfId="16964" xr:uid="{00000000-0005-0000-0000-0000D1200000}"/>
    <cellStyle name="20% - Accent5 4 2 3 4 8" xfId="16965" xr:uid="{00000000-0005-0000-0000-0000D2200000}"/>
    <cellStyle name="20% - Accent5 4 2 3 4 9" xfId="16966" xr:uid="{00000000-0005-0000-0000-0000D3200000}"/>
    <cellStyle name="20% - Accent5 4 2 3 5" xfId="16967" xr:uid="{00000000-0005-0000-0000-0000D4200000}"/>
    <cellStyle name="20% - Accent5 4 2 3 5 2" xfId="16968" xr:uid="{00000000-0005-0000-0000-0000D5200000}"/>
    <cellStyle name="20% - Accent5 4 2 3 5 2 2" xfId="16969" xr:uid="{00000000-0005-0000-0000-0000D6200000}"/>
    <cellStyle name="20% - Accent5 4 2 3 5 2 3" xfId="16970" xr:uid="{00000000-0005-0000-0000-0000D7200000}"/>
    <cellStyle name="20% - Accent5 4 2 3 5 3" xfId="16971" xr:uid="{00000000-0005-0000-0000-0000D8200000}"/>
    <cellStyle name="20% - Accent5 4 2 3 5 3 2" xfId="16972" xr:uid="{00000000-0005-0000-0000-0000D9200000}"/>
    <cellStyle name="20% - Accent5 4 2 3 5 3 3" xfId="16973" xr:uid="{00000000-0005-0000-0000-0000DA200000}"/>
    <cellStyle name="20% - Accent5 4 2 3 5 4" xfId="16974" xr:uid="{00000000-0005-0000-0000-0000DB200000}"/>
    <cellStyle name="20% - Accent5 4 2 3 5 4 2" xfId="16975" xr:uid="{00000000-0005-0000-0000-0000DC200000}"/>
    <cellStyle name="20% - Accent5 4 2 3 5 5" xfId="16976" xr:uid="{00000000-0005-0000-0000-0000DD200000}"/>
    <cellStyle name="20% - Accent5 4 2 3 5 6" xfId="16977" xr:uid="{00000000-0005-0000-0000-0000DE200000}"/>
    <cellStyle name="20% - Accent5 4 2 3 6" xfId="16978" xr:uid="{00000000-0005-0000-0000-0000DF200000}"/>
    <cellStyle name="20% - Accent5 4 2 3 6 2" xfId="16979" xr:uid="{00000000-0005-0000-0000-0000E0200000}"/>
    <cellStyle name="20% - Accent5 4 2 3 6 2 2" xfId="16980" xr:uid="{00000000-0005-0000-0000-0000E1200000}"/>
    <cellStyle name="20% - Accent5 4 2 3 6 2 3" xfId="16981" xr:uid="{00000000-0005-0000-0000-0000E2200000}"/>
    <cellStyle name="20% - Accent5 4 2 3 6 3" xfId="16982" xr:uid="{00000000-0005-0000-0000-0000E3200000}"/>
    <cellStyle name="20% - Accent5 4 2 3 6 3 2" xfId="16983" xr:uid="{00000000-0005-0000-0000-0000E4200000}"/>
    <cellStyle name="20% - Accent5 4 2 3 6 3 3" xfId="16984" xr:uid="{00000000-0005-0000-0000-0000E5200000}"/>
    <cellStyle name="20% - Accent5 4 2 3 6 4" xfId="16985" xr:uid="{00000000-0005-0000-0000-0000E6200000}"/>
    <cellStyle name="20% - Accent5 4 2 3 6 4 2" xfId="16986" xr:uid="{00000000-0005-0000-0000-0000E7200000}"/>
    <cellStyle name="20% - Accent5 4 2 3 6 5" xfId="16987" xr:uid="{00000000-0005-0000-0000-0000E8200000}"/>
    <cellStyle name="20% - Accent5 4 2 3 6 6" xfId="16988" xr:uid="{00000000-0005-0000-0000-0000E9200000}"/>
    <cellStyle name="20% - Accent5 4 2 3 7" xfId="16989" xr:uid="{00000000-0005-0000-0000-0000EA200000}"/>
    <cellStyle name="20% - Accent5 4 2 3 7 2" xfId="16990" xr:uid="{00000000-0005-0000-0000-0000EB200000}"/>
    <cellStyle name="20% - Accent5 4 2 3 7 2 2" xfId="16991" xr:uid="{00000000-0005-0000-0000-0000EC200000}"/>
    <cellStyle name="20% - Accent5 4 2 3 7 2 3" xfId="16992" xr:uid="{00000000-0005-0000-0000-0000ED200000}"/>
    <cellStyle name="20% - Accent5 4 2 3 7 3" xfId="16993" xr:uid="{00000000-0005-0000-0000-0000EE200000}"/>
    <cellStyle name="20% - Accent5 4 2 3 7 3 2" xfId="16994" xr:uid="{00000000-0005-0000-0000-0000EF200000}"/>
    <cellStyle name="20% - Accent5 4 2 3 7 4" xfId="16995" xr:uid="{00000000-0005-0000-0000-0000F0200000}"/>
    <cellStyle name="20% - Accent5 4 2 3 7 5" xfId="16996" xr:uid="{00000000-0005-0000-0000-0000F1200000}"/>
    <cellStyle name="20% - Accent5 4 2 3 8" xfId="16997" xr:uid="{00000000-0005-0000-0000-0000F2200000}"/>
    <cellStyle name="20% - Accent5 4 2 3 8 2" xfId="16998" xr:uid="{00000000-0005-0000-0000-0000F3200000}"/>
    <cellStyle name="20% - Accent5 4 2 3 8 3" xfId="16999" xr:uid="{00000000-0005-0000-0000-0000F4200000}"/>
    <cellStyle name="20% - Accent5 4 2 3 9" xfId="17000" xr:uid="{00000000-0005-0000-0000-0000F5200000}"/>
    <cellStyle name="20% - Accent5 4 2 3 9 2" xfId="17001" xr:uid="{00000000-0005-0000-0000-0000F6200000}"/>
    <cellStyle name="20% - Accent5 4 2 3 9 3" xfId="17002" xr:uid="{00000000-0005-0000-0000-0000F7200000}"/>
    <cellStyle name="20% - Accent5 4 2 4" xfId="1142" xr:uid="{00000000-0005-0000-0000-0000F8200000}"/>
    <cellStyle name="20% - Accent5 4 2 4 10" xfId="17003" xr:uid="{00000000-0005-0000-0000-0000F9200000}"/>
    <cellStyle name="20% - Accent5 4 2 4 2" xfId="1143" xr:uid="{00000000-0005-0000-0000-0000FA200000}"/>
    <cellStyle name="20% - Accent5 4 2 4 2 2" xfId="17004" xr:uid="{00000000-0005-0000-0000-0000FB200000}"/>
    <cellStyle name="20% - Accent5 4 2 4 2 2 2" xfId="17005" xr:uid="{00000000-0005-0000-0000-0000FC200000}"/>
    <cellStyle name="20% - Accent5 4 2 4 2 2 2 2" xfId="17006" xr:uid="{00000000-0005-0000-0000-0000FD200000}"/>
    <cellStyle name="20% - Accent5 4 2 4 2 2 2 3" xfId="17007" xr:uid="{00000000-0005-0000-0000-0000FE200000}"/>
    <cellStyle name="20% - Accent5 4 2 4 2 2 3" xfId="17008" xr:uid="{00000000-0005-0000-0000-0000FF200000}"/>
    <cellStyle name="20% - Accent5 4 2 4 2 2 3 2" xfId="17009" xr:uid="{00000000-0005-0000-0000-000000210000}"/>
    <cellStyle name="20% - Accent5 4 2 4 2 2 3 3" xfId="17010" xr:uid="{00000000-0005-0000-0000-000001210000}"/>
    <cellStyle name="20% - Accent5 4 2 4 2 2 4" xfId="17011" xr:uid="{00000000-0005-0000-0000-000002210000}"/>
    <cellStyle name="20% - Accent5 4 2 4 2 2 4 2" xfId="17012" xr:uid="{00000000-0005-0000-0000-000003210000}"/>
    <cellStyle name="20% - Accent5 4 2 4 2 2 5" xfId="17013" xr:uid="{00000000-0005-0000-0000-000004210000}"/>
    <cellStyle name="20% - Accent5 4 2 4 2 2 6" xfId="17014" xr:uid="{00000000-0005-0000-0000-000005210000}"/>
    <cellStyle name="20% - Accent5 4 2 4 2 3" xfId="17015" xr:uid="{00000000-0005-0000-0000-000006210000}"/>
    <cellStyle name="20% - Accent5 4 2 4 2 3 2" xfId="17016" xr:uid="{00000000-0005-0000-0000-000007210000}"/>
    <cellStyle name="20% - Accent5 4 2 4 2 3 2 2" xfId="17017" xr:uid="{00000000-0005-0000-0000-000008210000}"/>
    <cellStyle name="20% - Accent5 4 2 4 2 3 2 3" xfId="17018" xr:uid="{00000000-0005-0000-0000-000009210000}"/>
    <cellStyle name="20% - Accent5 4 2 4 2 3 3" xfId="17019" xr:uid="{00000000-0005-0000-0000-00000A210000}"/>
    <cellStyle name="20% - Accent5 4 2 4 2 3 3 2" xfId="17020" xr:uid="{00000000-0005-0000-0000-00000B210000}"/>
    <cellStyle name="20% - Accent5 4 2 4 2 3 3 3" xfId="17021" xr:uid="{00000000-0005-0000-0000-00000C210000}"/>
    <cellStyle name="20% - Accent5 4 2 4 2 3 4" xfId="17022" xr:uid="{00000000-0005-0000-0000-00000D210000}"/>
    <cellStyle name="20% - Accent5 4 2 4 2 3 4 2" xfId="17023" xr:uid="{00000000-0005-0000-0000-00000E210000}"/>
    <cellStyle name="20% - Accent5 4 2 4 2 3 5" xfId="17024" xr:uid="{00000000-0005-0000-0000-00000F210000}"/>
    <cellStyle name="20% - Accent5 4 2 4 2 3 6" xfId="17025" xr:uid="{00000000-0005-0000-0000-000010210000}"/>
    <cellStyle name="20% - Accent5 4 2 4 2 4" xfId="17026" xr:uid="{00000000-0005-0000-0000-000011210000}"/>
    <cellStyle name="20% - Accent5 4 2 4 2 4 2" xfId="17027" xr:uid="{00000000-0005-0000-0000-000012210000}"/>
    <cellStyle name="20% - Accent5 4 2 4 2 4 2 2" xfId="17028" xr:uid="{00000000-0005-0000-0000-000013210000}"/>
    <cellStyle name="20% - Accent5 4 2 4 2 4 2 3" xfId="17029" xr:uid="{00000000-0005-0000-0000-000014210000}"/>
    <cellStyle name="20% - Accent5 4 2 4 2 4 3" xfId="17030" xr:uid="{00000000-0005-0000-0000-000015210000}"/>
    <cellStyle name="20% - Accent5 4 2 4 2 4 3 2" xfId="17031" xr:uid="{00000000-0005-0000-0000-000016210000}"/>
    <cellStyle name="20% - Accent5 4 2 4 2 4 4" xfId="17032" xr:uid="{00000000-0005-0000-0000-000017210000}"/>
    <cellStyle name="20% - Accent5 4 2 4 2 4 5" xfId="17033" xr:uid="{00000000-0005-0000-0000-000018210000}"/>
    <cellStyle name="20% - Accent5 4 2 4 2 5" xfId="17034" xr:uid="{00000000-0005-0000-0000-000019210000}"/>
    <cellStyle name="20% - Accent5 4 2 4 2 5 2" xfId="17035" xr:uid="{00000000-0005-0000-0000-00001A210000}"/>
    <cellStyle name="20% - Accent5 4 2 4 2 5 3" xfId="17036" xr:uid="{00000000-0005-0000-0000-00001B210000}"/>
    <cellStyle name="20% - Accent5 4 2 4 2 6" xfId="17037" xr:uid="{00000000-0005-0000-0000-00001C210000}"/>
    <cellStyle name="20% - Accent5 4 2 4 2 6 2" xfId="17038" xr:uid="{00000000-0005-0000-0000-00001D210000}"/>
    <cellStyle name="20% - Accent5 4 2 4 2 6 3" xfId="17039" xr:uid="{00000000-0005-0000-0000-00001E210000}"/>
    <cellStyle name="20% - Accent5 4 2 4 2 7" xfId="17040" xr:uid="{00000000-0005-0000-0000-00001F210000}"/>
    <cellStyle name="20% - Accent5 4 2 4 2 7 2" xfId="17041" xr:uid="{00000000-0005-0000-0000-000020210000}"/>
    <cellStyle name="20% - Accent5 4 2 4 2 8" xfId="17042" xr:uid="{00000000-0005-0000-0000-000021210000}"/>
    <cellStyle name="20% - Accent5 4 2 4 2 9" xfId="17043" xr:uid="{00000000-0005-0000-0000-000022210000}"/>
    <cellStyle name="20% - Accent5 4 2 4 3" xfId="17044" xr:uid="{00000000-0005-0000-0000-000023210000}"/>
    <cellStyle name="20% - Accent5 4 2 4 3 2" xfId="17045" xr:uid="{00000000-0005-0000-0000-000024210000}"/>
    <cellStyle name="20% - Accent5 4 2 4 3 2 2" xfId="17046" xr:uid="{00000000-0005-0000-0000-000025210000}"/>
    <cellStyle name="20% - Accent5 4 2 4 3 2 3" xfId="17047" xr:uid="{00000000-0005-0000-0000-000026210000}"/>
    <cellStyle name="20% - Accent5 4 2 4 3 3" xfId="17048" xr:uid="{00000000-0005-0000-0000-000027210000}"/>
    <cellStyle name="20% - Accent5 4 2 4 3 3 2" xfId="17049" xr:uid="{00000000-0005-0000-0000-000028210000}"/>
    <cellStyle name="20% - Accent5 4 2 4 3 3 3" xfId="17050" xr:uid="{00000000-0005-0000-0000-000029210000}"/>
    <cellStyle name="20% - Accent5 4 2 4 3 4" xfId="17051" xr:uid="{00000000-0005-0000-0000-00002A210000}"/>
    <cellStyle name="20% - Accent5 4 2 4 3 4 2" xfId="17052" xr:uid="{00000000-0005-0000-0000-00002B210000}"/>
    <cellStyle name="20% - Accent5 4 2 4 3 5" xfId="17053" xr:uid="{00000000-0005-0000-0000-00002C210000}"/>
    <cellStyle name="20% - Accent5 4 2 4 3 6" xfId="17054" xr:uid="{00000000-0005-0000-0000-00002D210000}"/>
    <cellStyle name="20% - Accent5 4 2 4 4" xfId="17055" xr:uid="{00000000-0005-0000-0000-00002E210000}"/>
    <cellStyle name="20% - Accent5 4 2 4 4 2" xfId="17056" xr:uid="{00000000-0005-0000-0000-00002F210000}"/>
    <cellStyle name="20% - Accent5 4 2 4 4 2 2" xfId="17057" xr:uid="{00000000-0005-0000-0000-000030210000}"/>
    <cellStyle name="20% - Accent5 4 2 4 4 2 3" xfId="17058" xr:uid="{00000000-0005-0000-0000-000031210000}"/>
    <cellStyle name="20% - Accent5 4 2 4 4 3" xfId="17059" xr:uid="{00000000-0005-0000-0000-000032210000}"/>
    <cellStyle name="20% - Accent5 4 2 4 4 3 2" xfId="17060" xr:uid="{00000000-0005-0000-0000-000033210000}"/>
    <cellStyle name="20% - Accent5 4 2 4 4 3 3" xfId="17061" xr:uid="{00000000-0005-0000-0000-000034210000}"/>
    <cellStyle name="20% - Accent5 4 2 4 4 4" xfId="17062" xr:uid="{00000000-0005-0000-0000-000035210000}"/>
    <cellStyle name="20% - Accent5 4 2 4 4 4 2" xfId="17063" xr:uid="{00000000-0005-0000-0000-000036210000}"/>
    <cellStyle name="20% - Accent5 4 2 4 4 5" xfId="17064" xr:uid="{00000000-0005-0000-0000-000037210000}"/>
    <cellStyle name="20% - Accent5 4 2 4 4 6" xfId="17065" xr:uid="{00000000-0005-0000-0000-000038210000}"/>
    <cellStyle name="20% - Accent5 4 2 4 5" xfId="17066" xr:uid="{00000000-0005-0000-0000-000039210000}"/>
    <cellStyle name="20% - Accent5 4 2 4 5 2" xfId="17067" xr:uid="{00000000-0005-0000-0000-00003A210000}"/>
    <cellStyle name="20% - Accent5 4 2 4 5 2 2" xfId="17068" xr:uid="{00000000-0005-0000-0000-00003B210000}"/>
    <cellStyle name="20% - Accent5 4 2 4 5 2 3" xfId="17069" xr:uid="{00000000-0005-0000-0000-00003C210000}"/>
    <cellStyle name="20% - Accent5 4 2 4 5 3" xfId="17070" xr:uid="{00000000-0005-0000-0000-00003D210000}"/>
    <cellStyle name="20% - Accent5 4 2 4 5 3 2" xfId="17071" xr:uid="{00000000-0005-0000-0000-00003E210000}"/>
    <cellStyle name="20% - Accent5 4 2 4 5 4" xfId="17072" xr:uid="{00000000-0005-0000-0000-00003F210000}"/>
    <cellStyle name="20% - Accent5 4 2 4 5 5" xfId="17073" xr:uid="{00000000-0005-0000-0000-000040210000}"/>
    <cellStyle name="20% - Accent5 4 2 4 6" xfId="17074" xr:uid="{00000000-0005-0000-0000-000041210000}"/>
    <cellStyle name="20% - Accent5 4 2 4 6 2" xfId="17075" xr:uid="{00000000-0005-0000-0000-000042210000}"/>
    <cellStyle name="20% - Accent5 4 2 4 6 3" xfId="17076" xr:uid="{00000000-0005-0000-0000-000043210000}"/>
    <cellStyle name="20% - Accent5 4 2 4 7" xfId="17077" xr:uid="{00000000-0005-0000-0000-000044210000}"/>
    <cellStyle name="20% - Accent5 4 2 4 7 2" xfId="17078" xr:uid="{00000000-0005-0000-0000-000045210000}"/>
    <cellStyle name="20% - Accent5 4 2 4 7 3" xfId="17079" xr:uid="{00000000-0005-0000-0000-000046210000}"/>
    <cellStyle name="20% - Accent5 4 2 4 8" xfId="17080" xr:uid="{00000000-0005-0000-0000-000047210000}"/>
    <cellStyle name="20% - Accent5 4 2 4 8 2" xfId="17081" xr:uid="{00000000-0005-0000-0000-000048210000}"/>
    <cellStyle name="20% - Accent5 4 2 4 9" xfId="17082" xr:uid="{00000000-0005-0000-0000-000049210000}"/>
    <cellStyle name="20% - Accent5 4 2 5" xfId="1144" xr:uid="{00000000-0005-0000-0000-00004A210000}"/>
    <cellStyle name="20% - Accent5 4 2 5 2" xfId="17083" xr:uid="{00000000-0005-0000-0000-00004B210000}"/>
    <cellStyle name="20% - Accent5 4 2 5 2 2" xfId="17084" xr:uid="{00000000-0005-0000-0000-00004C210000}"/>
    <cellStyle name="20% - Accent5 4 2 5 2 2 2" xfId="17085" xr:uid="{00000000-0005-0000-0000-00004D210000}"/>
    <cellStyle name="20% - Accent5 4 2 5 2 2 3" xfId="17086" xr:uid="{00000000-0005-0000-0000-00004E210000}"/>
    <cellStyle name="20% - Accent5 4 2 5 2 3" xfId="17087" xr:uid="{00000000-0005-0000-0000-00004F210000}"/>
    <cellStyle name="20% - Accent5 4 2 5 2 3 2" xfId="17088" xr:uid="{00000000-0005-0000-0000-000050210000}"/>
    <cellStyle name="20% - Accent5 4 2 5 2 3 3" xfId="17089" xr:uid="{00000000-0005-0000-0000-000051210000}"/>
    <cellStyle name="20% - Accent5 4 2 5 2 4" xfId="17090" xr:uid="{00000000-0005-0000-0000-000052210000}"/>
    <cellStyle name="20% - Accent5 4 2 5 2 4 2" xfId="17091" xr:uid="{00000000-0005-0000-0000-000053210000}"/>
    <cellStyle name="20% - Accent5 4 2 5 2 5" xfId="17092" xr:uid="{00000000-0005-0000-0000-000054210000}"/>
    <cellStyle name="20% - Accent5 4 2 5 2 6" xfId="17093" xr:uid="{00000000-0005-0000-0000-000055210000}"/>
    <cellStyle name="20% - Accent5 4 2 5 3" xfId="17094" xr:uid="{00000000-0005-0000-0000-000056210000}"/>
    <cellStyle name="20% - Accent5 4 2 5 3 2" xfId="17095" xr:uid="{00000000-0005-0000-0000-000057210000}"/>
    <cellStyle name="20% - Accent5 4 2 5 3 2 2" xfId="17096" xr:uid="{00000000-0005-0000-0000-000058210000}"/>
    <cellStyle name="20% - Accent5 4 2 5 3 2 3" xfId="17097" xr:uid="{00000000-0005-0000-0000-000059210000}"/>
    <cellStyle name="20% - Accent5 4 2 5 3 3" xfId="17098" xr:uid="{00000000-0005-0000-0000-00005A210000}"/>
    <cellStyle name="20% - Accent5 4 2 5 3 3 2" xfId="17099" xr:uid="{00000000-0005-0000-0000-00005B210000}"/>
    <cellStyle name="20% - Accent5 4 2 5 3 3 3" xfId="17100" xr:uid="{00000000-0005-0000-0000-00005C210000}"/>
    <cellStyle name="20% - Accent5 4 2 5 3 4" xfId="17101" xr:uid="{00000000-0005-0000-0000-00005D210000}"/>
    <cellStyle name="20% - Accent5 4 2 5 3 4 2" xfId="17102" xr:uid="{00000000-0005-0000-0000-00005E210000}"/>
    <cellStyle name="20% - Accent5 4 2 5 3 5" xfId="17103" xr:uid="{00000000-0005-0000-0000-00005F210000}"/>
    <cellStyle name="20% - Accent5 4 2 5 3 6" xfId="17104" xr:uid="{00000000-0005-0000-0000-000060210000}"/>
    <cellStyle name="20% - Accent5 4 2 5 4" xfId="17105" xr:uid="{00000000-0005-0000-0000-000061210000}"/>
    <cellStyle name="20% - Accent5 4 2 5 4 2" xfId="17106" xr:uid="{00000000-0005-0000-0000-000062210000}"/>
    <cellStyle name="20% - Accent5 4 2 5 4 2 2" xfId="17107" xr:uid="{00000000-0005-0000-0000-000063210000}"/>
    <cellStyle name="20% - Accent5 4 2 5 4 2 3" xfId="17108" xr:uid="{00000000-0005-0000-0000-000064210000}"/>
    <cellStyle name="20% - Accent5 4 2 5 4 3" xfId="17109" xr:uid="{00000000-0005-0000-0000-000065210000}"/>
    <cellStyle name="20% - Accent5 4 2 5 4 3 2" xfId="17110" xr:uid="{00000000-0005-0000-0000-000066210000}"/>
    <cellStyle name="20% - Accent5 4 2 5 4 4" xfId="17111" xr:uid="{00000000-0005-0000-0000-000067210000}"/>
    <cellStyle name="20% - Accent5 4 2 5 4 5" xfId="17112" xr:uid="{00000000-0005-0000-0000-000068210000}"/>
    <cellStyle name="20% - Accent5 4 2 5 5" xfId="17113" xr:uid="{00000000-0005-0000-0000-000069210000}"/>
    <cellStyle name="20% - Accent5 4 2 5 5 2" xfId="17114" xr:uid="{00000000-0005-0000-0000-00006A210000}"/>
    <cellStyle name="20% - Accent5 4 2 5 5 3" xfId="17115" xr:uid="{00000000-0005-0000-0000-00006B210000}"/>
    <cellStyle name="20% - Accent5 4 2 5 6" xfId="17116" xr:uid="{00000000-0005-0000-0000-00006C210000}"/>
    <cellStyle name="20% - Accent5 4 2 5 6 2" xfId="17117" xr:uid="{00000000-0005-0000-0000-00006D210000}"/>
    <cellStyle name="20% - Accent5 4 2 5 6 3" xfId="17118" xr:uid="{00000000-0005-0000-0000-00006E210000}"/>
    <cellStyle name="20% - Accent5 4 2 5 7" xfId="17119" xr:uid="{00000000-0005-0000-0000-00006F210000}"/>
    <cellStyle name="20% - Accent5 4 2 5 7 2" xfId="17120" xr:uid="{00000000-0005-0000-0000-000070210000}"/>
    <cellStyle name="20% - Accent5 4 2 5 8" xfId="17121" xr:uid="{00000000-0005-0000-0000-000071210000}"/>
    <cellStyle name="20% - Accent5 4 2 5 9" xfId="17122" xr:uid="{00000000-0005-0000-0000-000072210000}"/>
    <cellStyle name="20% - Accent5 4 2 6" xfId="17123" xr:uid="{00000000-0005-0000-0000-000073210000}"/>
    <cellStyle name="20% - Accent5 4 2 6 2" xfId="17124" xr:uid="{00000000-0005-0000-0000-000074210000}"/>
    <cellStyle name="20% - Accent5 4 2 6 2 2" xfId="17125" xr:uid="{00000000-0005-0000-0000-000075210000}"/>
    <cellStyle name="20% - Accent5 4 2 6 2 2 2" xfId="17126" xr:uid="{00000000-0005-0000-0000-000076210000}"/>
    <cellStyle name="20% - Accent5 4 2 6 2 2 3" xfId="17127" xr:uid="{00000000-0005-0000-0000-000077210000}"/>
    <cellStyle name="20% - Accent5 4 2 6 2 3" xfId="17128" xr:uid="{00000000-0005-0000-0000-000078210000}"/>
    <cellStyle name="20% - Accent5 4 2 6 2 3 2" xfId="17129" xr:uid="{00000000-0005-0000-0000-000079210000}"/>
    <cellStyle name="20% - Accent5 4 2 6 2 3 3" xfId="17130" xr:uid="{00000000-0005-0000-0000-00007A210000}"/>
    <cellStyle name="20% - Accent5 4 2 6 2 4" xfId="17131" xr:uid="{00000000-0005-0000-0000-00007B210000}"/>
    <cellStyle name="20% - Accent5 4 2 6 2 4 2" xfId="17132" xr:uid="{00000000-0005-0000-0000-00007C210000}"/>
    <cellStyle name="20% - Accent5 4 2 6 2 5" xfId="17133" xr:uid="{00000000-0005-0000-0000-00007D210000}"/>
    <cellStyle name="20% - Accent5 4 2 6 2 6" xfId="17134" xr:uid="{00000000-0005-0000-0000-00007E210000}"/>
    <cellStyle name="20% - Accent5 4 2 6 3" xfId="17135" xr:uid="{00000000-0005-0000-0000-00007F210000}"/>
    <cellStyle name="20% - Accent5 4 2 6 3 2" xfId="17136" xr:uid="{00000000-0005-0000-0000-000080210000}"/>
    <cellStyle name="20% - Accent5 4 2 6 3 2 2" xfId="17137" xr:uid="{00000000-0005-0000-0000-000081210000}"/>
    <cellStyle name="20% - Accent5 4 2 6 3 2 3" xfId="17138" xr:uid="{00000000-0005-0000-0000-000082210000}"/>
    <cellStyle name="20% - Accent5 4 2 6 3 3" xfId="17139" xr:uid="{00000000-0005-0000-0000-000083210000}"/>
    <cellStyle name="20% - Accent5 4 2 6 3 3 2" xfId="17140" xr:uid="{00000000-0005-0000-0000-000084210000}"/>
    <cellStyle name="20% - Accent5 4 2 6 3 3 3" xfId="17141" xr:uid="{00000000-0005-0000-0000-000085210000}"/>
    <cellStyle name="20% - Accent5 4 2 6 3 4" xfId="17142" xr:uid="{00000000-0005-0000-0000-000086210000}"/>
    <cellStyle name="20% - Accent5 4 2 6 3 4 2" xfId="17143" xr:uid="{00000000-0005-0000-0000-000087210000}"/>
    <cellStyle name="20% - Accent5 4 2 6 3 5" xfId="17144" xr:uid="{00000000-0005-0000-0000-000088210000}"/>
    <cellStyle name="20% - Accent5 4 2 6 3 6" xfId="17145" xr:uid="{00000000-0005-0000-0000-000089210000}"/>
    <cellStyle name="20% - Accent5 4 2 6 4" xfId="17146" xr:uid="{00000000-0005-0000-0000-00008A210000}"/>
    <cellStyle name="20% - Accent5 4 2 6 4 2" xfId="17147" xr:uid="{00000000-0005-0000-0000-00008B210000}"/>
    <cellStyle name="20% - Accent5 4 2 6 4 2 2" xfId="17148" xr:uid="{00000000-0005-0000-0000-00008C210000}"/>
    <cellStyle name="20% - Accent5 4 2 6 4 2 3" xfId="17149" xr:uid="{00000000-0005-0000-0000-00008D210000}"/>
    <cellStyle name="20% - Accent5 4 2 6 4 3" xfId="17150" xr:uid="{00000000-0005-0000-0000-00008E210000}"/>
    <cellStyle name="20% - Accent5 4 2 6 4 3 2" xfId="17151" xr:uid="{00000000-0005-0000-0000-00008F210000}"/>
    <cellStyle name="20% - Accent5 4 2 6 4 4" xfId="17152" xr:uid="{00000000-0005-0000-0000-000090210000}"/>
    <cellStyle name="20% - Accent5 4 2 6 4 5" xfId="17153" xr:uid="{00000000-0005-0000-0000-000091210000}"/>
    <cellStyle name="20% - Accent5 4 2 6 5" xfId="17154" xr:uid="{00000000-0005-0000-0000-000092210000}"/>
    <cellStyle name="20% - Accent5 4 2 6 5 2" xfId="17155" xr:uid="{00000000-0005-0000-0000-000093210000}"/>
    <cellStyle name="20% - Accent5 4 2 6 5 3" xfId="17156" xr:uid="{00000000-0005-0000-0000-000094210000}"/>
    <cellStyle name="20% - Accent5 4 2 6 6" xfId="17157" xr:uid="{00000000-0005-0000-0000-000095210000}"/>
    <cellStyle name="20% - Accent5 4 2 6 6 2" xfId="17158" xr:uid="{00000000-0005-0000-0000-000096210000}"/>
    <cellStyle name="20% - Accent5 4 2 6 6 3" xfId="17159" xr:uid="{00000000-0005-0000-0000-000097210000}"/>
    <cellStyle name="20% - Accent5 4 2 6 7" xfId="17160" xr:uid="{00000000-0005-0000-0000-000098210000}"/>
    <cellStyle name="20% - Accent5 4 2 6 7 2" xfId="17161" xr:uid="{00000000-0005-0000-0000-000099210000}"/>
    <cellStyle name="20% - Accent5 4 2 6 8" xfId="17162" xr:uid="{00000000-0005-0000-0000-00009A210000}"/>
    <cellStyle name="20% - Accent5 4 2 6 9" xfId="17163" xr:uid="{00000000-0005-0000-0000-00009B210000}"/>
    <cellStyle name="20% - Accent5 4 2 7" xfId="17164" xr:uid="{00000000-0005-0000-0000-00009C210000}"/>
    <cellStyle name="20% - Accent5 4 2 7 2" xfId="17165" xr:uid="{00000000-0005-0000-0000-00009D210000}"/>
    <cellStyle name="20% - Accent5 4 2 7 2 2" xfId="17166" xr:uid="{00000000-0005-0000-0000-00009E210000}"/>
    <cellStyle name="20% - Accent5 4 2 7 2 3" xfId="17167" xr:uid="{00000000-0005-0000-0000-00009F210000}"/>
    <cellStyle name="20% - Accent5 4 2 7 3" xfId="17168" xr:uid="{00000000-0005-0000-0000-0000A0210000}"/>
    <cellStyle name="20% - Accent5 4 2 7 3 2" xfId="17169" xr:uid="{00000000-0005-0000-0000-0000A1210000}"/>
    <cellStyle name="20% - Accent5 4 2 7 3 3" xfId="17170" xr:uid="{00000000-0005-0000-0000-0000A2210000}"/>
    <cellStyle name="20% - Accent5 4 2 7 4" xfId="17171" xr:uid="{00000000-0005-0000-0000-0000A3210000}"/>
    <cellStyle name="20% - Accent5 4 2 7 4 2" xfId="17172" xr:uid="{00000000-0005-0000-0000-0000A4210000}"/>
    <cellStyle name="20% - Accent5 4 2 7 5" xfId="17173" xr:uid="{00000000-0005-0000-0000-0000A5210000}"/>
    <cellStyle name="20% - Accent5 4 2 7 6" xfId="17174" xr:uid="{00000000-0005-0000-0000-0000A6210000}"/>
    <cellStyle name="20% - Accent5 4 2 8" xfId="17175" xr:uid="{00000000-0005-0000-0000-0000A7210000}"/>
    <cellStyle name="20% - Accent5 4 2 8 2" xfId="17176" xr:uid="{00000000-0005-0000-0000-0000A8210000}"/>
    <cellStyle name="20% - Accent5 4 2 8 2 2" xfId="17177" xr:uid="{00000000-0005-0000-0000-0000A9210000}"/>
    <cellStyle name="20% - Accent5 4 2 8 2 3" xfId="17178" xr:uid="{00000000-0005-0000-0000-0000AA210000}"/>
    <cellStyle name="20% - Accent5 4 2 8 3" xfId="17179" xr:uid="{00000000-0005-0000-0000-0000AB210000}"/>
    <cellStyle name="20% - Accent5 4 2 8 3 2" xfId="17180" xr:uid="{00000000-0005-0000-0000-0000AC210000}"/>
    <cellStyle name="20% - Accent5 4 2 8 3 3" xfId="17181" xr:uid="{00000000-0005-0000-0000-0000AD210000}"/>
    <cellStyle name="20% - Accent5 4 2 8 4" xfId="17182" xr:uid="{00000000-0005-0000-0000-0000AE210000}"/>
    <cellStyle name="20% - Accent5 4 2 8 4 2" xfId="17183" xr:uid="{00000000-0005-0000-0000-0000AF210000}"/>
    <cellStyle name="20% - Accent5 4 2 8 5" xfId="17184" xr:uid="{00000000-0005-0000-0000-0000B0210000}"/>
    <cellStyle name="20% - Accent5 4 2 8 6" xfId="17185" xr:uid="{00000000-0005-0000-0000-0000B1210000}"/>
    <cellStyle name="20% - Accent5 4 2 9" xfId="17186" xr:uid="{00000000-0005-0000-0000-0000B2210000}"/>
    <cellStyle name="20% - Accent5 4 2 9 2" xfId="17187" xr:uid="{00000000-0005-0000-0000-0000B3210000}"/>
    <cellStyle name="20% - Accent5 4 2 9 2 2" xfId="17188" xr:uid="{00000000-0005-0000-0000-0000B4210000}"/>
    <cellStyle name="20% - Accent5 4 2 9 2 3" xfId="17189" xr:uid="{00000000-0005-0000-0000-0000B5210000}"/>
    <cellStyle name="20% - Accent5 4 2 9 3" xfId="17190" xr:uid="{00000000-0005-0000-0000-0000B6210000}"/>
    <cellStyle name="20% - Accent5 4 2 9 3 2" xfId="17191" xr:uid="{00000000-0005-0000-0000-0000B7210000}"/>
    <cellStyle name="20% - Accent5 4 2 9 4" xfId="17192" xr:uid="{00000000-0005-0000-0000-0000B8210000}"/>
    <cellStyle name="20% - Accent5 4 2 9 5" xfId="17193" xr:uid="{00000000-0005-0000-0000-0000B9210000}"/>
    <cellStyle name="20% - Accent5 4 3" xfId="1145" xr:uid="{00000000-0005-0000-0000-0000BA210000}"/>
    <cellStyle name="20% - Accent5 4 3 10" xfId="17194" xr:uid="{00000000-0005-0000-0000-0000BB210000}"/>
    <cellStyle name="20% - Accent5 4 3 10 2" xfId="17195" xr:uid="{00000000-0005-0000-0000-0000BC210000}"/>
    <cellStyle name="20% - Accent5 4 3 10 3" xfId="17196" xr:uid="{00000000-0005-0000-0000-0000BD210000}"/>
    <cellStyle name="20% - Accent5 4 3 11" xfId="17197" xr:uid="{00000000-0005-0000-0000-0000BE210000}"/>
    <cellStyle name="20% - Accent5 4 3 11 2" xfId="17198" xr:uid="{00000000-0005-0000-0000-0000BF210000}"/>
    <cellStyle name="20% - Accent5 4 3 12" xfId="17199" xr:uid="{00000000-0005-0000-0000-0000C0210000}"/>
    <cellStyle name="20% - Accent5 4 3 13" xfId="17200" xr:uid="{00000000-0005-0000-0000-0000C1210000}"/>
    <cellStyle name="20% - Accent5 4 3 14" xfId="17201" xr:uid="{00000000-0005-0000-0000-0000C2210000}"/>
    <cellStyle name="20% - Accent5 4 3 2" xfId="1146" xr:uid="{00000000-0005-0000-0000-0000C3210000}"/>
    <cellStyle name="20% - Accent5 4 3 2 10" xfId="17202" xr:uid="{00000000-0005-0000-0000-0000C4210000}"/>
    <cellStyle name="20% - Accent5 4 3 2 10 2" xfId="17203" xr:uid="{00000000-0005-0000-0000-0000C5210000}"/>
    <cellStyle name="20% - Accent5 4 3 2 11" xfId="17204" xr:uid="{00000000-0005-0000-0000-0000C6210000}"/>
    <cellStyle name="20% - Accent5 4 3 2 12" xfId="17205" xr:uid="{00000000-0005-0000-0000-0000C7210000}"/>
    <cellStyle name="20% - Accent5 4 3 2 2" xfId="1147" xr:uid="{00000000-0005-0000-0000-0000C8210000}"/>
    <cellStyle name="20% - Accent5 4 3 2 2 10" xfId="17206" xr:uid="{00000000-0005-0000-0000-0000C9210000}"/>
    <cellStyle name="20% - Accent5 4 3 2 2 2" xfId="1148" xr:uid="{00000000-0005-0000-0000-0000CA210000}"/>
    <cellStyle name="20% - Accent5 4 3 2 2 2 2" xfId="17207" xr:uid="{00000000-0005-0000-0000-0000CB210000}"/>
    <cellStyle name="20% - Accent5 4 3 2 2 2 2 2" xfId="17208" xr:uid="{00000000-0005-0000-0000-0000CC210000}"/>
    <cellStyle name="20% - Accent5 4 3 2 2 2 2 2 2" xfId="17209" xr:uid="{00000000-0005-0000-0000-0000CD210000}"/>
    <cellStyle name="20% - Accent5 4 3 2 2 2 2 2 3" xfId="17210" xr:uid="{00000000-0005-0000-0000-0000CE210000}"/>
    <cellStyle name="20% - Accent5 4 3 2 2 2 2 3" xfId="17211" xr:uid="{00000000-0005-0000-0000-0000CF210000}"/>
    <cellStyle name="20% - Accent5 4 3 2 2 2 2 3 2" xfId="17212" xr:uid="{00000000-0005-0000-0000-0000D0210000}"/>
    <cellStyle name="20% - Accent5 4 3 2 2 2 2 3 3" xfId="17213" xr:uid="{00000000-0005-0000-0000-0000D1210000}"/>
    <cellStyle name="20% - Accent5 4 3 2 2 2 2 4" xfId="17214" xr:uid="{00000000-0005-0000-0000-0000D2210000}"/>
    <cellStyle name="20% - Accent5 4 3 2 2 2 2 4 2" xfId="17215" xr:uid="{00000000-0005-0000-0000-0000D3210000}"/>
    <cellStyle name="20% - Accent5 4 3 2 2 2 2 5" xfId="17216" xr:uid="{00000000-0005-0000-0000-0000D4210000}"/>
    <cellStyle name="20% - Accent5 4 3 2 2 2 2 6" xfId="17217" xr:uid="{00000000-0005-0000-0000-0000D5210000}"/>
    <cellStyle name="20% - Accent5 4 3 2 2 2 3" xfId="17218" xr:uid="{00000000-0005-0000-0000-0000D6210000}"/>
    <cellStyle name="20% - Accent5 4 3 2 2 2 3 2" xfId="17219" xr:uid="{00000000-0005-0000-0000-0000D7210000}"/>
    <cellStyle name="20% - Accent5 4 3 2 2 2 3 2 2" xfId="17220" xr:uid="{00000000-0005-0000-0000-0000D8210000}"/>
    <cellStyle name="20% - Accent5 4 3 2 2 2 3 2 3" xfId="17221" xr:uid="{00000000-0005-0000-0000-0000D9210000}"/>
    <cellStyle name="20% - Accent5 4 3 2 2 2 3 3" xfId="17222" xr:uid="{00000000-0005-0000-0000-0000DA210000}"/>
    <cellStyle name="20% - Accent5 4 3 2 2 2 3 3 2" xfId="17223" xr:uid="{00000000-0005-0000-0000-0000DB210000}"/>
    <cellStyle name="20% - Accent5 4 3 2 2 2 3 3 3" xfId="17224" xr:uid="{00000000-0005-0000-0000-0000DC210000}"/>
    <cellStyle name="20% - Accent5 4 3 2 2 2 3 4" xfId="17225" xr:uid="{00000000-0005-0000-0000-0000DD210000}"/>
    <cellStyle name="20% - Accent5 4 3 2 2 2 3 4 2" xfId="17226" xr:uid="{00000000-0005-0000-0000-0000DE210000}"/>
    <cellStyle name="20% - Accent5 4 3 2 2 2 3 5" xfId="17227" xr:uid="{00000000-0005-0000-0000-0000DF210000}"/>
    <cellStyle name="20% - Accent5 4 3 2 2 2 3 6" xfId="17228" xr:uid="{00000000-0005-0000-0000-0000E0210000}"/>
    <cellStyle name="20% - Accent5 4 3 2 2 2 4" xfId="17229" xr:uid="{00000000-0005-0000-0000-0000E1210000}"/>
    <cellStyle name="20% - Accent5 4 3 2 2 2 4 2" xfId="17230" xr:uid="{00000000-0005-0000-0000-0000E2210000}"/>
    <cellStyle name="20% - Accent5 4 3 2 2 2 4 2 2" xfId="17231" xr:uid="{00000000-0005-0000-0000-0000E3210000}"/>
    <cellStyle name="20% - Accent5 4 3 2 2 2 4 2 3" xfId="17232" xr:uid="{00000000-0005-0000-0000-0000E4210000}"/>
    <cellStyle name="20% - Accent5 4 3 2 2 2 4 3" xfId="17233" xr:uid="{00000000-0005-0000-0000-0000E5210000}"/>
    <cellStyle name="20% - Accent5 4 3 2 2 2 4 3 2" xfId="17234" xr:uid="{00000000-0005-0000-0000-0000E6210000}"/>
    <cellStyle name="20% - Accent5 4 3 2 2 2 4 4" xfId="17235" xr:uid="{00000000-0005-0000-0000-0000E7210000}"/>
    <cellStyle name="20% - Accent5 4 3 2 2 2 4 5" xfId="17236" xr:uid="{00000000-0005-0000-0000-0000E8210000}"/>
    <cellStyle name="20% - Accent5 4 3 2 2 2 5" xfId="17237" xr:uid="{00000000-0005-0000-0000-0000E9210000}"/>
    <cellStyle name="20% - Accent5 4 3 2 2 2 5 2" xfId="17238" xr:uid="{00000000-0005-0000-0000-0000EA210000}"/>
    <cellStyle name="20% - Accent5 4 3 2 2 2 5 3" xfId="17239" xr:uid="{00000000-0005-0000-0000-0000EB210000}"/>
    <cellStyle name="20% - Accent5 4 3 2 2 2 6" xfId="17240" xr:uid="{00000000-0005-0000-0000-0000EC210000}"/>
    <cellStyle name="20% - Accent5 4 3 2 2 2 6 2" xfId="17241" xr:uid="{00000000-0005-0000-0000-0000ED210000}"/>
    <cellStyle name="20% - Accent5 4 3 2 2 2 6 3" xfId="17242" xr:uid="{00000000-0005-0000-0000-0000EE210000}"/>
    <cellStyle name="20% - Accent5 4 3 2 2 2 7" xfId="17243" xr:uid="{00000000-0005-0000-0000-0000EF210000}"/>
    <cellStyle name="20% - Accent5 4 3 2 2 2 7 2" xfId="17244" xr:uid="{00000000-0005-0000-0000-0000F0210000}"/>
    <cellStyle name="20% - Accent5 4 3 2 2 2 8" xfId="17245" xr:uid="{00000000-0005-0000-0000-0000F1210000}"/>
    <cellStyle name="20% - Accent5 4 3 2 2 2 9" xfId="17246" xr:uid="{00000000-0005-0000-0000-0000F2210000}"/>
    <cellStyle name="20% - Accent5 4 3 2 2 3" xfId="17247" xr:uid="{00000000-0005-0000-0000-0000F3210000}"/>
    <cellStyle name="20% - Accent5 4 3 2 2 3 2" xfId="17248" xr:uid="{00000000-0005-0000-0000-0000F4210000}"/>
    <cellStyle name="20% - Accent5 4 3 2 2 3 2 2" xfId="17249" xr:uid="{00000000-0005-0000-0000-0000F5210000}"/>
    <cellStyle name="20% - Accent5 4 3 2 2 3 2 3" xfId="17250" xr:uid="{00000000-0005-0000-0000-0000F6210000}"/>
    <cellStyle name="20% - Accent5 4 3 2 2 3 3" xfId="17251" xr:uid="{00000000-0005-0000-0000-0000F7210000}"/>
    <cellStyle name="20% - Accent5 4 3 2 2 3 3 2" xfId="17252" xr:uid="{00000000-0005-0000-0000-0000F8210000}"/>
    <cellStyle name="20% - Accent5 4 3 2 2 3 3 3" xfId="17253" xr:uid="{00000000-0005-0000-0000-0000F9210000}"/>
    <cellStyle name="20% - Accent5 4 3 2 2 3 4" xfId="17254" xr:uid="{00000000-0005-0000-0000-0000FA210000}"/>
    <cellStyle name="20% - Accent5 4 3 2 2 3 4 2" xfId="17255" xr:uid="{00000000-0005-0000-0000-0000FB210000}"/>
    <cellStyle name="20% - Accent5 4 3 2 2 3 5" xfId="17256" xr:uid="{00000000-0005-0000-0000-0000FC210000}"/>
    <cellStyle name="20% - Accent5 4 3 2 2 3 6" xfId="17257" xr:uid="{00000000-0005-0000-0000-0000FD210000}"/>
    <cellStyle name="20% - Accent5 4 3 2 2 4" xfId="17258" xr:uid="{00000000-0005-0000-0000-0000FE210000}"/>
    <cellStyle name="20% - Accent5 4 3 2 2 4 2" xfId="17259" xr:uid="{00000000-0005-0000-0000-0000FF210000}"/>
    <cellStyle name="20% - Accent5 4 3 2 2 4 2 2" xfId="17260" xr:uid="{00000000-0005-0000-0000-000000220000}"/>
    <cellStyle name="20% - Accent5 4 3 2 2 4 2 3" xfId="17261" xr:uid="{00000000-0005-0000-0000-000001220000}"/>
    <cellStyle name="20% - Accent5 4 3 2 2 4 3" xfId="17262" xr:uid="{00000000-0005-0000-0000-000002220000}"/>
    <cellStyle name="20% - Accent5 4 3 2 2 4 3 2" xfId="17263" xr:uid="{00000000-0005-0000-0000-000003220000}"/>
    <cellStyle name="20% - Accent5 4 3 2 2 4 3 3" xfId="17264" xr:uid="{00000000-0005-0000-0000-000004220000}"/>
    <cellStyle name="20% - Accent5 4 3 2 2 4 4" xfId="17265" xr:uid="{00000000-0005-0000-0000-000005220000}"/>
    <cellStyle name="20% - Accent5 4 3 2 2 4 4 2" xfId="17266" xr:uid="{00000000-0005-0000-0000-000006220000}"/>
    <cellStyle name="20% - Accent5 4 3 2 2 4 5" xfId="17267" xr:uid="{00000000-0005-0000-0000-000007220000}"/>
    <cellStyle name="20% - Accent5 4 3 2 2 4 6" xfId="17268" xr:uid="{00000000-0005-0000-0000-000008220000}"/>
    <cellStyle name="20% - Accent5 4 3 2 2 5" xfId="17269" xr:uid="{00000000-0005-0000-0000-000009220000}"/>
    <cellStyle name="20% - Accent5 4 3 2 2 5 2" xfId="17270" xr:uid="{00000000-0005-0000-0000-00000A220000}"/>
    <cellStyle name="20% - Accent5 4 3 2 2 5 2 2" xfId="17271" xr:uid="{00000000-0005-0000-0000-00000B220000}"/>
    <cellStyle name="20% - Accent5 4 3 2 2 5 2 3" xfId="17272" xr:uid="{00000000-0005-0000-0000-00000C220000}"/>
    <cellStyle name="20% - Accent5 4 3 2 2 5 3" xfId="17273" xr:uid="{00000000-0005-0000-0000-00000D220000}"/>
    <cellStyle name="20% - Accent5 4 3 2 2 5 3 2" xfId="17274" xr:uid="{00000000-0005-0000-0000-00000E220000}"/>
    <cellStyle name="20% - Accent5 4 3 2 2 5 4" xfId="17275" xr:uid="{00000000-0005-0000-0000-00000F220000}"/>
    <cellStyle name="20% - Accent5 4 3 2 2 5 5" xfId="17276" xr:uid="{00000000-0005-0000-0000-000010220000}"/>
    <cellStyle name="20% - Accent5 4 3 2 2 6" xfId="17277" xr:uid="{00000000-0005-0000-0000-000011220000}"/>
    <cellStyle name="20% - Accent5 4 3 2 2 6 2" xfId="17278" xr:uid="{00000000-0005-0000-0000-000012220000}"/>
    <cellStyle name="20% - Accent5 4 3 2 2 6 3" xfId="17279" xr:uid="{00000000-0005-0000-0000-000013220000}"/>
    <cellStyle name="20% - Accent5 4 3 2 2 7" xfId="17280" xr:uid="{00000000-0005-0000-0000-000014220000}"/>
    <cellStyle name="20% - Accent5 4 3 2 2 7 2" xfId="17281" xr:uid="{00000000-0005-0000-0000-000015220000}"/>
    <cellStyle name="20% - Accent5 4 3 2 2 7 3" xfId="17282" xr:uid="{00000000-0005-0000-0000-000016220000}"/>
    <cellStyle name="20% - Accent5 4 3 2 2 8" xfId="17283" xr:uid="{00000000-0005-0000-0000-000017220000}"/>
    <cellStyle name="20% - Accent5 4 3 2 2 8 2" xfId="17284" xr:uid="{00000000-0005-0000-0000-000018220000}"/>
    <cellStyle name="20% - Accent5 4 3 2 2 9" xfId="17285" xr:uid="{00000000-0005-0000-0000-000019220000}"/>
    <cellStyle name="20% - Accent5 4 3 2 3" xfId="1149" xr:uid="{00000000-0005-0000-0000-00001A220000}"/>
    <cellStyle name="20% - Accent5 4 3 2 3 2" xfId="17286" xr:uid="{00000000-0005-0000-0000-00001B220000}"/>
    <cellStyle name="20% - Accent5 4 3 2 3 2 2" xfId="17287" xr:uid="{00000000-0005-0000-0000-00001C220000}"/>
    <cellStyle name="20% - Accent5 4 3 2 3 2 2 2" xfId="17288" xr:uid="{00000000-0005-0000-0000-00001D220000}"/>
    <cellStyle name="20% - Accent5 4 3 2 3 2 2 3" xfId="17289" xr:uid="{00000000-0005-0000-0000-00001E220000}"/>
    <cellStyle name="20% - Accent5 4 3 2 3 2 3" xfId="17290" xr:uid="{00000000-0005-0000-0000-00001F220000}"/>
    <cellStyle name="20% - Accent5 4 3 2 3 2 3 2" xfId="17291" xr:uid="{00000000-0005-0000-0000-000020220000}"/>
    <cellStyle name="20% - Accent5 4 3 2 3 2 3 3" xfId="17292" xr:uid="{00000000-0005-0000-0000-000021220000}"/>
    <cellStyle name="20% - Accent5 4 3 2 3 2 4" xfId="17293" xr:uid="{00000000-0005-0000-0000-000022220000}"/>
    <cellStyle name="20% - Accent5 4 3 2 3 2 4 2" xfId="17294" xr:uid="{00000000-0005-0000-0000-000023220000}"/>
    <cellStyle name="20% - Accent5 4 3 2 3 2 5" xfId="17295" xr:uid="{00000000-0005-0000-0000-000024220000}"/>
    <cellStyle name="20% - Accent5 4 3 2 3 2 6" xfId="17296" xr:uid="{00000000-0005-0000-0000-000025220000}"/>
    <cellStyle name="20% - Accent5 4 3 2 3 3" xfId="17297" xr:uid="{00000000-0005-0000-0000-000026220000}"/>
    <cellStyle name="20% - Accent5 4 3 2 3 3 2" xfId="17298" xr:uid="{00000000-0005-0000-0000-000027220000}"/>
    <cellStyle name="20% - Accent5 4 3 2 3 3 2 2" xfId="17299" xr:uid="{00000000-0005-0000-0000-000028220000}"/>
    <cellStyle name="20% - Accent5 4 3 2 3 3 2 3" xfId="17300" xr:uid="{00000000-0005-0000-0000-000029220000}"/>
    <cellStyle name="20% - Accent5 4 3 2 3 3 3" xfId="17301" xr:uid="{00000000-0005-0000-0000-00002A220000}"/>
    <cellStyle name="20% - Accent5 4 3 2 3 3 3 2" xfId="17302" xr:uid="{00000000-0005-0000-0000-00002B220000}"/>
    <cellStyle name="20% - Accent5 4 3 2 3 3 3 3" xfId="17303" xr:uid="{00000000-0005-0000-0000-00002C220000}"/>
    <cellStyle name="20% - Accent5 4 3 2 3 3 4" xfId="17304" xr:uid="{00000000-0005-0000-0000-00002D220000}"/>
    <cellStyle name="20% - Accent5 4 3 2 3 3 4 2" xfId="17305" xr:uid="{00000000-0005-0000-0000-00002E220000}"/>
    <cellStyle name="20% - Accent5 4 3 2 3 3 5" xfId="17306" xr:uid="{00000000-0005-0000-0000-00002F220000}"/>
    <cellStyle name="20% - Accent5 4 3 2 3 3 6" xfId="17307" xr:uid="{00000000-0005-0000-0000-000030220000}"/>
    <cellStyle name="20% - Accent5 4 3 2 3 4" xfId="17308" xr:uid="{00000000-0005-0000-0000-000031220000}"/>
    <cellStyle name="20% - Accent5 4 3 2 3 4 2" xfId="17309" xr:uid="{00000000-0005-0000-0000-000032220000}"/>
    <cellStyle name="20% - Accent5 4 3 2 3 4 2 2" xfId="17310" xr:uid="{00000000-0005-0000-0000-000033220000}"/>
    <cellStyle name="20% - Accent5 4 3 2 3 4 2 3" xfId="17311" xr:uid="{00000000-0005-0000-0000-000034220000}"/>
    <cellStyle name="20% - Accent5 4 3 2 3 4 3" xfId="17312" xr:uid="{00000000-0005-0000-0000-000035220000}"/>
    <cellStyle name="20% - Accent5 4 3 2 3 4 3 2" xfId="17313" xr:uid="{00000000-0005-0000-0000-000036220000}"/>
    <cellStyle name="20% - Accent5 4 3 2 3 4 4" xfId="17314" xr:uid="{00000000-0005-0000-0000-000037220000}"/>
    <cellStyle name="20% - Accent5 4 3 2 3 4 5" xfId="17315" xr:uid="{00000000-0005-0000-0000-000038220000}"/>
    <cellStyle name="20% - Accent5 4 3 2 3 5" xfId="17316" xr:uid="{00000000-0005-0000-0000-000039220000}"/>
    <cellStyle name="20% - Accent5 4 3 2 3 5 2" xfId="17317" xr:uid="{00000000-0005-0000-0000-00003A220000}"/>
    <cellStyle name="20% - Accent5 4 3 2 3 5 3" xfId="17318" xr:uid="{00000000-0005-0000-0000-00003B220000}"/>
    <cellStyle name="20% - Accent5 4 3 2 3 6" xfId="17319" xr:uid="{00000000-0005-0000-0000-00003C220000}"/>
    <cellStyle name="20% - Accent5 4 3 2 3 6 2" xfId="17320" xr:uid="{00000000-0005-0000-0000-00003D220000}"/>
    <cellStyle name="20% - Accent5 4 3 2 3 6 3" xfId="17321" xr:uid="{00000000-0005-0000-0000-00003E220000}"/>
    <cellStyle name="20% - Accent5 4 3 2 3 7" xfId="17322" xr:uid="{00000000-0005-0000-0000-00003F220000}"/>
    <cellStyle name="20% - Accent5 4 3 2 3 7 2" xfId="17323" xr:uid="{00000000-0005-0000-0000-000040220000}"/>
    <cellStyle name="20% - Accent5 4 3 2 3 8" xfId="17324" xr:uid="{00000000-0005-0000-0000-000041220000}"/>
    <cellStyle name="20% - Accent5 4 3 2 3 9" xfId="17325" xr:uid="{00000000-0005-0000-0000-000042220000}"/>
    <cellStyle name="20% - Accent5 4 3 2 4" xfId="17326" xr:uid="{00000000-0005-0000-0000-000043220000}"/>
    <cellStyle name="20% - Accent5 4 3 2 4 2" xfId="17327" xr:uid="{00000000-0005-0000-0000-000044220000}"/>
    <cellStyle name="20% - Accent5 4 3 2 4 2 2" xfId="17328" xr:uid="{00000000-0005-0000-0000-000045220000}"/>
    <cellStyle name="20% - Accent5 4 3 2 4 2 2 2" xfId="17329" xr:uid="{00000000-0005-0000-0000-000046220000}"/>
    <cellStyle name="20% - Accent5 4 3 2 4 2 2 3" xfId="17330" xr:uid="{00000000-0005-0000-0000-000047220000}"/>
    <cellStyle name="20% - Accent5 4 3 2 4 2 3" xfId="17331" xr:uid="{00000000-0005-0000-0000-000048220000}"/>
    <cellStyle name="20% - Accent5 4 3 2 4 2 3 2" xfId="17332" xr:uid="{00000000-0005-0000-0000-000049220000}"/>
    <cellStyle name="20% - Accent5 4 3 2 4 2 3 3" xfId="17333" xr:uid="{00000000-0005-0000-0000-00004A220000}"/>
    <cellStyle name="20% - Accent5 4 3 2 4 2 4" xfId="17334" xr:uid="{00000000-0005-0000-0000-00004B220000}"/>
    <cellStyle name="20% - Accent5 4 3 2 4 2 4 2" xfId="17335" xr:uid="{00000000-0005-0000-0000-00004C220000}"/>
    <cellStyle name="20% - Accent5 4 3 2 4 2 5" xfId="17336" xr:uid="{00000000-0005-0000-0000-00004D220000}"/>
    <cellStyle name="20% - Accent5 4 3 2 4 2 6" xfId="17337" xr:uid="{00000000-0005-0000-0000-00004E220000}"/>
    <cellStyle name="20% - Accent5 4 3 2 4 3" xfId="17338" xr:uid="{00000000-0005-0000-0000-00004F220000}"/>
    <cellStyle name="20% - Accent5 4 3 2 4 3 2" xfId="17339" xr:uid="{00000000-0005-0000-0000-000050220000}"/>
    <cellStyle name="20% - Accent5 4 3 2 4 3 2 2" xfId="17340" xr:uid="{00000000-0005-0000-0000-000051220000}"/>
    <cellStyle name="20% - Accent5 4 3 2 4 3 2 3" xfId="17341" xr:uid="{00000000-0005-0000-0000-000052220000}"/>
    <cellStyle name="20% - Accent5 4 3 2 4 3 3" xfId="17342" xr:uid="{00000000-0005-0000-0000-000053220000}"/>
    <cellStyle name="20% - Accent5 4 3 2 4 3 3 2" xfId="17343" xr:uid="{00000000-0005-0000-0000-000054220000}"/>
    <cellStyle name="20% - Accent5 4 3 2 4 3 3 3" xfId="17344" xr:uid="{00000000-0005-0000-0000-000055220000}"/>
    <cellStyle name="20% - Accent5 4 3 2 4 3 4" xfId="17345" xr:uid="{00000000-0005-0000-0000-000056220000}"/>
    <cellStyle name="20% - Accent5 4 3 2 4 3 4 2" xfId="17346" xr:uid="{00000000-0005-0000-0000-000057220000}"/>
    <cellStyle name="20% - Accent5 4 3 2 4 3 5" xfId="17347" xr:uid="{00000000-0005-0000-0000-000058220000}"/>
    <cellStyle name="20% - Accent5 4 3 2 4 3 6" xfId="17348" xr:uid="{00000000-0005-0000-0000-000059220000}"/>
    <cellStyle name="20% - Accent5 4 3 2 4 4" xfId="17349" xr:uid="{00000000-0005-0000-0000-00005A220000}"/>
    <cellStyle name="20% - Accent5 4 3 2 4 4 2" xfId="17350" xr:uid="{00000000-0005-0000-0000-00005B220000}"/>
    <cellStyle name="20% - Accent5 4 3 2 4 4 2 2" xfId="17351" xr:uid="{00000000-0005-0000-0000-00005C220000}"/>
    <cellStyle name="20% - Accent5 4 3 2 4 4 2 3" xfId="17352" xr:uid="{00000000-0005-0000-0000-00005D220000}"/>
    <cellStyle name="20% - Accent5 4 3 2 4 4 3" xfId="17353" xr:uid="{00000000-0005-0000-0000-00005E220000}"/>
    <cellStyle name="20% - Accent5 4 3 2 4 4 3 2" xfId="17354" xr:uid="{00000000-0005-0000-0000-00005F220000}"/>
    <cellStyle name="20% - Accent5 4 3 2 4 4 4" xfId="17355" xr:uid="{00000000-0005-0000-0000-000060220000}"/>
    <cellStyle name="20% - Accent5 4 3 2 4 4 5" xfId="17356" xr:uid="{00000000-0005-0000-0000-000061220000}"/>
    <cellStyle name="20% - Accent5 4 3 2 4 5" xfId="17357" xr:uid="{00000000-0005-0000-0000-000062220000}"/>
    <cellStyle name="20% - Accent5 4 3 2 4 5 2" xfId="17358" xr:uid="{00000000-0005-0000-0000-000063220000}"/>
    <cellStyle name="20% - Accent5 4 3 2 4 5 3" xfId="17359" xr:uid="{00000000-0005-0000-0000-000064220000}"/>
    <cellStyle name="20% - Accent5 4 3 2 4 6" xfId="17360" xr:uid="{00000000-0005-0000-0000-000065220000}"/>
    <cellStyle name="20% - Accent5 4 3 2 4 6 2" xfId="17361" xr:uid="{00000000-0005-0000-0000-000066220000}"/>
    <cellStyle name="20% - Accent5 4 3 2 4 6 3" xfId="17362" xr:uid="{00000000-0005-0000-0000-000067220000}"/>
    <cellStyle name="20% - Accent5 4 3 2 4 7" xfId="17363" xr:uid="{00000000-0005-0000-0000-000068220000}"/>
    <cellStyle name="20% - Accent5 4 3 2 4 7 2" xfId="17364" xr:uid="{00000000-0005-0000-0000-000069220000}"/>
    <cellStyle name="20% - Accent5 4 3 2 4 8" xfId="17365" xr:uid="{00000000-0005-0000-0000-00006A220000}"/>
    <cellStyle name="20% - Accent5 4 3 2 4 9" xfId="17366" xr:uid="{00000000-0005-0000-0000-00006B220000}"/>
    <cellStyle name="20% - Accent5 4 3 2 5" xfId="17367" xr:uid="{00000000-0005-0000-0000-00006C220000}"/>
    <cellStyle name="20% - Accent5 4 3 2 5 2" xfId="17368" xr:uid="{00000000-0005-0000-0000-00006D220000}"/>
    <cellStyle name="20% - Accent5 4 3 2 5 2 2" xfId="17369" xr:uid="{00000000-0005-0000-0000-00006E220000}"/>
    <cellStyle name="20% - Accent5 4 3 2 5 2 3" xfId="17370" xr:uid="{00000000-0005-0000-0000-00006F220000}"/>
    <cellStyle name="20% - Accent5 4 3 2 5 3" xfId="17371" xr:uid="{00000000-0005-0000-0000-000070220000}"/>
    <cellStyle name="20% - Accent5 4 3 2 5 3 2" xfId="17372" xr:uid="{00000000-0005-0000-0000-000071220000}"/>
    <cellStyle name="20% - Accent5 4 3 2 5 3 3" xfId="17373" xr:uid="{00000000-0005-0000-0000-000072220000}"/>
    <cellStyle name="20% - Accent5 4 3 2 5 4" xfId="17374" xr:uid="{00000000-0005-0000-0000-000073220000}"/>
    <cellStyle name="20% - Accent5 4 3 2 5 4 2" xfId="17375" xr:uid="{00000000-0005-0000-0000-000074220000}"/>
    <cellStyle name="20% - Accent5 4 3 2 5 5" xfId="17376" xr:uid="{00000000-0005-0000-0000-000075220000}"/>
    <cellStyle name="20% - Accent5 4 3 2 5 6" xfId="17377" xr:uid="{00000000-0005-0000-0000-000076220000}"/>
    <cellStyle name="20% - Accent5 4 3 2 6" xfId="17378" xr:uid="{00000000-0005-0000-0000-000077220000}"/>
    <cellStyle name="20% - Accent5 4 3 2 6 2" xfId="17379" xr:uid="{00000000-0005-0000-0000-000078220000}"/>
    <cellStyle name="20% - Accent5 4 3 2 6 2 2" xfId="17380" xr:uid="{00000000-0005-0000-0000-000079220000}"/>
    <cellStyle name="20% - Accent5 4 3 2 6 2 3" xfId="17381" xr:uid="{00000000-0005-0000-0000-00007A220000}"/>
    <cellStyle name="20% - Accent5 4 3 2 6 3" xfId="17382" xr:uid="{00000000-0005-0000-0000-00007B220000}"/>
    <cellStyle name="20% - Accent5 4 3 2 6 3 2" xfId="17383" xr:uid="{00000000-0005-0000-0000-00007C220000}"/>
    <cellStyle name="20% - Accent5 4 3 2 6 3 3" xfId="17384" xr:uid="{00000000-0005-0000-0000-00007D220000}"/>
    <cellStyle name="20% - Accent5 4 3 2 6 4" xfId="17385" xr:uid="{00000000-0005-0000-0000-00007E220000}"/>
    <cellStyle name="20% - Accent5 4 3 2 6 4 2" xfId="17386" xr:uid="{00000000-0005-0000-0000-00007F220000}"/>
    <cellStyle name="20% - Accent5 4 3 2 6 5" xfId="17387" xr:uid="{00000000-0005-0000-0000-000080220000}"/>
    <cellStyle name="20% - Accent5 4 3 2 6 6" xfId="17388" xr:uid="{00000000-0005-0000-0000-000081220000}"/>
    <cellStyle name="20% - Accent5 4 3 2 7" xfId="17389" xr:uid="{00000000-0005-0000-0000-000082220000}"/>
    <cellStyle name="20% - Accent5 4 3 2 7 2" xfId="17390" xr:uid="{00000000-0005-0000-0000-000083220000}"/>
    <cellStyle name="20% - Accent5 4 3 2 7 2 2" xfId="17391" xr:uid="{00000000-0005-0000-0000-000084220000}"/>
    <cellStyle name="20% - Accent5 4 3 2 7 2 3" xfId="17392" xr:uid="{00000000-0005-0000-0000-000085220000}"/>
    <cellStyle name="20% - Accent5 4 3 2 7 3" xfId="17393" xr:uid="{00000000-0005-0000-0000-000086220000}"/>
    <cellStyle name="20% - Accent5 4 3 2 7 3 2" xfId="17394" xr:uid="{00000000-0005-0000-0000-000087220000}"/>
    <cellStyle name="20% - Accent5 4 3 2 7 4" xfId="17395" xr:uid="{00000000-0005-0000-0000-000088220000}"/>
    <cellStyle name="20% - Accent5 4 3 2 7 5" xfId="17396" xr:uid="{00000000-0005-0000-0000-000089220000}"/>
    <cellStyle name="20% - Accent5 4 3 2 8" xfId="17397" xr:uid="{00000000-0005-0000-0000-00008A220000}"/>
    <cellStyle name="20% - Accent5 4 3 2 8 2" xfId="17398" xr:uid="{00000000-0005-0000-0000-00008B220000}"/>
    <cellStyle name="20% - Accent5 4 3 2 8 3" xfId="17399" xr:uid="{00000000-0005-0000-0000-00008C220000}"/>
    <cellStyle name="20% - Accent5 4 3 2 9" xfId="17400" xr:uid="{00000000-0005-0000-0000-00008D220000}"/>
    <cellStyle name="20% - Accent5 4 3 2 9 2" xfId="17401" xr:uid="{00000000-0005-0000-0000-00008E220000}"/>
    <cellStyle name="20% - Accent5 4 3 2 9 3" xfId="17402" xr:uid="{00000000-0005-0000-0000-00008F220000}"/>
    <cellStyle name="20% - Accent5 4 3 3" xfId="1150" xr:uid="{00000000-0005-0000-0000-000090220000}"/>
    <cellStyle name="20% - Accent5 4 3 3 10" xfId="17403" xr:uid="{00000000-0005-0000-0000-000091220000}"/>
    <cellStyle name="20% - Accent5 4 3 3 2" xfId="1151" xr:uid="{00000000-0005-0000-0000-000092220000}"/>
    <cellStyle name="20% - Accent5 4 3 3 2 2" xfId="17404" xr:uid="{00000000-0005-0000-0000-000093220000}"/>
    <cellStyle name="20% - Accent5 4 3 3 2 2 2" xfId="17405" xr:uid="{00000000-0005-0000-0000-000094220000}"/>
    <cellStyle name="20% - Accent5 4 3 3 2 2 2 2" xfId="17406" xr:uid="{00000000-0005-0000-0000-000095220000}"/>
    <cellStyle name="20% - Accent5 4 3 3 2 2 2 3" xfId="17407" xr:uid="{00000000-0005-0000-0000-000096220000}"/>
    <cellStyle name="20% - Accent5 4 3 3 2 2 3" xfId="17408" xr:uid="{00000000-0005-0000-0000-000097220000}"/>
    <cellStyle name="20% - Accent5 4 3 3 2 2 3 2" xfId="17409" xr:uid="{00000000-0005-0000-0000-000098220000}"/>
    <cellStyle name="20% - Accent5 4 3 3 2 2 3 3" xfId="17410" xr:uid="{00000000-0005-0000-0000-000099220000}"/>
    <cellStyle name="20% - Accent5 4 3 3 2 2 4" xfId="17411" xr:uid="{00000000-0005-0000-0000-00009A220000}"/>
    <cellStyle name="20% - Accent5 4 3 3 2 2 4 2" xfId="17412" xr:uid="{00000000-0005-0000-0000-00009B220000}"/>
    <cellStyle name="20% - Accent5 4 3 3 2 2 5" xfId="17413" xr:uid="{00000000-0005-0000-0000-00009C220000}"/>
    <cellStyle name="20% - Accent5 4 3 3 2 2 6" xfId="17414" xr:uid="{00000000-0005-0000-0000-00009D220000}"/>
    <cellStyle name="20% - Accent5 4 3 3 2 3" xfId="17415" xr:uid="{00000000-0005-0000-0000-00009E220000}"/>
    <cellStyle name="20% - Accent5 4 3 3 2 3 2" xfId="17416" xr:uid="{00000000-0005-0000-0000-00009F220000}"/>
    <cellStyle name="20% - Accent5 4 3 3 2 3 2 2" xfId="17417" xr:uid="{00000000-0005-0000-0000-0000A0220000}"/>
    <cellStyle name="20% - Accent5 4 3 3 2 3 2 3" xfId="17418" xr:uid="{00000000-0005-0000-0000-0000A1220000}"/>
    <cellStyle name="20% - Accent5 4 3 3 2 3 3" xfId="17419" xr:uid="{00000000-0005-0000-0000-0000A2220000}"/>
    <cellStyle name="20% - Accent5 4 3 3 2 3 3 2" xfId="17420" xr:uid="{00000000-0005-0000-0000-0000A3220000}"/>
    <cellStyle name="20% - Accent5 4 3 3 2 3 3 3" xfId="17421" xr:uid="{00000000-0005-0000-0000-0000A4220000}"/>
    <cellStyle name="20% - Accent5 4 3 3 2 3 4" xfId="17422" xr:uid="{00000000-0005-0000-0000-0000A5220000}"/>
    <cellStyle name="20% - Accent5 4 3 3 2 3 4 2" xfId="17423" xr:uid="{00000000-0005-0000-0000-0000A6220000}"/>
    <cellStyle name="20% - Accent5 4 3 3 2 3 5" xfId="17424" xr:uid="{00000000-0005-0000-0000-0000A7220000}"/>
    <cellStyle name="20% - Accent5 4 3 3 2 3 6" xfId="17425" xr:uid="{00000000-0005-0000-0000-0000A8220000}"/>
    <cellStyle name="20% - Accent5 4 3 3 2 4" xfId="17426" xr:uid="{00000000-0005-0000-0000-0000A9220000}"/>
    <cellStyle name="20% - Accent5 4 3 3 2 4 2" xfId="17427" xr:uid="{00000000-0005-0000-0000-0000AA220000}"/>
    <cellStyle name="20% - Accent5 4 3 3 2 4 2 2" xfId="17428" xr:uid="{00000000-0005-0000-0000-0000AB220000}"/>
    <cellStyle name="20% - Accent5 4 3 3 2 4 2 3" xfId="17429" xr:uid="{00000000-0005-0000-0000-0000AC220000}"/>
    <cellStyle name="20% - Accent5 4 3 3 2 4 3" xfId="17430" xr:uid="{00000000-0005-0000-0000-0000AD220000}"/>
    <cellStyle name="20% - Accent5 4 3 3 2 4 3 2" xfId="17431" xr:uid="{00000000-0005-0000-0000-0000AE220000}"/>
    <cellStyle name="20% - Accent5 4 3 3 2 4 4" xfId="17432" xr:uid="{00000000-0005-0000-0000-0000AF220000}"/>
    <cellStyle name="20% - Accent5 4 3 3 2 4 5" xfId="17433" xr:uid="{00000000-0005-0000-0000-0000B0220000}"/>
    <cellStyle name="20% - Accent5 4 3 3 2 5" xfId="17434" xr:uid="{00000000-0005-0000-0000-0000B1220000}"/>
    <cellStyle name="20% - Accent5 4 3 3 2 5 2" xfId="17435" xr:uid="{00000000-0005-0000-0000-0000B2220000}"/>
    <cellStyle name="20% - Accent5 4 3 3 2 5 3" xfId="17436" xr:uid="{00000000-0005-0000-0000-0000B3220000}"/>
    <cellStyle name="20% - Accent5 4 3 3 2 6" xfId="17437" xr:uid="{00000000-0005-0000-0000-0000B4220000}"/>
    <cellStyle name="20% - Accent5 4 3 3 2 6 2" xfId="17438" xr:uid="{00000000-0005-0000-0000-0000B5220000}"/>
    <cellStyle name="20% - Accent5 4 3 3 2 6 3" xfId="17439" xr:uid="{00000000-0005-0000-0000-0000B6220000}"/>
    <cellStyle name="20% - Accent5 4 3 3 2 7" xfId="17440" xr:uid="{00000000-0005-0000-0000-0000B7220000}"/>
    <cellStyle name="20% - Accent5 4 3 3 2 7 2" xfId="17441" xr:uid="{00000000-0005-0000-0000-0000B8220000}"/>
    <cellStyle name="20% - Accent5 4 3 3 2 8" xfId="17442" xr:uid="{00000000-0005-0000-0000-0000B9220000}"/>
    <cellStyle name="20% - Accent5 4 3 3 2 9" xfId="17443" xr:uid="{00000000-0005-0000-0000-0000BA220000}"/>
    <cellStyle name="20% - Accent5 4 3 3 3" xfId="17444" xr:uid="{00000000-0005-0000-0000-0000BB220000}"/>
    <cellStyle name="20% - Accent5 4 3 3 3 2" xfId="17445" xr:uid="{00000000-0005-0000-0000-0000BC220000}"/>
    <cellStyle name="20% - Accent5 4 3 3 3 2 2" xfId="17446" xr:uid="{00000000-0005-0000-0000-0000BD220000}"/>
    <cellStyle name="20% - Accent5 4 3 3 3 2 3" xfId="17447" xr:uid="{00000000-0005-0000-0000-0000BE220000}"/>
    <cellStyle name="20% - Accent5 4 3 3 3 3" xfId="17448" xr:uid="{00000000-0005-0000-0000-0000BF220000}"/>
    <cellStyle name="20% - Accent5 4 3 3 3 3 2" xfId="17449" xr:uid="{00000000-0005-0000-0000-0000C0220000}"/>
    <cellStyle name="20% - Accent5 4 3 3 3 3 3" xfId="17450" xr:uid="{00000000-0005-0000-0000-0000C1220000}"/>
    <cellStyle name="20% - Accent5 4 3 3 3 4" xfId="17451" xr:uid="{00000000-0005-0000-0000-0000C2220000}"/>
    <cellStyle name="20% - Accent5 4 3 3 3 4 2" xfId="17452" xr:uid="{00000000-0005-0000-0000-0000C3220000}"/>
    <cellStyle name="20% - Accent5 4 3 3 3 5" xfId="17453" xr:uid="{00000000-0005-0000-0000-0000C4220000}"/>
    <cellStyle name="20% - Accent5 4 3 3 3 6" xfId="17454" xr:uid="{00000000-0005-0000-0000-0000C5220000}"/>
    <cellStyle name="20% - Accent5 4 3 3 4" xfId="17455" xr:uid="{00000000-0005-0000-0000-0000C6220000}"/>
    <cellStyle name="20% - Accent5 4 3 3 4 2" xfId="17456" xr:uid="{00000000-0005-0000-0000-0000C7220000}"/>
    <cellStyle name="20% - Accent5 4 3 3 4 2 2" xfId="17457" xr:uid="{00000000-0005-0000-0000-0000C8220000}"/>
    <cellStyle name="20% - Accent5 4 3 3 4 2 3" xfId="17458" xr:uid="{00000000-0005-0000-0000-0000C9220000}"/>
    <cellStyle name="20% - Accent5 4 3 3 4 3" xfId="17459" xr:uid="{00000000-0005-0000-0000-0000CA220000}"/>
    <cellStyle name="20% - Accent5 4 3 3 4 3 2" xfId="17460" xr:uid="{00000000-0005-0000-0000-0000CB220000}"/>
    <cellStyle name="20% - Accent5 4 3 3 4 3 3" xfId="17461" xr:uid="{00000000-0005-0000-0000-0000CC220000}"/>
    <cellStyle name="20% - Accent5 4 3 3 4 4" xfId="17462" xr:uid="{00000000-0005-0000-0000-0000CD220000}"/>
    <cellStyle name="20% - Accent5 4 3 3 4 4 2" xfId="17463" xr:uid="{00000000-0005-0000-0000-0000CE220000}"/>
    <cellStyle name="20% - Accent5 4 3 3 4 5" xfId="17464" xr:uid="{00000000-0005-0000-0000-0000CF220000}"/>
    <cellStyle name="20% - Accent5 4 3 3 4 6" xfId="17465" xr:uid="{00000000-0005-0000-0000-0000D0220000}"/>
    <cellStyle name="20% - Accent5 4 3 3 5" xfId="17466" xr:uid="{00000000-0005-0000-0000-0000D1220000}"/>
    <cellStyle name="20% - Accent5 4 3 3 5 2" xfId="17467" xr:uid="{00000000-0005-0000-0000-0000D2220000}"/>
    <cellStyle name="20% - Accent5 4 3 3 5 2 2" xfId="17468" xr:uid="{00000000-0005-0000-0000-0000D3220000}"/>
    <cellStyle name="20% - Accent5 4 3 3 5 2 3" xfId="17469" xr:uid="{00000000-0005-0000-0000-0000D4220000}"/>
    <cellStyle name="20% - Accent5 4 3 3 5 3" xfId="17470" xr:uid="{00000000-0005-0000-0000-0000D5220000}"/>
    <cellStyle name="20% - Accent5 4 3 3 5 3 2" xfId="17471" xr:uid="{00000000-0005-0000-0000-0000D6220000}"/>
    <cellStyle name="20% - Accent5 4 3 3 5 4" xfId="17472" xr:uid="{00000000-0005-0000-0000-0000D7220000}"/>
    <cellStyle name="20% - Accent5 4 3 3 5 5" xfId="17473" xr:uid="{00000000-0005-0000-0000-0000D8220000}"/>
    <cellStyle name="20% - Accent5 4 3 3 6" xfId="17474" xr:uid="{00000000-0005-0000-0000-0000D9220000}"/>
    <cellStyle name="20% - Accent5 4 3 3 6 2" xfId="17475" xr:uid="{00000000-0005-0000-0000-0000DA220000}"/>
    <cellStyle name="20% - Accent5 4 3 3 6 3" xfId="17476" xr:uid="{00000000-0005-0000-0000-0000DB220000}"/>
    <cellStyle name="20% - Accent5 4 3 3 7" xfId="17477" xr:uid="{00000000-0005-0000-0000-0000DC220000}"/>
    <cellStyle name="20% - Accent5 4 3 3 7 2" xfId="17478" xr:uid="{00000000-0005-0000-0000-0000DD220000}"/>
    <cellStyle name="20% - Accent5 4 3 3 7 3" xfId="17479" xr:uid="{00000000-0005-0000-0000-0000DE220000}"/>
    <cellStyle name="20% - Accent5 4 3 3 8" xfId="17480" xr:uid="{00000000-0005-0000-0000-0000DF220000}"/>
    <cellStyle name="20% - Accent5 4 3 3 8 2" xfId="17481" xr:uid="{00000000-0005-0000-0000-0000E0220000}"/>
    <cellStyle name="20% - Accent5 4 3 3 9" xfId="17482" xr:uid="{00000000-0005-0000-0000-0000E1220000}"/>
    <cellStyle name="20% - Accent5 4 3 4" xfId="1152" xr:uid="{00000000-0005-0000-0000-0000E2220000}"/>
    <cellStyle name="20% - Accent5 4 3 4 2" xfId="17483" xr:uid="{00000000-0005-0000-0000-0000E3220000}"/>
    <cellStyle name="20% - Accent5 4 3 4 2 2" xfId="17484" xr:uid="{00000000-0005-0000-0000-0000E4220000}"/>
    <cellStyle name="20% - Accent5 4 3 4 2 2 2" xfId="17485" xr:uid="{00000000-0005-0000-0000-0000E5220000}"/>
    <cellStyle name="20% - Accent5 4 3 4 2 2 3" xfId="17486" xr:uid="{00000000-0005-0000-0000-0000E6220000}"/>
    <cellStyle name="20% - Accent5 4 3 4 2 3" xfId="17487" xr:uid="{00000000-0005-0000-0000-0000E7220000}"/>
    <cellStyle name="20% - Accent5 4 3 4 2 3 2" xfId="17488" xr:uid="{00000000-0005-0000-0000-0000E8220000}"/>
    <cellStyle name="20% - Accent5 4 3 4 2 3 3" xfId="17489" xr:uid="{00000000-0005-0000-0000-0000E9220000}"/>
    <cellStyle name="20% - Accent5 4 3 4 2 4" xfId="17490" xr:uid="{00000000-0005-0000-0000-0000EA220000}"/>
    <cellStyle name="20% - Accent5 4 3 4 2 4 2" xfId="17491" xr:uid="{00000000-0005-0000-0000-0000EB220000}"/>
    <cellStyle name="20% - Accent5 4 3 4 2 5" xfId="17492" xr:uid="{00000000-0005-0000-0000-0000EC220000}"/>
    <cellStyle name="20% - Accent5 4 3 4 2 6" xfId="17493" xr:uid="{00000000-0005-0000-0000-0000ED220000}"/>
    <cellStyle name="20% - Accent5 4 3 4 3" xfId="17494" xr:uid="{00000000-0005-0000-0000-0000EE220000}"/>
    <cellStyle name="20% - Accent5 4 3 4 3 2" xfId="17495" xr:uid="{00000000-0005-0000-0000-0000EF220000}"/>
    <cellStyle name="20% - Accent5 4 3 4 3 2 2" xfId="17496" xr:uid="{00000000-0005-0000-0000-0000F0220000}"/>
    <cellStyle name="20% - Accent5 4 3 4 3 2 3" xfId="17497" xr:uid="{00000000-0005-0000-0000-0000F1220000}"/>
    <cellStyle name="20% - Accent5 4 3 4 3 3" xfId="17498" xr:uid="{00000000-0005-0000-0000-0000F2220000}"/>
    <cellStyle name="20% - Accent5 4 3 4 3 3 2" xfId="17499" xr:uid="{00000000-0005-0000-0000-0000F3220000}"/>
    <cellStyle name="20% - Accent5 4 3 4 3 3 3" xfId="17500" xr:uid="{00000000-0005-0000-0000-0000F4220000}"/>
    <cellStyle name="20% - Accent5 4 3 4 3 4" xfId="17501" xr:uid="{00000000-0005-0000-0000-0000F5220000}"/>
    <cellStyle name="20% - Accent5 4 3 4 3 4 2" xfId="17502" xr:uid="{00000000-0005-0000-0000-0000F6220000}"/>
    <cellStyle name="20% - Accent5 4 3 4 3 5" xfId="17503" xr:uid="{00000000-0005-0000-0000-0000F7220000}"/>
    <cellStyle name="20% - Accent5 4 3 4 3 6" xfId="17504" xr:uid="{00000000-0005-0000-0000-0000F8220000}"/>
    <cellStyle name="20% - Accent5 4 3 4 4" xfId="17505" xr:uid="{00000000-0005-0000-0000-0000F9220000}"/>
    <cellStyle name="20% - Accent5 4 3 4 4 2" xfId="17506" xr:uid="{00000000-0005-0000-0000-0000FA220000}"/>
    <cellStyle name="20% - Accent5 4 3 4 4 2 2" xfId="17507" xr:uid="{00000000-0005-0000-0000-0000FB220000}"/>
    <cellStyle name="20% - Accent5 4 3 4 4 2 3" xfId="17508" xr:uid="{00000000-0005-0000-0000-0000FC220000}"/>
    <cellStyle name="20% - Accent5 4 3 4 4 3" xfId="17509" xr:uid="{00000000-0005-0000-0000-0000FD220000}"/>
    <cellStyle name="20% - Accent5 4 3 4 4 3 2" xfId="17510" xr:uid="{00000000-0005-0000-0000-0000FE220000}"/>
    <cellStyle name="20% - Accent5 4 3 4 4 4" xfId="17511" xr:uid="{00000000-0005-0000-0000-0000FF220000}"/>
    <cellStyle name="20% - Accent5 4 3 4 4 5" xfId="17512" xr:uid="{00000000-0005-0000-0000-000000230000}"/>
    <cellStyle name="20% - Accent5 4 3 4 5" xfId="17513" xr:uid="{00000000-0005-0000-0000-000001230000}"/>
    <cellStyle name="20% - Accent5 4 3 4 5 2" xfId="17514" xr:uid="{00000000-0005-0000-0000-000002230000}"/>
    <cellStyle name="20% - Accent5 4 3 4 5 3" xfId="17515" xr:uid="{00000000-0005-0000-0000-000003230000}"/>
    <cellStyle name="20% - Accent5 4 3 4 6" xfId="17516" xr:uid="{00000000-0005-0000-0000-000004230000}"/>
    <cellStyle name="20% - Accent5 4 3 4 6 2" xfId="17517" xr:uid="{00000000-0005-0000-0000-000005230000}"/>
    <cellStyle name="20% - Accent5 4 3 4 6 3" xfId="17518" xr:uid="{00000000-0005-0000-0000-000006230000}"/>
    <cellStyle name="20% - Accent5 4 3 4 7" xfId="17519" xr:uid="{00000000-0005-0000-0000-000007230000}"/>
    <cellStyle name="20% - Accent5 4 3 4 7 2" xfId="17520" xr:uid="{00000000-0005-0000-0000-000008230000}"/>
    <cellStyle name="20% - Accent5 4 3 4 8" xfId="17521" xr:uid="{00000000-0005-0000-0000-000009230000}"/>
    <cellStyle name="20% - Accent5 4 3 4 9" xfId="17522" xr:uid="{00000000-0005-0000-0000-00000A230000}"/>
    <cellStyle name="20% - Accent5 4 3 5" xfId="17523" xr:uid="{00000000-0005-0000-0000-00000B230000}"/>
    <cellStyle name="20% - Accent5 4 3 5 2" xfId="17524" xr:uid="{00000000-0005-0000-0000-00000C230000}"/>
    <cellStyle name="20% - Accent5 4 3 5 2 2" xfId="17525" xr:uid="{00000000-0005-0000-0000-00000D230000}"/>
    <cellStyle name="20% - Accent5 4 3 5 2 2 2" xfId="17526" xr:uid="{00000000-0005-0000-0000-00000E230000}"/>
    <cellStyle name="20% - Accent5 4 3 5 2 2 3" xfId="17527" xr:uid="{00000000-0005-0000-0000-00000F230000}"/>
    <cellStyle name="20% - Accent5 4 3 5 2 3" xfId="17528" xr:uid="{00000000-0005-0000-0000-000010230000}"/>
    <cellStyle name="20% - Accent5 4 3 5 2 3 2" xfId="17529" xr:uid="{00000000-0005-0000-0000-000011230000}"/>
    <cellStyle name="20% - Accent5 4 3 5 2 3 3" xfId="17530" xr:uid="{00000000-0005-0000-0000-000012230000}"/>
    <cellStyle name="20% - Accent5 4 3 5 2 4" xfId="17531" xr:uid="{00000000-0005-0000-0000-000013230000}"/>
    <cellStyle name="20% - Accent5 4 3 5 2 4 2" xfId="17532" xr:uid="{00000000-0005-0000-0000-000014230000}"/>
    <cellStyle name="20% - Accent5 4 3 5 2 5" xfId="17533" xr:uid="{00000000-0005-0000-0000-000015230000}"/>
    <cellStyle name="20% - Accent5 4 3 5 2 6" xfId="17534" xr:uid="{00000000-0005-0000-0000-000016230000}"/>
    <cellStyle name="20% - Accent5 4 3 5 3" xfId="17535" xr:uid="{00000000-0005-0000-0000-000017230000}"/>
    <cellStyle name="20% - Accent5 4 3 5 3 2" xfId="17536" xr:uid="{00000000-0005-0000-0000-000018230000}"/>
    <cellStyle name="20% - Accent5 4 3 5 3 2 2" xfId="17537" xr:uid="{00000000-0005-0000-0000-000019230000}"/>
    <cellStyle name="20% - Accent5 4 3 5 3 2 3" xfId="17538" xr:uid="{00000000-0005-0000-0000-00001A230000}"/>
    <cellStyle name="20% - Accent5 4 3 5 3 3" xfId="17539" xr:uid="{00000000-0005-0000-0000-00001B230000}"/>
    <cellStyle name="20% - Accent5 4 3 5 3 3 2" xfId="17540" xr:uid="{00000000-0005-0000-0000-00001C230000}"/>
    <cellStyle name="20% - Accent5 4 3 5 3 3 3" xfId="17541" xr:uid="{00000000-0005-0000-0000-00001D230000}"/>
    <cellStyle name="20% - Accent5 4 3 5 3 4" xfId="17542" xr:uid="{00000000-0005-0000-0000-00001E230000}"/>
    <cellStyle name="20% - Accent5 4 3 5 3 4 2" xfId="17543" xr:uid="{00000000-0005-0000-0000-00001F230000}"/>
    <cellStyle name="20% - Accent5 4 3 5 3 5" xfId="17544" xr:uid="{00000000-0005-0000-0000-000020230000}"/>
    <cellStyle name="20% - Accent5 4 3 5 3 6" xfId="17545" xr:uid="{00000000-0005-0000-0000-000021230000}"/>
    <cellStyle name="20% - Accent5 4 3 5 4" xfId="17546" xr:uid="{00000000-0005-0000-0000-000022230000}"/>
    <cellStyle name="20% - Accent5 4 3 5 4 2" xfId="17547" xr:uid="{00000000-0005-0000-0000-000023230000}"/>
    <cellStyle name="20% - Accent5 4 3 5 4 2 2" xfId="17548" xr:uid="{00000000-0005-0000-0000-000024230000}"/>
    <cellStyle name="20% - Accent5 4 3 5 4 2 3" xfId="17549" xr:uid="{00000000-0005-0000-0000-000025230000}"/>
    <cellStyle name="20% - Accent5 4 3 5 4 3" xfId="17550" xr:uid="{00000000-0005-0000-0000-000026230000}"/>
    <cellStyle name="20% - Accent5 4 3 5 4 3 2" xfId="17551" xr:uid="{00000000-0005-0000-0000-000027230000}"/>
    <cellStyle name="20% - Accent5 4 3 5 4 4" xfId="17552" xr:uid="{00000000-0005-0000-0000-000028230000}"/>
    <cellStyle name="20% - Accent5 4 3 5 4 5" xfId="17553" xr:uid="{00000000-0005-0000-0000-000029230000}"/>
    <cellStyle name="20% - Accent5 4 3 5 5" xfId="17554" xr:uid="{00000000-0005-0000-0000-00002A230000}"/>
    <cellStyle name="20% - Accent5 4 3 5 5 2" xfId="17555" xr:uid="{00000000-0005-0000-0000-00002B230000}"/>
    <cellStyle name="20% - Accent5 4 3 5 5 3" xfId="17556" xr:uid="{00000000-0005-0000-0000-00002C230000}"/>
    <cellStyle name="20% - Accent5 4 3 5 6" xfId="17557" xr:uid="{00000000-0005-0000-0000-00002D230000}"/>
    <cellStyle name="20% - Accent5 4 3 5 6 2" xfId="17558" xr:uid="{00000000-0005-0000-0000-00002E230000}"/>
    <cellStyle name="20% - Accent5 4 3 5 6 3" xfId="17559" xr:uid="{00000000-0005-0000-0000-00002F230000}"/>
    <cellStyle name="20% - Accent5 4 3 5 7" xfId="17560" xr:uid="{00000000-0005-0000-0000-000030230000}"/>
    <cellStyle name="20% - Accent5 4 3 5 7 2" xfId="17561" xr:uid="{00000000-0005-0000-0000-000031230000}"/>
    <cellStyle name="20% - Accent5 4 3 5 8" xfId="17562" xr:uid="{00000000-0005-0000-0000-000032230000}"/>
    <cellStyle name="20% - Accent5 4 3 5 9" xfId="17563" xr:uid="{00000000-0005-0000-0000-000033230000}"/>
    <cellStyle name="20% - Accent5 4 3 6" xfId="17564" xr:uid="{00000000-0005-0000-0000-000034230000}"/>
    <cellStyle name="20% - Accent5 4 3 6 2" xfId="17565" xr:uid="{00000000-0005-0000-0000-000035230000}"/>
    <cellStyle name="20% - Accent5 4 3 6 2 2" xfId="17566" xr:uid="{00000000-0005-0000-0000-000036230000}"/>
    <cellStyle name="20% - Accent5 4 3 6 2 3" xfId="17567" xr:uid="{00000000-0005-0000-0000-000037230000}"/>
    <cellStyle name="20% - Accent5 4 3 6 3" xfId="17568" xr:uid="{00000000-0005-0000-0000-000038230000}"/>
    <cellStyle name="20% - Accent5 4 3 6 3 2" xfId="17569" xr:uid="{00000000-0005-0000-0000-000039230000}"/>
    <cellStyle name="20% - Accent5 4 3 6 3 3" xfId="17570" xr:uid="{00000000-0005-0000-0000-00003A230000}"/>
    <cellStyle name="20% - Accent5 4 3 6 4" xfId="17571" xr:uid="{00000000-0005-0000-0000-00003B230000}"/>
    <cellStyle name="20% - Accent5 4 3 6 4 2" xfId="17572" xr:uid="{00000000-0005-0000-0000-00003C230000}"/>
    <cellStyle name="20% - Accent5 4 3 6 5" xfId="17573" xr:uid="{00000000-0005-0000-0000-00003D230000}"/>
    <cellStyle name="20% - Accent5 4 3 6 6" xfId="17574" xr:uid="{00000000-0005-0000-0000-00003E230000}"/>
    <cellStyle name="20% - Accent5 4 3 7" xfId="17575" xr:uid="{00000000-0005-0000-0000-00003F230000}"/>
    <cellStyle name="20% - Accent5 4 3 7 2" xfId="17576" xr:uid="{00000000-0005-0000-0000-000040230000}"/>
    <cellStyle name="20% - Accent5 4 3 7 2 2" xfId="17577" xr:uid="{00000000-0005-0000-0000-000041230000}"/>
    <cellStyle name="20% - Accent5 4 3 7 2 3" xfId="17578" xr:uid="{00000000-0005-0000-0000-000042230000}"/>
    <cellStyle name="20% - Accent5 4 3 7 3" xfId="17579" xr:uid="{00000000-0005-0000-0000-000043230000}"/>
    <cellStyle name="20% - Accent5 4 3 7 3 2" xfId="17580" xr:uid="{00000000-0005-0000-0000-000044230000}"/>
    <cellStyle name="20% - Accent5 4 3 7 3 3" xfId="17581" xr:uid="{00000000-0005-0000-0000-000045230000}"/>
    <cellStyle name="20% - Accent5 4 3 7 4" xfId="17582" xr:uid="{00000000-0005-0000-0000-000046230000}"/>
    <cellStyle name="20% - Accent5 4 3 7 4 2" xfId="17583" xr:uid="{00000000-0005-0000-0000-000047230000}"/>
    <cellStyle name="20% - Accent5 4 3 7 5" xfId="17584" xr:uid="{00000000-0005-0000-0000-000048230000}"/>
    <cellStyle name="20% - Accent5 4 3 7 6" xfId="17585" xr:uid="{00000000-0005-0000-0000-000049230000}"/>
    <cellStyle name="20% - Accent5 4 3 8" xfId="17586" xr:uid="{00000000-0005-0000-0000-00004A230000}"/>
    <cellStyle name="20% - Accent5 4 3 8 2" xfId="17587" xr:uid="{00000000-0005-0000-0000-00004B230000}"/>
    <cellStyle name="20% - Accent5 4 3 8 2 2" xfId="17588" xr:uid="{00000000-0005-0000-0000-00004C230000}"/>
    <cellStyle name="20% - Accent5 4 3 8 2 3" xfId="17589" xr:uid="{00000000-0005-0000-0000-00004D230000}"/>
    <cellStyle name="20% - Accent5 4 3 8 3" xfId="17590" xr:uid="{00000000-0005-0000-0000-00004E230000}"/>
    <cellStyle name="20% - Accent5 4 3 8 3 2" xfId="17591" xr:uid="{00000000-0005-0000-0000-00004F230000}"/>
    <cellStyle name="20% - Accent5 4 3 8 4" xfId="17592" xr:uid="{00000000-0005-0000-0000-000050230000}"/>
    <cellStyle name="20% - Accent5 4 3 8 5" xfId="17593" xr:uid="{00000000-0005-0000-0000-000051230000}"/>
    <cellStyle name="20% - Accent5 4 3 9" xfId="17594" xr:uid="{00000000-0005-0000-0000-000052230000}"/>
    <cellStyle name="20% - Accent5 4 3 9 2" xfId="17595" xr:uid="{00000000-0005-0000-0000-000053230000}"/>
    <cellStyle name="20% - Accent5 4 3 9 3" xfId="17596" xr:uid="{00000000-0005-0000-0000-000054230000}"/>
    <cellStyle name="20% - Accent5 4 4" xfId="1153" xr:uid="{00000000-0005-0000-0000-000055230000}"/>
    <cellStyle name="20% - Accent5 4 4 10" xfId="17597" xr:uid="{00000000-0005-0000-0000-000056230000}"/>
    <cellStyle name="20% - Accent5 4 4 10 2" xfId="17598" xr:uid="{00000000-0005-0000-0000-000057230000}"/>
    <cellStyle name="20% - Accent5 4 4 11" xfId="17599" xr:uid="{00000000-0005-0000-0000-000058230000}"/>
    <cellStyle name="20% - Accent5 4 4 12" xfId="17600" xr:uid="{00000000-0005-0000-0000-000059230000}"/>
    <cellStyle name="20% - Accent5 4 4 2" xfId="1154" xr:uid="{00000000-0005-0000-0000-00005A230000}"/>
    <cellStyle name="20% - Accent5 4 4 2 10" xfId="17601" xr:uid="{00000000-0005-0000-0000-00005B230000}"/>
    <cellStyle name="20% - Accent5 4 4 2 2" xfId="1155" xr:uid="{00000000-0005-0000-0000-00005C230000}"/>
    <cellStyle name="20% - Accent5 4 4 2 2 2" xfId="17602" xr:uid="{00000000-0005-0000-0000-00005D230000}"/>
    <cellStyle name="20% - Accent5 4 4 2 2 2 2" xfId="17603" xr:uid="{00000000-0005-0000-0000-00005E230000}"/>
    <cellStyle name="20% - Accent5 4 4 2 2 2 2 2" xfId="17604" xr:uid="{00000000-0005-0000-0000-00005F230000}"/>
    <cellStyle name="20% - Accent5 4 4 2 2 2 2 3" xfId="17605" xr:uid="{00000000-0005-0000-0000-000060230000}"/>
    <cellStyle name="20% - Accent5 4 4 2 2 2 3" xfId="17606" xr:uid="{00000000-0005-0000-0000-000061230000}"/>
    <cellStyle name="20% - Accent5 4 4 2 2 2 3 2" xfId="17607" xr:uid="{00000000-0005-0000-0000-000062230000}"/>
    <cellStyle name="20% - Accent5 4 4 2 2 2 3 3" xfId="17608" xr:uid="{00000000-0005-0000-0000-000063230000}"/>
    <cellStyle name="20% - Accent5 4 4 2 2 2 4" xfId="17609" xr:uid="{00000000-0005-0000-0000-000064230000}"/>
    <cellStyle name="20% - Accent5 4 4 2 2 2 4 2" xfId="17610" xr:uid="{00000000-0005-0000-0000-000065230000}"/>
    <cellStyle name="20% - Accent5 4 4 2 2 2 5" xfId="17611" xr:uid="{00000000-0005-0000-0000-000066230000}"/>
    <cellStyle name="20% - Accent5 4 4 2 2 2 6" xfId="17612" xr:uid="{00000000-0005-0000-0000-000067230000}"/>
    <cellStyle name="20% - Accent5 4 4 2 2 3" xfId="17613" xr:uid="{00000000-0005-0000-0000-000068230000}"/>
    <cellStyle name="20% - Accent5 4 4 2 2 3 2" xfId="17614" xr:uid="{00000000-0005-0000-0000-000069230000}"/>
    <cellStyle name="20% - Accent5 4 4 2 2 3 2 2" xfId="17615" xr:uid="{00000000-0005-0000-0000-00006A230000}"/>
    <cellStyle name="20% - Accent5 4 4 2 2 3 2 3" xfId="17616" xr:uid="{00000000-0005-0000-0000-00006B230000}"/>
    <cellStyle name="20% - Accent5 4 4 2 2 3 3" xfId="17617" xr:uid="{00000000-0005-0000-0000-00006C230000}"/>
    <cellStyle name="20% - Accent5 4 4 2 2 3 3 2" xfId="17618" xr:uid="{00000000-0005-0000-0000-00006D230000}"/>
    <cellStyle name="20% - Accent5 4 4 2 2 3 3 3" xfId="17619" xr:uid="{00000000-0005-0000-0000-00006E230000}"/>
    <cellStyle name="20% - Accent5 4 4 2 2 3 4" xfId="17620" xr:uid="{00000000-0005-0000-0000-00006F230000}"/>
    <cellStyle name="20% - Accent5 4 4 2 2 3 4 2" xfId="17621" xr:uid="{00000000-0005-0000-0000-000070230000}"/>
    <cellStyle name="20% - Accent5 4 4 2 2 3 5" xfId="17622" xr:uid="{00000000-0005-0000-0000-000071230000}"/>
    <cellStyle name="20% - Accent5 4 4 2 2 3 6" xfId="17623" xr:uid="{00000000-0005-0000-0000-000072230000}"/>
    <cellStyle name="20% - Accent5 4 4 2 2 4" xfId="17624" xr:uid="{00000000-0005-0000-0000-000073230000}"/>
    <cellStyle name="20% - Accent5 4 4 2 2 4 2" xfId="17625" xr:uid="{00000000-0005-0000-0000-000074230000}"/>
    <cellStyle name="20% - Accent5 4 4 2 2 4 2 2" xfId="17626" xr:uid="{00000000-0005-0000-0000-000075230000}"/>
    <cellStyle name="20% - Accent5 4 4 2 2 4 2 3" xfId="17627" xr:uid="{00000000-0005-0000-0000-000076230000}"/>
    <cellStyle name="20% - Accent5 4 4 2 2 4 3" xfId="17628" xr:uid="{00000000-0005-0000-0000-000077230000}"/>
    <cellStyle name="20% - Accent5 4 4 2 2 4 3 2" xfId="17629" xr:uid="{00000000-0005-0000-0000-000078230000}"/>
    <cellStyle name="20% - Accent5 4 4 2 2 4 4" xfId="17630" xr:uid="{00000000-0005-0000-0000-000079230000}"/>
    <cellStyle name="20% - Accent5 4 4 2 2 4 5" xfId="17631" xr:uid="{00000000-0005-0000-0000-00007A230000}"/>
    <cellStyle name="20% - Accent5 4 4 2 2 5" xfId="17632" xr:uid="{00000000-0005-0000-0000-00007B230000}"/>
    <cellStyle name="20% - Accent5 4 4 2 2 5 2" xfId="17633" xr:uid="{00000000-0005-0000-0000-00007C230000}"/>
    <cellStyle name="20% - Accent5 4 4 2 2 5 3" xfId="17634" xr:uid="{00000000-0005-0000-0000-00007D230000}"/>
    <cellStyle name="20% - Accent5 4 4 2 2 6" xfId="17635" xr:uid="{00000000-0005-0000-0000-00007E230000}"/>
    <cellStyle name="20% - Accent5 4 4 2 2 6 2" xfId="17636" xr:uid="{00000000-0005-0000-0000-00007F230000}"/>
    <cellStyle name="20% - Accent5 4 4 2 2 6 3" xfId="17637" xr:uid="{00000000-0005-0000-0000-000080230000}"/>
    <cellStyle name="20% - Accent5 4 4 2 2 7" xfId="17638" xr:uid="{00000000-0005-0000-0000-000081230000}"/>
    <cellStyle name="20% - Accent5 4 4 2 2 7 2" xfId="17639" xr:uid="{00000000-0005-0000-0000-000082230000}"/>
    <cellStyle name="20% - Accent5 4 4 2 2 8" xfId="17640" xr:uid="{00000000-0005-0000-0000-000083230000}"/>
    <cellStyle name="20% - Accent5 4 4 2 2 9" xfId="17641" xr:uid="{00000000-0005-0000-0000-000084230000}"/>
    <cellStyle name="20% - Accent5 4 4 2 3" xfId="17642" xr:uid="{00000000-0005-0000-0000-000085230000}"/>
    <cellStyle name="20% - Accent5 4 4 2 3 2" xfId="17643" xr:uid="{00000000-0005-0000-0000-000086230000}"/>
    <cellStyle name="20% - Accent5 4 4 2 3 2 2" xfId="17644" xr:uid="{00000000-0005-0000-0000-000087230000}"/>
    <cellStyle name="20% - Accent5 4 4 2 3 2 3" xfId="17645" xr:uid="{00000000-0005-0000-0000-000088230000}"/>
    <cellStyle name="20% - Accent5 4 4 2 3 3" xfId="17646" xr:uid="{00000000-0005-0000-0000-000089230000}"/>
    <cellStyle name="20% - Accent5 4 4 2 3 3 2" xfId="17647" xr:uid="{00000000-0005-0000-0000-00008A230000}"/>
    <cellStyle name="20% - Accent5 4 4 2 3 3 3" xfId="17648" xr:uid="{00000000-0005-0000-0000-00008B230000}"/>
    <cellStyle name="20% - Accent5 4 4 2 3 4" xfId="17649" xr:uid="{00000000-0005-0000-0000-00008C230000}"/>
    <cellStyle name="20% - Accent5 4 4 2 3 4 2" xfId="17650" xr:uid="{00000000-0005-0000-0000-00008D230000}"/>
    <cellStyle name="20% - Accent5 4 4 2 3 5" xfId="17651" xr:uid="{00000000-0005-0000-0000-00008E230000}"/>
    <cellStyle name="20% - Accent5 4 4 2 3 6" xfId="17652" xr:uid="{00000000-0005-0000-0000-00008F230000}"/>
    <cellStyle name="20% - Accent5 4 4 2 4" xfId="17653" xr:uid="{00000000-0005-0000-0000-000090230000}"/>
    <cellStyle name="20% - Accent5 4 4 2 4 2" xfId="17654" xr:uid="{00000000-0005-0000-0000-000091230000}"/>
    <cellStyle name="20% - Accent5 4 4 2 4 2 2" xfId="17655" xr:uid="{00000000-0005-0000-0000-000092230000}"/>
    <cellStyle name="20% - Accent5 4 4 2 4 2 3" xfId="17656" xr:uid="{00000000-0005-0000-0000-000093230000}"/>
    <cellStyle name="20% - Accent5 4 4 2 4 3" xfId="17657" xr:uid="{00000000-0005-0000-0000-000094230000}"/>
    <cellStyle name="20% - Accent5 4 4 2 4 3 2" xfId="17658" xr:uid="{00000000-0005-0000-0000-000095230000}"/>
    <cellStyle name="20% - Accent5 4 4 2 4 3 3" xfId="17659" xr:uid="{00000000-0005-0000-0000-000096230000}"/>
    <cellStyle name="20% - Accent5 4 4 2 4 4" xfId="17660" xr:uid="{00000000-0005-0000-0000-000097230000}"/>
    <cellStyle name="20% - Accent5 4 4 2 4 4 2" xfId="17661" xr:uid="{00000000-0005-0000-0000-000098230000}"/>
    <cellStyle name="20% - Accent5 4 4 2 4 5" xfId="17662" xr:uid="{00000000-0005-0000-0000-000099230000}"/>
    <cellStyle name="20% - Accent5 4 4 2 4 6" xfId="17663" xr:uid="{00000000-0005-0000-0000-00009A230000}"/>
    <cellStyle name="20% - Accent5 4 4 2 5" xfId="17664" xr:uid="{00000000-0005-0000-0000-00009B230000}"/>
    <cellStyle name="20% - Accent5 4 4 2 5 2" xfId="17665" xr:uid="{00000000-0005-0000-0000-00009C230000}"/>
    <cellStyle name="20% - Accent5 4 4 2 5 2 2" xfId="17666" xr:uid="{00000000-0005-0000-0000-00009D230000}"/>
    <cellStyle name="20% - Accent5 4 4 2 5 2 3" xfId="17667" xr:uid="{00000000-0005-0000-0000-00009E230000}"/>
    <cellStyle name="20% - Accent5 4 4 2 5 3" xfId="17668" xr:uid="{00000000-0005-0000-0000-00009F230000}"/>
    <cellStyle name="20% - Accent5 4 4 2 5 3 2" xfId="17669" xr:uid="{00000000-0005-0000-0000-0000A0230000}"/>
    <cellStyle name="20% - Accent5 4 4 2 5 4" xfId="17670" xr:uid="{00000000-0005-0000-0000-0000A1230000}"/>
    <cellStyle name="20% - Accent5 4 4 2 5 5" xfId="17671" xr:uid="{00000000-0005-0000-0000-0000A2230000}"/>
    <cellStyle name="20% - Accent5 4 4 2 6" xfId="17672" xr:uid="{00000000-0005-0000-0000-0000A3230000}"/>
    <cellStyle name="20% - Accent5 4 4 2 6 2" xfId="17673" xr:uid="{00000000-0005-0000-0000-0000A4230000}"/>
    <cellStyle name="20% - Accent5 4 4 2 6 3" xfId="17674" xr:uid="{00000000-0005-0000-0000-0000A5230000}"/>
    <cellStyle name="20% - Accent5 4 4 2 7" xfId="17675" xr:uid="{00000000-0005-0000-0000-0000A6230000}"/>
    <cellStyle name="20% - Accent5 4 4 2 7 2" xfId="17676" xr:uid="{00000000-0005-0000-0000-0000A7230000}"/>
    <cellStyle name="20% - Accent5 4 4 2 7 3" xfId="17677" xr:uid="{00000000-0005-0000-0000-0000A8230000}"/>
    <cellStyle name="20% - Accent5 4 4 2 8" xfId="17678" xr:uid="{00000000-0005-0000-0000-0000A9230000}"/>
    <cellStyle name="20% - Accent5 4 4 2 8 2" xfId="17679" xr:uid="{00000000-0005-0000-0000-0000AA230000}"/>
    <cellStyle name="20% - Accent5 4 4 2 9" xfId="17680" xr:uid="{00000000-0005-0000-0000-0000AB230000}"/>
    <cellStyle name="20% - Accent5 4 4 3" xfId="1156" xr:uid="{00000000-0005-0000-0000-0000AC230000}"/>
    <cellStyle name="20% - Accent5 4 4 3 2" xfId="17681" xr:uid="{00000000-0005-0000-0000-0000AD230000}"/>
    <cellStyle name="20% - Accent5 4 4 3 2 2" xfId="17682" xr:uid="{00000000-0005-0000-0000-0000AE230000}"/>
    <cellStyle name="20% - Accent5 4 4 3 2 2 2" xfId="17683" xr:uid="{00000000-0005-0000-0000-0000AF230000}"/>
    <cellStyle name="20% - Accent5 4 4 3 2 2 3" xfId="17684" xr:uid="{00000000-0005-0000-0000-0000B0230000}"/>
    <cellStyle name="20% - Accent5 4 4 3 2 3" xfId="17685" xr:uid="{00000000-0005-0000-0000-0000B1230000}"/>
    <cellStyle name="20% - Accent5 4 4 3 2 3 2" xfId="17686" xr:uid="{00000000-0005-0000-0000-0000B2230000}"/>
    <cellStyle name="20% - Accent5 4 4 3 2 3 3" xfId="17687" xr:uid="{00000000-0005-0000-0000-0000B3230000}"/>
    <cellStyle name="20% - Accent5 4 4 3 2 4" xfId="17688" xr:uid="{00000000-0005-0000-0000-0000B4230000}"/>
    <cellStyle name="20% - Accent5 4 4 3 2 4 2" xfId="17689" xr:uid="{00000000-0005-0000-0000-0000B5230000}"/>
    <cellStyle name="20% - Accent5 4 4 3 2 5" xfId="17690" xr:uid="{00000000-0005-0000-0000-0000B6230000}"/>
    <cellStyle name="20% - Accent5 4 4 3 2 6" xfId="17691" xr:uid="{00000000-0005-0000-0000-0000B7230000}"/>
    <cellStyle name="20% - Accent5 4 4 3 3" xfId="17692" xr:uid="{00000000-0005-0000-0000-0000B8230000}"/>
    <cellStyle name="20% - Accent5 4 4 3 3 2" xfId="17693" xr:uid="{00000000-0005-0000-0000-0000B9230000}"/>
    <cellStyle name="20% - Accent5 4 4 3 3 2 2" xfId="17694" xr:uid="{00000000-0005-0000-0000-0000BA230000}"/>
    <cellStyle name="20% - Accent5 4 4 3 3 2 3" xfId="17695" xr:uid="{00000000-0005-0000-0000-0000BB230000}"/>
    <cellStyle name="20% - Accent5 4 4 3 3 3" xfId="17696" xr:uid="{00000000-0005-0000-0000-0000BC230000}"/>
    <cellStyle name="20% - Accent5 4 4 3 3 3 2" xfId="17697" xr:uid="{00000000-0005-0000-0000-0000BD230000}"/>
    <cellStyle name="20% - Accent5 4 4 3 3 3 3" xfId="17698" xr:uid="{00000000-0005-0000-0000-0000BE230000}"/>
    <cellStyle name="20% - Accent5 4 4 3 3 4" xfId="17699" xr:uid="{00000000-0005-0000-0000-0000BF230000}"/>
    <cellStyle name="20% - Accent5 4 4 3 3 4 2" xfId="17700" xr:uid="{00000000-0005-0000-0000-0000C0230000}"/>
    <cellStyle name="20% - Accent5 4 4 3 3 5" xfId="17701" xr:uid="{00000000-0005-0000-0000-0000C1230000}"/>
    <cellStyle name="20% - Accent5 4 4 3 3 6" xfId="17702" xr:uid="{00000000-0005-0000-0000-0000C2230000}"/>
    <cellStyle name="20% - Accent5 4 4 3 4" xfId="17703" xr:uid="{00000000-0005-0000-0000-0000C3230000}"/>
    <cellStyle name="20% - Accent5 4 4 3 4 2" xfId="17704" xr:uid="{00000000-0005-0000-0000-0000C4230000}"/>
    <cellStyle name="20% - Accent5 4 4 3 4 2 2" xfId="17705" xr:uid="{00000000-0005-0000-0000-0000C5230000}"/>
    <cellStyle name="20% - Accent5 4 4 3 4 2 3" xfId="17706" xr:uid="{00000000-0005-0000-0000-0000C6230000}"/>
    <cellStyle name="20% - Accent5 4 4 3 4 3" xfId="17707" xr:uid="{00000000-0005-0000-0000-0000C7230000}"/>
    <cellStyle name="20% - Accent5 4 4 3 4 3 2" xfId="17708" xr:uid="{00000000-0005-0000-0000-0000C8230000}"/>
    <cellStyle name="20% - Accent5 4 4 3 4 4" xfId="17709" xr:uid="{00000000-0005-0000-0000-0000C9230000}"/>
    <cellStyle name="20% - Accent5 4 4 3 4 5" xfId="17710" xr:uid="{00000000-0005-0000-0000-0000CA230000}"/>
    <cellStyle name="20% - Accent5 4 4 3 5" xfId="17711" xr:uid="{00000000-0005-0000-0000-0000CB230000}"/>
    <cellStyle name="20% - Accent5 4 4 3 5 2" xfId="17712" xr:uid="{00000000-0005-0000-0000-0000CC230000}"/>
    <cellStyle name="20% - Accent5 4 4 3 5 3" xfId="17713" xr:uid="{00000000-0005-0000-0000-0000CD230000}"/>
    <cellStyle name="20% - Accent5 4 4 3 6" xfId="17714" xr:uid="{00000000-0005-0000-0000-0000CE230000}"/>
    <cellStyle name="20% - Accent5 4 4 3 6 2" xfId="17715" xr:uid="{00000000-0005-0000-0000-0000CF230000}"/>
    <cellStyle name="20% - Accent5 4 4 3 6 3" xfId="17716" xr:uid="{00000000-0005-0000-0000-0000D0230000}"/>
    <cellStyle name="20% - Accent5 4 4 3 7" xfId="17717" xr:uid="{00000000-0005-0000-0000-0000D1230000}"/>
    <cellStyle name="20% - Accent5 4 4 3 7 2" xfId="17718" xr:uid="{00000000-0005-0000-0000-0000D2230000}"/>
    <cellStyle name="20% - Accent5 4 4 3 8" xfId="17719" xr:uid="{00000000-0005-0000-0000-0000D3230000}"/>
    <cellStyle name="20% - Accent5 4 4 3 9" xfId="17720" xr:uid="{00000000-0005-0000-0000-0000D4230000}"/>
    <cellStyle name="20% - Accent5 4 4 4" xfId="17721" xr:uid="{00000000-0005-0000-0000-0000D5230000}"/>
    <cellStyle name="20% - Accent5 4 4 4 2" xfId="17722" xr:uid="{00000000-0005-0000-0000-0000D6230000}"/>
    <cellStyle name="20% - Accent5 4 4 4 2 2" xfId="17723" xr:uid="{00000000-0005-0000-0000-0000D7230000}"/>
    <cellStyle name="20% - Accent5 4 4 4 2 2 2" xfId="17724" xr:uid="{00000000-0005-0000-0000-0000D8230000}"/>
    <cellStyle name="20% - Accent5 4 4 4 2 2 3" xfId="17725" xr:uid="{00000000-0005-0000-0000-0000D9230000}"/>
    <cellStyle name="20% - Accent5 4 4 4 2 3" xfId="17726" xr:uid="{00000000-0005-0000-0000-0000DA230000}"/>
    <cellStyle name="20% - Accent5 4 4 4 2 3 2" xfId="17727" xr:uid="{00000000-0005-0000-0000-0000DB230000}"/>
    <cellStyle name="20% - Accent5 4 4 4 2 3 3" xfId="17728" xr:uid="{00000000-0005-0000-0000-0000DC230000}"/>
    <cellStyle name="20% - Accent5 4 4 4 2 4" xfId="17729" xr:uid="{00000000-0005-0000-0000-0000DD230000}"/>
    <cellStyle name="20% - Accent5 4 4 4 2 4 2" xfId="17730" xr:uid="{00000000-0005-0000-0000-0000DE230000}"/>
    <cellStyle name="20% - Accent5 4 4 4 2 5" xfId="17731" xr:uid="{00000000-0005-0000-0000-0000DF230000}"/>
    <cellStyle name="20% - Accent5 4 4 4 2 6" xfId="17732" xr:uid="{00000000-0005-0000-0000-0000E0230000}"/>
    <cellStyle name="20% - Accent5 4 4 4 3" xfId="17733" xr:uid="{00000000-0005-0000-0000-0000E1230000}"/>
    <cellStyle name="20% - Accent5 4 4 4 3 2" xfId="17734" xr:uid="{00000000-0005-0000-0000-0000E2230000}"/>
    <cellStyle name="20% - Accent5 4 4 4 3 2 2" xfId="17735" xr:uid="{00000000-0005-0000-0000-0000E3230000}"/>
    <cellStyle name="20% - Accent5 4 4 4 3 2 3" xfId="17736" xr:uid="{00000000-0005-0000-0000-0000E4230000}"/>
    <cellStyle name="20% - Accent5 4 4 4 3 3" xfId="17737" xr:uid="{00000000-0005-0000-0000-0000E5230000}"/>
    <cellStyle name="20% - Accent5 4 4 4 3 3 2" xfId="17738" xr:uid="{00000000-0005-0000-0000-0000E6230000}"/>
    <cellStyle name="20% - Accent5 4 4 4 3 3 3" xfId="17739" xr:uid="{00000000-0005-0000-0000-0000E7230000}"/>
    <cellStyle name="20% - Accent5 4 4 4 3 4" xfId="17740" xr:uid="{00000000-0005-0000-0000-0000E8230000}"/>
    <cellStyle name="20% - Accent5 4 4 4 3 4 2" xfId="17741" xr:uid="{00000000-0005-0000-0000-0000E9230000}"/>
    <cellStyle name="20% - Accent5 4 4 4 3 5" xfId="17742" xr:uid="{00000000-0005-0000-0000-0000EA230000}"/>
    <cellStyle name="20% - Accent5 4 4 4 3 6" xfId="17743" xr:uid="{00000000-0005-0000-0000-0000EB230000}"/>
    <cellStyle name="20% - Accent5 4 4 4 4" xfId="17744" xr:uid="{00000000-0005-0000-0000-0000EC230000}"/>
    <cellStyle name="20% - Accent5 4 4 4 4 2" xfId="17745" xr:uid="{00000000-0005-0000-0000-0000ED230000}"/>
    <cellStyle name="20% - Accent5 4 4 4 4 2 2" xfId="17746" xr:uid="{00000000-0005-0000-0000-0000EE230000}"/>
    <cellStyle name="20% - Accent5 4 4 4 4 2 3" xfId="17747" xr:uid="{00000000-0005-0000-0000-0000EF230000}"/>
    <cellStyle name="20% - Accent5 4 4 4 4 3" xfId="17748" xr:uid="{00000000-0005-0000-0000-0000F0230000}"/>
    <cellStyle name="20% - Accent5 4 4 4 4 3 2" xfId="17749" xr:uid="{00000000-0005-0000-0000-0000F1230000}"/>
    <cellStyle name="20% - Accent5 4 4 4 4 4" xfId="17750" xr:uid="{00000000-0005-0000-0000-0000F2230000}"/>
    <cellStyle name="20% - Accent5 4 4 4 4 5" xfId="17751" xr:uid="{00000000-0005-0000-0000-0000F3230000}"/>
    <cellStyle name="20% - Accent5 4 4 4 5" xfId="17752" xr:uid="{00000000-0005-0000-0000-0000F4230000}"/>
    <cellStyle name="20% - Accent5 4 4 4 5 2" xfId="17753" xr:uid="{00000000-0005-0000-0000-0000F5230000}"/>
    <cellStyle name="20% - Accent5 4 4 4 5 3" xfId="17754" xr:uid="{00000000-0005-0000-0000-0000F6230000}"/>
    <cellStyle name="20% - Accent5 4 4 4 6" xfId="17755" xr:uid="{00000000-0005-0000-0000-0000F7230000}"/>
    <cellStyle name="20% - Accent5 4 4 4 6 2" xfId="17756" xr:uid="{00000000-0005-0000-0000-0000F8230000}"/>
    <cellStyle name="20% - Accent5 4 4 4 6 3" xfId="17757" xr:uid="{00000000-0005-0000-0000-0000F9230000}"/>
    <cellStyle name="20% - Accent5 4 4 4 7" xfId="17758" xr:uid="{00000000-0005-0000-0000-0000FA230000}"/>
    <cellStyle name="20% - Accent5 4 4 4 7 2" xfId="17759" xr:uid="{00000000-0005-0000-0000-0000FB230000}"/>
    <cellStyle name="20% - Accent5 4 4 4 8" xfId="17760" xr:uid="{00000000-0005-0000-0000-0000FC230000}"/>
    <cellStyle name="20% - Accent5 4 4 4 9" xfId="17761" xr:uid="{00000000-0005-0000-0000-0000FD230000}"/>
    <cellStyle name="20% - Accent5 4 4 5" xfId="17762" xr:uid="{00000000-0005-0000-0000-0000FE230000}"/>
    <cellStyle name="20% - Accent5 4 4 5 2" xfId="17763" xr:uid="{00000000-0005-0000-0000-0000FF230000}"/>
    <cellStyle name="20% - Accent5 4 4 5 2 2" xfId="17764" xr:uid="{00000000-0005-0000-0000-000000240000}"/>
    <cellStyle name="20% - Accent5 4 4 5 2 3" xfId="17765" xr:uid="{00000000-0005-0000-0000-000001240000}"/>
    <cellStyle name="20% - Accent5 4 4 5 3" xfId="17766" xr:uid="{00000000-0005-0000-0000-000002240000}"/>
    <cellStyle name="20% - Accent5 4 4 5 3 2" xfId="17767" xr:uid="{00000000-0005-0000-0000-000003240000}"/>
    <cellStyle name="20% - Accent5 4 4 5 3 3" xfId="17768" xr:uid="{00000000-0005-0000-0000-000004240000}"/>
    <cellStyle name="20% - Accent5 4 4 5 4" xfId="17769" xr:uid="{00000000-0005-0000-0000-000005240000}"/>
    <cellStyle name="20% - Accent5 4 4 5 4 2" xfId="17770" xr:uid="{00000000-0005-0000-0000-000006240000}"/>
    <cellStyle name="20% - Accent5 4 4 5 5" xfId="17771" xr:uid="{00000000-0005-0000-0000-000007240000}"/>
    <cellStyle name="20% - Accent5 4 4 5 6" xfId="17772" xr:uid="{00000000-0005-0000-0000-000008240000}"/>
    <cellStyle name="20% - Accent5 4 4 6" xfId="17773" xr:uid="{00000000-0005-0000-0000-000009240000}"/>
    <cellStyle name="20% - Accent5 4 4 6 2" xfId="17774" xr:uid="{00000000-0005-0000-0000-00000A240000}"/>
    <cellStyle name="20% - Accent5 4 4 6 2 2" xfId="17775" xr:uid="{00000000-0005-0000-0000-00000B240000}"/>
    <cellStyle name="20% - Accent5 4 4 6 2 3" xfId="17776" xr:uid="{00000000-0005-0000-0000-00000C240000}"/>
    <cellStyle name="20% - Accent5 4 4 6 3" xfId="17777" xr:uid="{00000000-0005-0000-0000-00000D240000}"/>
    <cellStyle name="20% - Accent5 4 4 6 3 2" xfId="17778" xr:uid="{00000000-0005-0000-0000-00000E240000}"/>
    <cellStyle name="20% - Accent5 4 4 6 3 3" xfId="17779" xr:uid="{00000000-0005-0000-0000-00000F240000}"/>
    <cellStyle name="20% - Accent5 4 4 6 4" xfId="17780" xr:uid="{00000000-0005-0000-0000-000010240000}"/>
    <cellStyle name="20% - Accent5 4 4 6 4 2" xfId="17781" xr:uid="{00000000-0005-0000-0000-000011240000}"/>
    <cellStyle name="20% - Accent5 4 4 6 5" xfId="17782" xr:uid="{00000000-0005-0000-0000-000012240000}"/>
    <cellStyle name="20% - Accent5 4 4 6 6" xfId="17783" xr:uid="{00000000-0005-0000-0000-000013240000}"/>
    <cellStyle name="20% - Accent5 4 4 7" xfId="17784" xr:uid="{00000000-0005-0000-0000-000014240000}"/>
    <cellStyle name="20% - Accent5 4 4 7 2" xfId="17785" xr:uid="{00000000-0005-0000-0000-000015240000}"/>
    <cellStyle name="20% - Accent5 4 4 7 2 2" xfId="17786" xr:uid="{00000000-0005-0000-0000-000016240000}"/>
    <cellStyle name="20% - Accent5 4 4 7 2 3" xfId="17787" xr:uid="{00000000-0005-0000-0000-000017240000}"/>
    <cellStyle name="20% - Accent5 4 4 7 3" xfId="17788" xr:uid="{00000000-0005-0000-0000-000018240000}"/>
    <cellStyle name="20% - Accent5 4 4 7 3 2" xfId="17789" xr:uid="{00000000-0005-0000-0000-000019240000}"/>
    <cellStyle name="20% - Accent5 4 4 7 4" xfId="17790" xr:uid="{00000000-0005-0000-0000-00001A240000}"/>
    <cellStyle name="20% - Accent5 4 4 7 5" xfId="17791" xr:uid="{00000000-0005-0000-0000-00001B240000}"/>
    <cellStyle name="20% - Accent5 4 4 8" xfId="17792" xr:uid="{00000000-0005-0000-0000-00001C240000}"/>
    <cellStyle name="20% - Accent5 4 4 8 2" xfId="17793" xr:uid="{00000000-0005-0000-0000-00001D240000}"/>
    <cellStyle name="20% - Accent5 4 4 8 3" xfId="17794" xr:uid="{00000000-0005-0000-0000-00001E240000}"/>
    <cellStyle name="20% - Accent5 4 4 9" xfId="17795" xr:uid="{00000000-0005-0000-0000-00001F240000}"/>
    <cellStyle name="20% - Accent5 4 4 9 2" xfId="17796" xr:uid="{00000000-0005-0000-0000-000020240000}"/>
    <cellStyle name="20% - Accent5 4 4 9 3" xfId="17797" xr:uid="{00000000-0005-0000-0000-000021240000}"/>
    <cellStyle name="20% - Accent5 4 5" xfId="1157" xr:uid="{00000000-0005-0000-0000-000022240000}"/>
    <cellStyle name="20% - Accent5 4 5 10" xfId="17798" xr:uid="{00000000-0005-0000-0000-000023240000}"/>
    <cellStyle name="20% - Accent5 4 5 2" xfId="1158" xr:uid="{00000000-0005-0000-0000-000024240000}"/>
    <cellStyle name="20% - Accent5 4 5 2 2" xfId="17799" xr:uid="{00000000-0005-0000-0000-000025240000}"/>
    <cellStyle name="20% - Accent5 4 5 2 2 2" xfId="17800" xr:uid="{00000000-0005-0000-0000-000026240000}"/>
    <cellStyle name="20% - Accent5 4 5 2 2 2 2" xfId="17801" xr:uid="{00000000-0005-0000-0000-000027240000}"/>
    <cellStyle name="20% - Accent5 4 5 2 2 2 3" xfId="17802" xr:uid="{00000000-0005-0000-0000-000028240000}"/>
    <cellStyle name="20% - Accent5 4 5 2 2 3" xfId="17803" xr:uid="{00000000-0005-0000-0000-000029240000}"/>
    <cellStyle name="20% - Accent5 4 5 2 2 3 2" xfId="17804" xr:uid="{00000000-0005-0000-0000-00002A240000}"/>
    <cellStyle name="20% - Accent5 4 5 2 2 3 3" xfId="17805" xr:uid="{00000000-0005-0000-0000-00002B240000}"/>
    <cellStyle name="20% - Accent5 4 5 2 2 4" xfId="17806" xr:uid="{00000000-0005-0000-0000-00002C240000}"/>
    <cellStyle name="20% - Accent5 4 5 2 2 4 2" xfId="17807" xr:uid="{00000000-0005-0000-0000-00002D240000}"/>
    <cellStyle name="20% - Accent5 4 5 2 2 5" xfId="17808" xr:uid="{00000000-0005-0000-0000-00002E240000}"/>
    <cellStyle name="20% - Accent5 4 5 2 2 6" xfId="17809" xr:uid="{00000000-0005-0000-0000-00002F240000}"/>
    <cellStyle name="20% - Accent5 4 5 2 3" xfId="17810" xr:uid="{00000000-0005-0000-0000-000030240000}"/>
    <cellStyle name="20% - Accent5 4 5 2 3 2" xfId="17811" xr:uid="{00000000-0005-0000-0000-000031240000}"/>
    <cellStyle name="20% - Accent5 4 5 2 3 2 2" xfId="17812" xr:uid="{00000000-0005-0000-0000-000032240000}"/>
    <cellStyle name="20% - Accent5 4 5 2 3 2 3" xfId="17813" xr:uid="{00000000-0005-0000-0000-000033240000}"/>
    <cellStyle name="20% - Accent5 4 5 2 3 3" xfId="17814" xr:uid="{00000000-0005-0000-0000-000034240000}"/>
    <cellStyle name="20% - Accent5 4 5 2 3 3 2" xfId="17815" xr:uid="{00000000-0005-0000-0000-000035240000}"/>
    <cellStyle name="20% - Accent5 4 5 2 3 3 3" xfId="17816" xr:uid="{00000000-0005-0000-0000-000036240000}"/>
    <cellStyle name="20% - Accent5 4 5 2 3 4" xfId="17817" xr:uid="{00000000-0005-0000-0000-000037240000}"/>
    <cellStyle name="20% - Accent5 4 5 2 3 4 2" xfId="17818" xr:uid="{00000000-0005-0000-0000-000038240000}"/>
    <cellStyle name="20% - Accent5 4 5 2 3 5" xfId="17819" xr:uid="{00000000-0005-0000-0000-000039240000}"/>
    <cellStyle name="20% - Accent5 4 5 2 3 6" xfId="17820" xr:uid="{00000000-0005-0000-0000-00003A240000}"/>
    <cellStyle name="20% - Accent5 4 5 2 4" xfId="17821" xr:uid="{00000000-0005-0000-0000-00003B240000}"/>
    <cellStyle name="20% - Accent5 4 5 2 4 2" xfId="17822" xr:uid="{00000000-0005-0000-0000-00003C240000}"/>
    <cellStyle name="20% - Accent5 4 5 2 4 2 2" xfId="17823" xr:uid="{00000000-0005-0000-0000-00003D240000}"/>
    <cellStyle name="20% - Accent5 4 5 2 4 2 3" xfId="17824" xr:uid="{00000000-0005-0000-0000-00003E240000}"/>
    <cellStyle name="20% - Accent5 4 5 2 4 3" xfId="17825" xr:uid="{00000000-0005-0000-0000-00003F240000}"/>
    <cellStyle name="20% - Accent5 4 5 2 4 3 2" xfId="17826" xr:uid="{00000000-0005-0000-0000-000040240000}"/>
    <cellStyle name="20% - Accent5 4 5 2 4 4" xfId="17827" xr:uid="{00000000-0005-0000-0000-000041240000}"/>
    <cellStyle name="20% - Accent5 4 5 2 4 5" xfId="17828" xr:uid="{00000000-0005-0000-0000-000042240000}"/>
    <cellStyle name="20% - Accent5 4 5 2 5" xfId="17829" xr:uid="{00000000-0005-0000-0000-000043240000}"/>
    <cellStyle name="20% - Accent5 4 5 2 5 2" xfId="17830" xr:uid="{00000000-0005-0000-0000-000044240000}"/>
    <cellStyle name="20% - Accent5 4 5 2 5 3" xfId="17831" xr:uid="{00000000-0005-0000-0000-000045240000}"/>
    <cellStyle name="20% - Accent5 4 5 2 6" xfId="17832" xr:uid="{00000000-0005-0000-0000-000046240000}"/>
    <cellStyle name="20% - Accent5 4 5 2 6 2" xfId="17833" xr:uid="{00000000-0005-0000-0000-000047240000}"/>
    <cellStyle name="20% - Accent5 4 5 2 6 3" xfId="17834" xr:uid="{00000000-0005-0000-0000-000048240000}"/>
    <cellStyle name="20% - Accent5 4 5 2 7" xfId="17835" xr:uid="{00000000-0005-0000-0000-000049240000}"/>
    <cellStyle name="20% - Accent5 4 5 2 7 2" xfId="17836" xr:uid="{00000000-0005-0000-0000-00004A240000}"/>
    <cellStyle name="20% - Accent5 4 5 2 8" xfId="17837" xr:uid="{00000000-0005-0000-0000-00004B240000}"/>
    <cellStyle name="20% - Accent5 4 5 2 9" xfId="17838" xr:uid="{00000000-0005-0000-0000-00004C240000}"/>
    <cellStyle name="20% - Accent5 4 5 3" xfId="17839" xr:uid="{00000000-0005-0000-0000-00004D240000}"/>
    <cellStyle name="20% - Accent5 4 5 3 2" xfId="17840" xr:uid="{00000000-0005-0000-0000-00004E240000}"/>
    <cellStyle name="20% - Accent5 4 5 3 2 2" xfId="17841" xr:uid="{00000000-0005-0000-0000-00004F240000}"/>
    <cellStyle name="20% - Accent5 4 5 3 2 3" xfId="17842" xr:uid="{00000000-0005-0000-0000-000050240000}"/>
    <cellStyle name="20% - Accent5 4 5 3 3" xfId="17843" xr:uid="{00000000-0005-0000-0000-000051240000}"/>
    <cellStyle name="20% - Accent5 4 5 3 3 2" xfId="17844" xr:uid="{00000000-0005-0000-0000-000052240000}"/>
    <cellStyle name="20% - Accent5 4 5 3 3 3" xfId="17845" xr:uid="{00000000-0005-0000-0000-000053240000}"/>
    <cellStyle name="20% - Accent5 4 5 3 4" xfId="17846" xr:uid="{00000000-0005-0000-0000-000054240000}"/>
    <cellStyle name="20% - Accent5 4 5 3 4 2" xfId="17847" xr:uid="{00000000-0005-0000-0000-000055240000}"/>
    <cellStyle name="20% - Accent5 4 5 3 5" xfId="17848" xr:uid="{00000000-0005-0000-0000-000056240000}"/>
    <cellStyle name="20% - Accent5 4 5 3 6" xfId="17849" xr:uid="{00000000-0005-0000-0000-000057240000}"/>
    <cellStyle name="20% - Accent5 4 5 4" xfId="17850" xr:uid="{00000000-0005-0000-0000-000058240000}"/>
    <cellStyle name="20% - Accent5 4 5 4 2" xfId="17851" xr:uid="{00000000-0005-0000-0000-000059240000}"/>
    <cellStyle name="20% - Accent5 4 5 4 2 2" xfId="17852" xr:uid="{00000000-0005-0000-0000-00005A240000}"/>
    <cellStyle name="20% - Accent5 4 5 4 2 3" xfId="17853" xr:uid="{00000000-0005-0000-0000-00005B240000}"/>
    <cellStyle name="20% - Accent5 4 5 4 3" xfId="17854" xr:uid="{00000000-0005-0000-0000-00005C240000}"/>
    <cellStyle name="20% - Accent5 4 5 4 3 2" xfId="17855" xr:uid="{00000000-0005-0000-0000-00005D240000}"/>
    <cellStyle name="20% - Accent5 4 5 4 3 3" xfId="17856" xr:uid="{00000000-0005-0000-0000-00005E240000}"/>
    <cellStyle name="20% - Accent5 4 5 4 4" xfId="17857" xr:uid="{00000000-0005-0000-0000-00005F240000}"/>
    <cellStyle name="20% - Accent5 4 5 4 4 2" xfId="17858" xr:uid="{00000000-0005-0000-0000-000060240000}"/>
    <cellStyle name="20% - Accent5 4 5 4 5" xfId="17859" xr:uid="{00000000-0005-0000-0000-000061240000}"/>
    <cellStyle name="20% - Accent5 4 5 4 6" xfId="17860" xr:uid="{00000000-0005-0000-0000-000062240000}"/>
    <cellStyle name="20% - Accent5 4 5 5" xfId="17861" xr:uid="{00000000-0005-0000-0000-000063240000}"/>
    <cellStyle name="20% - Accent5 4 5 5 2" xfId="17862" xr:uid="{00000000-0005-0000-0000-000064240000}"/>
    <cellStyle name="20% - Accent5 4 5 5 2 2" xfId="17863" xr:uid="{00000000-0005-0000-0000-000065240000}"/>
    <cellStyle name="20% - Accent5 4 5 5 2 3" xfId="17864" xr:uid="{00000000-0005-0000-0000-000066240000}"/>
    <cellStyle name="20% - Accent5 4 5 5 3" xfId="17865" xr:uid="{00000000-0005-0000-0000-000067240000}"/>
    <cellStyle name="20% - Accent5 4 5 5 3 2" xfId="17866" xr:uid="{00000000-0005-0000-0000-000068240000}"/>
    <cellStyle name="20% - Accent5 4 5 5 4" xfId="17867" xr:uid="{00000000-0005-0000-0000-000069240000}"/>
    <cellStyle name="20% - Accent5 4 5 5 5" xfId="17868" xr:uid="{00000000-0005-0000-0000-00006A240000}"/>
    <cellStyle name="20% - Accent5 4 5 6" xfId="17869" xr:uid="{00000000-0005-0000-0000-00006B240000}"/>
    <cellStyle name="20% - Accent5 4 5 6 2" xfId="17870" xr:uid="{00000000-0005-0000-0000-00006C240000}"/>
    <cellStyle name="20% - Accent5 4 5 6 3" xfId="17871" xr:uid="{00000000-0005-0000-0000-00006D240000}"/>
    <cellStyle name="20% - Accent5 4 5 7" xfId="17872" xr:uid="{00000000-0005-0000-0000-00006E240000}"/>
    <cellStyle name="20% - Accent5 4 5 7 2" xfId="17873" xr:uid="{00000000-0005-0000-0000-00006F240000}"/>
    <cellStyle name="20% - Accent5 4 5 7 3" xfId="17874" xr:uid="{00000000-0005-0000-0000-000070240000}"/>
    <cellStyle name="20% - Accent5 4 5 8" xfId="17875" xr:uid="{00000000-0005-0000-0000-000071240000}"/>
    <cellStyle name="20% - Accent5 4 5 8 2" xfId="17876" xr:uid="{00000000-0005-0000-0000-000072240000}"/>
    <cellStyle name="20% - Accent5 4 5 9" xfId="17877" xr:uid="{00000000-0005-0000-0000-000073240000}"/>
    <cellStyle name="20% - Accent5 4 6" xfId="1159" xr:uid="{00000000-0005-0000-0000-000074240000}"/>
    <cellStyle name="20% - Accent5 4 6 2" xfId="17878" xr:uid="{00000000-0005-0000-0000-000075240000}"/>
    <cellStyle name="20% - Accent5 4 6 2 2" xfId="17879" xr:uid="{00000000-0005-0000-0000-000076240000}"/>
    <cellStyle name="20% - Accent5 4 6 2 2 2" xfId="17880" xr:uid="{00000000-0005-0000-0000-000077240000}"/>
    <cellStyle name="20% - Accent5 4 6 2 2 3" xfId="17881" xr:uid="{00000000-0005-0000-0000-000078240000}"/>
    <cellStyle name="20% - Accent5 4 6 2 3" xfId="17882" xr:uid="{00000000-0005-0000-0000-000079240000}"/>
    <cellStyle name="20% - Accent5 4 6 2 3 2" xfId="17883" xr:uid="{00000000-0005-0000-0000-00007A240000}"/>
    <cellStyle name="20% - Accent5 4 6 2 3 3" xfId="17884" xr:uid="{00000000-0005-0000-0000-00007B240000}"/>
    <cellStyle name="20% - Accent5 4 6 2 4" xfId="17885" xr:uid="{00000000-0005-0000-0000-00007C240000}"/>
    <cellStyle name="20% - Accent5 4 6 2 4 2" xfId="17886" xr:uid="{00000000-0005-0000-0000-00007D240000}"/>
    <cellStyle name="20% - Accent5 4 6 2 5" xfId="17887" xr:uid="{00000000-0005-0000-0000-00007E240000}"/>
    <cellStyle name="20% - Accent5 4 6 2 6" xfId="17888" xr:uid="{00000000-0005-0000-0000-00007F240000}"/>
    <cellStyle name="20% - Accent5 4 6 3" xfId="17889" xr:uid="{00000000-0005-0000-0000-000080240000}"/>
    <cellStyle name="20% - Accent5 4 6 3 2" xfId="17890" xr:uid="{00000000-0005-0000-0000-000081240000}"/>
    <cellStyle name="20% - Accent5 4 6 3 2 2" xfId="17891" xr:uid="{00000000-0005-0000-0000-000082240000}"/>
    <cellStyle name="20% - Accent5 4 6 3 2 3" xfId="17892" xr:uid="{00000000-0005-0000-0000-000083240000}"/>
    <cellStyle name="20% - Accent5 4 6 3 3" xfId="17893" xr:uid="{00000000-0005-0000-0000-000084240000}"/>
    <cellStyle name="20% - Accent5 4 6 3 3 2" xfId="17894" xr:uid="{00000000-0005-0000-0000-000085240000}"/>
    <cellStyle name="20% - Accent5 4 6 3 3 3" xfId="17895" xr:uid="{00000000-0005-0000-0000-000086240000}"/>
    <cellStyle name="20% - Accent5 4 6 3 4" xfId="17896" xr:uid="{00000000-0005-0000-0000-000087240000}"/>
    <cellStyle name="20% - Accent5 4 6 3 4 2" xfId="17897" xr:uid="{00000000-0005-0000-0000-000088240000}"/>
    <cellStyle name="20% - Accent5 4 6 3 5" xfId="17898" xr:uid="{00000000-0005-0000-0000-000089240000}"/>
    <cellStyle name="20% - Accent5 4 6 3 6" xfId="17899" xr:uid="{00000000-0005-0000-0000-00008A240000}"/>
    <cellStyle name="20% - Accent5 4 6 4" xfId="17900" xr:uid="{00000000-0005-0000-0000-00008B240000}"/>
    <cellStyle name="20% - Accent5 4 6 4 2" xfId="17901" xr:uid="{00000000-0005-0000-0000-00008C240000}"/>
    <cellStyle name="20% - Accent5 4 6 4 2 2" xfId="17902" xr:uid="{00000000-0005-0000-0000-00008D240000}"/>
    <cellStyle name="20% - Accent5 4 6 4 2 3" xfId="17903" xr:uid="{00000000-0005-0000-0000-00008E240000}"/>
    <cellStyle name="20% - Accent5 4 6 4 3" xfId="17904" xr:uid="{00000000-0005-0000-0000-00008F240000}"/>
    <cellStyle name="20% - Accent5 4 6 4 3 2" xfId="17905" xr:uid="{00000000-0005-0000-0000-000090240000}"/>
    <cellStyle name="20% - Accent5 4 6 4 4" xfId="17906" xr:uid="{00000000-0005-0000-0000-000091240000}"/>
    <cellStyle name="20% - Accent5 4 6 4 5" xfId="17907" xr:uid="{00000000-0005-0000-0000-000092240000}"/>
    <cellStyle name="20% - Accent5 4 6 5" xfId="17908" xr:uid="{00000000-0005-0000-0000-000093240000}"/>
    <cellStyle name="20% - Accent5 4 6 5 2" xfId="17909" xr:uid="{00000000-0005-0000-0000-000094240000}"/>
    <cellStyle name="20% - Accent5 4 6 5 3" xfId="17910" xr:uid="{00000000-0005-0000-0000-000095240000}"/>
    <cellStyle name="20% - Accent5 4 6 6" xfId="17911" xr:uid="{00000000-0005-0000-0000-000096240000}"/>
    <cellStyle name="20% - Accent5 4 6 6 2" xfId="17912" xr:uid="{00000000-0005-0000-0000-000097240000}"/>
    <cellStyle name="20% - Accent5 4 6 6 3" xfId="17913" xr:uid="{00000000-0005-0000-0000-000098240000}"/>
    <cellStyle name="20% - Accent5 4 6 7" xfId="17914" xr:uid="{00000000-0005-0000-0000-000099240000}"/>
    <cellStyle name="20% - Accent5 4 6 7 2" xfId="17915" xr:uid="{00000000-0005-0000-0000-00009A240000}"/>
    <cellStyle name="20% - Accent5 4 6 8" xfId="17916" xr:uid="{00000000-0005-0000-0000-00009B240000}"/>
    <cellStyle name="20% - Accent5 4 6 9" xfId="17917" xr:uid="{00000000-0005-0000-0000-00009C240000}"/>
    <cellStyle name="20% - Accent5 4 7" xfId="8932" xr:uid="{00000000-0005-0000-0000-00009D240000}"/>
    <cellStyle name="20% - Accent5 4 7 2" xfId="17918" xr:uid="{00000000-0005-0000-0000-00009E240000}"/>
    <cellStyle name="20% - Accent5 4 7 2 2" xfId="17919" xr:uid="{00000000-0005-0000-0000-00009F240000}"/>
    <cellStyle name="20% - Accent5 4 7 2 2 2" xfId="17920" xr:uid="{00000000-0005-0000-0000-0000A0240000}"/>
    <cellStyle name="20% - Accent5 4 7 2 2 3" xfId="17921" xr:uid="{00000000-0005-0000-0000-0000A1240000}"/>
    <cellStyle name="20% - Accent5 4 7 2 3" xfId="17922" xr:uid="{00000000-0005-0000-0000-0000A2240000}"/>
    <cellStyle name="20% - Accent5 4 7 2 3 2" xfId="17923" xr:uid="{00000000-0005-0000-0000-0000A3240000}"/>
    <cellStyle name="20% - Accent5 4 7 2 3 3" xfId="17924" xr:uid="{00000000-0005-0000-0000-0000A4240000}"/>
    <cellStyle name="20% - Accent5 4 7 2 4" xfId="17925" xr:uid="{00000000-0005-0000-0000-0000A5240000}"/>
    <cellStyle name="20% - Accent5 4 7 2 4 2" xfId="17926" xr:uid="{00000000-0005-0000-0000-0000A6240000}"/>
    <cellStyle name="20% - Accent5 4 7 2 5" xfId="17927" xr:uid="{00000000-0005-0000-0000-0000A7240000}"/>
    <cellStyle name="20% - Accent5 4 7 2 6" xfId="17928" xr:uid="{00000000-0005-0000-0000-0000A8240000}"/>
    <cellStyle name="20% - Accent5 4 7 3" xfId="17929" xr:uid="{00000000-0005-0000-0000-0000A9240000}"/>
    <cellStyle name="20% - Accent5 4 7 3 2" xfId="17930" xr:uid="{00000000-0005-0000-0000-0000AA240000}"/>
    <cellStyle name="20% - Accent5 4 7 3 2 2" xfId="17931" xr:uid="{00000000-0005-0000-0000-0000AB240000}"/>
    <cellStyle name="20% - Accent5 4 7 3 2 3" xfId="17932" xr:uid="{00000000-0005-0000-0000-0000AC240000}"/>
    <cellStyle name="20% - Accent5 4 7 3 3" xfId="17933" xr:uid="{00000000-0005-0000-0000-0000AD240000}"/>
    <cellStyle name="20% - Accent5 4 7 3 3 2" xfId="17934" xr:uid="{00000000-0005-0000-0000-0000AE240000}"/>
    <cellStyle name="20% - Accent5 4 7 3 3 3" xfId="17935" xr:uid="{00000000-0005-0000-0000-0000AF240000}"/>
    <cellStyle name="20% - Accent5 4 7 3 4" xfId="17936" xr:uid="{00000000-0005-0000-0000-0000B0240000}"/>
    <cellStyle name="20% - Accent5 4 7 3 4 2" xfId="17937" xr:uid="{00000000-0005-0000-0000-0000B1240000}"/>
    <cellStyle name="20% - Accent5 4 7 3 5" xfId="17938" xr:uid="{00000000-0005-0000-0000-0000B2240000}"/>
    <cellStyle name="20% - Accent5 4 7 3 6" xfId="17939" xr:uid="{00000000-0005-0000-0000-0000B3240000}"/>
    <cellStyle name="20% - Accent5 4 7 4" xfId="17940" xr:uid="{00000000-0005-0000-0000-0000B4240000}"/>
    <cellStyle name="20% - Accent5 4 7 4 2" xfId="17941" xr:uid="{00000000-0005-0000-0000-0000B5240000}"/>
    <cellStyle name="20% - Accent5 4 7 4 2 2" xfId="17942" xr:uid="{00000000-0005-0000-0000-0000B6240000}"/>
    <cellStyle name="20% - Accent5 4 7 4 2 3" xfId="17943" xr:uid="{00000000-0005-0000-0000-0000B7240000}"/>
    <cellStyle name="20% - Accent5 4 7 4 3" xfId="17944" xr:uid="{00000000-0005-0000-0000-0000B8240000}"/>
    <cellStyle name="20% - Accent5 4 7 4 3 2" xfId="17945" xr:uid="{00000000-0005-0000-0000-0000B9240000}"/>
    <cellStyle name="20% - Accent5 4 7 4 4" xfId="17946" xr:uid="{00000000-0005-0000-0000-0000BA240000}"/>
    <cellStyle name="20% - Accent5 4 7 4 5" xfId="17947" xr:uid="{00000000-0005-0000-0000-0000BB240000}"/>
    <cellStyle name="20% - Accent5 4 7 5" xfId="17948" xr:uid="{00000000-0005-0000-0000-0000BC240000}"/>
    <cellStyle name="20% - Accent5 4 7 5 2" xfId="17949" xr:uid="{00000000-0005-0000-0000-0000BD240000}"/>
    <cellStyle name="20% - Accent5 4 7 5 3" xfId="17950" xr:uid="{00000000-0005-0000-0000-0000BE240000}"/>
    <cellStyle name="20% - Accent5 4 7 6" xfId="17951" xr:uid="{00000000-0005-0000-0000-0000BF240000}"/>
    <cellStyle name="20% - Accent5 4 7 6 2" xfId="17952" xr:uid="{00000000-0005-0000-0000-0000C0240000}"/>
    <cellStyle name="20% - Accent5 4 7 6 3" xfId="17953" xr:uid="{00000000-0005-0000-0000-0000C1240000}"/>
    <cellStyle name="20% - Accent5 4 7 7" xfId="17954" xr:uid="{00000000-0005-0000-0000-0000C2240000}"/>
    <cellStyle name="20% - Accent5 4 7 7 2" xfId="17955" xr:uid="{00000000-0005-0000-0000-0000C3240000}"/>
    <cellStyle name="20% - Accent5 4 7 8" xfId="17956" xr:uid="{00000000-0005-0000-0000-0000C4240000}"/>
    <cellStyle name="20% - Accent5 4 7 9" xfId="17957" xr:uid="{00000000-0005-0000-0000-0000C5240000}"/>
    <cellStyle name="20% - Accent5 4 8" xfId="17958" xr:uid="{00000000-0005-0000-0000-0000C6240000}"/>
    <cellStyle name="20% - Accent5 4 8 2" xfId="17959" xr:uid="{00000000-0005-0000-0000-0000C7240000}"/>
    <cellStyle name="20% - Accent5 4 8 2 2" xfId="17960" xr:uid="{00000000-0005-0000-0000-0000C8240000}"/>
    <cellStyle name="20% - Accent5 4 8 2 3" xfId="17961" xr:uid="{00000000-0005-0000-0000-0000C9240000}"/>
    <cellStyle name="20% - Accent5 4 8 3" xfId="17962" xr:uid="{00000000-0005-0000-0000-0000CA240000}"/>
    <cellStyle name="20% - Accent5 4 8 3 2" xfId="17963" xr:uid="{00000000-0005-0000-0000-0000CB240000}"/>
    <cellStyle name="20% - Accent5 4 8 3 3" xfId="17964" xr:uid="{00000000-0005-0000-0000-0000CC240000}"/>
    <cellStyle name="20% - Accent5 4 8 4" xfId="17965" xr:uid="{00000000-0005-0000-0000-0000CD240000}"/>
    <cellStyle name="20% - Accent5 4 8 4 2" xfId="17966" xr:uid="{00000000-0005-0000-0000-0000CE240000}"/>
    <cellStyle name="20% - Accent5 4 8 5" xfId="17967" xr:uid="{00000000-0005-0000-0000-0000CF240000}"/>
    <cellStyle name="20% - Accent5 4 8 6" xfId="17968" xr:uid="{00000000-0005-0000-0000-0000D0240000}"/>
    <cellStyle name="20% - Accent5 4 9" xfId="17969" xr:uid="{00000000-0005-0000-0000-0000D1240000}"/>
    <cellStyle name="20% - Accent5 4 9 2" xfId="17970" xr:uid="{00000000-0005-0000-0000-0000D2240000}"/>
    <cellStyle name="20% - Accent5 4 9 2 2" xfId="17971" xr:uid="{00000000-0005-0000-0000-0000D3240000}"/>
    <cellStyle name="20% - Accent5 4 9 2 3" xfId="17972" xr:uid="{00000000-0005-0000-0000-0000D4240000}"/>
    <cellStyle name="20% - Accent5 4 9 3" xfId="17973" xr:uid="{00000000-0005-0000-0000-0000D5240000}"/>
    <cellStyle name="20% - Accent5 4 9 3 2" xfId="17974" xr:uid="{00000000-0005-0000-0000-0000D6240000}"/>
    <cellStyle name="20% - Accent5 4 9 3 3" xfId="17975" xr:uid="{00000000-0005-0000-0000-0000D7240000}"/>
    <cellStyle name="20% - Accent5 4 9 4" xfId="17976" xr:uid="{00000000-0005-0000-0000-0000D8240000}"/>
    <cellStyle name="20% - Accent5 4 9 4 2" xfId="17977" xr:uid="{00000000-0005-0000-0000-0000D9240000}"/>
    <cellStyle name="20% - Accent5 4 9 5" xfId="17978" xr:uid="{00000000-0005-0000-0000-0000DA240000}"/>
    <cellStyle name="20% - Accent5 4 9 6" xfId="17979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7952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33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7953" xr:uid="{00000000-0005-0000-0000-0000F3240000}"/>
    <cellStyle name="20% - Accent5 6 2 5" xfId="57954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7955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7956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7957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7958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7959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7960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7961" xr:uid="{00000000-0005-0000-0000-00001C250000}"/>
    <cellStyle name="20% - Accent6 13" xfId="1214" xr:uid="{00000000-0005-0000-0000-00001D250000}"/>
    <cellStyle name="20% - Accent6 13 2" xfId="57962" xr:uid="{00000000-0005-0000-0000-00001E250000}"/>
    <cellStyle name="20% - Accent6 14" xfId="8934" xr:uid="{00000000-0005-0000-0000-00001F250000}"/>
    <cellStyle name="20% - Accent6 15" xfId="9393" xr:uid="{00000000-0005-0000-0000-000020250000}"/>
    <cellStyle name="20% - Accent6 16" xfId="9394" xr:uid="{00000000-0005-0000-0000-000021250000}"/>
    <cellStyle name="20% - Accent6 17" xfId="9395" xr:uid="{00000000-0005-0000-0000-000022250000}"/>
    <cellStyle name="20% - Accent6 17 2" xfId="57963" xr:uid="{00000000-0005-0000-0000-000023250000}"/>
    <cellStyle name="20% - Accent6 18" xfId="57964" xr:uid="{00000000-0005-0000-0000-000024250000}"/>
    <cellStyle name="20% - Accent6 19" xfId="57965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7966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7967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7968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7969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7970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7971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7972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7973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7974" xr:uid="{00000000-0005-0000-0000-00006F250000}"/>
    <cellStyle name="20% - Accent6 20" xfId="57975" xr:uid="{00000000-0005-0000-0000-000070250000}"/>
    <cellStyle name="20% - Accent6 21" xfId="57976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35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36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37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38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39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40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41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42" xr:uid="{00000000-0005-0000-0000-0000BA250000}"/>
    <cellStyle name="20% - Accent6 4" xfId="1345" xr:uid="{00000000-0005-0000-0000-0000BB250000}"/>
    <cellStyle name="20% - Accent6 4 10" xfId="17980" xr:uid="{00000000-0005-0000-0000-0000BC250000}"/>
    <cellStyle name="20% - Accent6 4 10 2" xfId="17981" xr:uid="{00000000-0005-0000-0000-0000BD250000}"/>
    <cellStyle name="20% - Accent6 4 10 2 2" xfId="17982" xr:uid="{00000000-0005-0000-0000-0000BE250000}"/>
    <cellStyle name="20% - Accent6 4 10 2 3" xfId="17983" xr:uid="{00000000-0005-0000-0000-0000BF250000}"/>
    <cellStyle name="20% - Accent6 4 10 3" xfId="17984" xr:uid="{00000000-0005-0000-0000-0000C0250000}"/>
    <cellStyle name="20% - Accent6 4 10 3 2" xfId="17985" xr:uid="{00000000-0005-0000-0000-0000C1250000}"/>
    <cellStyle name="20% - Accent6 4 10 4" xfId="17986" xr:uid="{00000000-0005-0000-0000-0000C2250000}"/>
    <cellStyle name="20% - Accent6 4 10 5" xfId="17987" xr:uid="{00000000-0005-0000-0000-0000C3250000}"/>
    <cellStyle name="20% - Accent6 4 11" xfId="17988" xr:uid="{00000000-0005-0000-0000-0000C4250000}"/>
    <cellStyle name="20% - Accent6 4 11 2" xfId="17989" xr:uid="{00000000-0005-0000-0000-0000C5250000}"/>
    <cellStyle name="20% - Accent6 4 11 3" xfId="17990" xr:uid="{00000000-0005-0000-0000-0000C6250000}"/>
    <cellStyle name="20% - Accent6 4 12" xfId="17991" xr:uid="{00000000-0005-0000-0000-0000C7250000}"/>
    <cellStyle name="20% - Accent6 4 12 2" xfId="17992" xr:uid="{00000000-0005-0000-0000-0000C8250000}"/>
    <cellStyle name="20% - Accent6 4 12 3" xfId="17993" xr:uid="{00000000-0005-0000-0000-0000C9250000}"/>
    <cellStyle name="20% - Accent6 4 13" xfId="17994" xr:uid="{00000000-0005-0000-0000-0000CA250000}"/>
    <cellStyle name="20% - Accent6 4 13 2" xfId="17995" xr:uid="{00000000-0005-0000-0000-0000CB250000}"/>
    <cellStyle name="20% - Accent6 4 14" xfId="17996" xr:uid="{00000000-0005-0000-0000-0000CC250000}"/>
    <cellStyle name="20% - Accent6 4 15" xfId="17997" xr:uid="{00000000-0005-0000-0000-0000CD250000}"/>
    <cellStyle name="20% - Accent6 4 16" xfId="17998" xr:uid="{00000000-0005-0000-0000-0000CE250000}"/>
    <cellStyle name="20% - Accent6 4 2" xfId="1346" xr:uid="{00000000-0005-0000-0000-0000CF250000}"/>
    <cellStyle name="20% - Accent6 4 2 10" xfId="17999" xr:uid="{00000000-0005-0000-0000-0000D0250000}"/>
    <cellStyle name="20% - Accent6 4 2 10 2" xfId="18000" xr:uid="{00000000-0005-0000-0000-0000D1250000}"/>
    <cellStyle name="20% - Accent6 4 2 10 3" xfId="18001" xr:uid="{00000000-0005-0000-0000-0000D2250000}"/>
    <cellStyle name="20% - Accent6 4 2 11" xfId="18002" xr:uid="{00000000-0005-0000-0000-0000D3250000}"/>
    <cellStyle name="20% - Accent6 4 2 11 2" xfId="18003" xr:uid="{00000000-0005-0000-0000-0000D4250000}"/>
    <cellStyle name="20% - Accent6 4 2 11 3" xfId="18004" xr:uid="{00000000-0005-0000-0000-0000D5250000}"/>
    <cellStyle name="20% - Accent6 4 2 12" xfId="18005" xr:uid="{00000000-0005-0000-0000-0000D6250000}"/>
    <cellStyle name="20% - Accent6 4 2 12 2" xfId="18006" xr:uid="{00000000-0005-0000-0000-0000D7250000}"/>
    <cellStyle name="20% - Accent6 4 2 13" xfId="18007" xr:uid="{00000000-0005-0000-0000-0000D8250000}"/>
    <cellStyle name="20% - Accent6 4 2 14" xfId="18008" xr:uid="{00000000-0005-0000-0000-0000D9250000}"/>
    <cellStyle name="20% - Accent6 4 2 15" xfId="18009" xr:uid="{00000000-0005-0000-0000-0000DA250000}"/>
    <cellStyle name="20% - Accent6 4 2 2" xfId="1347" xr:uid="{00000000-0005-0000-0000-0000DB250000}"/>
    <cellStyle name="20% - Accent6 4 2 2 10" xfId="18010" xr:uid="{00000000-0005-0000-0000-0000DC250000}"/>
    <cellStyle name="20% - Accent6 4 2 2 10 2" xfId="18011" xr:uid="{00000000-0005-0000-0000-0000DD250000}"/>
    <cellStyle name="20% - Accent6 4 2 2 10 3" xfId="18012" xr:uid="{00000000-0005-0000-0000-0000DE250000}"/>
    <cellStyle name="20% - Accent6 4 2 2 11" xfId="18013" xr:uid="{00000000-0005-0000-0000-0000DF250000}"/>
    <cellStyle name="20% - Accent6 4 2 2 11 2" xfId="18014" xr:uid="{00000000-0005-0000-0000-0000E0250000}"/>
    <cellStyle name="20% - Accent6 4 2 2 12" xfId="18015" xr:uid="{00000000-0005-0000-0000-0000E1250000}"/>
    <cellStyle name="20% - Accent6 4 2 2 13" xfId="18016" xr:uid="{00000000-0005-0000-0000-0000E2250000}"/>
    <cellStyle name="20% - Accent6 4 2 2 2" xfId="1348" xr:uid="{00000000-0005-0000-0000-0000E3250000}"/>
    <cellStyle name="20% - Accent6 4 2 2 2 10" xfId="18017" xr:uid="{00000000-0005-0000-0000-0000E4250000}"/>
    <cellStyle name="20% - Accent6 4 2 2 2 10 2" xfId="18018" xr:uid="{00000000-0005-0000-0000-0000E5250000}"/>
    <cellStyle name="20% - Accent6 4 2 2 2 11" xfId="18019" xr:uid="{00000000-0005-0000-0000-0000E6250000}"/>
    <cellStyle name="20% - Accent6 4 2 2 2 12" xfId="18020" xr:uid="{00000000-0005-0000-0000-0000E7250000}"/>
    <cellStyle name="20% - Accent6 4 2 2 2 2" xfId="1349" xr:uid="{00000000-0005-0000-0000-0000E8250000}"/>
    <cellStyle name="20% - Accent6 4 2 2 2 2 10" xfId="18021" xr:uid="{00000000-0005-0000-0000-0000E9250000}"/>
    <cellStyle name="20% - Accent6 4 2 2 2 2 2" xfId="1350" xr:uid="{00000000-0005-0000-0000-0000EA250000}"/>
    <cellStyle name="20% - Accent6 4 2 2 2 2 2 2" xfId="18022" xr:uid="{00000000-0005-0000-0000-0000EB250000}"/>
    <cellStyle name="20% - Accent6 4 2 2 2 2 2 2 2" xfId="18023" xr:uid="{00000000-0005-0000-0000-0000EC250000}"/>
    <cellStyle name="20% - Accent6 4 2 2 2 2 2 2 2 2" xfId="18024" xr:uid="{00000000-0005-0000-0000-0000ED250000}"/>
    <cellStyle name="20% - Accent6 4 2 2 2 2 2 2 2 3" xfId="18025" xr:uid="{00000000-0005-0000-0000-0000EE250000}"/>
    <cellStyle name="20% - Accent6 4 2 2 2 2 2 2 3" xfId="18026" xr:uid="{00000000-0005-0000-0000-0000EF250000}"/>
    <cellStyle name="20% - Accent6 4 2 2 2 2 2 2 3 2" xfId="18027" xr:uid="{00000000-0005-0000-0000-0000F0250000}"/>
    <cellStyle name="20% - Accent6 4 2 2 2 2 2 2 3 3" xfId="18028" xr:uid="{00000000-0005-0000-0000-0000F1250000}"/>
    <cellStyle name="20% - Accent6 4 2 2 2 2 2 2 4" xfId="18029" xr:uid="{00000000-0005-0000-0000-0000F2250000}"/>
    <cellStyle name="20% - Accent6 4 2 2 2 2 2 2 4 2" xfId="18030" xr:uid="{00000000-0005-0000-0000-0000F3250000}"/>
    <cellStyle name="20% - Accent6 4 2 2 2 2 2 2 5" xfId="18031" xr:uid="{00000000-0005-0000-0000-0000F4250000}"/>
    <cellStyle name="20% - Accent6 4 2 2 2 2 2 2 6" xfId="18032" xr:uid="{00000000-0005-0000-0000-0000F5250000}"/>
    <cellStyle name="20% - Accent6 4 2 2 2 2 2 3" xfId="18033" xr:uid="{00000000-0005-0000-0000-0000F6250000}"/>
    <cellStyle name="20% - Accent6 4 2 2 2 2 2 3 2" xfId="18034" xr:uid="{00000000-0005-0000-0000-0000F7250000}"/>
    <cellStyle name="20% - Accent6 4 2 2 2 2 2 3 2 2" xfId="18035" xr:uid="{00000000-0005-0000-0000-0000F8250000}"/>
    <cellStyle name="20% - Accent6 4 2 2 2 2 2 3 2 3" xfId="18036" xr:uid="{00000000-0005-0000-0000-0000F9250000}"/>
    <cellStyle name="20% - Accent6 4 2 2 2 2 2 3 3" xfId="18037" xr:uid="{00000000-0005-0000-0000-0000FA250000}"/>
    <cellStyle name="20% - Accent6 4 2 2 2 2 2 3 3 2" xfId="18038" xr:uid="{00000000-0005-0000-0000-0000FB250000}"/>
    <cellStyle name="20% - Accent6 4 2 2 2 2 2 3 3 3" xfId="18039" xr:uid="{00000000-0005-0000-0000-0000FC250000}"/>
    <cellStyle name="20% - Accent6 4 2 2 2 2 2 3 4" xfId="18040" xr:uid="{00000000-0005-0000-0000-0000FD250000}"/>
    <cellStyle name="20% - Accent6 4 2 2 2 2 2 3 4 2" xfId="18041" xr:uid="{00000000-0005-0000-0000-0000FE250000}"/>
    <cellStyle name="20% - Accent6 4 2 2 2 2 2 3 5" xfId="18042" xr:uid="{00000000-0005-0000-0000-0000FF250000}"/>
    <cellStyle name="20% - Accent6 4 2 2 2 2 2 3 6" xfId="18043" xr:uid="{00000000-0005-0000-0000-000000260000}"/>
    <cellStyle name="20% - Accent6 4 2 2 2 2 2 4" xfId="18044" xr:uid="{00000000-0005-0000-0000-000001260000}"/>
    <cellStyle name="20% - Accent6 4 2 2 2 2 2 4 2" xfId="18045" xr:uid="{00000000-0005-0000-0000-000002260000}"/>
    <cellStyle name="20% - Accent6 4 2 2 2 2 2 4 2 2" xfId="18046" xr:uid="{00000000-0005-0000-0000-000003260000}"/>
    <cellStyle name="20% - Accent6 4 2 2 2 2 2 4 2 3" xfId="18047" xr:uid="{00000000-0005-0000-0000-000004260000}"/>
    <cellStyle name="20% - Accent6 4 2 2 2 2 2 4 3" xfId="18048" xr:uid="{00000000-0005-0000-0000-000005260000}"/>
    <cellStyle name="20% - Accent6 4 2 2 2 2 2 4 3 2" xfId="18049" xr:uid="{00000000-0005-0000-0000-000006260000}"/>
    <cellStyle name="20% - Accent6 4 2 2 2 2 2 4 4" xfId="18050" xr:uid="{00000000-0005-0000-0000-000007260000}"/>
    <cellStyle name="20% - Accent6 4 2 2 2 2 2 4 5" xfId="18051" xr:uid="{00000000-0005-0000-0000-000008260000}"/>
    <cellStyle name="20% - Accent6 4 2 2 2 2 2 5" xfId="18052" xr:uid="{00000000-0005-0000-0000-000009260000}"/>
    <cellStyle name="20% - Accent6 4 2 2 2 2 2 5 2" xfId="18053" xr:uid="{00000000-0005-0000-0000-00000A260000}"/>
    <cellStyle name="20% - Accent6 4 2 2 2 2 2 5 3" xfId="18054" xr:uid="{00000000-0005-0000-0000-00000B260000}"/>
    <cellStyle name="20% - Accent6 4 2 2 2 2 2 6" xfId="18055" xr:uid="{00000000-0005-0000-0000-00000C260000}"/>
    <cellStyle name="20% - Accent6 4 2 2 2 2 2 6 2" xfId="18056" xr:uid="{00000000-0005-0000-0000-00000D260000}"/>
    <cellStyle name="20% - Accent6 4 2 2 2 2 2 6 3" xfId="18057" xr:uid="{00000000-0005-0000-0000-00000E260000}"/>
    <cellStyle name="20% - Accent6 4 2 2 2 2 2 7" xfId="18058" xr:uid="{00000000-0005-0000-0000-00000F260000}"/>
    <cellStyle name="20% - Accent6 4 2 2 2 2 2 7 2" xfId="18059" xr:uid="{00000000-0005-0000-0000-000010260000}"/>
    <cellStyle name="20% - Accent6 4 2 2 2 2 2 8" xfId="18060" xr:uid="{00000000-0005-0000-0000-000011260000}"/>
    <cellStyle name="20% - Accent6 4 2 2 2 2 2 9" xfId="18061" xr:uid="{00000000-0005-0000-0000-000012260000}"/>
    <cellStyle name="20% - Accent6 4 2 2 2 2 3" xfId="18062" xr:uid="{00000000-0005-0000-0000-000013260000}"/>
    <cellStyle name="20% - Accent6 4 2 2 2 2 3 2" xfId="18063" xr:uid="{00000000-0005-0000-0000-000014260000}"/>
    <cellStyle name="20% - Accent6 4 2 2 2 2 3 2 2" xfId="18064" xr:uid="{00000000-0005-0000-0000-000015260000}"/>
    <cellStyle name="20% - Accent6 4 2 2 2 2 3 2 3" xfId="18065" xr:uid="{00000000-0005-0000-0000-000016260000}"/>
    <cellStyle name="20% - Accent6 4 2 2 2 2 3 3" xfId="18066" xr:uid="{00000000-0005-0000-0000-000017260000}"/>
    <cellStyle name="20% - Accent6 4 2 2 2 2 3 3 2" xfId="18067" xr:uid="{00000000-0005-0000-0000-000018260000}"/>
    <cellStyle name="20% - Accent6 4 2 2 2 2 3 3 3" xfId="18068" xr:uid="{00000000-0005-0000-0000-000019260000}"/>
    <cellStyle name="20% - Accent6 4 2 2 2 2 3 4" xfId="18069" xr:uid="{00000000-0005-0000-0000-00001A260000}"/>
    <cellStyle name="20% - Accent6 4 2 2 2 2 3 4 2" xfId="18070" xr:uid="{00000000-0005-0000-0000-00001B260000}"/>
    <cellStyle name="20% - Accent6 4 2 2 2 2 3 5" xfId="18071" xr:uid="{00000000-0005-0000-0000-00001C260000}"/>
    <cellStyle name="20% - Accent6 4 2 2 2 2 3 6" xfId="18072" xr:uid="{00000000-0005-0000-0000-00001D260000}"/>
    <cellStyle name="20% - Accent6 4 2 2 2 2 4" xfId="18073" xr:uid="{00000000-0005-0000-0000-00001E260000}"/>
    <cellStyle name="20% - Accent6 4 2 2 2 2 4 2" xfId="18074" xr:uid="{00000000-0005-0000-0000-00001F260000}"/>
    <cellStyle name="20% - Accent6 4 2 2 2 2 4 2 2" xfId="18075" xr:uid="{00000000-0005-0000-0000-000020260000}"/>
    <cellStyle name="20% - Accent6 4 2 2 2 2 4 2 3" xfId="18076" xr:uid="{00000000-0005-0000-0000-000021260000}"/>
    <cellStyle name="20% - Accent6 4 2 2 2 2 4 3" xfId="18077" xr:uid="{00000000-0005-0000-0000-000022260000}"/>
    <cellStyle name="20% - Accent6 4 2 2 2 2 4 3 2" xfId="18078" xr:uid="{00000000-0005-0000-0000-000023260000}"/>
    <cellStyle name="20% - Accent6 4 2 2 2 2 4 3 3" xfId="18079" xr:uid="{00000000-0005-0000-0000-000024260000}"/>
    <cellStyle name="20% - Accent6 4 2 2 2 2 4 4" xfId="18080" xr:uid="{00000000-0005-0000-0000-000025260000}"/>
    <cellStyle name="20% - Accent6 4 2 2 2 2 4 4 2" xfId="18081" xr:uid="{00000000-0005-0000-0000-000026260000}"/>
    <cellStyle name="20% - Accent6 4 2 2 2 2 4 5" xfId="18082" xr:uid="{00000000-0005-0000-0000-000027260000}"/>
    <cellStyle name="20% - Accent6 4 2 2 2 2 4 6" xfId="18083" xr:uid="{00000000-0005-0000-0000-000028260000}"/>
    <cellStyle name="20% - Accent6 4 2 2 2 2 5" xfId="18084" xr:uid="{00000000-0005-0000-0000-000029260000}"/>
    <cellStyle name="20% - Accent6 4 2 2 2 2 5 2" xfId="18085" xr:uid="{00000000-0005-0000-0000-00002A260000}"/>
    <cellStyle name="20% - Accent6 4 2 2 2 2 5 2 2" xfId="18086" xr:uid="{00000000-0005-0000-0000-00002B260000}"/>
    <cellStyle name="20% - Accent6 4 2 2 2 2 5 2 3" xfId="18087" xr:uid="{00000000-0005-0000-0000-00002C260000}"/>
    <cellStyle name="20% - Accent6 4 2 2 2 2 5 3" xfId="18088" xr:uid="{00000000-0005-0000-0000-00002D260000}"/>
    <cellStyle name="20% - Accent6 4 2 2 2 2 5 3 2" xfId="18089" xr:uid="{00000000-0005-0000-0000-00002E260000}"/>
    <cellStyle name="20% - Accent6 4 2 2 2 2 5 4" xfId="18090" xr:uid="{00000000-0005-0000-0000-00002F260000}"/>
    <cellStyle name="20% - Accent6 4 2 2 2 2 5 5" xfId="18091" xr:uid="{00000000-0005-0000-0000-000030260000}"/>
    <cellStyle name="20% - Accent6 4 2 2 2 2 6" xfId="18092" xr:uid="{00000000-0005-0000-0000-000031260000}"/>
    <cellStyle name="20% - Accent6 4 2 2 2 2 6 2" xfId="18093" xr:uid="{00000000-0005-0000-0000-000032260000}"/>
    <cellStyle name="20% - Accent6 4 2 2 2 2 6 3" xfId="18094" xr:uid="{00000000-0005-0000-0000-000033260000}"/>
    <cellStyle name="20% - Accent6 4 2 2 2 2 7" xfId="18095" xr:uid="{00000000-0005-0000-0000-000034260000}"/>
    <cellStyle name="20% - Accent6 4 2 2 2 2 7 2" xfId="18096" xr:uid="{00000000-0005-0000-0000-000035260000}"/>
    <cellStyle name="20% - Accent6 4 2 2 2 2 7 3" xfId="18097" xr:uid="{00000000-0005-0000-0000-000036260000}"/>
    <cellStyle name="20% - Accent6 4 2 2 2 2 8" xfId="18098" xr:uid="{00000000-0005-0000-0000-000037260000}"/>
    <cellStyle name="20% - Accent6 4 2 2 2 2 8 2" xfId="18099" xr:uid="{00000000-0005-0000-0000-000038260000}"/>
    <cellStyle name="20% - Accent6 4 2 2 2 2 9" xfId="18100" xr:uid="{00000000-0005-0000-0000-000039260000}"/>
    <cellStyle name="20% - Accent6 4 2 2 2 3" xfId="1351" xr:uid="{00000000-0005-0000-0000-00003A260000}"/>
    <cellStyle name="20% - Accent6 4 2 2 2 3 2" xfId="18101" xr:uid="{00000000-0005-0000-0000-00003B260000}"/>
    <cellStyle name="20% - Accent6 4 2 2 2 3 2 2" xfId="18102" xr:uid="{00000000-0005-0000-0000-00003C260000}"/>
    <cellStyle name="20% - Accent6 4 2 2 2 3 2 2 2" xfId="18103" xr:uid="{00000000-0005-0000-0000-00003D260000}"/>
    <cellStyle name="20% - Accent6 4 2 2 2 3 2 2 3" xfId="18104" xr:uid="{00000000-0005-0000-0000-00003E260000}"/>
    <cellStyle name="20% - Accent6 4 2 2 2 3 2 3" xfId="18105" xr:uid="{00000000-0005-0000-0000-00003F260000}"/>
    <cellStyle name="20% - Accent6 4 2 2 2 3 2 3 2" xfId="18106" xr:uid="{00000000-0005-0000-0000-000040260000}"/>
    <cellStyle name="20% - Accent6 4 2 2 2 3 2 3 3" xfId="18107" xr:uid="{00000000-0005-0000-0000-000041260000}"/>
    <cellStyle name="20% - Accent6 4 2 2 2 3 2 4" xfId="18108" xr:uid="{00000000-0005-0000-0000-000042260000}"/>
    <cellStyle name="20% - Accent6 4 2 2 2 3 2 4 2" xfId="18109" xr:uid="{00000000-0005-0000-0000-000043260000}"/>
    <cellStyle name="20% - Accent6 4 2 2 2 3 2 5" xfId="18110" xr:uid="{00000000-0005-0000-0000-000044260000}"/>
    <cellStyle name="20% - Accent6 4 2 2 2 3 2 6" xfId="18111" xr:uid="{00000000-0005-0000-0000-000045260000}"/>
    <cellStyle name="20% - Accent6 4 2 2 2 3 3" xfId="18112" xr:uid="{00000000-0005-0000-0000-000046260000}"/>
    <cellStyle name="20% - Accent6 4 2 2 2 3 3 2" xfId="18113" xr:uid="{00000000-0005-0000-0000-000047260000}"/>
    <cellStyle name="20% - Accent6 4 2 2 2 3 3 2 2" xfId="18114" xr:uid="{00000000-0005-0000-0000-000048260000}"/>
    <cellStyle name="20% - Accent6 4 2 2 2 3 3 2 3" xfId="18115" xr:uid="{00000000-0005-0000-0000-000049260000}"/>
    <cellStyle name="20% - Accent6 4 2 2 2 3 3 3" xfId="18116" xr:uid="{00000000-0005-0000-0000-00004A260000}"/>
    <cellStyle name="20% - Accent6 4 2 2 2 3 3 3 2" xfId="18117" xr:uid="{00000000-0005-0000-0000-00004B260000}"/>
    <cellStyle name="20% - Accent6 4 2 2 2 3 3 3 3" xfId="18118" xr:uid="{00000000-0005-0000-0000-00004C260000}"/>
    <cellStyle name="20% - Accent6 4 2 2 2 3 3 4" xfId="18119" xr:uid="{00000000-0005-0000-0000-00004D260000}"/>
    <cellStyle name="20% - Accent6 4 2 2 2 3 3 4 2" xfId="18120" xr:uid="{00000000-0005-0000-0000-00004E260000}"/>
    <cellStyle name="20% - Accent6 4 2 2 2 3 3 5" xfId="18121" xr:uid="{00000000-0005-0000-0000-00004F260000}"/>
    <cellStyle name="20% - Accent6 4 2 2 2 3 3 6" xfId="18122" xr:uid="{00000000-0005-0000-0000-000050260000}"/>
    <cellStyle name="20% - Accent6 4 2 2 2 3 4" xfId="18123" xr:uid="{00000000-0005-0000-0000-000051260000}"/>
    <cellStyle name="20% - Accent6 4 2 2 2 3 4 2" xfId="18124" xr:uid="{00000000-0005-0000-0000-000052260000}"/>
    <cellStyle name="20% - Accent6 4 2 2 2 3 4 2 2" xfId="18125" xr:uid="{00000000-0005-0000-0000-000053260000}"/>
    <cellStyle name="20% - Accent6 4 2 2 2 3 4 2 3" xfId="18126" xr:uid="{00000000-0005-0000-0000-000054260000}"/>
    <cellStyle name="20% - Accent6 4 2 2 2 3 4 3" xfId="18127" xr:uid="{00000000-0005-0000-0000-000055260000}"/>
    <cellStyle name="20% - Accent6 4 2 2 2 3 4 3 2" xfId="18128" xr:uid="{00000000-0005-0000-0000-000056260000}"/>
    <cellStyle name="20% - Accent6 4 2 2 2 3 4 4" xfId="18129" xr:uid="{00000000-0005-0000-0000-000057260000}"/>
    <cellStyle name="20% - Accent6 4 2 2 2 3 4 5" xfId="18130" xr:uid="{00000000-0005-0000-0000-000058260000}"/>
    <cellStyle name="20% - Accent6 4 2 2 2 3 5" xfId="18131" xr:uid="{00000000-0005-0000-0000-000059260000}"/>
    <cellStyle name="20% - Accent6 4 2 2 2 3 5 2" xfId="18132" xr:uid="{00000000-0005-0000-0000-00005A260000}"/>
    <cellStyle name="20% - Accent6 4 2 2 2 3 5 3" xfId="18133" xr:uid="{00000000-0005-0000-0000-00005B260000}"/>
    <cellStyle name="20% - Accent6 4 2 2 2 3 6" xfId="18134" xr:uid="{00000000-0005-0000-0000-00005C260000}"/>
    <cellStyle name="20% - Accent6 4 2 2 2 3 6 2" xfId="18135" xr:uid="{00000000-0005-0000-0000-00005D260000}"/>
    <cellStyle name="20% - Accent6 4 2 2 2 3 6 3" xfId="18136" xr:uid="{00000000-0005-0000-0000-00005E260000}"/>
    <cellStyle name="20% - Accent6 4 2 2 2 3 7" xfId="18137" xr:uid="{00000000-0005-0000-0000-00005F260000}"/>
    <cellStyle name="20% - Accent6 4 2 2 2 3 7 2" xfId="18138" xr:uid="{00000000-0005-0000-0000-000060260000}"/>
    <cellStyle name="20% - Accent6 4 2 2 2 3 8" xfId="18139" xr:uid="{00000000-0005-0000-0000-000061260000}"/>
    <cellStyle name="20% - Accent6 4 2 2 2 3 9" xfId="18140" xr:uid="{00000000-0005-0000-0000-000062260000}"/>
    <cellStyle name="20% - Accent6 4 2 2 2 4" xfId="18141" xr:uid="{00000000-0005-0000-0000-000063260000}"/>
    <cellStyle name="20% - Accent6 4 2 2 2 4 2" xfId="18142" xr:uid="{00000000-0005-0000-0000-000064260000}"/>
    <cellStyle name="20% - Accent6 4 2 2 2 4 2 2" xfId="18143" xr:uid="{00000000-0005-0000-0000-000065260000}"/>
    <cellStyle name="20% - Accent6 4 2 2 2 4 2 2 2" xfId="18144" xr:uid="{00000000-0005-0000-0000-000066260000}"/>
    <cellStyle name="20% - Accent6 4 2 2 2 4 2 2 3" xfId="18145" xr:uid="{00000000-0005-0000-0000-000067260000}"/>
    <cellStyle name="20% - Accent6 4 2 2 2 4 2 3" xfId="18146" xr:uid="{00000000-0005-0000-0000-000068260000}"/>
    <cellStyle name="20% - Accent6 4 2 2 2 4 2 3 2" xfId="18147" xr:uid="{00000000-0005-0000-0000-000069260000}"/>
    <cellStyle name="20% - Accent6 4 2 2 2 4 2 3 3" xfId="18148" xr:uid="{00000000-0005-0000-0000-00006A260000}"/>
    <cellStyle name="20% - Accent6 4 2 2 2 4 2 4" xfId="18149" xr:uid="{00000000-0005-0000-0000-00006B260000}"/>
    <cellStyle name="20% - Accent6 4 2 2 2 4 2 4 2" xfId="18150" xr:uid="{00000000-0005-0000-0000-00006C260000}"/>
    <cellStyle name="20% - Accent6 4 2 2 2 4 2 5" xfId="18151" xr:uid="{00000000-0005-0000-0000-00006D260000}"/>
    <cellStyle name="20% - Accent6 4 2 2 2 4 2 6" xfId="18152" xr:uid="{00000000-0005-0000-0000-00006E260000}"/>
    <cellStyle name="20% - Accent6 4 2 2 2 4 3" xfId="18153" xr:uid="{00000000-0005-0000-0000-00006F260000}"/>
    <cellStyle name="20% - Accent6 4 2 2 2 4 3 2" xfId="18154" xr:uid="{00000000-0005-0000-0000-000070260000}"/>
    <cellStyle name="20% - Accent6 4 2 2 2 4 3 2 2" xfId="18155" xr:uid="{00000000-0005-0000-0000-000071260000}"/>
    <cellStyle name="20% - Accent6 4 2 2 2 4 3 2 3" xfId="18156" xr:uid="{00000000-0005-0000-0000-000072260000}"/>
    <cellStyle name="20% - Accent6 4 2 2 2 4 3 3" xfId="18157" xr:uid="{00000000-0005-0000-0000-000073260000}"/>
    <cellStyle name="20% - Accent6 4 2 2 2 4 3 3 2" xfId="18158" xr:uid="{00000000-0005-0000-0000-000074260000}"/>
    <cellStyle name="20% - Accent6 4 2 2 2 4 3 3 3" xfId="18159" xr:uid="{00000000-0005-0000-0000-000075260000}"/>
    <cellStyle name="20% - Accent6 4 2 2 2 4 3 4" xfId="18160" xr:uid="{00000000-0005-0000-0000-000076260000}"/>
    <cellStyle name="20% - Accent6 4 2 2 2 4 3 4 2" xfId="18161" xr:uid="{00000000-0005-0000-0000-000077260000}"/>
    <cellStyle name="20% - Accent6 4 2 2 2 4 3 5" xfId="18162" xr:uid="{00000000-0005-0000-0000-000078260000}"/>
    <cellStyle name="20% - Accent6 4 2 2 2 4 3 6" xfId="18163" xr:uid="{00000000-0005-0000-0000-000079260000}"/>
    <cellStyle name="20% - Accent6 4 2 2 2 4 4" xfId="18164" xr:uid="{00000000-0005-0000-0000-00007A260000}"/>
    <cellStyle name="20% - Accent6 4 2 2 2 4 4 2" xfId="18165" xr:uid="{00000000-0005-0000-0000-00007B260000}"/>
    <cellStyle name="20% - Accent6 4 2 2 2 4 4 2 2" xfId="18166" xr:uid="{00000000-0005-0000-0000-00007C260000}"/>
    <cellStyle name="20% - Accent6 4 2 2 2 4 4 2 3" xfId="18167" xr:uid="{00000000-0005-0000-0000-00007D260000}"/>
    <cellStyle name="20% - Accent6 4 2 2 2 4 4 3" xfId="18168" xr:uid="{00000000-0005-0000-0000-00007E260000}"/>
    <cellStyle name="20% - Accent6 4 2 2 2 4 4 3 2" xfId="18169" xr:uid="{00000000-0005-0000-0000-00007F260000}"/>
    <cellStyle name="20% - Accent6 4 2 2 2 4 4 4" xfId="18170" xr:uid="{00000000-0005-0000-0000-000080260000}"/>
    <cellStyle name="20% - Accent6 4 2 2 2 4 4 5" xfId="18171" xr:uid="{00000000-0005-0000-0000-000081260000}"/>
    <cellStyle name="20% - Accent6 4 2 2 2 4 5" xfId="18172" xr:uid="{00000000-0005-0000-0000-000082260000}"/>
    <cellStyle name="20% - Accent6 4 2 2 2 4 5 2" xfId="18173" xr:uid="{00000000-0005-0000-0000-000083260000}"/>
    <cellStyle name="20% - Accent6 4 2 2 2 4 5 3" xfId="18174" xr:uid="{00000000-0005-0000-0000-000084260000}"/>
    <cellStyle name="20% - Accent6 4 2 2 2 4 6" xfId="18175" xr:uid="{00000000-0005-0000-0000-000085260000}"/>
    <cellStyle name="20% - Accent6 4 2 2 2 4 6 2" xfId="18176" xr:uid="{00000000-0005-0000-0000-000086260000}"/>
    <cellStyle name="20% - Accent6 4 2 2 2 4 6 3" xfId="18177" xr:uid="{00000000-0005-0000-0000-000087260000}"/>
    <cellStyle name="20% - Accent6 4 2 2 2 4 7" xfId="18178" xr:uid="{00000000-0005-0000-0000-000088260000}"/>
    <cellStyle name="20% - Accent6 4 2 2 2 4 7 2" xfId="18179" xr:uid="{00000000-0005-0000-0000-000089260000}"/>
    <cellStyle name="20% - Accent6 4 2 2 2 4 8" xfId="18180" xr:uid="{00000000-0005-0000-0000-00008A260000}"/>
    <cellStyle name="20% - Accent6 4 2 2 2 4 9" xfId="18181" xr:uid="{00000000-0005-0000-0000-00008B260000}"/>
    <cellStyle name="20% - Accent6 4 2 2 2 5" xfId="18182" xr:uid="{00000000-0005-0000-0000-00008C260000}"/>
    <cellStyle name="20% - Accent6 4 2 2 2 5 2" xfId="18183" xr:uid="{00000000-0005-0000-0000-00008D260000}"/>
    <cellStyle name="20% - Accent6 4 2 2 2 5 2 2" xfId="18184" xr:uid="{00000000-0005-0000-0000-00008E260000}"/>
    <cellStyle name="20% - Accent6 4 2 2 2 5 2 3" xfId="18185" xr:uid="{00000000-0005-0000-0000-00008F260000}"/>
    <cellStyle name="20% - Accent6 4 2 2 2 5 3" xfId="18186" xr:uid="{00000000-0005-0000-0000-000090260000}"/>
    <cellStyle name="20% - Accent6 4 2 2 2 5 3 2" xfId="18187" xr:uid="{00000000-0005-0000-0000-000091260000}"/>
    <cellStyle name="20% - Accent6 4 2 2 2 5 3 3" xfId="18188" xr:uid="{00000000-0005-0000-0000-000092260000}"/>
    <cellStyle name="20% - Accent6 4 2 2 2 5 4" xfId="18189" xr:uid="{00000000-0005-0000-0000-000093260000}"/>
    <cellStyle name="20% - Accent6 4 2 2 2 5 4 2" xfId="18190" xr:uid="{00000000-0005-0000-0000-000094260000}"/>
    <cellStyle name="20% - Accent6 4 2 2 2 5 5" xfId="18191" xr:uid="{00000000-0005-0000-0000-000095260000}"/>
    <cellStyle name="20% - Accent6 4 2 2 2 5 6" xfId="18192" xr:uid="{00000000-0005-0000-0000-000096260000}"/>
    <cellStyle name="20% - Accent6 4 2 2 2 6" xfId="18193" xr:uid="{00000000-0005-0000-0000-000097260000}"/>
    <cellStyle name="20% - Accent6 4 2 2 2 6 2" xfId="18194" xr:uid="{00000000-0005-0000-0000-000098260000}"/>
    <cellStyle name="20% - Accent6 4 2 2 2 6 2 2" xfId="18195" xr:uid="{00000000-0005-0000-0000-000099260000}"/>
    <cellStyle name="20% - Accent6 4 2 2 2 6 2 3" xfId="18196" xr:uid="{00000000-0005-0000-0000-00009A260000}"/>
    <cellStyle name="20% - Accent6 4 2 2 2 6 3" xfId="18197" xr:uid="{00000000-0005-0000-0000-00009B260000}"/>
    <cellStyle name="20% - Accent6 4 2 2 2 6 3 2" xfId="18198" xr:uid="{00000000-0005-0000-0000-00009C260000}"/>
    <cellStyle name="20% - Accent6 4 2 2 2 6 3 3" xfId="18199" xr:uid="{00000000-0005-0000-0000-00009D260000}"/>
    <cellStyle name="20% - Accent6 4 2 2 2 6 4" xfId="18200" xr:uid="{00000000-0005-0000-0000-00009E260000}"/>
    <cellStyle name="20% - Accent6 4 2 2 2 6 4 2" xfId="18201" xr:uid="{00000000-0005-0000-0000-00009F260000}"/>
    <cellStyle name="20% - Accent6 4 2 2 2 6 5" xfId="18202" xr:uid="{00000000-0005-0000-0000-0000A0260000}"/>
    <cellStyle name="20% - Accent6 4 2 2 2 6 6" xfId="18203" xr:uid="{00000000-0005-0000-0000-0000A1260000}"/>
    <cellStyle name="20% - Accent6 4 2 2 2 7" xfId="18204" xr:uid="{00000000-0005-0000-0000-0000A2260000}"/>
    <cellStyle name="20% - Accent6 4 2 2 2 7 2" xfId="18205" xr:uid="{00000000-0005-0000-0000-0000A3260000}"/>
    <cellStyle name="20% - Accent6 4 2 2 2 7 2 2" xfId="18206" xr:uid="{00000000-0005-0000-0000-0000A4260000}"/>
    <cellStyle name="20% - Accent6 4 2 2 2 7 2 3" xfId="18207" xr:uid="{00000000-0005-0000-0000-0000A5260000}"/>
    <cellStyle name="20% - Accent6 4 2 2 2 7 3" xfId="18208" xr:uid="{00000000-0005-0000-0000-0000A6260000}"/>
    <cellStyle name="20% - Accent6 4 2 2 2 7 3 2" xfId="18209" xr:uid="{00000000-0005-0000-0000-0000A7260000}"/>
    <cellStyle name="20% - Accent6 4 2 2 2 7 4" xfId="18210" xr:uid="{00000000-0005-0000-0000-0000A8260000}"/>
    <cellStyle name="20% - Accent6 4 2 2 2 7 5" xfId="18211" xr:uid="{00000000-0005-0000-0000-0000A9260000}"/>
    <cellStyle name="20% - Accent6 4 2 2 2 8" xfId="18212" xr:uid="{00000000-0005-0000-0000-0000AA260000}"/>
    <cellStyle name="20% - Accent6 4 2 2 2 8 2" xfId="18213" xr:uid="{00000000-0005-0000-0000-0000AB260000}"/>
    <cellStyle name="20% - Accent6 4 2 2 2 8 3" xfId="18214" xr:uid="{00000000-0005-0000-0000-0000AC260000}"/>
    <cellStyle name="20% - Accent6 4 2 2 2 9" xfId="18215" xr:uid="{00000000-0005-0000-0000-0000AD260000}"/>
    <cellStyle name="20% - Accent6 4 2 2 2 9 2" xfId="18216" xr:uid="{00000000-0005-0000-0000-0000AE260000}"/>
    <cellStyle name="20% - Accent6 4 2 2 2 9 3" xfId="18217" xr:uid="{00000000-0005-0000-0000-0000AF260000}"/>
    <cellStyle name="20% - Accent6 4 2 2 3" xfId="1352" xr:uid="{00000000-0005-0000-0000-0000B0260000}"/>
    <cellStyle name="20% - Accent6 4 2 2 3 10" xfId="18218" xr:uid="{00000000-0005-0000-0000-0000B1260000}"/>
    <cellStyle name="20% - Accent6 4 2 2 3 2" xfId="1353" xr:uid="{00000000-0005-0000-0000-0000B2260000}"/>
    <cellStyle name="20% - Accent6 4 2 2 3 2 2" xfId="18219" xr:uid="{00000000-0005-0000-0000-0000B3260000}"/>
    <cellStyle name="20% - Accent6 4 2 2 3 2 2 2" xfId="18220" xr:uid="{00000000-0005-0000-0000-0000B4260000}"/>
    <cellStyle name="20% - Accent6 4 2 2 3 2 2 2 2" xfId="18221" xr:uid="{00000000-0005-0000-0000-0000B5260000}"/>
    <cellStyle name="20% - Accent6 4 2 2 3 2 2 2 3" xfId="18222" xr:uid="{00000000-0005-0000-0000-0000B6260000}"/>
    <cellStyle name="20% - Accent6 4 2 2 3 2 2 3" xfId="18223" xr:uid="{00000000-0005-0000-0000-0000B7260000}"/>
    <cellStyle name="20% - Accent6 4 2 2 3 2 2 3 2" xfId="18224" xr:uid="{00000000-0005-0000-0000-0000B8260000}"/>
    <cellStyle name="20% - Accent6 4 2 2 3 2 2 3 3" xfId="18225" xr:uid="{00000000-0005-0000-0000-0000B9260000}"/>
    <cellStyle name="20% - Accent6 4 2 2 3 2 2 4" xfId="18226" xr:uid="{00000000-0005-0000-0000-0000BA260000}"/>
    <cellStyle name="20% - Accent6 4 2 2 3 2 2 4 2" xfId="18227" xr:uid="{00000000-0005-0000-0000-0000BB260000}"/>
    <cellStyle name="20% - Accent6 4 2 2 3 2 2 5" xfId="18228" xr:uid="{00000000-0005-0000-0000-0000BC260000}"/>
    <cellStyle name="20% - Accent6 4 2 2 3 2 2 6" xfId="18229" xr:uid="{00000000-0005-0000-0000-0000BD260000}"/>
    <cellStyle name="20% - Accent6 4 2 2 3 2 3" xfId="18230" xr:uid="{00000000-0005-0000-0000-0000BE260000}"/>
    <cellStyle name="20% - Accent6 4 2 2 3 2 3 2" xfId="18231" xr:uid="{00000000-0005-0000-0000-0000BF260000}"/>
    <cellStyle name="20% - Accent6 4 2 2 3 2 3 2 2" xfId="18232" xr:uid="{00000000-0005-0000-0000-0000C0260000}"/>
    <cellStyle name="20% - Accent6 4 2 2 3 2 3 2 3" xfId="18233" xr:uid="{00000000-0005-0000-0000-0000C1260000}"/>
    <cellStyle name="20% - Accent6 4 2 2 3 2 3 3" xfId="18234" xr:uid="{00000000-0005-0000-0000-0000C2260000}"/>
    <cellStyle name="20% - Accent6 4 2 2 3 2 3 3 2" xfId="18235" xr:uid="{00000000-0005-0000-0000-0000C3260000}"/>
    <cellStyle name="20% - Accent6 4 2 2 3 2 3 3 3" xfId="18236" xr:uid="{00000000-0005-0000-0000-0000C4260000}"/>
    <cellStyle name="20% - Accent6 4 2 2 3 2 3 4" xfId="18237" xr:uid="{00000000-0005-0000-0000-0000C5260000}"/>
    <cellStyle name="20% - Accent6 4 2 2 3 2 3 4 2" xfId="18238" xr:uid="{00000000-0005-0000-0000-0000C6260000}"/>
    <cellStyle name="20% - Accent6 4 2 2 3 2 3 5" xfId="18239" xr:uid="{00000000-0005-0000-0000-0000C7260000}"/>
    <cellStyle name="20% - Accent6 4 2 2 3 2 3 6" xfId="18240" xr:uid="{00000000-0005-0000-0000-0000C8260000}"/>
    <cellStyle name="20% - Accent6 4 2 2 3 2 4" xfId="18241" xr:uid="{00000000-0005-0000-0000-0000C9260000}"/>
    <cellStyle name="20% - Accent6 4 2 2 3 2 4 2" xfId="18242" xr:uid="{00000000-0005-0000-0000-0000CA260000}"/>
    <cellStyle name="20% - Accent6 4 2 2 3 2 4 2 2" xfId="18243" xr:uid="{00000000-0005-0000-0000-0000CB260000}"/>
    <cellStyle name="20% - Accent6 4 2 2 3 2 4 2 3" xfId="18244" xr:uid="{00000000-0005-0000-0000-0000CC260000}"/>
    <cellStyle name="20% - Accent6 4 2 2 3 2 4 3" xfId="18245" xr:uid="{00000000-0005-0000-0000-0000CD260000}"/>
    <cellStyle name="20% - Accent6 4 2 2 3 2 4 3 2" xfId="18246" xr:uid="{00000000-0005-0000-0000-0000CE260000}"/>
    <cellStyle name="20% - Accent6 4 2 2 3 2 4 4" xfId="18247" xr:uid="{00000000-0005-0000-0000-0000CF260000}"/>
    <cellStyle name="20% - Accent6 4 2 2 3 2 4 5" xfId="18248" xr:uid="{00000000-0005-0000-0000-0000D0260000}"/>
    <cellStyle name="20% - Accent6 4 2 2 3 2 5" xfId="18249" xr:uid="{00000000-0005-0000-0000-0000D1260000}"/>
    <cellStyle name="20% - Accent6 4 2 2 3 2 5 2" xfId="18250" xr:uid="{00000000-0005-0000-0000-0000D2260000}"/>
    <cellStyle name="20% - Accent6 4 2 2 3 2 5 3" xfId="18251" xr:uid="{00000000-0005-0000-0000-0000D3260000}"/>
    <cellStyle name="20% - Accent6 4 2 2 3 2 6" xfId="18252" xr:uid="{00000000-0005-0000-0000-0000D4260000}"/>
    <cellStyle name="20% - Accent6 4 2 2 3 2 6 2" xfId="18253" xr:uid="{00000000-0005-0000-0000-0000D5260000}"/>
    <cellStyle name="20% - Accent6 4 2 2 3 2 6 3" xfId="18254" xr:uid="{00000000-0005-0000-0000-0000D6260000}"/>
    <cellStyle name="20% - Accent6 4 2 2 3 2 7" xfId="18255" xr:uid="{00000000-0005-0000-0000-0000D7260000}"/>
    <cellStyle name="20% - Accent6 4 2 2 3 2 7 2" xfId="18256" xr:uid="{00000000-0005-0000-0000-0000D8260000}"/>
    <cellStyle name="20% - Accent6 4 2 2 3 2 8" xfId="18257" xr:uid="{00000000-0005-0000-0000-0000D9260000}"/>
    <cellStyle name="20% - Accent6 4 2 2 3 2 9" xfId="18258" xr:uid="{00000000-0005-0000-0000-0000DA260000}"/>
    <cellStyle name="20% - Accent6 4 2 2 3 3" xfId="18259" xr:uid="{00000000-0005-0000-0000-0000DB260000}"/>
    <cellStyle name="20% - Accent6 4 2 2 3 3 2" xfId="18260" xr:uid="{00000000-0005-0000-0000-0000DC260000}"/>
    <cellStyle name="20% - Accent6 4 2 2 3 3 2 2" xfId="18261" xr:uid="{00000000-0005-0000-0000-0000DD260000}"/>
    <cellStyle name="20% - Accent6 4 2 2 3 3 2 3" xfId="18262" xr:uid="{00000000-0005-0000-0000-0000DE260000}"/>
    <cellStyle name="20% - Accent6 4 2 2 3 3 3" xfId="18263" xr:uid="{00000000-0005-0000-0000-0000DF260000}"/>
    <cellStyle name="20% - Accent6 4 2 2 3 3 3 2" xfId="18264" xr:uid="{00000000-0005-0000-0000-0000E0260000}"/>
    <cellStyle name="20% - Accent6 4 2 2 3 3 3 3" xfId="18265" xr:uid="{00000000-0005-0000-0000-0000E1260000}"/>
    <cellStyle name="20% - Accent6 4 2 2 3 3 4" xfId="18266" xr:uid="{00000000-0005-0000-0000-0000E2260000}"/>
    <cellStyle name="20% - Accent6 4 2 2 3 3 4 2" xfId="18267" xr:uid="{00000000-0005-0000-0000-0000E3260000}"/>
    <cellStyle name="20% - Accent6 4 2 2 3 3 5" xfId="18268" xr:uid="{00000000-0005-0000-0000-0000E4260000}"/>
    <cellStyle name="20% - Accent6 4 2 2 3 3 6" xfId="18269" xr:uid="{00000000-0005-0000-0000-0000E5260000}"/>
    <cellStyle name="20% - Accent6 4 2 2 3 4" xfId="18270" xr:uid="{00000000-0005-0000-0000-0000E6260000}"/>
    <cellStyle name="20% - Accent6 4 2 2 3 4 2" xfId="18271" xr:uid="{00000000-0005-0000-0000-0000E7260000}"/>
    <cellStyle name="20% - Accent6 4 2 2 3 4 2 2" xfId="18272" xr:uid="{00000000-0005-0000-0000-0000E8260000}"/>
    <cellStyle name="20% - Accent6 4 2 2 3 4 2 3" xfId="18273" xr:uid="{00000000-0005-0000-0000-0000E9260000}"/>
    <cellStyle name="20% - Accent6 4 2 2 3 4 3" xfId="18274" xr:uid="{00000000-0005-0000-0000-0000EA260000}"/>
    <cellStyle name="20% - Accent6 4 2 2 3 4 3 2" xfId="18275" xr:uid="{00000000-0005-0000-0000-0000EB260000}"/>
    <cellStyle name="20% - Accent6 4 2 2 3 4 3 3" xfId="18276" xr:uid="{00000000-0005-0000-0000-0000EC260000}"/>
    <cellStyle name="20% - Accent6 4 2 2 3 4 4" xfId="18277" xr:uid="{00000000-0005-0000-0000-0000ED260000}"/>
    <cellStyle name="20% - Accent6 4 2 2 3 4 4 2" xfId="18278" xr:uid="{00000000-0005-0000-0000-0000EE260000}"/>
    <cellStyle name="20% - Accent6 4 2 2 3 4 5" xfId="18279" xr:uid="{00000000-0005-0000-0000-0000EF260000}"/>
    <cellStyle name="20% - Accent6 4 2 2 3 4 6" xfId="18280" xr:uid="{00000000-0005-0000-0000-0000F0260000}"/>
    <cellStyle name="20% - Accent6 4 2 2 3 5" xfId="18281" xr:uid="{00000000-0005-0000-0000-0000F1260000}"/>
    <cellStyle name="20% - Accent6 4 2 2 3 5 2" xfId="18282" xr:uid="{00000000-0005-0000-0000-0000F2260000}"/>
    <cellStyle name="20% - Accent6 4 2 2 3 5 2 2" xfId="18283" xr:uid="{00000000-0005-0000-0000-0000F3260000}"/>
    <cellStyle name="20% - Accent6 4 2 2 3 5 2 3" xfId="18284" xr:uid="{00000000-0005-0000-0000-0000F4260000}"/>
    <cellStyle name="20% - Accent6 4 2 2 3 5 3" xfId="18285" xr:uid="{00000000-0005-0000-0000-0000F5260000}"/>
    <cellStyle name="20% - Accent6 4 2 2 3 5 3 2" xfId="18286" xr:uid="{00000000-0005-0000-0000-0000F6260000}"/>
    <cellStyle name="20% - Accent6 4 2 2 3 5 4" xfId="18287" xr:uid="{00000000-0005-0000-0000-0000F7260000}"/>
    <cellStyle name="20% - Accent6 4 2 2 3 5 5" xfId="18288" xr:uid="{00000000-0005-0000-0000-0000F8260000}"/>
    <cellStyle name="20% - Accent6 4 2 2 3 6" xfId="18289" xr:uid="{00000000-0005-0000-0000-0000F9260000}"/>
    <cellStyle name="20% - Accent6 4 2 2 3 6 2" xfId="18290" xr:uid="{00000000-0005-0000-0000-0000FA260000}"/>
    <cellStyle name="20% - Accent6 4 2 2 3 6 3" xfId="18291" xr:uid="{00000000-0005-0000-0000-0000FB260000}"/>
    <cellStyle name="20% - Accent6 4 2 2 3 7" xfId="18292" xr:uid="{00000000-0005-0000-0000-0000FC260000}"/>
    <cellStyle name="20% - Accent6 4 2 2 3 7 2" xfId="18293" xr:uid="{00000000-0005-0000-0000-0000FD260000}"/>
    <cellStyle name="20% - Accent6 4 2 2 3 7 3" xfId="18294" xr:uid="{00000000-0005-0000-0000-0000FE260000}"/>
    <cellStyle name="20% - Accent6 4 2 2 3 8" xfId="18295" xr:uid="{00000000-0005-0000-0000-0000FF260000}"/>
    <cellStyle name="20% - Accent6 4 2 2 3 8 2" xfId="18296" xr:uid="{00000000-0005-0000-0000-000000270000}"/>
    <cellStyle name="20% - Accent6 4 2 2 3 9" xfId="18297" xr:uid="{00000000-0005-0000-0000-000001270000}"/>
    <cellStyle name="20% - Accent6 4 2 2 4" xfId="1354" xr:uid="{00000000-0005-0000-0000-000002270000}"/>
    <cellStyle name="20% - Accent6 4 2 2 4 2" xfId="18298" xr:uid="{00000000-0005-0000-0000-000003270000}"/>
    <cellStyle name="20% - Accent6 4 2 2 4 2 2" xfId="18299" xr:uid="{00000000-0005-0000-0000-000004270000}"/>
    <cellStyle name="20% - Accent6 4 2 2 4 2 2 2" xfId="18300" xr:uid="{00000000-0005-0000-0000-000005270000}"/>
    <cellStyle name="20% - Accent6 4 2 2 4 2 2 3" xfId="18301" xr:uid="{00000000-0005-0000-0000-000006270000}"/>
    <cellStyle name="20% - Accent6 4 2 2 4 2 3" xfId="18302" xr:uid="{00000000-0005-0000-0000-000007270000}"/>
    <cellStyle name="20% - Accent6 4 2 2 4 2 3 2" xfId="18303" xr:uid="{00000000-0005-0000-0000-000008270000}"/>
    <cellStyle name="20% - Accent6 4 2 2 4 2 3 3" xfId="18304" xr:uid="{00000000-0005-0000-0000-000009270000}"/>
    <cellStyle name="20% - Accent6 4 2 2 4 2 4" xfId="18305" xr:uid="{00000000-0005-0000-0000-00000A270000}"/>
    <cellStyle name="20% - Accent6 4 2 2 4 2 4 2" xfId="18306" xr:uid="{00000000-0005-0000-0000-00000B270000}"/>
    <cellStyle name="20% - Accent6 4 2 2 4 2 5" xfId="18307" xr:uid="{00000000-0005-0000-0000-00000C270000}"/>
    <cellStyle name="20% - Accent6 4 2 2 4 2 6" xfId="18308" xr:uid="{00000000-0005-0000-0000-00000D270000}"/>
    <cellStyle name="20% - Accent6 4 2 2 4 3" xfId="18309" xr:uid="{00000000-0005-0000-0000-00000E270000}"/>
    <cellStyle name="20% - Accent6 4 2 2 4 3 2" xfId="18310" xr:uid="{00000000-0005-0000-0000-00000F270000}"/>
    <cellStyle name="20% - Accent6 4 2 2 4 3 2 2" xfId="18311" xr:uid="{00000000-0005-0000-0000-000010270000}"/>
    <cellStyle name="20% - Accent6 4 2 2 4 3 2 3" xfId="18312" xr:uid="{00000000-0005-0000-0000-000011270000}"/>
    <cellStyle name="20% - Accent6 4 2 2 4 3 3" xfId="18313" xr:uid="{00000000-0005-0000-0000-000012270000}"/>
    <cellStyle name="20% - Accent6 4 2 2 4 3 3 2" xfId="18314" xr:uid="{00000000-0005-0000-0000-000013270000}"/>
    <cellStyle name="20% - Accent6 4 2 2 4 3 3 3" xfId="18315" xr:uid="{00000000-0005-0000-0000-000014270000}"/>
    <cellStyle name="20% - Accent6 4 2 2 4 3 4" xfId="18316" xr:uid="{00000000-0005-0000-0000-000015270000}"/>
    <cellStyle name="20% - Accent6 4 2 2 4 3 4 2" xfId="18317" xr:uid="{00000000-0005-0000-0000-000016270000}"/>
    <cellStyle name="20% - Accent6 4 2 2 4 3 5" xfId="18318" xr:uid="{00000000-0005-0000-0000-000017270000}"/>
    <cellStyle name="20% - Accent6 4 2 2 4 3 6" xfId="18319" xr:uid="{00000000-0005-0000-0000-000018270000}"/>
    <cellStyle name="20% - Accent6 4 2 2 4 4" xfId="18320" xr:uid="{00000000-0005-0000-0000-000019270000}"/>
    <cellStyle name="20% - Accent6 4 2 2 4 4 2" xfId="18321" xr:uid="{00000000-0005-0000-0000-00001A270000}"/>
    <cellStyle name="20% - Accent6 4 2 2 4 4 2 2" xfId="18322" xr:uid="{00000000-0005-0000-0000-00001B270000}"/>
    <cellStyle name="20% - Accent6 4 2 2 4 4 2 3" xfId="18323" xr:uid="{00000000-0005-0000-0000-00001C270000}"/>
    <cellStyle name="20% - Accent6 4 2 2 4 4 3" xfId="18324" xr:uid="{00000000-0005-0000-0000-00001D270000}"/>
    <cellStyle name="20% - Accent6 4 2 2 4 4 3 2" xfId="18325" xr:uid="{00000000-0005-0000-0000-00001E270000}"/>
    <cellStyle name="20% - Accent6 4 2 2 4 4 4" xfId="18326" xr:uid="{00000000-0005-0000-0000-00001F270000}"/>
    <cellStyle name="20% - Accent6 4 2 2 4 4 5" xfId="18327" xr:uid="{00000000-0005-0000-0000-000020270000}"/>
    <cellStyle name="20% - Accent6 4 2 2 4 5" xfId="18328" xr:uid="{00000000-0005-0000-0000-000021270000}"/>
    <cellStyle name="20% - Accent6 4 2 2 4 5 2" xfId="18329" xr:uid="{00000000-0005-0000-0000-000022270000}"/>
    <cellStyle name="20% - Accent6 4 2 2 4 5 3" xfId="18330" xr:uid="{00000000-0005-0000-0000-000023270000}"/>
    <cellStyle name="20% - Accent6 4 2 2 4 6" xfId="18331" xr:uid="{00000000-0005-0000-0000-000024270000}"/>
    <cellStyle name="20% - Accent6 4 2 2 4 6 2" xfId="18332" xr:uid="{00000000-0005-0000-0000-000025270000}"/>
    <cellStyle name="20% - Accent6 4 2 2 4 6 3" xfId="18333" xr:uid="{00000000-0005-0000-0000-000026270000}"/>
    <cellStyle name="20% - Accent6 4 2 2 4 7" xfId="18334" xr:uid="{00000000-0005-0000-0000-000027270000}"/>
    <cellStyle name="20% - Accent6 4 2 2 4 7 2" xfId="18335" xr:uid="{00000000-0005-0000-0000-000028270000}"/>
    <cellStyle name="20% - Accent6 4 2 2 4 8" xfId="18336" xr:uid="{00000000-0005-0000-0000-000029270000}"/>
    <cellStyle name="20% - Accent6 4 2 2 4 9" xfId="18337" xr:uid="{00000000-0005-0000-0000-00002A270000}"/>
    <cellStyle name="20% - Accent6 4 2 2 5" xfId="18338" xr:uid="{00000000-0005-0000-0000-00002B270000}"/>
    <cellStyle name="20% - Accent6 4 2 2 5 2" xfId="18339" xr:uid="{00000000-0005-0000-0000-00002C270000}"/>
    <cellStyle name="20% - Accent6 4 2 2 5 2 2" xfId="18340" xr:uid="{00000000-0005-0000-0000-00002D270000}"/>
    <cellStyle name="20% - Accent6 4 2 2 5 2 2 2" xfId="18341" xr:uid="{00000000-0005-0000-0000-00002E270000}"/>
    <cellStyle name="20% - Accent6 4 2 2 5 2 2 3" xfId="18342" xr:uid="{00000000-0005-0000-0000-00002F270000}"/>
    <cellStyle name="20% - Accent6 4 2 2 5 2 3" xfId="18343" xr:uid="{00000000-0005-0000-0000-000030270000}"/>
    <cellStyle name="20% - Accent6 4 2 2 5 2 3 2" xfId="18344" xr:uid="{00000000-0005-0000-0000-000031270000}"/>
    <cellStyle name="20% - Accent6 4 2 2 5 2 3 3" xfId="18345" xr:uid="{00000000-0005-0000-0000-000032270000}"/>
    <cellStyle name="20% - Accent6 4 2 2 5 2 4" xfId="18346" xr:uid="{00000000-0005-0000-0000-000033270000}"/>
    <cellStyle name="20% - Accent6 4 2 2 5 2 4 2" xfId="18347" xr:uid="{00000000-0005-0000-0000-000034270000}"/>
    <cellStyle name="20% - Accent6 4 2 2 5 2 5" xfId="18348" xr:uid="{00000000-0005-0000-0000-000035270000}"/>
    <cellStyle name="20% - Accent6 4 2 2 5 2 6" xfId="18349" xr:uid="{00000000-0005-0000-0000-000036270000}"/>
    <cellStyle name="20% - Accent6 4 2 2 5 3" xfId="18350" xr:uid="{00000000-0005-0000-0000-000037270000}"/>
    <cellStyle name="20% - Accent6 4 2 2 5 3 2" xfId="18351" xr:uid="{00000000-0005-0000-0000-000038270000}"/>
    <cellStyle name="20% - Accent6 4 2 2 5 3 2 2" xfId="18352" xr:uid="{00000000-0005-0000-0000-000039270000}"/>
    <cellStyle name="20% - Accent6 4 2 2 5 3 2 3" xfId="18353" xr:uid="{00000000-0005-0000-0000-00003A270000}"/>
    <cellStyle name="20% - Accent6 4 2 2 5 3 3" xfId="18354" xr:uid="{00000000-0005-0000-0000-00003B270000}"/>
    <cellStyle name="20% - Accent6 4 2 2 5 3 3 2" xfId="18355" xr:uid="{00000000-0005-0000-0000-00003C270000}"/>
    <cellStyle name="20% - Accent6 4 2 2 5 3 3 3" xfId="18356" xr:uid="{00000000-0005-0000-0000-00003D270000}"/>
    <cellStyle name="20% - Accent6 4 2 2 5 3 4" xfId="18357" xr:uid="{00000000-0005-0000-0000-00003E270000}"/>
    <cellStyle name="20% - Accent6 4 2 2 5 3 4 2" xfId="18358" xr:uid="{00000000-0005-0000-0000-00003F270000}"/>
    <cellStyle name="20% - Accent6 4 2 2 5 3 5" xfId="18359" xr:uid="{00000000-0005-0000-0000-000040270000}"/>
    <cellStyle name="20% - Accent6 4 2 2 5 3 6" xfId="18360" xr:uid="{00000000-0005-0000-0000-000041270000}"/>
    <cellStyle name="20% - Accent6 4 2 2 5 4" xfId="18361" xr:uid="{00000000-0005-0000-0000-000042270000}"/>
    <cellStyle name="20% - Accent6 4 2 2 5 4 2" xfId="18362" xr:uid="{00000000-0005-0000-0000-000043270000}"/>
    <cellStyle name="20% - Accent6 4 2 2 5 4 2 2" xfId="18363" xr:uid="{00000000-0005-0000-0000-000044270000}"/>
    <cellStyle name="20% - Accent6 4 2 2 5 4 2 3" xfId="18364" xr:uid="{00000000-0005-0000-0000-000045270000}"/>
    <cellStyle name="20% - Accent6 4 2 2 5 4 3" xfId="18365" xr:uid="{00000000-0005-0000-0000-000046270000}"/>
    <cellStyle name="20% - Accent6 4 2 2 5 4 3 2" xfId="18366" xr:uid="{00000000-0005-0000-0000-000047270000}"/>
    <cellStyle name="20% - Accent6 4 2 2 5 4 4" xfId="18367" xr:uid="{00000000-0005-0000-0000-000048270000}"/>
    <cellStyle name="20% - Accent6 4 2 2 5 4 5" xfId="18368" xr:uid="{00000000-0005-0000-0000-000049270000}"/>
    <cellStyle name="20% - Accent6 4 2 2 5 5" xfId="18369" xr:uid="{00000000-0005-0000-0000-00004A270000}"/>
    <cellStyle name="20% - Accent6 4 2 2 5 5 2" xfId="18370" xr:uid="{00000000-0005-0000-0000-00004B270000}"/>
    <cellStyle name="20% - Accent6 4 2 2 5 5 3" xfId="18371" xr:uid="{00000000-0005-0000-0000-00004C270000}"/>
    <cellStyle name="20% - Accent6 4 2 2 5 6" xfId="18372" xr:uid="{00000000-0005-0000-0000-00004D270000}"/>
    <cellStyle name="20% - Accent6 4 2 2 5 6 2" xfId="18373" xr:uid="{00000000-0005-0000-0000-00004E270000}"/>
    <cellStyle name="20% - Accent6 4 2 2 5 6 3" xfId="18374" xr:uid="{00000000-0005-0000-0000-00004F270000}"/>
    <cellStyle name="20% - Accent6 4 2 2 5 7" xfId="18375" xr:uid="{00000000-0005-0000-0000-000050270000}"/>
    <cellStyle name="20% - Accent6 4 2 2 5 7 2" xfId="18376" xr:uid="{00000000-0005-0000-0000-000051270000}"/>
    <cellStyle name="20% - Accent6 4 2 2 5 8" xfId="18377" xr:uid="{00000000-0005-0000-0000-000052270000}"/>
    <cellStyle name="20% - Accent6 4 2 2 5 9" xfId="18378" xr:uid="{00000000-0005-0000-0000-000053270000}"/>
    <cellStyle name="20% - Accent6 4 2 2 6" xfId="18379" xr:uid="{00000000-0005-0000-0000-000054270000}"/>
    <cellStyle name="20% - Accent6 4 2 2 6 2" xfId="18380" xr:uid="{00000000-0005-0000-0000-000055270000}"/>
    <cellStyle name="20% - Accent6 4 2 2 6 2 2" xfId="18381" xr:uid="{00000000-0005-0000-0000-000056270000}"/>
    <cellStyle name="20% - Accent6 4 2 2 6 2 3" xfId="18382" xr:uid="{00000000-0005-0000-0000-000057270000}"/>
    <cellStyle name="20% - Accent6 4 2 2 6 3" xfId="18383" xr:uid="{00000000-0005-0000-0000-000058270000}"/>
    <cellStyle name="20% - Accent6 4 2 2 6 3 2" xfId="18384" xr:uid="{00000000-0005-0000-0000-000059270000}"/>
    <cellStyle name="20% - Accent6 4 2 2 6 3 3" xfId="18385" xr:uid="{00000000-0005-0000-0000-00005A270000}"/>
    <cellStyle name="20% - Accent6 4 2 2 6 4" xfId="18386" xr:uid="{00000000-0005-0000-0000-00005B270000}"/>
    <cellStyle name="20% - Accent6 4 2 2 6 4 2" xfId="18387" xr:uid="{00000000-0005-0000-0000-00005C270000}"/>
    <cellStyle name="20% - Accent6 4 2 2 6 5" xfId="18388" xr:uid="{00000000-0005-0000-0000-00005D270000}"/>
    <cellStyle name="20% - Accent6 4 2 2 6 6" xfId="18389" xr:uid="{00000000-0005-0000-0000-00005E270000}"/>
    <cellStyle name="20% - Accent6 4 2 2 7" xfId="18390" xr:uid="{00000000-0005-0000-0000-00005F270000}"/>
    <cellStyle name="20% - Accent6 4 2 2 7 2" xfId="18391" xr:uid="{00000000-0005-0000-0000-000060270000}"/>
    <cellStyle name="20% - Accent6 4 2 2 7 2 2" xfId="18392" xr:uid="{00000000-0005-0000-0000-000061270000}"/>
    <cellStyle name="20% - Accent6 4 2 2 7 2 3" xfId="18393" xr:uid="{00000000-0005-0000-0000-000062270000}"/>
    <cellStyle name="20% - Accent6 4 2 2 7 3" xfId="18394" xr:uid="{00000000-0005-0000-0000-000063270000}"/>
    <cellStyle name="20% - Accent6 4 2 2 7 3 2" xfId="18395" xr:uid="{00000000-0005-0000-0000-000064270000}"/>
    <cellStyle name="20% - Accent6 4 2 2 7 3 3" xfId="18396" xr:uid="{00000000-0005-0000-0000-000065270000}"/>
    <cellStyle name="20% - Accent6 4 2 2 7 4" xfId="18397" xr:uid="{00000000-0005-0000-0000-000066270000}"/>
    <cellStyle name="20% - Accent6 4 2 2 7 4 2" xfId="18398" xr:uid="{00000000-0005-0000-0000-000067270000}"/>
    <cellStyle name="20% - Accent6 4 2 2 7 5" xfId="18399" xr:uid="{00000000-0005-0000-0000-000068270000}"/>
    <cellStyle name="20% - Accent6 4 2 2 7 6" xfId="18400" xr:uid="{00000000-0005-0000-0000-000069270000}"/>
    <cellStyle name="20% - Accent6 4 2 2 8" xfId="18401" xr:uid="{00000000-0005-0000-0000-00006A270000}"/>
    <cellStyle name="20% - Accent6 4 2 2 8 2" xfId="18402" xr:uid="{00000000-0005-0000-0000-00006B270000}"/>
    <cellStyle name="20% - Accent6 4 2 2 8 2 2" xfId="18403" xr:uid="{00000000-0005-0000-0000-00006C270000}"/>
    <cellStyle name="20% - Accent6 4 2 2 8 2 3" xfId="18404" xr:uid="{00000000-0005-0000-0000-00006D270000}"/>
    <cellStyle name="20% - Accent6 4 2 2 8 3" xfId="18405" xr:uid="{00000000-0005-0000-0000-00006E270000}"/>
    <cellStyle name="20% - Accent6 4 2 2 8 3 2" xfId="18406" xr:uid="{00000000-0005-0000-0000-00006F270000}"/>
    <cellStyle name="20% - Accent6 4 2 2 8 4" xfId="18407" xr:uid="{00000000-0005-0000-0000-000070270000}"/>
    <cellStyle name="20% - Accent6 4 2 2 8 5" xfId="18408" xr:uid="{00000000-0005-0000-0000-000071270000}"/>
    <cellStyle name="20% - Accent6 4 2 2 9" xfId="18409" xr:uid="{00000000-0005-0000-0000-000072270000}"/>
    <cellStyle name="20% - Accent6 4 2 2 9 2" xfId="18410" xr:uid="{00000000-0005-0000-0000-000073270000}"/>
    <cellStyle name="20% - Accent6 4 2 2 9 3" xfId="18411" xr:uid="{00000000-0005-0000-0000-000074270000}"/>
    <cellStyle name="20% - Accent6 4 2 3" xfId="1355" xr:uid="{00000000-0005-0000-0000-000075270000}"/>
    <cellStyle name="20% - Accent6 4 2 3 10" xfId="18412" xr:uid="{00000000-0005-0000-0000-000076270000}"/>
    <cellStyle name="20% - Accent6 4 2 3 10 2" xfId="18413" xr:uid="{00000000-0005-0000-0000-000077270000}"/>
    <cellStyle name="20% - Accent6 4 2 3 11" xfId="18414" xr:uid="{00000000-0005-0000-0000-000078270000}"/>
    <cellStyle name="20% - Accent6 4 2 3 12" xfId="18415" xr:uid="{00000000-0005-0000-0000-000079270000}"/>
    <cellStyle name="20% - Accent6 4 2 3 2" xfId="1356" xr:uid="{00000000-0005-0000-0000-00007A270000}"/>
    <cellStyle name="20% - Accent6 4 2 3 2 10" xfId="18416" xr:uid="{00000000-0005-0000-0000-00007B270000}"/>
    <cellStyle name="20% - Accent6 4 2 3 2 2" xfId="1357" xr:uid="{00000000-0005-0000-0000-00007C270000}"/>
    <cellStyle name="20% - Accent6 4 2 3 2 2 2" xfId="18417" xr:uid="{00000000-0005-0000-0000-00007D270000}"/>
    <cellStyle name="20% - Accent6 4 2 3 2 2 2 2" xfId="18418" xr:uid="{00000000-0005-0000-0000-00007E270000}"/>
    <cellStyle name="20% - Accent6 4 2 3 2 2 2 2 2" xfId="18419" xr:uid="{00000000-0005-0000-0000-00007F270000}"/>
    <cellStyle name="20% - Accent6 4 2 3 2 2 2 2 3" xfId="18420" xr:uid="{00000000-0005-0000-0000-000080270000}"/>
    <cellStyle name="20% - Accent6 4 2 3 2 2 2 3" xfId="18421" xr:uid="{00000000-0005-0000-0000-000081270000}"/>
    <cellStyle name="20% - Accent6 4 2 3 2 2 2 3 2" xfId="18422" xr:uid="{00000000-0005-0000-0000-000082270000}"/>
    <cellStyle name="20% - Accent6 4 2 3 2 2 2 3 3" xfId="18423" xr:uid="{00000000-0005-0000-0000-000083270000}"/>
    <cellStyle name="20% - Accent6 4 2 3 2 2 2 4" xfId="18424" xr:uid="{00000000-0005-0000-0000-000084270000}"/>
    <cellStyle name="20% - Accent6 4 2 3 2 2 2 4 2" xfId="18425" xr:uid="{00000000-0005-0000-0000-000085270000}"/>
    <cellStyle name="20% - Accent6 4 2 3 2 2 2 5" xfId="18426" xr:uid="{00000000-0005-0000-0000-000086270000}"/>
    <cellStyle name="20% - Accent6 4 2 3 2 2 2 6" xfId="18427" xr:uid="{00000000-0005-0000-0000-000087270000}"/>
    <cellStyle name="20% - Accent6 4 2 3 2 2 3" xfId="18428" xr:uid="{00000000-0005-0000-0000-000088270000}"/>
    <cellStyle name="20% - Accent6 4 2 3 2 2 3 2" xfId="18429" xr:uid="{00000000-0005-0000-0000-000089270000}"/>
    <cellStyle name="20% - Accent6 4 2 3 2 2 3 2 2" xfId="18430" xr:uid="{00000000-0005-0000-0000-00008A270000}"/>
    <cellStyle name="20% - Accent6 4 2 3 2 2 3 2 3" xfId="18431" xr:uid="{00000000-0005-0000-0000-00008B270000}"/>
    <cellStyle name="20% - Accent6 4 2 3 2 2 3 3" xfId="18432" xr:uid="{00000000-0005-0000-0000-00008C270000}"/>
    <cellStyle name="20% - Accent6 4 2 3 2 2 3 3 2" xfId="18433" xr:uid="{00000000-0005-0000-0000-00008D270000}"/>
    <cellStyle name="20% - Accent6 4 2 3 2 2 3 3 3" xfId="18434" xr:uid="{00000000-0005-0000-0000-00008E270000}"/>
    <cellStyle name="20% - Accent6 4 2 3 2 2 3 4" xfId="18435" xr:uid="{00000000-0005-0000-0000-00008F270000}"/>
    <cellStyle name="20% - Accent6 4 2 3 2 2 3 4 2" xfId="18436" xr:uid="{00000000-0005-0000-0000-000090270000}"/>
    <cellStyle name="20% - Accent6 4 2 3 2 2 3 5" xfId="18437" xr:uid="{00000000-0005-0000-0000-000091270000}"/>
    <cellStyle name="20% - Accent6 4 2 3 2 2 3 6" xfId="18438" xr:uid="{00000000-0005-0000-0000-000092270000}"/>
    <cellStyle name="20% - Accent6 4 2 3 2 2 4" xfId="18439" xr:uid="{00000000-0005-0000-0000-000093270000}"/>
    <cellStyle name="20% - Accent6 4 2 3 2 2 4 2" xfId="18440" xr:uid="{00000000-0005-0000-0000-000094270000}"/>
    <cellStyle name="20% - Accent6 4 2 3 2 2 4 2 2" xfId="18441" xr:uid="{00000000-0005-0000-0000-000095270000}"/>
    <cellStyle name="20% - Accent6 4 2 3 2 2 4 2 3" xfId="18442" xr:uid="{00000000-0005-0000-0000-000096270000}"/>
    <cellStyle name="20% - Accent6 4 2 3 2 2 4 3" xfId="18443" xr:uid="{00000000-0005-0000-0000-000097270000}"/>
    <cellStyle name="20% - Accent6 4 2 3 2 2 4 3 2" xfId="18444" xr:uid="{00000000-0005-0000-0000-000098270000}"/>
    <cellStyle name="20% - Accent6 4 2 3 2 2 4 4" xfId="18445" xr:uid="{00000000-0005-0000-0000-000099270000}"/>
    <cellStyle name="20% - Accent6 4 2 3 2 2 4 5" xfId="18446" xr:uid="{00000000-0005-0000-0000-00009A270000}"/>
    <cellStyle name="20% - Accent6 4 2 3 2 2 5" xfId="18447" xr:uid="{00000000-0005-0000-0000-00009B270000}"/>
    <cellStyle name="20% - Accent6 4 2 3 2 2 5 2" xfId="18448" xr:uid="{00000000-0005-0000-0000-00009C270000}"/>
    <cellStyle name="20% - Accent6 4 2 3 2 2 5 3" xfId="18449" xr:uid="{00000000-0005-0000-0000-00009D270000}"/>
    <cellStyle name="20% - Accent6 4 2 3 2 2 6" xfId="18450" xr:uid="{00000000-0005-0000-0000-00009E270000}"/>
    <cellStyle name="20% - Accent6 4 2 3 2 2 6 2" xfId="18451" xr:uid="{00000000-0005-0000-0000-00009F270000}"/>
    <cellStyle name="20% - Accent6 4 2 3 2 2 6 3" xfId="18452" xr:uid="{00000000-0005-0000-0000-0000A0270000}"/>
    <cellStyle name="20% - Accent6 4 2 3 2 2 7" xfId="18453" xr:uid="{00000000-0005-0000-0000-0000A1270000}"/>
    <cellStyle name="20% - Accent6 4 2 3 2 2 7 2" xfId="18454" xr:uid="{00000000-0005-0000-0000-0000A2270000}"/>
    <cellStyle name="20% - Accent6 4 2 3 2 2 8" xfId="18455" xr:uid="{00000000-0005-0000-0000-0000A3270000}"/>
    <cellStyle name="20% - Accent6 4 2 3 2 2 9" xfId="18456" xr:uid="{00000000-0005-0000-0000-0000A4270000}"/>
    <cellStyle name="20% - Accent6 4 2 3 2 3" xfId="18457" xr:uid="{00000000-0005-0000-0000-0000A5270000}"/>
    <cellStyle name="20% - Accent6 4 2 3 2 3 2" xfId="18458" xr:uid="{00000000-0005-0000-0000-0000A6270000}"/>
    <cellStyle name="20% - Accent6 4 2 3 2 3 2 2" xfId="18459" xr:uid="{00000000-0005-0000-0000-0000A7270000}"/>
    <cellStyle name="20% - Accent6 4 2 3 2 3 2 3" xfId="18460" xr:uid="{00000000-0005-0000-0000-0000A8270000}"/>
    <cellStyle name="20% - Accent6 4 2 3 2 3 3" xfId="18461" xr:uid="{00000000-0005-0000-0000-0000A9270000}"/>
    <cellStyle name="20% - Accent6 4 2 3 2 3 3 2" xfId="18462" xr:uid="{00000000-0005-0000-0000-0000AA270000}"/>
    <cellStyle name="20% - Accent6 4 2 3 2 3 3 3" xfId="18463" xr:uid="{00000000-0005-0000-0000-0000AB270000}"/>
    <cellStyle name="20% - Accent6 4 2 3 2 3 4" xfId="18464" xr:uid="{00000000-0005-0000-0000-0000AC270000}"/>
    <cellStyle name="20% - Accent6 4 2 3 2 3 4 2" xfId="18465" xr:uid="{00000000-0005-0000-0000-0000AD270000}"/>
    <cellStyle name="20% - Accent6 4 2 3 2 3 5" xfId="18466" xr:uid="{00000000-0005-0000-0000-0000AE270000}"/>
    <cellStyle name="20% - Accent6 4 2 3 2 3 6" xfId="18467" xr:uid="{00000000-0005-0000-0000-0000AF270000}"/>
    <cellStyle name="20% - Accent6 4 2 3 2 4" xfId="18468" xr:uid="{00000000-0005-0000-0000-0000B0270000}"/>
    <cellStyle name="20% - Accent6 4 2 3 2 4 2" xfId="18469" xr:uid="{00000000-0005-0000-0000-0000B1270000}"/>
    <cellStyle name="20% - Accent6 4 2 3 2 4 2 2" xfId="18470" xr:uid="{00000000-0005-0000-0000-0000B2270000}"/>
    <cellStyle name="20% - Accent6 4 2 3 2 4 2 3" xfId="18471" xr:uid="{00000000-0005-0000-0000-0000B3270000}"/>
    <cellStyle name="20% - Accent6 4 2 3 2 4 3" xfId="18472" xr:uid="{00000000-0005-0000-0000-0000B4270000}"/>
    <cellStyle name="20% - Accent6 4 2 3 2 4 3 2" xfId="18473" xr:uid="{00000000-0005-0000-0000-0000B5270000}"/>
    <cellStyle name="20% - Accent6 4 2 3 2 4 3 3" xfId="18474" xr:uid="{00000000-0005-0000-0000-0000B6270000}"/>
    <cellStyle name="20% - Accent6 4 2 3 2 4 4" xfId="18475" xr:uid="{00000000-0005-0000-0000-0000B7270000}"/>
    <cellStyle name="20% - Accent6 4 2 3 2 4 4 2" xfId="18476" xr:uid="{00000000-0005-0000-0000-0000B8270000}"/>
    <cellStyle name="20% - Accent6 4 2 3 2 4 5" xfId="18477" xr:uid="{00000000-0005-0000-0000-0000B9270000}"/>
    <cellStyle name="20% - Accent6 4 2 3 2 4 6" xfId="18478" xr:uid="{00000000-0005-0000-0000-0000BA270000}"/>
    <cellStyle name="20% - Accent6 4 2 3 2 5" xfId="18479" xr:uid="{00000000-0005-0000-0000-0000BB270000}"/>
    <cellStyle name="20% - Accent6 4 2 3 2 5 2" xfId="18480" xr:uid="{00000000-0005-0000-0000-0000BC270000}"/>
    <cellStyle name="20% - Accent6 4 2 3 2 5 2 2" xfId="18481" xr:uid="{00000000-0005-0000-0000-0000BD270000}"/>
    <cellStyle name="20% - Accent6 4 2 3 2 5 2 3" xfId="18482" xr:uid="{00000000-0005-0000-0000-0000BE270000}"/>
    <cellStyle name="20% - Accent6 4 2 3 2 5 3" xfId="18483" xr:uid="{00000000-0005-0000-0000-0000BF270000}"/>
    <cellStyle name="20% - Accent6 4 2 3 2 5 3 2" xfId="18484" xr:uid="{00000000-0005-0000-0000-0000C0270000}"/>
    <cellStyle name="20% - Accent6 4 2 3 2 5 4" xfId="18485" xr:uid="{00000000-0005-0000-0000-0000C1270000}"/>
    <cellStyle name="20% - Accent6 4 2 3 2 5 5" xfId="18486" xr:uid="{00000000-0005-0000-0000-0000C2270000}"/>
    <cellStyle name="20% - Accent6 4 2 3 2 6" xfId="18487" xr:uid="{00000000-0005-0000-0000-0000C3270000}"/>
    <cellStyle name="20% - Accent6 4 2 3 2 6 2" xfId="18488" xr:uid="{00000000-0005-0000-0000-0000C4270000}"/>
    <cellStyle name="20% - Accent6 4 2 3 2 6 3" xfId="18489" xr:uid="{00000000-0005-0000-0000-0000C5270000}"/>
    <cellStyle name="20% - Accent6 4 2 3 2 7" xfId="18490" xr:uid="{00000000-0005-0000-0000-0000C6270000}"/>
    <cellStyle name="20% - Accent6 4 2 3 2 7 2" xfId="18491" xr:uid="{00000000-0005-0000-0000-0000C7270000}"/>
    <cellStyle name="20% - Accent6 4 2 3 2 7 3" xfId="18492" xr:uid="{00000000-0005-0000-0000-0000C8270000}"/>
    <cellStyle name="20% - Accent6 4 2 3 2 8" xfId="18493" xr:uid="{00000000-0005-0000-0000-0000C9270000}"/>
    <cellStyle name="20% - Accent6 4 2 3 2 8 2" xfId="18494" xr:uid="{00000000-0005-0000-0000-0000CA270000}"/>
    <cellStyle name="20% - Accent6 4 2 3 2 9" xfId="18495" xr:uid="{00000000-0005-0000-0000-0000CB270000}"/>
    <cellStyle name="20% - Accent6 4 2 3 3" xfId="1358" xr:uid="{00000000-0005-0000-0000-0000CC270000}"/>
    <cellStyle name="20% - Accent6 4 2 3 3 2" xfId="18496" xr:uid="{00000000-0005-0000-0000-0000CD270000}"/>
    <cellStyle name="20% - Accent6 4 2 3 3 2 2" xfId="18497" xr:uid="{00000000-0005-0000-0000-0000CE270000}"/>
    <cellStyle name="20% - Accent6 4 2 3 3 2 2 2" xfId="18498" xr:uid="{00000000-0005-0000-0000-0000CF270000}"/>
    <cellStyle name="20% - Accent6 4 2 3 3 2 2 3" xfId="18499" xr:uid="{00000000-0005-0000-0000-0000D0270000}"/>
    <cellStyle name="20% - Accent6 4 2 3 3 2 3" xfId="18500" xr:uid="{00000000-0005-0000-0000-0000D1270000}"/>
    <cellStyle name="20% - Accent6 4 2 3 3 2 3 2" xfId="18501" xr:uid="{00000000-0005-0000-0000-0000D2270000}"/>
    <cellStyle name="20% - Accent6 4 2 3 3 2 3 3" xfId="18502" xr:uid="{00000000-0005-0000-0000-0000D3270000}"/>
    <cellStyle name="20% - Accent6 4 2 3 3 2 4" xfId="18503" xr:uid="{00000000-0005-0000-0000-0000D4270000}"/>
    <cellStyle name="20% - Accent6 4 2 3 3 2 4 2" xfId="18504" xr:uid="{00000000-0005-0000-0000-0000D5270000}"/>
    <cellStyle name="20% - Accent6 4 2 3 3 2 5" xfId="18505" xr:uid="{00000000-0005-0000-0000-0000D6270000}"/>
    <cellStyle name="20% - Accent6 4 2 3 3 2 6" xfId="18506" xr:uid="{00000000-0005-0000-0000-0000D7270000}"/>
    <cellStyle name="20% - Accent6 4 2 3 3 3" xfId="18507" xr:uid="{00000000-0005-0000-0000-0000D8270000}"/>
    <cellStyle name="20% - Accent6 4 2 3 3 3 2" xfId="18508" xr:uid="{00000000-0005-0000-0000-0000D9270000}"/>
    <cellStyle name="20% - Accent6 4 2 3 3 3 2 2" xfId="18509" xr:uid="{00000000-0005-0000-0000-0000DA270000}"/>
    <cellStyle name="20% - Accent6 4 2 3 3 3 2 3" xfId="18510" xr:uid="{00000000-0005-0000-0000-0000DB270000}"/>
    <cellStyle name="20% - Accent6 4 2 3 3 3 3" xfId="18511" xr:uid="{00000000-0005-0000-0000-0000DC270000}"/>
    <cellStyle name="20% - Accent6 4 2 3 3 3 3 2" xfId="18512" xr:uid="{00000000-0005-0000-0000-0000DD270000}"/>
    <cellStyle name="20% - Accent6 4 2 3 3 3 3 3" xfId="18513" xr:uid="{00000000-0005-0000-0000-0000DE270000}"/>
    <cellStyle name="20% - Accent6 4 2 3 3 3 4" xfId="18514" xr:uid="{00000000-0005-0000-0000-0000DF270000}"/>
    <cellStyle name="20% - Accent6 4 2 3 3 3 4 2" xfId="18515" xr:uid="{00000000-0005-0000-0000-0000E0270000}"/>
    <cellStyle name="20% - Accent6 4 2 3 3 3 5" xfId="18516" xr:uid="{00000000-0005-0000-0000-0000E1270000}"/>
    <cellStyle name="20% - Accent6 4 2 3 3 3 6" xfId="18517" xr:uid="{00000000-0005-0000-0000-0000E2270000}"/>
    <cellStyle name="20% - Accent6 4 2 3 3 4" xfId="18518" xr:uid="{00000000-0005-0000-0000-0000E3270000}"/>
    <cellStyle name="20% - Accent6 4 2 3 3 4 2" xfId="18519" xr:uid="{00000000-0005-0000-0000-0000E4270000}"/>
    <cellStyle name="20% - Accent6 4 2 3 3 4 2 2" xfId="18520" xr:uid="{00000000-0005-0000-0000-0000E5270000}"/>
    <cellStyle name="20% - Accent6 4 2 3 3 4 2 3" xfId="18521" xr:uid="{00000000-0005-0000-0000-0000E6270000}"/>
    <cellStyle name="20% - Accent6 4 2 3 3 4 3" xfId="18522" xr:uid="{00000000-0005-0000-0000-0000E7270000}"/>
    <cellStyle name="20% - Accent6 4 2 3 3 4 3 2" xfId="18523" xr:uid="{00000000-0005-0000-0000-0000E8270000}"/>
    <cellStyle name="20% - Accent6 4 2 3 3 4 4" xfId="18524" xr:uid="{00000000-0005-0000-0000-0000E9270000}"/>
    <cellStyle name="20% - Accent6 4 2 3 3 4 5" xfId="18525" xr:uid="{00000000-0005-0000-0000-0000EA270000}"/>
    <cellStyle name="20% - Accent6 4 2 3 3 5" xfId="18526" xr:uid="{00000000-0005-0000-0000-0000EB270000}"/>
    <cellStyle name="20% - Accent6 4 2 3 3 5 2" xfId="18527" xr:uid="{00000000-0005-0000-0000-0000EC270000}"/>
    <cellStyle name="20% - Accent6 4 2 3 3 5 3" xfId="18528" xr:uid="{00000000-0005-0000-0000-0000ED270000}"/>
    <cellStyle name="20% - Accent6 4 2 3 3 6" xfId="18529" xr:uid="{00000000-0005-0000-0000-0000EE270000}"/>
    <cellStyle name="20% - Accent6 4 2 3 3 6 2" xfId="18530" xr:uid="{00000000-0005-0000-0000-0000EF270000}"/>
    <cellStyle name="20% - Accent6 4 2 3 3 6 3" xfId="18531" xr:uid="{00000000-0005-0000-0000-0000F0270000}"/>
    <cellStyle name="20% - Accent6 4 2 3 3 7" xfId="18532" xr:uid="{00000000-0005-0000-0000-0000F1270000}"/>
    <cellStyle name="20% - Accent6 4 2 3 3 7 2" xfId="18533" xr:uid="{00000000-0005-0000-0000-0000F2270000}"/>
    <cellStyle name="20% - Accent6 4 2 3 3 8" xfId="18534" xr:uid="{00000000-0005-0000-0000-0000F3270000}"/>
    <cellStyle name="20% - Accent6 4 2 3 3 9" xfId="18535" xr:uid="{00000000-0005-0000-0000-0000F4270000}"/>
    <cellStyle name="20% - Accent6 4 2 3 4" xfId="18536" xr:uid="{00000000-0005-0000-0000-0000F5270000}"/>
    <cellStyle name="20% - Accent6 4 2 3 4 2" xfId="18537" xr:uid="{00000000-0005-0000-0000-0000F6270000}"/>
    <cellStyle name="20% - Accent6 4 2 3 4 2 2" xfId="18538" xr:uid="{00000000-0005-0000-0000-0000F7270000}"/>
    <cellStyle name="20% - Accent6 4 2 3 4 2 2 2" xfId="18539" xr:uid="{00000000-0005-0000-0000-0000F8270000}"/>
    <cellStyle name="20% - Accent6 4 2 3 4 2 2 3" xfId="18540" xr:uid="{00000000-0005-0000-0000-0000F9270000}"/>
    <cellStyle name="20% - Accent6 4 2 3 4 2 3" xfId="18541" xr:uid="{00000000-0005-0000-0000-0000FA270000}"/>
    <cellStyle name="20% - Accent6 4 2 3 4 2 3 2" xfId="18542" xr:uid="{00000000-0005-0000-0000-0000FB270000}"/>
    <cellStyle name="20% - Accent6 4 2 3 4 2 3 3" xfId="18543" xr:uid="{00000000-0005-0000-0000-0000FC270000}"/>
    <cellStyle name="20% - Accent6 4 2 3 4 2 4" xfId="18544" xr:uid="{00000000-0005-0000-0000-0000FD270000}"/>
    <cellStyle name="20% - Accent6 4 2 3 4 2 4 2" xfId="18545" xr:uid="{00000000-0005-0000-0000-0000FE270000}"/>
    <cellStyle name="20% - Accent6 4 2 3 4 2 5" xfId="18546" xr:uid="{00000000-0005-0000-0000-0000FF270000}"/>
    <cellStyle name="20% - Accent6 4 2 3 4 2 6" xfId="18547" xr:uid="{00000000-0005-0000-0000-000000280000}"/>
    <cellStyle name="20% - Accent6 4 2 3 4 3" xfId="18548" xr:uid="{00000000-0005-0000-0000-000001280000}"/>
    <cellStyle name="20% - Accent6 4 2 3 4 3 2" xfId="18549" xr:uid="{00000000-0005-0000-0000-000002280000}"/>
    <cellStyle name="20% - Accent6 4 2 3 4 3 2 2" xfId="18550" xr:uid="{00000000-0005-0000-0000-000003280000}"/>
    <cellStyle name="20% - Accent6 4 2 3 4 3 2 3" xfId="18551" xr:uid="{00000000-0005-0000-0000-000004280000}"/>
    <cellStyle name="20% - Accent6 4 2 3 4 3 3" xfId="18552" xr:uid="{00000000-0005-0000-0000-000005280000}"/>
    <cellStyle name="20% - Accent6 4 2 3 4 3 3 2" xfId="18553" xr:uid="{00000000-0005-0000-0000-000006280000}"/>
    <cellStyle name="20% - Accent6 4 2 3 4 3 3 3" xfId="18554" xr:uid="{00000000-0005-0000-0000-000007280000}"/>
    <cellStyle name="20% - Accent6 4 2 3 4 3 4" xfId="18555" xr:uid="{00000000-0005-0000-0000-000008280000}"/>
    <cellStyle name="20% - Accent6 4 2 3 4 3 4 2" xfId="18556" xr:uid="{00000000-0005-0000-0000-000009280000}"/>
    <cellStyle name="20% - Accent6 4 2 3 4 3 5" xfId="18557" xr:uid="{00000000-0005-0000-0000-00000A280000}"/>
    <cellStyle name="20% - Accent6 4 2 3 4 3 6" xfId="18558" xr:uid="{00000000-0005-0000-0000-00000B280000}"/>
    <cellStyle name="20% - Accent6 4 2 3 4 4" xfId="18559" xr:uid="{00000000-0005-0000-0000-00000C280000}"/>
    <cellStyle name="20% - Accent6 4 2 3 4 4 2" xfId="18560" xr:uid="{00000000-0005-0000-0000-00000D280000}"/>
    <cellStyle name="20% - Accent6 4 2 3 4 4 2 2" xfId="18561" xr:uid="{00000000-0005-0000-0000-00000E280000}"/>
    <cellStyle name="20% - Accent6 4 2 3 4 4 2 3" xfId="18562" xr:uid="{00000000-0005-0000-0000-00000F280000}"/>
    <cellStyle name="20% - Accent6 4 2 3 4 4 3" xfId="18563" xr:uid="{00000000-0005-0000-0000-000010280000}"/>
    <cellStyle name="20% - Accent6 4 2 3 4 4 3 2" xfId="18564" xr:uid="{00000000-0005-0000-0000-000011280000}"/>
    <cellStyle name="20% - Accent6 4 2 3 4 4 4" xfId="18565" xr:uid="{00000000-0005-0000-0000-000012280000}"/>
    <cellStyle name="20% - Accent6 4 2 3 4 4 5" xfId="18566" xr:uid="{00000000-0005-0000-0000-000013280000}"/>
    <cellStyle name="20% - Accent6 4 2 3 4 5" xfId="18567" xr:uid="{00000000-0005-0000-0000-000014280000}"/>
    <cellStyle name="20% - Accent6 4 2 3 4 5 2" xfId="18568" xr:uid="{00000000-0005-0000-0000-000015280000}"/>
    <cellStyle name="20% - Accent6 4 2 3 4 5 3" xfId="18569" xr:uid="{00000000-0005-0000-0000-000016280000}"/>
    <cellStyle name="20% - Accent6 4 2 3 4 6" xfId="18570" xr:uid="{00000000-0005-0000-0000-000017280000}"/>
    <cellStyle name="20% - Accent6 4 2 3 4 6 2" xfId="18571" xr:uid="{00000000-0005-0000-0000-000018280000}"/>
    <cellStyle name="20% - Accent6 4 2 3 4 6 3" xfId="18572" xr:uid="{00000000-0005-0000-0000-000019280000}"/>
    <cellStyle name="20% - Accent6 4 2 3 4 7" xfId="18573" xr:uid="{00000000-0005-0000-0000-00001A280000}"/>
    <cellStyle name="20% - Accent6 4 2 3 4 7 2" xfId="18574" xr:uid="{00000000-0005-0000-0000-00001B280000}"/>
    <cellStyle name="20% - Accent6 4 2 3 4 8" xfId="18575" xr:uid="{00000000-0005-0000-0000-00001C280000}"/>
    <cellStyle name="20% - Accent6 4 2 3 4 9" xfId="18576" xr:uid="{00000000-0005-0000-0000-00001D280000}"/>
    <cellStyle name="20% - Accent6 4 2 3 5" xfId="18577" xr:uid="{00000000-0005-0000-0000-00001E280000}"/>
    <cellStyle name="20% - Accent6 4 2 3 5 2" xfId="18578" xr:uid="{00000000-0005-0000-0000-00001F280000}"/>
    <cellStyle name="20% - Accent6 4 2 3 5 2 2" xfId="18579" xr:uid="{00000000-0005-0000-0000-000020280000}"/>
    <cellStyle name="20% - Accent6 4 2 3 5 2 3" xfId="18580" xr:uid="{00000000-0005-0000-0000-000021280000}"/>
    <cellStyle name="20% - Accent6 4 2 3 5 3" xfId="18581" xr:uid="{00000000-0005-0000-0000-000022280000}"/>
    <cellStyle name="20% - Accent6 4 2 3 5 3 2" xfId="18582" xr:uid="{00000000-0005-0000-0000-000023280000}"/>
    <cellStyle name="20% - Accent6 4 2 3 5 3 3" xfId="18583" xr:uid="{00000000-0005-0000-0000-000024280000}"/>
    <cellStyle name="20% - Accent6 4 2 3 5 4" xfId="18584" xr:uid="{00000000-0005-0000-0000-000025280000}"/>
    <cellStyle name="20% - Accent6 4 2 3 5 4 2" xfId="18585" xr:uid="{00000000-0005-0000-0000-000026280000}"/>
    <cellStyle name="20% - Accent6 4 2 3 5 5" xfId="18586" xr:uid="{00000000-0005-0000-0000-000027280000}"/>
    <cellStyle name="20% - Accent6 4 2 3 5 6" xfId="18587" xr:uid="{00000000-0005-0000-0000-000028280000}"/>
    <cellStyle name="20% - Accent6 4 2 3 6" xfId="18588" xr:uid="{00000000-0005-0000-0000-000029280000}"/>
    <cellStyle name="20% - Accent6 4 2 3 6 2" xfId="18589" xr:uid="{00000000-0005-0000-0000-00002A280000}"/>
    <cellStyle name="20% - Accent6 4 2 3 6 2 2" xfId="18590" xr:uid="{00000000-0005-0000-0000-00002B280000}"/>
    <cellStyle name="20% - Accent6 4 2 3 6 2 3" xfId="18591" xr:uid="{00000000-0005-0000-0000-00002C280000}"/>
    <cellStyle name="20% - Accent6 4 2 3 6 3" xfId="18592" xr:uid="{00000000-0005-0000-0000-00002D280000}"/>
    <cellStyle name="20% - Accent6 4 2 3 6 3 2" xfId="18593" xr:uid="{00000000-0005-0000-0000-00002E280000}"/>
    <cellStyle name="20% - Accent6 4 2 3 6 3 3" xfId="18594" xr:uid="{00000000-0005-0000-0000-00002F280000}"/>
    <cellStyle name="20% - Accent6 4 2 3 6 4" xfId="18595" xr:uid="{00000000-0005-0000-0000-000030280000}"/>
    <cellStyle name="20% - Accent6 4 2 3 6 4 2" xfId="18596" xr:uid="{00000000-0005-0000-0000-000031280000}"/>
    <cellStyle name="20% - Accent6 4 2 3 6 5" xfId="18597" xr:uid="{00000000-0005-0000-0000-000032280000}"/>
    <cellStyle name="20% - Accent6 4 2 3 6 6" xfId="18598" xr:uid="{00000000-0005-0000-0000-000033280000}"/>
    <cellStyle name="20% - Accent6 4 2 3 7" xfId="18599" xr:uid="{00000000-0005-0000-0000-000034280000}"/>
    <cellStyle name="20% - Accent6 4 2 3 7 2" xfId="18600" xr:uid="{00000000-0005-0000-0000-000035280000}"/>
    <cellStyle name="20% - Accent6 4 2 3 7 2 2" xfId="18601" xr:uid="{00000000-0005-0000-0000-000036280000}"/>
    <cellStyle name="20% - Accent6 4 2 3 7 2 3" xfId="18602" xr:uid="{00000000-0005-0000-0000-000037280000}"/>
    <cellStyle name="20% - Accent6 4 2 3 7 3" xfId="18603" xr:uid="{00000000-0005-0000-0000-000038280000}"/>
    <cellStyle name="20% - Accent6 4 2 3 7 3 2" xfId="18604" xr:uid="{00000000-0005-0000-0000-000039280000}"/>
    <cellStyle name="20% - Accent6 4 2 3 7 4" xfId="18605" xr:uid="{00000000-0005-0000-0000-00003A280000}"/>
    <cellStyle name="20% - Accent6 4 2 3 7 5" xfId="18606" xr:uid="{00000000-0005-0000-0000-00003B280000}"/>
    <cellStyle name="20% - Accent6 4 2 3 8" xfId="18607" xr:uid="{00000000-0005-0000-0000-00003C280000}"/>
    <cellStyle name="20% - Accent6 4 2 3 8 2" xfId="18608" xr:uid="{00000000-0005-0000-0000-00003D280000}"/>
    <cellStyle name="20% - Accent6 4 2 3 8 3" xfId="18609" xr:uid="{00000000-0005-0000-0000-00003E280000}"/>
    <cellStyle name="20% - Accent6 4 2 3 9" xfId="18610" xr:uid="{00000000-0005-0000-0000-00003F280000}"/>
    <cellStyle name="20% - Accent6 4 2 3 9 2" xfId="18611" xr:uid="{00000000-0005-0000-0000-000040280000}"/>
    <cellStyle name="20% - Accent6 4 2 3 9 3" xfId="18612" xr:uid="{00000000-0005-0000-0000-000041280000}"/>
    <cellStyle name="20% - Accent6 4 2 4" xfId="1359" xr:uid="{00000000-0005-0000-0000-000042280000}"/>
    <cellStyle name="20% - Accent6 4 2 4 10" xfId="18613" xr:uid="{00000000-0005-0000-0000-000043280000}"/>
    <cellStyle name="20% - Accent6 4 2 4 2" xfId="1360" xr:uid="{00000000-0005-0000-0000-000044280000}"/>
    <cellStyle name="20% - Accent6 4 2 4 2 2" xfId="18614" xr:uid="{00000000-0005-0000-0000-000045280000}"/>
    <cellStyle name="20% - Accent6 4 2 4 2 2 2" xfId="18615" xr:uid="{00000000-0005-0000-0000-000046280000}"/>
    <cellStyle name="20% - Accent6 4 2 4 2 2 2 2" xfId="18616" xr:uid="{00000000-0005-0000-0000-000047280000}"/>
    <cellStyle name="20% - Accent6 4 2 4 2 2 2 3" xfId="18617" xr:uid="{00000000-0005-0000-0000-000048280000}"/>
    <cellStyle name="20% - Accent6 4 2 4 2 2 3" xfId="18618" xr:uid="{00000000-0005-0000-0000-000049280000}"/>
    <cellStyle name="20% - Accent6 4 2 4 2 2 3 2" xfId="18619" xr:uid="{00000000-0005-0000-0000-00004A280000}"/>
    <cellStyle name="20% - Accent6 4 2 4 2 2 3 3" xfId="18620" xr:uid="{00000000-0005-0000-0000-00004B280000}"/>
    <cellStyle name="20% - Accent6 4 2 4 2 2 4" xfId="18621" xr:uid="{00000000-0005-0000-0000-00004C280000}"/>
    <cellStyle name="20% - Accent6 4 2 4 2 2 4 2" xfId="18622" xr:uid="{00000000-0005-0000-0000-00004D280000}"/>
    <cellStyle name="20% - Accent6 4 2 4 2 2 5" xfId="18623" xr:uid="{00000000-0005-0000-0000-00004E280000}"/>
    <cellStyle name="20% - Accent6 4 2 4 2 2 6" xfId="18624" xr:uid="{00000000-0005-0000-0000-00004F280000}"/>
    <cellStyle name="20% - Accent6 4 2 4 2 3" xfId="18625" xr:uid="{00000000-0005-0000-0000-000050280000}"/>
    <cellStyle name="20% - Accent6 4 2 4 2 3 2" xfId="18626" xr:uid="{00000000-0005-0000-0000-000051280000}"/>
    <cellStyle name="20% - Accent6 4 2 4 2 3 2 2" xfId="18627" xr:uid="{00000000-0005-0000-0000-000052280000}"/>
    <cellStyle name="20% - Accent6 4 2 4 2 3 2 3" xfId="18628" xr:uid="{00000000-0005-0000-0000-000053280000}"/>
    <cellStyle name="20% - Accent6 4 2 4 2 3 3" xfId="18629" xr:uid="{00000000-0005-0000-0000-000054280000}"/>
    <cellStyle name="20% - Accent6 4 2 4 2 3 3 2" xfId="18630" xr:uid="{00000000-0005-0000-0000-000055280000}"/>
    <cellStyle name="20% - Accent6 4 2 4 2 3 3 3" xfId="18631" xr:uid="{00000000-0005-0000-0000-000056280000}"/>
    <cellStyle name="20% - Accent6 4 2 4 2 3 4" xfId="18632" xr:uid="{00000000-0005-0000-0000-000057280000}"/>
    <cellStyle name="20% - Accent6 4 2 4 2 3 4 2" xfId="18633" xr:uid="{00000000-0005-0000-0000-000058280000}"/>
    <cellStyle name="20% - Accent6 4 2 4 2 3 5" xfId="18634" xr:uid="{00000000-0005-0000-0000-000059280000}"/>
    <cellStyle name="20% - Accent6 4 2 4 2 3 6" xfId="18635" xr:uid="{00000000-0005-0000-0000-00005A280000}"/>
    <cellStyle name="20% - Accent6 4 2 4 2 4" xfId="18636" xr:uid="{00000000-0005-0000-0000-00005B280000}"/>
    <cellStyle name="20% - Accent6 4 2 4 2 4 2" xfId="18637" xr:uid="{00000000-0005-0000-0000-00005C280000}"/>
    <cellStyle name="20% - Accent6 4 2 4 2 4 2 2" xfId="18638" xr:uid="{00000000-0005-0000-0000-00005D280000}"/>
    <cellStyle name="20% - Accent6 4 2 4 2 4 2 3" xfId="18639" xr:uid="{00000000-0005-0000-0000-00005E280000}"/>
    <cellStyle name="20% - Accent6 4 2 4 2 4 3" xfId="18640" xr:uid="{00000000-0005-0000-0000-00005F280000}"/>
    <cellStyle name="20% - Accent6 4 2 4 2 4 3 2" xfId="18641" xr:uid="{00000000-0005-0000-0000-000060280000}"/>
    <cellStyle name="20% - Accent6 4 2 4 2 4 4" xfId="18642" xr:uid="{00000000-0005-0000-0000-000061280000}"/>
    <cellStyle name="20% - Accent6 4 2 4 2 4 5" xfId="18643" xr:uid="{00000000-0005-0000-0000-000062280000}"/>
    <cellStyle name="20% - Accent6 4 2 4 2 5" xfId="18644" xr:uid="{00000000-0005-0000-0000-000063280000}"/>
    <cellStyle name="20% - Accent6 4 2 4 2 5 2" xfId="18645" xr:uid="{00000000-0005-0000-0000-000064280000}"/>
    <cellStyle name="20% - Accent6 4 2 4 2 5 3" xfId="18646" xr:uid="{00000000-0005-0000-0000-000065280000}"/>
    <cellStyle name="20% - Accent6 4 2 4 2 6" xfId="18647" xr:uid="{00000000-0005-0000-0000-000066280000}"/>
    <cellStyle name="20% - Accent6 4 2 4 2 6 2" xfId="18648" xr:uid="{00000000-0005-0000-0000-000067280000}"/>
    <cellStyle name="20% - Accent6 4 2 4 2 6 3" xfId="18649" xr:uid="{00000000-0005-0000-0000-000068280000}"/>
    <cellStyle name="20% - Accent6 4 2 4 2 7" xfId="18650" xr:uid="{00000000-0005-0000-0000-000069280000}"/>
    <cellStyle name="20% - Accent6 4 2 4 2 7 2" xfId="18651" xr:uid="{00000000-0005-0000-0000-00006A280000}"/>
    <cellStyle name="20% - Accent6 4 2 4 2 8" xfId="18652" xr:uid="{00000000-0005-0000-0000-00006B280000}"/>
    <cellStyle name="20% - Accent6 4 2 4 2 9" xfId="18653" xr:uid="{00000000-0005-0000-0000-00006C280000}"/>
    <cellStyle name="20% - Accent6 4 2 4 3" xfId="18654" xr:uid="{00000000-0005-0000-0000-00006D280000}"/>
    <cellStyle name="20% - Accent6 4 2 4 3 2" xfId="18655" xr:uid="{00000000-0005-0000-0000-00006E280000}"/>
    <cellStyle name="20% - Accent6 4 2 4 3 2 2" xfId="18656" xr:uid="{00000000-0005-0000-0000-00006F280000}"/>
    <cellStyle name="20% - Accent6 4 2 4 3 2 3" xfId="18657" xr:uid="{00000000-0005-0000-0000-000070280000}"/>
    <cellStyle name="20% - Accent6 4 2 4 3 3" xfId="18658" xr:uid="{00000000-0005-0000-0000-000071280000}"/>
    <cellStyle name="20% - Accent6 4 2 4 3 3 2" xfId="18659" xr:uid="{00000000-0005-0000-0000-000072280000}"/>
    <cellStyle name="20% - Accent6 4 2 4 3 3 3" xfId="18660" xr:uid="{00000000-0005-0000-0000-000073280000}"/>
    <cellStyle name="20% - Accent6 4 2 4 3 4" xfId="18661" xr:uid="{00000000-0005-0000-0000-000074280000}"/>
    <cellStyle name="20% - Accent6 4 2 4 3 4 2" xfId="18662" xr:uid="{00000000-0005-0000-0000-000075280000}"/>
    <cellStyle name="20% - Accent6 4 2 4 3 5" xfId="18663" xr:uid="{00000000-0005-0000-0000-000076280000}"/>
    <cellStyle name="20% - Accent6 4 2 4 3 6" xfId="18664" xr:uid="{00000000-0005-0000-0000-000077280000}"/>
    <cellStyle name="20% - Accent6 4 2 4 4" xfId="18665" xr:uid="{00000000-0005-0000-0000-000078280000}"/>
    <cellStyle name="20% - Accent6 4 2 4 4 2" xfId="18666" xr:uid="{00000000-0005-0000-0000-000079280000}"/>
    <cellStyle name="20% - Accent6 4 2 4 4 2 2" xfId="18667" xr:uid="{00000000-0005-0000-0000-00007A280000}"/>
    <cellStyle name="20% - Accent6 4 2 4 4 2 3" xfId="18668" xr:uid="{00000000-0005-0000-0000-00007B280000}"/>
    <cellStyle name="20% - Accent6 4 2 4 4 3" xfId="18669" xr:uid="{00000000-0005-0000-0000-00007C280000}"/>
    <cellStyle name="20% - Accent6 4 2 4 4 3 2" xfId="18670" xr:uid="{00000000-0005-0000-0000-00007D280000}"/>
    <cellStyle name="20% - Accent6 4 2 4 4 3 3" xfId="18671" xr:uid="{00000000-0005-0000-0000-00007E280000}"/>
    <cellStyle name="20% - Accent6 4 2 4 4 4" xfId="18672" xr:uid="{00000000-0005-0000-0000-00007F280000}"/>
    <cellStyle name="20% - Accent6 4 2 4 4 4 2" xfId="18673" xr:uid="{00000000-0005-0000-0000-000080280000}"/>
    <cellStyle name="20% - Accent6 4 2 4 4 5" xfId="18674" xr:uid="{00000000-0005-0000-0000-000081280000}"/>
    <cellStyle name="20% - Accent6 4 2 4 4 6" xfId="18675" xr:uid="{00000000-0005-0000-0000-000082280000}"/>
    <cellStyle name="20% - Accent6 4 2 4 5" xfId="18676" xr:uid="{00000000-0005-0000-0000-000083280000}"/>
    <cellStyle name="20% - Accent6 4 2 4 5 2" xfId="18677" xr:uid="{00000000-0005-0000-0000-000084280000}"/>
    <cellStyle name="20% - Accent6 4 2 4 5 2 2" xfId="18678" xr:uid="{00000000-0005-0000-0000-000085280000}"/>
    <cellStyle name="20% - Accent6 4 2 4 5 2 3" xfId="18679" xr:uid="{00000000-0005-0000-0000-000086280000}"/>
    <cellStyle name="20% - Accent6 4 2 4 5 3" xfId="18680" xr:uid="{00000000-0005-0000-0000-000087280000}"/>
    <cellStyle name="20% - Accent6 4 2 4 5 3 2" xfId="18681" xr:uid="{00000000-0005-0000-0000-000088280000}"/>
    <cellStyle name="20% - Accent6 4 2 4 5 4" xfId="18682" xr:uid="{00000000-0005-0000-0000-000089280000}"/>
    <cellStyle name="20% - Accent6 4 2 4 5 5" xfId="18683" xr:uid="{00000000-0005-0000-0000-00008A280000}"/>
    <cellStyle name="20% - Accent6 4 2 4 6" xfId="18684" xr:uid="{00000000-0005-0000-0000-00008B280000}"/>
    <cellStyle name="20% - Accent6 4 2 4 6 2" xfId="18685" xr:uid="{00000000-0005-0000-0000-00008C280000}"/>
    <cellStyle name="20% - Accent6 4 2 4 6 3" xfId="18686" xr:uid="{00000000-0005-0000-0000-00008D280000}"/>
    <cellStyle name="20% - Accent6 4 2 4 7" xfId="18687" xr:uid="{00000000-0005-0000-0000-00008E280000}"/>
    <cellStyle name="20% - Accent6 4 2 4 7 2" xfId="18688" xr:uid="{00000000-0005-0000-0000-00008F280000}"/>
    <cellStyle name="20% - Accent6 4 2 4 7 3" xfId="18689" xr:uid="{00000000-0005-0000-0000-000090280000}"/>
    <cellStyle name="20% - Accent6 4 2 4 8" xfId="18690" xr:uid="{00000000-0005-0000-0000-000091280000}"/>
    <cellStyle name="20% - Accent6 4 2 4 8 2" xfId="18691" xr:uid="{00000000-0005-0000-0000-000092280000}"/>
    <cellStyle name="20% - Accent6 4 2 4 9" xfId="18692" xr:uid="{00000000-0005-0000-0000-000093280000}"/>
    <cellStyle name="20% - Accent6 4 2 5" xfId="1361" xr:uid="{00000000-0005-0000-0000-000094280000}"/>
    <cellStyle name="20% - Accent6 4 2 5 2" xfId="18693" xr:uid="{00000000-0005-0000-0000-000095280000}"/>
    <cellStyle name="20% - Accent6 4 2 5 2 2" xfId="18694" xr:uid="{00000000-0005-0000-0000-000096280000}"/>
    <cellStyle name="20% - Accent6 4 2 5 2 2 2" xfId="18695" xr:uid="{00000000-0005-0000-0000-000097280000}"/>
    <cellStyle name="20% - Accent6 4 2 5 2 2 3" xfId="18696" xr:uid="{00000000-0005-0000-0000-000098280000}"/>
    <cellStyle name="20% - Accent6 4 2 5 2 3" xfId="18697" xr:uid="{00000000-0005-0000-0000-000099280000}"/>
    <cellStyle name="20% - Accent6 4 2 5 2 3 2" xfId="18698" xr:uid="{00000000-0005-0000-0000-00009A280000}"/>
    <cellStyle name="20% - Accent6 4 2 5 2 3 3" xfId="18699" xr:uid="{00000000-0005-0000-0000-00009B280000}"/>
    <cellStyle name="20% - Accent6 4 2 5 2 4" xfId="18700" xr:uid="{00000000-0005-0000-0000-00009C280000}"/>
    <cellStyle name="20% - Accent6 4 2 5 2 4 2" xfId="18701" xr:uid="{00000000-0005-0000-0000-00009D280000}"/>
    <cellStyle name="20% - Accent6 4 2 5 2 5" xfId="18702" xr:uid="{00000000-0005-0000-0000-00009E280000}"/>
    <cellStyle name="20% - Accent6 4 2 5 2 6" xfId="18703" xr:uid="{00000000-0005-0000-0000-00009F280000}"/>
    <cellStyle name="20% - Accent6 4 2 5 3" xfId="18704" xr:uid="{00000000-0005-0000-0000-0000A0280000}"/>
    <cellStyle name="20% - Accent6 4 2 5 3 2" xfId="18705" xr:uid="{00000000-0005-0000-0000-0000A1280000}"/>
    <cellStyle name="20% - Accent6 4 2 5 3 2 2" xfId="18706" xr:uid="{00000000-0005-0000-0000-0000A2280000}"/>
    <cellStyle name="20% - Accent6 4 2 5 3 2 3" xfId="18707" xr:uid="{00000000-0005-0000-0000-0000A3280000}"/>
    <cellStyle name="20% - Accent6 4 2 5 3 3" xfId="18708" xr:uid="{00000000-0005-0000-0000-0000A4280000}"/>
    <cellStyle name="20% - Accent6 4 2 5 3 3 2" xfId="18709" xr:uid="{00000000-0005-0000-0000-0000A5280000}"/>
    <cellStyle name="20% - Accent6 4 2 5 3 3 3" xfId="18710" xr:uid="{00000000-0005-0000-0000-0000A6280000}"/>
    <cellStyle name="20% - Accent6 4 2 5 3 4" xfId="18711" xr:uid="{00000000-0005-0000-0000-0000A7280000}"/>
    <cellStyle name="20% - Accent6 4 2 5 3 4 2" xfId="18712" xr:uid="{00000000-0005-0000-0000-0000A8280000}"/>
    <cellStyle name="20% - Accent6 4 2 5 3 5" xfId="18713" xr:uid="{00000000-0005-0000-0000-0000A9280000}"/>
    <cellStyle name="20% - Accent6 4 2 5 3 6" xfId="18714" xr:uid="{00000000-0005-0000-0000-0000AA280000}"/>
    <cellStyle name="20% - Accent6 4 2 5 4" xfId="18715" xr:uid="{00000000-0005-0000-0000-0000AB280000}"/>
    <cellStyle name="20% - Accent6 4 2 5 4 2" xfId="18716" xr:uid="{00000000-0005-0000-0000-0000AC280000}"/>
    <cellStyle name="20% - Accent6 4 2 5 4 2 2" xfId="18717" xr:uid="{00000000-0005-0000-0000-0000AD280000}"/>
    <cellStyle name="20% - Accent6 4 2 5 4 2 3" xfId="18718" xr:uid="{00000000-0005-0000-0000-0000AE280000}"/>
    <cellStyle name="20% - Accent6 4 2 5 4 3" xfId="18719" xr:uid="{00000000-0005-0000-0000-0000AF280000}"/>
    <cellStyle name="20% - Accent6 4 2 5 4 3 2" xfId="18720" xr:uid="{00000000-0005-0000-0000-0000B0280000}"/>
    <cellStyle name="20% - Accent6 4 2 5 4 4" xfId="18721" xr:uid="{00000000-0005-0000-0000-0000B1280000}"/>
    <cellStyle name="20% - Accent6 4 2 5 4 5" xfId="18722" xr:uid="{00000000-0005-0000-0000-0000B2280000}"/>
    <cellStyle name="20% - Accent6 4 2 5 5" xfId="18723" xr:uid="{00000000-0005-0000-0000-0000B3280000}"/>
    <cellStyle name="20% - Accent6 4 2 5 5 2" xfId="18724" xr:uid="{00000000-0005-0000-0000-0000B4280000}"/>
    <cellStyle name="20% - Accent6 4 2 5 5 3" xfId="18725" xr:uid="{00000000-0005-0000-0000-0000B5280000}"/>
    <cellStyle name="20% - Accent6 4 2 5 6" xfId="18726" xr:uid="{00000000-0005-0000-0000-0000B6280000}"/>
    <cellStyle name="20% - Accent6 4 2 5 6 2" xfId="18727" xr:uid="{00000000-0005-0000-0000-0000B7280000}"/>
    <cellStyle name="20% - Accent6 4 2 5 6 3" xfId="18728" xr:uid="{00000000-0005-0000-0000-0000B8280000}"/>
    <cellStyle name="20% - Accent6 4 2 5 7" xfId="18729" xr:uid="{00000000-0005-0000-0000-0000B9280000}"/>
    <cellStyle name="20% - Accent6 4 2 5 7 2" xfId="18730" xr:uid="{00000000-0005-0000-0000-0000BA280000}"/>
    <cellStyle name="20% - Accent6 4 2 5 8" xfId="18731" xr:uid="{00000000-0005-0000-0000-0000BB280000}"/>
    <cellStyle name="20% - Accent6 4 2 5 9" xfId="18732" xr:uid="{00000000-0005-0000-0000-0000BC280000}"/>
    <cellStyle name="20% - Accent6 4 2 6" xfId="18733" xr:uid="{00000000-0005-0000-0000-0000BD280000}"/>
    <cellStyle name="20% - Accent6 4 2 6 2" xfId="18734" xr:uid="{00000000-0005-0000-0000-0000BE280000}"/>
    <cellStyle name="20% - Accent6 4 2 6 2 2" xfId="18735" xr:uid="{00000000-0005-0000-0000-0000BF280000}"/>
    <cellStyle name="20% - Accent6 4 2 6 2 2 2" xfId="18736" xr:uid="{00000000-0005-0000-0000-0000C0280000}"/>
    <cellStyle name="20% - Accent6 4 2 6 2 2 3" xfId="18737" xr:uid="{00000000-0005-0000-0000-0000C1280000}"/>
    <cellStyle name="20% - Accent6 4 2 6 2 3" xfId="18738" xr:uid="{00000000-0005-0000-0000-0000C2280000}"/>
    <cellStyle name="20% - Accent6 4 2 6 2 3 2" xfId="18739" xr:uid="{00000000-0005-0000-0000-0000C3280000}"/>
    <cellStyle name="20% - Accent6 4 2 6 2 3 3" xfId="18740" xr:uid="{00000000-0005-0000-0000-0000C4280000}"/>
    <cellStyle name="20% - Accent6 4 2 6 2 4" xfId="18741" xr:uid="{00000000-0005-0000-0000-0000C5280000}"/>
    <cellStyle name="20% - Accent6 4 2 6 2 4 2" xfId="18742" xr:uid="{00000000-0005-0000-0000-0000C6280000}"/>
    <cellStyle name="20% - Accent6 4 2 6 2 5" xfId="18743" xr:uid="{00000000-0005-0000-0000-0000C7280000}"/>
    <cellStyle name="20% - Accent6 4 2 6 2 6" xfId="18744" xr:uid="{00000000-0005-0000-0000-0000C8280000}"/>
    <cellStyle name="20% - Accent6 4 2 6 3" xfId="18745" xr:uid="{00000000-0005-0000-0000-0000C9280000}"/>
    <cellStyle name="20% - Accent6 4 2 6 3 2" xfId="18746" xr:uid="{00000000-0005-0000-0000-0000CA280000}"/>
    <cellStyle name="20% - Accent6 4 2 6 3 2 2" xfId="18747" xr:uid="{00000000-0005-0000-0000-0000CB280000}"/>
    <cellStyle name="20% - Accent6 4 2 6 3 2 3" xfId="18748" xr:uid="{00000000-0005-0000-0000-0000CC280000}"/>
    <cellStyle name="20% - Accent6 4 2 6 3 3" xfId="18749" xr:uid="{00000000-0005-0000-0000-0000CD280000}"/>
    <cellStyle name="20% - Accent6 4 2 6 3 3 2" xfId="18750" xr:uid="{00000000-0005-0000-0000-0000CE280000}"/>
    <cellStyle name="20% - Accent6 4 2 6 3 3 3" xfId="18751" xr:uid="{00000000-0005-0000-0000-0000CF280000}"/>
    <cellStyle name="20% - Accent6 4 2 6 3 4" xfId="18752" xr:uid="{00000000-0005-0000-0000-0000D0280000}"/>
    <cellStyle name="20% - Accent6 4 2 6 3 4 2" xfId="18753" xr:uid="{00000000-0005-0000-0000-0000D1280000}"/>
    <cellStyle name="20% - Accent6 4 2 6 3 5" xfId="18754" xr:uid="{00000000-0005-0000-0000-0000D2280000}"/>
    <cellStyle name="20% - Accent6 4 2 6 3 6" xfId="18755" xr:uid="{00000000-0005-0000-0000-0000D3280000}"/>
    <cellStyle name="20% - Accent6 4 2 6 4" xfId="18756" xr:uid="{00000000-0005-0000-0000-0000D4280000}"/>
    <cellStyle name="20% - Accent6 4 2 6 4 2" xfId="18757" xr:uid="{00000000-0005-0000-0000-0000D5280000}"/>
    <cellStyle name="20% - Accent6 4 2 6 4 2 2" xfId="18758" xr:uid="{00000000-0005-0000-0000-0000D6280000}"/>
    <cellStyle name="20% - Accent6 4 2 6 4 2 3" xfId="18759" xr:uid="{00000000-0005-0000-0000-0000D7280000}"/>
    <cellStyle name="20% - Accent6 4 2 6 4 3" xfId="18760" xr:uid="{00000000-0005-0000-0000-0000D8280000}"/>
    <cellStyle name="20% - Accent6 4 2 6 4 3 2" xfId="18761" xr:uid="{00000000-0005-0000-0000-0000D9280000}"/>
    <cellStyle name="20% - Accent6 4 2 6 4 4" xfId="18762" xr:uid="{00000000-0005-0000-0000-0000DA280000}"/>
    <cellStyle name="20% - Accent6 4 2 6 4 5" xfId="18763" xr:uid="{00000000-0005-0000-0000-0000DB280000}"/>
    <cellStyle name="20% - Accent6 4 2 6 5" xfId="18764" xr:uid="{00000000-0005-0000-0000-0000DC280000}"/>
    <cellStyle name="20% - Accent6 4 2 6 5 2" xfId="18765" xr:uid="{00000000-0005-0000-0000-0000DD280000}"/>
    <cellStyle name="20% - Accent6 4 2 6 5 3" xfId="18766" xr:uid="{00000000-0005-0000-0000-0000DE280000}"/>
    <cellStyle name="20% - Accent6 4 2 6 6" xfId="18767" xr:uid="{00000000-0005-0000-0000-0000DF280000}"/>
    <cellStyle name="20% - Accent6 4 2 6 6 2" xfId="18768" xr:uid="{00000000-0005-0000-0000-0000E0280000}"/>
    <cellStyle name="20% - Accent6 4 2 6 6 3" xfId="18769" xr:uid="{00000000-0005-0000-0000-0000E1280000}"/>
    <cellStyle name="20% - Accent6 4 2 6 7" xfId="18770" xr:uid="{00000000-0005-0000-0000-0000E2280000}"/>
    <cellStyle name="20% - Accent6 4 2 6 7 2" xfId="18771" xr:uid="{00000000-0005-0000-0000-0000E3280000}"/>
    <cellStyle name="20% - Accent6 4 2 6 8" xfId="18772" xr:uid="{00000000-0005-0000-0000-0000E4280000}"/>
    <cellStyle name="20% - Accent6 4 2 6 9" xfId="18773" xr:uid="{00000000-0005-0000-0000-0000E5280000}"/>
    <cellStyle name="20% - Accent6 4 2 7" xfId="18774" xr:uid="{00000000-0005-0000-0000-0000E6280000}"/>
    <cellStyle name="20% - Accent6 4 2 7 2" xfId="18775" xr:uid="{00000000-0005-0000-0000-0000E7280000}"/>
    <cellStyle name="20% - Accent6 4 2 7 2 2" xfId="18776" xr:uid="{00000000-0005-0000-0000-0000E8280000}"/>
    <cellStyle name="20% - Accent6 4 2 7 2 3" xfId="18777" xr:uid="{00000000-0005-0000-0000-0000E9280000}"/>
    <cellStyle name="20% - Accent6 4 2 7 3" xfId="18778" xr:uid="{00000000-0005-0000-0000-0000EA280000}"/>
    <cellStyle name="20% - Accent6 4 2 7 3 2" xfId="18779" xr:uid="{00000000-0005-0000-0000-0000EB280000}"/>
    <cellStyle name="20% - Accent6 4 2 7 3 3" xfId="18780" xr:uid="{00000000-0005-0000-0000-0000EC280000}"/>
    <cellStyle name="20% - Accent6 4 2 7 4" xfId="18781" xr:uid="{00000000-0005-0000-0000-0000ED280000}"/>
    <cellStyle name="20% - Accent6 4 2 7 4 2" xfId="18782" xr:uid="{00000000-0005-0000-0000-0000EE280000}"/>
    <cellStyle name="20% - Accent6 4 2 7 5" xfId="18783" xr:uid="{00000000-0005-0000-0000-0000EF280000}"/>
    <cellStyle name="20% - Accent6 4 2 7 6" xfId="18784" xr:uid="{00000000-0005-0000-0000-0000F0280000}"/>
    <cellStyle name="20% - Accent6 4 2 8" xfId="18785" xr:uid="{00000000-0005-0000-0000-0000F1280000}"/>
    <cellStyle name="20% - Accent6 4 2 8 2" xfId="18786" xr:uid="{00000000-0005-0000-0000-0000F2280000}"/>
    <cellStyle name="20% - Accent6 4 2 8 2 2" xfId="18787" xr:uid="{00000000-0005-0000-0000-0000F3280000}"/>
    <cellStyle name="20% - Accent6 4 2 8 2 3" xfId="18788" xr:uid="{00000000-0005-0000-0000-0000F4280000}"/>
    <cellStyle name="20% - Accent6 4 2 8 3" xfId="18789" xr:uid="{00000000-0005-0000-0000-0000F5280000}"/>
    <cellStyle name="20% - Accent6 4 2 8 3 2" xfId="18790" xr:uid="{00000000-0005-0000-0000-0000F6280000}"/>
    <cellStyle name="20% - Accent6 4 2 8 3 3" xfId="18791" xr:uid="{00000000-0005-0000-0000-0000F7280000}"/>
    <cellStyle name="20% - Accent6 4 2 8 4" xfId="18792" xr:uid="{00000000-0005-0000-0000-0000F8280000}"/>
    <cellStyle name="20% - Accent6 4 2 8 4 2" xfId="18793" xr:uid="{00000000-0005-0000-0000-0000F9280000}"/>
    <cellStyle name="20% - Accent6 4 2 8 5" xfId="18794" xr:uid="{00000000-0005-0000-0000-0000FA280000}"/>
    <cellStyle name="20% - Accent6 4 2 8 6" xfId="18795" xr:uid="{00000000-0005-0000-0000-0000FB280000}"/>
    <cellStyle name="20% - Accent6 4 2 9" xfId="18796" xr:uid="{00000000-0005-0000-0000-0000FC280000}"/>
    <cellStyle name="20% - Accent6 4 2 9 2" xfId="18797" xr:uid="{00000000-0005-0000-0000-0000FD280000}"/>
    <cellStyle name="20% - Accent6 4 2 9 2 2" xfId="18798" xr:uid="{00000000-0005-0000-0000-0000FE280000}"/>
    <cellStyle name="20% - Accent6 4 2 9 2 3" xfId="18799" xr:uid="{00000000-0005-0000-0000-0000FF280000}"/>
    <cellStyle name="20% - Accent6 4 2 9 3" xfId="18800" xr:uid="{00000000-0005-0000-0000-000000290000}"/>
    <cellStyle name="20% - Accent6 4 2 9 3 2" xfId="18801" xr:uid="{00000000-0005-0000-0000-000001290000}"/>
    <cellStyle name="20% - Accent6 4 2 9 4" xfId="18802" xr:uid="{00000000-0005-0000-0000-000002290000}"/>
    <cellStyle name="20% - Accent6 4 2 9 5" xfId="18803" xr:uid="{00000000-0005-0000-0000-000003290000}"/>
    <cellStyle name="20% - Accent6 4 3" xfId="1362" xr:uid="{00000000-0005-0000-0000-000004290000}"/>
    <cellStyle name="20% - Accent6 4 3 10" xfId="18804" xr:uid="{00000000-0005-0000-0000-000005290000}"/>
    <cellStyle name="20% - Accent6 4 3 10 2" xfId="18805" xr:uid="{00000000-0005-0000-0000-000006290000}"/>
    <cellStyle name="20% - Accent6 4 3 10 3" xfId="18806" xr:uid="{00000000-0005-0000-0000-000007290000}"/>
    <cellStyle name="20% - Accent6 4 3 11" xfId="18807" xr:uid="{00000000-0005-0000-0000-000008290000}"/>
    <cellStyle name="20% - Accent6 4 3 11 2" xfId="18808" xr:uid="{00000000-0005-0000-0000-000009290000}"/>
    <cellStyle name="20% - Accent6 4 3 12" xfId="18809" xr:uid="{00000000-0005-0000-0000-00000A290000}"/>
    <cellStyle name="20% - Accent6 4 3 13" xfId="18810" xr:uid="{00000000-0005-0000-0000-00000B290000}"/>
    <cellStyle name="20% - Accent6 4 3 14" xfId="18811" xr:uid="{00000000-0005-0000-0000-00000C290000}"/>
    <cellStyle name="20% - Accent6 4 3 2" xfId="1363" xr:uid="{00000000-0005-0000-0000-00000D290000}"/>
    <cellStyle name="20% - Accent6 4 3 2 10" xfId="18812" xr:uid="{00000000-0005-0000-0000-00000E290000}"/>
    <cellStyle name="20% - Accent6 4 3 2 10 2" xfId="18813" xr:uid="{00000000-0005-0000-0000-00000F290000}"/>
    <cellStyle name="20% - Accent6 4 3 2 11" xfId="18814" xr:uid="{00000000-0005-0000-0000-000010290000}"/>
    <cellStyle name="20% - Accent6 4 3 2 12" xfId="18815" xr:uid="{00000000-0005-0000-0000-000011290000}"/>
    <cellStyle name="20% - Accent6 4 3 2 2" xfId="1364" xr:uid="{00000000-0005-0000-0000-000012290000}"/>
    <cellStyle name="20% - Accent6 4 3 2 2 10" xfId="18816" xr:uid="{00000000-0005-0000-0000-000013290000}"/>
    <cellStyle name="20% - Accent6 4 3 2 2 2" xfId="1365" xr:uid="{00000000-0005-0000-0000-000014290000}"/>
    <cellStyle name="20% - Accent6 4 3 2 2 2 2" xfId="18817" xr:uid="{00000000-0005-0000-0000-000015290000}"/>
    <cellStyle name="20% - Accent6 4 3 2 2 2 2 2" xfId="18818" xr:uid="{00000000-0005-0000-0000-000016290000}"/>
    <cellStyle name="20% - Accent6 4 3 2 2 2 2 2 2" xfId="18819" xr:uid="{00000000-0005-0000-0000-000017290000}"/>
    <cellStyle name="20% - Accent6 4 3 2 2 2 2 2 3" xfId="18820" xr:uid="{00000000-0005-0000-0000-000018290000}"/>
    <cellStyle name="20% - Accent6 4 3 2 2 2 2 3" xfId="18821" xr:uid="{00000000-0005-0000-0000-000019290000}"/>
    <cellStyle name="20% - Accent6 4 3 2 2 2 2 3 2" xfId="18822" xr:uid="{00000000-0005-0000-0000-00001A290000}"/>
    <cellStyle name="20% - Accent6 4 3 2 2 2 2 3 3" xfId="18823" xr:uid="{00000000-0005-0000-0000-00001B290000}"/>
    <cellStyle name="20% - Accent6 4 3 2 2 2 2 4" xfId="18824" xr:uid="{00000000-0005-0000-0000-00001C290000}"/>
    <cellStyle name="20% - Accent6 4 3 2 2 2 2 4 2" xfId="18825" xr:uid="{00000000-0005-0000-0000-00001D290000}"/>
    <cellStyle name="20% - Accent6 4 3 2 2 2 2 5" xfId="18826" xr:uid="{00000000-0005-0000-0000-00001E290000}"/>
    <cellStyle name="20% - Accent6 4 3 2 2 2 2 6" xfId="18827" xr:uid="{00000000-0005-0000-0000-00001F290000}"/>
    <cellStyle name="20% - Accent6 4 3 2 2 2 3" xfId="18828" xr:uid="{00000000-0005-0000-0000-000020290000}"/>
    <cellStyle name="20% - Accent6 4 3 2 2 2 3 2" xfId="18829" xr:uid="{00000000-0005-0000-0000-000021290000}"/>
    <cellStyle name="20% - Accent6 4 3 2 2 2 3 2 2" xfId="18830" xr:uid="{00000000-0005-0000-0000-000022290000}"/>
    <cellStyle name="20% - Accent6 4 3 2 2 2 3 2 3" xfId="18831" xr:uid="{00000000-0005-0000-0000-000023290000}"/>
    <cellStyle name="20% - Accent6 4 3 2 2 2 3 3" xfId="18832" xr:uid="{00000000-0005-0000-0000-000024290000}"/>
    <cellStyle name="20% - Accent6 4 3 2 2 2 3 3 2" xfId="18833" xr:uid="{00000000-0005-0000-0000-000025290000}"/>
    <cellStyle name="20% - Accent6 4 3 2 2 2 3 3 3" xfId="18834" xr:uid="{00000000-0005-0000-0000-000026290000}"/>
    <cellStyle name="20% - Accent6 4 3 2 2 2 3 4" xfId="18835" xr:uid="{00000000-0005-0000-0000-000027290000}"/>
    <cellStyle name="20% - Accent6 4 3 2 2 2 3 4 2" xfId="18836" xr:uid="{00000000-0005-0000-0000-000028290000}"/>
    <cellStyle name="20% - Accent6 4 3 2 2 2 3 5" xfId="18837" xr:uid="{00000000-0005-0000-0000-000029290000}"/>
    <cellStyle name="20% - Accent6 4 3 2 2 2 3 6" xfId="18838" xr:uid="{00000000-0005-0000-0000-00002A290000}"/>
    <cellStyle name="20% - Accent6 4 3 2 2 2 4" xfId="18839" xr:uid="{00000000-0005-0000-0000-00002B290000}"/>
    <cellStyle name="20% - Accent6 4 3 2 2 2 4 2" xfId="18840" xr:uid="{00000000-0005-0000-0000-00002C290000}"/>
    <cellStyle name="20% - Accent6 4 3 2 2 2 4 2 2" xfId="18841" xr:uid="{00000000-0005-0000-0000-00002D290000}"/>
    <cellStyle name="20% - Accent6 4 3 2 2 2 4 2 3" xfId="18842" xr:uid="{00000000-0005-0000-0000-00002E290000}"/>
    <cellStyle name="20% - Accent6 4 3 2 2 2 4 3" xfId="18843" xr:uid="{00000000-0005-0000-0000-00002F290000}"/>
    <cellStyle name="20% - Accent6 4 3 2 2 2 4 3 2" xfId="18844" xr:uid="{00000000-0005-0000-0000-000030290000}"/>
    <cellStyle name="20% - Accent6 4 3 2 2 2 4 4" xfId="18845" xr:uid="{00000000-0005-0000-0000-000031290000}"/>
    <cellStyle name="20% - Accent6 4 3 2 2 2 4 5" xfId="18846" xr:uid="{00000000-0005-0000-0000-000032290000}"/>
    <cellStyle name="20% - Accent6 4 3 2 2 2 5" xfId="18847" xr:uid="{00000000-0005-0000-0000-000033290000}"/>
    <cellStyle name="20% - Accent6 4 3 2 2 2 5 2" xfId="18848" xr:uid="{00000000-0005-0000-0000-000034290000}"/>
    <cellStyle name="20% - Accent6 4 3 2 2 2 5 3" xfId="18849" xr:uid="{00000000-0005-0000-0000-000035290000}"/>
    <cellStyle name="20% - Accent6 4 3 2 2 2 6" xfId="18850" xr:uid="{00000000-0005-0000-0000-000036290000}"/>
    <cellStyle name="20% - Accent6 4 3 2 2 2 6 2" xfId="18851" xr:uid="{00000000-0005-0000-0000-000037290000}"/>
    <cellStyle name="20% - Accent6 4 3 2 2 2 6 3" xfId="18852" xr:uid="{00000000-0005-0000-0000-000038290000}"/>
    <cellStyle name="20% - Accent6 4 3 2 2 2 7" xfId="18853" xr:uid="{00000000-0005-0000-0000-000039290000}"/>
    <cellStyle name="20% - Accent6 4 3 2 2 2 7 2" xfId="18854" xr:uid="{00000000-0005-0000-0000-00003A290000}"/>
    <cellStyle name="20% - Accent6 4 3 2 2 2 8" xfId="18855" xr:uid="{00000000-0005-0000-0000-00003B290000}"/>
    <cellStyle name="20% - Accent6 4 3 2 2 2 9" xfId="18856" xr:uid="{00000000-0005-0000-0000-00003C290000}"/>
    <cellStyle name="20% - Accent6 4 3 2 2 3" xfId="18857" xr:uid="{00000000-0005-0000-0000-00003D290000}"/>
    <cellStyle name="20% - Accent6 4 3 2 2 3 2" xfId="18858" xr:uid="{00000000-0005-0000-0000-00003E290000}"/>
    <cellStyle name="20% - Accent6 4 3 2 2 3 2 2" xfId="18859" xr:uid="{00000000-0005-0000-0000-00003F290000}"/>
    <cellStyle name="20% - Accent6 4 3 2 2 3 2 3" xfId="18860" xr:uid="{00000000-0005-0000-0000-000040290000}"/>
    <cellStyle name="20% - Accent6 4 3 2 2 3 3" xfId="18861" xr:uid="{00000000-0005-0000-0000-000041290000}"/>
    <cellStyle name="20% - Accent6 4 3 2 2 3 3 2" xfId="18862" xr:uid="{00000000-0005-0000-0000-000042290000}"/>
    <cellStyle name="20% - Accent6 4 3 2 2 3 3 3" xfId="18863" xr:uid="{00000000-0005-0000-0000-000043290000}"/>
    <cellStyle name="20% - Accent6 4 3 2 2 3 4" xfId="18864" xr:uid="{00000000-0005-0000-0000-000044290000}"/>
    <cellStyle name="20% - Accent6 4 3 2 2 3 4 2" xfId="18865" xr:uid="{00000000-0005-0000-0000-000045290000}"/>
    <cellStyle name="20% - Accent6 4 3 2 2 3 5" xfId="18866" xr:uid="{00000000-0005-0000-0000-000046290000}"/>
    <cellStyle name="20% - Accent6 4 3 2 2 3 6" xfId="18867" xr:uid="{00000000-0005-0000-0000-000047290000}"/>
    <cellStyle name="20% - Accent6 4 3 2 2 4" xfId="18868" xr:uid="{00000000-0005-0000-0000-000048290000}"/>
    <cellStyle name="20% - Accent6 4 3 2 2 4 2" xfId="18869" xr:uid="{00000000-0005-0000-0000-000049290000}"/>
    <cellStyle name="20% - Accent6 4 3 2 2 4 2 2" xfId="18870" xr:uid="{00000000-0005-0000-0000-00004A290000}"/>
    <cellStyle name="20% - Accent6 4 3 2 2 4 2 3" xfId="18871" xr:uid="{00000000-0005-0000-0000-00004B290000}"/>
    <cellStyle name="20% - Accent6 4 3 2 2 4 3" xfId="18872" xr:uid="{00000000-0005-0000-0000-00004C290000}"/>
    <cellStyle name="20% - Accent6 4 3 2 2 4 3 2" xfId="18873" xr:uid="{00000000-0005-0000-0000-00004D290000}"/>
    <cellStyle name="20% - Accent6 4 3 2 2 4 3 3" xfId="18874" xr:uid="{00000000-0005-0000-0000-00004E290000}"/>
    <cellStyle name="20% - Accent6 4 3 2 2 4 4" xfId="18875" xr:uid="{00000000-0005-0000-0000-00004F290000}"/>
    <cellStyle name="20% - Accent6 4 3 2 2 4 4 2" xfId="18876" xr:uid="{00000000-0005-0000-0000-000050290000}"/>
    <cellStyle name="20% - Accent6 4 3 2 2 4 5" xfId="18877" xr:uid="{00000000-0005-0000-0000-000051290000}"/>
    <cellStyle name="20% - Accent6 4 3 2 2 4 6" xfId="18878" xr:uid="{00000000-0005-0000-0000-000052290000}"/>
    <cellStyle name="20% - Accent6 4 3 2 2 5" xfId="18879" xr:uid="{00000000-0005-0000-0000-000053290000}"/>
    <cellStyle name="20% - Accent6 4 3 2 2 5 2" xfId="18880" xr:uid="{00000000-0005-0000-0000-000054290000}"/>
    <cellStyle name="20% - Accent6 4 3 2 2 5 2 2" xfId="18881" xr:uid="{00000000-0005-0000-0000-000055290000}"/>
    <cellStyle name="20% - Accent6 4 3 2 2 5 2 3" xfId="18882" xr:uid="{00000000-0005-0000-0000-000056290000}"/>
    <cellStyle name="20% - Accent6 4 3 2 2 5 3" xfId="18883" xr:uid="{00000000-0005-0000-0000-000057290000}"/>
    <cellStyle name="20% - Accent6 4 3 2 2 5 3 2" xfId="18884" xr:uid="{00000000-0005-0000-0000-000058290000}"/>
    <cellStyle name="20% - Accent6 4 3 2 2 5 4" xfId="18885" xr:uid="{00000000-0005-0000-0000-000059290000}"/>
    <cellStyle name="20% - Accent6 4 3 2 2 5 5" xfId="18886" xr:uid="{00000000-0005-0000-0000-00005A290000}"/>
    <cellStyle name="20% - Accent6 4 3 2 2 6" xfId="18887" xr:uid="{00000000-0005-0000-0000-00005B290000}"/>
    <cellStyle name="20% - Accent6 4 3 2 2 6 2" xfId="18888" xr:uid="{00000000-0005-0000-0000-00005C290000}"/>
    <cellStyle name="20% - Accent6 4 3 2 2 6 3" xfId="18889" xr:uid="{00000000-0005-0000-0000-00005D290000}"/>
    <cellStyle name="20% - Accent6 4 3 2 2 7" xfId="18890" xr:uid="{00000000-0005-0000-0000-00005E290000}"/>
    <cellStyle name="20% - Accent6 4 3 2 2 7 2" xfId="18891" xr:uid="{00000000-0005-0000-0000-00005F290000}"/>
    <cellStyle name="20% - Accent6 4 3 2 2 7 3" xfId="18892" xr:uid="{00000000-0005-0000-0000-000060290000}"/>
    <cellStyle name="20% - Accent6 4 3 2 2 8" xfId="18893" xr:uid="{00000000-0005-0000-0000-000061290000}"/>
    <cellStyle name="20% - Accent6 4 3 2 2 8 2" xfId="18894" xr:uid="{00000000-0005-0000-0000-000062290000}"/>
    <cellStyle name="20% - Accent6 4 3 2 2 9" xfId="18895" xr:uid="{00000000-0005-0000-0000-000063290000}"/>
    <cellStyle name="20% - Accent6 4 3 2 3" xfId="1366" xr:uid="{00000000-0005-0000-0000-000064290000}"/>
    <cellStyle name="20% - Accent6 4 3 2 3 2" xfId="18896" xr:uid="{00000000-0005-0000-0000-000065290000}"/>
    <cellStyle name="20% - Accent6 4 3 2 3 2 2" xfId="18897" xr:uid="{00000000-0005-0000-0000-000066290000}"/>
    <cellStyle name="20% - Accent6 4 3 2 3 2 2 2" xfId="18898" xr:uid="{00000000-0005-0000-0000-000067290000}"/>
    <cellStyle name="20% - Accent6 4 3 2 3 2 2 3" xfId="18899" xr:uid="{00000000-0005-0000-0000-000068290000}"/>
    <cellStyle name="20% - Accent6 4 3 2 3 2 3" xfId="18900" xr:uid="{00000000-0005-0000-0000-000069290000}"/>
    <cellStyle name="20% - Accent6 4 3 2 3 2 3 2" xfId="18901" xr:uid="{00000000-0005-0000-0000-00006A290000}"/>
    <cellStyle name="20% - Accent6 4 3 2 3 2 3 3" xfId="18902" xr:uid="{00000000-0005-0000-0000-00006B290000}"/>
    <cellStyle name="20% - Accent6 4 3 2 3 2 4" xfId="18903" xr:uid="{00000000-0005-0000-0000-00006C290000}"/>
    <cellStyle name="20% - Accent6 4 3 2 3 2 4 2" xfId="18904" xr:uid="{00000000-0005-0000-0000-00006D290000}"/>
    <cellStyle name="20% - Accent6 4 3 2 3 2 5" xfId="18905" xr:uid="{00000000-0005-0000-0000-00006E290000}"/>
    <cellStyle name="20% - Accent6 4 3 2 3 2 6" xfId="18906" xr:uid="{00000000-0005-0000-0000-00006F290000}"/>
    <cellStyle name="20% - Accent6 4 3 2 3 3" xfId="18907" xr:uid="{00000000-0005-0000-0000-000070290000}"/>
    <cellStyle name="20% - Accent6 4 3 2 3 3 2" xfId="18908" xr:uid="{00000000-0005-0000-0000-000071290000}"/>
    <cellStyle name="20% - Accent6 4 3 2 3 3 2 2" xfId="18909" xr:uid="{00000000-0005-0000-0000-000072290000}"/>
    <cellStyle name="20% - Accent6 4 3 2 3 3 2 3" xfId="18910" xr:uid="{00000000-0005-0000-0000-000073290000}"/>
    <cellStyle name="20% - Accent6 4 3 2 3 3 3" xfId="18911" xr:uid="{00000000-0005-0000-0000-000074290000}"/>
    <cellStyle name="20% - Accent6 4 3 2 3 3 3 2" xfId="18912" xr:uid="{00000000-0005-0000-0000-000075290000}"/>
    <cellStyle name="20% - Accent6 4 3 2 3 3 3 3" xfId="18913" xr:uid="{00000000-0005-0000-0000-000076290000}"/>
    <cellStyle name="20% - Accent6 4 3 2 3 3 4" xfId="18914" xr:uid="{00000000-0005-0000-0000-000077290000}"/>
    <cellStyle name="20% - Accent6 4 3 2 3 3 4 2" xfId="18915" xr:uid="{00000000-0005-0000-0000-000078290000}"/>
    <cellStyle name="20% - Accent6 4 3 2 3 3 5" xfId="18916" xr:uid="{00000000-0005-0000-0000-000079290000}"/>
    <cellStyle name="20% - Accent6 4 3 2 3 3 6" xfId="18917" xr:uid="{00000000-0005-0000-0000-00007A290000}"/>
    <cellStyle name="20% - Accent6 4 3 2 3 4" xfId="18918" xr:uid="{00000000-0005-0000-0000-00007B290000}"/>
    <cellStyle name="20% - Accent6 4 3 2 3 4 2" xfId="18919" xr:uid="{00000000-0005-0000-0000-00007C290000}"/>
    <cellStyle name="20% - Accent6 4 3 2 3 4 2 2" xfId="18920" xr:uid="{00000000-0005-0000-0000-00007D290000}"/>
    <cellStyle name="20% - Accent6 4 3 2 3 4 2 3" xfId="18921" xr:uid="{00000000-0005-0000-0000-00007E290000}"/>
    <cellStyle name="20% - Accent6 4 3 2 3 4 3" xfId="18922" xr:uid="{00000000-0005-0000-0000-00007F290000}"/>
    <cellStyle name="20% - Accent6 4 3 2 3 4 3 2" xfId="18923" xr:uid="{00000000-0005-0000-0000-000080290000}"/>
    <cellStyle name="20% - Accent6 4 3 2 3 4 4" xfId="18924" xr:uid="{00000000-0005-0000-0000-000081290000}"/>
    <cellStyle name="20% - Accent6 4 3 2 3 4 5" xfId="18925" xr:uid="{00000000-0005-0000-0000-000082290000}"/>
    <cellStyle name="20% - Accent6 4 3 2 3 5" xfId="18926" xr:uid="{00000000-0005-0000-0000-000083290000}"/>
    <cellStyle name="20% - Accent6 4 3 2 3 5 2" xfId="18927" xr:uid="{00000000-0005-0000-0000-000084290000}"/>
    <cellStyle name="20% - Accent6 4 3 2 3 5 3" xfId="18928" xr:uid="{00000000-0005-0000-0000-000085290000}"/>
    <cellStyle name="20% - Accent6 4 3 2 3 6" xfId="18929" xr:uid="{00000000-0005-0000-0000-000086290000}"/>
    <cellStyle name="20% - Accent6 4 3 2 3 6 2" xfId="18930" xr:uid="{00000000-0005-0000-0000-000087290000}"/>
    <cellStyle name="20% - Accent6 4 3 2 3 6 3" xfId="18931" xr:uid="{00000000-0005-0000-0000-000088290000}"/>
    <cellStyle name="20% - Accent6 4 3 2 3 7" xfId="18932" xr:uid="{00000000-0005-0000-0000-000089290000}"/>
    <cellStyle name="20% - Accent6 4 3 2 3 7 2" xfId="18933" xr:uid="{00000000-0005-0000-0000-00008A290000}"/>
    <cellStyle name="20% - Accent6 4 3 2 3 8" xfId="18934" xr:uid="{00000000-0005-0000-0000-00008B290000}"/>
    <cellStyle name="20% - Accent6 4 3 2 3 9" xfId="18935" xr:uid="{00000000-0005-0000-0000-00008C290000}"/>
    <cellStyle name="20% - Accent6 4 3 2 4" xfId="18936" xr:uid="{00000000-0005-0000-0000-00008D290000}"/>
    <cellStyle name="20% - Accent6 4 3 2 4 2" xfId="18937" xr:uid="{00000000-0005-0000-0000-00008E290000}"/>
    <cellStyle name="20% - Accent6 4 3 2 4 2 2" xfId="18938" xr:uid="{00000000-0005-0000-0000-00008F290000}"/>
    <cellStyle name="20% - Accent6 4 3 2 4 2 2 2" xfId="18939" xr:uid="{00000000-0005-0000-0000-000090290000}"/>
    <cellStyle name="20% - Accent6 4 3 2 4 2 2 3" xfId="18940" xr:uid="{00000000-0005-0000-0000-000091290000}"/>
    <cellStyle name="20% - Accent6 4 3 2 4 2 3" xfId="18941" xr:uid="{00000000-0005-0000-0000-000092290000}"/>
    <cellStyle name="20% - Accent6 4 3 2 4 2 3 2" xfId="18942" xr:uid="{00000000-0005-0000-0000-000093290000}"/>
    <cellStyle name="20% - Accent6 4 3 2 4 2 3 3" xfId="18943" xr:uid="{00000000-0005-0000-0000-000094290000}"/>
    <cellStyle name="20% - Accent6 4 3 2 4 2 4" xfId="18944" xr:uid="{00000000-0005-0000-0000-000095290000}"/>
    <cellStyle name="20% - Accent6 4 3 2 4 2 4 2" xfId="18945" xr:uid="{00000000-0005-0000-0000-000096290000}"/>
    <cellStyle name="20% - Accent6 4 3 2 4 2 5" xfId="18946" xr:uid="{00000000-0005-0000-0000-000097290000}"/>
    <cellStyle name="20% - Accent6 4 3 2 4 2 6" xfId="18947" xr:uid="{00000000-0005-0000-0000-000098290000}"/>
    <cellStyle name="20% - Accent6 4 3 2 4 3" xfId="18948" xr:uid="{00000000-0005-0000-0000-000099290000}"/>
    <cellStyle name="20% - Accent6 4 3 2 4 3 2" xfId="18949" xr:uid="{00000000-0005-0000-0000-00009A290000}"/>
    <cellStyle name="20% - Accent6 4 3 2 4 3 2 2" xfId="18950" xr:uid="{00000000-0005-0000-0000-00009B290000}"/>
    <cellStyle name="20% - Accent6 4 3 2 4 3 2 3" xfId="18951" xr:uid="{00000000-0005-0000-0000-00009C290000}"/>
    <cellStyle name="20% - Accent6 4 3 2 4 3 3" xfId="18952" xr:uid="{00000000-0005-0000-0000-00009D290000}"/>
    <cellStyle name="20% - Accent6 4 3 2 4 3 3 2" xfId="18953" xr:uid="{00000000-0005-0000-0000-00009E290000}"/>
    <cellStyle name="20% - Accent6 4 3 2 4 3 3 3" xfId="18954" xr:uid="{00000000-0005-0000-0000-00009F290000}"/>
    <cellStyle name="20% - Accent6 4 3 2 4 3 4" xfId="18955" xr:uid="{00000000-0005-0000-0000-0000A0290000}"/>
    <cellStyle name="20% - Accent6 4 3 2 4 3 4 2" xfId="18956" xr:uid="{00000000-0005-0000-0000-0000A1290000}"/>
    <cellStyle name="20% - Accent6 4 3 2 4 3 5" xfId="18957" xr:uid="{00000000-0005-0000-0000-0000A2290000}"/>
    <cellStyle name="20% - Accent6 4 3 2 4 3 6" xfId="18958" xr:uid="{00000000-0005-0000-0000-0000A3290000}"/>
    <cellStyle name="20% - Accent6 4 3 2 4 4" xfId="18959" xr:uid="{00000000-0005-0000-0000-0000A4290000}"/>
    <cellStyle name="20% - Accent6 4 3 2 4 4 2" xfId="18960" xr:uid="{00000000-0005-0000-0000-0000A5290000}"/>
    <cellStyle name="20% - Accent6 4 3 2 4 4 2 2" xfId="18961" xr:uid="{00000000-0005-0000-0000-0000A6290000}"/>
    <cellStyle name="20% - Accent6 4 3 2 4 4 2 3" xfId="18962" xr:uid="{00000000-0005-0000-0000-0000A7290000}"/>
    <cellStyle name="20% - Accent6 4 3 2 4 4 3" xfId="18963" xr:uid="{00000000-0005-0000-0000-0000A8290000}"/>
    <cellStyle name="20% - Accent6 4 3 2 4 4 3 2" xfId="18964" xr:uid="{00000000-0005-0000-0000-0000A9290000}"/>
    <cellStyle name="20% - Accent6 4 3 2 4 4 4" xfId="18965" xr:uid="{00000000-0005-0000-0000-0000AA290000}"/>
    <cellStyle name="20% - Accent6 4 3 2 4 4 5" xfId="18966" xr:uid="{00000000-0005-0000-0000-0000AB290000}"/>
    <cellStyle name="20% - Accent6 4 3 2 4 5" xfId="18967" xr:uid="{00000000-0005-0000-0000-0000AC290000}"/>
    <cellStyle name="20% - Accent6 4 3 2 4 5 2" xfId="18968" xr:uid="{00000000-0005-0000-0000-0000AD290000}"/>
    <cellStyle name="20% - Accent6 4 3 2 4 5 3" xfId="18969" xr:uid="{00000000-0005-0000-0000-0000AE290000}"/>
    <cellStyle name="20% - Accent6 4 3 2 4 6" xfId="18970" xr:uid="{00000000-0005-0000-0000-0000AF290000}"/>
    <cellStyle name="20% - Accent6 4 3 2 4 6 2" xfId="18971" xr:uid="{00000000-0005-0000-0000-0000B0290000}"/>
    <cellStyle name="20% - Accent6 4 3 2 4 6 3" xfId="18972" xr:uid="{00000000-0005-0000-0000-0000B1290000}"/>
    <cellStyle name="20% - Accent6 4 3 2 4 7" xfId="18973" xr:uid="{00000000-0005-0000-0000-0000B2290000}"/>
    <cellStyle name="20% - Accent6 4 3 2 4 7 2" xfId="18974" xr:uid="{00000000-0005-0000-0000-0000B3290000}"/>
    <cellStyle name="20% - Accent6 4 3 2 4 8" xfId="18975" xr:uid="{00000000-0005-0000-0000-0000B4290000}"/>
    <cellStyle name="20% - Accent6 4 3 2 4 9" xfId="18976" xr:uid="{00000000-0005-0000-0000-0000B5290000}"/>
    <cellStyle name="20% - Accent6 4 3 2 5" xfId="18977" xr:uid="{00000000-0005-0000-0000-0000B6290000}"/>
    <cellStyle name="20% - Accent6 4 3 2 5 2" xfId="18978" xr:uid="{00000000-0005-0000-0000-0000B7290000}"/>
    <cellStyle name="20% - Accent6 4 3 2 5 2 2" xfId="18979" xr:uid="{00000000-0005-0000-0000-0000B8290000}"/>
    <cellStyle name="20% - Accent6 4 3 2 5 2 3" xfId="18980" xr:uid="{00000000-0005-0000-0000-0000B9290000}"/>
    <cellStyle name="20% - Accent6 4 3 2 5 3" xfId="18981" xr:uid="{00000000-0005-0000-0000-0000BA290000}"/>
    <cellStyle name="20% - Accent6 4 3 2 5 3 2" xfId="18982" xr:uid="{00000000-0005-0000-0000-0000BB290000}"/>
    <cellStyle name="20% - Accent6 4 3 2 5 3 3" xfId="18983" xr:uid="{00000000-0005-0000-0000-0000BC290000}"/>
    <cellStyle name="20% - Accent6 4 3 2 5 4" xfId="18984" xr:uid="{00000000-0005-0000-0000-0000BD290000}"/>
    <cellStyle name="20% - Accent6 4 3 2 5 4 2" xfId="18985" xr:uid="{00000000-0005-0000-0000-0000BE290000}"/>
    <cellStyle name="20% - Accent6 4 3 2 5 5" xfId="18986" xr:uid="{00000000-0005-0000-0000-0000BF290000}"/>
    <cellStyle name="20% - Accent6 4 3 2 5 6" xfId="18987" xr:uid="{00000000-0005-0000-0000-0000C0290000}"/>
    <cellStyle name="20% - Accent6 4 3 2 6" xfId="18988" xr:uid="{00000000-0005-0000-0000-0000C1290000}"/>
    <cellStyle name="20% - Accent6 4 3 2 6 2" xfId="18989" xr:uid="{00000000-0005-0000-0000-0000C2290000}"/>
    <cellStyle name="20% - Accent6 4 3 2 6 2 2" xfId="18990" xr:uid="{00000000-0005-0000-0000-0000C3290000}"/>
    <cellStyle name="20% - Accent6 4 3 2 6 2 3" xfId="18991" xr:uid="{00000000-0005-0000-0000-0000C4290000}"/>
    <cellStyle name="20% - Accent6 4 3 2 6 3" xfId="18992" xr:uid="{00000000-0005-0000-0000-0000C5290000}"/>
    <cellStyle name="20% - Accent6 4 3 2 6 3 2" xfId="18993" xr:uid="{00000000-0005-0000-0000-0000C6290000}"/>
    <cellStyle name="20% - Accent6 4 3 2 6 3 3" xfId="18994" xr:uid="{00000000-0005-0000-0000-0000C7290000}"/>
    <cellStyle name="20% - Accent6 4 3 2 6 4" xfId="18995" xr:uid="{00000000-0005-0000-0000-0000C8290000}"/>
    <cellStyle name="20% - Accent6 4 3 2 6 4 2" xfId="18996" xr:uid="{00000000-0005-0000-0000-0000C9290000}"/>
    <cellStyle name="20% - Accent6 4 3 2 6 5" xfId="18997" xr:uid="{00000000-0005-0000-0000-0000CA290000}"/>
    <cellStyle name="20% - Accent6 4 3 2 6 6" xfId="18998" xr:uid="{00000000-0005-0000-0000-0000CB290000}"/>
    <cellStyle name="20% - Accent6 4 3 2 7" xfId="18999" xr:uid="{00000000-0005-0000-0000-0000CC290000}"/>
    <cellStyle name="20% - Accent6 4 3 2 7 2" xfId="19000" xr:uid="{00000000-0005-0000-0000-0000CD290000}"/>
    <cellStyle name="20% - Accent6 4 3 2 7 2 2" xfId="19001" xr:uid="{00000000-0005-0000-0000-0000CE290000}"/>
    <cellStyle name="20% - Accent6 4 3 2 7 2 3" xfId="19002" xr:uid="{00000000-0005-0000-0000-0000CF290000}"/>
    <cellStyle name="20% - Accent6 4 3 2 7 3" xfId="19003" xr:uid="{00000000-0005-0000-0000-0000D0290000}"/>
    <cellStyle name="20% - Accent6 4 3 2 7 3 2" xfId="19004" xr:uid="{00000000-0005-0000-0000-0000D1290000}"/>
    <cellStyle name="20% - Accent6 4 3 2 7 4" xfId="19005" xr:uid="{00000000-0005-0000-0000-0000D2290000}"/>
    <cellStyle name="20% - Accent6 4 3 2 7 5" xfId="19006" xr:uid="{00000000-0005-0000-0000-0000D3290000}"/>
    <cellStyle name="20% - Accent6 4 3 2 8" xfId="19007" xr:uid="{00000000-0005-0000-0000-0000D4290000}"/>
    <cellStyle name="20% - Accent6 4 3 2 8 2" xfId="19008" xr:uid="{00000000-0005-0000-0000-0000D5290000}"/>
    <cellStyle name="20% - Accent6 4 3 2 8 3" xfId="19009" xr:uid="{00000000-0005-0000-0000-0000D6290000}"/>
    <cellStyle name="20% - Accent6 4 3 2 9" xfId="19010" xr:uid="{00000000-0005-0000-0000-0000D7290000}"/>
    <cellStyle name="20% - Accent6 4 3 2 9 2" xfId="19011" xr:uid="{00000000-0005-0000-0000-0000D8290000}"/>
    <cellStyle name="20% - Accent6 4 3 2 9 3" xfId="19012" xr:uid="{00000000-0005-0000-0000-0000D9290000}"/>
    <cellStyle name="20% - Accent6 4 3 3" xfId="1367" xr:uid="{00000000-0005-0000-0000-0000DA290000}"/>
    <cellStyle name="20% - Accent6 4 3 3 10" xfId="19013" xr:uid="{00000000-0005-0000-0000-0000DB290000}"/>
    <cellStyle name="20% - Accent6 4 3 3 2" xfId="1368" xr:uid="{00000000-0005-0000-0000-0000DC290000}"/>
    <cellStyle name="20% - Accent6 4 3 3 2 2" xfId="19014" xr:uid="{00000000-0005-0000-0000-0000DD290000}"/>
    <cellStyle name="20% - Accent6 4 3 3 2 2 2" xfId="19015" xr:uid="{00000000-0005-0000-0000-0000DE290000}"/>
    <cellStyle name="20% - Accent6 4 3 3 2 2 2 2" xfId="19016" xr:uid="{00000000-0005-0000-0000-0000DF290000}"/>
    <cellStyle name="20% - Accent6 4 3 3 2 2 2 3" xfId="19017" xr:uid="{00000000-0005-0000-0000-0000E0290000}"/>
    <cellStyle name="20% - Accent6 4 3 3 2 2 3" xfId="19018" xr:uid="{00000000-0005-0000-0000-0000E1290000}"/>
    <cellStyle name="20% - Accent6 4 3 3 2 2 3 2" xfId="19019" xr:uid="{00000000-0005-0000-0000-0000E2290000}"/>
    <cellStyle name="20% - Accent6 4 3 3 2 2 3 3" xfId="19020" xr:uid="{00000000-0005-0000-0000-0000E3290000}"/>
    <cellStyle name="20% - Accent6 4 3 3 2 2 4" xfId="19021" xr:uid="{00000000-0005-0000-0000-0000E4290000}"/>
    <cellStyle name="20% - Accent6 4 3 3 2 2 4 2" xfId="19022" xr:uid="{00000000-0005-0000-0000-0000E5290000}"/>
    <cellStyle name="20% - Accent6 4 3 3 2 2 5" xfId="19023" xr:uid="{00000000-0005-0000-0000-0000E6290000}"/>
    <cellStyle name="20% - Accent6 4 3 3 2 2 6" xfId="19024" xr:uid="{00000000-0005-0000-0000-0000E7290000}"/>
    <cellStyle name="20% - Accent6 4 3 3 2 3" xfId="19025" xr:uid="{00000000-0005-0000-0000-0000E8290000}"/>
    <cellStyle name="20% - Accent6 4 3 3 2 3 2" xfId="19026" xr:uid="{00000000-0005-0000-0000-0000E9290000}"/>
    <cellStyle name="20% - Accent6 4 3 3 2 3 2 2" xfId="19027" xr:uid="{00000000-0005-0000-0000-0000EA290000}"/>
    <cellStyle name="20% - Accent6 4 3 3 2 3 2 3" xfId="19028" xr:uid="{00000000-0005-0000-0000-0000EB290000}"/>
    <cellStyle name="20% - Accent6 4 3 3 2 3 3" xfId="19029" xr:uid="{00000000-0005-0000-0000-0000EC290000}"/>
    <cellStyle name="20% - Accent6 4 3 3 2 3 3 2" xfId="19030" xr:uid="{00000000-0005-0000-0000-0000ED290000}"/>
    <cellStyle name="20% - Accent6 4 3 3 2 3 3 3" xfId="19031" xr:uid="{00000000-0005-0000-0000-0000EE290000}"/>
    <cellStyle name="20% - Accent6 4 3 3 2 3 4" xfId="19032" xr:uid="{00000000-0005-0000-0000-0000EF290000}"/>
    <cellStyle name="20% - Accent6 4 3 3 2 3 4 2" xfId="19033" xr:uid="{00000000-0005-0000-0000-0000F0290000}"/>
    <cellStyle name="20% - Accent6 4 3 3 2 3 5" xfId="19034" xr:uid="{00000000-0005-0000-0000-0000F1290000}"/>
    <cellStyle name="20% - Accent6 4 3 3 2 3 6" xfId="19035" xr:uid="{00000000-0005-0000-0000-0000F2290000}"/>
    <cellStyle name="20% - Accent6 4 3 3 2 4" xfId="19036" xr:uid="{00000000-0005-0000-0000-0000F3290000}"/>
    <cellStyle name="20% - Accent6 4 3 3 2 4 2" xfId="19037" xr:uid="{00000000-0005-0000-0000-0000F4290000}"/>
    <cellStyle name="20% - Accent6 4 3 3 2 4 2 2" xfId="19038" xr:uid="{00000000-0005-0000-0000-0000F5290000}"/>
    <cellStyle name="20% - Accent6 4 3 3 2 4 2 3" xfId="19039" xr:uid="{00000000-0005-0000-0000-0000F6290000}"/>
    <cellStyle name="20% - Accent6 4 3 3 2 4 3" xfId="19040" xr:uid="{00000000-0005-0000-0000-0000F7290000}"/>
    <cellStyle name="20% - Accent6 4 3 3 2 4 3 2" xfId="19041" xr:uid="{00000000-0005-0000-0000-0000F8290000}"/>
    <cellStyle name="20% - Accent6 4 3 3 2 4 4" xfId="19042" xr:uid="{00000000-0005-0000-0000-0000F9290000}"/>
    <cellStyle name="20% - Accent6 4 3 3 2 4 5" xfId="19043" xr:uid="{00000000-0005-0000-0000-0000FA290000}"/>
    <cellStyle name="20% - Accent6 4 3 3 2 5" xfId="19044" xr:uid="{00000000-0005-0000-0000-0000FB290000}"/>
    <cellStyle name="20% - Accent6 4 3 3 2 5 2" xfId="19045" xr:uid="{00000000-0005-0000-0000-0000FC290000}"/>
    <cellStyle name="20% - Accent6 4 3 3 2 5 3" xfId="19046" xr:uid="{00000000-0005-0000-0000-0000FD290000}"/>
    <cellStyle name="20% - Accent6 4 3 3 2 6" xfId="19047" xr:uid="{00000000-0005-0000-0000-0000FE290000}"/>
    <cellStyle name="20% - Accent6 4 3 3 2 6 2" xfId="19048" xr:uid="{00000000-0005-0000-0000-0000FF290000}"/>
    <cellStyle name="20% - Accent6 4 3 3 2 6 3" xfId="19049" xr:uid="{00000000-0005-0000-0000-0000002A0000}"/>
    <cellStyle name="20% - Accent6 4 3 3 2 7" xfId="19050" xr:uid="{00000000-0005-0000-0000-0000012A0000}"/>
    <cellStyle name="20% - Accent6 4 3 3 2 7 2" xfId="19051" xr:uid="{00000000-0005-0000-0000-0000022A0000}"/>
    <cellStyle name="20% - Accent6 4 3 3 2 8" xfId="19052" xr:uid="{00000000-0005-0000-0000-0000032A0000}"/>
    <cellStyle name="20% - Accent6 4 3 3 2 9" xfId="19053" xr:uid="{00000000-0005-0000-0000-0000042A0000}"/>
    <cellStyle name="20% - Accent6 4 3 3 3" xfId="19054" xr:uid="{00000000-0005-0000-0000-0000052A0000}"/>
    <cellStyle name="20% - Accent6 4 3 3 3 2" xfId="19055" xr:uid="{00000000-0005-0000-0000-0000062A0000}"/>
    <cellStyle name="20% - Accent6 4 3 3 3 2 2" xfId="19056" xr:uid="{00000000-0005-0000-0000-0000072A0000}"/>
    <cellStyle name="20% - Accent6 4 3 3 3 2 3" xfId="19057" xr:uid="{00000000-0005-0000-0000-0000082A0000}"/>
    <cellStyle name="20% - Accent6 4 3 3 3 3" xfId="19058" xr:uid="{00000000-0005-0000-0000-0000092A0000}"/>
    <cellStyle name="20% - Accent6 4 3 3 3 3 2" xfId="19059" xr:uid="{00000000-0005-0000-0000-00000A2A0000}"/>
    <cellStyle name="20% - Accent6 4 3 3 3 3 3" xfId="19060" xr:uid="{00000000-0005-0000-0000-00000B2A0000}"/>
    <cellStyle name="20% - Accent6 4 3 3 3 4" xfId="19061" xr:uid="{00000000-0005-0000-0000-00000C2A0000}"/>
    <cellStyle name="20% - Accent6 4 3 3 3 4 2" xfId="19062" xr:uid="{00000000-0005-0000-0000-00000D2A0000}"/>
    <cellStyle name="20% - Accent6 4 3 3 3 5" xfId="19063" xr:uid="{00000000-0005-0000-0000-00000E2A0000}"/>
    <cellStyle name="20% - Accent6 4 3 3 3 6" xfId="19064" xr:uid="{00000000-0005-0000-0000-00000F2A0000}"/>
    <cellStyle name="20% - Accent6 4 3 3 4" xfId="19065" xr:uid="{00000000-0005-0000-0000-0000102A0000}"/>
    <cellStyle name="20% - Accent6 4 3 3 4 2" xfId="19066" xr:uid="{00000000-0005-0000-0000-0000112A0000}"/>
    <cellStyle name="20% - Accent6 4 3 3 4 2 2" xfId="19067" xr:uid="{00000000-0005-0000-0000-0000122A0000}"/>
    <cellStyle name="20% - Accent6 4 3 3 4 2 3" xfId="19068" xr:uid="{00000000-0005-0000-0000-0000132A0000}"/>
    <cellStyle name="20% - Accent6 4 3 3 4 3" xfId="19069" xr:uid="{00000000-0005-0000-0000-0000142A0000}"/>
    <cellStyle name="20% - Accent6 4 3 3 4 3 2" xfId="19070" xr:uid="{00000000-0005-0000-0000-0000152A0000}"/>
    <cellStyle name="20% - Accent6 4 3 3 4 3 3" xfId="19071" xr:uid="{00000000-0005-0000-0000-0000162A0000}"/>
    <cellStyle name="20% - Accent6 4 3 3 4 4" xfId="19072" xr:uid="{00000000-0005-0000-0000-0000172A0000}"/>
    <cellStyle name="20% - Accent6 4 3 3 4 4 2" xfId="19073" xr:uid="{00000000-0005-0000-0000-0000182A0000}"/>
    <cellStyle name="20% - Accent6 4 3 3 4 5" xfId="19074" xr:uid="{00000000-0005-0000-0000-0000192A0000}"/>
    <cellStyle name="20% - Accent6 4 3 3 4 6" xfId="19075" xr:uid="{00000000-0005-0000-0000-00001A2A0000}"/>
    <cellStyle name="20% - Accent6 4 3 3 5" xfId="19076" xr:uid="{00000000-0005-0000-0000-00001B2A0000}"/>
    <cellStyle name="20% - Accent6 4 3 3 5 2" xfId="19077" xr:uid="{00000000-0005-0000-0000-00001C2A0000}"/>
    <cellStyle name="20% - Accent6 4 3 3 5 2 2" xfId="19078" xr:uid="{00000000-0005-0000-0000-00001D2A0000}"/>
    <cellStyle name="20% - Accent6 4 3 3 5 2 3" xfId="19079" xr:uid="{00000000-0005-0000-0000-00001E2A0000}"/>
    <cellStyle name="20% - Accent6 4 3 3 5 3" xfId="19080" xr:uid="{00000000-0005-0000-0000-00001F2A0000}"/>
    <cellStyle name="20% - Accent6 4 3 3 5 3 2" xfId="19081" xr:uid="{00000000-0005-0000-0000-0000202A0000}"/>
    <cellStyle name="20% - Accent6 4 3 3 5 4" xfId="19082" xr:uid="{00000000-0005-0000-0000-0000212A0000}"/>
    <cellStyle name="20% - Accent6 4 3 3 5 5" xfId="19083" xr:uid="{00000000-0005-0000-0000-0000222A0000}"/>
    <cellStyle name="20% - Accent6 4 3 3 6" xfId="19084" xr:uid="{00000000-0005-0000-0000-0000232A0000}"/>
    <cellStyle name="20% - Accent6 4 3 3 6 2" xfId="19085" xr:uid="{00000000-0005-0000-0000-0000242A0000}"/>
    <cellStyle name="20% - Accent6 4 3 3 6 3" xfId="19086" xr:uid="{00000000-0005-0000-0000-0000252A0000}"/>
    <cellStyle name="20% - Accent6 4 3 3 7" xfId="19087" xr:uid="{00000000-0005-0000-0000-0000262A0000}"/>
    <cellStyle name="20% - Accent6 4 3 3 7 2" xfId="19088" xr:uid="{00000000-0005-0000-0000-0000272A0000}"/>
    <cellStyle name="20% - Accent6 4 3 3 7 3" xfId="19089" xr:uid="{00000000-0005-0000-0000-0000282A0000}"/>
    <cellStyle name="20% - Accent6 4 3 3 8" xfId="19090" xr:uid="{00000000-0005-0000-0000-0000292A0000}"/>
    <cellStyle name="20% - Accent6 4 3 3 8 2" xfId="19091" xr:uid="{00000000-0005-0000-0000-00002A2A0000}"/>
    <cellStyle name="20% - Accent6 4 3 3 9" xfId="19092" xr:uid="{00000000-0005-0000-0000-00002B2A0000}"/>
    <cellStyle name="20% - Accent6 4 3 4" xfId="1369" xr:uid="{00000000-0005-0000-0000-00002C2A0000}"/>
    <cellStyle name="20% - Accent6 4 3 4 2" xfId="19093" xr:uid="{00000000-0005-0000-0000-00002D2A0000}"/>
    <cellStyle name="20% - Accent6 4 3 4 2 2" xfId="19094" xr:uid="{00000000-0005-0000-0000-00002E2A0000}"/>
    <cellStyle name="20% - Accent6 4 3 4 2 2 2" xfId="19095" xr:uid="{00000000-0005-0000-0000-00002F2A0000}"/>
    <cellStyle name="20% - Accent6 4 3 4 2 2 3" xfId="19096" xr:uid="{00000000-0005-0000-0000-0000302A0000}"/>
    <cellStyle name="20% - Accent6 4 3 4 2 3" xfId="19097" xr:uid="{00000000-0005-0000-0000-0000312A0000}"/>
    <cellStyle name="20% - Accent6 4 3 4 2 3 2" xfId="19098" xr:uid="{00000000-0005-0000-0000-0000322A0000}"/>
    <cellStyle name="20% - Accent6 4 3 4 2 3 3" xfId="19099" xr:uid="{00000000-0005-0000-0000-0000332A0000}"/>
    <cellStyle name="20% - Accent6 4 3 4 2 4" xfId="19100" xr:uid="{00000000-0005-0000-0000-0000342A0000}"/>
    <cellStyle name="20% - Accent6 4 3 4 2 4 2" xfId="19101" xr:uid="{00000000-0005-0000-0000-0000352A0000}"/>
    <cellStyle name="20% - Accent6 4 3 4 2 5" xfId="19102" xr:uid="{00000000-0005-0000-0000-0000362A0000}"/>
    <cellStyle name="20% - Accent6 4 3 4 2 6" xfId="19103" xr:uid="{00000000-0005-0000-0000-0000372A0000}"/>
    <cellStyle name="20% - Accent6 4 3 4 3" xfId="19104" xr:uid="{00000000-0005-0000-0000-0000382A0000}"/>
    <cellStyle name="20% - Accent6 4 3 4 3 2" xfId="19105" xr:uid="{00000000-0005-0000-0000-0000392A0000}"/>
    <cellStyle name="20% - Accent6 4 3 4 3 2 2" xfId="19106" xr:uid="{00000000-0005-0000-0000-00003A2A0000}"/>
    <cellStyle name="20% - Accent6 4 3 4 3 2 3" xfId="19107" xr:uid="{00000000-0005-0000-0000-00003B2A0000}"/>
    <cellStyle name="20% - Accent6 4 3 4 3 3" xfId="19108" xr:uid="{00000000-0005-0000-0000-00003C2A0000}"/>
    <cellStyle name="20% - Accent6 4 3 4 3 3 2" xfId="19109" xr:uid="{00000000-0005-0000-0000-00003D2A0000}"/>
    <cellStyle name="20% - Accent6 4 3 4 3 3 3" xfId="19110" xr:uid="{00000000-0005-0000-0000-00003E2A0000}"/>
    <cellStyle name="20% - Accent6 4 3 4 3 4" xfId="19111" xr:uid="{00000000-0005-0000-0000-00003F2A0000}"/>
    <cellStyle name="20% - Accent6 4 3 4 3 4 2" xfId="19112" xr:uid="{00000000-0005-0000-0000-0000402A0000}"/>
    <cellStyle name="20% - Accent6 4 3 4 3 5" xfId="19113" xr:uid="{00000000-0005-0000-0000-0000412A0000}"/>
    <cellStyle name="20% - Accent6 4 3 4 3 6" xfId="19114" xr:uid="{00000000-0005-0000-0000-0000422A0000}"/>
    <cellStyle name="20% - Accent6 4 3 4 4" xfId="19115" xr:uid="{00000000-0005-0000-0000-0000432A0000}"/>
    <cellStyle name="20% - Accent6 4 3 4 4 2" xfId="19116" xr:uid="{00000000-0005-0000-0000-0000442A0000}"/>
    <cellStyle name="20% - Accent6 4 3 4 4 2 2" xfId="19117" xr:uid="{00000000-0005-0000-0000-0000452A0000}"/>
    <cellStyle name="20% - Accent6 4 3 4 4 2 3" xfId="19118" xr:uid="{00000000-0005-0000-0000-0000462A0000}"/>
    <cellStyle name="20% - Accent6 4 3 4 4 3" xfId="19119" xr:uid="{00000000-0005-0000-0000-0000472A0000}"/>
    <cellStyle name="20% - Accent6 4 3 4 4 3 2" xfId="19120" xr:uid="{00000000-0005-0000-0000-0000482A0000}"/>
    <cellStyle name="20% - Accent6 4 3 4 4 4" xfId="19121" xr:uid="{00000000-0005-0000-0000-0000492A0000}"/>
    <cellStyle name="20% - Accent6 4 3 4 4 5" xfId="19122" xr:uid="{00000000-0005-0000-0000-00004A2A0000}"/>
    <cellStyle name="20% - Accent6 4 3 4 5" xfId="19123" xr:uid="{00000000-0005-0000-0000-00004B2A0000}"/>
    <cellStyle name="20% - Accent6 4 3 4 5 2" xfId="19124" xr:uid="{00000000-0005-0000-0000-00004C2A0000}"/>
    <cellStyle name="20% - Accent6 4 3 4 5 3" xfId="19125" xr:uid="{00000000-0005-0000-0000-00004D2A0000}"/>
    <cellStyle name="20% - Accent6 4 3 4 6" xfId="19126" xr:uid="{00000000-0005-0000-0000-00004E2A0000}"/>
    <cellStyle name="20% - Accent6 4 3 4 6 2" xfId="19127" xr:uid="{00000000-0005-0000-0000-00004F2A0000}"/>
    <cellStyle name="20% - Accent6 4 3 4 6 3" xfId="19128" xr:uid="{00000000-0005-0000-0000-0000502A0000}"/>
    <cellStyle name="20% - Accent6 4 3 4 7" xfId="19129" xr:uid="{00000000-0005-0000-0000-0000512A0000}"/>
    <cellStyle name="20% - Accent6 4 3 4 7 2" xfId="19130" xr:uid="{00000000-0005-0000-0000-0000522A0000}"/>
    <cellStyle name="20% - Accent6 4 3 4 8" xfId="19131" xr:uid="{00000000-0005-0000-0000-0000532A0000}"/>
    <cellStyle name="20% - Accent6 4 3 4 9" xfId="19132" xr:uid="{00000000-0005-0000-0000-0000542A0000}"/>
    <cellStyle name="20% - Accent6 4 3 5" xfId="19133" xr:uid="{00000000-0005-0000-0000-0000552A0000}"/>
    <cellStyle name="20% - Accent6 4 3 5 2" xfId="19134" xr:uid="{00000000-0005-0000-0000-0000562A0000}"/>
    <cellStyle name="20% - Accent6 4 3 5 2 2" xfId="19135" xr:uid="{00000000-0005-0000-0000-0000572A0000}"/>
    <cellStyle name="20% - Accent6 4 3 5 2 2 2" xfId="19136" xr:uid="{00000000-0005-0000-0000-0000582A0000}"/>
    <cellStyle name="20% - Accent6 4 3 5 2 2 3" xfId="19137" xr:uid="{00000000-0005-0000-0000-0000592A0000}"/>
    <cellStyle name="20% - Accent6 4 3 5 2 3" xfId="19138" xr:uid="{00000000-0005-0000-0000-00005A2A0000}"/>
    <cellStyle name="20% - Accent6 4 3 5 2 3 2" xfId="19139" xr:uid="{00000000-0005-0000-0000-00005B2A0000}"/>
    <cellStyle name="20% - Accent6 4 3 5 2 3 3" xfId="19140" xr:uid="{00000000-0005-0000-0000-00005C2A0000}"/>
    <cellStyle name="20% - Accent6 4 3 5 2 4" xfId="19141" xr:uid="{00000000-0005-0000-0000-00005D2A0000}"/>
    <cellStyle name="20% - Accent6 4 3 5 2 4 2" xfId="19142" xr:uid="{00000000-0005-0000-0000-00005E2A0000}"/>
    <cellStyle name="20% - Accent6 4 3 5 2 5" xfId="19143" xr:uid="{00000000-0005-0000-0000-00005F2A0000}"/>
    <cellStyle name="20% - Accent6 4 3 5 2 6" xfId="19144" xr:uid="{00000000-0005-0000-0000-0000602A0000}"/>
    <cellStyle name="20% - Accent6 4 3 5 3" xfId="19145" xr:uid="{00000000-0005-0000-0000-0000612A0000}"/>
    <cellStyle name="20% - Accent6 4 3 5 3 2" xfId="19146" xr:uid="{00000000-0005-0000-0000-0000622A0000}"/>
    <cellStyle name="20% - Accent6 4 3 5 3 2 2" xfId="19147" xr:uid="{00000000-0005-0000-0000-0000632A0000}"/>
    <cellStyle name="20% - Accent6 4 3 5 3 2 3" xfId="19148" xr:uid="{00000000-0005-0000-0000-0000642A0000}"/>
    <cellStyle name="20% - Accent6 4 3 5 3 3" xfId="19149" xr:uid="{00000000-0005-0000-0000-0000652A0000}"/>
    <cellStyle name="20% - Accent6 4 3 5 3 3 2" xfId="19150" xr:uid="{00000000-0005-0000-0000-0000662A0000}"/>
    <cellStyle name="20% - Accent6 4 3 5 3 3 3" xfId="19151" xr:uid="{00000000-0005-0000-0000-0000672A0000}"/>
    <cellStyle name="20% - Accent6 4 3 5 3 4" xfId="19152" xr:uid="{00000000-0005-0000-0000-0000682A0000}"/>
    <cellStyle name="20% - Accent6 4 3 5 3 4 2" xfId="19153" xr:uid="{00000000-0005-0000-0000-0000692A0000}"/>
    <cellStyle name="20% - Accent6 4 3 5 3 5" xfId="19154" xr:uid="{00000000-0005-0000-0000-00006A2A0000}"/>
    <cellStyle name="20% - Accent6 4 3 5 3 6" xfId="19155" xr:uid="{00000000-0005-0000-0000-00006B2A0000}"/>
    <cellStyle name="20% - Accent6 4 3 5 4" xfId="19156" xr:uid="{00000000-0005-0000-0000-00006C2A0000}"/>
    <cellStyle name="20% - Accent6 4 3 5 4 2" xfId="19157" xr:uid="{00000000-0005-0000-0000-00006D2A0000}"/>
    <cellStyle name="20% - Accent6 4 3 5 4 2 2" xfId="19158" xr:uid="{00000000-0005-0000-0000-00006E2A0000}"/>
    <cellStyle name="20% - Accent6 4 3 5 4 2 3" xfId="19159" xr:uid="{00000000-0005-0000-0000-00006F2A0000}"/>
    <cellStyle name="20% - Accent6 4 3 5 4 3" xfId="19160" xr:uid="{00000000-0005-0000-0000-0000702A0000}"/>
    <cellStyle name="20% - Accent6 4 3 5 4 3 2" xfId="19161" xr:uid="{00000000-0005-0000-0000-0000712A0000}"/>
    <cellStyle name="20% - Accent6 4 3 5 4 4" xfId="19162" xr:uid="{00000000-0005-0000-0000-0000722A0000}"/>
    <cellStyle name="20% - Accent6 4 3 5 4 5" xfId="19163" xr:uid="{00000000-0005-0000-0000-0000732A0000}"/>
    <cellStyle name="20% - Accent6 4 3 5 5" xfId="19164" xr:uid="{00000000-0005-0000-0000-0000742A0000}"/>
    <cellStyle name="20% - Accent6 4 3 5 5 2" xfId="19165" xr:uid="{00000000-0005-0000-0000-0000752A0000}"/>
    <cellStyle name="20% - Accent6 4 3 5 5 3" xfId="19166" xr:uid="{00000000-0005-0000-0000-0000762A0000}"/>
    <cellStyle name="20% - Accent6 4 3 5 6" xfId="19167" xr:uid="{00000000-0005-0000-0000-0000772A0000}"/>
    <cellStyle name="20% - Accent6 4 3 5 6 2" xfId="19168" xr:uid="{00000000-0005-0000-0000-0000782A0000}"/>
    <cellStyle name="20% - Accent6 4 3 5 6 3" xfId="19169" xr:uid="{00000000-0005-0000-0000-0000792A0000}"/>
    <cellStyle name="20% - Accent6 4 3 5 7" xfId="19170" xr:uid="{00000000-0005-0000-0000-00007A2A0000}"/>
    <cellStyle name="20% - Accent6 4 3 5 7 2" xfId="19171" xr:uid="{00000000-0005-0000-0000-00007B2A0000}"/>
    <cellStyle name="20% - Accent6 4 3 5 8" xfId="19172" xr:uid="{00000000-0005-0000-0000-00007C2A0000}"/>
    <cellStyle name="20% - Accent6 4 3 5 9" xfId="19173" xr:uid="{00000000-0005-0000-0000-00007D2A0000}"/>
    <cellStyle name="20% - Accent6 4 3 6" xfId="19174" xr:uid="{00000000-0005-0000-0000-00007E2A0000}"/>
    <cellStyle name="20% - Accent6 4 3 6 2" xfId="19175" xr:uid="{00000000-0005-0000-0000-00007F2A0000}"/>
    <cellStyle name="20% - Accent6 4 3 6 2 2" xfId="19176" xr:uid="{00000000-0005-0000-0000-0000802A0000}"/>
    <cellStyle name="20% - Accent6 4 3 6 2 3" xfId="19177" xr:uid="{00000000-0005-0000-0000-0000812A0000}"/>
    <cellStyle name="20% - Accent6 4 3 6 3" xfId="19178" xr:uid="{00000000-0005-0000-0000-0000822A0000}"/>
    <cellStyle name="20% - Accent6 4 3 6 3 2" xfId="19179" xr:uid="{00000000-0005-0000-0000-0000832A0000}"/>
    <cellStyle name="20% - Accent6 4 3 6 3 3" xfId="19180" xr:uid="{00000000-0005-0000-0000-0000842A0000}"/>
    <cellStyle name="20% - Accent6 4 3 6 4" xfId="19181" xr:uid="{00000000-0005-0000-0000-0000852A0000}"/>
    <cellStyle name="20% - Accent6 4 3 6 4 2" xfId="19182" xr:uid="{00000000-0005-0000-0000-0000862A0000}"/>
    <cellStyle name="20% - Accent6 4 3 6 5" xfId="19183" xr:uid="{00000000-0005-0000-0000-0000872A0000}"/>
    <cellStyle name="20% - Accent6 4 3 6 6" xfId="19184" xr:uid="{00000000-0005-0000-0000-0000882A0000}"/>
    <cellStyle name="20% - Accent6 4 3 7" xfId="19185" xr:uid="{00000000-0005-0000-0000-0000892A0000}"/>
    <cellStyle name="20% - Accent6 4 3 7 2" xfId="19186" xr:uid="{00000000-0005-0000-0000-00008A2A0000}"/>
    <cellStyle name="20% - Accent6 4 3 7 2 2" xfId="19187" xr:uid="{00000000-0005-0000-0000-00008B2A0000}"/>
    <cellStyle name="20% - Accent6 4 3 7 2 3" xfId="19188" xr:uid="{00000000-0005-0000-0000-00008C2A0000}"/>
    <cellStyle name="20% - Accent6 4 3 7 3" xfId="19189" xr:uid="{00000000-0005-0000-0000-00008D2A0000}"/>
    <cellStyle name="20% - Accent6 4 3 7 3 2" xfId="19190" xr:uid="{00000000-0005-0000-0000-00008E2A0000}"/>
    <cellStyle name="20% - Accent6 4 3 7 3 3" xfId="19191" xr:uid="{00000000-0005-0000-0000-00008F2A0000}"/>
    <cellStyle name="20% - Accent6 4 3 7 4" xfId="19192" xr:uid="{00000000-0005-0000-0000-0000902A0000}"/>
    <cellStyle name="20% - Accent6 4 3 7 4 2" xfId="19193" xr:uid="{00000000-0005-0000-0000-0000912A0000}"/>
    <cellStyle name="20% - Accent6 4 3 7 5" xfId="19194" xr:uid="{00000000-0005-0000-0000-0000922A0000}"/>
    <cellStyle name="20% - Accent6 4 3 7 6" xfId="19195" xr:uid="{00000000-0005-0000-0000-0000932A0000}"/>
    <cellStyle name="20% - Accent6 4 3 8" xfId="19196" xr:uid="{00000000-0005-0000-0000-0000942A0000}"/>
    <cellStyle name="20% - Accent6 4 3 8 2" xfId="19197" xr:uid="{00000000-0005-0000-0000-0000952A0000}"/>
    <cellStyle name="20% - Accent6 4 3 8 2 2" xfId="19198" xr:uid="{00000000-0005-0000-0000-0000962A0000}"/>
    <cellStyle name="20% - Accent6 4 3 8 2 3" xfId="19199" xr:uid="{00000000-0005-0000-0000-0000972A0000}"/>
    <cellStyle name="20% - Accent6 4 3 8 3" xfId="19200" xr:uid="{00000000-0005-0000-0000-0000982A0000}"/>
    <cellStyle name="20% - Accent6 4 3 8 3 2" xfId="19201" xr:uid="{00000000-0005-0000-0000-0000992A0000}"/>
    <cellStyle name="20% - Accent6 4 3 8 4" xfId="19202" xr:uid="{00000000-0005-0000-0000-00009A2A0000}"/>
    <cellStyle name="20% - Accent6 4 3 8 5" xfId="19203" xr:uid="{00000000-0005-0000-0000-00009B2A0000}"/>
    <cellStyle name="20% - Accent6 4 3 9" xfId="19204" xr:uid="{00000000-0005-0000-0000-00009C2A0000}"/>
    <cellStyle name="20% - Accent6 4 3 9 2" xfId="19205" xr:uid="{00000000-0005-0000-0000-00009D2A0000}"/>
    <cellStyle name="20% - Accent6 4 3 9 3" xfId="19206" xr:uid="{00000000-0005-0000-0000-00009E2A0000}"/>
    <cellStyle name="20% - Accent6 4 4" xfId="1370" xr:uid="{00000000-0005-0000-0000-00009F2A0000}"/>
    <cellStyle name="20% - Accent6 4 4 10" xfId="19207" xr:uid="{00000000-0005-0000-0000-0000A02A0000}"/>
    <cellStyle name="20% - Accent6 4 4 10 2" xfId="19208" xr:uid="{00000000-0005-0000-0000-0000A12A0000}"/>
    <cellStyle name="20% - Accent6 4 4 11" xfId="19209" xr:uid="{00000000-0005-0000-0000-0000A22A0000}"/>
    <cellStyle name="20% - Accent6 4 4 12" xfId="19210" xr:uid="{00000000-0005-0000-0000-0000A32A0000}"/>
    <cellStyle name="20% - Accent6 4 4 2" xfId="1371" xr:uid="{00000000-0005-0000-0000-0000A42A0000}"/>
    <cellStyle name="20% - Accent6 4 4 2 10" xfId="19211" xr:uid="{00000000-0005-0000-0000-0000A52A0000}"/>
    <cellStyle name="20% - Accent6 4 4 2 2" xfId="1372" xr:uid="{00000000-0005-0000-0000-0000A62A0000}"/>
    <cellStyle name="20% - Accent6 4 4 2 2 2" xfId="19212" xr:uid="{00000000-0005-0000-0000-0000A72A0000}"/>
    <cellStyle name="20% - Accent6 4 4 2 2 2 2" xfId="19213" xr:uid="{00000000-0005-0000-0000-0000A82A0000}"/>
    <cellStyle name="20% - Accent6 4 4 2 2 2 2 2" xfId="19214" xr:uid="{00000000-0005-0000-0000-0000A92A0000}"/>
    <cellStyle name="20% - Accent6 4 4 2 2 2 2 3" xfId="19215" xr:uid="{00000000-0005-0000-0000-0000AA2A0000}"/>
    <cellStyle name="20% - Accent6 4 4 2 2 2 3" xfId="19216" xr:uid="{00000000-0005-0000-0000-0000AB2A0000}"/>
    <cellStyle name="20% - Accent6 4 4 2 2 2 3 2" xfId="19217" xr:uid="{00000000-0005-0000-0000-0000AC2A0000}"/>
    <cellStyle name="20% - Accent6 4 4 2 2 2 3 3" xfId="19218" xr:uid="{00000000-0005-0000-0000-0000AD2A0000}"/>
    <cellStyle name="20% - Accent6 4 4 2 2 2 4" xfId="19219" xr:uid="{00000000-0005-0000-0000-0000AE2A0000}"/>
    <cellStyle name="20% - Accent6 4 4 2 2 2 4 2" xfId="19220" xr:uid="{00000000-0005-0000-0000-0000AF2A0000}"/>
    <cellStyle name="20% - Accent6 4 4 2 2 2 5" xfId="19221" xr:uid="{00000000-0005-0000-0000-0000B02A0000}"/>
    <cellStyle name="20% - Accent6 4 4 2 2 2 6" xfId="19222" xr:uid="{00000000-0005-0000-0000-0000B12A0000}"/>
    <cellStyle name="20% - Accent6 4 4 2 2 3" xfId="19223" xr:uid="{00000000-0005-0000-0000-0000B22A0000}"/>
    <cellStyle name="20% - Accent6 4 4 2 2 3 2" xfId="19224" xr:uid="{00000000-0005-0000-0000-0000B32A0000}"/>
    <cellStyle name="20% - Accent6 4 4 2 2 3 2 2" xfId="19225" xr:uid="{00000000-0005-0000-0000-0000B42A0000}"/>
    <cellStyle name="20% - Accent6 4 4 2 2 3 2 3" xfId="19226" xr:uid="{00000000-0005-0000-0000-0000B52A0000}"/>
    <cellStyle name="20% - Accent6 4 4 2 2 3 3" xfId="19227" xr:uid="{00000000-0005-0000-0000-0000B62A0000}"/>
    <cellStyle name="20% - Accent6 4 4 2 2 3 3 2" xfId="19228" xr:uid="{00000000-0005-0000-0000-0000B72A0000}"/>
    <cellStyle name="20% - Accent6 4 4 2 2 3 3 3" xfId="19229" xr:uid="{00000000-0005-0000-0000-0000B82A0000}"/>
    <cellStyle name="20% - Accent6 4 4 2 2 3 4" xfId="19230" xr:uid="{00000000-0005-0000-0000-0000B92A0000}"/>
    <cellStyle name="20% - Accent6 4 4 2 2 3 4 2" xfId="19231" xr:uid="{00000000-0005-0000-0000-0000BA2A0000}"/>
    <cellStyle name="20% - Accent6 4 4 2 2 3 5" xfId="19232" xr:uid="{00000000-0005-0000-0000-0000BB2A0000}"/>
    <cellStyle name="20% - Accent6 4 4 2 2 3 6" xfId="19233" xr:uid="{00000000-0005-0000-0000-0000BC2A0000}"/>
    <cellStyle name="20% - Accent6 4 4 2 2 4" xfId="19234" xr:uid="{00000000-0005-0000-0000-0000BD2A0000}"/>
    <cellStyle name="20% - Accent6 4 4 2 2 4 2" xfId="19235" xr:uid="{00000000-0005-0000-0000-0000BE2A0000}"/>
    <cellStyle name="20% - Accent6 4 4 2 2 4 2 2" xfId="19236" xr:uid="{00000000-0005-0000-0000-0000BF2A0000}"/>
    <cellStyle name="20% - Accent6 4 4 2 2 4 2 3" xfId="19237" xr:uid="{00000000-0005-0000-0000-0000C02A0000}"/>
    <cellStyle name="20% - Accent6 4 4 2 2 4 3" xfId="19238" xr:uid="{00000000-0005-0000-0000-0000C12A0000}"/>
    <cellStyle name="20% - Accent6 4 4 2 2 4 3 2" xfId="19239" xr:uid="{00000000-0005-0000-0000-0000C22A0000}"/>
    <cellStyle name="20% - Accent6 4 4 2 2 4 4" xfId="19240" xr:uid="{00000000-0005-0000-0000-0000C32A0000}"/>
    <cellStyle name="20% - Accent6 4 4 2 2 4 5" xfId="19241" xr:uid="{00000000-0005-0000-0000-0000C42A0000}"/>
    <cellStyle name="20% - Accent6 4 4 2 2 5" xfId="19242" xr:uid="{00000000-0005-0000-0000-0000C52A0000}"/>
    <cellStyle name="20% - Accent6 4 4 2 2 5 2" xfId="19243" xr:uid="{00000000-0005-0000-0000-0000C62A0000}"/>
    <cellStyle name="20% - Accent6 4 4 2 2 5 3" xfId="19244" xr:uid="{00000000-0005-0000-0000-0000C72A0000}"/>
    <cellStyle name="20% - Accent6 4 4 2 2 6" xfId="19245" xr:uid="{00000000-0005-0000-0000-0000C82A0000}"/>
    <cellStyle name="20% - Accent6 4 4 2 2 6 2" xfId="19246" xr:uid="{00000000-0005-0000-0000-0000C92A0000}"/>
    <cellStyle name="20% - Accent6 4 4 2 2 6 3" xfId="19247" xr:uid="{00000000-0005-0000-0000-0000CA2A0000}"/>
    <cellStyle name="20% - Accent6 4 4 2 2 7" xfId="19248" xr:uid="{00000000-0005-0000-0000-0000CB2A0000}"/>
    <cellStyle name="20% - Accent6 4 4 2 2 7 2" xfId="19249" xr:uid="{00000000-0005-0000-0000-0000CC2A0000}"/>
    <cellStyle name="20% - Accent6 4 4 2 2 8" xfId="19250" xr:uid="{00000000-0005-0000-0000-0000CD2A0000}"/>
    <cellStyle name="20% - Accent6 4 4 2 2 9" xfId="19251" xr:uid="{00000000-0005-0000-0000-0000CE2A0000}"/>
    <cellStyle name="20% - Accent6 4 4 2 3" xfId="19252" xr:uid="{00000000-0005-0000-0000-0000CF2A0000}"/>
    <cellStyle name="20% - Accent6 4 4 2 3 2" xfId="19253" xr:uid="{00000000-0005-0000-0000-0000D02A0000}"/>
    <cellStyle name="20% - Accent6 4 4 2 3 2 2" xfId="19254" xr:uid="{00000000-0005-0000-0000-0000D12A0000}"/>
    <cellStyle name="20% - Accent6 4 4 2 3 2 3" xfId="19255" xr:uid="{00000000-0005-0000-0000-0000D22A0000}"/>
    <cellStyle name="20% - Accent6 4 4 2 3 3" xfId="19256" xr:uid="{00000000-0005-0000-0000-0000D32A0000}"/>
    <cellStyle name="20% - Accent6 4 4 2 3 3 2" xfId="19257" xr:uid="{00000000-0005-0000-0000-0000D42A0000}"/>
    <cellStyle name="20% - Accent6 4 4 2 3 3 3" xfId="19258" xr:uid="{00000000-0005-0000-0000-0000D52A0000}"/>
    <cellStyle name="20% - Accent6 4 4 2 3 4" xfId="19259" xr:uid="{00000000-0005-0000-0000-0000D62A0000}"/>
    <cellStyle name="20% - Accent6 4 4 2 3 4 2" xfId="19260" xr:uid="{00000000-0005-0000-0000-0000D72A0000}"/>
    <cellStyle name="20% - Accent6 4 4 2 3 5" xfId="19261" xr:uid="{00000000-0005-0000-0000-0000D82A0000}"/>
    <cellStyle name="20% - Accent6 4 4 2 3 6" xfId="19262" xr:uid="{00000000-0005-0000-0000-0000D92A0000}"/>
    <cellStyle name="20% - Accent6 4 4 2 4" xfId="19263" xr:uid="{00000000-0005-0000-0000-0000DA2A0000}"/>
    <cellStyle name="20% - Accent6 4 4 2 4 2" xfId="19264" xr:uid="{00000000-0005-0000-0000-0000DB2A0000}"/>
    <cellStyle name="20% - Accent6 4 4 2 4 2 2" xfId="19265" xr:uid="{00000000-0005-0000-0000-0000DC2A0000}"/>
    <cellStyle name="20% - Accent6 4 4 2 4 2 3" xfId="19266" xr:uid="{00000000-0005-0000-0000-0000DD2A0000}"/>
    <cellStyle name="20% - Accent6 4 4 2 4 3" xfId="19267" xr:uid="{00000000-0005-0000-0000-0000DE2A0000}"/>
    <cellStyle name="20% - Accent6 4 4 2 4 3 2" xfId="19268" xr:uid="{00000000-0005-0000-0000-0000DF2A0000}"/>
    <cellStyle name="20% - Accent6 4 4 2 4 3 3" xfId="19269" xr:uid="{00000000-0005-0000-0000-0000E02A0000}"/>
    <cellStyle name="20% - Accent6 4 4 2 4 4" xfId="19270" xr:uid="{00000000-0005-0000-0000-0000E12A0000}"/>
    <cellStyle name="20% - Accent6 4 4 2 4 4 2" xfId="19271" xr:uid="{00000000-0005-0000-0000-0000E22A0000}"/>
    <cellStyle name="20% - Accent6 4 4 2 4 5" xfId="19272" xr:uid="{00000000-0005-0000-0000-0000E32A0000}"/>
    <cellStyle name="20% - Accent6 4 4 2 4 6" xfId="19273" xr:uid="{00000000-0005-0000-0000-0000E42A0000}"/>
    <cellStyle name="20% - Accent6 4 4 2 5" xfId="19274" xr:uid="{00000000-0005-0000-0000-0000E52A0000}"/>
    <cellStyle name="20% - Accent6 4 4 2 5 2" xfId="19275" xr:uid="{00000000-0005-0000-0000-0000E62A0000}"/>
    <cellStyle name="20% - Accent6 4 4 2 5 2 2" xfId="19276" xr:uid="{00000000-0005-0000-0000-0000E72A0000}"/>
    <cellStyle name="20% - Accent6 4 4 2 5 2 3" xfId="19277" xr:uid="{00000000-0005-0000-0000-0000E82A0000}"/>
    <cellStyle name="20% - Accent6 4 4 2 5 3" xfId="19278" xr:uid="{00000000-0005-0000-0000-0000E92A0000}"/>
    <cellStyle name="20% - Accent6 4 4 2 5 3 2" xfId="19279" xr:uid="{00000000-0005-0000-0000-0000EA2A0000}"/>
    <cellStyle name="20% - Accent6 4 4 2 5 4" xfId="19280" xr:uid="{00000000-0005-0000-0000-0000EB2A0000}"/>
    <cellStyle name="20% - Accent6 4 4 2 5 5" xfId="19281" xr:uid="{00000000-0005-0000-0000-0000EC2A0000}"/>
    <cellStyle name="20% - Accent6 4 4 2 6" xfId="19282" xr:uid="{00000000-0005-0000-0000-0000ED2A0000}"/>
    <cellStyle name="20% - Accent6 4 4 2 6 2" xfId="19283" xr:uid="{00000000-0005-0000-0000-0000EE2A0000}"/>
    <cellStyle name="20% - Accent6 4 4 2 6 3" xfId="19284" xr:uid="{00000000-0005-0000-0000-0000EF2A0000}"/>
    <cellStyle name="20% - Accent6 4 4 2 7" xfId="19285" xr:uid="{00000000-0005-0000-0000-0000F02A0000}"/>
    <cellStyle name="20% - Accent6 4 4 2 7 2" xfId="19286" xr:uid="{00000000-0005-0000-0000-0000F12A0000}"/>
    <cellStyle name="20% - Accent6 4 4 2 7 3" xfId="19287" xr:uid="{00000000-0005-0000-0000-0000F22A0000}"/>
    <cellStyle name="20% - Accent6 4 4 2 8" xfId="19288" xr:uid="{00000000-0005-0000-0000-0000F32A0000}"/>
    <cellStyle name="20% - Accent6 4 4 2 8 2" xfId="19289" xr:uid="{00000000-0005-0000-0000-0000F42A0000}"/>
    <cellStyle name="20% - Accent6 4 4 2 9" xfId="19290" xr:uid="{00000000-0005-0000-0000-0000F52A0000}"/>
    <cellStyle name="20% - Accent6 4 4 3" xfId="1373" xr:uid="{00000000-0005-0000-0000-0000F62A0000}"/>
    <cellStyle name="20% - Accent6 4 4 3 2" xfId="19291" xr:uid="{00000000-0005-0000-0000-0000F72A0000}"/>
    <cellStyle name="20% - Accent6 4 4 3 2 2" xfId="19292" xr:uid="{00000000-0005-0000-0000-0000F82A0000}"/>
    <cellStyle name="20% - Accent6 4 4 3 2 2 2" xfId="19293" xr:uid="{00000000-0005-0000-0000-0000F92A0000}"/>
    <cellStyle name="20% - Accent6 4 4 3 2 2 3" xfId="19294" xr:uid="{00000000-0005-0000-0000-0000FA2A0000}"/>
    <cellStyle name="20% - Accent6 4 4 3 2 3" xfId="19295" xr:uid="{00000000-0005-0000-0000-0000FB2A0000}"/>
    <cellStyle name="20% - Accent6 4 4 3 2 3 2" xfId="19296" xr:uid="{00000000-0005-0000-0000-0000FC2A0000}"/>
    <cellStyle name="20% - Accent6 4 4 3 2 3 3" xfId="19297" xr:uid="{00000000-0005-0000-0000-0000FD2A0000}"/>
    <cellStyle name="20% - Accent6 4 4 3 2 4" xfId="19298" xr:uid="{00000000-0005-0000-0000-0000FE2A0000}"/>
    <cellStyle name="20% - Accent6 4 4 3 2 4 2" xfId="19299" xr:uid="{00000000-0005-0000-0000-0000FF2A0000}"/>
    <cellStyle name="20% - Accent6 4 4 3 2 5" xfId="19300" xr:uid="{00000000-0005-0000-0000-0000002B0000}"/>
    <cellStyle name="20% - Accent6 4 4 3 2 6" xfId="19301" xr:uid="{00000000-0005-0000-0000-0000012B0000}"/>
    <cellStyle name="20% - Accent6 4 4 3 3" xfId="19302" xr:uid="{00000000-0005-0000-0000-0000022B0000}"/>
    <cellStyle name="20% - Accent6 4 4 3 3 2" xfId="19303" xr:uid="{00000000-0005-0000-0000-0000032B0000}"/>
    <cellStyle name="20% - Accent6 4 4 3 3 2 2" xfId="19304" xr:uid="{00000000-0005-0000-0000-0000042B0000}"/>
    <cellStyle name="20% - Accent6 4 4 3 3 2 3" xfId="19305" xr:uid="{00000000-0005-0000-0000-0000052B0000}"/>
    <cellStyle name="20% - Accent6 4 4 3 3 3" xfId="19306" xr:uid="{00000000-0005-0000-0000-0000062B0000}"/>
    <cellStyle name="20% - Accent6 4 4 3 3 3 2" xfId="19307" xr:uid="{00000000-0005-0000-0000-0000072B0000}"/>
    <cellStyle name="20% - Accent6 4 4 3 3 3 3" xfId="19308" xr:uid="{00000000-0005-0000-0000-0000082B0000}"/>
    <cellStyle name="20% - Accent6 4 4 3 3 4" xfId="19309" xr:uid="{00000000-0005-0000-0000-0000092B0000}"/>
    <cellStyle name="20% - Accent6 4 4 3 3 4 2" xfId="19310" xr:uid="{00000000-0005-0000-0000-00000A2B0000}"/>
    <cellStyle name="20% - Accent6 4 4 3 3 5" xfId="19311" xr:uid="{00000000-0005-0000-0000-00000B2B0000}"/>
    <cellStyle name="20% - Accent6 4 4 3 3 6" xfId="19312" xr:uid="{00000000-0005-0000-0000-00000C2B0000}"/>
    <cellStyle name="20% - Accent6 4 4 3 4" xfId="19313" xr:uid="{00000000-0005-0000-0000-00000D2B0000}"/>
    <cellStyle name="20% - Accent6 4 4 3 4 2" xfId="19314" xr:uid="{00000000-0005-0000-0000-00000E2B0000}"/>
    <cellStyle name="20% - Accent6 4 4 3 4 2 2" xfId="19315" xr:uid="{00000000-0005-0000-0000-00000F2B0000}"/>
    <cellStyle name="20% - Accent6 4 4 3 4 2 3" xfId="19316" xr:uid="{00000000-0005-0000-0000-0000102B0000}"/>
    <cellStyle name="20% - Accent6 4 4 3 4 3" xfId="19317" xr:uid="{00000000-0005-0000-0000-0000112B0000}"/>
    <cellStyle name="20% - Accent6 4 4 3 4 3 2" xfId="19318" xr:uid="{00000000-0005-0000-0000-0000122B0000}"/>
    <cellStyle name="20% - Accent6 4 4 3 4 4" xfId="19319" xr:uid="{00000000-0005-0000-0000-0000132B0000}"/>
    <cellStyle name="20% - Accent6 4 4 3 4 5" xfId="19320" xr:uid="{00000000-0005-0000-0000-0000142B0000}"/>
    <cellStyle name="20% - Accent6 4 4 3 5" xfId="19321" xr:uid="{00000000-0005-0000-0000-0000152B0000}"/>
    <cellStyle name="20% - Accent6 4 4 3 5 2" xfId="19322" xr:uid="{00000000-0005-0000-0000-0000162B0000}"/>
    <cellStyle name="20% - Accent6 4 4 3 5 3" xfId="19323" xr:uid="{00000000-0005-0000-0000-0000172B0000}"/>
    <cellStyle name="20% - Accent6 4 4 3 6" xfId="19324" xr:uid="{00000000-0005-0000-0000-0000182B0000}"/>
    <cellStyle name="20% - Accent6 4 4 3 6 2" xfId="19325" xr:uid="{00000000-0005-0000-0000-0000192B0000}"/>
    <cellStyle name="20% - Accent6 4 4 3 6 3" xfId="19326" xr:uid="{00000000-0005-0000-0000-00001A2B0000}"/>
    <cellStyle name="20% - Accent6 4 4 3 7" xfId="19327" xr:uid="{00000000-0005-0000-0000-00001B2B0000}"/>
    <cellStyle name="20% - Accent6 4 4 3 7 2" xfId="19328" xr:uid="{00000000-0005-0000-0000-00001C2B0000}"/>
    <cellStyle name="20% - Accent6 4 4 3 8" xfId="19329" xr:uid="{00000000-0005-0000-0000-00001D2B0000}"/>
    <cellStyle name="20% - Accent6 4 4 3 9" xfId="19330" xr:uid="{00000000-0005-0000-0000-00001E2B0000}"/>
    <cellStyle name="20% - Accent6 4 4 4" xfId="19331" xr:uid="{00000000-0005-0000-0000-00001F2B0000}"/>
    <cellStyle name="20% - Accent6 4 4 4 2" xfId="19332" xr:uid="{00000000-0005-0000-0000-0000202B0000}"/>
    <cellStyle name="20% - Accent6 4 4 4 2 2" xfId="19333" xr:uid="{00000000-0005-0000-0000-0000212B0000}"/>
    <cellStyle name="20% - Accent6 4 4 4 2 2 2" xfId="19334" xr:uid="{00000000-0005-0000-0000-0000222B0000}"/>
    <cellStyle name="20% - Accent6 4 4 4 2 2 3" xfId="19335" xr:uid="{00000000-0005-0000-0000-0000232B0000}"/>
    <cellStyle name="20% - Accent6 4 4 4 2 3" xfId="19336" xr:uid="{00000000-0005-0000-0000-0000242B0000}"/>
    <cellStyle name="20% - Accent6 4 4 4 2 3 2" xfId="19337" xr:uid="{00000000-0005-0000-0000-0000252B0000}"/>
    <cellStyle name="20% - Accent6 4 4 4 2 3 3" xfId="19338" xr:uid="{00000000-0005-0000-0000-0000262B0000}"/>
    <cellStyle name="20% - Accent6 4 4 4 2 4" xfId="19339" xr:uid="{00000000-0005-0000-0000-0000272B0000}"/>
    <cellStyle name="20% - Accent6 4 4 4 2 4 2" xfId="19340" xr:uid="{00000000-0005-0000-0000-0000282B0000}"/>
    <cellStyle name="20% - Accent6 4 4 4 2 5" xfId="19341" xr:uid="{00000000-0005-0000-0000-0000292B0000}"/>
    <cellStyle name="20% - Accent6 4 4 4 2 6" xfId="19342" xr:uid="{00000000-0005-0000-0000-00002A2B0000}"/>
    <cellStyle name="20% - Accent6 4 4 4 3" xfId="19343" xr:uid="{00000000-0005-0000-0000-00002B2B0000}"/>
    <cellStyle name="20% - Accent6 4 4 4 3 2" xfId="19344" xr:uid="{00000000-0005-0000-0000-00002C2B0000}"/>
    <cellStyle name="20% - Accent6 4 4 4 3 2 2" xfId="19345" xr:uid="{00000000-0005-0000-0000-00002D2B0000}"/>
    <cellStyle name="20% - Accent6 4 4 4 3 2 3" xfId="19346" xr:uid="{00000000-0005-0000-0000-00002E2B0000}"/>
    <cellStyle name="20% - Accent6 4 4 4 3 3" xfId="19347" xr:uid="{00000000-0005-0000-0000-00002F2B0000}"/>
    <cellStyle name="20% - Accent6 4 4 4 3 3 2" xfId="19348" xr:uid="{00000000-0005-0000-0000-0000302B0000}"/>
    <cellStyle name="20% - Accent6 4 4 4 3 3 3" xfId="19349" xr:uid="{00000000-0005-0000-0000-0000312B0000}"/>
    <cellStyle name="20% - Accent6 4 4 4 3 4" xfId="19350" xr:uid="{00000000-0005-0000-0000-0000322B0000}"/>
    <cellStyle name="20% - Accent6 4 4 4 3 4 2" xfId="19351" xr:uid="{00000000-0005-0000-0000-0000332B0000}"/>
    <cellStyle name="20% - Accent6 4 4 4 3 5" xfId="19352" xr:uid="{00000000-0005-0000-0000-0000342B0000}"/>
    <cellStyle name="20% - Accent6 4 4 4 3 6" xfId="19353" xr:uid="{00000000-0005-0000-0000-0000352B0000}"/>
    <cellStyle name="20% - Accent6 4 4 4 4" xfId="19354" xr:uid="{00000000-0005-0000-0000-0000362B0000}"/>
    <cellStyle name="20% - Accent6 4 4 4 4 2" xfId="19355" xr:uid="{00000000-0005-0000-0000-0000372B0000}"/>
    <cellStyle name="20% - Accent6 4 4 4 4 2 2" xfId="19356" xr:uid="{00000000-0005-0000-0000-0000382B0000}"/>
    <cellStyle name="20% - Accent6 4 4 4 4 2 3" xfId="19357" xr:uid="{00000000-0005-0000-0000-0000392B0000}"/>
    <cellStyle name="20% - Accent6 4 4 4 4 3" xfId="19358" xr:uid="{00000000-0005-0000-0000-00003A2B0000}"/>
    <cellStyle name="20% - Accent6 4 4 4 4 3 2" xfId="19359" xr:uid="{00000000-0005-0000-0000-00003B2B0000}"/>
    <cellStyle name="20% - Accent6 4 4 4 4 4" xfId="19360" xr:uid="{00000000-0005-0000-0000-00003C2B0000}"/>
    <cellStyle name="20% - Accent6 4 4 4 4 5" xfId="19361" xr:uid="{00000000-0005-0000-0000-00003D2B0000}"/>
    <cellStyle name="20% - Accent6 4 4 4 5" xfId="19362" xr:uid="{00000000-0005-0000-0000-00003E2B0000}"/>
    <cellStyle name="20% - Accent6 4 4 4 5 2" xfId="19363" xr:uid="{00000000-0005-0000-0000-00003F2B0000}"/>
    <cellStyle name="20% - Accent6 4 4 4 5 3" xfId="19364" xr:uid="{00000000-0005-0000-0000-0000402B0000}"/>
    <cellStyle name="20% - Accent6 4 4 4 6" xfId="19365" xr:uid="{00000000-0005-0000-0000-0000412B0000}"/>
    <cellStyle name="20% - Accent6 4 4 4 6 2" xfId="19366" xr:uid="{00000000-0005-0000-0000-0000422B0000}"/>
    <cellStyle name="20% - Accent6 4 4 4 6 3" xfId="19367" xr:uid="{00000000-0005-0000-0000-0000432B0000}"/>
    <cellStyle name="20% - Accent6 4 4 4 7" xfId="19368" xr:uid="{00000000-0005-0000-0000-0000442B0000}"/>
    <cellStyle name="20% - Accent6 4 4 4 7 2" xfId="19369" xr:uid="{00000000-0005-0000-0000-0000452B0000}"/>
    <cellStyle name="20% - Accent6 4 4 4 8" xfId="19370" xr:uid="{00000000-0005-0000-0000-0000462B0000}"/>
    <cellStyle name="20% - Accent6 4 4 4 9" xfId="19371" xr:uid="{00000000-0005-0000-0000-0000472B0000}"/>
    <cellStyle name="20% - Accent6 4 4 5" xfId="19372" xr:uid="{00000000-0005-0000-0000-0000482B0000}"/>
    <cellStyle name="20% - Accent6 4 4 5 2" xfId="19373" xr:uid="{00000000-0005-0000-0000-0000492B0000}"/>
    <cellStyle name="20% - Accent6 4 4 5 2 2" xfId="19374" xr:uid="{00000000-0005-0000-0000-00004A2B0000}"/>
    <cellStyle name="20% - Accent6 4 4 5 2 3" xfId="19375" xr:uid="{00000000-0005-0000-0000-00004B2B0000}"/>
    <cellStyle name="20% - Accent6 4 4 5 3" xfId="19376" xr:uid="{00000000-0005-0000-0000-00004C2B0000}"/>
    <cellStyle name="20% - Accent6 4 4 5 3 2" xfId="19377" xr:uid="{00000000-0005-0000-0000-00004D2B0000}"/>
    <cellStyle name="20% - Accent6 4 4 5 3 3" xfId="19378" xr:uid="{00000000-0005-0000-0000-00004E2B0000}"/>
    <cellStyle name="20% - Accent6 4 4 5 4" xfId="19379" xr:uid="{00000000-0005-0000-0000-00004F2B0000}"/>
    <cellStyle name="20% - Accent6 4 4 5 4 2" xfId="19380" xr:uid="{00000000-0005-0000-0000-0000502B0000}"/>
    <cellStyle name="20% - Accent6 4 4 5 5" xfId="19381" xr:uid="{00000000-0005-0000-0000-0000512B0000}"/>
    <cellStyle name="20% - Accent6 4 4 5 6" xfId="19382" xr:uid="{00000000-0005-0000-0000-0000522B0000}"/>
    <cellStyle name="20% - Accent6 4 4 6" xfId="19383" xr:uid="{00000000-0005-0000-0000-0000532B0000}"/>
    <cellStyle name="20% - Accent6 4 4 6 2" xfId="19384" xr:uid="{00000000-0005-0000-0000-0000542B0000}"/>
    <cellStyle name="20% - Accent6 4 4 6 2 2" xfId="19385" xr:uid="{00000000-0005-0000-0000-0000552B0000}"/>
    <cellStyle name="20% - Accent6 4 4 6 2 3" xfId="19386" xr:uid="{00000000-0005-0000-0000-0000562B0000}"/>
    <cellStyle name="20% - Accent6 4 4 6 3" xfId="19387" xr:uid="{00000000-0005-0000-0000-0000572B0000}"/>
    <cellStyle name="20% - Accent6 4 4 6 3 2" xfId="19388" xr:uid="{00000000-0005-0000-0000-0000582B0000}"/>
    <cellStyle name="20% - Accent6 4 4 6 3 3" xfId="19389" xr:uid="{00000000-0005-0000-0000-0000592B0000}"/>
    <cellStyle name="20% - Accent6 4 4 6 4" xfId="19390" xr:uid="{00000000-0005-0000-0000-00005A2B0000}"/>
    <cellStyle name="20% - Accent6 4 4 6 4 2" xfId="19391" xr:uid="{00000000-0005-0000-0000-00005B2B0000}"/>
    <cellStyle name="20% - Accent6 4 4 6 5" xfId="19392" xr:uid="{00000000-0005-0000-0000-00005C2B0000}"/>
    <cellStyle name="20% - Accent6 4 4 6 6" xfId="19393" xr:uid="{00000000-0005-0000-0000-00005D2B0000}"/>
    <cellStyle name="20% - Accent6 4 4 7" xfId="19394" xr:uid="{00000000-0005-0000-0000-00005E2B0000}"/>
    <cellStyle name="20% - Accent6 4 4 7 2" xfId="19395" xr:uid="{00000000-0005-0000-0000-00005F2B0000}"/>
    <cellStyle name="20% - Accent6 4 4 7 2 2" xfId="19396" xr:uid="{00000000-0005-0000-0000-0000602B0000}"/>
    <cellStyle name="20% - Accent6 4 4 7 2 3" xfId="19397" xr:uid="{00000000-0005-0000-0000-0000612B0000}"/>
    <cellStyle name="20% - Accent6 4 4 7 3" xfId="19398" xr:uid="{00000000-0005-0000-0000-0000622B0000}"/>
    <cellStyle name="20% - Accent6 4 4 7 3 2" xfId="19399" xr:uid="{00000000-0005-0000-0000-0000632B0000}"/>
    <cellStyle name="20% - Accent6 4 4 7 4" xfId="19400" xr:uid="{00000000-0005-0000-0000-0000642B0000}"/>
    <cellStyle name="20% - Accent6 4 4 7 5" xfId="19401" xr:uid="{00000000-0005-0000-0000-0000652B0000}"/>
    <cellStyle name="20% - Accent6 4 4 8" xfId="19402" xr:uid="{00000000-0005-0000-0000-0000662B0000}"/>
    <cellStyle name="20% - Accent6 4 4 8 2" xfId="19403" xr:uid="{00000000-0005-0000-0000-0000672B0000}"/>
    <cellStyle name="20% - Accent6 4 4 8 3" xfId="19404" xr:uid="{00000000-0005-0000-0000-0000682B0000}"/>
    <cellStyle name="20% - Accent6 4 4 9" xfId="19405" xr:uid="{00000000-0005-0000-0000-0000692B0000}"/>
    <cellStyle name="20% - Accent6 4 4 9 2" xfId="19406" xr:uid="{00000000-0005-0000-0000-00006A2B0000}"/>
    <cellStyle name="20% - Accent6 4 4 9 3" xfId="19407" xr:uid="{00000000-0005-0000-0000-00006B2B0000}"/>
    <cellStyle name="20% - Accent6 4 5" xfId="1374" xr:uid="{00000000-0005-0000-0000-00006C2B0000}"/>
    <cellStyle name="20% - Accent6 4 5 10" xfId="19408" xr:uid="{00000000-0005-0000-0000-00006D2B0000}"/>
    <cellStyle name="20% - Accent6 4 5 2" xfId="1375" xr:uid="{00000000-0005-0000-0000-00006E2B0000}"/>
    <cellStyle name="20% - Accent6 4 5 2 2" xfId="19409" xr:uid="{00000000-0005-0000-0000-00006F2B0000}"/>
    <cellStyle name="20% - Accent6 4 5 2 2 2" xfId="19410" xr:uid="{00000000-0005-0000-0000-0000702B0000}"/>
    <cellStyle name="20% - Accent6 4 5 2 2 2 2" xfId="19411" xr:uid="{00000000-0005-0000-0000-0000712B0000}"/>
    <cellStyle name="20% - Accent6 4 5 2 2 2 3" xfId="19412" xr:uid="{00000000-0005-0000-0000-0000722B0000}"/>
    <cellStyle name="20% - Accent6 4 5 2 2 3" xfId="19413" xr:uid="{00000000-0005-0000-0000-0000732B0000}"/>
    <cellStyle name="20% - Accent6 4 5 2 2 3 2" xfId="19414" xr:uid="{00000000-0005-0000-0000-0000742B0000}"/>
    <cellStyle name="20% - Accent6 4 5 2 2 3 3" xfId="19415" xr:uid="{00000000-0005-0000-0000-0000752B0000}"/>
    <cellStyle name="20% - Accent6 4 5 2 2 4" xfId="19416" xr:uid="{00000000-0005-0000-0000-0000762B0000}"/>
    <cellStyle name="20% - Accent6 4 5 2 2 4 2" xfId="19417" xr:uid="{00000000-0005-0000-0000-0000772B0000}"/>
    <cellStyle name="20% - Accent6 4 5 2 2 5" xfId="19418" xr:uid="{00000000-0005-0000-0000-0000782B0000}"/>
    <cellStyle name="20% - Accent6 4 5 2 2 6" xfId="19419" xr:uid="{00000000-0005-0000-0000-0000792B0000}"/>
    <cellStyle name="20% - Accent6 4 5 2 3" xfId="19420" xr:uid="{00000000-0005-0000-0000-00007A2B0000}"/>
    <cellStyle name="20% - Accent6 4 5 2 3 2" xfId="19421" xr:uid="{00000000-0005-0000-0000-00007B2B0000}"/>
    <cellStyle name="20% - Accent6 4 5 2 3 2 2" xfId="19422" xr:uid="{00000000-0005-0000-0000-00007C2B0000}"/>
    <cellStyle name="20% - Accent6 4 5 2 3 2 3" xfId="19423" xr:uid="{00000000-0005-0000-0000-00007D2B0000}"/>
    <cellStyle name="20% - Accent6 4 5 2 3 3" xfId="19424" xr:uid="{00000000-0005-0000-0000-00007E2B0000}"/>
    <cellStyle name="20% - Accent6 4 5 2 3 3 2" xfId="19425" xr:uid="{00000000-0005-0000-0000-00007F2B0000}"/>
    <cellStyle name="20% - Accent6 4 5 2 3 3 3" xfId="19426" xr:uid="{00000000-0005-0000-0000-0000802B0000}"/>
    <cellStyle name="20% - Accent6 4 5 2 3 4" xfId="19427" xr:uid="{00000000-0005-0000-0000-0000812B0000}"/>
    <cellStyle name="20% - Accent6 4 5 2 3 4 2" xfId="19428" xr:uid="{00000000-0005-0000-0000-0000822B0000}"/>
    <cellStyle name="20% - Accent6 4 5 2 3 5" xfId="19429" xr:uid="{00000000-0005-0000-0000-0000832B0000}"/>
    <cellStyle name="20% - Accent6 4 5 2 3 6" xfId="19430" xr:uid="{00000000-0005-0000-0000-0000842B0000}"/>
    <cellStyle name="20% - Accent6 4 5 2 4" xfId="19431" xr:uid="{00000000-0005-0000-0000-0000852B0000}"/>
    <cellStyle name="20% - Accent6 4 5 2 4 2" xfId="19432" xr:uid="{00000000-0005-0000-0000-0000862B0000}"/>
    <cellStyle name="20% - Accent6 4 5 2 4 2 2" xfId="19433" xr:uid="{00000000-0005-0000-0000-0000872B0000}"/>
    <cellStyle name="20% - Accent6 4 5 2 4 2 3" xfId="19434" xr:uid="{00000000-0005-0000-0000-0000882B0000}"/>
    <cellStyle name="20% - Accent6 4 5 2 4 3" xfId="19435" xr:uid="{00000000-0005-0000-0000-0000892B0000}"/>
    <cellStyle name="20% - Accent6 4 5 2 4 3 2" xfId="19436" xr:uid="{00000000-0005-0000-0000-00008A2B0000}"/>
    <cellStyle name="20% - Accent6 4 5 2 4 4" xfId="19437" xr:uid="{00000000-0005-0000-0000-00008B2B0000}"/>
    <cellStyle name="20% - Accent6 4 5 2 4 5" xfId="19438" xr:uid="{00000000-0005-0000-0000-00008C2B0000}"/>
    <cellStyle name="20% - Accent6 4 5 2 5" xfId="19439" xr:uid="{00000000-0005-0000-0000-00008D2B0000}"/>
    <cellStyle name="20% - Accent6 4 5 2 5 2" xfId="19440" xr:uid="{00000000-0005-0000-0000-00008E2B0000}"/>
    <cellStyle name="20% - Accent6 4 5 2 5 3" xfId="19441" xr:uid="{00000000-0005-0000-0000-00008F2B0000}"/>
    <cellStyle name="20% - Accent6 4 5 2 6" xfId="19442" xr:uid="{00000000-0005-0000-0000-0000902B0000}"/>
    <cellStyle name="20% - Accent6 4 5 2 6 2" xfId="19443" xr:uid="{00000000-0005-0000-0000-0000912B0000}"/>
    <cellStyle name="20% - Accent6 4 5 2 6 3" xfId="19444" xr:uid="{00000000-0005-0000-0000-0000922B0000}"/>
    <cellStyle name="20% - Accent6 4 5 2 7" xfId="19445" xr:uid="{00000000-0005-0000-0000-0000932B0000}"/>
    <cellStyle name="20% - Accent6 4 5 2 7 2" xfId="19446" xr:uid="{00000000-0005-0000-0000-0000942B0000}"/>
    <cellStyle name="20% - Accent6 4 5 2 8" xfId="19447" xr:uid="{00000000-0005-0000-0000-0000952B0000}"/>
    <cellStyle name="20% - Accent6 4 5 2 9" xfId="19448" xr:uid="{00000000-0005-0000-0000-0000962B0000}"/>
    <cellStyle name="20% - Accent6 4 5 3" xfId="19449" xr:uid="{00000000-0005-0000-0000-0000972B0000}"/>
    <cellStyle name="20% - Accent6 4 5 3 2" xfId="19450" xr:uid="{00000000-0005-0000-0000-0000982B0000}"/>
    <cellStyle name="20% - Accent6 4 5 3 2 2" xfId="19451" xr:uid="{00000000-0005-0000-0000-0000992B0000}"/>
    <cellStyle name="20% - Accent6 4 5 3 2 3" xfId="19452" xr:uid="{00000000-0005-0000-0000-00009A2B0000}"/>
    <cellStyle name="20% - Accent6 4 5 3 3" xfId="19453" xr:uid="{00000000-0005-0000-0000-00009B2B0000}"/>
    <cellStyle name="20% - Accent6 4 5 3 3 2" xfId="19454" xr:uid="{00000000-0005-0000-0000-00009C2B0000}"/>
    <cellStyle name="20% - Accent6 4 5 3 3 3" xfId="19455" xr:uid="{00000000-0005-0000-0000-00009D2B0000}"/>
    <cellStyle name="20% - Accent6 4 5 3 4" xfId="19456" xr:uid="{00000000-0005-0000-0000-00009E2B0000}"/>
    <cellStyle name="20% - Accent6 4 5 3 4 2" xfId="19457" xr:uid="{00000000-0005-0000-0000-00009F2B0000}"/>
    <cellStyle name="20% - Accent6 4 5 3 5" xfId="19458" xr:uid="{00000000-0005-0000-0000-0000A02B0000}"/>
    <cellStyle name="20% - Accent6 4 5 3 6" xfId="19459" xr:uid="{00000000-0005-0000-0000-0000A12B0000}"/>
    <cellStyle name="20% - Accent6 4 5 4" xfId="19460" xr:uid="{00000000-0005-0000-0000-0000A22B0000}"/>
    <cellStyle name="20% - Accent6 4 5 4 2" xfId="19461" xr:uid="{00000000-0005-0000-0000-0000A32B0000}"/>
    <cellStyle name="20% - Accent6 4 5 4 2 2" xfId="19462" xr:uid="{00000000-0005-0000-0000-0000A42B0000}"/>
    <cellStyle name="20% - Accent6 4 5 4 2 3" xfId="19463" xr:uid="{00000000-0005-0000-0000-0000A52B0000}"/>
    <cellStyle name="20% - Accent6 4 5 4 3" xfId="19464" xr:uid="{00000000-0005-0000-0000-0000A62B0000}"/>
    <cellStyle name="20% - Accent6 4 5 4 3 2" xfId="19465" xr:uid="{00000000-0005-0000-0000-0000A72B0000}"/>
    <cellStyle name="20% - Accent6 4 5 4 3 3" xfId="19466" xr:uid="{00000000-0005-0000-0000-0000A82B0000}"/>
    <cellStyle name="20% - Accent6 4 5 4 4" xfId="19467" xr:uid="{00000000-0005-0000-0000-0000A92B0000}"/>
    <cellStyle name="20% - Accent6 4 5 4 4 2" xfId="19468" xr:uid="{00000000-0005-0000-0000-0000AA2B0000}"/>
    <cellStyle name="20% - Accent6 4 5 4 5" xfId="19469" xr:uid="{00000000-0005-0000-0000-0000AB2B0000}"/>
    <cellStyle name="20% - Accent6 4 5 4 6" xfId="19470" xr:uid="{00000000-0005-0000-0000-0000AC2B0000}"/>
    <cellStyle name="20% - Accent6 4 5 5" xfId="19471" xr:uid="{00000000-0005-0000-0000-0000AD2B0000}"/>
    <cellStyle name="20% - Accent6 4 5 5 2" xfId="19472" xr:uid="{00000000-0005-0000-0000-0000AE2B0000}"/>
    <cellStyle name="20% - Accent6 4 5 5 2 2" xfId="19473" xr:uid="{00000000-0005-0000-0000-0000AF2B0000}"/>
    <cellStyle name="20% - Accent6 4 5 5 2 3" xfId="19474" xr:uid="{00000000-0005-0000-0000-0000B02B0000}"/>
    <cellStyle name="20% - Accent6 4 5 5 3" xfId="19475" xr:uid="{00000000-0005-0000-0000-0000B12B0000}"/>
    <cellStyle name="20% - Accent6 4 5 5 3 2" xfId="19476" xr:uid="{00000000-0005-0000-0000-0000B22B0000}"/>
    <cellStyle name="20% - Accent6 4 5 5 4" xfId="19477" xr:uid="{00000000-0005-0000-0000-0000B32B0000}"/>
    <cellStyle name="20% - Accent6 4 5 5 5" xfId="19478" xr:uid="{00000000-0005-0000-0000-0000B42B0000}"/>
    <cellStyle name="20% - Accent6 4 5 6" xfId="19479" xr:uid="{00000000-0005-0000-0000-0000B52B0000}"/>
    <cellStyle name="20% - Accent6 4 5 6 2" xfId="19480" xr:uid="{00000000-0005-0000-0000-0000B62B0000}"/>
    <cellStyle name="20% - Accent6 4 5 6 3" xfId="19481" xr:uid="{00000000-0005-0000-0000-0000B72B0000}"/>
    <cellStyle name="20% - Accent6 4 5 7" xfId="19482" xr:uid="{00000000-0005-0000-0000-0000B82B0000}"/>
    <cellStyle name="20% - Accent6 4 5 7 2" xfId="19483" xr:uid="{00000000-0005-0000-0000-0000B92B0000}"/>
    <cellStyle name="20% - Accent6 4 5 7 3" xfId="19484" xr:uid="{00000000-0005-0000-0000-0000BA2B0000}"/>
    <cellStyle name="20% - Accent6 4 5 8" xfId="19485" xr:uid="{00000000-0005-0000-0000-0000BB2B0000}"/>
    <cellStyle name="20% - Accent6 4 5 8 2" xfId="19486" xr:uid="{00000000-0005-0000-0000-0000BC2B0000}"/>
    <cellStyle name="20% - Accent6 4 5 9" xfId="19487" xr:uid="{00000000-0005-0000-0000-0000BD2B0000}"/>
    <cellStyle name="20% - Accent6 4 6" xfId="1376" xr:uid="{00000000-0005-0000-0000-0000BE2B0000}"/>
    <cellStyle name="20% - Accent6 4 6 2" xfId="19488" xr:uid="{00000000-0005-0000-0000-0000BF2B0000}"/>
    <cellStyle name="20% - Accent6 4 6 2 2" xfId="19489" xr:uid="{00000000-0005-0000-0000-0000C02B0000}"/>
    <cellStyle name="20% - Accent6 4 6 2 2 2" xfId="19490" xr:uid="{00000000-0005-0000-0000-0000C12B0000}"/>
    <cellStyle name="20% - Accent6 4 6 2 2 3" xfId="19491" xr:uid="{00000000-0005-0000-0000-0000C22B0000}"/>
    <cellStyle name="20% - Accent6 4 6 2 3" xfId="19492" xr:uid="{00000000-0005-0000-0000-0000C32B0000}"/>
    <cellStyle name="20% - Accent6 4 6 2 3 2" xfId="19493" xr:uid="{00000000-0005-0000-0000-0000C42B0000}"/>
    <cellStyle name="20% - Accent6 4 6 2 3 3" xfId="19494" xr:uid="{00000000-0005-0000-0000-0000C52B0000}"/>
    <cellStyle name="20% - Accent6 4 6 2 4" xfId="19495" xr:uid="{00000000-0005-0000-0000-0000C62B0000}"/>
    <cellStyle name="20% - Accent6 4 6 2 4 2" xfId="19496" xr:uid="{00000000-0005-0000-0000-0000C72B0000}"/>
    <cellStyle name="20% - Accent6 4 6 2 5" xfId="19497" xr:uid="{00000000-0005-0000-0000-0000C82B0000}"/>
    <cellStyle name="20% - Accent6 4 6 2 6" xfId="19498" xr:uid="{00000000-0005-0000-0000-0000C92B0000}"/>
    <cellStyle name="20% - Accent6 4 6 3" xfId="19499" xr:uid="{00000000-0005-0000-0000-0000CA2B0000}"/>
    <cellStyle name="20% - Accent6 4 6 3 2" xfId="19500" xr:uid="{00000000-0005-0000-0000-0000CB2B0000}"/>
    <cellStyle name="20% - Accent6 4 6 3 2 2" xfId="19501" xr:uid="{00000000-0005-0000-0000-0000CC2B0000}"/>
    <cellStyle name="20% - Accent6 4 6 3 2 3" xfId="19502" xr:uid="{00000000-0005-0000-0000-0000CD2B0000}"/>
    <cellStyle name="20% - Accent6 4 6 3 3" xfId="19503" xr:uid="{00000000-0005-0000-0000-0000CE2B0000}"/>
    <cellStyle name="20% - Accent6 4 6 3 3 2" xfId="19504" xr:uid="{00000000-0005-0000-0000-0000CF2B0000}"/>
    <cellStyle name="20% - Accent6 4 6 3 3 3" xfId="19505" xr:uid="{00000000-0005-0000-0000-0000D02B0000}"/>
    <cellStyle name="20% - Accent6 4 6 3 4" xfId="19506" xr:uid="{00000000-0005-0000-0000-0000D12B0000}"/>
    <cellStyle name="20% - Accent6 4 6 3 4 2" xfId="19507" xr:uid="{00000000-0005-0000-0000-0000D22B0000}"/>
    <cellStyle name="20% - Accent6 4 6 3 5" xfId="19508" xr:uid="{00000000-0005-0000-0000-0000D32B0000}"/>
    <cellStyle name="20% - Accent6 4 6 3 6" xfId="19509" xr:uid="{00000000-0005-0000-0000-0000D42B0000}"/>
    <cellStyle name="20% - Accent6 4 6 4" xfId="19510" xr:uid="{00000000-0005-0000-0000-0000D52B0000}"/>
    <cellStyle name="20% - Accent6 4 6 4 2" xfId="19511" xr:uid="{00000000-0005-0000-0000-0000D62B0000}"/>
    <cellStyle name="20% - Accent6 4 6 4 2 2" xfId="19512" xr:uid="{00000000-0005-0000-0000-0000D72B0000}"/>
    <cellStyle name="20% - Accent6 4 6 4 2 3" xfId="19513" xr:uid="{00000000-0005-0000-0000-0000D82B0000}"/>
    <cellStyle name="20% - Accent6 4 6 4 3" xfId="19514" xr:uid="{00000000-0005-0000-0000-0000D92B0000}"/>
    <cellStyle name="20% - Accent6 4 6 4 3 2" xfId="19515" xr:uid="{00000000-0005-0000-0000-0000DA2B0000}"/>
    <cellStyle name="20% - Accent6 4 6 4 4" xfId="19516" xr:uid="{00000000-0005-0000-0000-0000DB2B0000}"/>
    <cellStyle name="20% - Accent6 4 6 4 5" xfId="19517" xr:uid="{00000000-0005-0000-0000-0000DC2B0000}"/>
    <cellStyle name="20% - Accent6 4 6 5" xfId="19518" xr:uid="{00000000-0005-0000-0000-0000DD2B0000}"/>
    <cellStyle name="20% - Accent6 4 6 5 2" xfId="19519" xr:uid="{00000000-0005-0000-0000-0000DE2B0000}"/>
    <cellStyle name="20% - Accent6 4 6 5 3" xfId="19520" xr:uid="{00000000-0005-0000-0000-0000DF2B0000}"/>
    <cellStyle name="20% - Accent6 4 6 6" xfId="19521" xr:uid="{00000000-0005-0000-0000-0000E02B0000}"/>
    <cellStyle name="20% - Accent6 4 6 6 2" xfId="19522" xr:uid="{00000000-0005-0000-0000-0000E12B0000}"/>
    <cellStyle name="20% - Accent6 4 6 6 3" xfId="19523" xr:uid="{00000000-0005-0000-0000-0000E22B0000}"/>
    <cellStyle name="20% - Accent6 4 6 7" xfId="19524" xr:uid="{00000000-0005-0000-0000-0000E32B0000}"/>
    <cellStyle name="20% - Accent6 4 6 7 2" xfId="19525" xr:uid="{00000000-0005-0000-0000-0000E42B0000}"/>
    <cellStyle name="20% - Accent6 4 6 8" xfId="19526" xr:uid="{00000000-0005-0000-0000-0000E52B0000}"/>
    <cellStyle name="20% - Accent6 4 6 9" xfId="19527" xr:uid="{00000000-0005-0000-0000-0000E62B0000}"/>
    <cellStyle name="20% - Accent6 4 7" xfId="8943" xr:uid="{00000000-0005-0000-0000-0000E72B0000}"/>
    <cellStyle name="20% - Accent6 4 7 2" xfId="19528" xr:uid="{00000000-0005-0000-0000-0000E82B0000}"/>
    <cellStyle name="20% - Accent6 4 7 2 2" xfId="19529" xr:uid="{00000000-0005-0000-0000-0000E92B0000}"/>
    <cellStyle name="20% - Accent6 4 7 2 2 2" xfId="19530" xr:uid="{00000000-0005-0000-0000-0000EA2B0000}"/>
    <cellStyle name="20% - Accent6 4 7 2 2 3" xfId="19531" xr:uid="{00000000-0005-0000-0000-0000EB2B0000}"/>
    <cellStyle name="20% - Accent6 4 7 2 3" xfId="19532" xr:uid="{00000000-0005-0000-0000-0000EC2B0000}"/>
    <cellStyle name="20% - Accent6 4 7 2 3 2" xfId="19533" xr:uid="{00000000-0005-0000-0000-0000ED2B0000}"/>
    <cellStyle name="20% - Accent6 4 7 2 3 3" xfId="19534" xr:uid="{00000000-0005-0000-0000-0000EE2B0000}"/>
    <cellStyle name="20% - Accent6 4 7 2 4" xfId="19535" xr:uid="{00000000-0005-0000-0000-0000EF2B0000}"/>
    <cellStyle name="20% - Accent6 4 7 2 4 2" xfId="19536" xr:uid="{00000000-0005-0000-0000-0000F02B0000}"/>
    <cellStyle name="20% - Accent6 4 7 2 5" xfId="19537" xr:uid="{00000000-0005-0000-0000-0000F12B0000}"/>
    <cellStyle name="20% - Accent6 4 7 2 6" xfId="19538" xr:uid="{00000000-0005-0000-0000-0000F22B0000}"/>
    <cellStyle name="20% - Accent6 4 7 3" xfId="19539" xr:uid="{00000000-0005-0000-0000-0000F32B0000}"/>
    <cellStyle name="20% - Accent6 4 7 3 2" xfId="19540" xr:uid="{00000000-0005-0000-0000-0000F42B0000}"/>
    <cellStyle name="20% - Accent6 4 7 3 2 2" xfId="19541" xr:uid="{00000000-0005-0000-0000-0000F52B0000}"/>
    <cellStyle name="20% - Accent6 4 7 3 2 3" xfId="19542" xr:uid="{00000000-0005-0000-0000-0000F62B0000}"/>
    <cellStyle name="20% - Accent6 4 7 3 3" xfId="19543" xr:uid="{00000000-0005-0000-0000-0000F72B0000}"/>
    <cellStyle name="20% - Accent6 4 7 3 3 2" xfId="19544" xr:uid="{00000000-0005-0000-0000-0000F82B0000}"/>
    <cellStyle name="20% - Accent6 4 7 3 3 3" xfId="19545" xr:uid="{00000000-0005-0000-0000-0000F92B0000}"/>
    <cellStyle name="20% - Accent6 4 7 3 4" xfId="19546" xr:uid="{00000000-0005-0000-0000-0000FA2B0000}"/>
    <cellStyle name="20% - Accent6 4 7 3 4 2" xfId="19547" xr:uid="{00000000-0005-0000-0000-0000FB2B0000}"/>
    <cellStyle name="20% - Accent6 4 7 3 5" xfId="19548" xr:uid="{00000000-0005-0000-0000-0000FC2B0000}"/>
    <cellStyle name="20% - Accent6 4 7 3 6" xfId="19549" xr:uid="{00000000-0005-0000-0000-0000FD2B0000}"/>
    <cellStyle name="20% - Accent6 4 7 4" xfId="19550" xr:uid="{00000000-0005-0000-0000-0000FE2B0000}"/>
    <cellStyle name="20% - Accent6 4 7 4 2" xfId="19551" xr:uid="{00000000-0005-0000-0000-0000FF2B0000}"/>
    <cellStyle name="20% - Accent6 4 7 4 2 2" xfId="19552" xr:uid="{00000000-0005-0000-0000-0000002C0000}"/>
    <cellStyle name="20% - Accent6 4 7 4 2 3" xfId="19553" xr:uid="{00000000-0005-0000-0000-0000012C0000}"/>
    <cellStyle name="20% - Accent6 4 7 4 3" xfId="19554" xr:uid="{00000000-0005-0000-0000-0000022C0000}"/>
    <cellStyle name="20% - Accent6 4 7 4 3 2" xfId="19555" xr:uid="{00000000-0005-0000-0000-0000032C0000}"/>
    <cellStyle name="20% - Accent6 4 7 4 4" xfId="19556" xr:uid="{00000000-0005-0000-0000-0000042C0000}"/>
    <cellStyle name="20% - Accent6 4 7 4 5" xfId="19557" xr:uid="{00000000-0005-0000-0000-0000052C0000}"/>
    <cellStyle name="20% - Accent6 4 7 5" xfId="19558" xr:uid="{00000000-0005-0000-0000-0000062C0000}"/>
    <cellStyle name="20% - Accent6 4 7 5 2" xfId="19559" xr:uid="{00000000-0005-0000-0000-0000072C0000}"/>
    <cellStyle name="20% - Accent6 4 7 5 3" xfId="19560" xr:uid="{00000000-0005-0000-0000-0000082C0000}"/>
    <cellStyle name="20% - Accent6 4 7 6" xfId="19561" xr:uid="{00000000-0005-0000-0000-0000092C0000}"/>
    <cellStyle name="20% - Accent6 4 7 6 2" xfId="19562" xr:uid="{00000000-0005-0000-0000-00000A2C0000}"/>
    <cellStyle name="20% - Accent6 4 7 6 3" xfId="19563" xr:uid="{00000000-0005-0000-0000-00000B2C0000}"/>
    <cellStyle name="20% - Accent6 4 7 7" xfId="19564" xr:uid="{00000000-0005-0000-0000-00000C2C0000}"/>
    <cellStyle name="20% - Accent6 4 7 7 2" xfId="19565" xr:uid="{00000000-0005-0000-0000-00000D2C0000}"/>
    <cellStyle name="20% - Accent6 4 7 8" xfId="19566" xr:uid="{00000000-0005-0000-0000-00000E2C0000}"/>
    <cellStyle name="20% - Accent6 4 7 9" xfId="19567" xr:uid="{00000000-0005-0000-0000-00000F2C0000}"/>
    <cellStyle name="20% - Accent6 4 8" xfId="19568" xr:uid="{00000000-0005-0000-0000-0000102C0000}"/>
    <cellStyle name="20% - Accent6 4 8 2" xfId="19569" xr:uid="{00000000-0005-0000-0000-0000112C0000}"/>
    <cellStyle name="20% - Accent6 4 8 2 2" xfId="19570" xr:uid="{00000000-0005-0000-0000-0000122C0000}"/>
    <cellStyle name="20% - Accent6 4 8 2 3" xfId="19571" xr:uid="{00000000-0005-0000-0000-0000132C0000}"/>
    <cellStyle name="20% - Accent6 4 8 3" xfId="19572" xr:uid="{00000000-0005-0000-0000-0000142C0000}"/>
    <cellStyle name="20% - Accent6 4 8 3 2" xfId="19573" xr:uid="{00000000-0005-0000-0000-0000152C0000}"/>
    <cellStyle name="20% - Accent6 4 8 3 3" xfId="19574" xr:uid="{00000000-0005-0000-0000-0000162C0000}"/>
    <cellStyle name="20% - Accent6 4 8 4" xfId="19575" xr:uid="{00000000-0005-0000-0000-0000172C0000}"/>
    <cellStyle name="20% - Accent6 4 8 4 2" xfId="19576" xr:uid="{00000000-0005-0000-0000-0000182C0000}"/>
    <cellStyle name="20% - Accent6 4 8 5" xfId="19577" xr:uid="{00000000-0005-0000-0000-0000192C0000}"/>
    <cellStyle name="20% - Accent6 4 8 6" xfId="19578" xr:uid="{00000000-0005-0000-0000-00001A2C0000}"/>
    <cellStyle name="20% - Accent6 4 9" xfId="19579" xr:uid="{00000000-0005-0000-0000-00001B2C0000}"/>
    <cellStyle name="20% - Accent6 4 9 2" xfId="19580" xr:uid="{00000000-0005-0000-0000-00001C2C0000}"/>
    <cellStyle name="20% - Accent6 4 9 2 2" xfId="19581" xr:uid="{00000000-0005-0000-0000-00001D2C0000}"/>
    <cellStyle name="20% - Accent6 4 9 2 3" xfId="19582" xr:uid="{00000000-0005-0000-0000-00001E2C0000}"/>
    <cellStyle name="20% - Accent6 4 9 3" xfId="19583" xr:uid="{00000000-0005-0000-0000-00001F2C0000}"/>
    <cellStyle name="20% - Accent6 4 9 3 2" xfId="19584" xr:uid="{00000000-0005-0000-0000-0000202C0000}"/>
    <cellStyle name="20% - Accent6 4 9 3 3" xfId="19585" xr:uid="{00000000-0005-0000-0000-0000212C0000}"/>
    <cellStyle name="20% - Accent6 4 9 4" xfId="19586" xr:uid="{00000000-0005-0000-0000-0000222C0000}"/>
    <cellStyle name="20% - Accent6 4 9 4 2" xfId="19587" xr:uid="{00000000-0005-0000-0000-0000232C0000}"/>
    <cellStyle name="20% - Accent6 4 9 5" xfId="19588" xr:uid="{00000000-0005-0000-0000-0000242C0000}"/>
    <cellStyle name="20% - Accent6 4 9 6" xfId="19589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7977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44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7978" xr:uid="{00000000-0005-0000-0000-00003D2C0000}"/>
    <cellStyle name="20% - Accent6 6 2 5" xfId="57979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7980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7981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7982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7983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7984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7985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7986" xr:uid="{00000000-0005-0000-0000-0000662C0000}"/>
    <cellStyle name="40% - Accent1 13" xfId="1431" xr:uid="{00000000-0005-0000-0000-0000672C0000}"/>
    <cellStyle name="40% - Accent1 13 2" xfId="57987" xr:uid="{00000000-0005-0000-0000-0000682C0000}"/>
    <cellStyle name="40% - Accent1 14" xfId="8945" xr:uid="{00000000-0005-0000-0000-0000692C0000}"/>
    <cellStyle name="40% - Accent1 15" xfId="9396" xr:uid="{00000000-0005-0000-0000-00006A2C0000}"/>
    <cellStyle name="40% - Accent1 16" xfId="9397" xr:uid="{00000000-0005-0000-0000-00006B2C0000}"/>
    <cellStyle name="40% - Accent1 17" xfId="9398" xr:uid="{00000000-0005-0000-0000-00006C2C0000}"/>
    <cellStyle name="40% - Accent1 17 2" xfId="57988" xr:uid="{00000000-0005-0000-0000-00006D2C0000}"/>
    <cellStyle name="40% - Accent1 18" xfId="57989" xr:uid="{00000000-0005-0000-0000-00006E2C0000}"/>
    <cellStyle name="40% - Accent1 19" xfId="57990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7991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7992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7993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7994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7995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7996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7997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7998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7999" xr:uid="{00000000-0005-0000-0000-0000B92C0000}"/>
    <cellStyle name="40% - Accent1 20" xfId="58000" xr:uid="{00000000-0005-0000-0000-0000BA2C0000}"/>
    <cellStyle name="40% - Accent1 21" xfId="58001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46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47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48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49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8950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8951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8952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8953" xr:uid="{00000000-0005-0000-0000-0000042D0000}"/>
    <cellStyle name="40% - Accent1 4" xfId="1562" xr:uid="{00000000-0005-0000-0000-0000052D0000}"/>
    <cellStyle name="40% - Accent1 4 10" xfId="19590" xr:uid="{00000000-0005-0000-0000-0000062D0000}"/>
    <cellStyle name="40% - Accent1 4 10 2" xfId="19591" xr:uid="{00000000-0005-0000-0000-0000072D0000}"/>
    <cellStyle name="40% - Accent1 4 10 2 2" xfId="19592" xr:uid="{00000000-0005-0000-0000-0000082D0000}"/>
    <cellStyle name="40% - Accent1 4 10 2 3" xfId="19593" xr:uid="{00000000-0005-0000-0000-0000092D0000}"/>
    <cellStyle name="40% - Accent1 4 10 3" xfId="19594" xr:uid="{00000000-0005-0000-0000-00000A2D0000}"/>
    <cellStyle name="40% - Accent1 4 10 3 2" xfId="19595" xr:uid="{00000000-0005-0000-0000-00000B2D0000}"/>
    <cellStyle name="40% - Accent1 4 10 4" xfId="19596" xr:uid="{00000000-0005-0000-0000-00000C2D0000}"/>
    <cellStyle name="40% - Accent1 4 10 5" xfId="19597" xr:uid="{00000000-0005-0000-0000-00000D2D0000}"/>
    <cellStyle name="40% - Accent1 4 11" xfId="19598" xr:uid="{00000000-0005-0000-0000-00000E2D0000}"/>
    <cellStyle name="40% - Accent1 4 11 2" xfId="19599" xr:uid="{00000000-0005-0000-0000-00000F2D0000}"/>
    <cellStyle name="40% - Accent1 4 11 3" xfId="19600" xr:uid="{00000000-0005-0000-0000-0000102D0000}"/>
    <cellStyle name="40% - Accent1 4 12" xfId="19601" xr:uid="{00000000-0005-0000-0000-0000112D0000}"/>
    <cellStyle name="40% - Accent1 4 12 2" xfId="19602" xr:uid="{00000000-0005-0000-0000-0000122D0000}"/>
    <cellStyle name="40% - Accent1 4 12 3" xfId="19603" xr:uid="{00000000-0005-0000-0000-0000132D0000}"/>
    <cellStyle name="40% - Accent1 4 13" xfId="19604" xr:uid="{00000000-0005-0000-0000-0000142D0000}"/>
    <cellStyle name="40% - Accent1 4 13 2" xfId="19605" xr:uid="{00000000-0005-0000-0000-0000152D0000}"/>
    <cellStyle name="40% - Accent1 4 14" xfId="19606" xr:uid="{00000000-0005-0000-0000-0000162D0000}"/>
    <cellStyle name="40% - Accent1 4 15" xfId="19607" xr:uid="{00000000-0005-0000-0000-0000172D0000}"/>
    <cellStyle name="40% - Accent1 4 16" xfId="19608" xr:uid="{00000000-0005-0000-0000-0000182D0000}"/>
    <cellStyle name="40% - Accent1 4 2" xfId="1563" xr:uid="{00000000-0005-0000-0000-0000192D0000}"/>
    <cellStyle name="40% - Accent1 4 2 10" xfId="19609" xr:uid="{00000000-0005-0000-0000-00001A2D0000}"/>
    <cellStyle name="40% - Accent1 4 2 10 2" xfId="19610" xr:uid="{00000000-0005-0000-0000-00001B2D0000}"/>
    <cellStyle name="40% - Accent1 4 2 10 3" xfId="19611" xr:uid="{00000000-0005-0000-0000-00001C2D0000}"/>
    <cellStyle name="40% - Accent1 4 2 11" xfId="19612" xr:uid="{00000000-0005-0000-0000-00001D2D0000}"/>
    <cellStyle name="40% - Accent1 4 2 11 2" xfId="19613" xr:uid="{00000000-0005-0000-0000-00001E2D0000}"/>
    <cellStyle name="40% - Accent1 4 2 11 3" xfId="19614" xr:uid="{00000000-0005-0000-0000-00001F2D0000}"/>
    <cellStyle name="40% - Accent1 4 2 12" xfId="19615" xr:uid="{00000000-0005-0000-0000-0000202D0000}"/>
    <cellStyle name="40% - Accent1 4 2 12 2" xfId="19616" xr:uid="{00000000-0005-0000-0000-0000212D0000}"/>
    <cellStyle name="40% - Accent1 4 2 13" xfId="19617" xr:uid="{00000000-0005-0000-0000-0000222D0000}"/>
    <cellStyle name="40% - Accent1 4 2 14" xfId="19618" xr:uid="{00000000-0005-0000-0000-0000232D0000}"/>
    <cellStyle name="40% - Accent1 4 2 15" xfId="19619" xr:uid="{00000000-0005-0000-0000-0000242D0000}"/>
    <cellStyle name="40% - Accent1 4 2 2" xfId="1564" xr:uid="{00000000-0005-0000-0000-0000252D0000}"/>
    <cellStyle name="40% - Accent1 4 2 2 10" xfId="19620" xr:uid="{00000000-0005-0000-0000-0000262D0000}"/>
    <cellStyle name="40% - Accent1 4 2 2 10 2" xfId="19621" xr:uid="{00000000-0005-0000-0000-0000272D0000}"/>
    <cellStyle name="40% - Accent1 4 2 2 10 3" xfId="19622" xr:uid="{00000000-0005-0000-0000-0000282D0000}"/>
    <cellStyle name="40% - Accent1 4 2 2 11" xfId="19623" xr:uid="{00000000-0005-0000-0000-0000292D0000}"/>
    <cellStyle name="40% - Accent1 4 2 2 11 2" xfId="19624" xr:uid="{00000000-0005-0000-0000-00002A2D0000}"/>
    <cellStyle name="40% - Accent1 4 2 2 12" xfId="19625" xr:uid="{00000000-0005-0000-0000-00002B2D0000}"/>
    <cellStyle name="40% - Accent1 4 2 2 13" xfId="19626" xr:uid="{00000000-0005-0000-0000-00002C2D0000}"/>
    <cellStyle name="40% - Accent1 4 2 2 2" xfId="1565" xr:uid="{00000000-0005-0000-0000-00002D2D0000}"/>
    <cellStyle name="40% - Accent1 4 2 2 2 10" xfId="19627" xr:uid="{00000000-0005-0000-0000-00002E2D0000}"/>
    <cellStyle name="40% - Accent1 4 2 2 2 10 2" xfId="19628" xr:uid="{00000000-0005-0000-0000-00002F2D0000}"/>
    <cellStyle name="40% - Accent1 4 2 2 2 11" xfId="19629" xr:uid="{00000000-0005-0000-0000-0000302D0000}"/>
    <cellStyle name="40% - Accent1 4 2 2 2 12" xfId="19630" xr:uid="{00000000-0005-0000-0000-0000312D0000}"/>
    <cellStyle name="40% - Accent1 4 2 2 2 2" xfId="1566" xr:uid="{00000000-0005-0000-0000-0000322D0000}"/>
    <cellStyle name="40% - Accent1 4 2 2 2 2 10" xfId="19631" xr:uid="{00000000-0005-0000-0000-0000332D0000}"/>
    <cellStyle name="40% - Accent1 4 2 2 2 2 2" xfId="1567" xr:uid="{00000000-0005-0000-0000-0000342D0000}"/>
    <cellStyle name="40% - Accent1 4 2 2 2 2 2 2" xfId="19632" xr:uid="{00000000-0005-0000-0000-0000352D0000}"/>
    <cellStyle name="40% - Accent1 4 2 2 2 2 2 2 2" xfId="19633" xr:uid="{00000000-0005-0000-0000-0000362D0000}"/>
    <cellStyle name="40% - Accent1 4 2 2 2 2 2 2 2 2" xfId="19634" xr:uid="{00000000-0005-0000-0000-0000372D0000}"/>
    <cellStyle name="40% - Accent1 4 2 2 2 2 2 2 2 3" xfId="19635" xr:uid="{00000000-0005-0000-0000-0000382D0000}"/>
    <cellStyle name="40% - Accent1 4 2 2 2 2 2 2 3" xfId="19636" xr:uid="{00000000-0005-0000-0000-0000392D0000}"/>
    <cellStyle name="40% - Accent1 4 2 2 2 2 2 2 3 2" xfId="19637" xr:uid="{00000000-0005-0000-0000-00003A2D0000}"/>
    <cellStyle name="40% - Accent1 4 2 2 2 2 2 2 3 3" xfId="19638" xr:uid="{00000000-0005-0000-0000-00003B2D0000}"/>
    <cellStyle name="40% - Accent1 4 2 2 2 2 2 2 4" xfId="19639" xr:uid="{00000000-0005-0000-0000-00003C2D0000}"/>
    <cellStyle name="40% - Accent1 4 2 2 2 2 2 2 4 2" xfId="19640" xr:uid="{00000000-0005-0000-0000-00003D2D0000}"/>
    <cellStyle name="40% - Accent1 4 2 2 2 2 2 2 5" xfId="19641" xr:uid="{00000000-0005-0000-0000-00003E2D0000}"/>
    <cellStyle name="40% - Accent1 4 2 2 2 2 2 2 6" xfId="19642" xr:uid="{00000000-0005-0000-0000-00003F2D0000}"/>
    <cellStyle name="40% - Accent1 4 2 2 2 2 2 3" xfId="19643" xr:uid="{00000000-0005-0000-0000-0000402D0000}"/>
    <cellStyle name="40% - Accent1 4 2 2 2 2 2 3 2" xfId="19644" xr:uid="{00000000-0005-0000-0000-0000412D0000}"/>
    <cellStyle name="40% - Accent1 4 2 2 2 2 2 3 2 2" xfId="19645" xr:uid="{00000000-0005-0000-0000-0000422D0000}"/>
    <cellStyle name="40% - Accent1 4 2 2 2 2 2 3 2 3" xfId="19646" xr:uid="{00000000-0005-0000-0000-0000432D0000}"/>
    <cellStyle name="40% - Accent1 4 2 2 2 2 2 3 3" xfId="19647" xr:uid="{00000000-0005-0000-0000-0000442D0000}"/>
    <cellStyle name="40% - Accent1 4 2 2 2 2 2 3 3 2" xfId="19648" xr:uid="{00000000-0005-0000-0000-0000452D0000}"/>
    <cellStyle name="40% - Accent1 4 2 2 2 2 2 3 3 3" xfId="19649" xr:uid="{00000000-0005-0000-0000-0000462D0000}"/>
    <cellStyle name="40% - Accent1 4 2 2 2 2 2 3 4" xfId="19650" xr:uid="{00000000-0005-0000-0000-0000472D0000}"/>
    <cellStyle name="40% - Accent1 4 2 2 2 2 2 3 4 2" xfId="19651" xr:uid="{00000000-0005-0000-0000-0000482D0000}"/>
    <cellStyle name="40% - Accent1 4 2 2 2 2 2 3 5" xfId="19652" xr:uid="{00000000-0005-0000-0000-0000492D0000}"/>
    <cellStyle name="40% - Accent1 4 2 2 2 2 2 3 6" xfId="19653" xr:uid="{00000000-0005-0000-0000-00004A2D0000}"/>
    <cellStyle name="40% - Accent1 4 2 2 2 2 2 4" xfId="19654" xr:uid="{00000000-0005-0000-0000-00004B2D0000}"/>
    <cellStyle name="40% - Accent1 4 2 2 2 2 2 4 2" xfId="19655" xr:uid="{00000000-0005-0000-0000-00004C2D0000}"/>
    <cellStyle name="40% - Accent1 4 2 2 2 2 2 4 2 2" xfId="19656" xr:uid="{00000000-0005-0000-0000-00004D2D0000}"/>
    <cellStyle name="40% - Accent1 4 2 2 2 2 2 4 2 3" xfId="19657" xr:uid="{00000000-0005-0000-0000-00004E2D0000}"/>
    <cellStyle name="40% - Accent1 4 2 2 2 2 2 4 3" xfId="19658" xr:uid="{00000000-0005-0000-0000-00004F2D0000}"/>
    <cellStyle name="40% - Accent1 4 2 2 2 2 2 4 3 2" xfId="19659" xr:uid="{00000000-0005-0000-0000-0000502D0000}"/>
    <cellStyle name="40% - Accent1 4 2 2 2 2 2 4 4" xfId="19660" xr:uid="{00000000-0005-0000-0000-0000512D0000}"/>
    <cellStyle name="40% - Accent1 4 2 2 2 2 2 4 5" xfId="19661" xr:uid="{00000000-0005-0000-0000-0000522D0000}"/>
    <cellStyle name="40% - Accent1 4 2 2 2 2 2 5" xfId="19662" xr:uid="{00000000-0005-0000-0000-0000532D0000}"/>
    <cellStyle name="40% - Accent1 4 2 2 2 2 2 5 2" xfId="19663" xr:uid="{00000000-0005-0000-0000-0000542D0000}"/>
    <cellStyle name="40% - Accent1 4 2 2 2 2 2 5 3" xfId="19664" xr:uid="{00000000-0005-0000-0000-0000552D0000}"/>
    <cellStyle name="40% - Accent1 4 2 2 2 2 2 6" xfId="19665" xr:uid="{00000000-0005-0000-0000-0000562D0000}"/>
    <cellStyle name="40% - Accent1 4 2 2 2 2 2 6 2" xfId="19666" xr:uid="{00000000-0005-0000-0000-0000572D0000}"/>
    <cellStyle name="40% - Accent1 4 2 2 2 2 2 6 3" xfId="19667" xr:uid="{00000000-0005-0000-0000-0000582D0000}"/>
    <cellStyle name="40% - Accent1 4 2 2 2 2 2 7" xfId="19668" xr:uid="{00000000-0005-0000-0000-0000592D0000}"/>
    <cellStyle name="40% - Accent1 4 2 2 2 2 2 7 2" xfId="19669" xr:uid="{00000000-0005-0000-0000-00005A2D0000}"/>
    <cellStyle name="40% - Accent1 4 2 2 2 2 2 8" xfId="19670" xr:uid="{00000000-0005-0000-0000-00005B2D0000}"/>
    <cellStyle name="40% - Accent1 4 2 2 2 2 2 9" xfId="19671" xr:uid="{00000000-0005-0000-0000-00005C2D0000}"/>
    <cellStyle name="40% - Accent1 4 2 2 2 2 3" xfId="19672" xr:uid="{00000000-0005-0000-0000-00005D2D0000}"/>
    <cellStyle name="40% - Accent1 4 2 2 2 2 3 2" xfId="19673" xr:uid="{00000000-0005-0000-0000-00005E2D0000}"/>
    <cellStyle name="40% - Accent1 4 2 2 2 2 3 2 2" xfId="19674" xr:uid="{00000000-0005-0000-0000-00005F2D0000}"/>
    <cellStyle name="40% - Accent1 4 2 2 2 2 3 2 3" xfId="19675" xr:uid="{00000000-0005-0000-0000-0000602D0000}"/>
    <cellStyle name="40% - Accent1 4 2 2 2 2 3 3" xfId="19676" xr:uid="{00000000-0005-0000-0000-0000612D0000}"/>
    <cellStyle name="40% - Accent1 4 2 2 2 2 3 3 2" xfId="19677" xr:uid="{00000000-0005-0000-0000-0000622D0000}"/>
    <cellStyle name="40% - Accent1 4 2 2 2 2 3 3 3" xfId="19678" xr:uid="{00000000-0005-0000-0000-0000632D0000}"/>
    <cellStyle name="40% - Accent1 4 2 2 2 2 3 4" xfId="19679" xr:uid="{00000000-0005-0000-0000-0000642D0000}"/>
    <cellStyle name="40% - Accent1 4 2 2 2 2 3 4 2" xfId="19680" xr:uid="{00000000-0005-0000-0000-0000652D0000}"/>
    <cellStyle name="40% - Accent1 4 2 2 2 2 3 5" xfId="19681" xr:uid="{00000000-0005-0000-0000-0000662D0000}"/>
    <cellStyle name="40% - Accent1 4 2 2 2 2 3 6" xfId="19682" xr:uid="{00000000-0005-0000-0000-0000672D0000}"/>
    <cellStyle name="40% - Accent1 4 2 2 2 2 4" xfId="19683" xr:uid="{00000000-0005-0000-0000-0000682D0000}"/>
    <cellStyle name="40% - Accent1 4 2 2 2 2 4 2" xfId="19684" xr:uid="{00000000-0005-0000-0000-0000692D0000}"/>
    <cellStyle name="40% - Accent1 4 2 2 2 2 4 2 2" xfId="19685" xr:uid="{00000000-0005-0000-0000-00006A2D0000}"/>
    <cellStyle name="40% - Accent1 4 2 2 2 2 4 2 3" xfId="19686" xr:uid="{00000000-0005-0000-0000-00006B2D0000}"/>
    <cellStyle name="40% - Accent1 4 2 2 2 2 4 3" xfId="19687" xr:uid="{00000000-0005-0000-0000-00006C2D0000}"/>
    <cellStyle name="40% - Accent1 4 2 2 2 2 4 3 2" xfId="19688" xr:uid="{00000000-0005-0000-0000-00006D2D0000}"/>
    <cellStyle name="40% - Accent1 4 2 2 2 2 4 3 3" xfId="19689" xr:uid="{00000000-0005-0000-0000-00006E2D0000}"/>
    <cellStyle name="40% - Accent1 4 2 2 2 2 4 4" xfId="19690" xr:uid="{00000000-0005-0000-0000-00006F2D0000}"/>
    <cellStyle name="40% - Accent1 4 2 2 2 2 4 4 2" xfId="19691" xr:uid="{00000000-0005-0000-0000-0000702D0000}"/>
    <cellStyle name="40% - Accent1 4 2 2 2 2 4 5" xfId="19692" xr:uid="{00000000-0005-0000-0000-0000712D0000}"/>
    <cellStyle name="40% - Accent1 4 2 2 2 2 4 6" xfId="19693" xr:uid="{00000000-0005-0000-0000-0000722D0000}"/>
    <cellStyle name="40% - Accent1 4 2 2 2 2 5" xfId="19694" xr:uid="{00000000-0005-0000-0000-0000732D0000}"/>
    <cellStyle name="40% - Accent1 4 2 2 2 2 5 2" xfId="19695" xr:uid="{00000000-0005-0000-0000-0000742D0000}"/>
    <cellStyle name="40% - Accent1 4 2 2 2 2 5 2 2" xfId="19696" xr:uid="{00000000-0005-0000-0000-0000752D0000}"/>
    <cellStyle name="40% - Accent1 4 2 2 2 2 5 2 3" xfId="19697" xr:uid="{00000000-0005-0000-0000-0000762D0000}"/>
    <cellStyle name="40% - Accent1 4 2 2 2 2 5 3" xfId="19698" xr:uid="{00000000-0005-0000-0000-0000772D0000}"/>
    <cellStyle name="40% - Accent1 4 2 2 2 2 5 3 2" xfId="19699" xr:uid="{00000000-0005-0000-0000-0000782D0000}"/>
    <cellStyle name="40% - Accent1 4 2 2 2 2 5 4" xfId="19700" xr:uid="{00000000-0005-0000-0000-0000792D0000}"/>
    <cellStyle name="40% - Accent1 4 2 2 2 2 5 5" xfId="19701" xr:uid="{00000000-0005-0000-0000-00007A2D0000}"/>
    <cellStyle name="40% - Accent1 4 2 2 2 2 6" xfId="19702" xr:uid="{00000000-0005-0000-0000-00007B2D0000}"/>
    <cellStyle name="40% - Accent1 4 2 2 2 2 6 2" xfId="19703" xr:uid="{00000000-0005-0000-0000-00007C2D0000}"/>
    <cellStyle name="40% - Accent1 4 2 2 2 2 6 3" xfId="19704" xr:uid="{00000000-0005-0000-0000-00007D2D0000}"/>
    <cellStyle name="40% - Accent1 4 2 2 2 2 7" xfId="19705" xr:uid="{00000000-0005-0000-0000-00007E2D0000}"/>
    <cellStyle name="40% - Accent1 4 2 2 2 2 7 2" xfId="19706" xr:uid="{00000000-0005-0000-0000-00007F2D0000}"/>
    <cellStyle name="40% - Accent1 4 2 2 2 2 7 3" xfId="19707" xr:uid="{00000000-0005-0000-0000-0000802D0000}"/>
    <cellStyle name="40% - Accent1 4 2 2 2 2 8" xfId="19708" xr:uid="{00000000-0005-0000-0000-0000812D0000}"/>
    <cellStyle name="40% - Accent1 4 2 2 2 2 8 2" xfId="19709" xr:uid="{00000000-0005-0000-0000-0000822D0000}"/>
    <cellStyle name="40% - Accent1 4 2 2 2 2 9" xfId="19710" xr:uid="{00000000-0005-0000-0000-0000832D0000}"/>
    <cellStyle name="40% - Accent1 4 2 2 2 3" xfId="1568" xr:uid="{00000000-0005-0000-0000-0000842D0000}"/>
    <cellStyle name="40% - Accent1 4 2 2 2 3 2" xfId="19711" xr:uid="{00000000-0005-0000-0000-0000852D0000}"/>
    <cellStyle name="40% - Accent1 4 2 2 2 3 2 2" xfId="19712" xr:uid="{00000000-0005-0000-0000-0000862D0000}"/>
    <cellStyle name="40% - Accent1 4 2 2 2 3 2 2 2" xfId="19713" xr:uid="{00000000-0005-0000-0000-0000872D0000}"/>
    <cellStyle name="40% - Accent1 4 2 2 2 3 2 2 3" xfId="19714" xr:uid="{00000000-0005-0000-0000-0000882D0000}"/>
    <cellStyle name="40% - Accent1 4 2 2 2 3 2 3" xfId="19715" xr:uid="{00000000-0005-0000-0000-0000892D0000}"/>
    <cellStyle name="40% - Accent1 4 2 2 2 3 2 3 2" xfId="19716" xr:uid="{00000000-0005-0000-0000-00008A2D0000}"/>
    <cellStyle name="40% - Accent1 4 2 2 2 3 2 3 3" xfId="19717" xr:uid="{00000000-0005-0000-0000-00008B2D0000}"/>
    <cellStyle name="40% - Accent1 4 2 2 2 3 2 4" xfId="19718" xr:uid="{00000000-0005-0000-0000-00008C2D0000}"/>
    <cellStyle name="40% - Accent1 4 2 2 2 3 2 4 2" xfId="19719" xr:uid="{00000000-0005-0000-0000-00008D2D0000}"/>
    <cellStyle name="40% - Accent1 4 2 2 2 3 2 5" xfId="19720" xr:uid="{00000000-0005-0000-0000-00008E2D0000}"/>
    <cellStyle name="40% - Accent1 4 2 2 2 3 2 6" xfId="19721" xr:uid="{00000000-0005-0000-0000-00008F2D0000}"/>
    <cellStyle name="40% - Accent1 4 2 2 2 3 3" xfId="19722" xr:uid="{00000000-0005-0000-0000-0000902D0000}"/>
    <cellStyle name="40% - Accent1 4 2 2 2 3 3 2" xfId="19723" xr:uid="{00000000-0005-0000-0000-0000912D0000}"/>
    <cellStyle name="40% - Accent1 4 2 2 2 3 3 2 2" xfId="19724" xr:uid="{00000000-0005-0000-0000-0000922D0000}"/>
    <cellStyle name="40% - Accent1 4 2 2 2 3 3 2 3" xfId="19725" xr:uid="{00000000-0005-0000-0000-0000932D0000}"/>
    <cellStyle name="40% - Accent1 4 2 2 2 3 3 3" xfId="19726" xr:uid="{00000000-0005-0000-0000-0000942D0000}"/>
    <cellStyle name="40% - Accent1 4 2 2 2 3 3 3 2" xfId="19727" xr:uid="{00000000-0005-0000-0000-0000952D0000}"/>
    <cellStyle name="40% - Accent1 4 2 2 2 3 3 3 3" xfId="19728" xr:uid="{00000000-0005-0000-0000-0000962D0000}"/>
    <cellStyle name="40% - Accent1 4 2 2 2 3 3 4" xfId="19729" xr:uid="{00000000-0005-0000-0000-0000972D0000}"/>
    <cellStyle name="40% - Accent1 4 2 2 2 3 3 4 2" xfId="19730" xr:uid="{00000000-0005-0000-0000-0000982D0000}"/>
    <cellStyle name="40% - Accent1 4 2 2 2 3 3 5" xfId="19731" xr:uid="{00000000-0005-0000-0000-0000992D0000}"/>
    <cellStyle name="40% - Accent1 4 2 2 2 3 3 6" xfId="19732" xr:uid="{00000000-0005-0000-0000-00009A2D0000}"/>
    <cellStyle name="40% - Accent1 4 2 2 2 3 4" xfId="19733" xr:uid="{00000000-0005-0000-0000-00009B2D0000}"/>
    <cellStyle name="40% - Accent1 4 2 2 2 3 4 2" xfId="19734" xr:uid="{00000000-0005-0000-0000-00009C2D0000}"/>
    <cellStyle name="40% - Accent1 4 2 2 2 3 4 2 2" xfId="19735" xr:uid="{00000000-0005-0000-0000-00009D2D0000}"/>
    <cellStyle name="40% - Accent1 4 2 2 2 3 4 2 3" xfId="19736" xr:uid="{00000000-0005-0000-0000-00009E2D0000}"/>
    <cellStyle name="40% - Accent1 4 2 2 2 3 4 3" xfId="19737" xr:uid="{00000000-0005-0000-0000-00009F2D0000}"/>
    <cellStyle name="40% - Accent1 4 2 2 2 3 4 3 2" xfId="19738" xr:uid="{00000000-0005-0000-0000-0000A02D0000}"/>
    <cellStyle name="40% - Accent1 4 2 2 2 3 4 4" xfId="19739" xr:uid="{00000000-0005-0000-0000-0000A12D0000}"/>
    <cellStyle name="40% - Accent1 4 2 2 2 3 4 5" xfId="19740" xr:uid="{00000000-0005-0000-0000-0000A22D0000}"/>
    <cellStyle name="40% - Accent1 4 2 2 2 3 5" xfId="19741" xr:uid="{00000000-0005-0000-0000-0000A32D0000}"/>
    <cellStyle name="40% - Accent1 4 2 2 2 3 5 2" xfId="19742" xr:uid="{00000000-0005-0000-0000-0000A42D0000}"/>
    <cellStyle name="40% - Accent1 4 2 2 2 3 5 3" xfId="19743" xr:uid="{00000000-0005-0000-0000-0000A52D0000}"/>
    <cellStyle name="40% - Accent1 4 2 2 2 3 6" xfId="19744" xr:uid="{00000000-0005-0000-0000-0000A62D0000}"/>
    <cellStyle name="40% - Accent1 4 2 2 2 3 6 2" xfId="19745" xr:uid="{00000000-0005-0000-0000-0000A72D0000}"/>
    <cellStyle name="40% - Accent1 4 2 2 2 3 6 3" xfId="19746" xr:uid="{00000000-0005-0000-0000-0000A82D0000}"/>
    <cellStyle name="40% - Accent1 4 2 2 2 3 7" xfId="19747" xr:uid="{00000000-0005-0000-0000-0000A92D0000}"/>
    <cellStyle name="40% - Accent1 4 2 2 2 3 7 2" xfId="19748" xr:uid="{00000000-0005-0000-0000-0000AA2D0000}"/>
    <cellStyle name="40% - Accent1 4 2 2 2 3 8" xfId="19749" xr:uid="{00000000-0005-0000-0000-0000AB2D0000}"/>
    <cellStyle name="40% - Accent1 4 2 2 2 3 9" xfId="19750" xr:uid="{00000000-0005-0000-0000-0000AC2D0000}"/>
    <cellStyle name="40% - Accent1 4 2 2 2 4" xfId="19751" xr:uid="{00000000-0005-0000-0000-0000AD2D0000}"/>
    <cellStyle name="40% - Accent1 4 2 2 2 4 2" xfId="19752" xr:uid="{00000000-0005-0000-0000-0000AE2D0000}"/>
    <cellStyle name="40% - Accent1 4 2 2 2 4 2 2" xfId="19753" xr:uid="{00000000-0005-0000-0000-0000AF2D0000}"/>
    <cellStyle name="40% - Accent1 4 2 2 2 4 2 2 2" xfId="19754" xr:uid="{00000000-0005-0000-0000-0000B02D0000}"/>
    <cellStyle name="40% - Accent1 4 2 2 2 4 2 2 3" xfId="19755" xr:uid="{00000000-0005-0000-0000-0000B12D0000}"/>
    <cellStyle name="40% - Accent1 4 2 2 2 4 2 3" xfId="19756" xr:uid="{00000000-0005-0000-0000-0000B22D0000}"/>
    <cellStyle name="40% - Accent1 4 2 2 2 4 2 3 2" xfId="19757" xr:uid="{00000000-0005-0000-0000-0000B32D0000}"/>
    <cellStyle name="40% - Accent1 4 2 2 2 4 2 3 3" xfId="19758" xr:uid="{00000000-0005-0000-0000-0000B42D0000}"/>
    <cellStyle name="40% - Accent1 4 2 2 2 4 2 4" xfId="19759" xr:uid="{00000000-0005-0000-0000-0000B52D0000}"/>
    <cellStyle name="40% - Accent1 4 2 2 2 4 2 4 2" xfId="19760" xr:uid="{00000000-0005-0000-0000-0000B62D0000}"/>
    <cellStyle name="40% - Accent1 4 2 2 2 4 2 5" xfId="19761" xr:uid="{00000000-0005-0000-0000-0000B72D0000}"/>
    <cellStyle name="40% - Accent1 4 2 2 2 4 2 6" xfId="19762" xr:uid="{00000000-0005-0000-0000-0000B82D0000}"/>
    <cellStyle name="40% - Accent1 4 2 2 2 4 3" xfId="19763" xr:uid="{00000000-0005-0000-0000-0000B92D0000}"/>
    <cellStyle name="40% - Accent1 4 2 2 2 4 3 2" xfId="19764" xr:uid="{00000000-0005-0000-0000-0000BA2D0000}"/>
    <cellStyle name="40% - Accent1 4 2 2 2 4 3 2 2" xfId="19765" xr:uid="{00000000-0005-0000-0000-0000BB2D0000}"/>
    <cellStyle name="40% - Accent1 4 2 2 2 4 3 2 3" xfId="19766" xr:uid="{00000000-0005-0000-0000-0000BC2D0000}"/>
    <cellStyle name="40% - Accent1 4 2 2 2 4 3 3" xfId="19767" xr:uid="{00000000-0005-0000-0000-0000BD2D0000}"/>
    <cellStyle name="40% - Accent1 4 2 2 2 4 3 3 2" xfId="19768" xr:uid="{00000000-0005-0000-0000-0000BE2D0000}"/>
    <cellStyle name="40% - Accent1 4 2 2 2 4 3 3 3" xfId="19769" xr:uid="{00000000-0005-0000-0000-0000BF2D0000}"/>
    <cellStyle name="40% - Accent1 4 2 2 2 4 3 4" xfId="19770" xr:uid="{00000000-0005-0000-0000-0000C02D0000}"/>
    <cellStyle name="40% - Accent1 4 2 2 2 4 3 4 2" xfId="19771" xr:uid="{00000000-0005-0000-0000-0000C12D0000}"/>
    <cellStyle name="40% - Accent1 4 2 2 2 4 3 5" xfId="19772" xr:uid="{00000000-0005-0000-0000-0000C22D0000}"/>
    <cellStyle name="40% - Accent1 4 2 2 2 4 3 6" xfId="19773" xr:uid="{00000000-0005-0000-0000-0000C32D0000}"/>
    <cellStyle name="40% - Accent1 4 2 2 2 4 4" xfId="19774" xr:uid="{00000000-0005-0000-0000-0000C42D0000}"/>
    <cellStyle name="40% - Accent1 4 2 2 2 4 4 2" xfId="19775" xr:uid="{00000000-0005-0000-0000-0000C52D0000}"/>
    <cellStyle name="40% - Accent1 4 2 2 2 4 4 2 2" xfId="19776" xr:uid="{00000000-0005-0000-0000-0000C62D0000}"/>
    <cellStyle name="40% - Accent1 4 2 2 2 4 4 2 3" xfId="19777" xr:uid="{00000000-0005-0000-0000-0000C72D0000}"/>
    <cellStyle name="40% - Accent1 4 2 2 2 4 4 3" xfId="19778" xr:uid="{00000000-0005-0000-0000-0000C82D0000}"/>
    <cellStyle name="40% - Accent1 4 2 2 2 4 4 3 2" xfId="19779" xr:uid="{00000000-0005-0000-0000-0000C92D0000}"/>
    <cellStyle name="40% - Accent1 4 2 2 2 4 4 4" xfId="19780" xr:uid="{00000000-0005-0000-0000-0000CA2D0000}"/>
    <cellStyle name="40% - Accent1 4 2 2 2 4 4 5" xfId="19781" xr:uid="{00000000-0005-0000-0000-0000CB2D0000}"/>
    <cellStyle name="40% - Accent1 4 2 2 2 4 5" xfId="19782" xr:uid="{00000000-0005-0000-0000-0000CC2D0000}"/>
    <cellStyle name="40% - Accent1 4 2 2 2 4 5 2" xfId="19783" xr:uid="{00000000-0005-0000-0000-0000CD2D0000}"/>
    <cellStyle name="40% - Accent1 4 2 2 2 4 5 3" xfId="19784" xr:uid="{00000000-0005-0000-0000-0000CE2D0000}"/>
    <cellStyle name="40% - Accent1 4 2 2 2 4 6" xfId="19785" xr:uid="{00000000-0005-0000-0000-0000CF2D0000}"/>
    <cellStyle name="40% - Accent1 4 2 2 2 4 6 2" xfId="19786" xr:uid="{00000000-0005-0000-0000-0000D02D0000}"/>
    <cellStyle name="40% - Accent1 4 2 2 2 4 6 3" xfId="19787" xr:uid="{00000000-0005-0000-0000-0000D12D0000}"/>
    <cellStyle name="40% - Accent1 4 2 2 2 4 7" xfId="19788" xr:uid="{00000000-0005-0000-0000-0000D22D0000}"/>
    <cellStyle name="40% - Accent1 4 2 2 2 4 7 2" xfId="19789" xr:uid="{00000000-0005-0000-0000-0000D32D0000}"/>
    <cellStyle name="40% - Accent1 4 2 2 2 4 8" xfId="19790" xr:uid="{00000000-0005-0000-0000-0000D42D0000}"/>
    <cellStyle name="40% - Accent1 4 2 2 2 4 9" xfId="19791" xr:uid="{00000000-0005-0000-0000-0000D52D0000}"/>
    <cellStyle name="40% - Accent1 4 2 2 2 5" xfId="19792" xr:uid="{00000000-0005-0000-0000-0000D62D0000}"/>
    <cellStyle name="40% - Accent1 4 2 2 2 5 2" xfId="19793" xr:uid="{00000000-0005-0000-0000-0000D72D0000}"/>
    <cellStyle name="40% - Accent1 4 2 2 2 5 2 2" xfId="19794" xr:uid="{00000000-0005-0000-0000-0000D82D0000}"/>
    <cellStyle name="40% - Accent1 4 2 2 2 5 2 3" xfId="19795" xr:uid="{00000000-0005-0000-0000-0000D92D0000}"/>
    <cellStyle name="40% - Accent1 4 2 2 2 5 3" xfId="19796" xr:uid="{00000000-0005-0000-0000-0000DA2D0000}"/>
    <cellStyle name="40% - Accent1 4 2 2 2 5 3 2" xfId="19797" xr:uid="{00000000-0005-0000-0000-0000DB2D0000}"/>
    <cellStyle name="40% - Accent1 4 2 2 2 5 3 3" xfId="19798" xr:uid="{00000000-0005-0000-0000-0000DC2D0000}"/>
    <cellStyle name="40% - Accent1 4 2 2 2 5 4" xfId="19799" xr:uid="{00000000-0005-0000-0000-0000DD2D0000}"/>
    <cellStyle name="40% - Accent1 4 2 2 2 5 4 2" xfId="19800" xr:uid="{00000000-0005-0000-0000-0000DE2D0000}"/>
    <cellStyle name="40% - Accent1 4 2 2 2 5 5" xfId="19801" xr:uid="{00000000-0005-0000-0000-0000DF2D0000}"/>
    <cellStyle name="40% - Accent1 4 2 2 2 5 6" xfId="19802" xr:uid="{00000000-0005-0000-0000-0000E02D0000}"/>
    <cellStyle name="40% - Accent1 4 2 2 2 6" xfId="19803" xr:uid="{00000000-0005-0000-0000-0000E12D0000}"/>
    <cellStyle name="40% - Accent1 4 2 2 2 6 2" xfId="19804" xr:uid="{00000000-0005-0000-0000-0000E22D0000}"/>
    <cellStyle name="40% - Accent1 4 2 2 2 6 2 2" xfId="19805" xr:uid="{00000000-0005-0000-0000-0000E32D0000}"/>
    <cellStyle name="40% - Accent1 4 2 2 2 6 2 3" xfId="19806" xr:uid="{00000000-0005-0000-0000-0000E42D0000}"/>
    <cellStyle name="40% - Accent1 4 2 2 2 6 3" xfId="19807" xr:uid="{00000000-0005-0000-0000-0000E52D0000}"/>
    <cellStyle name="40% - Accent1 4 2 2 2 6 3 2" xfId="19808" xr:uid="{00000000-0005-0000-0000-0000E62D0000}"/>
    <cellStyle name="40% - Accent1 4 2 2 2 6 3 3" xfId="19809" xr:uid="{00000000-0005-0000-0000-0000E72D0000}"/>
    <cellStyle name="40% - Accent1 4 2 2 2 6 4" xfId="19810" xr:uid="{00000000-0005-0000-0000-0000E82D0000}"/>
    <cellStyle name="40% - Accent1 4 2 2 2 6 4 2" xfId="19811" xr:uid="{00000000-0005-0000-0000-0000E92D0000}"/>
    <cellStyle name="40% - Accent1 4 2 2 2 6 5" xfId="19812" xr:uid="{00000000-0005-0000-0000-0000EA2D0000}"/>
    <cellStyle name="40% - Accent1 4 2 2 2 6 6" xfId="19813" xr:uid="{00000000-0005-0000-0000-0000EB2D0000}"/>
    <cellStyle name="40% - Accent1 4 2 2 2 7" xfId="19814" xr:uid="{00000000-0005-0000-0000-0000EC2D0000}"/>
    <cellStyle name="40% - Accent1 4 2 2 2 7 2" xfId="19815" xr:uid="{00000000-0005-0000-0000-0000ED2D0000}"/>
    <cellStyle name="40% - Accent1 4 2 2 2 7 2 2" xfId="19816" xr:uid="{00000000-0005-0000-0000-0000EE2D0000}"/>
    <cellStyle name="40% - Accent1 4 2 2 2 7 2 3" xfId="19817" xr:uid="{00000000-0005-0000-0000-0000EF2D0000}"/>
    <cellStyle name="40% - Accent1 4 2 2 2 7 3" xfId="19818" xr:uid="{00000000-0005-0000-0000-0000F02D0000}"/>
    <cellStyle name="40% - Accent1 4 2 2 2 7 3 2" xfId="19819" xr:uid="{00000000-0005-0000-0000-0000F12D0000}"/>
    <cellStyle name="40% - Accent1 4 2 2 2 7 4" xfId="19820" xr:uid="{00000000-0005-0000-0000-0000F22D0000}"/>
    <cellStyle name="40% - Accent1 4 2 2 2 7 5" xfId="19821" xr:uid="{00000000-0005-0000-0000-0000F32D0000}"/>
    <cellStyle name="40% - Accent1 4 2 2 2 8" xfId="19822" xr:uid="{00000000-0005-0000-0000-0000F42D0000}"/>
    <cellStyle name="40% - Accent1 4 2 2 2 8 2" xfId="19823" xr:uid="{00000000-0005-0000-0000-0000F52D0000}"/>
    <cellStyle name="40% - Accent1 4 2 2 2 8 3" xfId="19824" xr:uid="{00000000-0005-0000-0000-0000F62D0000}"/>
    <cellStyle name="40% - Accent1 4 2 2 2 9" xfId="19825" xr:uid="{00000000-0005-0000-0000-0000F72D0000}"/>
    <cellStyle name="40% - Accent1 4 2 2 2 9 2" xfId="19826" xr:uid="{00000000-0005-0000-0000-0000F82D0000}"/>
    <cellStyle name="40% - Accent1 4 2 2 2 9 3" xfId="19827" xr:uid="{00000000-0005-0000-0000-0000F92D0000}"/>
    <cellStyle name="40% - Accent1 4 2 2 3" xfId="1569" xr:uid="{00000000-0005-0000-0000-0000FA2D0000}"/>
    <cellStyle name="40% - Accent1 4 2 2 3 10" xfId="19828" xr:uid="{00000000-0005-0000-0000-0000FB2D0000}"/>
    <cellStyle name="40% - Accent1 4 2 2 3 2" xfId="1570" xr:uid="{00000000-0005-0000-0000-0000FC2D0000}"/>
    <cellStyle name="40% - Accent1 4 2 2 3 2 2" xfId="19829" xr:uid="{00000000-0005-0000-0000-0000FD2D0000}"/>
    <cellStyle name="40% - Accent1 4 2 2 3 2 2 2" xfId="19830" xr:uid="{00000000-0005-0000-0000-0000FE2D0000}"/>
    <cellStyle name="40% - Accent1 4 2 2 3 2 2 2 2" xfId="19831" xr:uid="{00000000-0005-0000-0000-0000FF2D0000}"/>
    <cellStyle name="40% - Accent1 4 2 2 3 2 2 2 3" xfId="19832" xr:uid="{00000000-0005-0000-0000-0000002E0000}"/>
    <cellStyle name="40% - Accent1 4 2 2 3 2 2 3" xfId="19833" xr:uid="{00000000-0005-0000-0000-0000012E0000}"/>
    <cellStyle name="40% - Accent1 4 2 2 3 2 2 3 2" xfId="19834" xr:uid="{00000000-0005-0000-0000-0000022E0000}"/>
    <cellStyle name="40% - Accent1 4 2 2 3 2 2 3 3" xfId="19835" xr:uid="{00000000-0005-0000-0000-0000032E0000}"/>
    <cellStyle name="40% - Accent1 4 2 2 3 2 2 4" xfId="19836" xr:uid="{00000000-0005-0000-0000-0000042E0000}"/>
    <cellStyle name="40% - Accent1 4 2 2 3 2 2 4 2" xfId="19837" xr:uid="{00000000-0005-0000-0000-0000052E0000}"/>
    <cellStyle name="40% - Accent1 4 2 2 3 2 2 5" xfId="19838" xr:uid="{00000000-0005-0000-0000-0000062E0000}"/>
    <cellStyle name="40% - Accent1 4 2 2 3 2 2 6" xfId="19839" xr:uid="{00000000-0005-0000-0000-0000072E0000}"/>
    <cellStyle name="40% - Accent1 4 2 2 3 2 3" xfId="19840" xr:uid="{00000000-0005-0000-0000-0000082E0000}"/>
    <cellStyle name="40% - Accent1 4 2 2 3 2 3 2" xfId="19841" xr:uid="{00000000-0005-0000-0000-0000092E0000}"/>
    <cellStyle name="40% - Accent1 4 2 2 3 2 3 2 2" xfId="19842" xr:uid="{00000000-0005-0000-0000-00000A2E0000}"/>
    <cellStyle name="40% - Accent1 4 2 2 3 2 3 2 3" xfId="19843" xr:uid="{00000000-0005-0000-0000-00000B2E0000}"/>
    <cellStyle name="40% - Accent1 4 2 2 3 2 3 3" xfId="19844" xr:uid="{00000000-0005-0000-0000-00000C2E0000}"/>
    <cellStyle name="40% - Accent1 4 2 2 3 2 3 3 2" xfId="19845" xr:uid="{00000000-0005-0000-0000-00000D2E0000}"/>
    <cellStyle name="40% - Accent1 4 2 2 3 2 3 3 3" xfId="19846" xr:uid="{00000000-0005-0000-0000-00000E2E0000}"/>
    <cellStyle name="40% - Accent1 4 2 2 3 2 3 4" xfId="19847" xr:uid="{00000000-0005-0000-0000-00000F2E0000}"/>
    <cellStyle name="40% - Accent1 4 2 2 3 2 3 4 2" xfId="19848" xr:uid="{00000000-0005-0000-0000-0000102E0000}"/>
    <cellStyle name="40% - Accent1 4 2 2 3 2 3 5" xfId="19849" xr:uid="{00000000-0005-0000-0000-0000112E0000}"/>
    <cellStyle name="40% - Accent1 4 2 2 3 2 3 6" xfId="19850" xr:uid="{00000000-0005-0000-0000-0000122E0000}"/>
    <cellStyle name="40% - Accent1 4 2 2 3 2 4" xfId="19851" xr:uid="{00000000-0005-0000-0000-0000132E0000}"/>
    <cellStyle name="40% - Accent1 4 2 2 3 2 4 2" xfId="19852" xr:uid="{00000000-0005-0000-0000-0000142E0000}"/>
    <cellStyle name="40% - Accent1 4 2 2 3 2 4 2 2" xfId="19853" xr:uid="{00000000-0005-0000-0000-0000152E0000}"/>
    <cellStyle name="40% - Accent1 4 2 2 3 2 4 2 3" xfId="19854" xr:uid="{00000000-0005-0000-0000-0000162E0000}"/>
    <cellStyle name="40% - Accent1 4 2 2 3 2 4 3" xfId="19855" xr:uid="{00000000-0005-0000-0000-0000172E0000}"/>
    <cellStyle name="40% - Accent1 4 2 2 3 2 4 3 2" xfId="19856" xr:uid="{00000000-0005-0000-0000-0000182E0000}"/>
    <cellStyle name="40% - Accent1 4 2 2 3 2 4 4" xfId="19857" xr:uid="{00000000-0005-0000-0000-0000192E0000}"/>
    <cellStyle name="40% - Accent1 4 2 2 3 2 4 5" xfId="19858" xr:uid="{00000000-0005-0000-0000-00001A2E0000}"/>
    <cellStyle name="40% - Accent1 4 2 2 3 2 5" xfId="19859" xr:uid="{00000000-0005-0000-0000-00001B2E0000}"/>
    <cellStyle name="40% - Accent1 4 2 2 3 2 5 2" xfId="19860" xr:uid="{00000000-0005-0000-0000-00001C2E0000}"/>
    <cellStyle name="40% - Accent1 4 2 2 3 2 5 3" xfId="19861" xr:uid="{00000000-0005-0000-0000-00001D2E0000}"/>
    <cellStyle name="40% - Accent1 4 2 2 3 2 6" xfId="19862" xr:uid="{00000000-0005-0000-0000-00001E2E0000}"/>
    <cellStyle name="40% - Accent1 4 2 2 3 2 6 2" xfId="19863" xr:uid="{00000000-0005-0000-0000-00001F2E0000}"/>
    <cellStyle name="40% - Accent1 4 2 2 3 2 6 3" xfId="19864" xr:uid="{00000000-0005-0000-0000-0000202E0000}"/>
    <cellStyle name="40% - Accent1 4 2 2 3 2 7" xfId="19865" xr:uid="{00000000-0005-0000-0000-0000212E0000}"/>
    <cellStyle name="40% - Accent1 4 2 2 3 2 7 2" xfId="19866" xr:uid="{00000000-0005-0000-0000-0000222E0000}"/>
    <cellStyle name="40% - Accent1 4 2 2 3 2 8" xfId="19867" xr:uid="{00000000-0005-0000-0000-0000232E0000}"/>
    <cellStyle name="40% - Accent1 4 2 2 3 2 9" xfId="19868" xr:uid="{00000000-0005-0000-0000-0000242E0000}"/>
    <cellStyle name="40% - Accent1 4 2 2 3 3" xfId="19869" xr:uid="{00000000-0005-0000-0000-0000252E0000}"/>
    <cellStyle name="40% - Accent1 4 2 2 3 3 2" xfId="19870" xr:uid="{00000000-0005-0000-0000-0000262E0000}"/>
    <cellStyle name="40% - Accent1 4 2 2 3 3 2 2" xfId="19871" xr:uid="{00000000-0005-0000-0000-0000272E0000}"/>
    <cellStyle name="40% - Accent1 4 2 2 3 3 2 3" xfId="19872" xr:uid="{00000000-0005-0000-0000-0000282E0000}"/>
    <cellStyle name="40% - Accent1 4 2 2 3 3 3" xfId="19873" xr:uid="{00000000-0005-0000-0000-0000292E0000}"/>
    <cellStyle name="40% - Accent1 4 2 2 3 3 3 2" xfId="19874" xr:uid="{00000000-0005-0000-0000-00002A2E0000}"/>
    <cellStyle name="40% - Accent1 4 2 2 3 3 3 3" xfId="19875" xr:uid="{00000000-0005-0000-0000-00002B2E0000}"/>
    <cellStyle name="40% - Accent1 4 2 2 3 3 4" xfId="19876" xr:uid="{00000000-0005-0000-0000-00002C2E0000}"/>
    <cellStyle name="40% - Accent1 4 2 2 3 3 4 2" xfId="19877" xr:uid="{00000000-0005-0000-0000-00002D2E0000}"/>
    <cellStyle name="40% - Accent1 4 2 2 3 3 5" xfId="19878" xr:uid="{00000000-0005-0000-0000-00002E2E0000}"/>
    <cellStyle name="40% - Accent1 4 2 2 3 3 6" xfId="19879" xr:uid="{00000000-0005-0000-0000-00002F2E0000}"/>
    <cellStyle name="40% - Accent1 4 2 2 3 4" xfId="19880" xr:uid="{00000000-0005-0000-0000-0000302E0000}"/>
    <cellStyle name="40% - Accent1 4 2 2 3 4 2" xfId="19881" xr:uid="{00000000-0005-0000-0000-0000312E0000}"/>
    <cellStyle name="40% - Accent1 4 2 2 3 4 2 2" xfId="19882" xr:uid="{00000000-0005-0000-0000-0000322E0000}"/>
    <cellStyle name="40% - Accent1 4 2 2 3 4 2 3" xfId="19883" xr:uid="{00000000-0005-0000-0000-0000332E0000}"/>
    <cellStyle name="40% - Accent1 4 2 2 3 4 3" xfId="19884" xr:uid="{00000000-0005-0000-0000-0000342E0000}"/>
    <cellStyle name="40% - Accent1 4 2 2 3 4 3 2" xfId="19885" xr:uid="{00000000-0005-0000-0000-0000352E0000}"/>
    <cellStyle name="40% - Accent1 4 2 2 3 4 3 3" xfId="19886" xr:uid="{00000000-0005-0000-0000-0000362E0000}"/>
    <cellStyle name="40% - Accent1 4 2 2 3 4 4" xfId="19887" xr:uid="{00000000-0005-0000-0000-0000372E0000}"/>
    <cellStyle name="40% - Accent1 4 2 2 3 4 4 2" xfId="19888" xr:uid="{00000000-0005-0000-0000-0000382E0000}"/>
    <cellStyle name="40% - Accent1 4 2 2 3 4 5" xfId="19889" xr:uid="{00000000-0005-0000-0000-0000392E0000}"/>
    <cellStyle name="40% - Accent1 4 2 2 3 4 6" xfId="19890" xr:uid="{00000000-0005-0000-0000-00003A2E0000}"/>
    <cellStyle name="40% - Accent1 4 2 2 3 5" xfId="19891" xr:uid="{00000000-0005-0000-0000-00003B2E0000}"/>
    <cellStyle name="40% - Accent1 4 2 2 3 5 2" xfId="19892" xr:uid="{00000000-0005-0000-0000-00003C2E0000}"/>
    <cellStyle name="40% - Accent1 4 2 2 3 5 2 2" xfId="19893" xr:uid="{00000000-0005-0000-0000-00003D2E0000}"/>
    <cellStyle name="40% - Accent1 4 2 2 3 5 2 3" xfId="19894" xr:uid="{00000000-0005-0000-0000-00003E2E0000}"/>
    <cellStyle name="40% - Accent1 4 2 2 3 5 3" xfId="19895" xr:uid="{00000000-0005-0000-0000-00003F2E0000}"/>
    <cellStyle name="40% - Accent1 4 2 2 3 5 3 2" xfId="19896" xr:uid="{00000000-0005-0000-0000-0000402E0000}"/>
    <cellStyle name="40% - Accent1 4 2 2 3 5 4" xfId="19897" xr:uid="{00000000-0005-0000-0000-0000412E0000}"/>
    <cellStyle name="40% - Accent1 4 2 2 3 5 5" xfId="19898" xr:uid="{00000000-0005-0000-0000-0000422E0000}"/>
    <cellStyle name="40% - Accent1 4 2 2 3 6" xfId="19899" xr:uid="{00000000-0005-0000-0000-0000432E0000}"/>
    <cellStyle name="40% - Accent1 4 2 2 3 6 2" xfId="19900" xr:uid="{00000000-0005-0000-0000-0000442E0000}"/>
    <cellStyle name="40% - Accent1 4 2 2 3 6 3" xfId="19901" xr:uid="{00000000-0005-0000-0000-0000452E0000}"/>
    <cellStyle name="40% - Accent1 4 2 2 3 7" xfId="19902" xr:uid="{00000000-0005-0000-0000-0000462E0000}"/>
    <cellStyle name="40% - Accent1 4 2 2 3 7 2" xfId="19903" xr:uid="{00000000-0005-0000-0000-0000472E0000}"/>
    <cellStyle name="40% - Accent1 4 2 2 3 7 3" xfId="19904" xr:uid="{00000000-0005-0000-0000-0000482E0000}"/>
    <cellStyle name="40% - Accent1 4 2 2 3 8" xfId="19905" xr:uid="{00000000-0005-0000-0000-0000492E0000}"/>
    <cellStyle name="40% - Accent1 4 2 2 3 8 2" xfId="19906" xr:uid="{00000000-0005-0000-0000-00004A2E0000}"/>
    <cellStyle name="40% - Accent1 4 2 2 3 9" xfId="19907" xr:uid="{00000000-0005-0000-0000-00004B2E0000}"/>
    <cellStyle name="40% - Accent1 4 2 2 4" xfId="1571" xr:uid="{00000000-0005-0000-0000-00004C2E0000}"/>
    <cellStyle name="40% - Accent1 4 2 2 4 2" xfId="19908" xr:uid="{00000000-0005-0000-0000-00004D2E0000}"/>
    <cellStyle name="40% - Accent1 4 2 2 4 2 2" xfId="19909" xr:uid="{00000000-0005-0000-0000-00004E2E0000}"/>
    <cellStyle name="40% - Accent1 4 2 2 4 2 2 2" xfId="19910" xr:uid="{00000000-0005-0000-0000-00004F2E0000}"/>
    <cellStyle name="40% - Accent1 4 2 2 4 2 2 3" xfId="19911" xr:uid="{00000000-0005-0000-0000-0000502E0000}"/>
    <cellStyle name="40% - Accent1 4 2 2 4 2 3" xfId="19912" xr:uid="{00000000-0005-0000-0000-0000512E0000}"/>
    <cellStyle name="40% - Accent1 4 2 2 4 2 3 2" xfId="19913" xr:uid="{00000000-0005-0000-0000-0000522E0000}"/>
    <cellStyle name="40% - Accent1 4 2 2 4 2 3 3" xfId="19914" xr:uid="{00000000-0005-0000-0000-0000532E0000}"/>
    <cellStyle name="40% - Accent1 4 2 2 4 2 4" xfId="19915" xr:uid="{00000000-0005-0000-0000-0000542E0000}"/>
    <cellStyle name="40% - Accent1 4 2 2 4 2 4 2" xfId="19916" xr:uid="{00000000-0005-0000-0000-0000552E0000}"/>
    <cellStyle name="40% - Accent1 4 2 2 4 2 5" xfId="19917" xr:uid="{00000000-0005-0000-0000-0000562E0000}"/>
    <cellStyle name="40% - Accent1 4 2 2 4 2 6" xfId="19918" xr:uid="{00000000-0005-0000-0000-0000572E0000}"/>
    <cellStyle name="40% - Accent1 4 2 2 4 3" xfId="19919" xr:uid="{00000000-0005-0000-0000-0000582E0000}"/>
    <cellStyle name="40% - Accent1 4 2 2 4 3 2" xfId="19920" xr:uid="{00000000-0005-0000-0000-0000592E0000}"/>
    <cellStyle name="40% - Accent1 4 2 2 4 3 2 2" xfId="19921" xr:uid="{00000000-0005-0000-0000-00005A2E0000}"/>
    <cellStyle name="40% - Accent1 4 2 2 4 3 2 3" xfId="19922" xr:uid="{00000000-0005-0000-0000-00005B2E0000}"/>
    <cellStyle name="40% - Accent1 4 2 2 4 3 3" xfId="19923" xr:uid="{00000000-0005-0000-0000-00005C2E0000}"/>
    <cellStyle name="40% - Accent1 4 2 2 4 3 3 2" xfId="19924" xr:uid="{00000000-0005-0000-0000-00005D2E0000}"/>
    <cellStyle name="40% - Accent1 4 2 2 4 3 3 3" xfId="19925" xr:uid="{00000000-0005-0000-0000-00005E2E0000}"/>
    <cellStyle name="40% - Accent1 4 2 2 4 3 4" xfId="19926" xr:uid="{00000000-0005-0000-0000-00005F2E0000}"/>
    <cellStyle name="40% - Accent1 4 2 2 4 3 4 2" xfId="19927" xr:uid="{00000000-0005-0000-0000-0000602E0000}"/>
    <cellStyle name="40% - Accent1 4 2 2 4 3 5" xfId="19928" xr:uid="{00000000-0005-0000-0000-0000612E0000}"/>
    <cellStyle name="40% - Accent1 4 2 2 4 3 6" xfId="19929" xr:uid="{00000000-0005-0000-0000-0000622E0000}"/>
    <cellStyle name="40% - Accent1 4 2 2 4 4" xfId="19930" xr:uid="{00000000-0005-0000-0000-0000632E0000}"/>
    <cellStyle name="40% - Accent1 4 2 2 4 4 2" xfId="19931" xr:uid="{00000000-0005-0000-0000-0000642E0000}"/>
    <cellStyle name="40% - Accent1 4 2 2 4 4 2 2" xfId="19932" xr:uid="{00000000-0005-0000-0000-0000652E0000}"/>
    <cellStyle name="40% - Accent1 4 2 2 4 4 2 3" xfId="19933" xr:uid="{00000000-0005-0000-0000-0000662E0000}"/>
    <cellStyle name="40% - Accent1 4 2 2 4 4 3" xfId="19934" xr:uid="{00000000-0005-0000-0000-0000672E0000}"/>
    <cellStyle name="40% - Accent1 4 2 2 4 4 3 2" xfId="19935" xr:uid="{00000000-0005-0000-0000-0000682E0000}"/>
    <cellStyle name="40% - Accent1 4 2 2 4 4 4" xfId="19936" xr:uid="{00000000-0005-0000-0000-0000692E0000}"/>
    <cellStyle name="40% - Accent1 4 2 2 4 4 5" xfId="19937" xr:uid="{00000000-0005-0000-0000-00006A2E0000}"/>
    <cellStyle name="40% - Accent1 4 2 2 4 5" xfId="19938" xr:uid="{00000000-0005-0000-0000-00006B2E0000}"/>
    <cellStyle name="40% - Accent1 4 2 2 4 5 2" xfId="19939" xr:uid="{00000000-0005-0000-0000-00006C2E0000}"/>
    <cellStyle name="40% - Accent1 4 2 2 4 5 3" xfId="19940" xr:uid="{00000000-0005-0000-0000-00006D2E0000}"/>
    <cellStyle name="40% - Accent1 4 2 2 4 6" xfId="19941" xr:uid="{00000000-0005-0000-0000-00006E2E0000}"/>
    <cellStyle name="40% - Accent1 4 2 2 4 6 2" xfId="19942" xr:uid="{00000000-0005-0000-0000-00006F2E0000}"/>
    <cellStyle name="40% - Accent1 4 2 2 4 6 3" xfId="19943" xr:uid="{00000000-0005-0000-0000-0000702E0000}"/>
    <cellStyle name="40% - Accent1 4 2 2 4 7" xfId="19944" xr:uid="{00000000-0005-0000-0000-0000712E0000}"/>
    <cellStyle name="40% - Accent1 4 2 2 4 7 2" xfId="19945" xr:uid="{00000000-0005-0000-0000-0000722E0000}"/>
    <cellStyle name="40% - Accent1 4 2 2 4 8" xfId="19946" xr:uid="{00000000-0005-0000-0000-0000732E0000}"/>
    <cellStyle name="40% - Accent1 4 2 2 4 9" xfId="19947" xr:uid="{00000000-0005-0000-0000-0000742E0000}"/>
    <cellStyle name="40% - Accent1 4 2 2 5" xfId="19948" xr:uid="{00000000-0005-0000-0000-0000752E0000}"/>
    <cellStyle name="40% - Accent1 4 2 2 5 2" xfId="19949" xr:uid="{00000000-0005-0000-0000-0000762E0000}"/>
    <cellStyle name="40% - Accent1 4 2 2 5 2 2" xfId="19950" xr:uid="{00000000-0005-0000-0000-0000772E0000}"/>
    <cellStyle name="40% - Accent1 4 2 2 5 2 2 2" xfId="19951" xr:uid="{00000000-0005-0000-0000-0000782E0000}"/>
    <cellStyle name="40% - Accent1 4 2 2 5 2 2 3" xfId="19952" xr:uid="{00000000-0005-0000-0000-0000792E0000}"/>
    <cellStyle name="40% - Accent1 4 2 2 5 2 3" xfId="19953" xr:uid="{00000000-0005-0000-0000-00007A2E0000}"/>
    <cellStyle name="40% - Accent1 4 2 2 5 2 3 2" xfId="19954" xr:uid="{00000000-0005-0000-0000-00007B2E0000}"/>
    <cellStyle name="40% - Accent1 4 2 2 5 2 3 3" xfId="19955" xr:uid="{00000000-0005-0000-0000-00007C2E0000}"/>
    <cellStyle name="40% - Accent1 4 2 2 5 2 4" xfId="19956" xr:uid="{00000000-0005-0000-0000-00007D2E0000}"/>
    <cellStyle name="40% - Accent1 4 2 2 5 2 4 2" xfId="19957" xr:uid="{00000000-0005-0000-0000-00007E2E0000}"/>
    <cellStyle name="40% - Accent1 4 2 2 5 2 5" xfId="19958" xr:uid="{00000000-0005-0000-0000-00007F2E0000}"/>
    <cellStyle name="40% - Accent1 4 2 2 5 2 6" xfId="19959" xr:uid="{00000000-0005-0000-0000-0000802E0000}"/>
    <cellStyle name="40% - Accent1 4 2 2 5 3" xfId="19960" xr:uid="{00000000-0005-0000-0000-0000812E0000}"/>
    <cellStyle name="40% - Accent1 4 2 2 5 3 2" xfId="19961" xr:uid="{00000000-0005-0000-0000-0000822E0000}"/>
    <cellStyle name="40% - Accent1 4 2 2 5 3 2 2" xfId="19962" xr:uid="{00000000-0005-0000-0000-0000832E0000}"/>
    <cellStyle name="40% - Accent1 4 2 2 5 3 2 3" xfId="19963" xr:uid="{00000000-0005-0000-0000-0000842E0000}"/>
    <cellStyle name="40% - Accent1 4 2 2 5 3 3" xfId="19964" xr:uid="{00000000-0005-0000-0000-0000852E0000}"/>
    <cellStyle name="40% - Accent1 4 2 2 5 3 3 2" xfId="19965" xr:uid="{00000000-0005-0000-0000-0000862E0000}"/>
    <cellStyle name="40% - Accent1 4 2 2 5 3 3 3" xfId="19966" xr:uid="{00000000-0005-0000-0000-0000872E0000}"/>
    <cellStyle name="40% - Accent1 4 2 2 5 3 4" xfId="19967" xr:uid="{00000000-0005-0000-0000-0000882E0000}"/>
    <cellStyle name="40% - Accent1 4 2 2 5 3 4 2" xfId="19968" xr:uid="{00000000-0005-0000-0000-0000892E0000}"/>
    <cellStyle name="40% - Accent1 4 2 2 5 3 5" xfId="19969" xr:uid="{00000000-0005-0000-0000-00008A2E0000}"/>
    <cellStyle name="40% - Accent1 4 2 2 5 3 6" xfId="19970" xr:uid="{00000000-0005-0000-0000-00008B2E0000}"/>
    <cellStyle name="40% - Accent1 4 2 2 5 4" xfId="19971" xr:uid="{00000000-0005-0000-0000-00008C2E0000}"/>
    <cellStyle name="40% - Accent1 4 2 2 5 4 2" xfId="19972" xr:uid="{00000000-0005-0000-0000-00008D2E0000}"/>
    <cellStyle name="40% - Accent1 4 2 2 5 4 2 2" xfId="19973" xr:uid="{00000000-0005-0000-0000-00008E2E0000}"/>
    <cellStyle name="40% - Accent1 4 2 2 5 4 2 3" xfId="19974" xr:uid="{00000000-0005-0000-0000-00008F2E0000}"/>
    <cellStyle name="40% - Accent1 4 2 2 5 4 3" xfId="19975" xr:uid="{00000000-0005-0000-0000-0000902E0000}"/>
    <cellStyle name="40% - Accent1 4 2 2 5 4 3 2" xfId="19976" xr:uid="{00000000-0005-0000-0000-0000912E0000}"/>
    <cellStyle name="40% - Accent1 4 2 2 5 4 4" xfId="19977" xr:uid="{00000000-0005-0000-0000-0000922E0000}"/>
    <cellStyle name="40% - Accent1 4 2 2 5 4 5" xfId="19978" xr:uid="{00000000-0005-0000-0000-0000932E0000}"/>
    <cellStyle name="40% - Accent1 4 2 2 5 5" xfId="19979" xr:uid="{00000000-0005-0000-0000-0000942E0000}"/>
    <cellStyle name="40% - Accent1 4 2 2 5 5 2" xfId="19980" xr:uid="{00000000-0005-0000-0000-0000952E0000}"/>
    <cellStyle name="40% - Accent1 4 2 2 5 5 3" xfId="19981" xr:uid="{00000000-0005-0000-0000-0000962E0000}"/>
    <cellStyle name="40% - Accent1 4 2 2 5 6" xfId="19982" xr:uid="{00000000-0005-0000-0000-0000972E0000}"/>
    <cellStyle name="40% - Accent1 4 2 2 5 6 2" xfId="19983" xr:uid="{00000000-0005-0000-0000-0000982E0000}"/>
    <cellStyle name="40% - Accent1 4 2 2 5 6 3" xfId="19984" xr:uid="{00000000-0005-0000-0000-0000992E0000}"/>
    <cellStyle name="40% - Accent1 4 2 2 5 7" xfId="19985" xr:uid="{00000000-0005-0000-0000-00009A2E0000}"/>
    <cellStyle name="40% - Accent1 4 2 2 5 7 2" xfId="19986" xr:uid="{00000000-0005-0000-0000-00009B2E0000}"/>
    <cellStyle name="40% - Accent1 4 2 2 5 8" xfId="19987" xr:uid="{00000000-0005-0000-0000-00009C2E0000}"/>
    <cellStyle name="40% - Accent1 4 2 2 5 9" xfId="19988" xr:uid="{00000000-0005-0000-0000-00009D2E0000}"/>
    <cellStyle name="40% - Accent1 4 2 2 6" xfId="19989" xr:uid="{00000000-0005-0000-0000-00009E2E0000}"/>
    <cellStyle name="40% - Accent1 4 2 2 6 2" xfId="19990" xr:uid="{00000000-0005-0000-0000-00009F2E0000}"/>
    <cellStyle name="40% - Accent1 4 2 2 6 2 2" xfId="19991" xr:uid="{00000000-0005-0000-0000-0000A02E0000}"/>
    <cellStyle name="40% - Accent1 4 2 2 6 2 3" xfId="19992" xr:uid="{00000000-0005-0000-0000-0000A12E0000}"/>
    <cellStyle name="40% - Accent1 4 2 2 6 3" xfId="19993" xr:uid="{00000000-0005-0000-0000-0000A22E0000}"/>
    <cellStyle name="40% - Accent1 4 2 2 6 3 2" xfId="19994" xr:uid="{00000000-0005-0000-0000-0000A32E0000}"/>
    <cellStyle name="40% - Accent1 4 2 2 6 3 3" xfId="19995" xr:uid="{00000000-0005-0000-0000-0000A42E0000}"/>
    <cellStyle name="40% - Accent1 4 2 2 6 4" xfId="19996" xr:uid="{00000000-0005-0000-0000-0000A52E0000}"/>
    <cellStyle name="40% - Accent1 4 2 2 6 4 2" xfId="19997" xr:uid="{00000000-0005-0000-0000-0000A62E0000}"/>
    <cellStyle name="40% - Accent1 4 2 2 6 5" xfId="19998" xr:uid="{00000000-0005-0000-0000-0000A72E0000}"/>
    <cellStyle name="40% - Accent1 4 2 2 6 6" xfId="19999" xr:uid="{00000000-0005-0000-0000-0000A82E0000}"/>
    <cellStyle name="40% - Accent1 4 2 2 7" xfId="20000" xr:uid="{00000000-0005-0000-0000-0000A92E0000}"/>
    <cellStyle name="40% - Accent1 4 2 2 7 2" xfId="20001" xr:uid="{00000000-0005-0000-0000-0000AA2E0000}"/>
    <cellStyle name="40% - Accent1 4 2 2 7 2 2" xfId="20002" xr:uid="{00000000-0005-0000-0000-0000AB2E0000}"/>
    <cellStyle name="40% - Accent1 4 2 2 7 2 3" xfId="20003" xr:uid="{00000000-0005-0000-0000-0000AC2E0000}"/>
    <cellStyle name="40% - Accent1 4 2 2 7 3" xfId="20004" xr:uid="{00000000-0005-0000-0000-0000AD2E0000}"/>
    <cellStyle name="40% - Accent1 4 2 2 7 3 2" xfId="20005" xr:uid="{00000000-0005-0000-0000-0000AE2E0000}"/>
    <cellStyle name="40% - Accent1 4 2 2 7 3 3" xfId="20006" xr:uid="{00000000-0005-0000-0000-0000AF2E0000}"/>
    <cellStyle name="40% - Accent1 4 2 2 7 4" xfId="20007" xr:uid="{00000000-0005-0000-0000-0000B02E0000}"/>
    <cellStyle name="40% - Accent1 4 2 2 7 4 2" xfId="20008" xr:uid="{00000000-0005-0000-0000-0000B12E0000}"/>
    <cellStyle name="40% - Accent1 4 2 2 7 5" xfId="20009" xr:uid="{00000000-0005-0000-0000-0000B22E0000}"/>
    <cellStyle name="40% - Accent1 4 2 2 7 6" xfId="20010" xr:uid="{00000000-0005-0000-0000-0000B32E0000}"/>
    <cellStyle name="40% - Accent1 4 2 2 8" xfId="20011" xr:uid="{00000000-0005-0000-0000-0000B42E0000}"/>
    <cellStyle name="40% - Accent1 4 2 2 8 2" xfId="20012" xr:uid="{00000000-0005-0000-0000-0000B52E0000}"/>
    <cellStyle name="40% - Accent1 4 2 2 8 2 2" xfId="20013" xr:uid="{00000000-0005-0000-0000-0000B62E0000}"/>
    <cellStyle name="40% - Accent1 4 2 2 8 2 3" xfId="20014" xr:uid="{00000000-0005-0000-0000-0000B72E0000}"/>
    <cellStyle name="40% - Accent1 4 2 2 8 3" xfId="20015" xr:uid="{00000000-0005-0000-0000-0000B82E0000}"/>
    <cellStyle name="40% - Accent1 4 2 2 8 3 2" xfId="20016" xr:uid="{00000000-0005-0000-0000-0000B92E0000}"/>
    <cellStyle name="40% - Accent1 4 2 2 8 4" xfId="20017" xr:uid="{00000000-0005-0000-0000-0000BA2E0000}"/>
    <cellStyle name="40% - Accent1 4 2 2 8 5" xfId="20018" xr:uid="{00000000-0005-0000-0000-0000BB2E0000}"/>
    <cellStyle name="40% - Accent1 4 2 2 9" xfId="20019" xr:uid="{00000000-0005-0000-0000-0000BC2E0000}"/>
    <cellStyle name="40% - Accent1 4 2 2 9 2" xfId="20020" xr:uid="{00000000-0005-0000-0000-0000BD2E0000}"/>
    <cellStyle name="40% - Accent1 4 2 2 9 3" xfId="20021" xr:uid="{00000000-0005-0000-0000-0000BE2E0000}"/>
    <cellStyle name="40% - Accent1 4 2 3" xfId="1572" xr:uid="{00000000-0005-0000-0000-0000BF2E0000}"/>
    <cellStyle name="40% - Accent1 4 2 3 10" xfId="20022" xr:uid="{00000000-0005-0000-0000-0000C02E0000}"/>
    <cellStyle name="40% - Accent1 4 2 3 10 2" xfId="20023" xr:uid="{00000000-0005-0000-0000-0000C12E0000}"/>
    <cellStyle name="40% - Accent1 4 2 3 11" xfId="20024" xr:uid="{00000000-0005-0000-0000-0000C22E0000}"/>
    <cellStyle name="40% - Accent1 4 2 3 12" xfId="20025" xr:uid="{00000000-0005-0000-0000-0000C32E0000}"/>
    <cellStyle name="40% - Accent1 4 2 3 2" xfId="1573" xr:uid="{00000000-0005-0000-0000-0000C42E0000}"/>
    <cellStyle name="40% - Accent1 4 2 3 2 10" xfId="20026" xr:uid="{00000000-0005-0000-0000-0000C52E0000}"/>
    <cellStyle name="40% - Accent1 4 2 3 2 2" xfId="1574" xr:uid="{00000000-0005-0000-0000-0000C62E0000}"/>
    <cellStyle name="40% - Accent1 4 2 3 2 2 2" xfId="20027" xr:uid="{00000000-0005-0000-0000-0000C72E0000}"/>
    <cellStyle name="40% - Accent1 4 2 3 2 2 2 2" xfId="20028" xr:uid="{00000000-0005-0000-0000-0000C82E0000}"/>
    <cellStyle name="40% - Accent1 4 2 3 2 2 2 2 2" xfId="20029" xr:uid="{00000000-0005-0000-0000-0000C92E0000}"/>
    <cellStyle name="40% - Accent1 4 2 3 2 2 2 2 3" xfId="20030" xr:uid="{00000000-0005-0000-0000-0000CA2E0000}"/>
    <cellStyle name="40% - Accent1 4 2 3 2 2 2 3" xfId="20031" xr:uid="{00000000-0005-0000-0000-0000CB2E0000}"/>
    <cellStyle name="40% - Accent1 4 2 3 2 2 2 3 2" xfId="20032" xr:uid="{00000000-0005-0000-0000-0000CC2E0000}"/>
    <cellStyle name="40% - Accent1 4 2 3 2 2 2 3 3" xfId="20033" xr:uid="{00000000-0005-0000-0000-0000CD2E0000}"/>
    <cellStyle name="40% - Accent1 4 2 3 2 2 2 4" xfId="20034" xr:uid="{00000000-0005-0000-0000-0000CE2E0000}"/>
    <cellStyle name="40% - Accent1 4 2 3 2 2 2 4 2" xfId="20035" xr:uid="{00000000-0005-0000-0000-0000CF2E0000}"/>
    <cellStyle name="40% - Accent1 4 2 3 2 2 2 5" xfId="20036" xr:uid="{00000000-0005-0000-0000-0000D02E0000}"/>
    <cellStyle name="40% - Accent1 4 2 3 2 2 2 6" xfId="20037" xr:uid="{00000000-0005-0000-0000-0000D12E0000}"/>
    <cellStyle name="40% - Accent1 4 2 3 2 2 3" xfId="20038" xr:uid="{00000000-0005-0000-0000-0000D22E0000}"/>
    <cellStyle name="40% - Accent1 4 2 3 2 2 3 2" xfId="20039" xr:uid="{00000000-0005-0000-0000-0000D32E0000}"/>
    <cellStyle name="40% - Accent1 4 2 3 2 2 3 2 2" xfId="20040" xr:uid="{00000000-0005-0000-0000-0000D42E0000}"/>
    <cellStyle name="40% - Accent1 4 2 3 2 2 3 2 3" xfId="20041" xr:uid="{00000000-0005-0000-0000-0000D52E0000}"/>
    <cellStyle name="40% - Accent1 4 2 3 2 2 3 3" xfId="20042" xr:uid="{00000000-0005-0000-0000-0000D62E0000}"/>
    <cellStyle name="40% - Accent1 4 2 3 2 2 3 3 2" xfId="20043" xr:uid="{00000000-0005-0000-0000-0000D72E0000}"/>
    <cellStyle name="40% - Accent1 4 2 3 2 2 3 3 3" xfId="20044" xr:uid="{00000000-0005-0000-0000-0000D82E0000}"/>
    <cellStyle name="40% - Accent1 4 2 3 2 2 3 4" xfId="20045" xr:uid="{00000000-0005-0000-0000-0000D92E0000}"/>
    <cellStyle name="40% - Accent1 4 2 3 2 2 3 4 2" xfId="20046" xr:uid="{00000000-0005-0000-0000-0000DA2E0000}"/>
    <cellStyle name="40% - Accent1 4 2 3 2 2 3 5" xfId="20047" xr:uid="{00000000-0005-0000-0000-0000DB2E0000}"/>
    <cellStyle name="40% - Accent1 4 2 3 2 2 3 6" xfId="20048" xr:uid="{00000000-0005-0000-0000-0000DC2E0000}"/>
    <cellStyle name="40% - Accent1 4 2 3 2 2 4" xfId="20049" xr:uid="{00000000-0005-0000-0000-0000DD2E0000}"/>
    <cellStyle name="40% - Accent1 4 2 3 2 2 4 2" xfId="20050" xr:uid="{00000000-0005-0000-0000-0000DE2E0000}"/>
    <cellStyle name="40% - Accent1 4 2 3 2 2 4 2 2" xfId="20051" xr:uid="{00000000-0005-0000-0000-0000DF2E0000}"/>
    <cellStyle name="40% - Accent1 4 2 3 2 2 4 2 3" xfId="20052" xr:uid="{00000000-0005-0000-0000-0000E02E0000}"/>
    <cellStyle name="40% - Accent1 4 2 3 2 2 4 3" xfId="20053" xr:uid="{00000000-0005-0000-0000-0000E12E0000}"/>
    <cellStyle name="40% - Accent1 4 2 3 2 2 4 3 2" xfId="20054" xr:uid="{00000000-0005-0000-0000-0000E22E0000}"/>
    <cellStyle name="40% - Accent1 4 2 3 2 2 4 4" xfId="20055" xr:uid="{00000000-0005-0000-0000-0000E32E0000}"/>
    <cellStyle name="40% - Accent1 4 2 3 2 2 4 5" xfId="20056" xr:uid="{00000000-0005-0000-0000-0000E42E0000}"/>
    <cellStyle name="40% - Accent1 4 2 3 2 2 5" xfId="20057" xr:uid="{00000000-0005-0000-0000-0000E52E0000}"/>
    <cellStyle name="40% - Accent1 4 2 3 2 2 5 2" xfId="20058" xr:uid="{00000000-0005-0000-0000-0000E62E0000}"/>
    <cellStyle name="40% - Accent1 4 2 3 2 2 5 3" xfId="20059" xr:uid="{00000000-0005-0000-0000-0000E72E0000}"/>
    <cellStyle name="40% - Accent1 4 2 3 2 2 6" xfId="20060" xr:uid="{00000000-0005-0000-0000-0000E82E0000}"/>
    <cellStyle name="40% - Accent1 4 2 3 2 2 6 2" xfId="20061" xr:uid="{00000000-0005-0000-0000-0000E92E0000}"/>
    <cellStyle name="40% - Accent1 4 2 3 2 2 6 3" xfId="20062" xr:uid="{00000000-0005-0000-0000-0000EA2E0000}"/>
    <cellStyle name="40% - Accent1 4 2 3 2 2 7" xfId="20063" xr:uid="{00000000-0005-0000-0000-0000EB2E0000}"/>
    <cellStyle name="40% - Accent1 4 2 3 2 2 7 2" xfId="20064" xr:uid="{00000000-0005-0000-0000-0000EC2E0000}"/>
    <cellStyle name="40% - Accent1 4 2 3 2 2 8" xfId="20065" xr:uid="{00000000-0005-0000-0000-0000ED2E0000}"/>
    <cellStyle name="40% - Accent1 4 2 3 2 2 9" xfId="20066" xr:uid="{00000000-0005-0000-0000-0000EE2E0000}"/>
    <cellStyle name="40% - Accent1 4 2 3 2 3" xfId="20067" xr:uid="{00000000-0005-0000-0000-0000EF2E0000}"/>
    <cellStyle name="40% - Accent1 4 2 3 2 3 2" xfId="20068" xr:uid="{00000000-0005-0000-0000-0000F02E0000}"/>
    <cellStyle name="40% - Accent1 4 2 3 2 3 2 2" xfId="20069" xr:uid="{00000000-0005-0000-0000-0000F12E0000}"/>
    <cellStyle name="40% - Accent1 4 2 3 2 3 2 3" xfId="20070" xr:uid="{00000000-0005-0000-0000-0000F22E0000}"/>
    <cellStyle name="40% - Accent1 4 2 3 2 3 3" xfId="20071" xr:uid="{00000000-0005-0000-0000-0000F32E0000}"/>
    <cellStyle name="40% - Accent1 4 2 3 2 3 3 2" xfId="20072" xr:uid="{00000000-0005-0000-0000-0000F42E0000}"/>
    <cellStyle name="40% - Accent1 4 2 3 2 3 3 3" xfId="20073" xr:uid="{00000000-0005-0000-0000-0000F52E0000}"/>
    <cellStyle name="40% - Accent1 4 2 3 2 3 4" xfId="20074" xr:uid="{00000000-0005-0000-0000-0000F62E0000}"/>
    <cellStyle name="40% - Accent1 4 2 3 2 3 4 2" xfId="20075" xr:uid="{00000000-0005-0000-0000-0000F72E0000}"/>
    <cellStyle name="40% - Accent1 4 2 3 2 3 5" xfId="20076" xr:uid="{00000000-0005-0000-0000-0000F82E0000}"/>
    <cellStyle name="40% - Accent1 4 2 3 2 3 6" xfId="20077" xr:uid="{00000000-0005-0000-0000-0000F92E0000}"/>
    <cellStyle name="40% - Accent1 4 2 3 2 4" xfId="20078" xr:uid="{00000000-0005-0000-0000-0000FA2E0000}"/>
    <cellStyle name="40% - Accent1 4 2 3 2 4 2" xfId="20079" xr:uid="{00000000-0005-0000-0000-0000FB2E0000}"/>
    <cellStyle name="40% - Accent1 4 2 3 2 4 2 2" xfId="20080" xr:uid="{00000000-0005-0000-0000-0000FC2E0000}"/>
    <cellStyle name="40% - Accent1 4 2 3 2 4 2 3" xfId="20081" xr:uid="{00000000-0005-0000-0000-0000FD2E0000}"/>
    <cellStyle name="40% - Accent1 4 2 3 2 4 3" xfId="20082" xr:uid="{00000000-0005-0000-0000-0000FE2E0000}"/>
    <cellStyle name="40% - Accent1 4 2 3 2 4 3 2" xfId="20083" xr:uid="{00000000-0005-0000-0000-0000FF2E0000}"/>
    <cellStyle name="40% - Accent1 4 2 3 2 4 3 3" xfId="20084" xr:uid="{00000000-0005-0000-0000-0000002F0000}"/>
    <cellStyle name="40% - Accent1 4 2 3 2 4 4" xfId="20085" xr:uid="{00000000-0005-0000-0000-0000012F0000}"/>
    <cellStyle name="40% - Accent1 4 2 3 2 4 4 2" xfId="20086" xr:uid="{00000000-0005-0000-0000-0000022F0000}"/>
    <cellStyle name="40% - Accent1 4 2 3 2 4 5" xfId="20087" xr:uid="{00000000-0005-0000-0000-0000032F0000}"/>
    <cellStyle name="40% - Accent1 4 2 3 2 4 6" xfId="20088" xr:uid="{00000000-0005-0000-0000-0000042F0000}"/>
    <cellStyle name="40% - Accent1 4 2 3 2 5" xfId="20089" xr:uid="{00000000-0005-0000-0000-0000052F0000}"/>
    <cellStyle name="40% - Accent1 4 2 3 2 5 2" xfId="20090" xr:uid="{00000000-0005-0000-0000-0000062F0000}"/>
    <cellStyle name="40% - Accent1 4 2 3 2 5 2 2" xfId="20091" xr:uid="{00000000-0005-0000-0000-0000072F0000}"/>
    <cellStyle name="40% - Accent1 4 2 3 2 5 2 3" xfId="20092" xr:uid="{00000000-0005-0000-0000-0000082F0000}"/>
    <cellStyle name="40% - Accent1 4 2 3 2 5 3" xfId="20093" xr:uid="{00000000-0005-0000-0000-0000092F0000}"/>
    <cellStyle name="40% - Accent1 4 2 3 2 5 3 2" xfId="20094" xr:uid="{00000000-0005-0000-0000-00000A2F0000}"/>
    <cellStyle name="40% - Accent1 4 2 3 2 5 4" xfId="20095" xr:uid="{00000000-0005-0000-0000-00000B2F0000}"/>
    <cellStyle name="40% - Accent1 4 2 3 2 5 5" xfId="20096" xr:uid="{00000000-0005-0000-0000-00000C2F0000}"/>
    <cellStyle name="40% - Accent1 4 2 3 2 6" xfId="20097" xr:uid="{00000000-0005-0000-0000-00000D2F0000}"/>
    <cellStyle name="40% - Accent1 4 2 3 2 6 2" xfId="20098" xr:uid="{00000000-0005-0000-0000-00000E2F0000}"/>
    <cellStyle name="40% - Accent1 4 2 3 2 6 3" xfId="20099" xr:uid="{00000000-0005-0000-0000-00000F2F0000}"/>
    <cellStyle name="40% - Accent1 4 2 3 2 7" xfId="20100" xr:uid="{00000000-0005-0000-0000-0000102F0000}"/>
    <cellStyle name="40% - Accent1 4 2 3 2 7 2" xfId="20101" xr:uid="{00000000-0005-0000-0000-0000112F0000}"/>
    <cellStyle name="40% - Accent1 4 2 3 2 7 3" xfId="20102" xr:uid="{00000000-0005-0000-0000-0000122F0000}"/>
    <cellStyle name="40% - Accent1 4 2 3 2 8" xfId="20103" xr:uid="{00000000-0005-0000-0000-0000132F0000}"/>
    <cellStyle name="40% - Accent1 4 2 3 2 8 2" xfId="20104" xr:uid="{00000000-0005-0000-0000-0000142F0000}"/>
    <cellStyle name="40% - Accent1 4 2 3 2 9" xfId="20105" xr:uid="{00000000-0005-0000-0000-0000152F0000}"/>
    <cellStyle name="40% - Accent1 4 2 3 3" xfId="1575" xr:uid="{00000000-0005-0000-0000-0000162F0000}"/>
    <cellStyle name="40% - Accent1 4 2 3 3 2" xfId="20106" xr:uid="{00000000-0005-0000-0000-0000172F0000}"/>
    <cellStyle name="40% - Accent1 4 2 3 3 2 2" xfId="20107" xr:uid="{00000000-0005-0000-0000-0000182F0000}"/>
    <cellStyle name="40% - Accent1 4 2 3 3 2 2 2" xfId="20108" xr:uid="{00000000-0005-0000-0000-0000192F0000}"/>
    <cellStyle name="40% - Accent1 4 2 3 3 2 2 3" xfId="20109" xr:uid="{00000000-0005-0000-0000-00001A2F0000}"/>
    <cellStyle name="40% - Accent1 4 2 3 3 2 3" xfId="20110" xr:uid="{00000000-0005-0000-0000-00001B2F0000}"/>
    <cellStyle name="40% - Accent1 4 2 3 3 2 3 2" xfId="20111" xr:uid="{00000000-0005-0000-0000-00001C2F0000}"/>
    <cellStyle name="40% - Accent1 4 2 3 3 2 3 3" xfId="20112" xr:uid="{00000000-0005-0000-0000-00001D2F0000}"/>
    <cellStyle name="40% - Accent1 4 2 3 3 2 4" xfId="20113" xr:uid="{00000000-0005-0000-0000-00001E2F0000}"/>
    <cellStyle name="40% - Accent1 4 2 3 3 2 4 2" xfId="20114" xr:uid="{00000000-0005-0000-0000-00001F2F0000}"/>
    <cellStyle name="40% - Accent1 4 2 3 3 2 5" xfId="20115" xr:uid="{00000000-0005-0000-0000-0000202F0000}"/>
    <cellStyle name="40% - Accent1 4 2 3 3 2 6" xfId="20116" xr:uid="{00000000-0005-0000-0000-0000212F0000}"/>
    <cellStyle name="40% - Accent1 4 2 3 3 3" xfId="20117" xr:uid="{00000000-0005-0000-0000-0000222F0000}"/>
    <cellStyle name="40% - Accent1 4 2 3 3 3 2" xfId="20118" xr:uid="{00000000-0005-0000-0000-0000232F0000}"/>
    <cellStyle name="40% - Accent1 4 2 3 3 3 2 2" xfId="20119" xr:uid="{00000000-0005-0000-0000-0000242F0000}"/>
    <cellStyle name="40% - Accent1 4 2 3 3 3 2 3" xfId="20120" xr:uid="{00000000-0005-0000-0000-0000252F0000}"/>
    <cellStyle name="40% - Accent1 4 2 3 3 3 3" xfId="20121" xr:uid="{00000000-0005-0000-0000-0000262F0000}"/>
    <cellStyle name="40% - Accent1 4 2 3 3 3 3 2" xfId="20122" xr:uid="{00000000-0005-0000-0000-0000272F0000}"/>
    <cellStyle name="40% - Accent1 4 2 3 3 3 3 3" xfId="20123" xr:uid="{00000000-0005-0000-0000-0000282F0000}"/>
    <cellStyle name="40% - Accent1 4 2 3 3 3 4" xfId="20124" xr:uid="{00000000-0005-0000-0000-0000292F0000}"/>
    <cellStyle name="40% - Accent1 4 2 3 3 3 4 2" xfId="20125" xr:uid="{00000000-0005-0000-0000-00002A2F0000}"/>
    <cellStyle name="40% - Accent1 4 2 3 3 3 5" xfId="20126" xr:uid="{00000000-0005-0000-0000-00002B2F0000}"/>
    <cellStyle name="40% - Accent1 4 2 3 3 3 6" xfId="20127" xr:uid="{00000000-0005-0000-0000-00002C2F0000}"/>
    <cellStyle name="40% - Accent1 4 2 3 3 4" xfId="20128" xr:uid="{00000000-0005-0000-0000-00002D2F0000}"/>
    <cellStyle name="40% - Accent1 4 2 3 3 4 2" xfId="20129" xr:uid="{00000000-0005-0000-0000-00002E2F0000}"/>
    <cellStyle name="40% - Accent1 4 2 3 3 4 2 2" xfId="20130" xr:uid="{00000000-0005-0000-0000-00002F2F0000}"/>
    <cellStyle name="40% - Accent1 4 2 3 3 4 2 3" xfId="20131" xr:uid="{00000000-0005-0000-0000-0000302F0000}"/>
    <cellStyle name="40% - Accent1 4 2 3 3 4 3" xfId="20132" xr:uid="{00000000-0005-0000-0000-0000312F0000}"/>
    <cellStyle name="40% - Accent1 4 2 3 3 4 3 2" xfId="20133" xr:uid="{00000000-0005-0000-0000-0000322F0000}"/>
    <cellStyle name="40% - Accent1 4 2 3 3 4 4" xfId="20134" xr:uid="{00000000-0005-0000-0000-0000332F0000}"/>
    <cellStyle name="40% - Accent1 4 2 3 3 4 5" xfId="20135" xr:uid="{00000000-0005-0000-0000-0000342F0000}"/>
    <cellStyle name="40% - Accent1 4 2 3 3 5" xfId="20136" xr:uid="{00000000-0005-0000-0000-0000352F0000}"/>
    <cellStyle name="40% - Accent1 4 2 3 3 5 2" xfId="20137" xr:uid="{00000000-0005-0000-0000-0000362F0000}"/>
    <cellStyle name="40% - Accent1 4 2 3 3 5 3" xfId="20138" xr:uid="{00000000-0005-0000-0000-0000372F0000}"/>
    <cellStyle name="40% - Accent1 4 2 3 3 6" xfId="20139" xr:uid="{00000000-0005-0000-0000-0000382F0000}"/>
    <cellStyle name="40% - Accent1 4 2 3 3 6 2" xfId="20140" xr:uid="{00000000-0005-0000-0000-0000392F0000}"/>
    <cellStyle name="40% - Accent1 4 2 3 3 6 3" xfId="20141" xr:uid="{00000000-0005-0000-0000-00003A2F0000}"/>
    <cellStyle name="40% - Accent1 4 2 3 3 7" xfId="20142" xr:uid="{00000000-0005-0000-0000-00003B2F0000}"/>
    <cellStyle name="40% - Accent1 4 2 3 3 7 2" xfId="20143" xr:uid="{00000000-0005-0000-0000-00003C2F0000}"/>
    <cellStyle name="40% - Accent1 4 2 3 3 8" xfId="20144" xr:uid="{00000000-0005-0000-0000-00003D2F0000}"/>
    <cellStyle name="40% - Accent1 4 2 3 3 9" xfId="20145" xr:uid="{00000000-0005-0000-0000-00003E2F0000}"/>
    <cellStyle name="40% - Accent1 4 2 3 4" xfId="20146" xr:uid="{00000000-0005-0000-0000-00003F2F0000}"/>
    <cellStyle name="40% - Accent1 4 2 3 4 2" xfId="20147" xr:uid="{00000000-0005-0000-0000-0000402F0000}"/>
    <cellStyle name="40% - Accent1 4 2 3 4 2 2" xfId="20148" xr:uid="{00000000-0005-0000-0000-0000412F0000}"/>
    <cellStyle name="40% - Accent1 4 2 3 4 2 2 2" xfId="20149" xr:uid="{00000000-0005-0000-0000-0000422F0000}"/>
    <cellStyle name="40% - Accent1 4 2 3 4 2 2 3" xfId="20150" xr:uid="{00000000-0005-0000-0000-0000432F0000}"/>
    <cellStyle name="40% - Accent1 4 2 3 4 2 3" xfId="20151" xr:uid="{00000000-0005-0000-0000-0000442F0000}"/>
    <cellStyle name="40% - Accent1 4 2 3 4 2 3 2" xfId="20152" xr:uid="{00000000-0005-0000-0000-0000452F0000}"/>
    <cellStyle name="40% - Accent1 4 2 3 4 2 3 3" xfId="20153" xr:uid="{00000000-0005-0000-0000-0000462F0000}"/>
    <cellStyle name="40% - Accent1 4 2 3 4 2 4" xfId="20154" xr:uid="{00000000-0005-0000-0000-0000472F0000}"/>
    <cellStyle name="40% - Accent1 4 2 3 4 2 4 2" xfId="20155" xr:uid="{00000000-0005-0000-0000-0000482F0000}"/>
    <cellStyle name="40% - Accent1 4 2 3 4 2 5" xfId="20156" xr:uid="{00000000-0005-0000-0000-0000492F0000}"/>
    <cellStyle name="40% - Accent1 4 2 3 4 2 6" xfId="20157" xr:uid="{00000000-0005-0000-0000-00004A2F0000}"/>
    <cellStyle name="40% - Accent1 4 2 3 4 3" xfId="20158" xr:uid="{00000000-0005-0000-0000-00004B2F0000}"/>
    <cellStyle name="40% - Accent1 4 2 3 4 3 2" xfId="20159" xr:uid="{00000000-0005-0000-0000-00004C2F0000}"/>
    <cellStyle name="40% - Accent1 4 2 3 4 3 2 2" xfId="20160" xr:uid="{00000000-0005-0000-0000-00004D2F0000}"/>
    <cellStyle name="40% - Accent1 4 2 3 4 3 2 3" xfId="20161" xr:uid="{00000000-0005-0000-0000-00004E2F0000}"/>
    <cellStyle name="40% - Accent1 4 2 3 4 3 3" xfId="20162" xr:uid="{00000000-0005-0000-0000-00004F2F0000}"/>
    <cellStyle name="40% - Accent1 4 2 3 4 3 3 2" xfId="20163" xr:uid="{00000000-0005-0000-0000-0000502F0000}"/>
    <cellStyle name="40% - Accent1 4 2 3 4 3 3 3" xfId="20164" xr:uid="{00000000-0005-0000-0000-0000512F0000}"/>
    <cellStyle name="40% - Accent1 4 2 3 4 3 4" xfId="20165" xr:uid="{00000000-0005-0000-0000-0000522F0000}"/>
    <cellStyle name="40% - Accent1 4 2 3 4 3 4 2" xfId="20166" xr:uid="{00000000-0005-0000-0000-0000532F0000}"/>
    <cellStyle name="40% - Accent1 4 2 3 4 3 5" xfId="20167" xr:uid="{00000000-0005-0000-0000-0000542F0000}"/>
    <cellStyle name="40% - Accent1 4 2 3 4 3 6" xfId="20168" xr:uid="{00000000-0005-0000-0000-0000552F0000}"/>
    <cellStyle name="40% - Accent1 4 2 3 4 4" xfId="20169" xr:uid="{00000000-0005-0000-0000-0000562F0000}"/>
    <cellStyle name="40% - Accent1 4 2 3 4 4 2" xfId="20170" xr:uid="{00000000-0005-0000-0000-0000572F0000}"/>
    <cellStyle name="40% - Accent1 4 2 3 4 4 2 2" xfId="20171" xr:uid="{00000000-0005-0000-0000-0000582F0000}"/>
    <cellStyle name="40% - Accent1 4 2 3 4 4 2 3" xfId="20172" xr:uid="{00000000-0005-0000-0000-0000592F0000}"/>
    <cellStyle name="40% - Accent1 4 2 3 4 4 3" xfId="20173" xr:uid="{00000000-0005-0000-0000-00005A2F0000}"/>
    <cellStyle name="40% - Accent1 4 2 3 4 4 3 2" xfId="20174" xr:uid="{00000000-0005-0000-0000-00005B2F0000}"/>
    <cellStyle name="40% - Accent1 4 2 3 4 4 4" xfId="20175" xr:uid="{00000000-0005-0000-0000-00005C2F0000}"/>
    <cellStyle name="40% - Accent1 4 2 3 4 4 5" xfId="20176" xr:uid="{00000000-0005-0000-0000-00005D2F0000}"/>
    <cellStyle name="40% - Accent1 4 2 3 4 5" xfId="20177" xr:uid="{00000000-0005-0000-0000-00005E2F0000}"/>
    <cellStyle name="40% - Accent1 4 2 3 4 5 2" xfId="20178" xr:uid="{00000000-0005-0000-0000-00005F2F0000}"/>
    <cellStyle name="40% - Accent1 4 2 3 4 5 3" xfId="20179" xr:uid="{00000000-0005-0000-0000-0000602F0000}"/>
    <cellStyle name="40% - Accent1 4 2 3 4 6" xfId="20180" xr:uid="{00000000-0005-0000-0000-0000612F0000}"/>
    <cellStyle name="40% - Accent1 4 2 3 4 6 2" xfId="20181" xr:uid="{00000000-0005-0000-0000-0000622F0000}"/>
    <cellStyle name="40% - Accent1 4 2 3 4 6 3" xfId="20182" xr:uid="{00000000-0005-0000-0000-0000632F0000}"/>
    <cellStyle name="40% - Accent1 4 2 3 4 7" xfId="20183" xr:uid="{00000000-0005-0000-0000-0000642F0000}"/>
    <cellStyle name="40% - Accent1 4 2 3 4 7 2" xfId="20184" xr:uid="{00000000-0005-0000-0000-0000652F0000}"/>
    <cellStyle name="40% - Accent1 4 2 3 4 8" xfId="20185" xr:uid="{00000000-0005-0000-0000-0000662F0000}"/>
    <cellStyle name="40% - Accent1 4 2 3 4 9" xfId="20186" xr:uid="{00000000-0005-0000-0000-0000672F0000}"/>
    <cellStyle name="40% - Accent1 4 2 3 5" xfId="20187" xr:uid="{00000000-0005-0000-0000-0000682F0000}"/>
    <cellStyle name="40% - Accent1 4 2 3 5 2" xfId="20188" xr:uid="{00000000-0005-0000-0000-0000692F0000}"/>
    <cellStyle name="40% - Accent1 4 2 3 5 2 2" xfId="20189" xr:uid="{00000000-0005-0000-0000-00006A2F0000}"/>
    <cellStyle name="40% - Accent1 4 2 3 5 2 3" xfId="20190" xr:uid="{00000000-0005-0000-0000-00006B2F0000}"/>
    <cellStyle name="40% - Accent1 4 2 3 5 3" xfId="20191" xr:uid="{00000000-0005-0000-0000-00006C2F0000}"/>
    <cellStyle name="40% - Accent1 4 2 3 5 3 2" xfId="20192" xr:uid="{00000000-0005-0000-0000-00006D2F0000}"/>
    <cellStyle name="40% - Accent1 4 2 3 5 3 3" xfId="20193" xr:uid="{00000000-0005-0000-0000-00006E2F0000}"/>
    <cellStyle name="40% - Accent1 4 2 3 5 4" xfId="20194" xr:uid="{00000000-0005-0000-0000-00006F2F0000}"/>
    <cellStyle name="40% - Accent1 4 2 3 5 4 2" xfId="20195" xr:uid="{00000000-0005-0000-0000-0000702F0000}"/>
    <cellStyle name="40% - Accent1 4 2 3 5 5" xfId="20196" xr:uid="{00000000-0005-0000-0000-0000712F0000}"/>
    <cellStyle name="40% - Accent1 4 2 3 5 6" xfId="20197" xr:uid="{00000000-0005-0000-0000-0000722F0000}"/>
    <cellStyle name="40% - Accent1 4 2 3 6" xfId="20198" xr:uid="{00000000-0005-0000-0000-0000732F0000}"/>
    <cellStyle name="40% - Accent1 4 2 3 6 2" xfId="20199" xr:uid="{00000000-0005-0000-0000-0000742F0000}"/>
    <cellStyle name="40% - Accent1 4 2 3 6 2 2" xfId="20200" xr:uid="{00000000-0005-0000-0000-0000752F0000}"/>
    <cellStyle name="40% - Accent1 4 2 3 6 2 3" xfId="20201" xr:uid="{00000000-0005-0000-0000-0000762F0000}"/>
    <cellStyle name="40% - Accent1 4 2 3 6 3" xfId="20202" xr:uid="{00000000-0005-0000-0000-0000772F0000}"/>
    <cellStyle name="40% - Accent1 4 2 3 6 3 2" xfId="20203" xr:uid="{00000000-0005-0000-0000-0000782F0000}"/>
    <cellStyle name="40% - Accent1 4 2 3 6 3 3" xfId="20204" xr:uid="{00000000-0005-0000-0000-0000792F0000}"/>
    <cellStyle name="40% - Accent1 4 2 3 6 4" xfId="20205" xr:uid="{00000000-0005-0000-0000-00007A2F0000}"/>
    <cellStyle name="40% - Accent1 4 2 3 6 4 2" xfId="20206" xr:uid="{00000000-0005-0000-0000-00007B2F0000}"/>
    <cellStyle name="40% - Accent1 4 2 3 6 5" xfId="20207" xr:uid="{00000000-0005-0000-0000-00007C2F0000}"/>
    <cellStyle name="40% - Accent1 4 2 3 6 6" xfId="20208" xr:uid="{00000000-0005-0000-0000-00007D2F0000}"/>
    <cellStyle name="40% - Accent1 4 2 3 7" xfId="20209" xr:uid="{00000000-0005-0000-0000-00007E2F0000}"/>
    <cellStyle name="40% - Accent1 4 2 3 7 2" xfId="20210" xr:uid="{00000000-0005-0000-0000-00007F2F0000}"/>
    <cellStyle name="40% - Accent1 4 2 3 7 2 2" xfId="20211" xr:uid="{00000000-0005-0000-0000-0000802F0000}"/>
    <cellStyle name="40% - Accent1 4 2 3 7 2 3" xfId="20212" xr:uid="{00000000-0005-0000-0000-0000812F0000}"/>
    <cellStyle name="40% - Accent1 4 2 3 7 3" xfId="20213" xr:uid="{00000000-0005-0000-0000-0000822F0000}"/>
    <cellStyle name="40% - Accent1 4 2 3 7 3 2" xfId="20214" xr:uid="{00000000-0005-0000-0000-0000832F0000}"/>
    <cellStyle name="40% - Accent1 4 2 3 7 4" xfId="20215" xr:uid="{00000000-0005-0000-0000-0000842F0000}"/>
    <cellStyle name="40% - Accent1 4 2 3 7 5" xfId="20216" xr:uid="{00000000-0005-0000-0000-0000852F0000}"/>
    <cellStyle name="40% - Accent1 4 2 3 8" xfId="20217" xr:uid="{00000000-0005-0000-0000-0000862F0000}"/>
    <cellStyle name="40% - Accent1 4 2 3 8 2" xfId="20218" xr:uid="{00000000-0005-0000-0000-0000872F0000}"/>
    <cellStyle name="40% - Accent1 4 2 3 8 3" xfId="20219" xr:uid="{00000000-0005-0000-0000-0000882F0000}"/>
    <cellStyle name="40% - Accent1 4 2 3 9" xfId="20220" xr:uid="{00000000-0005-0000-0000-0000892F0000}"/>
    <cellStyle name="40% - Accent1 4 2 3 9 2" xfId="20221" xr:uid="{00000000-0005-0000-0000-00008A2F0000}"/>
    <cellStyle name="40% - Accent1 4 2 3 9 3" xfId="20222" xr:uid="{00000000-0005-0000-0000-00008B2F0000}"/>
    <cellStyle name="40% - Accent1 4 2 4" xfId="1576" xr:uid="{00000000-0005-0000-0000-00008C2F0000}"/>
    <cellStyle name="40% - Accent1 4 2 4 10" xfId="20223" xr:uid="{00000000-0005-0000-0000-00008D2F0000}"/>
    <cellStyle name="40% - Accent1 4 2 4 2" xfId="1577" xr:uid="{00000000-0005-0000-0000-00008E2F0000}"/>
    <cellStyle name="40% - Accent1 4 2 4 2 2" xfId="20224" xr:uid="{00000000-0005-0000-0000-00008F2F0000}"/>
    <cellStyle name="40% - Accent1 4 2 4 2 2 2" xfId="20225" xr:uid="{00000000-0005-0000-0000-0000902F0000}"/>
    <cellStyle name="40% - Accent1 4 2 4 2 2 2 2" xfId="20226" xr:uid="{00000000-0005-0000-0000-0000912F0000}"/>
    <cellStyle name="40% - Accent1 4 2 4 2 2 2 3" xfId="20227" xr:uid="{00000000-0005-0000-0000-0000922F0000}"/>
    <cellStyle name="40% - Accent1 4 2 4 2 2 3" xfId="20228" xr:uid="{00000000-0005-0000-0000-0000932F0000}"/>
    <cellStyle name="40% - Accent1 4 2 4 2 2 3 2" xfId="20229" xr:uid="{00000000-0005-0000-0000-0000942F0000}"/>
    <cellStyle name="40% - Accent1 4 2 4 2 2 3 3" xfId="20230" xr:uid="{00000000-0005-0000-0000-0000952F0000}"/>
    <cellStyle name="40% - Accent1 4 2 4 2 2 4" xfId="20231" xr:uid="{00000000-0005-0000-0000-0000962F0000}"/>
    <cellStyle name="40% - Accent1 4 2 4 2 2 4 2" xfId="20232" xr:uid="{00000000-0005-0000-0000-0000972F0000}"/>
    <cellStyle name="40% - Accent1 4 2 4 2 2 5" xfId="20233" xr:uid="{00000000-0005-0000-0000-0000982F0000}"/>
    <cellStyle name="40% - Accent1 4 2 4 2 2 6" xfId="20234" xr:uid="{00000000-0005-0000-0000-0000992F0000}"/>
    <cellStyle name="40% - Accent1 4 2 4 2 3" xfId="20235" xr:uid="{00000000-0005-0000-0000-00009A2F0000}"/>
    <cellStyle name="40% - Accent1 4 2 4 2 3 2" xfId="20236" xr:uid="{00000000-0005-0000-0000-00009B2F0000}"/>
    <cellStyle name="40% - Accent1 4 2 4 2 3 2 2" xfId="20237" xr:uid="{00000000-0005-0000-0000-00009C2F0000}"/>
    <cellStyle name="40% - Accent1 4 2 4 2 3 2 3" xfId="20238" xr:uid="{00000000-0005-0000-0000-00009D2F0000}"/>
    <cellStyle name="40% - Accent1 4 2 4 2 3 3" xfId="20239" xr:uid="{00000000-0005-0000-0000-00009E2F0000}"/>
    <cellStyle name="40% - Accent1 4 2 4 2 3 3 2" xfId="20240" xr:uid="{00000000-0005-0000-0000-00009F2F0000}"/>
    <cellStyle name="40% - Accent1 4 2 4 2 3 3 3" xfId="20241" xr:uid="{00000000-0005-0000-0000-0000A02F0000}"/>
    <cellStyle name="40% - Accent1 4 2 4 2 3 4" xfId="20242" xr:uid="{00000000-0005-0000-0000-0000A12F0000}"/>
    <cellStyle name="40% - Accent1 4 2 4 2 3 4 2" xfId="20243" xr:uid="{00000000-0005-0000-0000-0000A22F0000}"/>
    <cellStyle name="40% - Accent1 4 2 4 2 3 5" xfId="20244" xr:uid="{00000000-0005-0000-0000-0000A32F0000}"/>
    <cellStyle name="40% - Accent1 4 2 4 2 3 6" xfId="20245" xr:uid="{00000000-0005-0000-0000-0000A42F0000}"/>
    <cellStyle name="40% - Accent1 4 2 4 2 4" xfId="20246" xr:uid="{00000000-0005-0000-0000-0000A52F0000}"/>
    <cellStyle name="40% - Accent1 4 2 4 2 4 2" xfId="20247" xr:uid="{00000000-0005-0000-0000-0000A62F0000}"/>
    <cellStyle name="40% - Accent1 4 2 4 2 4 2 2" xfId="20248" xr:uid="{00000000-0005-0000-0000-0000A72F0000}"/>
    <cellStyle name="40% - Accent1 4 2 4 2 4 2 3" xfId="20249" xr:uid="{00000000-0005-0000-0000-0000A82F0000}"/>
    <cellStyle name="40% - Accent1 4 2 4 2 4 3" xfId="20250" xr:uid="{00000000-0005-0000-0000-0000A92F0000}"/>
    <cellStyle name="40% - Accent1 4 2 4 2 4 3 2" xfId="20251" xr:uid="{00000000-0005-0000-0000-0000AA2F0000}"/>
    <cellStyle name="40% - Accent1 4 2 4 2 4 4" xfId="20252" xr:uid="{00000000-0005-0000-0000-0000AB2F0000}"/>
    <cellStyle name="40% - Accent1 4 2 4 2 4 5" xfId="20253" xr:uid="{00000000-0005-0000-0000-0000AC2F0000}"/>
    <cellStyle name="40% - Accent1 4 2 4 2 5" xfId="20254" xr:uid="{00000000-0005-0000-0000-0000AD2F0000}"/>
    <cellStyle name="40% - Accent1 4 2 4 2 5 2" xfId="20255" xr:uid="{00000000-0005-0000-0000-0000AE2F0000}"/>
    <cellStyle name="40% - Accent1 4 2 4 2 5 3" xfId="20256" xr:uid="{00000000-0005-0000-0000-0000AF2F0000}"/>
    <cellStyle name="40% - Accent1 4 2 4 2 6" xfId="20257" xr:uid="{00000000-0005-0000-0000-0000B02F0000}"/>
    <cellStyle name="40% - Accent1 4 2 4 2 6 2" xfId="20258" xr:uid="{00000000-0005-0000-0000-0000B12F0000}"/>
    <cellStyle name="40% - Accent1 4 2 4 2 6 3" xfId="20259" xr:uid="{00000000-0005-0000-0000-0000B22F0000}"/>
    <cellStyle name="40% - Accent1 4 2 4 2 7" xfId="20260" xr:uid="{00000000-0005-0000-0000-0000B32F0000}"/>
    <cellStyle name="40% - Accent1 4 2 4 2 7 2" xfId="20261" xr:uid="{00000000-0005-0000-0000-0000B42F0000}"/>
    <cellStyle name="40% - Accent1 4 2 4 2 8" xfId="20262" xr:uid="{00000000-0005-0000-0000-0000B52F0000}"/>
    <cellStyle name="40% - Accent1 4 2 4 2 9" xfId="20263" xr:uid="{00000000-0005-0000-0000-0000B62F0000}"/>
    <cellStyle name="40% - Accent1 4 2 4 3" xfId="20264" xr:uid="{00000000-0005-0000-0000-0000B72F0000}"/>
    <cellStyle name="40% - Accent1 4 2 4 3 2" xfId="20265" xr:uid="{00000000-0005-0000-0000-0000B82F0000}"/>
    <cellStyle name="40% - Accent1 4 2 4 3 2 2" xfId="20266" xr:uid="{00000000-0005-0000-0000-0000B92F0000}"/>
    <cellStyle name="40% - Accent1 4 2 4 3 2 3" xfId="20267" xr:uid="{00000000-0005-0000-0000-0000BA2F0000}"/>
    <cellStyle name="40% - Accent1 4 2 4 3 3" xfId="20268" xr:uid="{00000000-0005-0000-0000-0000BB2F0000}"/>
    <cellStyle name="40% - Accent1 4 2 4 3 3 2" xfId="20269" xr:uid="{00000000-0005-0000-0000-0000BC2F0000}"/>
    <cellStyle name="40% - Accent1 4 2 4 3 3 3" xfId="20270" xr:uid="{00000000-0005-0000-0000-0000BD2F0000}"/>
    <cellStyle name="40% - Accent1 4 2 4 3 4" xfId="20271" xr:uid="{00000000-0005-0000-0000-0000BE2F0000}"/>
    <cellStyle name="40% - Accent1 4 2 4 3 4 2" xfId="20272" xr:uid="{00000000-0005-0000-0000-0000BF2F0000}"/>
    <cellStyle name="40% - Accent1 4 2 4 3 5" xfId="20273" xr:uid="{00000000-0005-0000-0000-0000C02F0000}"/>
    <cellStyle name="40% - Accent1 4 2 4 3 6" xfId="20274" xr:uid="{00000000-0005-0000-0000-0000C12F0000}"/>
    <cellStyle name="40% - Accent1 4 2 4 4" xfId="20275" xr:uid="{00000000-0005-0000-0000-0000C22F0000}"/>
    <cellStyle name="40% - Accent1 4 2 4 4 2" xfId="20276" xr:uid="{00000000-0005-0000-0000-0000C32F0000}"/>
    <cellStyle name="40% - Accent1 4 2 4 4 2 2" xfId="20277" xr:uid="{00000000-0005-0000-0000-0000C42F0000}"/>
    <cellStyle name="40% - Accent1 4 2 4 4 2 3" xfId="20278" xr:uid="{00000000-0005-0000-0000-0000C52F0000}"/>
    <cellStyle name="40% - Accent1 4 2 4 4 3" xfId="20279" xr:uid="{00000000-0005-0000-0000-0000C62F0000}"/>
    <cellStyle name="40% - Accent1 4 2 4 4 3 2" xfId="20280" xr:uid="{00000000-0005-0000-0000-0000C72F0000}"/>
    <cellStyle name="40% - Accent1 4 2 4 4 3 3" xfId="20281" xr:uid="{00000000-0005-0000-0000-0000C82F0000}"/>
    <cellStyle name="40% - Accent1 4 2 4 4 4" xfId="20282" xr:uid="{00000000-0005-0000-0000-0000C92F0000}"/>
    <cellStyle name="40% - Accent1 4 2 4 4 4 2" xfId="20283" xr:uid="{00000000-0005-0000-0000-0000CA2F0000}"/>
    <cellStyle name="40% - Accent1 4 2 4 4 5" xfId="20284" xr:uid="{00000000-0005-0000-0000-0000CB2F0000}"/>
    <cellStyle name="40% - Accent1 4 2 4 4 6" xfId="20285" xr:uid="{00000000-0005-0000-0000-0000CC2F0000}"/>
    <cellStyle name="40% - Accent1 4 2 4 5" xfId="20286" xr:uid="{00000000-0005-0000-0000-0000CD2F0000}"/>
    <cellStyle name="40% - Accent1 4 2 4 5 2" xfId="20287" xr:uid="{00000000-0005-0000-0000-0000CE2F0000}"/>
    <cellStyle name="40% - Accent1 4 2 4 5 2 2" xfId="20288" xr:uid="{00000000-0005-0000-0000-0000CF2F0000}"/>
    <cellStyle name="40% - Accent1 4 2 4 5 2 3" xfId="20289" xr:uid="{00000000-0005-0000-0000-0000D02F0000}"/>
    <cellStyle name="40% - Accent1 4 2 4 5 3" xfId="20290" xr:uid="{00000000-0005-0000-0000-0000D12F0000}"/>
    <cellStyle name="40% - Accent1 4 2 4 5 3 2" xfId="20291" xr:uid="{00000000-0005-0000-0000-0000D22F0000}"/>
    <cellStyle name="40% - Accent1 4 2 4 5 4" xfId="20292" xr:uid="{00000000-0005-0000-0000-0000D32F0000}"/>
    <cellStyle name="40% - Accent1 4 2 4 5 5" xfId="20293" xr:uid="{00000000-0005-0000-0000-0000D42F0000}"/>
    <cellStyle name="40% - Accent1 4 2 4 6" xfId="20294" xr:uid="{00000000-0005-0000-0000-0000D52F0000}"/>
    <cellStyle name="40% - Accent1 4 2 4 6 2" xfId="20295" xr:uid="{00000000-0005-0000-0000-0000D62F0000}"/>
    <cellStyle name="40% - Accent1 4 2 4 6 3" xfId="20296" xr:uid="{00000000-0005-0000-0000-0000D72F0000}"/>
    <cellStyle name="40% - Accent1 4 2 4 7" xfId="20297" xr:uid="{00000000-0005-0000-0000-0000D82F0000}"/>
    <cellStyle name="40% - Accent1 4 2 4 7 2" xfId="20298" xr:uid="{00000000-0005-0000-0000-0000D92F0000}"/>
    <cellStyle name="40% - Accent1 4 2 4 7 3" xfId="20299" xr:uid="{00000000-0005-0000-0000-0000DA2F0000}"/>
    <cellStyle name="40% - Accent1 4 2 4 8" xfId="20300" xr:uid="{00000000-0005-0000-0000-0000DB2F0000}"/>
    <cellStyle name="40% - Accent1 4 2 4 8 2" xfId="20301" xr:uid="{00000000-0005-0000-0000-0000DC2F0000}"/>
    <cellStyle name="40% - Accent1 4 2 4 9" xfId="20302" xr:uid="{00000000-0005-0000-0000-0000DD2F0000}"/>
    <cellStyle name="40% - Accent1 4 2 5" xfId="1578" xr:uid="{00000000-0005-0000-0000-0000DE2F0000}"/>
    <cellStyle name="40% - Accent1 4 2 5 2" xfId="20303" xr:uid="{00000000-0005-0000-0000-0000DF2F0000}"/>
    <cellStyle name="40% - Accent1 4 2 5 2 2" xfId="20304" xr:uid="{00000000-0005-0000-0000-0000E02F0000}"/>
    <cellStyle name="40% - Accent1 4 2 5 2 2 2" xfId="20305" xr:uid="{00000000-0005-0000-0000-0000E12F0000}"/>
    <cellStyle name="40% - Accent1 4 2 5 2 2 3" xfId="20306" xr:uid="{00000000-0005-0000-0000-0000E22F0000}"/>
    <cellStyle name="40% - Accent1 4 2 5 2 3" xfId="20307" xr:uid="{00000000-0005-0000-0000-0000E32F0000}"/>
    <cellStyle name="40% - Accent1 4 2 5 2 3 2" xfId="20308" xr:uid="{00000000-0005-0000-0000-0000E42F0000}"/>
    <cellStyle name="40% - Accent1 4 2 5 2 3 3" xfId="20309" xr:uid="{00000000-0005-0000-0000-0000E52F0000}"/>
    <cellStyle name="40% - Accent1 4 2 5 2 4" xfId="20310" xr:uid="{00000000-0005-0000-0000-0000E62F0000}"/>
    <cellStyle name="40% - Accent1 4 2 5 2 4 2" xfId="20311" xr:uid="{00000000-0005-0000-0000-0000E72F0000}"/>
    <cellStyle name="40% - Accent1 4 2 5 2 5" xfId="20312" xr:uid="{00000000-0005-0000-0000-0000E82F0000}"/>
    <cellStyle name="40% - Accent1 4 2 5 2 6" xfId="20313" xr:uid="{00000000-0005-0000-0000-0000E92F0000}"/>
    <cellStyle name="40% - Accent1 4 2 5 3" xfId="20314" xr:uid="{00000000-0005-0000-0000-0000EA2F0000}"/>
    <cellStyle name="40% - Accent1 4 2 5 3 2" xfId="20315" xr:uid="{00000000-0005-0000-0000-0000EB2F0000}"/>
    <cellStyle name="40% - Accent1 4 2 5 3 2 2" xfId="20316" xr:uid="{00000000-0005-0000-0000-0000EC2F0000}"/>
    <cellStyle name="40% - Accent1 4 2 5 3 2 3" xfId="20317" xr:uid="{00000000-0005-0000-0000-0000ED2F0000}"/>
    <cellStyle name="40% - Accent1 4 2 5 3 3" xfId="20318" xr:uid="{00000000-0005-0000-0000-0000EE2F0000}"/>
    <cellStyle name="40% - Accent1 4 2 5 3 3 2" xfId="20319" xr:uid="{00000000-0005-0000-0000-0000EF2F0000}"/>
    <cellStyle name="40% - Accent1 4 2 5 3 3 3" xfId="20320" xr:uid="{00000000-0005-0000-0000-0000F02F0000}"/>
    <cellStyle name="40% - Accent1 4 2 5 3 4" xfId="20321" xr:uid="{00000000-0005-0000-0000-0000F12F0000}"/>
    <cellStyle name="40% - Accent1 4 2 5 3 4 2" xfId="20322" xr:uid="{00000000-0005-0000-0000-0000F22F0000}"/>
    <cellStyle name="40% - Accent1 4 2 5 3 5" xfId="20323" xr:uid="{00000000-0005-0000-0000-0000F32F0000}"/>
    <cellStyle name="40% - Accent1 4 2 5 3 6" xfId="20324" xr:uid="{00000000-0005-0000-0000-0000F42F0000}"/>
    <cellStyle name="40% - Accent1 4 2 5 4" xfId="20325" xr:uid="{00000000-0005-0000-0000-0000F52F0000}"/>
    <cellStyle name="40% - Accent1 4 2 5 4 2" xfId="20326" xr:uid="{00000000-0005-0000-0000-0000F62F0000}"/>
    <cellStyle name="40% - Accent1 4 2 5 4 2 2" xfId="20327" xr:uid="{00000000-0005-0000-0000-0000F72F0000}"/>
    <cellStyle name="40% - Accent1 4 2 5 4 2 3" xfId="20328" xr:uid="{00000000-0005-0000-0000-0000F82F0000}"/>
    <cellStyle name="40% - Accent1 4 2 5 4 3" xfId="20329" xr:uid="{00000000-0005-0000-0000-0000F92F0000}"/>
    <cellStyle name="40% - Accent1 4 2 5 4 3 2" xfId="20330" xr:uid="{00000000-0005-0000-0000-0000FA2F0000}"/>
    <cellStyle name="40% - Accent1 4 2 5 4 4" xfId="20331" xr:uid="{00000000-0005-0000-0000-0000FB2F0000}"/>
    <cellStyle name="40% - Accent1 4 2 5 4 5" xfId="20332" xr:uid="{00000000-0005-0000-0000-0000FC2F0000}"/>
    <cellStyle name="40% - Accent1 4 2 5 5" xfId="20333" xr:uid="{00000000-0005-0000-0000-0000FD2F0000}"/>
    <cellStyle name="40% - Accent1 4 2 5 5 2" xfId="20334" xr:uid="{00000000-0005-0000-0000-0000FE2F0000}"/>
    <cellStyle name="40% - Accent1 4 2 5 5 3" xfId="20335" xr:uid="{00000000-0005-0000-0000-0000FF2F0000}"/>
    <cellStyle name="40% - Accent1 4 2 5 6" xfId="20336" xr:uid="{00000000-0005-0000-0000-000000300000}"/>
    <cellStyle name="40% - Accent1 4 2 5 6 2" xfId="20337" xr:uid="{00000000-0005-0000-0000-000001300000}"/>
    <cellStyle name="40% - Accent1 4 2 5 6 3" xfId="20338" xr:uid="{00000000-0005-0000-0000-000002300000}"/>
    <cellStyle name="40% - Accent1 4 2 5 7" xfId="20339" xr:uid="{00000000-0005-0000-0000-000003300000}"/>
    <cellStyle name="40% - Accent1 4 2 5 7 2" xfId="20340" xr:uid="{00000000-0005-0000-0000-000004300000}"/>
    <cellStyle name="40% - Accent1 4 2 5 8" xfId="20341" xr:uid="{00000000-0005-0000-0000-000005300000}"/>
    <cellStyle name="40% - Accent1 4 2 5 9" xfId="20342" xr:uid="{00000000-0005-0000-0000-000006300000}"/>
    <cellStyle name="40% - Accent1 4 2 6" xfId="20343" xr:uid="{00000000-0005-0000-0000-000007300000}"/>
    <cellStyle name="40% - Accent1 4 2 6 2" xfId="20344" xr:uid="{00000000-0005-0000-0000-000008300000}"/>
    <cellStyle name="40% - Accent1 4 2 6 2 2" xfId="20345" xr:uid="{00000000-0005-0000-0000-000009300000}"/>
    <cellStyle name="40% - Accent1 4 2 6 2 2 2" xfId="20346" xr:uid="{00000000-0005-0000-0000-00000A300000}"/>
    <cellStyle name="40% - Accent1 4 2 6 2 2 3" xfId="20347" xr:uid="{00000000-0005-0000-0000-00000B300000}"/>
    <cellStyle name="40% - Accent1 4 2 6 2 3" xfId="20348" xr:uid="{00000000-0005-0000-0000-00000C300000}"/>
    <cellStyle name="40% - Accent1 4 2 6 2 3 2" xfId="20349" xr:uid="{00000000-0005-0000-0000-00000D300000}"/>
    <cellStyle name="40% - Accent1 4 2 6 2 3 3" xfId="20350" xr:uid="{00000000-0005-0000-0000-00000E300000}"/>
    <cellStyle name="40% - Accent1 4 2 6 2 4" xfId="20351" xr:uid="{00000000-0005-0000-0000-00000F300000}"/>
    <cellStyle name="40% - Accent1 4 2 6 2 4 2" xfId="20352" xr:uid="{00000000-0005-0000-0000-000010300000}"/>
    <cellStyle name="40% - Accent1 4 2 6 2 5" xfId="20353" xr:uid="{00000000-0005-0000-0000-000011300000}"/>
    <cellStyle name="40% - Accent1 4 2 6 2 6" xfId="20354" xr:uid="{00000000-0005-0000-0000-000012300000}"/>
    <cellStyle name="40% - Accent1 4 2 6 3" xfId="20355" xr:uid="{00000000-0005-0000-0000-000013300000}"/>
    <cellStyle name="40% - Accent1 4 2 6 3 2" xfId="20356" xr:uid="{00000000-0005-0000-0000-000014300000}"/>
    <cellStyle name="40% - Accent1 4 2 6 3 2 2" xfId="20357" xr:uid="{00000000-0005-0000-0000-000015300000}"/>
    <cellStyle name="40% - Accent1 4 2 6 3 2 3" xfId="20358" xr:uid="{00000000-0005-0000-0000-000016300000}"/>
    <cellStyle name="40% - Accent1 4 2 6 3 3" xfId="20359" xr:uid="{00000000-0005-0000-0000-000017300000}"/>
    <cellStyle name="40% - Accent1 4 2 6 3 3 2" xfId="20360" xr:uid="{00000000-0005-0000-0000-000018300000}"/>
    <cellStyle name="40% - Accent1 4 2 6 3 3 3" xfId="20361" xr:uid="{00000000-0005-0000-0000-000019300000}"/>
    <cellStyle name="40% - Accent1 4 2 6 3 4" xfId="20362" xr:uid="{00000000-0005-0000-0000-00001A300000}"/>
    <cellStyle name="40% - Accent1 4 2 6 3 4 2" xfId="20363" xr:uid="{00000000-0005-0000-0000-00001B300000}"/>
    <cellStyle name="40% - Accent1 4 2 6 3 5" xfId="20364" xr:uid="{00000000-0005-0000-0000-00001C300000}"/>
    <cellStyle name="40% - Accent1 4 2 6 3 6" xfId="20365" xr:uid="{00000000-0005-0000-0000-00001D300000}"/>
    <cellStyle name="40% - Accent1 4 2 6 4" xfId="20366" xr:uid="{00000000-0005-0000-0000-00001E300000}"/>
    <cellStyle name="40% - Accent1 4 2 6 4 2" xfId="20367" xr:uid="{00000000-0005-0000-0000-00001F300000}"/>
    <cellStyle name="40% - Accent1 4 2 6 4 2 2" xfId="20368" xr:uid="{00000000-0005-0000-0000-000020300000}"/>
    <cellStyle name="40% - Accent1 4 2 6 4 2 3" xfId="20369" xr:uid="{00000000-0005-0000-0000-000021300000}"/>
    <cellStyle name="40% - Accent1 4 2 6 4 3" xfId="20370" xr:uid="{00000000-0005-0000-0000-000022300000}"/>
    <cellStyle name="40% - Accent1 4 2 6 4 3 2" xfId="20371" xr:uid="{00000000-0005-0000-0000-000023300000}"/>
    <cellStyle name="40% - Accent1 4 2 6 4 4" xfId="20372" xr:uid="{00000000-0005-0000-0000-000024300000}"/>
    <cellStyle name="40% - Accent1 4 2 6 4 5" xfId="20373" xr:uid="{00000000-0005-0000-0000-000025300000}"/>
    <cellStyle name="40% - Accent1 4 2 6 5" xfId="20374" xr:uid="{00000000-0005-0000-0000-000026300000}"/>
    <cellStyle name="40% - Accent1 4 2 6 5 2" xfId="20375" xr:uid="{00000000-0005-0000-0000-000027300000}"/>
    <cellStyle name="40% - Accent1 4 2 6 5 3" xfId="20376" xr:uid="{00000000-0005-0000-0000-000028300000}"/>
    <cellStyle name="40% - Accent1 4 2 6 6" xfId="20377" xr:uid="{00000000-0005-0000-0000-000029300000}"/>
    <cellStyle name="40% - Accent1 4 2 6 6 2" xfId="20378" xr:uid="{00000000-0005-0000-0000-00002A300000}"/>
    <cellStyle name="40% - Accent1 4 2 6 6 3" xfId="20379" xr:uid="{00000000-0005-0000-0000-00002B300000}"/>
    <cellStyle name="40% - Accent1 4 2 6 7" xfId="20380" xr:uid="{00000000-0005-0000-0000-00002C300000}"/>
    <cellStyle name="40% - Accent1 4 2 6 7 2" xfId="20381" xr:uid="{00000000-0005-0000-0000-00002D300000}"/>
    <cellStyle name="40% - Accent1 4 2 6 8" xfId="20382" xr:uid="{00000000-0005-0000-0000-00002E300000}"/>
    <cellStyle name="40% - Accent1 4 2 6 9" xfId="20383" xr:uid="{00000000-0005-0000-0000-00002F300000}"/>
    <cellStyle name="40% - Accent1 4 2 7" xfId="20384" xr:uid="{00000000-0005-0000-0000-000030300000}"/>
    <cellStyle name="40% - Accent1 4 2 7 2" xfId="20385" xr:uid="{00000000-0005-0000-0000-000031300000}"/>
    <cellStyle name="40% - Accent1 4 2 7 2 2" xfId="20386" xr:uid="{00000000-0005-0000-0000-000032300000}"/>
    <cellStyle name="40% - Accent1 4 2 7 2 3" xfId="20387" xr:uid="{00000000-0005-0000-0000-000033300000}"/>
    <cellStyle name="40% - Accent1 4 2 7 3" xfId="20388" xr:uid="{00000000-0005-0000-0000-000034300000}"/>
    <cellStyle name="40% - Accent1 4 2 7 3 2" xfId="20389" xr:uid="{00000000-0005-0000-0000-000035300000}"/>
    <cellStyle name="40% - Accent1 4 2 7 3 3" xfId="20390" xr:uid="{00000000-0005-0000-0000-000036300000}"/>
    <cellStyle name="40% - Accent1 4 2 7 4" xfId="20391" xr:uid="{00000000-0005-0000-0000-000037300000}"/>
    <cellStyle name="40% - Accent1 4 2 7 4 2" xfId="20392" xr:uid="{00000000-0005-0000-0000-000038300000}"/>
    <cellStyle name="40% - Accent1 4 2 7 5" xfId="20393" xr:uid="{00000000-0005-0000-0000-000039300000}"/>
    <cellStyle name="40% - Accent1 4 2 7 6" xfId="20394" xr:uid="{00000000-0005-0000-0000-00003A300000}"/>
    <cellStyle name="40% - Accent1 4 2 8" xfId="20395" xr:uid="{00000000-0005-0000-0000-00003B300000}"/>
    <cellStyle name="40% - Accent1 4 2 8 2" xfId="20396" xr:uid="{00000000-0005-0000-0000-00003C300000}"/>
    <cellStyle name="40% - Accent1 4 2 8 2 2" xfId="20397" xr:uid="{00000000-0005-0000-0000-00003D300000}"/>
    <cellStyle name="40% - Accent1 4 2 8 2 3" xfId="20398" xr:uid="{00000000-0005-0000-0000-00003E300000}"/>
    <cellStyle name="40% - Accent1 4 2 8 3" xfId="20399" xr:uid="{00000000-0005-0000-0000-00003F300000}"/>
    <cellStyle name="40% - Accent1 4 2 8 3 2" xfId="20400" xr:uid="{00000000-0005-0000-0000-000040300000}"/>
    <cellStyle name="40% - Accent1 4 2 8 3 3" xfId="20401" xr:uid="{00000000-0005-0000-0000-000041300000}"/>
    <cellStyle name="40% - Accent1 4 2 8 4" xfId="20402" xr:uid="{00000000-0005-0000-0000-000042300000}"/>
    <cellStyle name="40% - Accent1 4 2 8 4 2" xfId="20403" xr:uid="{00000000-0005-0000-0000-000043300000}"/>
    <cellStyle name="40% - Accent1 4 2 8 5" xfId="20404" xr:uid="{00000000-0005-0000-0000-000044300000}"/>
    <cellStyle name="40% - Accent1 4 2 8 6" xfId="20405" xr:uid="{00000000-0005-0000-0000-000045300000}"/>
    <cellStyle name="40% - Accent1 4 2 9" xfId="20406" xr:uid="{00000000-0005-0000-0000-000046300000}"/>
    <cellStyle name="40% - Accent1 4 2 9 2" xfId="20407" xr:uid="{00000000-0005-0000-0000-000047300000}"/>
    <cellStyle name="40% - Accent1 4 2 9 2 2" xfId="20408" xr:uid="{00000000-0005-0000-0000-000048300000}"/>
    <cellStyle name="40% - Accent1 4 2 9 2 3" xfId="20409" xr:uid="{00000000-0005-0000-0000-000049300000}"/>
    <cellStyle name="40% - Accent1 4 2 9 3" xfId="20410" xr:uid="{00000000-0005-0000-0000-00004A300000}"/>
    <cellStyle name="40% - Accent1 4 2 9 3 2" xfId="20411" xr:uid="{00000000-0005-0000-0000-00004B300000}"/>
    <cellStyle name="40% - Accent1 4 2 9 4" xfId="20412" xr:uid="{00000000-0005-0000-0000-00004C300000}"/>
    <cellStyle name="40% - Accent1 4 2 9 5" xfId="20413" xr:uid="{00000000-0005-0000-0000-00004D300000}"/>
    <cellStyle name="40% - Accent1 4 3" xfId="1579" xr:uid="{00000000-0005-0000-0000-00004E300000}"/>
    <cellStyle name="40% - Accent1 4 3 10" xfId="20414" xr:uid="{00000000-0005-0000-0000-00004F300000}"/>
    <cellStyle name="40% - Accent1 4 3 10 2" xfId="20415" xr:uid="{00000000-0005-0000-0000-000050300000}"/>
    <cellStyle name="40% - Accent1 4 3 10 3" xfId="20416" xr:uid="{00000000-0005-0000-0000-000051300000}"/>
    <cellStyle name="40% - Accent1 4 3 11" xfId="20417" xr:uid="{00000000-0005-0000-0000-000052300000}"/>
    <cellStyle name="40% - Accent1 4 3 11 2" xfId="20418" xr:uid="{00000000-0005-0000-0000-000053300000}"/>
    <cellStyle name="40% - Accent1 4 3 12" xfId="20419" xr:uid="{00000000-0005-0000-0000-000054300000}"/>
    <cellStyle name="40% - Accent1 4 3 13" xfId="20420" xr:uid="{00000000-0005-0000-0000-000055300000}"/>
    <cellStyle name="40% - Accent1 4 3 14" xfId="20421" xr:uid="{00000000-0005-0000-0000-000056300000}"/>
    <cellStyle name="40% - Accent1 4 3 2" xfId="1580" xr:uid="{00000000-0005-0000-0000-000057300000}"/>
    <cellStyle name="40% - Accent1 4 3 2 10" xfId="20422" xr:uid="{00000000-0005-0000-0000-000058300000}"/>
    <cellStyle name="40% - Accent1 4 3 2 10 2" xfId="20423" xr:uid="{00000000-0005-0000-0000-000059300000}"/>
    <cellStyle name="40% - Accent1 4 3 2 11" xfId="20424" xr:uid="{00000000-0005-0000-0000-00005A300000}"/>
    <cellStyle name="40% - Accent1 4 3 2 12" xfId="20425" xr:uid="{00000000-0005-0000-0000-00005B300000}"/>
    <cellStyle name="40% - Accent1 4 3 2 2" xfId="1581" xr:uid="{00000000-0005-0000-0000-00005C300000}"/>
    <cellStyle name="40% - Accent1 4 3 2 2 10" xfId="20426" xr:uid="{00000000-0005-0000-0000-00005D300000}"/>
    <cellStyle name="40% - Accent1 4 3 2 2 2" xfId="1582" xr:uid="{00000000-0005-0000-0000-00005E300000}"/>
    <cellStyle name="40% - Accent1 4 3 2 2 2 2" xfId="20427" xr:uid="{00000000-0005-0000-0000-00005F300000}"/>
    <cellStyle name="40% - Accent1 4 3 2 2 2 2 2" xfId="20428" xr:uid="{00000000-0005-0000-0000-000060300000}"/>
    <cellStyle name="40% - Accent1 4 3 2 2 2 2 2 2" xfId="20429" xr:uid="{00000000-0005-0000-0000-000061300000}"/>
    <cellStyle name="40% - Accent1 4 3 2 2 2 2 2 3" xfId="20430" xr:uid="{00000000-0005-0000-0000-000062300000}"/>
    <cellStyle name="40% - Accent1 4 3 2 2 2 2 3" xfId="20431" xr:uid="{00000000-0005-0000-0000-000063300000}"/>
    <cellStyle name="40% - Accent1 4 3 2 2 2 2 3 2" xfId="20432" xr:uid="{00000000-0005-0000-0000-000064300000}"/>
    <cellStyle name="40% - Accent1 4 3 2 2 2 2 3 3" xfId="20433" xr:uid="{00000000-0005-0000-0000-000065300000}"/>
    <cellStyle name="40% - Accent1 4 3 2 2 2 2 4" xfId="20434" xr:uid="{00000000-0005-0000-0000-000066300000}"/>
    <cellStyle name="40% - Accent1 4 3 2 2 2 2 4 2" xfId="20435" xr:uid="{00000000-0005-0000-0000-000067300000}"/>
    <cellStyle name="40% - Accent1 4 3 2 2 2 2 5" xfId="20436" xr:uid="{00000000-0005-0000-0000-000068300000}"/>
    <cellStyle name="40% - Accent1 4 3 2 2 2 2 6" xfId="20437" xr:uid="{00000000-0005-0000-0000-000069300000}"/>
    <cellStyle name="40% - Accent1 4 3 2 2 2 3" xfId="20438" xr:uid="{00000000-0005-0000-0000-00006A300000}"/>
    <cellStyle name="40% - Accent1 4 3 2 2 2 3 2" xfId="20439" xr:uid="{00000000-0005-0000-0000-00006B300000}"/>
    <cellStyle name="40% - Accent1 4 3 2 2 2 3 2 2" xfId="20440" xr:uid="{00000000-0005-0000-0000-00006C300000}"/>
    <cellStyle name="40% - Accent1 4 3 2 2 2 3 2 3" xfId="20441" xr:uid="{00000000-0005-0000-0000-00006D300000}"/>
    <cellStyle name="40% - Accent1 4 3 2 2 2 3 3" xfId="20442" xr:uid="{00000000-0005-0000-0000-00006E300000}"/>
    <cellStyle name="40% - Accent1 4 3 2 2 2 3 3 2" xfId="20443" xr:uid="{00000000-0005-0000-0000-00006F300000}"/>
    <cellStyle name="40% - Accent1 4 3 2 2 2 3 3 3" xfId="20444" xr:uid="{00000000-0005-0000-0000-000070300000}"/>
    <cellStyle name="40% - Accent1 4 3 2 2 2 3 4" xfId="20445" xr:uid="{00000000-0005-0000-0000-000071300000}"/>
    <cellStyle name="40% - Accent1 4 3 2 2 2 3 4 2" xfId="20446" xr:uid="{00000000-0005-0000-0000-000072300000}"/>
    <cellStyle name="40% - Accent1 4 3 2 2 2 3 5" xfId="20447" xr:uid="{00000000-0005-0000-0000-000073300000}"/>
    <cellStyle name="40% - Accent1 4 3 2 2 2 3 6" xfId="20448" xr:uid="{00000000-0005-0000-0000-000074300000}"/>
    <cellStyle name="40% - Accent1 4 3 2 2 2 4" xfId="20449" xr:uid="{00000000-0005-0000-0000-000075300000}"/>
    <cellStyle name="40% - Accent1 4 3 2 2 2 4 2" xfId="20450" xr:uid="{00000000-0005-0000-0000-000076300000}"/>
    <cellStyle name="40% - Accent1 4 3 2 2 2 4 2 2" xfId="20451" xr:uid="{00000000-0005-0000-0000-000077300000}"/>
    <cellStyle name="40% - Accent1 4 3 2 2 2 4 2 3" xfId="20452" xr:uid="{00000000-0005-0000-0000-000078300000}"/>
    <cellStyle name="40% - Accent1 4 3 2 2 2 4 3" xfId="20453" xr:uid="{00000000-0005-0000-0000-000079300000}"/>
    <cellStyle name="40% - Accent1 4 3 2 2 2 4 3 2" xfId="20454" xr:uid="{00000000-0005-0000-0000-00007A300000}"/>
    <cellStyle name="40% - Accent1 4 3 2 2 2 4 4" xfId="20455" xr:uid="{00000000-0005-0000-0000-00007B300000}"/>
    <cellStyle name="40% - Accent1 4 3 2 2 2 4 5" xfId="20456" xr:uid="{00000000-0005-0000-0000-00007C300000}"/>
    <cellStyle name="40% - Accent1 4 3 2 2 2 5" xfId="20457" xr:uid="{00000000-0005-0000-0000-00007D300000}"/>
    <cellStyle name="40% - Accent1 4 3 2 2 2 5 2" xfId="20458" xr:uid="{00000000-0005-0000-0000-00007E300000}"/>
    <cellStyle name="40% - Accent1 4 3 2 2 2 5 3" xfId="20459" xr:uid="{00000000-0005-0000-0000-00007F300000}"/>
    <cellStyle name="40% - Accent1 4 3 2 2 2 6" xfId="20460" xr:uid="{00000000-0005-0000-0000-000080300000}"/>
    <cellStyle name="40% - Accent1 4 3 2 2 2 6 2" xfId="20461" xr:uid="{00000000-0005-0000-0000-000081300000}"/>
    <cellStyle name="40% - Accent1 4 3 2 2 2 6 3" xfId="20462" xr:uid="{00000000-0005-0000-0000-000082300000}"/>
    <cellStyle name="40% - Accent1 4 3 2 2 2 7" xfId="20463" xr:uid="{00000000-0005-0000-0000-000083300000}"/>
    <cellStyle name="40% - Accent1 4 3 2 2 2 7 2" xfId="20464" xr:uid="{00000000-0005-0000-0000-000084300000}"/>
    <cellStyle name="40% - Accent1 4 3 2 2 2 8" xfId="20465" xr:uid="{00000000-0005-0000-0000-000085300000}"/>
    <cellStyle name="40% - Accent1 4 3 2 2 2 9" xfId="20466" xr:uid="{00000000-0005-0000-0000-000086300000}"/>
    <cellStyle name="40% - Accent1 4 3 2 2 3" xfId="20467" xr:uid="{00000000-0005-0000-0000-000087300000}"/>
    <cellStyle name="40% - Accent1 4 3 2 2 3 2" xfId="20468" xr:uid="{00000000-0005-0000-0000-000088300000}"/>
    <cellStyle name="40% - Accent1 4 3 2 2 3 2 2" xfId="20469" xr:uid="{00000000-0005-0000-0000-000089300000}"/>
    <cellStyle name="40% - Accent1 4 3 2 2 3 2 3" xfId="20470" xr:uid="{00000000-0005-0000-0000-00008A300000}"/>
    <cellStyle name="40% - Accent1 4 3 2 2 3 3" xfId="20471" xr:uid="{00000000-0005-0000-0000-00008B300000}"/>
    <cellStyle name="40% - Accent1 4 3 2 2 3 3 2" xfId="20472" xr:uid="{00000000-0005-0000-0000-00008C300000}"/>
    <cellStyle name="40% - Accent1 4 3 2 2 3 3 3" xfId="20473" xr:uid="{00000000-0005-0000-0000-00008D300000}"/>
    <cellStyle name="40% - Accent1 4 3 2 2 3 4" xfId="20474" xr:uid="{00000000-0005-0000-0000-00008E300000}"/>
    <cellStyle name="40% - Accent1 4 3 2 2 3 4 2" xfId="20475" xr:uid="{00000000-0005-0000-0000-00008F300000}"/>
    <cellStyle name="40% - Accent1 4 3 2 2 3 5" xfId="20476" xr:uid="{00000000-0005-0000-0000-000090300000}"/>
    <cellStyle name="40% - Accent1 4 3 2 2 3 6" xfId="20477" xr:uid="{00000000-0005-0000-0000-000091300000}"/>
    <cellStyle name="40% - Accent1 4 3 2 2 4" xfId="20478" xr:uid="{00000000-0005-0000-0000-000092300000}"/>
    <cellStyle name="40% - Accent1 4 3 2 2 4 2" xfId="20479" xr:uid="{00000000-0005-0000-0000-000093300000}"/>
    <cellStyle name="40% - Accent1 4 3 2 2 4 2 2" xfId="20480" xr:uid="{00000000-0005-0000-0000-000094300000}"/>
    <cellStyle name="40% - Accent1 4 3 2 2 4 2 3" xfId="20481" xr:uid="{00000000-0005-0000-0000-000095300000}"/>
    <cellStyle name="40% - Accent1 4 3 2 2 4 3" xfId="20482" xr:uid="{00000000-0005-0000-0000-000096300000}"/>
    <cellStyle name="40% - Accent1 4 3 2 2 4 3 2" xfId="20483" xr:uid="{00000000-0005-0000-0000-000097300000}"/>
    <cellStyle name="40% - Accent1 4 3 2 2 4 3 3" xfId="20484" xr:uid="{00000000-0005-0000-0000-000098300000}"/>
    <cellStyle name="40% - Accent1 4 3 2 2 4 4" xfId="20485" xr:uid="{00000000-0005-0000-0000-000099300000}"/>
    <cellStyle name="40% - Accent1 4 3 2 2 4 4 2" xfId="20486" xr:uid="{00000000-0005-0000-0000-00009A300000}"/>
    <cellStyle name="40% - Accent1 4 3 2 2 4 5" xfId="20487" xr:uid="{00000000-0005-0000-0000-00009B300000}"/>
    <cellStyle name="40% - Accent1 4 3 2 2 4 6" xfId="20488" xr:uid="{00000000-0005-0000-0000-00009C300000}"/>
    <cellStyle name="40% - Accent1 4 3 2 2 5" xfId="20489" xr:uid="{00000000-0005-0000-0000-00009D300000}"/>
    <cellStyle name="40% - Accent1 4 3 2 2 5 2" xfId="20490" xr:uid="{00000000-0005-0000-0000-00009E300000}"/>
    <cellStyle name="40% - Accent1 4 3 2 2 5 2 2" xfId="20491" xr:uid="{00000000-0005-0000-0000-00009F300000}"/>
    <cellStyle name="40% - Accent1 4 3 2 2 5 2 3" xfId="20492" xr:uid="{00000000-0005-0000-0000-0000A0300000}"/>
    <cellStyle name="40% - Accent1 4 3 2 2 5 3" xfId="20493" xr:uid="{00000000-0005-0000-0000-0000A1300000}"/>
    <cellStyle name="40% - Accent1 4 3 2 2 5 3 2" xfId="20494" xr:uid="{00000000-0005-0000-0000-0000A2300000}"/>
    <cellStyle name="40% - Accent1 4 3 2 2 5 4" xfId="20495" xr:uid="{00000000-0005-0000-0000-0000A3300000}"/>
    <cellStyle name="40% - Accent1 4 3 2 2 5 5" xfId="20496" xr:uid="{00000000-0005-0000-0000-0000A4300000}"/>
    <cellStyle name="40% - Accent1 4 3 2 2 6" xfId="20497" xr:uid="{00000000-0005-0000-0000-0000A5300000}"/>
    <cellStyle name="40% - Accent1 4 3 2 2 6 2" xfId="20498" xr:uid="{00000000-0005-0000-0000-0000A6300000}"/>
    <cellStyle name="40% - Accent1 4 3 2 2 6 3" xfId="20499" xr:uid="{00000000-0005-0000-0000-0000A7300000}"/>
    <cellStyle name="40% - Accent1 4 3 2 2 7" xfId="20500" xr:uid="{00000000-0005-0000-0000-0000A8300000}"/>
    <cellStyle name="40% - Accent1 4 3 2 2 7 2" xfId="20501" xr:uid="{00000000-0005-0000-0000-0000A9300000}"/>
    <cellStyle name="40% - Accent1 4 3 2 2 7 3" xfId="20502" xr:uid="{00000000-0005-0000-0000-0000AA300000}"/>
    <cellStyle name="40% - Accent1 4 3 2 2 8" xfId="20503" xr:uid="{00000000-0005-0000-0000-0000AB300000}"/>
    <cellStyle name="40% - Accent1 4 3 2 2 8 2" xfId="20504" xr:uid="{00000000-0005-0000-0000-0000AC300000}"/>
    <cellStyle name="40% - Accent1 4 3 2 2 9" xfId="20505" xr:uid="{00000000-0005-0000-0000-0000AD300000}"/>
    <cellStyle name="40% - Accent1 4 3 2 3" xfId="1583" xr:uid="{00000000-0005-0000-0000-0000AE300000}"/>
    <cellStyle name="40% - Accent1 4 3 2 3 2" xfId="20506" xr:uid="{00000000-0005-0000-0000-0000AF300000}"/>
    <cellStyle name="40% - Accent1 4 3 2 3 2 2" xfId="20507" xr:uid="{00000000-0005-0000-0000-0000B0300000}"/>
    <cellStyle name="40% - Accent1 4 3 2 3 2 2 2" xfId="20508" xr:uid="{00000000-0005-0000-0000-0000B1300000}"/>
    <cellStyle name="40% - Accent1 4 3 2 3 2 2 3" xfId="20509" xr:uid="{00000000-0005-0000-0000-0000B2300000}"/>
    <cellStyle name="40% - Accent1 4 3 2 3 2 3" xfId="20510" xr:uid="{00000000-0005-0000-0000-0000B3300000}"/>
    <cellStyle name="40% - Accent1 4 3 2 3 2 3 2" xfId="20511" xr:uid="{00000000-0005-0000-0000-0000B4300000}"/>
    <cellStyle name="40% - Accent1 4 3 2 3 2 3 3" xfId="20512" xr:uid="{00000000-0005-0000-0000-0000B5300000}"/>
    <cellStyle name="40% - Accent1 4 3 2 3 2 4" xfId="20513" xr:uid="{00000000-0005-0000-0000-0000B6300000}"/>
    <cellStyle name="40% - Accent1 4 3 2 3 2 4 2" xfId="20514" xr:uid="{00000000-0005-0000-0000-0000B7300000}"/>
    <cellStyle name="40% - Accent1 4 3 2 3 2 5" xfId="20515" xr:uid="{00000000-0005-0000-0000-0000B8300000}"/>
    <cellStyle name="40% - Accent1 4 3 2 3 2 6" xfId="20516" xr:uid="{00000000-0005-0000-0000-0000B9300000}"/>
    <cellStyle name="40% - Accent1 4 3 2 3 3" xfId="20517" xr:uid="{00000000-0005-0000-0000-0000BA300000}"/>
    <cellStyle name="40% - Accent1 4 3 2 3 3 2" xfId="20518" xr:uid="{00000000-0005-0000-0000-0000BB300000}"/>
    <cellStyle name="40% - Accent1 4 3 2 3 3 2 2" xfId="20519" xr:uid="{00000000-0005-0000-0000-0000BC300000}"/>
    <cellStyle name="40% - Accent1 4 3 2 3 3 2 3" xfId="20520" xr:uid="{00000000-0005-0000-0000-0000BD300000}"/>
    <cellStyle name="40% - Accent1 4 3 2 3 3 3" xfId="20521" xr:uid="{00000000-0005-0000-0000-0000BE300000}"/>
    <cellStyle name="40% - Accent1 4 3 2 3 3 3 2" xfId="20522" xr:uid="{00000000-0005-0000-0000-0000BF300000}"/>
    <cellStyle name="40% - Accent1 4 3 2 3 3 3 3" xfId="20523" xr:uid="{00000000-0005-0000-0000-0000C0300000}"/>
    <cellStyle name="40% - Accent1 4 3 2 3 3 4" xfId="20524" xr:uid="{00000000-0005-0000-0000-0000C1300000}"/>
    <cellStyle name="40% - Accent1 4 3 2 3 3 4 2" xfId="20525" xr:uid="{00000000-0005-0000-0000-0000C2300000}"/>
    <cellStyle name="40% - Accent1 4 3 2 3 3 5" xfId="20526" xr:uid="{00000000-0005-0000-0000-0000C3300000}"/>
    <cellStyle name="40% - Accent1 4 3 2 3 3 6" xfId="20527" xr:uid="{00000000-0005-0000-0000-0000C4300000}"/>
    <cellStyle name="40% - Accent1 4 3 2 3 4" xfId="20528" xr:uid="{00000000-0005-0000-0000-0000C5300000}"/>
    <cellStyle name="40% - Accent1 4 3 2 3 4 2" xfId="20529" xr:uid="{00000000-0005-0000-0000-0000C6300000}"/>
    <cellStyle name="40% - Accent1 4 3 2 3 4 2 2" xfId="20530" xr:uid="{00000000-0005-0000-0000-0000C7300000}"/>
    <cellStyle name="40% - Accent1 4 3 2 3 4 2 3" xfId="20531" xr:uid="{00000000-0005-0000-0000-0000C8300000}"/>
    <cellStyle name="40% - Accent1 4 3 2 3 4 3" xfId="20532" xr:uid="{00000000-0005-0000-0000-0000C9300000}"/>
    <cellStyle name="40% - Accent1 4 3 2 3 4 3 2" xfId="20533" xr:uid="{00000000-0005-0000-0000-0000CA300000}"/>
    <cellStyle name="40% - Accent1 4 3 2 3 4 4" xfId="20534" xr:uid="{00000000-0005-0000-0000-0000CB300000}"/>
    <cellStyle name="40% - Accent1 4 3 2 3 4 5" xfId="20535" xr:uid="{00000000-0005-0000-0000-0000CC300000}"/>
    <cellStyle name="40% - Accent1 4 3 2 3 5" xfId="20536" xr:uid="{00000000-0005-0000-0000-0000CD300000}"/>
    <cellStyle name="40% - Accent1 4 3 2 3 5 2" xfId="20537" xr:uid="{00000000-0005-0000-0000-0000CE300000}"/>
    <cellStyle name="40% - Accent1 4 3 2 3 5 3" xfId="20538" xr:uid="{00000000-0005-0000-0000-0000CF300000}"/>
    <cellStyle name="40% - Accent1 4 3 2 3 6" xfId="20539" xr:uid="{00000000-0005-0000-0000-0000D0300000}"/>
    <cellStyle name="40% - Accent1 4 3 2 3 6 2" xfId="20540" xr:uid="{00000000-0005-0000-0000-0000D1300000}"/>
    <cellStyle name="40% - Accent1 4 3 2 3 6 3" xfId="20541" xr:uid="{00000000-0005-0000-0000-0000D2300000}"/>
    <cellStyle name="40% - Accent1 4 3 2 3 7" xfId="20542" xr:uid="{00000000-0005-0000-0000-0000D3300000}"/>
    <cellStyle name="40% - Accent1 4 3 2 3 7 2" xfId="20543" xr:uid="{00000000-0005-0000-0000-0000D4300000}"/>
    <cellStyle name="40% - Accent1 4 3 2 3 8" xfId="20544" xr:uid="{00000000-0005-0000-0000-0000D5300000}"/>
    <cellStyle name="40% - Accent1 4 3 2 3 9" xfId="20545" xr:uid="{00000000-0005-0000-0000-0000D6300000}"/>
    <cellStyle name="40% - Accent1 4 3 2 4" xfId="20546" xr:uid="{00000000-0005-0000-0000-0000D7300000}"/>
    <cellStyle name="40% - Accent1 4 3 2 4 2" xfId="20547" xr:uid="{00000000-0005-0000-0000-0000D8300000}"/>
    <cellStyle name="40% - Accent1 4 3 2 4 2 2" xfId="20548" xr:uid="{00000000-0005-0000-0000-0000D9300000}"/>
    <cellStyle name="40% - Accent1 4 3 2 4 2 2 2" xfId="20549" xr:uid="{00000000-0005-0000-0000-0000DA300000}"/>
    <cellStyle name="40% - Accent1 4 3 2 4 2 2 3" xfId="20550" xr:uid="{00000000-0005-0000-0000-0000DB300000}"/>
    <cellStyle name="40% - Accent1 4 3 2 4 2 3" xfId="20551" xr:uid="{00000000-0005-0000-0000-0000DC300000}"/>
    <cellStyle name="40% - Accent1 4 3 2 4 2 3 2" xfId="20552" xr:uid="{00000000-0005-0000-0000-0000DD300000}"/>
    <cellStyle name="40% - Accent1 4 3 2 4 2 3 3" xfId="20553" xr:uid="{00000000-0005-0000-0000-0000DE300000}"/>
    <cellStyle name="40% - Accent1 4 3 2 4 2 4" xfId="20554" xr:uid="{00000000-0005-0000-0000-0000DF300000}"/>
    <cellStyle name="40% - Accent1 4 3 2 4 2 4 2" xfId="20555" xr:uid="{00000000-0005-0000-0000-0000E0300000}"/>
    <cellStyle name="40% - Accent1 4 3 2 4 2 5" xfId="20556" xr:uid="{00000000-0005-0000-0000-0000E1300000}"/>
    <cellStyle name="40% - Accent1 4 3 2 4 2 6" xfId="20557" xr:uid="{00000000-0005-0000-0000-0000E2300000}"/>
    <cellStyle name="40% - Accent1 4 3 2 4 3" xfId="20558" xr:uid="{00000000-0005-0000-0000-0000E3300000}"/>
    <cellStyle name="40% - Accent1 4 3 2 4 3 2" xfId="20559" xr:uid="{00000000-0005-0000-0000-0000E4300000}"/>
    <cellStyle name="40% - Accent1 4 3 2 4 3 2 2" xfId="20560" xr:uid="{00000000-0005-0000-0000-0000E5300000}"/>
    <cellStyle name="40% - Accent1 4 3 2 4 3 2 3" xfId="20561" xr:uid="{00000000-0005-0000-0000-0000E6300000}"/>
    <cellStyle name="40% - Accent1 4 3 2 4 3 3" xfId="20562" xr:uid="{00000000-0005-0000-0000-0000E7300000}"/>
    <cellStyle name="40% - Accent1 4 3 2 4 3 3 2" xfId="20563" xr:uid="{00000000-0005-0000-0000-0000E8300000}"/>
    <cellStyle name="40% - Accent1 4 3 2 4 3 3 3" xfId="20564" xr:uid="{00000000-0005-0000-0000-0000E9300000}"/>
    <cellStyle name="40% - Accent1 4 3 2 4 3 4" xfId="20565" xr:uid="{00000000-0005-0000-0000-0000EA300000}"/>
    <cellStyle name="40% - Accent1 4 3 2 4 3 4 2" xfId="20566" xr:uid="{00000000-0005-0000-0000-0000EB300000}"/>
    <cellStyle name="40% - Accent1 4 3 2 4 3 5" xfId="20567" xr:uid="{00000000-0005-0000-0000-0000EC300000}"/>
    <cellStyle name="40% - Accent1 4 3 2 4 3 6" xfId="20568" xr:uid="{00000000-0005-0000-0000-0000ED300000}"/>
    <cellStyle name="40% - Accent1 4 3 2 4 4" xfId="20569" xr:uid="{00000000-0005-0000-0000-0000EE300000}"/>
    <cellStyle name="40% - Accent1 4 3 2 4 4 2" xfId="20570" xr:uid="{00000000-0005-0000-0000-0000EF300000}"/>
    <cellStyle name="40% - Accent1 4 3 2 4 4 2 2" xfId="20571" xr:uid="{00000000-0005-0000-0000-0000F0300000}"/>
    <cellStyle name="40% - Accent1 4 3 2 4 4 2 3" xfId="20572" xr:uid="{00000000-0005-0000-0000-0000F1300000}"/>
    <cellStyle name="40% - Accent1 4 3 2 4 4 3" xfId="20573" xr:uid="{00000000-0005-0000-0000-0000F2300000}"/>
    <cellStyle name="40% - Accent1 4 3 2 4 4 3 2" xfId="20574" xr:uid="{00000000-0005-0000-0000-0000F3300000}"/>
    <cellStyle name="40% - Accent1 4 3 2 4 4 4" xfId="20575" xr:uid="{00000000-0005-0000-0000-0000F4300000}"/>
    <cellStyle name="40% - Accent1 4 3 2 4 4 5" xfId="20576" xr:uid="{00000000-0005-0000-0000-0000F5300000}"/>
    <cellStyle name="40% - Accent1 4 3 2 4 5" xfId="20577" xr:uid="{00000000-0005-0000-0000-0000F6300000}"/>
    <cellStyle name="40% - Accent1 4 3 2 4 5 2" xfId="20578" xr:uid="{00000000-0005-0000-0000-0000F7300000}"/>
    <cellStyle name="40% - Accent1 4 3 2 4 5 3" xfId="20579" xr:uid="{00000000-0005-0000-0000-0000F8300000}"/>
    <cellStyle name="40% - Accent1 4 3 2 4 6" xfId="20580" xr:uid="{00000000-0005-0000-0000-0000F9300000}"/>
    <cellStyle name="40% - Accent1 4 3 2 4 6 2" xfId="20581" xr:uid="{00000000-0005-0000-0000-0000FA300000}"/>
    <cellStyle name="40% - Accent1 4 3 2 4 6 3" xfId="20582" xr:uid="{00000000-0005-0000-0000-0000FB300000}"/>
    <cellStyle name="40% - Accent1 4 3 2 4 7" xfId="20583" xr:uid="{00000000-0005-0000-0000-0000FC300000}"/>
    <cellStyle name="40% - Accent1 4 3 2 4 7 2" xfId="20584" xr:uid="{00000000-0005-0000-0000-0000FD300000}"/>
    <cellStyle name="40% - Accent1 4 3 2 4 8" xfId="20585" xr:uid="{00000000-0005-0000-0000-0000FE300000}"/>
    <cellStyle name="40% - Accent1 4 3 2 4 9" xfId="20586" xr:uid="{00000000-0005-0000-0000-0000FF300000}"/>
    <cellStyle name="40% - Accent1 4 3 2 5" xfId="20587" xr:uid="{00000000-0005-0000-0000-000000310000}"/>
    <cellStyle name="40% - Accent1 4 3 2 5 2" xfId="20588" xr:uid="{00000000-0005-0000-0000-000001310000}"/>
    <cellStyle name="40% - Accent1 4 3 2 5 2 2" xfId="20589" xr:uid="{00000000-0005-0000-0000-000002310000}"/>
    <cellStyle name="40% - Accent1 4 3 2 5 2 3" xfId="20590" xr:uid="{00000000-0005-0000-0000-000003310000}"/>
    <cellStyle name="40% - Accent1 4 3 2 5 3" xfId="20591" xr:uid="{00000000-0005-0000-0000-000004310000}"/>
    <cellStyle name="40% - Accent1 4 3 2 5 3 2" xfId="20592" xr:uid="{00000000-0005-0000-0000-000005310000}"/>
    <cellStyle name="40% - Accent1 4 3 2 5 3 3" xfId="20593" xr:uid="{00000000-0005-0000-0000-000006310000}"/>
    <cellStyle name="40% - Accent1 4 3 2 5 4" xfId="20594" xr:uid="{00000000-0005-0000-0000-000007310000}"/>
    <cellStyle name="40% - Accent1 4 3 2 5 4 2" xfId="20595" xr:uid="{00000000-0005-0000-0000-000008310000}"/>
    <cellStyle name="40% - Accent1 4 3 2 5 5" xfId="20596" xr:uid="{00000000-0005-0000-0000-000009310000}"/>
    <cellStyle name="40% - Accent1 4 3 2 5 6" xfId="20597" xr:uid="{00000000-0005-0000-0000-00000A310000}"/>
    <cellStyle name="40% - Accent1 4 3 2 6" xfId="20598" xr:uid="{00000000-0005-0000-0000-00000B310000}"/>
    <cellStyle name="40% - Accent1 4 3 2 6 2" xfId="20599" xr:uid="{00000000-0005-0000-0000-00000C310000}"/>
    <cellStyle name="40% - Accent1 4 3 2 6 2 2" xfId="20600" xr:uid="{00000000-0005-0000-0000-00000D310000}"/>
    <cellStyle name="40% - Accent1 4 3 2 6 2 3" xfId="20601" xr:uid="{00000000-0005-0000-0000-00000E310000}"/>
    <cellStyle name="40% - Accent1 4 3 2 6 3" xfId="20602" xr:uid="{00000000-0005-0000-0000-00000F310000}"/>
    <cellStyle name="40% - Accent1 4 3 2 6 3 2" xfId="20603" xr:uid="{00000000-0005-0000-0000-000010310000}"/>
    <cellStyle name="40% - Accent1 4 3 2 6 3 3" xfId="20604" xr:uid="{00000000-0005-0000-0000-000011310000}"/>
    <cellStyle name="40% - Accent1 4 3 2 6 4" xfId="20605" xr:uid="{00000000-0005-0000-0000-000012310000}"/>
    <cellStyle name="40% - Accent1 4 3 2 6 4 2" xfId="20606" xr:uid="{00000000-0005-0000-0000-000013310000}"/>
    <cellStyle name="40% - Accent1 4 3 2 6 5" xfId="20607" xr:uid="{00000000-0005-0000-0000-000014310000}"/>
    <cellStyle name="40% - Accent1 4 3 2 6 6" xfId="20608" xr:uid="{00000000-0005-0000-0000-000015310000}"/>
    <cellStyle name="40% - Accent1 4 3 2 7" xfId="20609" xr:uid="{00000000-0005-0000-0000-000016310000}"/>
    <cellStyle name="40% - Accent1 4 3 2 7 2" xfId="20610" xr:uid="{00000000-0005-0000-0000-000017310000}"/>
    <cellStyle name="40% - Accent1 4 3 2 7 2 2" xfId="20611" xr:uid="{00000000-0005-0000-0000-000018310000}"/>
    <cellStyle name="40% - Accent1 4 3 2 7 2 3" xfId="20612" xr:uid="{00000000-0005-0000-0000-000019310000}"/>
    <cellStyle name="40% - Accent1 4 3 2 7 3" xfId="20613" xr:uid="{00000000-0005-0000-0000-00001A310000}"/>
    <cellStyle name="40% - Accent1 4 3 2 7 3 2" xfId="20614" xr:uid="{00000000-0005-0000-0000-00001B310000}"/>
    <cellStyle name="40% - Accent1 4 3 2 7 4" xfId="20615" xr:uid="{00000000-0005-0000-0000-00001C310000}"/>
    <cellStyle name="40% - Accent1 4 3 2 7 5" xfId="20616" xr:uid="{00000000-0005-0000-0000-00001D310000}"/>
    <cellStyle name="40% - Accent1 4 3 2 8" xfId="20617" xr:uid="{00000000-0005-0000-0000-00001E310000}"/>
    <cellStyle name="40% - Accent1 4 3 2 8 2" xfId="20618" xr:uid="{00000000-0005-0000-0000-00001F310000}"/>
    <cellStyle name="40% - Accent1 4 3 2 8 3" xfId="20619" xr:uid="{00000000-0005-0000-0000-000020310000}"/>
    <cellStyle name="40% - Accent1 4 3 2 9" xfId="20620" xr:uid="{00000000-0005-0000-0000-000021310000}"/>
    <cellStyle name="40% - Accent1 4 3 2 9 2" xfId="20621" xr:uid="{00000000-0005-0000-0000-000022310000}"/>
    <cellStyle name="40% - Accent1 4 3 2 9 3" xfId="20622" xr:uid="{00000000-0005-0000-0000-000023310000}"/>
    <cellStyle name="40% - Accent1 4 3 3" xfId="1584" xr:uid="{00000000-0005-0000-0000-000024310000}"/>
    <cellStyle name="40% - Accent1 4 3 3 10" xfId="20623" xr:uid="{00000000-0005-0000-0000-000025310000}"/>
    <cellStyle name="40% - Accent1 4 3 3 2" xfId="1585" xr:uid="{00000000-0005-0000-0000-000026310000}"/>
    <cellStyle name="40% - Accent1 4 3 3 2 2" xfId="20624" xr:uid="{00000000-0005-0000-0000-000027310000}"/>
    <cellStyle name="40% - Accent1 4 3 3 2 2 2" xfId="20625" xr:uid="{00000000-0005-0000-0000-000028310000}"/>
    <cellStyle name="40% - Accent1 4 3 3 2 2 2 2" xfId="20626" xr:uid="{00000000-0005-0000-0000-000029310000}"/>
    <cellStyle name="40% - Accent1 4 3 3 2 2 2 3" xfId="20627" xr:uid="{00000000-0005-0000-0000-00002A310000}"/>
    <cellStyle name="40% - Accent1 4 3 3 2 2 3" xfId="20628" xr:uid="{00000000-0005-0000-0000-00002B310000}"/>
    <cellStyle name="40% - Accent1 4 3 3 2 2 3 2" xfId="20629" xr:uid="{00000000-0005-0000-0000-00002C310000}"/>
    <cellStyle name="40% - Accent1 4 3 3 2 2 3 3" xfId="20630" xr:uid="{00000000-0005-0000-0000-00002D310000}"/>
    <cellStyle name="40% - Accent1 4 3 3 2 2 4" xfId="20631" xr:uid="{00000000-0005-0000-0000-00002E310000}"/>
    <cellStyle name="40% - Accent1 4 3 3 2 2 4 2" xfId="20632" xr:uid="{00000000-0005-0000-0000-00002F310000}"/>
    <cellStyle name="40% - Accent1 4 3 3 2 2 5" xfId="20633" xr:uid="{00000000-0005-0000-0000-000030310000}"/>
    <cellStyle name="40% - Accent1 4 3 3 2 2 6" xfId="20634" xr:uid="{00000000-0005-0000-0000-000031310000}"/>
    <cellStyle name="40% - Accent1 4 3 3 2 3" xfId="20635" xr:uid="{00000000-0005-0000-0000-000032310000}"/>
    <cellStyle name="40% - Accent1 4 3 3 2 3 2" xfId="20636" xr:uid="{00000000-0005-0000-0000-000033310000}"/>
    <cellStyle name="40% - Accent1 4 3 3 2 3 2 2" xfId="20637" xr:uid="{00000000-0005-0000-0000-000034310000}"/>
    <cellStyle name="40% - Accent1 4 3 3 2 3 2 3" xfId="20638" xr:uid="{00000000-0005-0000-0000-000035310000}"/>
    <cellStyle name="40% - Accent1 4 3 3 2 3 3" xfId="20639" xr:uid="{00000000-0005-0000-0000-000036310000}"/>
    <cellStyle name="40% - Accent1 4 3 3 2 3 3 2" xfId="20640" xr:uid="{00000000-0005-0000-0000-000037310000}"/>
    <cellStyle name="40% - Accent1 4 3 3 2 3 3 3" xfId="20641" xr:uid="{00000000-0005-0000-0000-000038310000}"/>
    <cellStyle name="40% - Accent1 4 3 3 2 3 4" xfId="20642" xr:uid="{00000000-0005-0000-0000-000039310000}"/>
    <cellStyle name="40% - Accent1 4 3 3 2 3 4 2" xfId="20643" xr:uid="{00000000-0005-0000-0000-00003A310000}"/>
    <cellStyle name="40% - Accent1 4 3 3 2 3 5" xfId="20644" xr:uid="{00000000-0005-0000-0000-00003B310000}"/>
    <cellStyle name="40% - Accent1 4 3 3 2 3 6" xfId="20645" xr:uid="{00000000-0005-0000-0000-00003C310000}"/>
    <cellStyle name="40% - Accent1 4 3 3 2 4" xfId="20646" xr:uid="{00000000-0005-0000-0000-00003D310000}"/>
    <cellStyle name="40% - Accent1 4 3 3 2 4 2" xfId="20647" xr:uid="{00000000-0005-0000-0000-00003E310000}"/>
    <cellStyle name="40% - Accent1 4 3 3 2 4 2 2" xfId="20648" xr:uid="{00000000-0005-0000-0000-00003F310000}"/>
    <cellStyle name="40% - Accent1 4 3 3 2 4 2 3" xfId="20649" xr:uid="{00000000-0005-0000-0000-000040310000}"/>
    <cellStyle name="40% - Accent1 4 3 3 2 4 3" xfId="20650" xr:uid="{00000000-0005-0000-0000-000041310000}"/>
    <cellStyle name="40% - Accent1 4 3 3 2 4 3 2" xfId="20651" xr:uid="{00000000-0005-0000-0000-000042310000}"/>
    <cellStyle name="40% - Accent1 4 3 3 2 4 4" xfId="20652" xr:uid="{00000000-0005-0000-0000-000043310000}"/>
    <cellStyle name="40% - Accent1 4 3 3 2 4 5" xfId="20653" xr:uid="{00000000-0005-0000-0000-000044310000}"/>
    <cellStyle name="40% - Accent1 4 3 3 2 5" xfId="20654" xr:uid="{00000000-0005-0000-0000-000045310000}"/>
    <cellStyle name="40% - Accent1 4 3 3 2 5 2" xfId="20655" xr:uid="{00000000-0005-0000-0000-000046310000}"/>
    <cellStyle name="40% - Accent1 4 3 3 2 5 3" xfId="20656" xr:uid="{00000000-0005-0000-0000-000047310000}"/>
    <cellStyle name="40% - Accent1 4 3 3 2 6" xfId="20657" xr:uid="{00000000-0005-0000-0000-000048310000}"/>
    <cellStyle name="40% - Accent1 4 3 3 2 6 2" xfId="20658" xr:uid="{00000000-0005-0000-0000-000049310000}"/>
    <cellStyle name="40% - Accent1 4 3 3 2 6 3" xfId="20659" xr:uid="{00000000-0005-0000-0000-00004A310000}"/>
    <cellStyle name="40% - Accent1 4 3 3 2 7" xfId="20660" xr:uid="{00000000-0005-0000-0000-00004B310000}"/>
    <cellStyle name="40% - Accent1 4 3 3 2 7 2" xfId="20661" xr:uid="{00000000-0005-0000-0000-00004C310000}"/>
    <cellStyle name="40% - Accent1 4 3 3 2 8" xfId="20662" xr:uid="{00000000-0005-0000-0000-00004D310000}"/>
    <cellStyle name="40% - Accent1 4 3 3 2 9" xfId="20663" xr:uid="{00000000-0005-0000-0000-00004E310000}"/>
    <cellStyle name="40% - Accent1 4 3 3 3" xfId="20664" xr:uid="{00000000-0005-0000-0000-00004F310000}"/>
    <cellStyle name="40% - Accent1 4 3 3 3 2" xfId="20665" xr:uid="{00000000-0005-0000-0000-000050310000}"/>
    <cellStyle name="40% - Accent1 4 3 3 3 2 2" xfId="20666" xr:uid="{00000000-0005-0000-0000-000051310000}"/>
    <cellStyle name="40% - Accent1 4 3 3 3 2 3" xfId="20667" xr:uid="{00000000-0005-0000-0000-000052310000}"/>
    <cellStyle name="40% - Accent1 4 3 3 3 3" xfId="20668" xr:uid="{00000000-0005-0000-0000-000053310000}"/>
    <cellStyle name="40% - Accent1 4 3 3 3 3 2" xfId="20669" xr:uid="{00000000-0005-0000-0000-000054310000}"/>
    <cellStyle name="40% - Accent1 4 3 3 3 3 3" xfId="20670" xr:uid="{00000000-0005-0000-0000-000055310000}"/>
    <cellStyle name="40% - Accent1 4 3 3 3 4" xfId="20671" xr:uid="{00000000-0005-0000-0000-000056310000}"/>
    <cellStyle name="40% - Accent1 4 3 3 3 4 2" xfId="20672" xr:uid="{00000000-0005-0000-0000-000057310000}"/>
    <cellStyle name="40% - Accent1 4 3 3 3 5" xfId="20673" xr:uid="{00000000-0005-0000-0000-000058310000}"/>
    <cellStyle name="40% - Accent1 4 3 3 3 6" xfId="20674" xr:uid="{00000000-0005-0000-0000-000059310000}"/>
    <cellStyle name="40% - Accent1 4 3 3 4" xfId="20675" xr:uid="{00000000-0005-0000-0000-00005A310000}"/>
    <cellStyle name="40% - Accent1 4 3 3 4 2" xfId="20676" xr:uid="{00000000-0005-0000-0000-00005B310000}"/>
    <cellStyle name="40% - Accent1 4 3 3 4 2 2" xfId="20677" xr:uid="{00000000-0005-0000-0000-00005C310000}"/>
    <cellStyle name="40% - Accent1 4 3 3 4 2 3" xfId="20678" xr:uid="{00000000-0005-0000-0000-00005D310000}"/>
    <cellStyle name="40% - Accent1 4 3 3 4 3" xfId="20679" xr:uid="{00000000-0005-0000-0000-00005E310000}"/>
    <cellStyle name="40% - Accent1 4 3 3 4 3 2" xfId="20680" xr:uid="{00000000-0005-0000-0000-00005F310000}"/>
    <cellStyle name="40% - Accent1 4 3 3 4 3 3" xfId="20681" xr:uid="{00000000-0005-0000-0000-000060310000}"/>
    <cellStyle name="40% - Accent1 4 3 3 4 4" xfId="20682" xr:uid="{00000000-0005-0000-0000-000061310000}"/>
    <cellStyle name="40% - Accent1 4 3 3 4 4 2" xfId="20683" xr:uid="{00000000-0005-0000-0000-000062310000}"/>
    <cellStyle name="40% - Accent1 4 3 3 4 5" xfId="20684" xr:uid="{00000000-0005-0000-0000-000063310000}"/>
    <cellStyle name="40% - Accent1 4 3 3 4 6" xfId="20685" xr:uid="{00000000-0005-0000-0000-000064310000}"/>
    <cellStyle name="40% - Accent1 4 3 3 5" xfId="20686" xr:uid="{00000000-0005-0000-0000-000065310000}"/>
    <cellStyle name="40% - Accent1 4 3 3 5 2" xfId="20687" xr:uid="{00000000-0005-0000-0000-000066310000}"/>
    <cellStyle name="40% - Accent1 4 3 3 5 2 2" xfId="20688" xr:uid="{00000000-0005-0000-0000-000067310000}"/>
    <cellStyle name="40% - Accent1 4 3 3 5 2 3" xfId="20689" xr:uid="{00000000-0005-0000-0000-000068310000}"/>
    <cellStyle name="40% - Accent1 4 3 3 5 3" xfId="20690" xr:uid="{00000000-0005-0000-0000-000069310000}"/>
    <cellStyle name="40% - Accent1 4 3 3 5 3 2" xfId="20691" xr:uid="{00000000-0005-0000-0000-00006A310000}"/>
    <cellStyle name="40% - Accent1 4 3 3 5 4" xfId="20692" xr:uid="{00000000-0005-0000-0000-00006B310000}"/>
    <cellStyle name="40% - Accent1 4 3 3 5 5" xfId="20693" xr:uid="{00000000-0005-0000-0000-00006C310000}"/>
    <cellStyle name="40% - Accent1 4 3 3 6" xfId="20694" xr:uid="{00000000-0005-0000-0000-00006D310000}"/>
    <cellStyle name="40% - Accent1 4 3 3 6 2" xfId="20695" xr:uid="{00000000-0005-0000-0000-00006E310000}"/>
    <cellStyle name="40% - Accent1 4 3 3 6 3" xfId="20696" xr:uid="{00000000-0005-0000-0000-00006F310000}"/>
    <cellStyle name="40% - Accent1 4 3 3 7" xfId="20697" xr:uid="{00000000-0005-0000-0000-000070310000}"/>
    <cellStyle name="40% - Accent1 4 3 3 7 2" xfId="20698" xr:uid="{00000000-0005-0000-0000-000071310000}"/>
    <cellStyle name="40% - Accent1 4 3 3 7 3" xfId="20699" xr:uid="{00000000-0005-0000-0000-000072310000}"/>
    <cellStyle name="40% - Accent1 4 3 3 8" xfId="20700" xr:uid="{00000000-0005-0000-0000-000073310000}"/>
    <cellStyle name="40% - Accent1 4 3 3 8 2" xfId="20701" xr:uid="{00000000-0005-0000-0000-000074310000}"/>
    <cellStyle name="40% - Accent1 4 3 3 9" xfId="20702" xr:uid="{00000000-0005-0000-0000-000075310000}"/>
    <cellStyle name="40% - Accent1 4 3 4" xfId="1586" xr:uid="{00000000-0005-0000-0000-000076310000}"/>
    <cellStyle name="40% - Accent1 4 3 4 2" xfId="20703" xr:uid="{00000000-0005-0000-0000-000077310000}"/>
    <cellStyle name="40% - Accent1 4 3 4 2 2" xfId="20704" xr:uid="{00000000-0005-0000-0000-000078310000}"/>
    <cellStyle name="40% - Accent1 4 3 4 2 2 2" xfId="20705" xr:uid="{00000000-0005-0000-0000-000079310000}"/>
    <cellStyle name="40% - Accent1 4 3 4 2 2 3" xfId="20706" xr:uid="{00000000-0005-0000-0000-00007A310000}"/>
    <cellStyle name="40% - Accent1 4 3 4 2 3" xfId="20707" xr:uid="{00000000-0005-0000-0000-00007B310000}"/>
    <cellStyle name="40% - Accent1 4 3 4 2 3 2" xfId="20708" xr:uid="{00000000-0005-0000-0000-00007C310000}"/>
    <cellStyle name="40% - Accent1 4 3 4 2 3 3" xfId="20709" xr:uid="{00000000-0005-0000-0000-00007D310000}"/>
    <cellStyle name="40% - Accent1 4 3 4 2 4" xfId="20710" xr:uid="{00000000-0005-0000-0000-00007E310000}"/>
    <cellStyle name="40% - Accent1 4 3 4 2 4 2" xfId="20711" xr:uid="{00000000-0005-0000-0000-00007F310000}"/>
    <cellStyle name="40% - Accent1 4 3 4 2 5" xfId="20712" xr:uid="{00000000-0005-0000-0000-000080310000}"/>
    <cellStyle name="40% - Accent1 4 3 4 2 6" xfId="20713" xr:uid="{00000000-0005-0000-0000-000081310000}"/>
    <cellStyle name="40% - Accent1 4 3 4 3" xfId="20714" xr:uid="{00000000-0005-0000-0000-000082310000}"/>
    <cellStyle name="40% - Accent1 4 3 4 3 2" xfId="20715" xr:uid="{00000000-0005-0000-0000-000083310000}"/>
    <cellStyle name="40% - Accent1 4 3 4 3 2 2" xfId="20716" xr:uid="{00000000-0005-0000-0000-000084310000}"/>
    <cellStyle name="40% - Accent1 4 3 4 3 2 3" xfId="20717" xr:uid="{00000000-0005-0000-0000-000085310000}"/>
    <cellStyle name="40% - Accent1 4 3 4 3 3" xfId="20718" xr:uid="{00000000-0005-0000-0000-000086310000}"/>
    <cellStyle name="40% - Accent1 4 3 4 3 3 2" xfId="20719" xr:uid="{00000000-0005-0000-0000-000087310000}"/>
    <cellStyle name="40% - Accent1 4 3 4 3 3 3" xfId="20720" xr:uid="{00000000-0005-0000-0000-000088310000}"/>
    <cellStyle name="40% - Accent1 4 3 4 3 4" xfId="20721" xr:uid="{00000000-0005-0000-0000-000089310000}"/>
    <cellStyle name="40% - Accent1 4 3 4 3 4 2" xfId="20722" xr:uid="{00000000-0005-0000-0000-00008A310000}"/>
    <cellStyle name="40% - Accent1 4 3 4 3 5" xfId="20723" xr:uid="{00000000-0005-0000-0000-00008B310000}"/>
    <cellStyle name="40% - Accent1 4 3 4 3 6" xfId="20724" xr:uid="{00000000-0005-0000-0000-00008C310000}"/>
    <cellStyle name="40% - Accent1 4 3 4 4" xfId="20725" xr:uid="{00000000-0005-0000-0000-00008D310000}"/>
    <cellStyle name="40% - Accent1 4 3 4 4 2" xfId="20726" xr:uid="{00000000-0005-0000-0000-00008E310000}"/>
    <cellStyle name="40% - Accent1 4 3 4 4 2 2" xfId="20727" xr:uid="{00000000-0005-0000-0000-00008F310000}"/>
    <cellStyle name="40% - Accent1 4 3 4 4 2 3" xfId="20728" xr:uid="{00000000-0005-0000-0000-000090310000}"/>
    <cellStyle name="40% - Accent1 4 3 4 4 3" xfId="20729" xr:uid="{00000000-0005-0000-0000-000091310000}"/>
    <cellStyle name="40% - Accent1 4 3 4 4 3 2" xfId="20730" xr:uid="{00000000-0005-0000-0000-000092310000}"/>
    <cellStyle name="40% - Accent1 4 3 4 4 4" xfId="20731" xr:uid="{00000000-0005-0000-0000-000093310000}"/>
    <cellStyle name="40% - Accent1 4 3 4 4 5" xfId="20732" xr:uid="{00000000-0005-0000-0000-000094310000}"/>
    <cellStyle name="40% - Accent1 4 3 4 5" xfId="20733" xr:uid="{00000000-0005-0000-0000-000095310000}"/>
    <cellStyle name="40% - Accent1 4 3 4 5 2" xfId="20734" xr:uid="{00000000-0005-0000-0000-000096310000}"/>
    <cellStyle name="40% - Accent1 4 3 4 5 3" xfId="20735" xr:uid="{00000000-0005-0000-0000-000097310000}"/>
    <cellStyle name="40% - Accent1 4 3 4 6" xfId="20736" xr:uid="{00000000-0005-0000-0000-000098310000}"/>
    <cellStyle name="40% - Accent1 4 3 4 6 2" xfId="20737" xr:uid="{00000000-0005-0000-0000-000099310000}"/>
    <cellStyle name="40% - Accent1 4 3 4 6 3" xfId="20738" xr:uid="{00000000-0005-0000-0000-00009A310000}"/>
    <cellStyle name="40% - Accent1 4 3 4 7" xfId="20739" xr:uid="{00000000-0005-0000-0000-00009B310000}"/>
    <cellStyle name="40% - Accent1 4 3 4 7 2" xfId="20740" xr:uid="{00000000-0005-0000-0000-00009C310000}"/>
    <cellStyle name="40% - Accent1 4 3 4 8" xfId="20741" xr:uid="{00000000-0005-0000-0000-00009D310000}"/>
    <cellStyle name="40% - Accent1 4 3 4 9" xfId="20742" xr:uid="{00000000-0005-0000-0000-00009E310000}"/>
    <cellStyle name="40% - Accent1 4 3 5" xfId="20743" xr:uid="{00000000-0005-0000-0000-00009F310000}"/>
    <cellStyle name="40% - Accent1 4 3 5 2" xfId="20744" xr:uid="{00000000-0005-0000-0000-0000A0310000}"/>
    <cellStyle name="40% - Accent1 4 3 5 2 2" xfId="20745" xr:uid="{00000000-0005-0000-0000-0000A1310000}"/>
    <cellStyle name="40% - Accent1 4 3 5 2 2 2" xfId="20746" xr:uid="{00000000-0005-0000-0000-0000A2310000}"/>
    <cellStyle name="40% - Accent1 4 3 5 2 2 3" xfId="20747" xr:uid="{00000000-0005-0000-0000-0000A3310000}"/>
    <cellStyle name="40% - Accent1 4 3 5 2 3" xfId="20748" xr:uid="{00000000-0005-0000-0000-0000A4310000}"/>
    <cellStyle name="40% - Accent1 4 3 5 2 3 2" xfId="20749" xr:uid="{00000000-0005-0000-0000-0000A5310000}"/>
    <cellStyle name="40% - Accent1 4 3 5 2 3 3" xfId="20750" xr:uid="{00000000-0005-0000-0000-0000A6310000}"/>
    <cellStyle name="40% - Accent1 4 3 5 2 4" xfId="20751" xr:uid="{00000000-0005-0000-0000-0000A7310000}"/>
    <cellStyle name="40% - Accent1 4 3 5 2 4 2" xfId="20752" xr:uid="{00000000-0005-0000-0000-0000A8310000}"/>
    <cellStyle name="40% - Accent1 4 3 5 2 5" xfId="20753" xr:uid="{00000000-0005-0000-0000-0000A9310000}"/>
    <cellStyle name="40% - Accent1 4 3 5 2 6" xfId="20754" xr:uid="{00000000-0005-0000-0000-0000AA310000}"/>
    <cellStyle name="40% - Accent1 4 3 5 3" xfId="20755" xr:uid="{00000000-0005-0000-0000-0000AB310000}"/>
    <cellStyle name="40% - Accent1 4 3 5 3 2" xfId="20756" xr:uid="{00000000-0005-0000-0000-0000AC310000}"/>
    <cellStyle name="40% - Accent1 4 3 5 3 2 2" xfId="20757" xr:uid="{00000000-0005-0000-0000-0000AD310000}"/>
    <cellStyle name="40% - Accent1 4 3 5 3 2 3" xfId="20758" xr:uid="{00000000-0005-0000-0000-0000AE310000}"/>
    <cellStyle name="40% - Accent1 4 3 5 3 3" xfId="20759" xr:uid="{00000000-0005-0000-0000-0000AF310000}"/>
    <cellStyle name="40% - Accent1 4 3 5 3 3 2" xfId="20760" xr:uid="{00000000-0005-0000-0000-0000B0310000}"/>
    <cellStyle name="40% - Accent1 4 3 5 3 3 3" xfId="20761" xr:uid="{00000000-0005-0000-0000-0000B1310000}"/>
    <cellStyle name="40% - Accent1 4 3 5 3 4" xfId="20762" xr:uid="{00000000-0005-0000-0000-0000B2310000}"/>
    <cellStyle name="40% - Accent1 4 3 5 3 4 2" xfId="20763" xr:uid="{00000000-0005-0000-0000-0000B3310000}"/>
    <cellStyle name="40% - Accent1 4 3 5 3 5" xfId="20764" xr:uid="{00000000-0005-0000-0000-0000B4310000}"/>
    <cellStyle name="40% - Accent1 4 3 5 3 6" xfId="20765" xr:uid="{00000000-0005-0000-0000-0000B5310000}"/>
    <cellStyle name="40% - Accent1 4 3 5 4" xfId="20766" xr:uid="{00000000-0005-0000-0000-0000B6310000}"/>
    <cellStyle name="40% - Accent1 4 3 5 4 2" xfId="20767" xr:uid="{00000000-0005-0000-0000-0000B7310000}"/>
    <cellStyle name="40% - Accent1 4 3 5 4 2 2" xfId="20768" xr:uid="{00000000-0005-0000-0000-0000B8310000}"/>
    <cellStyle name="40% - Accent1 4 3 5 4 2 3" xfId="20769" xr:uid="{00000000-0005-0000-0000-0000B9310000}"/>
    <cellStyle name="40% - Accent1 4 3 5 4 3" xfId="20770" xr:uid="{00000000-0005-0000-0000-0000BA310000}"/>
    <cellStyle name="40% - Accent1 4 3 5 4 3 2" xfId="20771" xr:uid="{00000000-0005-0000-0000-0000BB310000}"/>
    <cellStyle name="40% - Accent1 4 3 5 4 4" xfId="20772" xr:uid="{00000000-0005-0000-0000-0000BC310000}"/>
    <cellStyle name="40% - Accent1 4 3 5 4 5" xfId="20773" xr:uid="{00000000-0005-0000-0000-0000BD310000}"/>
    <cellStyle name="40% - Accent1 4 3 5 5" xfId="20774" xr:uid="{00000000-0005-0000-0000-0000BE310000}"/>
    <cellStyle name="40% - Accent1 4 3 5 5 2" xfId="20775" xr:uid="{00000000-0005-0000-0000-0000BF310000}"/>
    <cellStyle name="40% - Accent1 4 3 5 5 3" xfId="20776" xr:uid="{00000000-0005-0000-0000-0000C0310000}"/>
    <cellStyle name="40% - Accent1 4 3 5 6" xfId="20777" xr:uid="{00000000-0005-0000-0000-0000C1310000}"/>
    <cellStyle name="40% - Accent1 4 3 5 6 2" xfId="20778" xr:uid="{00000000-0005-0000-0000-0000C2310000}"/>
    <cellStyle name="40% - Accent1 4 3 5 6 3" xfId="20779" xr:uid="{00000000-0005-0000-0000-0000C3310000}"/>
    <cellStyle name="40% - Accent1 4 3 5 7" xfId="20780" xr:uid="{00000000-0005-0000-0000-0000C4310000}"/>
    <cellStyle name="40% - Accent1 4 3 5 7 2" xfId="20781" xr:uid="{00000000-0005-0000-0000-0000C5310000}"/>
    <cellStyle name="40% - Accent1 4 3 5 8" xfId="20782" xr:uid="{00000000-0005-0000-0000-0000C6310000}"/>
    <cellStyle name="40% - Accent1 4 3 5 9" xfId="20783" xr:uid="{00000000-0005-0000-0000-0000C7310000}"/>
    <cellStyle name="40% - Accent1 4 3 6" xfId="20784" xr:uid="{00000000-0005-0000-0000-0000C8310000}"/>
    <cellStyle name="40% - Accent1 4 3 6 2" xfId="20785" xr:uid="{00000000-0005-0000-0000-0000C9310000}"/>
    <cellStyle name="40% - Accent1 4 3 6 2 2" xfId="20786" xr:uid="{00000000-0005-0000-0000-0000CA310000}"/>
    <cellStyle name="40% - Accent1 4 3 6 2 3" xfId="20787" xr:uid="{00000000-0005-0000-0000-0000CB310000}"/>
    <cellStyle name="40% - Accent1 4 3 6 3" xfId="20788" xr:uid="{00000000-0005-0000-0000-0000CC310000}"/>
    <cellStyle name="40% - Accent1 4 3 6 3 2" xfId="20789" xr:uid="{00000000-0005-0000-0000-0000CD310000}"/>
    <cellStyle name="40% - Accent1 4 3 6 3 3" xfId="20790" xr:uid="{00000000-0005-0000-0000-0000CE310000}"/>
    <cellStyle name="40% - Accent1 4 3 6 4" xfId="20791" xr:uid="{00000000-0005-0000-0000-0000CF310000}"/>
    <cellStyle name="40% - Accent1 4 3 6 4 2" xfId="20792" xr:uid="{00000000-0005-0000-0000-0000D0310000}"/>
    <cellStyle name="40% - Accent1 4 3 6 5" xfId="20793" xr:uid="{00000000-0005-0000-0000-0000D1310000}"/>
    <cellStyle name="40% - Accent1 4 3 6 6" xfId="20794" xr:uid="{00000000-0005-0000-0000-0000D2310000}"/>
    <cellStyle name="40% - Accent1 4 3 7" xfId="20795" xr:uid="{00000000-0005-0000-0000-0000D3310000}"/>
    <cellStyle name="40% - Accent1 4 3 7 2" xfId="20796" xr:uid="{00000000-0005-0000-0000-0000D4310000}"/>
    <cellStyle name="40% - Accent1 4 3 7 2 2" xfId="20797" xr:uid="{00000000-0005-0000-0000-0000D5310000}"/>
    <cellStyle name="40% - Accent1 4 3 7 2 3" xfId="20798" xr:uid="{00000000-0005-0000-0000-0000D6310000}"/>
    <cellStyle name="40% - Accent1 4 3 7 3" xfId="20799" xr:uid="{00000000-0005-0000-0000-0000D7310000}"/>
    <cellStyle name="40% - Accent1 4 3 7 3 2" xfId="20800" xr:uid="{00000000-0005-0000-0000-0000D8310000}"/>
    <cellStyle name="40% - Accent1 4 3 7 3 3" xfId="20801" xr:uid="{00000000-0005-0000-0000-0000D9310000}"/>
    <cellStyle name="40% - Accent1 4 3 7 4" xfId="20802" xr:uid="{00000000-0005-0000-0000-0000DA310000}"/>
    <cellStyle name="40% - Accent1 4 3 7 4 2" xfId="20803" xr:uid="{00000000-0005-0000-0000-0000DB310000}"/>
    <cellStyle name="40% - Accent1 4 3 7 5" xfId="20804" xr:uid="{00000000-0005-0000-0000-0000DC310000}"/>
    <cellStyle name="40% - Accent1 4 3 7 6" xfId="20805" xr:uid="{00000000-0005-0000-0000-0000DD310000}"/>
    <cellStyle name="40% - Accent1 4 3 8" xfId="20806" xr:uid="{00000000-0005-0000-0000-0000DE310000}"/>
    <cellStyle name="40% - Accent1 4 3 8 2" xfId="20807" xr:uid="{00000000-0005-0000-0000-0000DF310000}"/>
    <cellStyle name="40% - Accent1 4 3 8 2 2" xfId="20808" xr:uid="{00000000-0005-0000-0000-0000E0310000}"/>
    <cellStyle name="40% - Accent1 4 3 8 2 3" xfId="20809" xr:uid="{00000000-0005-0000-0000-0000E1310000}"/>
    <cellStyle name="40% - Accent1 4 3 8 3" xfId="20810" xr:uid="{00000000-0005-0000-0000-0000E2310000}"/>
    <cellStyle name="40% - Accent1 4 3 8 3 2" xfId="20811" xr:uid="{00000000-0005-0000-0000-0000E3310000}"/>
    <cellStyle name="40% - Accent1 4 3 8 4" xfId="20812" xr:uid="{00000000-0005-0000-0000-0000E4310000}"/>
    <cellStyle name="40% - Accent1 4 3 8 5" xfId="20813" xr:uid="{00000000-0005-0000-0000-0000E5310000}"/>
    <cellStyle name="40% - Accent1 4 3 9" xfId="20814" xr:uid="{00000000-0005-0000-0000-0000E6310000}"/>
    <cellStyle name="40% - Accent1 4 3 9 2" xfId="20815" xr:uid="{00000000-0005-0000-0000-0000E7310000}"/>
    <cellStyle name="40% - Accent1 4 3 9 3" xfId="20816" xr:uid="{00000000-0005-0000-0000-0000E8310000}"/>
    <cellStyle name="40% - Accent1 4 4" xfId="1587" xr:uid="{00000000-0005-0000-0000-0000E9310000}"/>
    <cellStyle name="40% - Accent1 4 4 10" xfId="20817" xr:uid="{00000000-0005-0000-0000-0000EA310000}"/>
    <cellStyle name="40% - Accent1 4 4 10 2" xfId="20818" xr:uid="{00000000-0005-0000-0000-0000EB310000}"/>
    <cellStyle name="40% - Accent1 4 4 11" xfId="20819" xr:uid="{00000000-0005-0000-0000-0000EC310000}"/>
    <cellStyle name="40% - Accent1 4 4 12" xfId="20820" xr:uid="{00000000-0005-0000-0000-0000ED310000}"/>
    <cellStyle name="40% - Accent1 4 4 2" xfId="1588" xr:uid="{00000000-0005-0000-0000-0000EE310000}"/>
    <cellStyle name="40% - Accent1 4 4 2 10" xfId="20821" xr:uid="{00000000-0005-0000-0000-0000EF310000}"/>
    <cellStyle name="40% - Accent1 4 4 2 2" xfId="1589" xr:uid="{00000000-0005-0000-0000-0000F0310000}"/>
    <cellStyle name="40% - Accent1 4 4 2 2 2" xfId="20822" xr:uid="{00000000-0005-0000-0000-0000F1310000}"/>
    <cellStyle name="40% - Accent1 4 4 2 2 2 2" xfId="20823" xr:uid="{00000000-0005-0000-0000-0000F2310000}"/>
    <cellStyle name="40% - Accent1 4 4 2 2 2 2 2" xfId="20824" xr:uid="{00000000-0005-0000-0000-0000F3310000}"/>
    <cellStyle name="40% - Accent1 4 4 2 2 2 2 3" xfId="20825" xr:uid="{00000000-0005-0000-0000-0000F4310000}"/>
    <cellStyle name="40% - Accent1 4 4 2 2 2 3" xfId="20826" xr:uid="{00000000-0005-0000-0000-0000F5310000}"/>
    <cellStyle name="40% - Accent1 4 4 2 2 2 3 2" xfId="20827" xr:uid="{00000000-0005-0000-0000-0000F6310000}"/>
    <cellStyle name="40% - Accent1 4 4 2 2 2 3 3" xfId="20828" xr:uid="{00000000-0005-0000-0000-0000F7310000}"/>
    <cellStyle name="40% - Accent1 4 4 2 2 2 4" xfId="20829" xr:uid="{00000000-0005-0000-0000-0000F8310000}"/>
    <cellStyle name="40% - Accent1 4 4 2 2 2 4 2" xfId="20830" xr:uid="{00000000-0005-0000-0000-0000F9310000}"/>
    <cellStyle name="40% - Accent1 4 4 2 2 2 5" xfId="20831" xr:uid="{00000000-0005-0000-0000-0000FA310000}"/>
    <cellStyle name="40% - Accent1 4 4 2 2 2 6" xfId="20832" xr:uid="{00000000-0005-0000-0000-0000FB310000}"/>
    <cellStyle name="40% - Accent1 4 4 2 2 3" xfId="20833" xr:uid="{00000000-0005-0000-0000-0000FC310000}"/>
    <cellStyle name="40% - Accent1 4 4 2 2 3 2" xfId="20834" xr:uid="{00000000-0005-0000-0000-0000FD310000}"/>
    <cellStyle name="40% - Accent1 4 4 2 2 3 2 2" xfId="20835" xr:uid="{00000000-0005-0000-0000-0000FE310000}"/>
    <cellStyle name="40% - Accent1 4 4 2 2 3 2 3" xfId="20836" xr:uid="{00000000-0005-0000-0000-0000FF310000}"/>
    <cellStyle name="40% - Accent1 4 4 2 2 3 3" xfId="20837" xr:uid="{00000000-0005-0000-0000-000000320000}"/>
    <cellStyle name="40% - Accent1 4 4 2 2 3 3 2" xfId="20838" xr:uid="{00000000-0005-0000-0000-000001320000}"/>
    <cellStyle name="40% - Accent1 4 4 2 2 3 3 3" xfId="20839" xr:uid="{00000000-0005-0000-0000-000002320000}"/>
    <cellStyle name="40% - Accent1 4 4 2 2 3 4" xfId="20840" xr:uid="{00000000-0005-0000-0000-000003320000}"/>
    <cellStyle name="40% - Accent1 4 4 2 2 3 4 2" xfId="20841" xr:uid="{00000000-0005-0000-0000-000004320000}"/>
    <cellStyle name="40% - Accent1 4 4 2 2 3 5" xfId="20842" xr:uid="{00000000-0005-0000-0000-000005320000}"/>
    <cellStyle name="40% - Accent1 4 4 2 2 3 6" xfId="20843" xr:uid="{00000000-0005-0000-0000-000006320000}"/>
    <cellStyle name="40% - Accent1 4 4 2 2 4" xfId="20844" xr:uid="{00000000-0005-0000-0000-000007320000}"/>
    <cellStyle name="40% - Accent1 4 4 2 2 4 2" xfId="20845" xr:uid="{00000000-0005-0000-0000-000008320000}"/>
    <cellStyle name="40% - Accent1 4 4 2 2 4 2 2" xfId="20846" xr:uid="{00000000-0005-0000-0000-000009320000}"/>
    <cellStyle name="40% - Accent1 4 4 2 2 4 2 3" xfId="20847" xr:uid="{00000000-0005-0000-0000-00000A320000}"/>
    <cellStyle name="40% - Accent1 4 4 2 2 4 3" xfId="20848" xr:uid="{00000000-0005-0000-0000-00000B320000}"/>
    <cellStyle name="40% - Accent1 4 4 2 2 4 3 2" xfId="20849" xr:uid="{00000000-0005-0000-0000-00000C320000}"/>
    <cellStyle name="40% - Accent1 4 4 2 2 4 4" xfId="20850" xr:uid="{00000000-0005-0000-0000-00000D320000}"/>
    <cellStyle name="40% - Accent1 4 4 2 2 4 5" xfId="20851" xr:uid="{00000000-0005-0000-0000-00000E320000}"/>
    <cellStyle name="40% - Accent1 4 4 2 2 5" xfId="20852" xr:uid="{00000000-0005-0000-0000-00000F320000}"/>
    <cellStyle name="40% - Accent1 4 4 2 2 5 2" xfId="20853" xr:uid="{00000000-0005-0000-0000-000010320000}"/>
    <cellStyle name="40% - Accent1 4 4 2 2 5 3" xfId="20854" xr:uid="{00000000-0005-0000-0000-000011320000}"/>
    <cellStyle name="40% - Accent1 4 4 2 2 6" xfId="20855" xr:uid="{00000000-0005-0000-0000-000012320000}"/>
    <cellStyle name="40% - Accent1 4 4 2 2 6 2" xfId="20856" xr:uid="{00000000-0005-0000-0000-000013320000}"/>
    <cellStyle name="40% - Accent1 4 4 2 2 6 3" xfId="20857" xr:uid="{00000000-0005-0000-0000-000014320000}"/>
    <cellStyle name="40% - Accent1 4 4 2 2 7" xfId="20858" xr:uid="{00000000-0005-0000-0000-000015320000}"/>
    <cellStyle name="40% - Accent1 4 4 2 2 7 2" xfId="20859" xr:uid="{00000000-0005-0000-0000-000016320000}"/>
    <cellStyle name="40% - Accent1 4 4 2 2 8" xfId="20860" xr:uid="{00000000-0005-0000-0000-000017320000}"/>
    <cellStyle name="40% - Accent1 4 4 2 2 9" xfId="20861" xr:uid="{00000000-0005-0000-0000-000018320000}"/>
    <cellStyle name="40% - Accent1 4 4 2 3" xfId="20862" xr:uid="{00000000-0005-0000-0000-000019320000}"/>
    <cellStyle name="40% - Accent1 4 4 2 3 2" xfId="20863" xr:uid="{00000000-0005-0000-0000-00001A320000}"/>
    <cellStyle name="40% - Accent1 4 4 2 3 2 2" xfId="20864" xr:uid="{00000000-0005-0000-0000-00001B320000}"/>
    <cellStyle name="40% - Accent1 4 4 2 3 2 3" xfId="20865" xr:uid="{00000000-0005-0000-0000-00001C320000}"/>
    <cellStyle name="40% - Accent1 4 4 2 3 3" xfId="20866" xr:uid="{00000000-0005-0000-0000-00001D320000}"/>
    <cellStyle name="40% - Accent1 4 4 2 3 3 2" xfId="20867" xr:uid="{00000000-0005-0000-0000-00001E320000}"/>
    <cellStyle name="40% - Accent1 4 4 2 3 3 3" xfId="20868" xr:uid="{00000000-0005-0000-0000-00001F320000}"/>
    <cellStyle name="40% - Accent1 4 4 2 3 4" xfId="20869" xr:uid="{00000000-0005-0000-0000-000020320000}"/>
    <cellStyle name="40% - Accent1 4 4 2 3 4 2" xfId="20870" xr:uid="{00000000-0005-0000-0000-000021320000}"/>
    <cellStyle name="40% - Accent1 4 4 2 3 5" xfId="20871" xr:uid="{00000000-0005-0000-0000-000022320000}"/>
    <cellStyle name="40% - Accent1 4 4 2 3 6" xfId="20872" xr:uid="{00000000-0005-0000-0000-000023320000}"/>
    <cellStyle name="40% - Accent1 4 4 2 4" xfId="20873" xr:uid="{00000000-0005-0000-0000-000024320000}"/>
    <cellStyle name="40% - Accent1 4 4 2 4 2" xfId="20874" xr:uid="{00000000-0005-0000-0000-000025320000}"/>
    <cellStyle name="40% - Accent1 4 4 2 4 2 2" xfId="20875" xr:uid="{00000000-0005-0000-0000-000026320000}"/>
    <cellStyle name="40% - Accent1 4 4 2 4 2 3" xfId="20876" xr:uid="{00000000-0005-0000-0000-000027320000}"/>
    <cellStyle name="40% - Accent1 4 4 2 4 3" xfId="20877" xr:uid="{00000000-0005-0000-0000-000028320000}"/>
    <cellStyle name="40% - Accent1 4 4 2 4 3 2" xfId="20878" xr:uid="{00000000-0005-0000-0000-000029320000}"/>
    <cellStyle name="40% - Accent1 4 4 2 4 3 3" xfId="20879" xr:uid="{00000000-0005-0000-0000-00002A320000}"/>
    <cellStyle name="40% - Accent1 4 4 2 4 4" xfId="20880" xr:uid="{00000000-0005-0000-0000-00002B320000}"/>
    <cellStyle name="40% - Accent1 4 4 2 4 4 2" xfId="20881" xr:uid="{00000000-0005-0000-0000-00002C320000}"/>
    <cellStyle name="40% - Accent1 4 4 2 4 5" xfId="20882" xr:uid="{00000000-0005-0000-0000-00002D320000}"/>
    <cellStyle name="40% - Accent1 4 4 2 4 6" xfId="20883" xr:uid="{00000000-0005-0000-0000-00002E320000}"/>
    <cellStyle name="40% - Accent1 4 4 2 5" xfId="20884" xr:uid="{00000000-0005-0000-0000-00002F320000}"/>
    <cellStyle name="40% - Accent1 4 4 2 5 2" xfId="20885" xr:uid="{00000000-0005-0000-0000-000030320000}"/>
    <cellStyle name="40% - Accent1 4 4 2 5 2 2" xfId="20886" xr:uid="{00000000-0005-0000-0000-000031320000}"/>
    <cellStyle name="40% - Accent1 4 4 2 5 2 3" xfId="20887" xr:uid="{00000000-0005-0000-0000-000032320000}"/>
    <cellStyle name="40% - Accent1 4 4 2 5 3" xfId="20888" xr:uid="{00000000-0005-0000-0000-000033320000}"/>
    <cellStyle name="40% - Accent1 4 4 2 5 3 2" xfId="20889" xr:uid="{00000000-0005-0000-0000-000034320000}"/>
    <cellStyle name="40% - Accent1 4 4 2 5 4" xfId="20890" xr:uid="{00000000-0005-0000-0000-000035320000}"/>
    <cellStyle name="40% - Accent1 4 4 2 5 5" xfId="20891" xr:uid="{00000000-0005-0000-0000-000036320000}"/>
    <cellStyle name="40% - Accent1 4 4 2 6" xfId="20892" xr:uid="{00000000-0005-0000-0000-000037320000}"/>
    <cellStyle name="40% - Accent1 4 4 2 6 2" xfId="20893" xr:uid="{00000000-0005-0000-0000-000038320000}"/>
    <cellStyle name="40% - Accent1 4 4 2 6 3" xfId="20894" xr:uid="{00000000-0005-0000-0000-000039320000}"/>
    <cellStyle name="40% - Accent1 4 4 2 7" xfId="20895" xr:uid="{00000000-0005-0000-0000-00003A320000}"/>
    <cellStyle name="40% - Accent1 4 4 2 7 2" xfId="20896" xr:uid="{00000000-0005-0000-0000-00003B320000}"/>
    <cellStyle name="40% - Accent1 4 4 2 7 3" xfId="20897" xr:uid="{00000000-0005-0000-0000-00003C320000}"/>
    <cellStyle name="40% - Accent1 4 4 2 8" xfId="20898" xr:uid="{00000000-0005-0000-0000-00003D320000}"/>
    <cellStyle name="40% - Accent1 4 4 2 8 2" xfId="20899" xr:uid="{00000000-0005-0000-0000-00003E320000}"/>
    <cellStyle name="40% - Accent1 4 4 2 9" xfId="20900" xr:uid="{00000000-0005-0000-0000-00003F320000}"/>
    <cellStyle name="40% - Accent1 4 4 3" xfId="1590" xr:uid="{00000000-0005-0000-0000-000040320000}"/>
    <cellStyle name="40% - Accent1 4 4 3 2" xfId="20901" xr:uid="{00000000-0005-0000-0000-000041320000}"/>
    <cellStyle name="40% - Accent1 4 4 3 2 2" xfId="20902" xr:uid="{00000000-0005-0000-0000-000042320000}"/>
    <cellStyle name="40% - Accent1 4 4 3 2 2 2" xfId="20903" xr:uid="{00000000-0005-0000-0000-000043320000}"/>
    <cellStyle name="40% - Accent1 4 4 3 2 2 3" xfId="20904" xr:uid="{00000000-0005-0000-0000-000044320000}"/>
    <cellStyle name="40% - Accent1 4 4 3 2 3" xfId="20905" xr:uid="{00000000-0005-0000-0000-000045320000}"/>
    <cellStyle name="40% - Accent1 4 4 3 2 3 2" xfId="20906" xr:uid="{00000000-0005-0000-0000-000046320000}"/>
    <cellStyle name="40% - Accent1 4 4 3 2 3 3" xfId="20907" xr:uid="{00000000-0005-0000-0000-000047320000}"/>
    <cellStyle name="40% - Accent1 4 4 3 2 4" xfId="20908" xr:uid="{00000000-0005-0000-0000-000048320000}"/>
    <cellStyle name="40% - Accent1 4 4 3 2 4 2" xfId="20909" xr:uid="{00000000-0005-0000-0000-000049320000}"/>
    <cellStyle name="40% - Accent1 4 4 3 2 5" xfId="20910" xr:uid="{00000000-0005-0000-0000-00004A320000}"/>
    <cellStyle name="40% - Accent1 4 4 3 2 6" xfId="20911" xr:uid="{00000000-0005-0000-0000-00004B320000}"/>
    <cellStyle name="40% - Accent1 4 4 3 3" xfId="20912" xr:uid="{00000000-0005-0000-0000-00004C320000}"/>
    <cellStyle name="40% - Accent1 4 4 3 3 2" xfId="20913" xr:uid="{00000000-0005-0000-0000-00004D320000}"/>
    <cellStyle name="40% - Accent1 4 4 3 3 2 2" xfId="20914" xr:uid="{00000000-0005-0000-0000-00004E320000}"/>
    <cellStyle name="40% - Accent1 4 4 3 3 2 3" xfId="20915" xr:uid="{00000000-0005-0000-0000-00004F320000}"/>
    <cellStyle name="40% - Accent1 4 4 3 3 3" xfId="20916" xr:uid="{00000000-0005-0000-0000-000050320000}"/>
    <cellStyle name="40% - Accent1 4 4 3 3 3 2" xfId="20917" xr:uid="{00000000-0005-0000-0000-000051320000}"/>
    <cellStyle name="40% - Accent1 4 4 3 3 3 3" xfId="20918" xr:uid="{00000000-0005-0000-0000-000052320000}"/>
    <cellStyle name="40% - Accent1 4 4 3 3 4" xfId="20919" xr:uid="{00000000-0005-0000-0000-000053320000}"/>
    <cellStyle name="40% - Accent1 4 4 3 3 4 2" xfId="20920" xr:uid="{00000000-0005-0000-0000-000054320000}"/>
    <cellStyle name="40% - Accent1 4 4 3 3 5" xfId="20921" xr:uid="{00000000-0005-0000-0000-000055320000}"/>
    <cellStyle name="40% - Accent1 4 4 3 3 6" xfId="20922" xr:uid="{00000000-0005-0000-0000-000056320000}"/>
    <cellStyle name="40% - Accent1 4 4 3 4" xfId="20923" xr:uid="{00000000-0005-0000-0000-000057320000}"/>
    <cellStyle name="40% - Accent1 4 4 3 4 2" xfId="20924" xr:uid="{00000000-0005-0000-0000-000058320000}"/>
    <cellStyle name="40% - Accent1 4 4 3 4 2 2" xfId="20925" xr:uid="{00000000-0005-0000-0000-000059320000}"/>
    <cellStyle name="40% - Accent1 4 4 3 4 2 3" xfId="20926" xr:uid="{00000000-0005-0000-0000-00005A320000}"/>
    <cellStyle name="40% - Accent1 4 4 3 4 3" xfId="20927" xr:uid="{00000000-0005-0000-0000-00005B320000}"/>
    <cellStyle name="40% - Accent1 4 4 3 4 3 2" xfId="20928" xr:uid="{00000000-0005-0000-0000-00005C320000}"/>
    <cellStyle name="40% - Accent1 4 4 3 4 4" xfId="20929" xr:uid="{00000000-0005-0000-0000-00005D320000}"/>
    <cellStyle name="40% - Accent1 4 4 3 4 5" xfId="20930" xr:uid="{00000000-0005-0000-0000-00005E320000}"/>
    <cellStyle name="40% - Accent1 4 4 3 5" xfId="20931" xr:uid="{00000000-0005-0000-0000-00005F320000}"/>
    <cellStyle name="40% - Accent1 4 4 3 5 2" xfId="20932" xr:uid="{00000000-0005-0000-0000-000060320000}"/>
    <cellStyle name="40% - Accent1 4 4 3 5 3" xfId="20933" xr:uid="{00000000-0005-0000-0000-000061320000}"/>
    <cellStyle name="40% - Accent1 4 4 3 6" xfId="20934" xr:uid="{00000000-0005-0000-0000-000062320000}"/>
    <cellStyle name="40% - Accent1 4 4 3 6 2" xfId="20935" xr:uid="{00000000-0005-0000-0000-000063320000}"/>
    <cellStyle name="40% - Accent1 4 4 3 6 3" xfId="20936" xr:uid="{00000000-0005-0000-0000-000064320000}"/>
    <cellStyle name="40% - Accent1 4 4 3 7" xfId="20937" xr:uid="{00000000-0005-0000-0000-000065320000}"/>
    <cellStyle name="40% - Accent1 4 4 3 7 2" xfId="20938" xr:uid="{00000000-0005-0000-0000-000066320000}"/>
    <cellStyle name="40% - Accent1 4 4 3 8" xfId="20939" xr:uid="{00000000-0005-0000-0000-000067320000}"/>
    <cellStyle name="40% - Accent1 4 4 3 9" xfId="20940" xr:uid="{00000000-0005-0000-0000-000068320000}"/>
    <cellStyle name="40% - Accent1 4 4 4" xfId="20941" xr:uid="{00000000-0005-0000-0000-000069320000}"/>
    <cellStyle name="40% - Accent1 4 4 4 2" xfId="20942" xr:uid="{00000000-0005-0000-0000-00006A320000}"/>
    <cellStyle name="40% - Accent1 4 4 4 2 2" xfId="20943" xr:uid="{00000000-0005-0000-0000-00006B320000}"/>
    <cellStyle name="40% - Accent1 4 4 4 2 2 2" xfId="20944" xr:uid="{00000000-0005-0000-0000-00006C320000}"/>
    <cellStyle name="40% - Accent1 4 4 4 2 2 3" xfId="20945" xr:uid="{00000000-0005-0000-0000-00006D320000}"/>
    <cellStyle name="40% - Accent1 4 4 4 2 3" xfId="20946" xr:uid="{00000000-0005-0000-0000-00006E320000}"/>
    <cellStyle name="40% - Accent1 4 4 4 2 3 2" xfId="20947" xr:uid="{00000000-0005-0000-0000-00006F320000}"/>
    <cellStyle name="40% - Accent1 4 4 4 2 3 3" xfId="20948" xr:uid="{00000000-0005-0000-0000-000070320000}"/>
    <cellStyle name="40% - Accent1 4 4 4 2 4" xfId="20949" xr:uid="{00000000-0005-0000-0000-000071320000}"/>
    <cellStyle name="40% - Accent1 4 4 4 2 4 2" xfId="20950" xr:uid="{00000000-0005-0000-0000-000072320000}"/>
    <cellStyle name="40% - Accent1 4 4 4 2 5" xfId="20951" xr:uid="{00000000-0005-0000-0000-000073320000}"/>
    <cellStyle name="40% - Accent1 4 4 4 2 6" xfId="20952" xr:uid="{00000000-0005-0000-0000-000074320000}"/>
    <cellStyle name="40% - Accent1 4 4 4 3" xfId="20953" xr:uid="{00000000-0005-0000-0000-000075320000}"/>
    <cellStyle name="40% - Accent1 4 4 4 3 2" xfId="20954" xr:uid="{00000000-0005-0000-0000-000076320000}"/>
    <cellStyle name="40% - Accent1 4 4 4 3 2 2" xfId="20955" xr:uid="{00000000-0005-0000-0000-000077320000}"/>
    <cellStyle name="40% - Accent1 4 4 4 3 2 3" xfId="20956" xr:uid="{00000000-0005-0000-0000-000078320000}"/>
    <cellStyle name="40% - Accent1 4 4 4 3 3" xfId="20957" xr:uid="{00000000-0005-0000-0000-000079320000}"/>
    <cellStyle name="40% - Accent1 4 4 4 3 3 2" xfId="20958" xr:uid="{00000000-0005-0000-0000-00007A320000}"/>
    <cellStyle name="40% - Accent1 4 4 4 3 3 3" xfId="20959" xr:uid="{00000000-0005-0000-0000-00007B320000}"/>
    <cellStyle name="40% - Accent1 4 4 4 3 4" xfId="20960" xr:uid="{00000000-0005-0000-0000-00007C320000}"/>
    <cellStyle name="40% - Accent1 4 4 4 3 4 2" xfId="20961" xr:uid="{00000000-0005-0000-0000-00007D320000}"/>
    <cellStyle name="40% - Accent1 4 4 4 3 5" xfId="20962" xr:uid="{00000000-0005-0000-0000-00007E320000}"/>
    <cellStyle name="40% - Accent1 4 4 4 3 6" xfId="20963" xr:uid="{00000000-0005-0000-0000-00007F320000}"/>
    <cellStyle name="40% - Accent1 4 4 4 4" xfId="20964" xr:uid="{00000000-0005-0000-0000-000080320000}"/>
    <cellStyle name="40% - Accent1 4 4 4 4 2" xfId="20965" xr:uid="{00000000-0005-0000-0000-000081320000}"/>
    <cellStyle name="40% - Accent1 4 4 4 4 2 2" xfId="20966" xr:uid="{00000000-0005-0000-0000-000082320000}"/>
    <cellStyle name="40% - Accent1 4 4 4 4 2 3" xfId="20967" xr:uid="{00000000-0005-0000-0000-000083320000}"/>
    <cellStyle name="40% - Accent1 4 4 4 4 3" xfId="20968" xr:uid="{00000000-0005-0000-0000-000084320000}"/>
    <cellStyle name="40% - Accent1 4 4 4 4 3 2" xfId="20969" xr:uid="{00000000-0005-0000-0000-000085320000}"/>
    <cellStyle name="40% - Accent1 4 4 4 4 4" xfId="20970" xr:uid="{00000000-0005-0000-0000-000086320000}"/>
    <cellStyle name="40% - Accent1 4 4 4 4 5" xfId="20971" xr:uid="{00000000-0005-0000-0000-000087320000}"/>
    <cellStyle name="40% - Accent1 4 4 4 5" xfId="20972" xr:uid="{00000000-0005-0000-0000-000088320000}"/>
    <cellStyle name="40% - Accent1 4 4 4 5 2" xfId="20973" xr:uid="{00000000-0005-0000-0000-000089320000}"/>
    <cellStyle name="40% - Accent1 4 4 4 5 3" xfId="20974" xr:uid="{00000000-0005-0000-0000-00008A320000}"/>
    <cellStyle name="40% - Accent1 4 4 4 6" xfId="20975" xr:uid="{00000000-0005-0000-0000-00008B320000}"/>
    <cellStyle name="40% - Accent1 4 4 4 6 2" xfId="20976" xr:uid="{00000000-0005-0000-0000-00008C320000}"/>
    <cellStyle name="40% - Accent1 4 4 4 6 3" xfId="20977" xr:uid="{00000000-0005-0000-0000-00008D320000}"/>
    <cellStyle name="40% - Accent1 4 4 4 7" xfId="20978" xr:uid="{00000000-0005-0000-0000-00008E320000}"/>
    <cellStyle name="40% - Accent1 4 4 4 7 2" xfId="20979" xr:uid="{00000000-0005-0000-0000-00008F320000}"/>
    <cellStyle name="40% - Accent1 4 4 4 8" xfId="20980" xr:uid="{00000000-0005-0000-0000-000090320000}"/>
    <cellStyle name="40% - Accent1 4 4 4 9" xfId="20981" xr:uid="{00000000-0005-0000-0000-000091320000}"/>
    <cellStyle name="40% - Accent1 4 4 5" xfId="20982" xr:uid="{00000000-0005-0000-0000-000092320000}"/>
    <cellStyle name="40% - Accent1 4 4 5 2" xfId="20983" xr:uid="{00000000-0005-0000-0000-000093320000}"/>
    <cellStyle name="40% - Accent1 4 4 5 2 2" xfId="20984" xr:uid="{00000000-0005-0000-0000-000094320000}"/>
    <cellStyle name="40% - Accent1 4 4 5 2 3" xfId="20985" xr:uid="{00000000-0005-0000-0000-000095320000}"/>
    <cellStyle name="40% - Accent1 4 4 5 3" xfId="20986" xr:uid="{00000000-0005-0000-0000-000096320000}"/>
    <cellStyle name="40% - Accent1 4 4 5 3 2" xfId="20987" xr:uid="{00000000-0005-0000-0000-000097320000}"/>
    <cellStyle name="40% - Accent1 4 4 5 3 3" xfId="20988" xr:uid="{00000000-0005-0000-0000-000098320000}"/>
    <cellStyle name="40% - Accent1 4 4 5 4" xfId="20989" xr:uid="{00000000-0005-0000-0000-000099320000}"/>
    <cellStyle name="40% - Accent1 4 4 5 4 2" xfId="20990" xr:uid="{00000000-0005-0000-0000-00009A320000}"/>
    <cellStyle name="40% - Accent1 4 4 5 5" xfId="20991" xr:uid="{00000000-0005-0000-0000-00009B320000}"/>
    <cellStyle name="40% - Accent1 4 4 5 6" xfId="20992" xr:uid="{00000000-0005-0000-0000-00009C320000}"/>
    <cellStyle name="40% - Accent1 4 4 6" xfId="20993" xr:uid="{00000000-0005-0000-0000-00009D320000}"/>
    <cellStyle name="40% - Accent1 4 4 6 2" xfId="20994" xr:uid="{00000000-0005-0000-0000-00009E320000}"/>
    <cellStyle name="40% - Accent1 4 4 6 2 2" xfId="20995" xr:uid="{00000000-0005-0000-0000-00009F320000}"/>
    <cellStyle name="40% - Accent1 4 4 6 2 3" xfId="20996" xr:uid="{00000000-0005-0000-0000-0000A0320000}"/>
    <cellStyle name="40% - Accent1 4 4 6 3" xfId="20997" xr:uid="{00000000-0005-0000-0000-0000A1320000}"/>
    <cellStyle name="40% - Accent1 4 4 6 3 2" xfId="20998" xr:uid="{00000000-0005-0000-0000-0000A2320000}"/>
    <cellStyle name="40% - Accent1 4 4 6 3 3" xfId="20999" xr:uid="{00000000-0005-0000-0000-0000A3320000}"/>
    <cellStyle name="40% - Accent1 4 4 6 4" xfId="21000" xr:uid="{00000000-0005-0000-0000-0000A4320000}"/>
    <cellStyle name="40% - Accent1 4 4 6 4 2" xfId="21001" xr:uid="{00000000-0005-0000-0000-0000A5320000}"/>
    <cellStyle name="40% - Accent1 4 4 6 5" xfId="21002" xr:uid="{00000000-0005-0000-0000-0000A6320000}"/>
    <cellStyle name="40% - Accent1 4 4 6 6" xfId="21003" xr:uid="{00000000-0005-0000-0000-0000A7320000}"/>
    <cellStyle name="40% - Accent1 4 4 7" xfId="21004" xr:uid="{00000000-0005-0000-0000-0000A8320000}"/>
    <cellStyle name="40% - Accent1 4 4 7 2" xfId="21005" xr:uid="{00000000-0005-0000-0000-0000A9320000}"/>
    <cellStyle name="40% - Accent1 4 4 7 2 2" xfId="21006" xr:uid="{00000000-0005-0000-0000-0000AA320000}"/>
    <cellStyle name="40% - Accent1 4 4 7 2 3" xfId="21007" xr:uid="{00000000-0005-0000-0000-0000AB320000}"/>
    <cellStyle name="40% - Accent1 4 4 7 3" xfId="21008" xr:uid="{00000000-0005-0000-0000-0000AC320000}"/>
    <cellStyle name="40% - Accent1 4 4 7 3 2" xfId="21009" xr:uid="{00000000-0005-0000-0000-0000AD320000}"/>
    <cellStyle name="40% - Accent1 4 4 7 4" xfId="21010" xr:uid="{00000000-0005-0000-0000-0000AE320000}"/>
    <cellStyle name="40% - Accent1 4 4 7 5" xfId="21011" xr:uid="{00000000-0005-0000-0000-0000AF320000}"/>
    <cellStyle name="40% - Accent1 4 4 8" xfId="21012" xr:uid="{00000000-0005-0000-0000-0000B0320000}"/>
    <cellStyle name="40% - Accent1 4 4 8 2" xfId="21013" xr:uid="{00000000-0005-0000-0000-0000B1320000}"/>
    <cellStyle name="40% - Accent1 4 4 8 3" xfId="21014" xr:uid="{00000000-0005-0000-0000-0000B2320000}"/>
    <cellStyle name="40% - Accent1 4 4 9" xfId="21015" xr:uid="{00000000-0005-0000-0000-0000B3320000}"/>
    <cellStyle name="40% - Accent1 4 4 9 2" xfId="21016" xr:uid="{00000000-0005-0000-0000-0000B4320000}"/>
    <cellStyle name="40% - Accent1 4 4 9 3" xfId="21017" xr:uid="{00000000-0005-0000-0000-0000B5320000}"/>
    <cellStyle name="40% - Accent1 4 5" xfId="1591" xr:uid="{00000000-0005-0000-0000-0000B6320000}"/>
    <cellStyle name="40% - Accent1 4 5 10" xfId="21018" xr:uid="{00000000-0005-0000-0000-0000B7320000}"/>
    <cellStyle name="40% - Accent1 4 5 2" xfId="1592" xr:uid="{00000000-0005-0000-0000-0000B8320000}"/>
    <cellStyle name="40% - Accent1 4 5 2 2" xfId="21019" xr:uid="{00000000-0005-0000-0000-0000B9320000}"/>
    <cellStyle name="40% - Accent1 4 5 2 2 2" xfId="21020" xr:uid="{00000000-0005-0000-0000-0000BA320000}"/>
    <cellStyle name="40% - Accent1 4 5 2 2 2 2" xfId="21021" xr:uid="{00000000-0005-0000-0000-0000BB320000}"/>
    <cellStyle name="40% - Accent1 4 5 2 2 2 3" xfId="21022" xr:uid="{00000000-0005-0000-0000-0000BC320000}"/>
    <cellStyle name="40% - Accent1 4 5 2 2 3" xfId="21023" xr:uid="{00000000-0005-0000-0000-0000BD320000}"/>
    <cellStyle name="40% - Accent1 4 5 2 2 3 2" xfId="21024" xr:uid="{00000000-0005-0000-0000-0000BE320000}"/>
    <cellStyle name="40% - Accent1 4 5 2 2 3 3" xfId="21025" xr:uid="{00000000-0005-0000-0000-0000BF320000}"/>
    <cellStyle name="40% - Accent1 4 5 2 2 4" xfId="21026" xr:uid="{00000000-0005-0000-0000-0000C0320000}"/>
    <cellStyle name="40% - Accent1 4 5 2 2 4 2" xfId="21027" xr:uid="{00000000-0005-0000-0000-0000C1320000}"/>
    <cellStyle name="40% - Accent1 4 5 2 2 5" xfId="21028" xr:uid="{00000000-0005-0000-0000-0000C2320000}"/>
    <cellStyle name="40% - Accent1 4 5 2 2 6" xfId="21029" xr:uid="{00000000-0005-0000-0000-0000C3320000}"/>
    <cellStyle name="40% - Accent1 4 5 2 3" xfId="21030" xr:uid="{00000000-0005-0000-0000-0000C4320000}"/>
    <cellStyle name="40% - Accent1 4 5 2 3 2" xfId="21031" xr:uid="{00000000-0005-0000-0000-0000C5320000}"/>
    <cellStyle name="40% - Accent1 4 5 2 3 2 2" xfId="21032" xr:uid="{00000000-0005-0000-0000-0000C6320000}"/>
    <cellStyle name="40% - Accent1 4 5 2 3 2 3" xfId="21033" xr:uid="{00000000-0005-0000-0000-0000C7320000}"/>
    <cellStyle name="40% - Accent1 4 5 2 3 3" xfId="21034" xr:uid="{00000000-0005-0000-0000-0000C8320000}"/>
    <cellStyle name="40% - Accent1 4 5 2 3 3 2" xfId="21035" xr:uid="{00000000-0005-0000-0000-0000C9320000}"/>
    <cellStyle name="40% - Accent1 4 5 2 3 3 3" xfId="21036" xr:uid="{00000000-0005-0000-0000-0000CA320000}"/>
    <cellStyle name="40% - Accent1 4 5 2 3 4" xfId="21037" xr:uid="{00000000-0005-0000-0000-0000CB320000}"/>
    <cellStyle name="40% - Accent1 4 5 2 3 4 2" xfId="21038" xr:uid="{00000000-0005-0000-0000-0000CC320000}"/>
    <cellStyle name="40% - Accent1 4 5 2 3 5" xfId="21039" xr:uid="{00000000-0005-0000-0000-0000CD320000}"/>
    <cellStyle name="40% - Accent1 4 5 2 3 6" xfId="21040" xr:uid="{00000000-0005-0000-0000-0000CE320000}"/>
    <cellStyle name="40% - Accent1 4 5 2 4" xfId="21041" xr:uid="{00000000-0005-0000-0000-0000CF320000}"/>
    <cellStyle name="40% - Accent1 4 5 2 4 2" xfId="21042" xr:uid="{00000000-0005-0000-0000-0000D0320000}"/>
    <cellStyle name="40% - Accent1 4 5 2 4 2 2" xfId="21043" xr:uid="{00000000-0005-0000-0000-0000D1320000}"/>
    <cellStyle name="40% - Accent1 4 5 2 4 2 3" xfId="21044" xr:uid="{00000000-0005-0000-0000-0000D2320000}"/>
    <cellStyle name="40% - Accent1 4 5 2 4 3" xfId="21045" xr:uid="{00000000-0005-0000-0000-0000D3320000}"/>
    <cellStyle name="40% - Accent1 4 5 2 4 3 2" xfId="21046" xr:uid="{00000000-0005-0000-0000-0000D4320000}"/>
    <cellStyle name="40% - Accent1 4 5 2 4 4" xfId="21047" xr:uid="{00000000-0005-0000-0000-0000D5320000}"/>
    <cellStyle name="40% - Accent1 4 5 2 4 5" xfId="21048" xr:uid="{00000000-0005-0000-0000-0000D6320000}"/>
    <cellStyle name="40% - Accent1 4 5 2 5" xfId="21049" xr:uid="{00000000-0005-0000-0000-0000D7320000}"/>
    <cellStyle name="40% - Accent1 4 5 2 5 2" xfId="21050" xr:uid="{00000000-0005-0000-0000-0000D8320000}"/>
    <cellStyle name="40% - Accent1 4 5 2 5 3" xfId="21051" xr:uid="{00000000-0005-0000-0000-0000D9320000}"/>
    <cellStyle name="40% - Accent1 4 5 2 6" xfId="21052" xr:uid="{00000000-0005-0000-0000-0000DA320000}"/>
    <cellStyle name="40% - Accent1 4 5 2 6 2" xfId="21053" xr:uid="{00000000-0005-0000-0000-0000DB320000}"/>
    <cellStyle name="40% - Accent1 4 5 2 6 3" xfId="21054" xr:uid="{00000000-0005-0000-0000-0000DC320000}"/>
    <cellStyle name="40% - Accent1 4 5 2 7" xfId="21055" xr:uid="{00000000-0005-0000-0000-0000DD320000}"/>
    <cellStyle name="40% - Accent1 4 5 2 7 2" xfId="21056" xr:uid="{00000000-0005-0000-0000-0000DE320000}"/>
    <cellStyle name="40% - Accent1 4 5 2 8" xfId="21057" xr:uid="{00000000-0005-0000-0000-0000DF320000}"/>
    <cellStyle name="40% - Accent1 4 5 2 9" xfId="21058" xr:uid="{00000000-0005-0000-0000-0000E0320000}"/>
    <cellStyle name="40% - Accent1 4 5 3" xfId="21059" xr:uid="{00000000-0005-0000-0000-0000E1320000}"/>
    <cellStyle name="40% - Accent1 4 5 3 2" xfId="21060" xr:uid="{00000000-0005-0000-0000-0000E2320000}"/>
    <cellStyle name="40% - Accent1 4 5 3 2 2" xfId="21061" xr:uid="{00000000-0005-0000-0000-0000E3320000}"/>
    <cellStyle name="40% - Accent1 4 5 3 2 3" xfId="21062" xr:uid="{00000000-0005-0000-0000-0000E4320000}"/>
    <cellStyle name="40% - Accent1 4 5 3 3" xfId="21063" xr:uid="{00000000-0005-0000-0000-0000E5320000}"/>
    <cellStyle name="40% - Accent1 4 5 3 3 2" xfId="21064" xr:uid="{00000000-0005-0000-0000-0000E6320000}"/>
    <cellStyle name="40% - Accent1 4 5 3 3 3" xfId="21065" xr:uid="{00000000-0005-0000-0000-0000E7320000}"/>
    <cellStyle name="40% - Accent1 4 5 3 4" xfId="21066" xr:uid="{00000000-0005-0000-0000-0000E8320000}"/>
    <cellStyle name="40% - Accent1 4 5 3 4 2" xfId="21067" xr:uid="{00000000-0005-0000-0000-0000E9320000}"/>
    <cellStyle name="40% - Accent1 4 5 3 5" xfId="21068" xr:uid="{00000000-0005-0000-0000-0000EA320000}"/>
    <cellStyle name="40% - Accent1 4 5 3 6" xfId="21069" xr:uid="{00000000-0005-0000-0000-0000EB320000}"/>
    <cellStyle name="40% - Accent1 4 5 4" xfId="21070" xr:uid="{00000000-0005-0000-0000-0000EC320000}"/>
    <cellStyle name="40% - Accent1 4 5 4 2" xfId="21071" xr:uid="{00000000-0005-0000-0000-0000ED320000}"/>
    <cellStyle name="40% - Accent1 4 5 4 2 2" xfId="21072" xr:uid="{00000000-0005-0000-0000-0000EE320000}"/>
    <cellStyle name="40% - Accent1 4 5 4 2 3" xfId="21073" xr:uid="{00000000-0005-0000-0000-0000EF320000}"/>
    <cellStyle name="40% - Accent1 4 5 4 3" xfId="21074" xr:uid="{00000000-0005-0000-0000-0000F0320000}"/>
    <cellStyle name="40% - Accent1 4 5 4 3 2" xfId="21075" xr:uid="{00000000-0005-0000-0000-0000F1320000}"/>
    <cellStyle name="40% - Accent1 4 5 4 3 3" xfId="21076" xr:uid="{00000000-0005-0000-0000-0000F2320000}"/>
    <cellStyle name="40% - Accent1 4 5 4 4" xfId="21077" xr:uid="{00000000-0005-0000-0000-0000F3320000}"/>
    <cellStyle name="40% - Accent1 4 5 4 4 2" xfId="21078" xr:uid="{00000000-0005-0000-0000-0000F4320000}"/>
    <cellStyle name="40% - Accent1 4 5 4 5" xfId="21079" xr:uid="{00000000-0005-0000-0000-0000F5320000}"/>
    <cellStyle name="40% - Accent1 4 5 4 6" xfId="21080" xr:uid="{00000000-0005-0000-0000-0000F6320000}"/>
    <cellStyle name="40% - Accent1 4 5 5" xfId="21081" xr:uid="{00000000-0005-0000-0000-0000F7320000}"/>
    <cellStyle name="40% - Accent1 4 5 5 2" xfId="21082" xr:uid="{00000000-0005-0000-0000-0000F8320000}"/>
    <cellStyle name="40% - Accent1 4 5 5 2 2" xfId="21083" xr:uid="{00000000-0005-0000-0000-0000F9320000}"/>
    <cellStyle name="40% - Accent1 4 5 5 2 3" xfId="21084" xr:uid="{00000000-0005-0000-0000-0000FA320000}"/>
    <cellStyle name="40% - Accent1 4 5 5 3" xfId="21085" xr:uid="{00000000-0005-0000-0000-0000FB320000}"/>
    <cellStyle name="40% - Accent1 4 5 5 3 2" xfId="21086" xr:uid="{00000000-0005-0000-0000-0000FC320000}"/>
    <cellStyle name="40% - Accent1 4 5 5 4" xfId="21087" xr:uid="{00000000-0005-0000-0000-0000FD320000}"/>
    <cellStyle name="40% - Accent1 4 5 5 5" xfId="21088" xr:uid="{00000000-0005-0000-0000-0000FE320000}"/>
    <cellStyle name="40% - Accent1 4 5 6" xfId="21089" xr:uid="{00000000-0005-0000-0000-0000FF320000}"/>
    <cellStyle name="40% - Accent1 4 5 6 2" xfId="21090" xr:uid="{00000000-0005-0000-0000-000000330000}"/>
    <cellStyle name="40% - Accent1 4 5 6 3" xfId="21091" xr:uid="{00000000-0005-0000-0000-000001330000}"/>
    <cellStyle name="40% - Accent1 4 5 7" xfId="21092" xr:uid="{00000000-0005-0000-0000-000002330000}"/>
    <cellStyle name="40% - Accent1 4 5 7 2" xfId="21093" xr:uid="{00000000-0005-0000-0000-000003330000}"/>
    <cellStyle name="40% - Accent1 4 5 7 3" xfId="21094" xr:uid="{00000000-0005-0000-0000-000004330000}"/>
    <cellStyle name="40% - Accent1 4 5 8" xfId="21095" xr:uid="{00000000-0005-0000-0000-000005330000}"/>
    <cellStyle name="40% - Accent1 4 5 8 2" xfId="21096" xr:uid="{00000000-0005-0000-0000-000006330000}"/>
    <cellStyle name="40% - Accent1 4 5 9" xfId="21097" xr:uid="{00000000-0005-0000-0000-000007330000}"/>
    <cellStyle name="40% - Accent1 4 6" xfId="1593" xr:uid="{00000000-0005-0000-0000-000008330000}"/>
    <cellStyle name="40% - Accent1 4 6 2" xfId="21098" xr:uid="{00000000-0005-0000-0000-000009330000}"/>
    <cellStyle name="40% - Accent1 4 6 2 2" xfId="21099" xr:uid="{00000000-0005-0000-0000-00000A330000}"/>
    <cellStyle name="40% - Accent1 4 6 2 2 2" xfId="21100" xr:uid="{00000000-0005-0000-0000-00000B330000}"/>
    <cellStyle name="40% - Accent1 4 6 2 2 3" xfId="21101" xr:uid="{00000000-0005-0000-0000-00000C330000}"/>
    <cellStyle name="40% - Accent1 4 6 2 3" xfId="21102" xr:uid="{00000000-0005-0000-0000-00000D330000}"/>
    <cellStyle name="40% - Accent1 4 6 2 3 2" xfId="21103" xr:uid="{00000000-0005-0000-0000-00000E330000}"/>
    <cellStyle name="40% - Accent1 4 6 2 3 3" xfId="21104" xr:uid="{00000000-0005-0000-0000-00000F330000}"/>
    <cellStyle name="40% - Accent1 4 6 2 4" xfId="21105" xr:uid="{00000000-0005-0000-0000-000010330000}"/>
    <cellStyle name="40% - Accent1 4 6 2 4 2" xfId="21106" xr:uid="{00000000-0005-0000-0000-000011330000}"/>
    <cellStyle name="40% - Accent1 4 6 2 5" xfId="21107" xr:uid="{00000000-0005-0000-0000-000012330000}"/>
    <cellStyle name="40% - Accent1 4 6 2 6" xfId="21108" xr:uid="{00000000-0005-0000-0000-000013330000}"/>
    <cellStyle name="40% - Accent1 4 6 3" xfId="21109" xr:uid="{00000000-0005-0000-0000-000014330000}"/>
    <cellStyle name="40% - Accent1 4 6 3 2" xfId="21110" xr:uid="{00000000-0005-0000-0000-000015330000}"/>
    <cellStyle name="40% - Accent1 4 6 3 2 2" xfId="21111" xr:uid="{00000000-0005-0000-0000-000016330000}"/>
    <cellStyle name="40% - Accent1 4 6 3 2 3" xfId="21112" xr:uid="{00000000-0005-0000-0000-000017330000}"/>
    <cellStyle name="40% - Accent1 4 6 3 3" xfId="21113" xr:uid="{00000000-0005-0000-0000-000018330000}"/>
    <cellStyle name="40% - Accent1 4 6 3 3 2" xfId="21114" xr:uid="{00000000-0005-0000-0000-000019330000}"/>
    <cellStyle name="40% - Accent1 4 6 3 3 3" xfId="21115" xr:uid="{00000000-0005-0000-0000-00001A330000}"/>
    <cellStyle name="40% - Accent1 4 6 3 4" xfId="21116" xr:uid="{00000000-0005-0000-0000-00001B330000}"/>
    <cellStyle name="40% - Accent1 4 6 3 4 2" xfId="21117" xr:uid="{00000000-0005-0000-0000-00001C330000}"/>
    <cellStyle name="40% - Accent1 4 6 3 5" xfId="21118" xr:uid="{00000000-0005-0000-0000-00001D330000}"/>
    <cellStyle name="40% - Accent1 4 6 3 6" xfId="21119" xr:uid="{00000000-0005-0000-0000-00001E330000}"/>
    <cellStyle name="40% - Accent1 4 6 4" xfId="21120" xr:uid="{00000000-0005-0000-0000-00001F330000}"/>
    <cellStyle name="40% - Accent1 4 6 4 2" xfId="21121" xr:uid="{00000000-0005-0000-0000-000020330000}"/>
    <cellStyle name="40% - Accent1 4 6 4 2 2" xfId="21122" xr:uid="{00000000-0005-0000-0000-000021330000}"/>
    <cellStyle name="40% - Accent1 4 6 4 2 3" xfId="21123" xr:uid="{00000000-0005-0000-0000-000022330000}"/>
    <cellStyle name="40% - Accent1 4 6 4 3" xfId="21124" xr:uid="{00000000-0005-0000-0000-000023330000}"/>
    <cellStyle name="40% - Accent1 4 6 4 3 2" xfId="21125" xr:uid="{00000000-0005-0000-0000-000024330000}"/>
    <cellStyle name="40% - Accent1 4 6 4 4" xfId="21126" xr:uid="{00000000-0005-0000-0000-000025330000}"/>
    <cellStyle name="40% - Accent1 4 6 4 5" xfId="21127" xr:uid="{00000000-0005-0000-0000-000026330000}"/>
    <cellStyle name="40% - Accent1 4 6 5" xfId="21128" xr:uid="{00000000-0005-0000-0000-000027330000}"/>
    <cellStyle name="40% - Accent1 4 6 5 2" xfId="21129" xr:uid="{00000000-0005-0000-0000-000028330000}"/>
    <cellStyle name="40% - Accent1 4 6 5 3" xfId="21130" xr:uid="{00000000-0005-0000-0000-000029330000}"/>
    <cellStyle name="40% - Accent1 4 6 6" xfId="21131" xr:uid="{00000000-0005-0000-0000-00002A330000}"/>
    <cellStyle name="40% - Accent1 4 6 6 2" xfId="21132" xr:uid="{00000000-0005-0000-0000-00002B330000}"/>
    <cellStyle name="40% - Accent1 4 6 6 3" xfId="21133" xr:uid="{00000000-0005-0000-0000-00002C330000}"/>
    <cellStyle name="40% - Accent1 4 6 7" xfId="21134" xr:uid="{00000000-0005-0000-0000-00002D330000}"/>
    <cellStyle name="40% - Accent1 4 6 7 2" xfId="21135" xr:uid="{00000000-0005-0000-0000-00002E330000}"/>
    <cellStyle name="40% - Accent1 4 6 8" xfId="21136" xr:uid="{00000000-0005-0000-0000-00002F330000}"/>
    <cellStyle name="40% - Accent1 4 6 9" xfId="21137" xr:uid="{00000000-0005-0000-0000-000030330000}"/>
    <cellStyle name="40% - Accent1 4 7" xfId="8954" xr:uid="{00000000-0005-0000-0000-000031330000}"/>
    <cellStyle name="40% - Accent1 4 7 2" xfId="21138" xr:uid="{00000000-0005-0000-0000-000032330000}"/>
    <cellStyle name="40% - Accent1 4 7 2 2" xfId="21139" xr:uid="{00000000-0005-0000-0000-000033330000}"/>
    <cellStyle name="40% - Accent1 4 7 2 2 2" xfId="21140" xr:uid="{00000000-0005-0000-0000-000034330000}"/>
    <cellStyle name="40% - Accent1 4 7 2 2 3" xfId="21141" xr:uid="{00000000-0005-0000-0000-000035330000}"/>
    <cellStyle name="40% - Accent1 4 7 2 3" xfId="21142" xr:uid="{00000000-0005-0000-0000-000036330000}"/>
    <cellStyle name="40% - Accent1 4 7 2 3 2" xfId="21143" xr:uid="{00000000-0005-0000-0000-000037330000}"/>
    <cellStyle name="40% - Accent1 4 7 2 3 3" xfId="21144" xr:uid="{00000000-0005-0000-0000-000038330000}"/>
    <cellStyle name="40% - Accent1 4 7 2 4" xfId="21145" xr:uid="{00000000-0005-0000-0000-000039330000}"/>
    <cellStyle name="40% - Accent1 4 7 2 4 2" xfId="21146" xr:uid="{00000000-0005-0000-0000-00003A330000}"/>
    <cellStyle name="40% - Accent1 4 7 2 5" xfId="21147" xr:uid="{00000000-0005-0000-0000-00003B330000}"/>
    <cellStyle name="40% - Accent1 4 7 2 6" xfId="21148" xr:uid="{00000000-0005-0000-0000-00003C330000}"/>
    <cellStyle name="40% - Accent1 4 7 3" xfId="21149" xr:uid="{00000000-0005-0000-0000-00003D330000}"/>
    <cellStyle name="40% - Accent1 4 7 3 2" xfId="21150" xr:uid="{00000000-0005-0000-0000-00003E330000}"/>
    <cellStyle name="40% - Accent1 4 7 3 2 2" xfId="21151" xr:uid="{00000000-0005-0000-0000-00003F330000}"/>
    <cellStyle name="40% - Accent1 4 7 3 2 3" xfId="21152" xr:uid="{00000000-0005-0000-0000-000040330000}"/>
    <cellStyle name="40% - Accent1 4 7 3 3" xfId="21153" xr:uid="{00000000-0005-0000-0000-000041330000}"/>
    <cellStyle name="40% - Accent1 4 7 3 3 2" xfId="21154" xr:uid="{00000000-0005-0000-0000-000042330000}"/>
    <cellStyle name="40% - Accent1 4 7 3 3 3" xfId="21155" xr:uid="{00000000-0005-0000-0000-000043330000}"/>
    <cellStyle name="40% - Accent1 4 7 3 4" xfId="21156" xr:uid="{00000000-0005-0000-0000-000044330000}"/>
    <cellStyle name="40% - Accent1 4 7 3 4 2" xfId="21157" xr:uid="{00000000-0005-0000-0000-000045330000}"/>
    <cellStyle name="40% - Accent1 4 7 3 5" xfId="21158" xr:uid="{00000000-0005-0000-0000-000046330000}"/>
    <cellStyle name="40% - Accent1 4 7 3 6" xfId="21159" xr:uid="{00000000-0005-0000-0000-000047330000}"/>
    <cellStyle name="40% - Accent1 4 7 4" xfId="21160" xr:uid="{00000000-0005-0000-0000-000048330000}"/>
    <cellStyle name="40% - Accent1 4 7 4 2" xfId="21161" xr:uid="{00000000-0005-0000-0000-000049330000}"/>
    <cellStyle name="40% - Accent1 4 7 4 2 2" xfId="21162" xr:uid="{00000000-0005-0000-0000-00004A330000}"/>
    <cellStyle name="40% - Accent1 4 7 4 2 3" xfId="21163" xr:uid="{00000000-0005-0000-0000-00004B330000}"/>
    <cellStyle name="40% - Accent1 4 7 4 3" xfId="21164" xr:uid="{00000000-0005-0000-0000-00004C330000}"/>
    <cellStyle name="40% - Accent1 4 7 4 3 2" xfId="21165" xr:uid="{00000000-0005-0000-0000-00004D330000}"/>
    <cellStyle name="40% - Accent1 4 7 4 4" xfId="21166" xr:uid="{00000000-0005-0000-0000-00004E330000}"/>
    <cellStyle name="40% - Accent1 4 7 4 5" xfId="21167" xr:uid="{00000000-0005-0000-0000-00004F330000}"/>
    <cellStyle name="40% - Accent1 4 7 5" xfId="21168" xr:uid="{00000000-0005-0000-0000-000050330000}"/>
    <cellStyle name="40% - Accent1 4 7 5 2" xfId="21169" xr:uid="{00000000-0005-0000-0000-000051330000}"/>
    <cellStyle name="40% - Accent1 4 7 5 3" xfId="21170" xr:uid="{00000000-0005-0000-0000-000052330000}"/>
    <cellStyle name="40% - Accent1 4 7 6" xfId="21171" xr:uid="{00000000-0005-0000-0000-000053330000}"/>
    <cellStyle name="40% - Accent1 4 7 6 2" xfId="21172" xr:uid="{00000000-0005-0000-0000-000054330000}"/>
    <cellStyle name="40% - Accent1 4 7 6 3" xfId="21173" xr:uid="{00000000-0005-0000-0000-000055330000}"/>
    <cellStyle name="40% - Accent1 4 7 7" xfId="21174" xr:uid="{00000000-0005-0000-0000-000056330000}"/>
    <cellStyle name="40% - Accent1 4 7 7 2" xfId="21175" xr:uid="{00000000-0005-0000-0000-000057330000}"/>
    <cellStyle name="40% - Accent1 4 7 8" xfId="21176" xr:uid="{00000000-0005-0000-0000-000058330000}"/>
    <cellStyle name="40% - Accent1 4 7 9" xfId="21177" xr:uid="{00000000-0005-0000-0000-000059330000}"/>
    <cellStyle name="40% - Accent1 4 8" xfId="21178" xr:uid="{00000000-0005-0000-0000-00005A330000}"/>
    <cellStyle name="40% - Accent1 4 8 2" xfId="21179" xr:uid="{00000000-0005-0000-0000-00005B330000}"/>
    <cellStyle name="40% - Accent1 4 8 2 2" xfId="21180" xr:uid="{00000000-0005-0000-0000-00005C330000}"/>
    <cellStyle name="40% - Accent1 4 8 2 3" xfId="21181" xr:uid="{00000000-0005-0000-0000-00005D330000}"/>
    <cellStyle name="40% - Accent1 4 8 3" xfId="21182" xr:uid="{00000000-0005-0000-0000-00005E330000}"/>
    <cellStyle name="40% - Accent1 4 8 3 2" xfId="21183" xr:uid="{00000000-0005-0000-0000-00005F330000}"/>
    <cellStyle name="40% - Accent1 4 8 3 3" xfId="21184" xr:uid="{00000000-0005-0000-0000-000060330000}"/>
    <cellStyle name="40% - Accent1 4 8 4" xfId="21185" xr:uid="{00000000-0005-0000-0000-000061330000}"/>
    <cellStyle name="40% - Accent1 4 8 4 2" xfId="21186" xr:uid="{00000000-0005-0000-0000-000062330000}"/>
    <cellStyle name="40% - Accent1 4 8 5" xfId="21187" xr:uid="{00000000-0005-0000-0000-000063330000}"/>
    <cellStyle name="40% - Accent1 4 8 6" xfId="21188" xr:uid="{00000000-0005-0000-0000-000064330000}"/>
    <cellStyle name="40% - Accent1 4 9" xfId="21189" xr:uid="{00000000-0005-0000-0000-000065330000}"/>
    <cellStyle name="40% - Accent1 4 9 2" xfId="21190" xr:uid="{00000000-0005-0000-0000-000066330000}"/>
    <cellStyle name="40% - Accent1 4 9 2 2" xfId="21191" xr:uid="{00000000-0005-0000-0000-000067330000}"/>
    <cellStyle name="40% - Accent1 4 9 2 3" xfId="21192" xr:uid="{00000000-0005-0000-0000-000068330000}"/>
    <cellStyle name="40% - Accent1 4 9 3" xfId="21193" xr:uid="{00000000-0005-0000-0000-000069330000}"/>
    <cellStyle name="40% - Accent1 4 9 3 2" xfId="21194" xr:uid="{00000000-0005-0000-0000-00006A330000}"/>
    <cellStyle name="40% - Accent1 4 9 3 3" xfId="21195" xr:uid="{00000000-0005-0000-0000-00006B330000}"/>
    <cellStyle name="40% - Accent1 4 9 4" xfId="21196" xr:uid="{00000000-0005-0000-0000-00006C330000}"/>
    <cellStyle name="40% - Accent1 4 9 4 2" xfId="21197" xr:uid="{00000000-0005-0000-0000-00006D330000}"/>
    <cellStyle name="40% - Accent1 4 9 5" xfId="21198" xr:uid="{00000000-0005-0000-0000-00006E330000}"/>
    <cellStyle name="40% - Accent1 4 9 6" xfId="21199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002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8955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003" xr:uid="{00000000-0005-0000-0000-000087330000}"/>
    <cellStyle name="40% - Accent1 6 2 5" xfId="58004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005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006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007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008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009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010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011" xr:uid="{00000000-0005-0000-0000-0000B0330000}"/>
    <cellStyle name="40% - Accent2 13" xfId="1648" xr:uid="{00000000-0005-0000-0000-0000B1330000}"/>
    <cellStyle name="40% - Accent2 13 2" xfId="58012" xr:uid="{00000000-0005-0000-0000-0000B2330000}"/>
    <cellStyle name="40% - Accent2 14" xfId="8956" xr:uid="{00000000-0005-0000-0000-0000B3330000}"/>
    <cellStyle name="40% - Accent2 15" xfId="9399" xr:uid="{00000000-0005-0000-0000-0000B4330000}"/>
    <cellStyle name="40% - Accent2 16" xfId="9400" xr:uid="{00000000-0005-0000-0000-0000B5330000}"/>
    <cellStyle name="40% - Accent2 17" xfId="9401" xr:uid="{00000000-0005-0000-0000-0000B6330000}"/>
    <cellStyle name="40% - Accent2 18" xfId="58013" xr:uid="{00000000-0005-0000-0000-0000B7330000}"/>
    <cellStyle name="40% - Accent2 19" xfId="58014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015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016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017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018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019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020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021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022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023" xr:uid="{00000000-0005-0000-0000-000002340000}"/>
    <cellStyle name="40% - Accent2 20" xfId="58024" xr:uid="{00000000-0005-0000-0000-000003340000}"/>
    <cellStyle name="40% - Accent2 21" xfId="58025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8957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8958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8959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8960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8961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8962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8963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8964" xr:uid="{00000000-0005-0000-0000-00004D340000}"/>
    <cellStyle name="40% - Accent2 4" xfId="1779" xr:uid="{00000000-0005-0000-0000-00004E340000}"/>
    <cellStyle name="40% - Accent2 4 10" xfId="21200" xr:uid="{00000000-0005-0000-0000-00004F340000}"/>
    <cellStyle name="40% - Accent2 4 10 2" xfId="21201" xr:uid="{00000000-0005-0000-0000-000050340000}"/>
    <cellStyle name="40% - Accent2 4 10 2 2" xfId="21202" xr:uid="{00000000-0005-0000-0000-000051340000}"/>
    <cellStyle name="40% - Accent2 4 10 2 3" xfId="21203" xr:uid="{00000000-0005-0000-0000-000052340000}"/>
    <cellStyle name="40% - Accent2 4 10 3" xfId="21204" xr:uid="{00000000-0005-0000-0000-000053340000}"/>
    <cellStyle name="40% - Accent2 4 10 3 2" xfId="21205" xr:uid="{00000000-0005-0000-0000-000054340000}"/>
    <cellStyle name="40% - Accent2 4 10 4" xfId="21206" xr:uid="{00000000-0005-0000-0000-000055340000}"/>
    <cellStyle name="40% - Accent2 4 10 5" xfId="21207" xr:uid="{00000000-0005-0000-0000-000056340000}"/>
    <cellStyle name="40% - Accent2 4 11" xfId="21208" xr:uid="{00000000-0005-0000-0000-000057340000}"/>
    <cellStyle name="40% - Accent2 4 11 2" xfId="21209" xr:uid="{00000000-0005-0000-0000-000058340000}"/>
    <cellStyle name="40% - Accent2 4 11 3" xfId="21210" xr:uid="{00000000-0005-0000-0000-000059340000}"/>
    <cellStyle name="40% - Accent2 4 12" xfId="21211" xr:uid="{00000000-0005-0000-0000-00005A340000}"/>
    <cellStyle name="40% - Accent2 4 12 2" xfId="21212" xr:uid="{00000000-0005-0000-0000-00005B340000}"/>
    <cellStyle name="40% - Accent2 4 12 3" xfId="21213" xr:uid="{00000000-0005-0000-0000-00005C340000}"/>
    <cellStyle name="40% - Accent2 4 13" xfId="21214" xr:uid="{00000000-0005-0000-0000-00005D340000}"/>
    <cellStyle name="40% - Accent2 4 13 2" xfId="21215" xr:uid="{00000000-0005-0000-0000-00005E340000}"/>
    <cellStyle name="40% - Accent2 4 14" xfId="21216" xr:uid="{00000000-0005-0000-0000-00005F340000}"/>
    <cellStyle name="40% - Accent2 4 15" xfId="21217" xr:uid="{00000000-0005-0000-0000-000060340000}"/>
    <cellStyle name="40% - Accent2 4 16" xfId="21218" xr:uid="{00000000-0005-0000-0000-000061340000}"/>
    <cellStyle name="40% - Accent2 4 2" xfId="1780" xr:uid="{00000000-0005-0000-0000-000062340000}"/>
    <cellStyle name="40% - Accent2 4 2 10" xfId="21219" xr:uid="{00000000-0005-0000-0000-000063340000}"/>
    <cellStyle name="40% - Accent2 4 2 10 2" xfId="21220" xr:uid="{00000000-0005-0000-0000-000064340000}"/>
    <cellStyle name="40% - Accent2 4 2 10 3" xfId="21221" xr:uid="{00000000-0005-0000-0000-000065340000}"/>
    <cellStyle name="40% - Accent2 4 2 11" xfId="21222" xr:uid="{00000000-0005-0000-0000-000066340000}"/>
    <cellStyle name="40% - Accent2 4 2 11 2" xfId="21223" xr:uid="{00000000-0005-0000-0000-000067340000}"/>
    <cellStyle name="40% - Accent2 4 2 11 3" xfId="21224" xr:uid="{00000000-0005-0000-0000-000068340000}"/>
    <cellStyle name="40% - Accent2 4 2 12" xfId="21225" xr:uid="{00000000-0005-0000-0000-000069340000}"/>
    <cellStyle name="40% - Accent2 4 2 12 2" xfId="21226" xr:uid="{00000000-0005-0000-0000-00006A340000}"/>
    <cellStyle name="40% - Accent2 4 2 13" xfId="21227" xr:uid="{00000000-0005-0000-0000-00006B340000}"/>
    <cellStyle name="40% - Accent2 4 2 14" xfId="21228" xr:uid="{00000000-0005-0000-0000-00006C340000}"/>
    <cellStyle name="40% - Accent2 4 2 15" xfId="21229" xr:uid="{00000000-0005-0000-0000-00006D340000}"/>
    <cellStyle name="40% - Accent2 4 2 2" xfId="1781" xr:uid="{00000000-0005-0000-0000-00006E340000}"/>
    <cellStyle name="40% - Accent2 4 2 2 10" xfId="21230" xr:uid="{00000000-0005-0000-0000-00006F340000}"/>
    <cellStyle name="40% - Accent2 4 2 2 10 2" xfId="21231" xr:uid="{00000000-0005-0000-0000-000070340000}"/>
    <cellStyle name="40% - Accent2 4 2 2 10 3" xfId="21232" xr:uid="{00000000-0005-0000-0000-000071340000}"/>
    <cellStyle name="40% - Accent2 4 2 2 11" xfId="21233" xr:uid="{00000000-0005-0000-0000-000072340000}"/>
    <cellStyle name="40% - Accent2 4 2 2 11 2" xfId="21234" xr:uid="{00000000-0005-0000-0000-000073340000}"/>
    <cellStyle name="40% - Accent2 4 2 2 12" xfId="21235" xr:uid="{00000000-0005-0000-0000-000074340000}"/>
    <cellStyle name="40% - Accent2 4 2 2 13" xfId="21236" xr:uid="{00000000-0005-0000-0000-000075340000}"/>
    <cellStyle name="40% - Accent2 4 2 2 2" xfId="1782" xr:uid="{00000000-0005-0000-0000-000076340000}"/>
    <cellStyle name="40% - Accent2 4 2 2 2 10" xfId="21237" xr:uid="{00000000-0005-0000-0000-000077340000}"/>
    <cellStyle name="40% - Accent2 4 2 2 2 10 2" xfId="21238" xr:uid="{00000000-0005-0000-0000-000078340000}"/>
    <cellStyle name="40% - Accent2 4 2 2 2 11" xfId="21239" xr:uid="{00000000-0005-0000-0000-000079340000}"/>
    <cellStyle name="40% - Accent2 4 2 2 2 12" xfId="21240" xr:uid="{00000000-0005-0000-0000-00007A340000}"/>
    <cellStyle name="40% - Accent2 4 2 2 2 2" xfId="1783" xr:uid="{00000000-0005-0000-0000-00007B340000}"/>
    <cellStyle name="40% - Accent2 4 2 2 2 2 10" xfId="21241" xr:uid="{00000000-0005-0000-0000-00007C340000}"/>
    <cellStyle name="40% - Accent2 4 2 2 2 2 2" xfId="1784" xr:uid="{00000000-0005-0000-0000-00007D340000}"/>
    <cellStyle name="40% - Accent2 4 2 2 2 2 2 2" xfId="21242" xr:uid="{00000000-0005-0000-0000-00007E340000}"/>
    <cellStyle name="40% - Accent2 4 2 2 2 2 2 2 2" xfId="21243" xr:uid="{00000000-0005-0000-0000-00007F340000}"/>
    <cellStyle name="40% - Accent2 4 2 2 2 2 2 2 2 2" xfId="21244" xr:uid="{00000000-0005-0000-0000-000080340000}"/>
    <cellStyle name="40% - Accent2 4 2 2 2 2 2 2 2 3" xfId="21245" xr:uid="{00000000-0005-0000-0000-000081340000}"/>
    <cellStyle name="40% - Accent2 4 2 2 2 2 2 2 3" xfId="21246" xr:uid="{00000000-0005-0000-0000-000082340000}"/>
    <cellStyle name="40% - Accent2 4 2 2 2 2 2 2 3 2" xfId="21247" xr:uid="{00000000-0005-0000-0000-000083340000}"/>
    <cellStyle name="40% - Accent2 4 2 2 2 2 2 2 3 3" xfId="21248" xr:uid="{00000000-0005-0000-0000-000084340000}"/>
    <cellStyle name="40% - Accent2 4 2 2 2 2 2 2 4" xfId="21249" xr:uid="{00000000-0005-0000-0000-000085340000}"/>
    <cellStyle name="40% - Accent2 4 2 2 2 2 2 2 4 2" xfId="21250" xr:uid="{00000000-0005-0000-0000-000086340000}"/>
    <cellStyle name="40% - Accent2 4 2 2 2 2 2 2 5" xfId="21251" xr:uid="{00000000-0005-0000-0000-000087340000}"/>
    <cellStyle name="40% - Accent2 4 2 2 2 2 2 2 6" xfId="21252" xr:uid="{00000000-0005-0000-0000-000088340000}"/>
    <cellStyle name="40% - Accent2 4 2 2 2 2 2 3" xfId="21253" xr:uid="{00000000-0005-0000-0000-000089340000}"/>
    <cellStyle name="40% - Accent2 4 2 2 2 2 2 3 2" xfId="21254" xr:uid="{00000000-0005-0000-0000-00008A340000}"/>
    <cellStyle name="40% - Accent2 4 2 2 2 2 2 3 2 2" xfId="21255" xr:uid="{00000000-0005-0000-0000-00008B340000}"/>
    <cellStyle name="40% - Accent2 4 2 2 2 2 2 3 2 3" xfId="21256" xr:uid="{00000000-0005-0000-0000-00008C340000}"/>
    <cellStyle name="40% - Accent2 4 2 2 2 2 2 3 3" xfId="21257" xr:uid="{00000000-0005-0000-0000-00008D340000}"/>
    <cellStyle name="40% - Accent2 4 2 2 2 2 2 3 3 2" xfId="21258" xr:uid="{00000000-0005-0000-0000-00008E340000}"/>
    <cellStyle name="40% - Accent2 4 2 2 2 2 2 3 3 3" xfId="21259" xr:uid="{00000000-0005-0000-0000-00008F340000}"/>
    <cellStyle name="40% - Accent2 4 2 2 2 2 2 3 4" xfId="21260" xr:uid="{00000000-0005-0000-0000-000090340000}"/>
    <cellStyle name="40% - Accent2 4 2 2 2 2 2 3 4 2" xfId="21261" xr:uid="{00000000-0005-0000-0000-000091340000}"/>
    <cellStyle name="40% - Accent2 4 2 2 2 2 2 3 5" xfId="21262" xr:uid="{00000000-0005-0000-0000-000092340000}"/>
    <cellStyle name="40% - Accent2 4 2 2 2 2 2 3 6" xfId="21263" xr:uid="{00000000-0005-0000-0000-000093340000}"/>
    <cellStyle name="40% - Accent2 4 2 2 2 2 2 4" xfId="21264" xr:uid="{00000000-0005-0000-0000-000094340000}"/>
    <cellStyle name="40% - Accent2 4 2 2 2 2 2 4 2" xfId="21265" xr:uid="{00000000-0005-0000-0000-000095340000}"/>
    <cellStyle name="40% - Accent2 4 2 2 2 2 2 4 2 2" xfId="21266" xr:uid="{00000000-0005-0000-0000-000096340000}"/>
    <cellStyle name="40% - Accent2 4 2 2 2 2 2 4 2 3" xfId="21267" xr:uid="{00000000-0005-0000-0000-000097340000}"/>
    <cellStyle name="40% - Accent2 4 2 2 2 2 2 4 3" xfId="21268" xr:uid="{00000000-0005-0000-0000-000098340000}"/>
    <cellStyle name="40% - Accent2 4 2 2 2 2 2 4 3 2" xfId="21269" xr:uid="{00000000-0005-0000-0000-000099340000}"/>
    <cellStyle name="40% - Accent2 4 2 2 2 2 2 4 4" xfId="21270" xr:uid="{00000000-0005-0000-0000-00009A340000}"/>
    <cellStyle name="40% - Accent2 4 2 2 2 2 2 4 5" xfId="21271" xr:uid="{00000000-0005-0000-0000-00009B340000}"/>
    <cellStyle name="40% - Accent2 4 2 2 2 2 2 5" xfId="21272" xr:uid="{00000000-0005-0000-0000-00009C340000}"/>
    <cellStyle name="40% - Accent2 4 2 2 2 2 2 5 2" xfId="21273" xr:uid="{00000000-0005-0000-0000-00009D340000}"/>
    <cellStyle name="40% - Accent2 4 2 2 2 2 2 5 3" xfId="21274" xr:uid="{00000000-0005-0000-0000-00009E340000}"/>
    <cellStyle name="40% - Accent2 4 2 2 2 2 2 6" xfId="21275" xr:uid="{00000000-0005-0000-0000-00009F340000}"/>
    <cellStyle name="40% - Accent2 4 2 2 2 2 2 6 2" xfId="21276" xr:uid="{00000000-0005-0000-0000-0000A0340000}"/>
    <cellStyle name="40% - Accent2 4 2 2 2 2 2 6 3" xfId="21277" xr:uid="{00000000-0005-0000-0000-0000A1340000}"/>
    <cellStyle name="40% - Accent2 4 2 2 2 2 2 7" xfId="21278" xr:uid="{00000000-0005-0000-0000-0000A2340000}"/>
    <cellStyle name="40% - Accent2 4 2 2 2 2 2 7 2" xfId="21279" xr:uid="{00000000-0005-0000-0000-0000A3340000}"/>
    <cellStyle name="40% - Accent2 4 2 2 2 2 2 8" xfId="21280" xr:uid="{00000000-0005-0000-0000-0000A4340000}"/>
    <cellStyle name="40% - Accent2 4 2 2 2 2 2 9" xfId="21281" xr:uid="{00000000-0005-0000-0000-0000A5340000}"/>
    <cellStyle name="40% - Accent2 4 2 2 2 2 3" xfId="21282" xr:uid="{00000000-0005-0000-0000-0000A6340000}"/>
    <cellStyle name="40% - Accent2 4 2 2 2 2 3 2" xfId="21283" xr:uid="{00000000-0005-0000-0000-0000A7340000}"/>
    <cellStyle name="40% - Accent2 4 2 2 2 2 3 2 2" xfId="21284" xr:uid="{00000000-0005-0000-0000-0000A8340000}"/>
    <cellStyle name="40% - Accent2 4 2 2 2 2 3 2 3" xfId="21285" xr:uid="{00000000-0005-0000-0000-0000A9340000}"/>
    <cellStyle name="40% - Accent2 4 2 2 2 2 3 3" xfId="21286" xr:uid="{00000000-0005-0000-0000-0000AA340000}"/>
    <cellStyle name="40% - Accent2 4 2 2 2 2 3 3 2" xfId="21287" xr:uid="{00000000-0005-0000-0000-0000AB340000}"/>
    <cellStyle name="40% - Accent2 4 2 2 2 2 3 3 3" xfId="21288" xr:uid="{00000000-0005-0000-0000-0000AC340000}"/>
    <cellStyle name="40% - Accent2 4 2 2 2 2 3 4" xfId="21289" xr:uid="{00000000-0005-0000-0000-0000AD340000}"/>
    <cellStyle name="40% - Accent2 4 2 2 2 2 3 4 2" xfId="21290" xr:uid="{00000000-0005-0000-0000-0000AE340000}"/>
    <cellStyle name="40% - Accent2 4 2 2 2 2 3 5" xfId="21291" xr:uid="{00000000-0005-0000-0000-0000AF340000}"/>
    <cellStyle name="40% - Accent2 4 2 2 2 2 3 6" xfId="21292" xr:uid="{00000000-0005-0000-0000-0000B0340000}"/>
    <cellStyle name="40% - Accent2 4 2 2 2 2 4" xfId="21293" xr:uid="{00000000-0005-0000-0000-0000B1340000}"/>
    <cellStyle name="40% - Accent2 4 2 2 2 2 4 2" xfId="21294" xr:uid="{00000000-0005-0000-0000-0000B2340000}"/>
    <cellStyle name="40% - Accent2 4 2 2 2 2 4 2 2" xfId="21295" xr:uid="{00000000-0005-0000-0000-0000B3340000}"/>
    <cellStyle name="40% - Accent2 4 2 2 2 2 4 2 3" xfId="21296" xr:uid="{00000000-0005-0000-0000-0000B4340000}"/>
    <cellStyle name="40% - Accent2 4 2 2 2 2 4 3" xfId="21297" xr:uid="{00000000-0005-0000-0000-0000B5340000}"/>
    <cellStyle name="40% - Accent2 4 2 2 2 2 4 3 2" xfId="21298" xr:uid="{00000000-0005-0000-0000-0000B6340000}"/>
    <cellStyle name="40% - Accent2 4 2 2 2 2 4 3 3" xfId="21299" xr:uid="{00000000-0005-0000-0000-0000B7340000}"/>
    <cellStyle name="40% - Accent2 4 2 2 2 2 4 4" xfId="21300" xr:uid="{00000000-0005-0000-0000-0000B8340000}"/>
    <cellStyle name="40% - Accent2 4 2 2 2 2 4 4 2" xfId="21301" xr:uid="{00000000-0005-0000-0000-0000B9340000}"/>
    <cellStyle name="40% - Accent2 4 2 2 2 2 4 5" xfId="21302" xr:uid="{00000000-0005-0000-0000-0000BA340000}"/>
    <cellStyle name="40% - Accent2 4 2 2 2 2 4 6" xfId="21303" xr:uid="{00000000-0005-0000-0000-0000BB340000}"/>
    <cellStyle name="40% - Accent2 4 2 2 2 2 5" xfId="21304" xr:uid="{00000000-0005-0000-0000-0000BC340000}"/>
    <cellStyle name="40% - Accent2 4 2 2 2 2 5 2" xfId="21305" xr:uid="{00000000-0005-0000-0000-0000BD340000}"/>
    <cellStyle name="40% - Accent2 4 2 2 2 2 5 2 2" xfId="21306" xr:uid="{00000000-0005-0000-0000-0000BE340000}"/>
    <cellStyle name="40% - Accent2 4 2 2 2 2 5 2 3" xfId="21307" xr:uid="{00000000-0005-0000-0000-0000BF340000}"/>
    <cellStyle name="40% - Accent2 4 2 2 2 2 5 3" xfId="21308" xr:uid="{00000000-0005-0000-0000-0000C0340000}"/>
    <cellStyle name="40% - Accent2 4 2 2 2 2 5 3 2" xfId="21309" xr:uid="{00000000-0005-0000-0000-0000C1340000}"/>
    <cellStyle name="40% - Accent2 4 2 2 2 2 5 4" xfId="21310" xr:uid="{00000000-0005-0000-0000-0000C2340000}"/>
    <cellStyle name="40% - Accent2 4 2 2 2 2 5 5" xfId="21311" xr:uid="{00000000-0005-0000-0000-0000C3340000}"/>
    <cellStyle name="40% - Accent2 4 2 2 2 2 6" xfId="21312" xr:uid="{00000000-0005-0000-0000-0000C4340000}"/>
    <cellStyle name="40% - Accent2 4 2 2 2 2 6 2" xfId="21313" xr:uid="{00000000-0005-0000-0000-0000C5340000}"/>
    <cellStyle name="40% - Accent2 4 2 2 2 2 6 3" xfId="21314" xr:uid="{00000000-0005-0000-0000-0000C6340000}"/>
    <cellStyle name="40% - Accent2 4 2 2 2 2 7" xfId="21315" xr:uid="{00000000-0005-0000-0000-0000C7340000}"/>
    <cellStyle name="40% - Accent2 4 2 2 2 2 7 2" xfId="21316" xr:uid="{00000000-0005-0000-0000-0000C8340000}"/>
    <cellStyle name="40% - Accent2 4 2 2 2 2 7 3" xfId="21317" xr:uid="{00000000-0005-0000-0000-0000C9340000}"/>
    <cellStyle name="40% - Accent2 4 2 2 2 2 8" xfId="21318" xr:uid="{00000000-0005-0000-0000-0000CA340000}"/>
    <cellStyle name="40% - Accent2 4 2 2 2 2 8 2" xfId="21319" xr:uid="{00000000-0005-0000-0000-0000CB340000}"/>
    <cellStyle name="40% - Accent2 4 2 2 2 2 9" xfId="21320" xr:uid="{00000000-0005-0000-0000-0000CC340000}"/>
    <cellStyle name="40% - Accent2 4 2 2 2 3" xfId="1785" xr:uid="{00000000-0005-0000-0000-0000CD340000}"/>
    <cellStyle name="40% - Accent2 4 2 2 2 3 2" xfId="21321" xr:uid="{00000000-0005-0000-0000-0000CE340000}"/>
    <cellStyle name="40% - Accent2 4 2 2 2 3 2 2" xfId="21322" xr:uid="{00000000-0005-0000-0000-0000CF340000}"/>
    <cellStyle name="40% - Accent2 4 2 2 2 3 2 2 2" xfId="21323" xr:uid="{00000000-0005-0000-0000-0000D0340000}"/>
    <cellStyle name="40% - Accent2 4 2 2 2 3 2 2 3" xfId="21324" xr:uid="{00000000-0005-0000-0000-0000D1340000}"/>
    <cellStyle name="40% - Accent2 4 2 2 2 3 2 3" xfId="21325" xr:uid="{00000000-0005-0000-0000-0000D2340000}"/>
    <cellStyle name="40% - Accent2 4 2 2 2 3 2 3 2" xfId="21326" xr:uid="{00000000-0005-0000-0000-0000D3340000}"/>
    <cellStyle name="40% - Accent2 4 2 2 2 3 2 3 3" xfId="21327" xr:uid="{00000000-0005-0000-0000-0000D4340000}"/>
    <cellStyle name="40% - Accent2 4 2 2 2 3 2 4" xfId="21328" xr:uid="{00000000-0005-0000-0000-0000D5340000}"/>
    <cellStyle name="40% - Accent2 4 2 2 2 3 2 4 2" xfId="21329" xr:uid="{00000000-0005-0000-0000-0000D6340000}"/>
    <cellStyle name="40% - Accent2 4 2 2 2 3 2 5" xfId="21330" xr:uid="{00000000-0005-0000-0000-0000D7340000}"/>
    <cellStyle name="40% - Accent2 4 2 2 2 3 2 6" xfId="21331" xr:uid="{00000000-0005-0000-0000-0000D8340000}"/>
    <cellStyle name="40% - Accent2 4 2 2 2 3 3" xfId="21332" xr:uid="{00000000-0005-0000-0000-0000D9340000}"/>
    <cellStyle name="40% - Accent2 4 2 2 2 3 3 2" xfId="21333" xr:uid="{00000000-0005-0000-0000-0000DA340000}"/>
    <cellStyle name="40% - Accent2 4 2 2 2 3 3 2 2" xfId="21334" xr:uid="{00000000-0005-0000-0000-0000DB340000}"/>
    <cellStyle name="40% - Accent2 4 2 2 2 3 3 2 3" xfId="21335" xr:uid="{00000000-0005-0000-0000-0000DC340000}"/>
    <cellStyle name="40% - Accent2 4 2 2 2 3 3 3" xfId="21336" xr:uid="{00000000-0005-0000-0000-0000DD340000}"/>
    <cellStyle name="40% - Accent2 4 2 2 2 3 3 3 2" xfId="21337" xr:uid="{00000000-0005-0000-0000-0000DE340000}"/>
    <cellStyle name="40% - Accent2 4 2 2 2 3 3 3 3" xfId="21338" xr:uid="{00000000-0005-0000-0000-0000DF340000}"/>
    <cellStyle name="40% - Accent2 4 2 2 2 3 3 4" xfId="21339" xr:uid="{00000000-0005-0000-0000-0000E0340000}"/>
    <cellStyle name="40% - Accent2 4 2 2 2 3 3 4 2" xfId="21340" xr:uid="{00000000-0005-0000-0000-0000E1340000}"/>
    <cellStyle name="40% - Accent2 4 2 2 2 3 3 5" xfId="21341" xr:uid="{00000000-0005-0000-0000-0000E2340000}"/>
    <cellStyle name="40% - Accent2 4 2 2 2 3 3 6" xfId="21342" xr:uid="{00000000-0005-0000-0000-0000E3340000}"/>
    <cellStyle name="40% - Accent2 4 2 2 2 3 4" xfId="21343" xr:uid="{00000000-0005-0000-0000-0000E4340000}"/>
    <cellStyle name="40% - Accent2 4 2 2 2 3 4 2" xfId="21344" xr:uid="{00000000-0005-0000-0000-0000E5340000}"/>
    <cellStyle name="40% - Accent2 4 2 2 2 3 4 2 2" xfId="21345" xr:uid="{00000000-0005-0000-0000-0000E6340000}"/>
    <cellStyle name="40% - Accent2 4 2 2 2 3 4 2 3" xfId="21346" xr:uid="{00000000-0005-0000-0000-0000E7340000}"/>
    <cellStyle name="40% - Accent2 4 2 2 2 3 4 3" xfId="21347" xr:uid="{00000000-0005-0000-0000-0000E8340000}"/>
    <cellStyle name="40% - Accent2 4 2 2 2 3 4 3 2" xfId="21348" xr:uid="{00000000-0005-0000-0000-0000E9340000}"/>
    <cellStyle name="40% - Accent2 4 2 2 2 3 4 4" xfId="21349" xr:uid="{00000000-0005-0000-0000-0000EA340000}"/>
    <cellStyle name="40% - Accent2 4 2 2 2 3 4 5" xfId="21350" xr:uid="{00000000-0005-0000-0000-0000EB340000}"/>
    <cellStyle name="40% - Accent2 4 2 2 2 3 5" xfId="21351" xr:uid="{00000000-0005-0000-0000-0000EC340000}"/>
    <cellStyle name="40% - Accent2 4 2 2 2 3 5 2" xfId="21352" xr:uid="{00000000-0005-0000-0000-0000ED340000}"/>
    <cellStyle name="40% - Accent2 4 2 2 2 3 5 3" xfId="21353" xr:uid="{00000000-0005-0000-0000-0000EE340000}"/>
    <cellStyle name="40% - Accent2 4 2 2 2 3 6" xfId="21354" xr:uid="{00000000-0005-0000-0000-0000EF340000}"/>
    <cellStyle name="40% - Accent2 4 2 2 2 3 6 2" xfId="21355" xr:uid="{00000000-0005-0000-0000-0000F0340000}"/>
    <cellStyle name="40% - Accent2 4 2 2 2 3 6 3" xfId="21356" xr:uid="{00000000-0005-0000-0000-0000F1340000}"/>
    <cellStyle name="40% - Accent2 4 2 2 2 3 7" xfId="21357" xr:uid="{00000000-0005-0000-0000-0000F2340000}"/>
    <cellStyle name="40% - Accent2 4 2 2 2 3 7 2" xfId="21358" xr:uid="{00000000-0005-0000-0000-0000F3340000}"/>
    <cellStyle name="40% - Accent2 4 2 2 2 3 8" xfId="21359" xr:uid="{00000000-0005-0000-0000-0000F4340000}"/>
    <cellStyle name="40% - Accent2 4 2 2 2 3 9" xfId="21360" xr:uid="{00000000-0005-0000-0000-0000F5340000}"/>
    <cellStyle name="40% - Accent2 4 2 2 2 4" xfId="21361" xr:uid="{00000000-0005-0000-0000-0000F6340000}"/>
    <cellStyle name="40% - Accent2 4 2 2 2 4 2" xfId="21362" xr:uid="{00000000-0005-0000-0000-0000F7340000}"/>
    <cellStyle name="40% - Accent2 4 2 2 2 4 2 2" xfId="21363" xr:uid="{00000000-0005-0000-0000-0000F8340000}"/>
    <cellStyle name="40% - Accent2 4 2 2 2 4 2 2 2" xfId="21364" xr:uid="{00000000-0005-0000-0000-0000F9340000}"/>
    <cellStyle name="40% - Accent2 4 2 2 2 4 2 2 3" xfId="21365" xr:uid="{00000000-0005-0000-0000-0000FA340000}"/>
    <cellStyle name="40% - Accent2 4 2 2 2 4 2 3" xfId="21366" xr:uid="{00000000-0005-0000-0000-0000FB340000}"/>
    <cellStyle name="40% - Accent2 4 2 2 2 4 2 3 2" xfId="21367" xr:uid="{00000000-0005-0000-0000-0000FC340000}"/>
    <cellStyle name="40% - Accent2 4 2 2 2 4 2 3 3" xfId="21368" xr:uid="{00000000-0005-0000-0000-0000FD340000}"/>
    <cellStyle name="40% - Accent2 4 2 2 2 4 2 4" xfId="21369" xr:uid="{00000000-0005-0000-0000-0000FE340000}"/>
    <cellStyle name="40% - Accent2 4 2 2 2 4 2 4 2" xfId="21370" xr:uid="{00000000-0005-0000-0000-0000FF340000}"/>
    <cellStyle name="40% - Accent2 4 2 2 2 4 2 5" xfId="21371" xr:uid="{00000000-0005-0000-0000-000000350000}"/>
    <cellStyle name="40% - Accent2 4 2 2 2 4 2 6" xfId="21372" xr:uid="{00000000-0005-0000-0000-000001350000}"/>
    <cellStyle name="40% - Accent2 4 2 2 2 4 3" xfId="21373" xr:uid="{00000000-0005-0000-0000-000002350000}"/>
    <cellStyle name="40% - Accent2 4 2 2 2 4 3 2" xfId="21374" xr:uid="{00000000-0005-0000-0000-000003350000}"/>
    <cellStyle name="40% - Accent2 4 2 2 2 4 3 2 2" xfId="21375" xr:uid="{00000000-0005-0000-0000-000004350000}"/>
    <cellStyle name="40% - Accent2 4 2 2 2 4 3 2 3" xfId="21376" xr:uid="{00000000-0005-0000-0000-000005350000}"/>
    <cellStyle name="40% - Accent2 4 2 2 2 4 3 3" xfId="21377" xr:uid="{00000000-0005-0000-0000-000006350000}"/>
    <cellStyle name="40% - Accent2 4 2 2 2 4 3 3 2" xfId="21378" xr:uid="{00000000-0005-0000-0000-000007350000}"/>
    <cellStyle name="40% - Accent2 4 2 2 2 4 3 3 3" xfId="21379" xr:uid="{00000000-0005-0000-0000-000008350000}"/>
    <cellStyle name="40% - Accent2 4 2 2 2 4 3 4" xfId="21380" xr:uid="{00000000-0005-0000-0000-000009350000}"/>
    <cellStyle name="40% - Accent2 4 2 2 2 4 3 4 2" xfId="21381" xr:uid="{00000000-0005-0000-0000-00000A350000}"/>
    <cellStyle name="40% - Accent2 4 2 2 2 4 3 5" xfId="21382" xr:uid="{00000000-0005-0000-0000-00000B350000}"/>
    <cellStyle name="40% - Accent2 4 2 2 2 4 3 6" xfId="21383" xr:uid="{00000000-0005-0000-0000-00000C350000}"/>
    <cellStyle name="40% - Accent2 4 2 2 2 4 4" xfId="21384" xr:uid="{00000000-0005-0000-0000-00000D350000}"/>
    <cellStyle name="40% - Accent2 4 2 2 2 4 4 2" xfId="21385" xr:uid="{00000000-0005-0000-0000-00000E350000}"/>
    <cellStyle name="40% - Accent2 4 2 2 2 4 4 2 2" xfId="21386" xr:uid="{00000000-0005-0000-0000-00000F350000}"/>
    <cellStyle name="40% - Accent2 4 2 2 2 4 4 2 3" xfId="21387" xr:uid="{00000000-0005-0000-0000-000010350000}"/>
    <cellStyle name="40% - Accent2 4 2 2 2 4 4 3" xfId="21388" xr:uid="{00000000-0005-0000-0000-000011350000}"/>
    <cellStyle name="40% - Accent2 4 2 2 2 4 4 3 2" xfId="21389" xr:uid="{00000000-0005-0000-0000-000012350000}"/>
    <cellStyle name="40% - Accent2 4 2 2 2 4 4 4" xfId="21390" xr:uid="{00000000-0005-0000-0000-000013350000}"/>
    <cellStyle name="40% - Accent2 4 2 2 2 4 4 5" xfId="21391" xr:uid="{00000000-0005-0000-0000-000014350000}"/>
    <cellStyle name="40% - Accent2 4 2 2 2 4 5" xfId="21392" xr:uid="{00000000-0005-0000-0000-000015350000}"/>
    <cellStyle name="40% - Accent2 4 2 2 2 4 5 2" xfId="21393" xr:uid="{00000000-0005-0000-0000-000016350000}"/>
    <cellStyle name="40% - Accent2 4 2 2 2 4 5 3" xfId="21394" xr:uid="{00000000-0005-0000-0000-000017350000}"/>
    <cellStyle name="40% - Accent2 4 2 2 2 4 6" xfId="21395" xr:uid="{00000000-0005-0000-0000-000018350000}"/>
    <cellStyle name="40% - Accent2 4 2 2 2 4 6 2" xfId="21396" xr:uid="{00000000-0005-0000-0000-000019350000}"/>
    <cellStyle name="40% - Accent2 4 2 2 2 4 6 3" xfId="21397" xr:uid="{00000000-0005-0000-0000-00001A350000}"/>
    <cellStyle name="40% - Accent2 4 2 2 2 4 7" xfId="21398" xr:uid="{00000000-0005-0000-0000-00001B350000}"/>
    <cellStyle name="40% - Accent2 4 2 2 2 4 7 2" xfId="21399" xr:uid="{00000000-0005-0000-0000-00001C350000}"/>
    <cellStyle name="40% - Accent2 4 2 2 2 4 8" xfId="21400" xr:uid="{00000000-0005-0000-0000-00001D350000}"/>
    <cellStyle name="40% - Accent2 4 2 2 2 4 9" xfId="21401" xr:uid="{00000000-0005-0000-0000-00001E350000}"/>
    <cellStyle name="40% - Accent2 4 2 2 2 5" xfId="21402" xr:uid="{00000000-0005-0000-0000-00001F350000}"/>
    <cellStyle name="40% - Accent2 4 2 2 2 5 2" xfId="21403" xr:uid="{00000000-0005-0000-0000-000020350000}"/>
    <cellStyle name="40% - Accent2 4 2 2 2 5 2 2" xfId="21404" xr:uid="{00000000-0005-0000-0000-000021350000}"/>
    <cellStyle name="40% - Accent2 4 2 2 2 5 2 3" xfId="21405" xr:uid="{00000000-0005-0000-0000-000022350000}"/>
    <cellStyle name="40% - Accent2 4 2 2 2 5 3" xfId="21406" xr:uid="{00000000-0005-0000-0000-000023350000}"/>
    <cellStyle name="40% - Accent2 4 2 2 2 5 3 2" xfId="21407" xr:uid="{00000000-0005-0000-0000-000024350000}"/>
    <cellStyle name="40% - Accent2 4 2 2 2 5 3 3" xfId="21408" xr:uid="{00000000-0005-0000-0000-000025350000}"/>
    <cellStyle name="40% - Accent2 4 2 2 2 5 4" xfId="21409" xr:uid="{00000000-0005-0000-0000-000026350000}"/>
    <cellStyle name="40% - Accent2 4 2 2 2 5 4 2" xfId="21410" xr:uid="{00000000-0005-0000-0000-000027350000}"/>
    <cellStyle name="40% - Accent2 4 2 2 2 5 5" xfId="21411" xr:uid="{00000000-0005-0000-0000-000028350000}"/>
    <cellStyle name="40% - Accent2 4 2 2 2 5 6" xfId="21412" xr:uid="{00000000-0005-0000-0000-000029350000}"/>
    <cellStyle name="40% - Accent2 4 2 2 2 6" xfId="21413" xr:uid="{00000000-0005-0000-0000-00002A350000}"/>
    <cellStyle name="40% - Accent2 4 2 2 2 6 2" xfId="21414" xr:uid="{00000000-0005-0000-0000-00002B350000}"/>
    <cellStyle name="40% - Accent2 4 2 2 2 6 2 2" xfId="21415" xr:uid="{00000000-0005-0000-0000-00002C350000}"/>
    <cellStyle name="40% - Accent2 4 2 2 2 6 2 3" xfId="21416" xr:uid="{00000000-0005-0000-0000-00002D350000}"/>
    <cellStyle name="40% - Accent2 4 2 2 2 6 3" xfId="21417" xr:uid="{00000000-0005-0000-0000-00002E350000}"/>
    <cellStyle name="40% - Accent2 4 2 2 2 6 3 2" xfId="21418" xr:uid="{00000000-0005-0000-0000-00002F350000}"/>
    <cellStyle name="40% - Accent2 4 2 2 2 6 3 3" xfId="21419" xr:uid="{00000000-0005-0000-0000-000030350000}"/>
    <cellStyle name="40% - Accent2 4 2 2 2 6 4" xfId="21420" xr:uid="{00000000-0005-0000-0000-000031350000}"/>
    <cellStyle name="40% - Accent2 4 2 2 2 6 4 2" xfId="21421" xr:uid="{00000000-0005-0000-0000-000032350000}"/>
    <cellStyle name="40% - Accent2 4 2 2 2 6 5" xfId="21422" xr:uid="{00000000-0005-0000-0000-000033350000}"/>
    <cellStyle name="40% - Accent2 4 2 2 2 6 6" xfId="21423" xr:uid="{00000000-0005-0000-0000-000034350000}"/>
    <cellStyle name="40% - Accent2 4 2 2 2 7" xfId="21424" xr:uid="{00000000-0005-0000-0000-000035350000}"/>
    <cellStyle name="40% - Accent2 4 2 2 2 7 2" xfId="21425" xr:uid="{00000000-0005-0000-0000-000036350000}"/>
    <cellStyle name="40% - Accent2 4 2 2 2 7 2 2" xfId="21426" xr:uid="{00000000-0005-0000-0000-000037350000}"/>
    <cellStyle name="40% - Accent2 4 2 2 2 7 2 3" xfId="21427" xr:uid="{00000000-0005-0000-0000-000038350000}"/>
    <cellStyle name="40% - Accent2 4 2 2 2 7 3" xfId="21428" xr:uid="{00000000-0005-0000-0000-000039350000}"/>
    <cellStyle name="40% - Accent2 4 2 2 2 7 3 2" xfId="21429" xr:uid="{00000000-0005-0000-0000-00003A350000}"/>
    <cellStyle name="40% - Accent2 4 2 2 2 7 4" xfId="21430" xr:uid="{00000000-0005-0000-0000-00003B350000}"/>
    <cellStyle name="40% - Accent2 4 2 2 2 7 5" xfId="21431" xr:uid="{00000000-0005-0000-0000-00003C350000}"/>
    <cellStyle name="40% - Accent2 4 2 2 2 8" xfId="21432" xr:uid="{00000000-0005-0000-0000-00003D350000}"/>
    <cellStyle name="40% - Accent2 4 2 2 2 8 2" xfId="21433" xr:uid="{00000000-0005-0000-0000-00003E350000}"/>
    <cellStyle name="40% - Accent2 4 2 2 2 8 3" xfId="21434" xr:uid="{00000000-0005-0000-0000-00003F350000}"/>
    <cellStyle name="40% - Accent2 4 2 2 2 9" xfId="21435" xr:uid="{00000000-0005-0000-0000-000040350000}"/>
    <cellStyle name="40% - Accent2 4 2 2 2 9 2" xfId="21436" xr:uid="{00000000-0005-0000-0000-000041350000}"/>
    <cellStyle name="40% - Accent2 4 2 2 2 9 3" xfId="21437" xr:uid="{00000000-0005-0000-0000-000042350000}"/>
    <cellStyle name="40% - Accent2 4 2 2 3" xfId="1786" xr:uid="{00000000-0005-0000-0000-000043350000}"/>
    <cellStyle name="40% - Accent2 4 2 2 3 10" xfId="21438" xr:uid="{00000000-0005-0000-0000-000044350000}"/>
    <cellStyle name="40% - Accent2 4 2 2 3 2" xfId="1787" xr:uid="{00000000-0005-0000-0000-000045350000}"/>
    <cellStyle name="40% - Accent2 4 2 2 3 2 2" xfId="21439" xr:uid="{00000000-0005-0000-0000-000046350000}"/>
    <cellStyle name="40% - Accent2 4 2 2 3 2 2 2" xfId="21440" xr:uid="{00000000-0005-0000-0000-000047350000}"/>
    <cellStyle name="40% - Accent2 4 2 2 3 2 2 2 2" xfId="21441" xr:uid="{00000000-0005-0000-0000-000048350000}"/>
    <cellStyle name="40% - Accent2 4 2 2 3 2 2 2 3" xfId="21442" xr:uid="{00000000-0005-0000-0000-000049350000}"/>
    <cellStyle name="40% - Accent2 4 2 2 3 2 2 3" xfId="21443" xr:uid="{00000000-0005-0000-0000-00004A350000}"/>
    <cellStyle name="40% - Accent2 4 2 2 3 2 2 3 2" xfId="21444" xr:uid="{00000000-0005-0000-0000-00004B350000}"/>
    <cellStyle name="40% - Accent2 4 2 2 3 2 2 3 3" xfId="21445" xr:uid="{00000000-0005-0000-0000-00004C350000}"/>
    <cellStyle name="40% - Accent2 4 2 2 3 2 2 4" xfId="21446" xr:uid="{00000000-0005-0000-0000-00004D350000}"/>
    <cellStyle name="40% - Accent2 4 2 2 3 2 2 4 2" xfId="21447" xr:uid="{00000000-0005-0000-0000-00004E350000}"/>
    <cellStyle name="40% - Accent2 4 2 2 3 2 2 5" xfId="21448" xr:uid="{00000000-0005-0000-0000-00004F350000}"/>
    <cellStyle name="40% - Accent2 4 2 2 3 2 2 6" xfId="21449" xr:uid="{00000000-0005-0000-0000-000050350000}"/>
    <cellStyle name="40% - Accent2 4 2 2 3 2 3" xfId="21450" xr:uid="{00000000-0005-0000-0000-000051350000}"/>
    <cellStyle name="40% - Accent2 4 2 2 3 2 3 2" xfId="21451" xr:uid="{00000000-0005-0000-0000-000052350000}"/>
    <cellStyle name="40% - Accent2 4 2 2 3 2 3 2 2" xfId="21452" xr:uid="{00000000-0005-0000-0000-000053350000}"/>
    <cellStyle name="40% - Accent2 4 2 2 3 2 3 2 3" xfId="21453" xr:uid="{00000000-0005-0000-0000-000054350000}"/>
    <cellStyle name="40% - Accent2 4 2 2 3 2 3 3" xfId="21454" xr:uid="{00000000-0005-0000-0000-000055350000}"/>
    <cellStyle name="40% - Accent2 4 2 2 3 2 3 3 2" xfId="21455" xr:uid="{00000000-0005-0000-0000-000056350000}"/>
    <cellStyle name="40% - Accent2 4 2 2 3 2 3 3 3" xfId="21456" xr:uid="{00000000-0005-0000-0000-000057350000}"/>
    <cellStyle name="40% - Accent2 4 2 2 3 2 3 4" xfId="21457" xr:uid="{00000000-0005-0000-0000-000058350000}"/>
    <cellStyle name="40% - Accent2 4 2 2 3 2 3 4 2" xfId="21458" xr:uid="{00000000-0005-0000-0000-000059350000}"/>
    <cellStyle name="40% - Accent2 4 2 2 3 2 3 5" xfId="21459" xr:uid="{00000000-0005-0000-0000-00005A350000}"/>
    <cellStyle name="40% - Accent2 4 2 2 3 2 3 6" xfId="21460" xr:uid="{00000000-0005-0000-0000-00005B350000}"/>
    <cellStyle name="40% - Accent2 4 2 2 3 2 4" xfId="21461" xr:uid="{00000000-0005-0000-0000-00005C350000}"/>
    <cellStyle name="40% - Accent2 4 2 2 3 2 4 2" xfId="21462" xr:uid="{00000000-0005-0000-0000-00005D350000}"/>
    <cellStyle name="40% - Accent2 4 2 2 3 2 4 2 2" xfId="21463" xr:uid="{00000000-0005-0000-0000-00005E350000}"/>
    <cellStyle name="40% - Accent2 4 2 2 3 2 4 2 3" xfId="21464" xr:uid="{00000000-0005-0000-0000-00005F350000}"/>
    <cellStyle name="40% - Accent2 4 2 2 3 2 4 3" xfId="21465" xr:uid="{00000000-0005-0000-0000-000060350000}"/>
    <cellStyle name="40% - Accent2 4 2 2 3 2 4 3 2" xfId="21466" xr:uid="{00000000-0005-0000-0000-000061350000}"/>
    <cellStyle name="40% - Accent2 4 2 2 3 2 4 4" xfId="21467" xr:uid="{00000000-0005-0000-0000-000062350000}"/>
    <cellStyle name="40% - Accent2 4 2 2 3 2 4 5" xfId="21468" xr:uid="{00000000-0005-0000-0000-000063350000}"/>
    <cellStyle name="40% - Accent2 4 2 2 3 2 5" xfId="21469" xr:uid="{00000000-0005-0000-0000-000064350000}"/>
    <cellStyle name="40% - Accent2 4 2 2 3 2 5 2" xfId="21470" xr:uid="{00000000-0005-0000-0000-000065350000}"/>
    <cellStyle name="40% - Accent2 4 2 2 3 2 5 3" xfId="21471" xr:uid="{00000000-0005-0000-0000-000066350000}"/>
    <cellStyle name="40% - Accent2 4 2 2 3 2 6" xfId="21472" xr:uid="{00000000-0005-0000-0000-000067350000}"/>
    <cellStyle name="40% - Accent2 4 2 2 3 2 6 2" xfId="21473" xr:uid="{00000000-0005-0000-0000-000068350000}"/>
    <cellStyle name="40% - Accent2 4 2 2 3 2 6 3" xfId="21474" xr:uid="{00000000-0005-0000-0000-000069350000}"/>
    <cellStyle name="40% - Accent2 4 2 2 3 2 7" xfId="21475" xr:uid="{00000000-0005-0000-0000-00006A350000}"/>
    <cellStyle name="40% - Accent2 4 2 2 3 2 7 2" xfId="21476" xr:uid="{00000000-0005-0000-0000-00006B350000}"/>
    <cellStyle name="40% - Accent2 4 2 2 3 2 8" xfId="21477" xr:uid="{00000000-0005-0000-0000-00006C350000}"/>
    <cellStyle name="40% - Accent2 4 2 2 3 2 9" xfId="21478" xr:uid="{00000000-0005-0000-0000-00006D350000}"/>
    <cellStyle name="40% - Accent2 4 2 2 3 3" xfId="21479" xr:uid="{00000000-0005-0000-0000-00006E350000}"/>
    <cellStyle name="40% - Accent2 4 2 2 3 3 2" xfId="21480" xr:uid="{00000000-0005-0000-0000-00006F350000}"/>
    <cellStyle name="40% - Accent2 4 2 2 3 3 2 2" xfId="21481" xr:uid="{00000000-0005-0000-0000-000070350000}"/>
    <cellStyle name="40% - Accent2 4 2 2 3 3 2 3" xfId="21482" xr:uid="{00000000-0005-0000-0000-000071350000}"/>
    <cellStyle name="40% - Accent2 4 2 2 3 3 3" xfId="21483" xr:uid="{00000000-0005-0000-0000-000072350000}"/>
    <cellStyle name="40% - Accent2 4 2 2 3 3 3 2" xfId="21484" xr:uid="{00000000-0005-0000-0000-000073350000}"/>
    <cellStyle name="40% - Accent2 4 2 2 3 3 3 3" xfId="21485" xr:uid="{00000000-0005-0000-0000-000074350000}"/>
    <cellStyle name="40% - Accent2 4 2 2 3 3 4" xfId="21486" xr:uid="{00000000-0005-0000-0000-000075350000}"/>
    <cellStyle name="40% - Accent2 4 2 2 3 3 4 2" xfId="21487" xr:uid="{00000000-0005-0000-0000-000076350000}"/>
    <cellStyle name="40% - Accent2 4 2 2 3 3 5" xfId="21488" xr:uid="{00000000-0005-0000-0000-000077350000}"/>
    <cellStyle name="40% - Accent2 4 2 2 3 3 6" xfId="21489" xr:uid="{00000000-0005-0000-0000-000078350000}"/>
    <cellStyle name="40% - Accent2 4 2 2 3 4" xfId="21490" xr:uid="{00000000-0005-0000-0000-000079350000}"/>
    <cellStyle name="40% - Accent2 4 2 2 3 4 2" xfId="21491" xr:uid="{00000000-0005-0000-0000-00007A350000}"/>
    <cellStyle name="40% - Accent2 4 2 2 3 4 2 2" xfId="21492" xr:uid="{00000000-0005-0000-0000-00007B350000}"/>
    <cellStyle name="40% - Accent2 4 2 2 3 4 2 3" xfId="21493" xr:uid="{00000000-0005-0000-0000-00007C350000}"/>
    <cellStyle name="40% - Accent2 4 2 2 3 4 3" xfId="21494" xr:uid="{00000000-0005-0000-0000-00007D350000}"/>
    <cellStyle name="40% - Accent2 4 2 2 3 4 3 2" xfId="21495" xr:uid="{00000000-0005-0000-0000-00007E350000}"/>
    <cellStyle name="40% - Accent2 4 2 2 3 4 3 3" xfId="21496" xr:uid="{00000000-0005-0000-0000-00007F350000}"/>
    <cellStyle name="40% - Accent2 4 2 2 3 4 4" xfId="21497" xr:uid="{00000000-0005-0000-0000-000080350000}"/>
    <cellStyle name="40% - Accent2 4 2 2 3 4 4 2" xfId="21498" xr:uid="{00000000-0005-0000-0000-000081350000}"/>
    <cellStyle name="40% - Accent2 4 2 2 3 4 5" xfId="21499" xr:uid="{00000000-0005-0000-0000-000082350000}"/>
    <cellStyle name="40% - Accent2 4 2 2 3 4 6" xfId="21500" xr:uid="{00000000-0005-0000-0000-000083350000}"/>
    <cellStyle name="40% - Accent2 4 2 2 3 5" xfId="21501" xr:uid="{00000000-0005-0000-0000-000084350000}"/>
    <cellStyle name="40% - Accent2 4 2 2 3 5 2" xfId="21502" xr:uid="{00000000-0005-0000-0000-000085350000}"/>
    <cellStyle name="40% - Accent2 4 2 2 3 5 2 2" xfId="21503" xr:uid="{00000000-0005-0000-0000-000086350000}"/>
    <cellStyle name="40% - Accent2 4 2 2 3 5 2 3" xfId="21504" xr:uid="{00000000-0005-0000-0000-000087350000}"/>
    <cellStyle name="40% - Accent2 4 2 2 3 5 3" xfId="21505" xr:uid="{00000000-0005-0000-0000-000088350000}"/>
    <cellStyle name="40% - Accent2 4 2 2 3 5 3 2" xfId="21506" xr:uid="{00000000-0005-0000-0000-000089350000}"/>
    <cellStyle name="40% - Accent2 4 2 2 3 5 4" xfId="21507" xr:uid="{00000000-0005-0000-0000-00008A350000}"/>
    <cellStyle name="40% - Accent2 4 2 2 3 5 5" xfId="21508" xr:uid="{00000000-0005-0000-0000-00008B350000}"/>
    <cellStyle name="40% - Accent2 4 2 2 3 6" xfId="21509" xr:uid="{00000000-0005-0000-0000-00008C350000}"/>
    <cellStyle name="40% - Accent2 4 2 2 3 6 2" xfId="21510" xr:uid="{00000000-0005-0000-0000-00008D350000}"/>
    <cellStyle name="40% - Accent2 4 2 2 3 6 3" xfId="21511" xr:uid="{00000000-0005-0000-0000-00008E350000}"/>
    <cellStyle name="40% - Accent2 4 2 2 3 7" xfId="21512" xr:uid="{00000000-0005-0000-0000-00008F350000}"/>
    <cellStyle name="40% - Accent2 4 2 2 3 7 2" xfId="21513" xr:uid="{00000000-0005-0000-0000-000090350000}"/>
    <cellStyle name="40% - Accent2 4 2 2 3 7 3" xfId="21514" xr:uid="{00000000-0005-0000-0000-000091350000}"/>
    <cellStyle name="40% - Accent2 4 2 2 3 8" xfId="21515" xr:uid="{00000000-0005-0000-0000-000092350000}"/>
    <cellStyle name="40% - Accent2 4 2 2 3 8 2" xfId="21516" xr:uid="{00000000-0005-0000-0000-000093350000}"/>
    <cellStyle name="40% - Accent2 4 2 2 3 9" xfId="21517" xr:uid="{00000000-0005-0000-0000-000094350000}"/>
    <cellStyle name="40% - Accent2 4 2 2 4" xfId="1788" xr:uid="{00000000-0005-0000-0000-000095350000}"/>
    <cellStyle name="40% - Accent2 4 2 2 4 2" xfId="21518" xr:uid="{00000000-0005-0000-0000-000096350000}"/>
    <cellStyle name="40% - Accent2 4 2 2 4 2 2" xfId="21519" xr:uid="{00000000-0005-0000-0000-000097350000}"/>
    <cellStyle name="40% - Accent2 4 2 2 4 2 2 2" xfId="21520" xr:uid="{00000000-0005-0000-0000-000098350000}"/>
    <cellStyle name="40% - Accent2 4 2 2 4 2 2 3" xfId="21521" xr:uid="{00000000-0005-0000-0000-000099350000}"/>
    <cellStyle name="40% - Accent2 4 2 2 4 2 3" xfId="21522" xr:uid="{00000000-0005-0000-0000-00009A350000}"/>
    <cellStyle name="40% - Accent2 4 2 2 4 2 3 2" xfId="21523" xr:uid="{00000000-0005-0000-0000-00009B350000}"/>
    <cellStyle name="40% - Accent2 4 2 2 4 2 3 3" xfId="21524" xr:uid="{00000000-0005-0000-0000-00009C350000}"/>
    <cellStyle name="40% - Accent2 4 2 2 4 2 4" xfId="21525" xr:uid="{00000000-0005-0000-0000-00009D350000}"/>
    <cellStyle name="40% - Accent2 4 2 2 4 2 4 2" xfId="21526" xr:uid="{00000000-0005-0000-0000-00009E350000}"/>
    <cellStyle name="40% - Accent2 4 2 2 4 2 5" xfId="21527" xr:uid="{00000000-0005-0000-0000-00009F350000}"/>
    <cellStyle name="40% - Accent2 4 2 2 4 2 6" xfId="21528" xr:uid="{00000000-0005-0000-0000-0000A0350000}"/>
    <cellStyle name="40% - Accent2 4 2 2 4 3" xfId="21529" xr:uid="{00000000-0005-0000-0000-0000A1350000}"/>
    <cellStyle name="40% - Accent2 4 2 2 4 3 2" xfId="21530" xr:uid="{00000000-0005-0000-0000-0000A2350000}"/>
    <cellStyle name="40% - Accent2 4 2 2 4 3 2 2" xfId="21531" xr:uid="{00000000-0005-0000-0000-0000A3350000}"/>
    <cellStyle name="40% - Accent2 4 2 2 4 3 2 3" xfId="21532" xr:uid="{00000000-0005-0000-0000-0000A4350000}"/>
    <cellStyle name="40% - Accent2 4 2 2 4 3 3" xfId="21533" xr:uid="{00000000-0005-0000-0000-0000A5350000}"/>
    <cellStyle name="40% - Accent2 4 2 2 4 3 3 2" xfId="21534" xr:uid="{00000000-0005-0000-0000-0000A6350000}"/>
    <cellStyle name="40% - Accent2 4 2 2 4 3 3 3" xfId="21535" xr:uid="{00000000-0005-0000-0000-0000A7350000}"/>
    <cellStyle name="40% - Accent2 4 2 2 4 3 4" xfId="21536" xr:uid="{00000000-0005-0000-0000-0000A8350000}"/>
    <cellStyle name="40% - Accent2 4 2 2 4 3 4 2" xfId="21537" xr:uid="{00000000-0005-0000-0000-0000A9350000}"/>
    <cellStyle name="40% - Accent2 4 2 2 4 3 5" xfId="21538" xr:uid="{00000000-0005-0000-0000-0000AA350000}"/>
    <cellStyle name="40% - Accent2 4 2 2 4 3 6" xfId="21539" xr:uid="{00000000-0005-0000-0000-0000AB350000}"/>
    <cellStyle name="40% - Accent2 4 2 2 4 4" xfId="21540" xr:uid="{00000000-0005-0000-0000-0000AC350000}"/>
    <cellStyle name="40% - Accent2 4 2 2 4 4 2" xfId="21541" xr:uid="{00000000-0005-0000-0000-0000AD350000}"/>
    <cellStyle name="40% - Accent2 4 2 2 4 4 2 2" xfId="21542" xr:uid="{00000000-0005-0000-0000-0000AE350000}"/>
    <cellStyle name="40% - Accent2 4 2 2 4 4 2 3" xfId="21543" xr:uid="{00000000-0005-0000-0000-0000AF350000}"/>
    <cellStyle name="40% - Accent2 4 2 2 4 4 3" xfId="21544" xr:uid="{00000000-0005-0000-0000-0000B0350000}"/>
    <cellStyle name="40% - Accent2 4 2 2 4 4 3 2" xfId="21545" xr:uid="{00000000-0005-0000-0000-0000B1350000}"/>
    <cellStyle name="40% - Accent2 4 2 2 4 4 4" xfId="21546" xr:uid="{00000000-0005-0000-0000-0000B2350000}"/>
    <cellStyle name="40% - Accent2 4 2 2 4 4 5" xfId="21547" xr:uid="{00000000-0005-0000-0000-0000B3350000}"/>
    <cellStyle name="40% - Accent2 4 2 2 4 5" xfId="21548" xr:uid="{00000000-0005-0000-0000-0000B4350000}"/>
    <cellStyle name="40% - Accent2 4 2 2 4 5 2" xfId="21549" xr:uid="{00000000-0005-0000-0000-0000B5350000}"/>
    <cellStyle name="40% - Accent2 4 2 2 4 5 3" xfId="21550" xr:uid="{00000000-0005-0000-0000-0000B6350000}"/>
    <cellStyle name="40% - Accent2 4 2 2 4 6" xfId="21551" xr:uid="{00000000-0005-0000-0000-0000B7350000}"/>
    <cellStyle name="40% - Accent2 4 2 2 4 6 2" xfId="21552" xr:uid="{00000000-0005-0000-0000-0000B8350000}"/>
    <cellStyle name="40% - Accent2 4 2 2 4 6 3" xfId="21553" xr:uid="{00000000-0005-0000-0000-0000B9350000}"/>
    <cellStyle name="40% - Accent2 4 2 2 4 7" xfId="21554" xr:uid="{00000000-0005-0000-0000-0000BA350000}"/>
    <cellStyle name="40% - Accent2 4 2 2 4 7 2" xfId="21555" xr:uid="{00000000-0005-0000-0000-0000BB350000}"/>
    <cellStyle name="40% - Accent2 4 2 2 4 8" xfId="21556" xr:uid="{00000000-0005-0000-0000-0000BC350000}"/>
    <cellStyle name="40% - Accent2 4 2 2 4 9" xfId="21557" xr:uid="{00000000-0005-0000-0000-0000BD350000}"/>
    <cellStyle name="40% - Accent2 4 2 2 5" xfId="21558" xr:uid="{00000000-0005-0000-0000-0000BE350000}"/>
    <cellStyle name="40% - Accent2 4 2 2 5 2" xfId="21559" xr:uid="{00000000-0005-0000-0000-0000BF350000}"/>
    <cellStyle name="40% - Accent2 4 2 2 5 2 2" xfId="21560" xr:uid="{00000000-0005-0000-0000-0000C0350000}"/>
    <cellStyle name="40% - Accent2 4 2 2 5 2 2 2" xfId="21561" xr:uid="{00000000-0005-0000-0000-0000C1350000}"/>
    <cellStyle name="40% - Accent2 4 2 2 5 2 2 3" xfId="21562" xr:uid="{00000000-0005-0000-0000-0000C2350000}"/>
    <cellStyle name="40% - Accent2 4 2 2 5 2 3" xfId="21563" xr:uid="{00000000-0005-0000-0000-0000C3350000}"/>
    <cellStyle name="40% - Accent2 4 2 2 5 2 3 2" xfId="21564" xr:uid="{00000000-0005-0000-0000-0000C4350000}"/>
    <cellStyle name="40% - Accent2 4 2 2 5 2 3 3" xfId="21565" xr:uid="{00000000-0005-0000-0000-0000C5350000}"/>
    <cellStyle name="40% - Accent2 4 2 2 5 2 4" xfId="21566" xr:uid="{00000000-0005-0000-0000-0000C6350000}"/>
    <cellStyle name="40% - Accent2 4 2 2 5 2 4 2" xfId="21567" xr:uid="{00000000-0005-0000-0000-0000C7350000}"/>
    <cellStyle name="40% - Accent2 4 2 2 5 2 5" xfId="21568" xr:uid="{00000000-0005-0000-0000-0000C8350000}"/>
    <cellStyle name="40% - Accent2 4 2 2 5 2 6" xfId="21569" xr:uid="{00000000-0005-0000-0000-0000C9350000}"/>
    <cellStyle name="40% - Accent2 4 2 2 5 3" xfId="21570" xr:uid="{00000000-0005-0000-0000-0000CA350000}"/>
    <cellStyle name="40% - Accent2 4 2 2 5 3 2" xfId="21571" xr:uid="{00000000-0005-0000-0000-0000CB350000}"/>
    <cellStyle name="40% - Accent2 4 2 2 5 3 2 2" xfId="21572" xr:uid="{00000000-0005-0000-0000-0000CC350000}"/>
    <cellStyle name="40% - Accent2 4 2 2 5 3 2 3" xfId="21573" xr:uid="{00000000-0005-0000-0000-0000CD350000}"/>
    <cellStyle name="40% - Accent2 4 2 2 5 3 3" xfId="21574" xr:uid="{00000000-0005-0000-0000-0000CE350000}"/>
    <cellStyle name="40% - Accent2 4 2 2 5 3 3 2" xfId="21575" xr:uid="{00000000-0005-0000-0000-0000CF350000}"/>
    <cellStyle name="40% - Accent2 4 2 2 5 3 3 3" xfId="21576" xr:uid="{00000000-0005-0000-0000-0000D0350000}"/>
    <cellStyle name="40% - Accent2 4 2 2 5 3 4" xfId="21577" xr:uid="{00000000-0005-0000-0000-0000D1350000}"/>
    <cellStyle name="40% - Accent2 4 2 2 5 3 4 2" xfId="21578" xr:uid="{00000000-0005-0000-0000-0000D2350000}"/>
    <cellStyle name="40% - Accent2 4 2 2 5 3 5" xfId="21579" xr:uid="{00000000-0005-0000-0000-0000D3350000}"/>
    <cellStyle name="40% - Accent2 4 2 2 5 3 6" xfId="21580" xr:uid="{00000000-0005-0000-0000-0000D4350000}"/>
    <cellStyle name="40% - Accent2 4 2 2 5 4" xfId="21581" xr:uid="{00000000-0005-0000-0000-0000D5350000}"/>
    <cellStyle name="40% - Accent2 4 2 2 5 4 2" xfId="21582" xr:uid="{00000000-0005-0000-0000-0000D6350000}"/>
    <cellStyle name="40% - Accent2 4 2 2 5 4 2 2" xfId="21583" xr:uid="{00000000-0005-0000-0000-0000D7350000}"/>
    <cellStyle name="40% - Accent2 4 2 2 5 4 2 3" xfId="21584" xr:uid="{00000000-0005-0000-0000-0000D8350000}"/>
    <cellStyle name="40% - Accent2 4 2 2 5 4 3" xfId="21585" xr:uid="{00000000-0005-0000-0000-0000D9350000}"/>
    <cellStyle name="40% - Accent2 4 2 2 5 4 3 2" xfId="21586" xr:uid="{00000000-0005-0000-0000-0000DA350000}"/>
    <cellStyle name="40% - Accent2 4 2 2 5 4 4" xfId="21587" xr:uid="{00000000-0005-0000-0000-0000DB350000}"/>
    <cellStyle name="40% - Accent2 4 2 2 5 4 5" xfId="21588" xr:uid="{00000000-0005-0000-0000-0000DC350000}"/>
    <cellStyle name="40% - Accent2 4 2 2 5 5" xfId="21589" xr:uid="{00000000-0005-0000-0000-0000DD350000}"/>
    <cellStyle name="40% - Accent2 4 2 2 5 5 2" xfId="21590" xr:uid="{00000000-0005-0000-0000-0000DE350000}"/>
    <cellStyle name="40% - Accent2 4 2 2 5 5 3" xfId="21591" xr:uid="{00000000-0005-0000-0000-0000DF350000}"/>
    <cellStyle name="40% - Accent2 4 2 2 5 6" xfId="21592" xr:uid="{00000000-0005-0000-0000-0000E0350000}"/>
    <cellStyle name="40% - Accent2 4 2 2 5 6 2" xfId="21593" xr:uid="{00000000-0005-0000-0000-0000E1350000}"/>
    <cellStyle name="40% - Accent2 4 2 2 5 6 3" xfId="21594" xr:uid="{00000000-0005-0000-0000-0000E2350000}"/>
    <cellStyle name="40% - Accent2 4 2 2 5 7" xfId="21595" xr:uid="{00000000-0005-0000-0000-0000E3350000}"/>
    <cellStyle name="40% - Accent2 4 2 2 5 7 2" xfId="21596" xr:uid="{00000000-0005-0000-0000-0000E4350000}"/>
    <cellStyle name="40% - Accent2 4 2 2 5 8" xfId="21597" xr:uid="{00000000-0005-0000-0000-0000E5350000}"/>
    <cellStyle name="40% - Accent2 4 2 2 5 9" xfId="21598" xr:uid="{00000000-0005-0000-0000-0000E6350000}"/>
    <cellStyle name="40% - Accent2 4 2 2 6" xfId="21599" xr:uid="{00000000-0005-0000-0000-0000E7350000}"/>
    <cellStyle name="40% - Accent2 4 2 2 6 2" xfId="21600" xr:uid="{00000000-0005-0000-0000-0000E8350000}"/>
    <cellStyle name="40% - Accent2 4 2 2 6 2 2" xfId="21601" xr:uid="{00000000-0005-0000-0000-0000E9350000}"/>
    <cellStyle name="40% - Accent2 4 2 2 6 2 3" xfId="21602" xr:uid="{00000000-0005-0000-0000-0000EA350000}"/>
    <cellStyle name="40% - Accent2 4 2 2 6 3" xfId="21603" xr:uid="{00000000-0005-0000-0000-0000EB350000}"/>
    <cellStyle name="40% - Accent2 4 2 2 6 3 2" xfId="21604" xr:uid="{00000000-0005-0000-0000-0000EC350000}"/>
    <cellStyle name="40% - Accent2 4 2 2 6 3 3" xfId="21605" xr:uid="{00000000-0005-0000-0000-0000ED350000}"/>
    <cellStyle name="40% - Accent2 4 2 2 6 4" xfId="21606" xr:uid="{00000000-0005-0000-0000-0000EE350000}"/>
    <cellStyle name="40% - Accent2 4 2 2 6 4 2" xfId="21607" xr:uid="{00000000-0005-0000-0000-0000EF350000}"/>
    <cellStyle name="40% - Accent2 4 2 2 6 5" xfId="21608" xr:uid="{00000000-0005-0000-0000-0000F0350000}"/>
    <cellStyle name="40% - Accent2 4 2 2 6 6" xfId="21609" xr:uid="{00000000-0005-0000-0000-0000F1350000}"/>
    <cellStyle name="40% - Accent2 4 2 2 7" xfId="21610" xr:uid="{00000000-0005-0000-0000-0000F2350000}"/>
    <cellStyle name="40% - Accent2 4 2 2 7 2" xfId="21611" xr:uid="{00000000-0005-0000-0000-0000F3350000}"/>
    <cellStyle name="40% - Accent2 4 2 2 7 2 2" xfId="21612" xr:uid="{00000000-0005-0000-0000-0000F4350000}"/>
    <cellStyle name="40% - Accent2 4 2 2 7 2 3" xfId="21613" xr:uid="{00000000-0005-0000-0000-0000F5350000}"/>
    <cellStyle name="40% - Accent2 4 2 2 7 3" xfId="21614" xr:uid="{00000000-0005-0000-0000-0000F6350000}"/>
    <cellStyle name="40% - Accent2 4 2 2 7 3 2" xfId="21615" xr:uid="{00000000-0005-0000-0000-0000F7350000}"/>
    <cellStyle name="40% - Accent2 4 2 2 7 3 3" xfId="21616" xr:uid="{00000000-0005-0000-0000-0000F8350000}"/>
    <cellStyle name="40% - Accent2 4 2 2 7 4" xfId="21617" xr:uid="{00000000-0005-0000-0000-0000F9350000}"/>
    <cellStyle name="40% - Accent2 4 2 2 7 4 2" xfId="21618" xr:uid="{00000000-0005-0000-0000-0000FA350000}"/>
    <cellStyle name="40% - Accent2 4 2 2 7 5" xfId="21619" xr:uid="{00000000-0005-0000-0000-0000FB350000}"/>
    <cellStyle name="40% - Accent2 4 2 2 7 6" xfId="21620" xr:uid="{00000000-0005-0000-0000-0000FC350000}"/>
    <cellStyle name="40% - Accent2 4 2 2 8" xfId="21621" xr:uid="{00000000-0005-0000-0000-0000FD350000}"/>
    <cellStyle name="40% - Accent2 4 2 2 8 2" xfId="21622" xr:uid="{00000000-0005-0000-0000-0000FE350000}"/>
    <cellStyle name="40% - Accent2 4 2 2 8 2 2" xfId="21623" xr:uid="{00000000-0005-0000-0000-0000FF350000}"/>
    <cellStyle name="40% - Accent2 4 2 2 8 2 3" xfId="21624" xr:uid="{00000000-0005-0000-0000-000000360000}"/>
    <cellStyle name="40% - Accent2 4 2 2 8 3" xfId="21625" xr:uid="{00000000-0005-0000-0000-000001360000}"/>
    <cellStyle name="40% - Accent2 4 2 2 8 3 2" xfId="21626" xr:uid="{00000000-0005-0000-0000-000002360000}"/>
    <cellStyle name="40% - Accent2 4 2 2 8 4" xfId="21627" xr:uid="{00000000-0005-0000-0000-000003360000}"/>
    <cellStyle name="40% - Accent2 4 2 2 8 5" xfId="21628" xr:uid="{00000000-0005-0000-0000-000004360000}"/>
    <cellStyle name="40% - Accent2 4 2 2 9" xfId="21629" xr:uid="{00000000-0005-0000-0000-000005360000}"/>
    <cellStyle name="40% - Accent2 4 2 2 9 2" xfId="21630" xr:uid="{00000000-0005-0000-0000-000006360000}"/>
    <cellStyle name="40% - Accent2 4 2 2 9 3" xfId="21631" xr:uid="{00000000-0005-0000-0000-000007360000}"/>
    <cellStyle name="40% - Accent2 4 2 3" xfId="1789" xr:uid="{00000000-0005-0000-0000-000008360000}"/>
    <cellStyle name="40% - Accent2 4 2 3 10" xfId="21632" xr:uid="{00000000-0005-0000-0000-000009360000}"/>
    <cellStyle name="40% - Accent2 4 2 3 10 2" xfId="21633" xr:uid="{00000000-0005-0000-0000-00000A360000}"/>
    <cellStyle name="40% - Accent2 4 2 3 11" xfId="21634" xr:uid="{00000000-0005-0000-0000-00000B360000}"/>
    <cellStyle name="40% - Accent2 4 2 3 12" xfId="21635" xr:uid="{00000000-0005-0000-0000-00000C360000}"/>
    <cellStyle name="40% - Accent2 4 2 3 2" xfId="1790" xr:uid="{00000000-0005-0000-0000-00000D360000}"/>
    <cellStyle name="40% - Accent2 4 2 3 2 10" xfId="21636" xr:uid="{00000000-0005-0000-0000-00000E360000}"/>
    <cellStyle name="40% - Accent2 4 2 3 2 2" xfId="1791" xr:uid="{00000000-0005-0000-0000-00000F360000}"/>
    <cellStyle name="40% - Accent2 4 2 3 2 2 2" xfId="21637" xr:uid="{00000000-0005-0000-0000-000010360000}"/>
    <cellStyle name="40% - Accent2 4 2 3 2 2 2 2" xfId="21638" xr:uid="{00000000-0005-0000-0000-000011360000}"/>
    <cellStyle name="40% - Accent2 4 2 3 2 2 2 2 2" xfId="21639" xr:uid="{00000000-0005-0000-0000-000012360000}"/>
    <cellStyle name="40% - Accent2 4 2 3 2 2 2 2 3" xfId="21640" xr:uid="{00000000-0005-0000-0000-000013360000}"/>
    <cellStyle name="40% - Accent2 4 2 3 2 2 2 3" xfId="21641" xr:uid="{00000000-0005-0000-0000-000014360000}"/>
    <cellStyle name="40% - Accent2 4 2 3 2 2 2 3 2" xfId="21642" xr:uid="{00000000-0005-0000-0000-000015360000}"/>
    <cellStyle name="40% - Accent2 4 2 3 2 2 2 3 3" xfId="21643" xr:uid="{00000000-0005-0000-0000-000016360000}"/>
    <cellStyle name="40% - Accent2 4 2 3 2 2 2 4" xfId="21644" xr:uid="{00000000-0005-0000-0000-000017360000}"/>
    <cellStyle name="40% - Accent2 4 2 3 2 2 2 4 2" xfId="21645" xr:uid="{00000000-0005-0000-0000-000018360000}"/>
    <cellStyle name="40% - Accent2 4 2 3 2 2 2 5" xfId="21646" xr:uid="{00000000-0005-0000-0000-000019360000}"/>
    <cellStyle name="40% - Accent2 4 2 3 2 2 2 6" xfId="21647" xr:uid="{00000000-0005-0000-0000-00001A360000}"/>
    <cellStyle name="40% - Accent2 4 2 3 2 2 3" xfId="21648" xr:uid="{00000000-0005-0000-0000-00001B360000}"/>
    <cellStyle name="40% - Accent2 4 2 3 2 2 3 2" xfId="21649" xr:uid="{00000000-0005-0000-0000-00001C360000}"/>
    <cellStyle name="40% - Accent2 4 2 3 2 2 3 2 2" xfId="21650" xr:uid="{00000000-0005-0000-0000-00001D360000}"/>
    <cellStyle name="40% - Accent2 4 2 3 2 2 3 2 3" xfId="21651" xr:uid="{00000000-0005-0000-0000-00001E360000}"/>
    <cellStyle name="40% - Accent2 4 2 3 2 2 3 3" xfId="21652" xr:uid="{00000000-0005-0000-0000-00001F360000}"/>
    <cellStyle name="40% - Accent2 4 2 3 2 2 3 3 2" xfId="21653" xr:uid="{00000000-0005-0000-0000-000020360000}"/>
    <cellStyle name="40% - Accent2 4 2 3 2 2 3 3 3" xfId="21654" xr:uid="{00000000-0005-0000-0000-000021360000}"/>
    <cellStyle name="40% - Accent2 4 2 3 2 2 3 4" xfId="21655" xr:uid="{00000000-0005-0000-0000-000022360000}"/>
    <cellStyle name="40% - Accent2 4 2 3 2 2 3 4 2" xfId="21656" xr:uid="{00000000-0005-0000-0000-000023360000}"/>
    <cellStyle name="40% - Accent2 4 2 3 2 2 3 5" xfId="21657" xr:uid="{00000000-0005-0000-0000-000024360000}"/>
    <cellStyle name="40% - Accent2 4 2 3 2 2 3 6" xfId="21658" xr:uid="{00000000-0005-0000-0000-000025360000}"/>
    <cellStyle name="40% - Accent2 4 2 3 2 2 4" xfId="21659" xr:uid="{00000000-0005-0000-0000-000026360000}"/>
    <cellStyle name="40% - Accent2 4 2 3 2 2 4 2" xfId="21660" xr:uid="{00000000-0005-0000-0000-000027360000}"/>
    <cellStyle name="40% - Accent2 4 2 3 2 2 4 2 2" xfId="21661" xr:uid="{00000000-0005-0000-0000-000028360000}"/>
    <cellStyle name="40% - Accent2 4 2 3 2 2 4 2 3" xfId="21662" xr:uid="{00000000-0005-0000-0000-000029360000}"/>
    <cellStyle name="40% - Accent2 4 2 3 2 2 4 3" xfId="21663" xr:uid="{00000000-0005-0000-0000-00002A360000}"/>
    <cellStyle name="40% - Accent2 4 2 3 2 2 4 3 2" xfId="21664" xr:uid="{00000000-0005-0000-0000-00002B360000}"/>
    <cellStyle name="40% - Accent2 4 2 3 2 2 4 4" xfId="21665" xr:uid="{00000000-0005-0000-0000-00002C360000}"/>
    <cellStyle name="40% - Accent2 4 2 3 2 2 4 5" xfId="21666" xr:uid="{00000000-0005-0000-0000-00002D360000}"/>
    <cellStyle name="40% - Accent2 4 2 3 2 2 5" xfId="21667" xr:uid="{00000000-0005-0000-0000-00002E360000}"/>
    <cellStyle name="40% - Accent2 4 2 3 2 2 5 2" xfId="21668" xr:uid="{00000000-0005-0000-0000-00002F360000}"/>
    <cellStyle name="40% - Accent2 4 2 3 2 2 5 3" xfId="21669" xr:uid="{00000000-0005-0000-0000-000030360000}"/>
    <cellStyle name="40% - Accent2 4 2 3 2 2 6" xfId="21670" xr:uid="{00000000-0005-0000-0000-000031360000}"/>
    <cellStyle name="40% - Accent2 4 2 3 2 2 6 2" xfId="21671" xr:uid="{00000000-0005-0000-0000-000032360000}"/>
    <cellStyle name="40% - Accent2 4 2 3 2 2 6 3" xfId="21672" xr:uid="{00000000-0005-0000-0000-000033360000}"/>
    <cellStyle name="40% - Accent2 4 2 3 2 2 7" xfId="21673" xr:uid="{00000000-0005-0000-0000-000034360000}"/>
    <cellStyle name="40% - Accent2 4 2 3 2 2 7 2" xfId="21674" xr:uid="{00000000-0005-0000-0000-000035360000}"/>
    <cellStyle name="40% - Accent2 4 2 3 2 2 8" xfId="21675" xr:uid="{00000000-0005-0000-0000-000036360000}"/>
    <cellStyle name="40% - Accent2 4 2 3 2 2 9" xfId="21676" xr:uid="{00000000-0005-0000-0000-000037360000}"/>
    <cellStyle name="40% - Accent2 4 2 3 2 3" xfId="21677" xr:uid="{00000000-0005-0000-0000-000038360000}"/>
    <cellStyle name="40% - Accent2 4 2 3 2 3 2" xfId="21678" xr:uid="{00000000-0005-0000-0000-000039360000}"/>
    <cellStyle name="40% - Accent2 4 2 3 2 3 2 2" xfId="21679" xr:uid="{00000000-0005-0000-0000-00003A360000}"/>
    <cellStyle name="40% - Accent2 4 2 3 2 3 2 3" xfId="21680" xr:uid="{00000000-0005-0000-0000-00003B360000}"/>
    <cellStyle name="40% - Accent2 4 2 3 2 3 3" xfId="21681" xr:uid="{00000000-0005-0000-0000-00003C360000}"/>
    <cellStyle name="40% - Accent2 4 2 3 2 3 3 2" xfId="21682" xr:uid="{00000000-0005-0000-0000-00003D360000}"/>
    <cellStyle name="40% - Accent2 4 2 3 2 3 3 3" xfId="21683" xr:uid="{00000000-0005-0000-0000-00003E360000}"/>
    <cellStyle name="40% - Accent2 4 2 3 2 3 4" xfId="21684" xr:uid="{00000000-0005-0000-0000-00003F360000}"/>
    <cellStyle name="40% - Accent2 4 2 3 2 3 4 2" xfId="21685" xr:uid="{00000000-0005-0000-0000-000040360000}"/>
    <cellStyle name="40% - Accent2 4 2 3 2 3 5" xfId="21686" xr:uid="{00000000-0005-0000-0000-000041360000}"/>
    <cellStyle name="40% - Accent2 4 2 3 2 3 6" xfId="21687" xr:uid="{00000000-0005-0000-0000-000042360000}"/>
    <cellStyle name="40% - Accent2 4 2 3 2 4" xfId="21688" xr:uid="{00000000-0005-0000-0000-000043360000}"/>
    <cellStyle name="40% - Accent2 4 2 3 2 4 2" xfId="21689" xr:uid="{00000000-0005-0000-0000-000044360000}"/>
    <cellStyle name="40% - Accent2 4 2 3 2 4 2 2" xfId="21690" xr:uid="{00000000-0005-0000-0000-000045360000}"/>
    <cellStyle name="40% - Accent2 4 2 3 2 4 2 3" xfId="21691" xr:uid="{00000000-0005-0000-0000-000046360000}"/>
    <cellStyle name="40% - Accent2 4 2 3 2 4 3" xfId="21692" xr:uid="{00000000-0005-0000-0000-000047360000}"/>
    <cellStyle name="40% - Accent2 4 2 3 2 4 3 2" xfId="21693" xr:uid="{00000000-0005-0000-0000-000048360000}"/>
    <cellStyle name="40% - Accent2 4 2 3 2 4 3 3" xfId="21694" xr:uid="{00000000-0005-0000-0000-000049360000}"/>
    <cellStyle name="40% - Accent2 4 2 3 2 4 4" xfId="21695" xr:uid="{00000000-0005-0000-0000-00004A360000}"/>
    <cellStyle name="40% - Accent2 4 2 3 2 4 4 2" xfId="21696" xr:uid="{00000000-0005-0000-0000-00004B360000}"/>
    <cellStyle name="40% - Accent2 4 2 3 2 4 5" xfId="21697" xr:uid="{00000000-0005-0000-0000-00004C360000}"/>
    <cellStyle name="40% - Accent2 4 2 3 2 4 6" xfId="21698" xr:uid="{00000000-0005-0000-0000-00004D360000}"/>
    <cellStyle name="40% - Accent2 4 2 3 2 5" xfId="21699" xr:uid="{00000000-0005-0000-0000-00004E360000}"/>
    <cellStyle name="40% - Accent2 4 2 3 2 5 2" xfId="21700" xr:uid="{00000000-0005-0000-0000-00004F360000}"/>
    <cellStyle name="40% - Accent2 4 2 3 2 5 2 2" xfId="21701" xr:uid="{00000000-0005-0000-0000-000050360000}"/>
    <cellStyle name="40% - Accent2 4 2 3 2 5 2 3" xfId="21702" xr:uid="{00000000-0005-0000-0000-000051360000}"/>
    <cellStyle name="40% - Accent2 4 2 3 2 5 3" xfId="21703" xr:uid="{00000000-0005-0000-0000-000052360000}"/>
    <cellStyle name="40% - Accent2 4 2 3 2 5 3 2" xfId="21704" xr:uid="{00000000-0005-0000-0000-000053360000}"/>
    <cellStyle name="40% - Accent2 4 2 3 2 5 4" xfId="21705" xr:uid="{00000000-0005-0000-0000-000054360000}"/>
    <cellStyle name="40% - Accent2 4 2 3 2 5 5" xfId="21706" xr:uid="{00000000-0005-0000-0000-000055360000}"/>
    <cellStyle name="40% - Accent2 4 2 3 2 6" xfId="21707" xr:uid="{00000000-0005-0000-0000-000056360000}"/>
    <cellStyle name="40% - Accent2 4 2 3 2 6 2" xfId="21708" xr:uid="{00000000-0005-0000-0000-000057360000}"/>
    <cellStyle name="40% - Accent2 4 2 3 2 6 3" xfId="21709" xr:uid="{00000000-0005-0000-0000-000058360000}"/>
    <cellStyle name="40% - Accent2 4 2 3 2 7" xfId="21710" xr:uid="{00000000-0005-0000-0000-000059360000}"/>
    <cellStyle name="40% - Accent2 4 2 3 2 7 2" xfId="21711" xr:uid="{00000000-0005-0000-0000-00005A360000}"/>
    <cellStyle name="40% - Accent2 4 2 3 2 7 3" xfId="21712" xr:uid="{00000000-0005-0000-0000-00005B360000}"/>
    <cellStyle name="40% - Accent2 4 2 3 2 8" xfId="21713" xr:uid="{00000000-0005-0000-0000-00005C360000}"/>
    <cellStyle name="40% - Accent2 4 2 3 2 8 2" xfId="21714" xr:uid="{00000000-0005-0000-0000-00005D360000}"/>
    <cellStyle name="40% - Accent2 4 2 3 2 9" xfId="21715" xr:uid="{00000000-0005-0000-0000-00005E360000}"/>
    <cellStyle name="40% - Accent2 4 2 3 3" xfId="1792" xr:uid="{00000000-0005-0000-0000-00005F360000}"/>
    <cellStyle name="40% - Accent2 4 2 3 3 2" xfId="21716" xr:uid="{00000000-0005-0000-0000-000060360000}"/>
    <cellStyle name="40% - Accent2 4 2 3 3 2 2" xfId="21717" xr:uid="{00000000-0005-0000-0000-000061360000}"/>
    <cellStyle name="40% - Accent2 4 2 3 3 2 2 2" xfId="21718" xr:uid="{00000000-0005-0000-0000-000062360000}"/>
    <cellStyle name="40% - Accent2 4 2 3 3 2 2 3" xfId="21719" xr:uid="{00000000-0005-0000-0000-000063360000}"/>
    <cellStyle name="40% - Accent2 4 2 3 3 2 3" xfId="21720" xr:uid="{00000000-0005-0000-0000-000064360000}"/>
    <cellStyle name="40% - Accent2 4 2 3 3 2 3 2" xfId="21721" xr:uid="{00000000-0005-0000-0000-000065360000}"/>
    <cellStyle name="40% - Accent2 4 2 3 3 2 3 3" xfId="21722" xr:uid="{00000000-0005-0000-0000-000066360000}"/>
    <cellStyle name="40% - Accent2 4 2 3 3 2 4" xfId="21723" xr:uid="{00000000-0005-0000-0000-000067360000}"/>
    <cellStyle name="40% - Accent2 4 2 3 3 2 4 2" xfId="21724" xr:uid="{00000000-0005-0000-0000-000068360000}"/>
    <cellStyle name="40% - Accent2 4 2 3 3 2 5" xfId="21725" xr:uid="{00000000-0005-0000-0000-000069360000}"/>
    <cellStyle name="40% - Accent2 4 2 3 3 2 6" xfId="21726" xr:uid="{00000000-0005-0000-0000-00006A360000}"/>
    <cellStyle name="40% - Accent2 4 2 3 3 3" xfId="21727" xr:uid="{00000000-0005-0000-0000-00006B360000}"/>
    <cellStyle name="40% - Accent2 4 2 3 3 3 2" xfId="21728" xr:uid="{00000000-0005-0000-0000-00006C360000}"/>
    <cellStyle name="40% - Accent2 4 2 3 3 3 2 2" xfId="21729" xr:uid="{00000000-0005-0000-0000-00006D360000}"/>
    <cellStyle name="40% - Accent2 4 2 3 3 3 2 3" xfId="21730" xr:uid="{00000000-0005-0000-0000-00006E360000}"/>
    <cellStyle name="40% - Accent2 4 2 3 3 3 3" xfId="21731" xr:uid="{00000000-0005-0000-0000-00006F360000}"/>
    <cellStyle name="40% - Accent2 4 2 3 3 3 3 2" xfId="21732" xr:uid="{00000000-0005-0000-0000-000070360000}"/>
    <cellStyle name="40% - Accent2 4 2 3 3 3 3 3" xfId="21733" xr:uid="{00000000-0005-0000-0000-000071360000}"/>
    <cellStyle name="40% - Accent2 4 2 3 3 3 4" xfId="21734" xr:uid="{00000000-0005-0000-0000-000072360000}"/>
    <cellStyle name="40% - Accent2 4 2 3 3 3 4 2" xfId="21735" xr:uid="{00000000-0005-0000-0000-000073360000}"/>
    <cellStyle name="40% - Accent2 4 2 3 3 3 5" xfId="21736" xr:uid="{00000000-0005-0000-0000-000074360000}"/>
    <cellStyle name="40% - Accent2 4 2 3 3 3 6" xfId="21737" xr:uid="{00000000-0005-0000-0000-000075360000}"/>
    <cellStyle name="40% - Accent2 4 2 3 3 4" xfId="21738" xr:uid="{00000000-0005-0000-0000-000076360000}"/>
    <cellStyle name="40% - Accent2 4 2 3 3 4 2" xfId="21739" xr:uid="{00000000-0005-0000-0000-000077360000}"/>
    <cellStyle name="40% - Accent2 4 2 3 3 4 2 2" xfId="21740" xr:uid="{00000000-0005-0000-0000-000078360000}"/>
    <cellStyle name="40% - Accent2 4 2 3 3 4 2 3" xfId="21741" xr:uid="{00000000-0005-0000-0000-000079360000}"/>
    <cellStyle name="40% - Accent2 4 2 3 3 4 3" xfId="21742" xr:uid="{00000000-0005-0000-0000-00007A360000}"/>
    <cellStyle name="40% - Accent2 4 2 3 3 4 3 2" xfId="21743" xr:uid="{00000000-0005-0000-0000-00007B360000}"/>
    <cellStyle name="40% - Accent2 4 2 3 3 4 4" xfId="21744" xr:uid="{00000000-0005-0000-0000-00007C360000}"/>
    <cellStyle name="40% - Accent2 4 2 3 3 4 5" xfId="21745" xr:uid="{00000000-0005-0000-0000-00007D360000}"/>
    <cellStyle name="40% - Accent2 4 2 3 3 5" xfId="21746" xr:uid="{00000000-0005-0000-0000-00007E360000}"/>
    <cellStyle name="40% - Accent2 4 2 3 3 5 2" xfId="21747" xr:uid="{00000000-0005-0000-0000-00007F360000}"/>
    <cellStyle name="40% - Accent2 4 2 3 3 5 3" xfId="21748" xr:uid="{00000000-0005-0000-0000-000080360000}"/>
    <cellStyle name="40% - Accent2 4 2 3 3 6" xfId="21749" xr:uid="{00000000-0005-0000-0000-000081360000}"/>
    <cellStyle name="40% - Accent2 4 2 3 3 6 2" xfId="21750" xr:uid="{00000000-0005-0000-0000-000082360000}"/>
    <cellStyle name="40% - Accent2 4 2 3 3 6 3" xfId="21751" xr:uid="{00000000-0005-0000-0000-000083360000}"/>
    <cellStyle name="40% - Accent2 4 2 3 3 7" xfId="21752" xr:uid="{00000000-0005-0000-0000-000084360000}"/>
    <cellStyle name="40% - Accent2 4 2 3 3 7 2" xfId="21753" xr:uid="{00000000-0005-0000-0000-000085360000}"/>
    <cellStyle name="40% - Accent2 4 2 3 3 8" xfId="21754" xr:uid="{00000000-0005-0000-0000-000086360000}"/>
    <cellStyle name="40% - Accent2 4 2 3 3 9" xfId="21755" xr:uid="{00000000-0005-0000-0000-000087360000}"/>
    <cellStyle name="40% - Accent2 4 2 3 4" xfId="21756" xr:uid="{00000000-0005-0000-0000-000088360000}"/>
    <cellStyle name="40% - Accent2 4 2 3 4 2" xfId="21757" xr:uid="{00000000-0005-0000-0000-000089360000}"/>
    <cellStyle name="40% - Accent2 4 2 3 4 2 2" xfId="21758" xr:uid="{00000000-0005-0000-0000-00008A360000}"/>
    <cellStyle name="40% - Accent2 4 2 3 4 2 2 2" xfId="21759" xr:uid="{00000000-0005-0000-0000-00008B360000}"/>
    <cellStyle name="40% - Accent2 4 2 3 4 2 2 3" xfId="21760" xr:uid="{00000000-0005-0000-0000-00008C360000}"/>
    <cellStyle name="40% - Accent2 4 2 3 4 2 3" xfId="21761" xr:uid="{00000000-0005-0000-0000-00008D360000}"/>
    <cellStyle name="40% - Accent2 4 2 3 4 2 3 2" xfId="21762" xr:uid="{00000000-0005-0000-0000-00008E360000}"/>
    <cellStyle name="40% - Accent2 4 2 3 4 2 3 3" xfId="21763" xr:uid="{00000000-0005-0000-0000-00008F360000}"/>
    <cellStyle name="40% - Accent2 4 2 3 4 2 4" xfId="21764" xr:uid="{00000000-0005-0000-0000-000090360000}"/>
    <cellStyle name="40% - Accent2 4 2 3 4 2 4 2" xfId="21765" xr:uid="{00000000-0005-0000-0000-000091360000}"/>
    <cellStyle name="40% - Accent2 4 2 3 4 2 5" xfId="21766" xr:uid="{00000000-0005-0000-0000-000092360000}"/>
    <cellStyle name="40% - Accent2 4 2 3 4 2 6" xfId="21767" xr:uid="{00000000-0005-0000-0000-000093360000}"/>
    <cellStyle name="40% - Accent2 4 2 3 4 3" xfId="21768" xr:uid="{00000000-0005-0000-0000-000094360000}"/>
    <cellStyle name="40% - Accent2 4 2 3 4 3 2" xfId="21769" xr:uid="{00000000-0005-0000-0000-000095360000}"/>
    <cellStyle name="40% - Accent2 4 2 3 4 3 2 2" xfId="21770" xr:uid="{00000000-0005-0000-0000-000096360000}"/>
    <cellStyle name="40% - Accent2 4 2 3 4 3 2 3" xfId="21771" xr:uid="{00000000-0005-0000-0000-000097360000}"/>
    <cellStyle name="40% - Accent2 4 2 3 4 3 3" xfId="21772" xr:uid="{00000000-0005-0000-0000-000098360000}"/>
    <cellStyle name="40% - Accent2 4 2 3 4 3 3 2" xfId="21773" xr:uid="{00000000-0005-0000-0000-000099360000}"/>
    <cellStyle name="40% - Accent2 4 2 3 4 3 3 3" xfId="21774" xr:uid="{00000000-0005-0000-0000-00009A360000}"/>
    <cellStyle name="40% - Accent2 4 2 3 4 3 4" xfId="21775" xr:uid="{00000000-0005-0000-0000-00009B360000}"/>
    <cellStyle name="40% - Accent2 4 2 3 4 3 4 2" xfId="21776" xr:uid="{00000000-0005-0000-0000-00009C360000}"/>
    <cellStyle name="40% - Accent2 4 2 3 4 3 5" xfId="21777" xr:uid="{00000000-0005-0000-0000-00009D360000}"/>
    <cellStyle name="40% - Accent2 4 2 3 4 3 6" xfId="21778" xr:uid="{00000000-0005-0000-0000-00009E360000}"/>
    <cellStyle name="40% - Accent2 4 2 3 4 4" xfId="21779" xr:uid="{00000000-0005-0000-0000-00009F360000}"/>
    <cellStyle name="40% - Accent2 4 2 3 4 4 2" xfId="21780" xr:uid="{00000000-0005-0000-0000-0000A0360000}"/>
    <cellStyle name="40% - Accent2 4 2 3 4 4 2 2" xfId="21781" xr:uid="{00000000-0005-0000-0000-0000A1360000}"/>
    <cellStyle name="40% - Accent2 4 2 3 4 4 2 3" xfId="21782" xr:uid="{00000000-0005-0000-0000-0000A2360000}"/>
    <cellStyle name="40% - Accent2 4 2 3 4 4 3" xfId="21783" xr:uid="{00000000-0005-0000-0000-0000A3360000}"/>
    <cellStyle name="40% - Accent2 4 2 3 4 4 3 2" xfId="21784" xr:uid="{00000000-0005-0000-0000-0000A4360000}"/>
    <cellStyle name="40% - Accent2 4 2 3 4 4 4" xfId="21785" xr:uid="{00000000-0005-0000-0000-0000A5360000}"/>
    <cellStyle name="40% - Accent2 4 2 3 4 4 5" xfId="21786" xr:uid="{00000000-0005-0000-0000-0000A6360000}"/>
    <cellStyle name="40% - Accent2 4 2 3 4 5" xfId="21787" xr:uid="{00000000-0005-0000-0000-0000A7360000}"/>
    <cellStyle name="40% - Accent2 4 2 3 4 5 2" xfId="21788" xr:uid="{00000000-0005-0000-0000-0000A8360000}"/>
    <cellStyle name="40% - Accent2 4 2 3 4 5 3" xfId="21789" xr:uid="{00000000-0005-0000-0000-0000A9360000}"/>
    <cellStyle name="40% - Accent2 4 2 3 4 6" xfId="21790" xr:uid="{00000000-0005-0000-0000-0000AA360000}"/>
    <cellStyle name="40% - Accent2 4 2 3 4 6 2" xfId="21791" xr:uid="{00000000-0005-0000-0000-0000AB360000}"/>
    <cellStyle name="40% - Accent2 4 2 3 4 6 3" xfId="21792" xr:uid="{00000000-0005-0000-0000-0000AC360000}"/>
    <cellStyle name="40% - Accent2 4 2 3 4 7" xfId="21793" xr:uid="{00000000-0005-0000-0000-0000AD360000}"/>
    <cellStyle name="40% - Accent2 4 2 3 4 7 2" xfId="21794" xr:uid="{00000000-0005-0000-0000-0000AE360000}"/>
    <cellStyle name="40% - Accent2 4 2 3 4 8" xfId="21795" xr:uid="{00000000-0005-0000-0000-0000AF360000}"/>
    <cellStyle name="40% - Accent2 4 2 3 4 9" xfId="21796" xr:uid="{00000000-0005-0000-0000-0000B0360000}"/>
    <cellStyle name="40% - Accent2 4 2 3 5" xfId="21797" xr:uid="{00000000-0005-0000-0000-0000B1360000}"/>
    <cellStyle name="40% - Accent2 4 2 3 5 2" xfId="21798" xr:uid="{00000000-0005-0000-0000-0000B2360000}"/>
    <cellStyle name="40% - Accent2 4 2 3 5 2 2" xfId="21799" xr:uid="{00000000-0005-0000-0000-0000B3360000}"/>
    <cellStyle name="40% - Accent2 4 2 3 5 2 3" xfId="21800" xr:uid="{00000000-0005-0000-0000-0000B4360000}"/>
    <cellStyle name="40% - Accent2 4 2 3 5 3" xfId="21801" xr:uid="{00000000-0005-0000-0000-0000B5360000}"/>
    <cellStyle name="40% - Accent2 4 2 3 5 3 2" xfId="21802" xr:uid="{00000000-0005-0000-0000-0000B6360000}"/>
    <cellStyle name="40% - Accent2 4 2 3 5 3 3" xfId="21803" xr:uid="{00000000-0005-0000-0000-0000B7360000}"/>
    <cellStyle name="40% - Accent2 4 2 3 5 4" xfId="21804" xr:uid="{00000000-0005-0000-0000-0000B8360000}"/>
    <cellStyle name="40% - Accent2 4 2 3 5 4 2" xfId="21805" xr:uid="{00000000-0005-0000-0000-0000B9360000}"/>
    <cellStyle name="40% - Accent2 4 2 3 5 5" xfId="21806" xr:uid="{00000000-0005-0000-0000-0000BA360000}"/>
    <cellStyle name="40% - Accent2 4 2 3 5 6" xfId="21807" xr:uid="{00000000-0005-0000-0000-0000BB360000}"/>
    <cellStyle name="40% - Accent2 4 2 3 6" xfId="21808" xr:uid="{00000000-0005-0000-0000-0000BC360000}"/>
    <cellStyle name="40% - Accent2 4 2 3 6 2" xfId="21809" xr:uid="{00000000-0005-0000-0000-0000BD360000}"/>
    <cellStyle name="40% - Accent2 4 2 3 6 2 2" xfId="21810" xr:uid="{00000000-0005-0000-0000-0000BE360000}"/>
    <cellStyle name="40% - Accent2 4 2 3 6 2 3" xfId="21811" xr:uid="{00000000-0005-0000-0000-0000BF360000}"/>
    <cellStyle name="40% - Accent2 4 2 3 6 3" xfId="21812" xr:uid="{00000000-0005-0000-0000-0000C0360000}"/>
    <cellStyle name="40% - Accent2 4 2 3 6 3 2" xfId="21813" xr:uid="{00000000-0005-0000-0000-0000C1360000}"/>
    <cellStyle name="40% - Accent2 4 2 3 6 3 3" xfId="21814" xr:uid="{00000000-0005-0000-0000-0000C2360000}"/>
    <cellStyle name="40% - Accent2 4 2 3 6 4" xfId="21815" xr:uid="{00000000-0005-0000-0000-0000C3360000}"/>
    <cellStyle name="40% - Accent2 4 2 3 6 4 2" xfId="21816" xr:uid="{00000000-0005-0000-0000-0000C4360000}"/>
    <cellStyle name="40% - Accent2 4 2 3 6 5" xfId="21817" xr:uid="{00000000-0005-0000-0000-0000C5360000}"/>
    <cellStyle name="40% - Accent2 4 2 3 6 6" xfId="21818" xr:uid="{00000000-0005-0000-0000-0000C6360000}"/>
    <cellStyle name="40% - Accent2 4 2 3 7" xfId="21819" xr:uid="{00000000-0005-0000-0000-0000C7360000}"/>
    <cellStyle name="40% - Accent2 4 2 3 7 2" xfId="21820" xr:uid="{00000000-0005-0000-0000-0000C8360000}"/>
    <cellStyle name="40% - Accent2 4 2 3 7 2 2" xfId="21821" xr:uid="{00000000-0005-0000-0000-0000C9360000}"/>
    <cellStyle name="40% - Accent2 4 2 3 7 2 3" xfId="21822" xr:uid="{00000000-0005-0000-0000-0000CA360000}"/>
    <cellStyle name="40% - Accent2 4 2 3 7 3" xfId="21823" xr:uid="{00000000-0005-0000-0000-0000CB360000}"/>
    <cellStyle name="40% - Accent2 4 2 3 7 3 2" xfId="21824" xr:uid="{00000000-0005-0000-0000-0000CC360000}"/>
    <cellStyle name="40% - Accent2 4 2 3 7 4" xfId="21825" xr:uid="{00000000-0005-0000-0000-0000CD360000}"/>
    <cellStyle name="40% - Accent2 4 2 3 7 5" xfId="21826" xr:uid="{00000000-0005-0000-0000-0000CE360000}"/>
    <cellStyle name="40% - Accent2 4 2 3 8" xfId="21827" xr:uid="{00000000-0005-0000-0000-0000CF360000}"/>
    <cellStyle name="40% - Accent2 4 2 3 8 2" xfId="21828" xr:uid="{00000000-0005-0000-0000-0000D0360000}"/>
    <cellStyle name="40% - Accent2 4 2 3 8 3" xfId="21829" xr:uid="{00000000-0005-0000-0000-0000D1360000}"/>
    <cellStyle name="40% - Accent2 4 2 3 9" xfId="21830" xr:uid="{00000000-0005-0000-0000-0000D2360000}"/>
    <cellStyle name="40% - Accent2 4 2 3 9 2" xfId="21831" xr:uid="{00000000-0005-0000-0000-0000D3360000}"/>
    <cellStyle name="40% - Accent2 4 2 3 9 3" xfId="21832" xr:uid="{00000000-0005-0000-0000-0000D4360000}"/>
    <cellStyle name="40% - Accent2 4 2 4" xfId="1793" xr:uid="{00000000-0005-0000-0000-0000D5360000}"/>
    <cellStyle name="40% - Accent2 4 2 4 10" xfId="21833" xr:uid="{00000000-0005-0000-0000-0000D6360000}"/>
    <cellStyle name="40% - Accent2 4 2 4 2" xfId="1794" xr:uid="{00000000-0005-0000-0000-0000D7360000}"/>
    <cellStyle name="40% - Accent2 4 2 4 2 2" xfId="21834" xr:uid="{00000000-0005-0000-0000-0000D8360000}"/>
    <cellStyle name="40% - Accent2 4 2 4 2 2 2" xfId="21835" xr:uid="{00000000-0005-0000-0000-0000D9360000}"/>
    <cellStyle name="40% - Accent2 4 2 4 2 2 2 2" xfId="21836" xr:uid="{00000000-0005-0000-0000-0000DA360000}"/>
    <cellStyle name="40% - Accent2 4 2 4 2 2 2 3" xfId="21837" xr:uid="{00000000-0005-0000-0000-0000DB360000}"/>
    <cellStyle name="40% - Accent2 4 2 4 2 2 3" xfId="21838" xr:uid="{00000000-0005-0000-0000-0000DC360000}"/>
    <cellStyle name="40% - Accent2 4 2 4 2 2 3 2" xfId="21839" xr:uid="{00000000-0005-0000-0000-0000DD360000}"/>
    <cellStyle name="40% - Accent2 4 2 4 2 2 3 3" xfId="21840" xr:uid="{00000000-0005-0000-0000-0000DE360000}"/>
    <cellStyle name="40% - Accent2 4 2 4 2 2 4" xfId="21841" xr:uid="{00000000-0005-0000-0000-0000DF360000}"/>
    <cellStyle name="40% - Accent2 4 2 4 2 2 4 2" xfId="21842" xr:uid="{00000000-0005-0000-0000-0000E0360000}"/>
    <cellStyle name="40% - Accent2 4 2 4 2 2 5" xfId="21843" xr:uid="{00000000-0005-0000-0000-0000E1360000}"/>
    <cellStyle name="40% - Accent2 4 2 4 2 2 6" xfId="21844" xr:uid="{00000000-0005-0000-0000-0000E2360000}"/>
    <cellStyle name="40% - Accent2 4 2 4 2 3" xfId="21845" xr:uid="{00000000-0005-0000-0000-0000E3360000}"/>
    <cellStyle name="40% - Accent2 4 2 4 2 3 2" xfId="21846" xr:uid="{00000000-0005-0000-0000-0000E4360000}"/>
    <cellStyle name="40% - Accent2 4 2 4 2 3 2 2" xfId="21847" xr:uid="{00000000-0005-0000-0000-0000E5360000}"/>
    <cellStyle name="40% - Accent2 4 2 4 2 3 2 3" xfId="21848" xr:uid="{00000000-0005-0000-0000-0000E6360000}"/>
    <cellStyle name="40% - Accent2 4 2 4 2 3 3" xfId="21849" xr:uid="{00000000-0005-0000-0000-0000E7360000}"/>
    <cellStyle name="40% - Accent2 4 2 4 2 3 3 2" xfId="21850" xr:uid="{00000000-0005-0000-0000-0000E8360000}"/>
    <cellStyle name="40% - Accent2 4 2 4 2 3 3 3" xfId="21851" xr:uid="{00000000-0005-0000-0000-0000E9360000}"/>
    <cellStyle name="40% - Accent2 4 2 4 2 3 4" xfId="21852" xr:uid="{00000000-0005-0000-0000-0000EA360000}"/>
    <cellStyle name="40% - Accent2 4 2 4 2 3 4 2" xfId="21853" xr:uid="{00000000-0005-0000-0000-0000EB360000}"/>
    <cellStyle name="40% - Accent2 4 2 4 2 3 5" xfId="21854" xr:uid="{00000000-0005-0000-0000-0000EC360000}"/>
    <cellStyle name="40% - Accent2 4 2 4 2 3 6" xfId="21855" xr:uid="{00000000-0005-0000-0000-0000ED360000}"/>
    <cellStyle name="40% - Accent2 4 2 4 2 4" xfId="21856" xr:uid="{00000000-0005-0000-0000-0000EE360000}"/>
    <cellStyle name="40% - Accent2 4 2 4 2 4 2" xfId="21857" xr:uid="{00000000-0005-0000-0000-0000EF360000}"/>
    <cellStyle name="40% - Accent2 4 2 4 2 4 2 2" xfId="21858" xr:uid="{00000000-0005-0000-0000-0000F0360000}"/>
    <cellStyle name="40% - Accent2 4 2 4 2 4 2 3" xfId="21859" xr:uid="{00000000-0005-0000-0000-0000F1360000}"/>
    <cellStyle name="40% - Accent2 4 2 4 2 4 3" xfId="21860" xr:uid="{00000000-0005-0000-0000-0000F2360000}"/>
    <cellStyle name="40% - Accent2 4 2 4 2 4 3 2" xfId="21861" xr:uid="{00000000-0005-0000-0000-0000F3360000}"/>
    <cellStyle name="40% - Accent2 4 2 4 2 4 4" xfId="21862" xr:uid="{00000000-0005-0000-0000-0000F4360000}"/>
    <cellStyle name="40% - Accent2 4 2 4 2 4 5" xfId="21863" xr:uid="{00000000-0005-0000-0000-0000F5360000}"/>
    <cellStyle name="40% - Accent2 4 2 4 2 5" xfId="21864" xr:uid="{00000000-0005-0000-0000-0000F6360000}"/>
    <cellStyle name="40% - Accent2 4 2 4 2 5 2" xfId="21865" xr:uid="{00000000-0005-0000-0000-0000F7360000}"/>
    <cellStyle name="40% - Accent2 4 2 4 2 5 3" xfId="21866" xr:uid="{00000000-0005-0000-0000-0000F8360000}"/>
    <cellStyle name="40% - Accent2 4 2 4 2 6" xfId="21867" xr:uid="{00000000-0005-0000-0000-0000F9360000}"/>
    <cellStyle name="40% - Accent2 4 2 4 2 6 2" xfId="21868" xr:uid="{00000000-0005-0000-0000-0000FA360000}"/>
    <cellStyle name="40% - Accent2 4 2 4 2 6 3" xfId="21869" xr:uid="{00000000-0005-0000-0000-0000FB360000}"/>
    <cellStyle name="40% - Accent2 4 2 4 2 7" xfId="21870" xr:uid="{00000000-0005-0000-0000-0000FC360000}"/>
    <cellStyle name="40% - Accent2 4 2 4 2 7 2" xfId="21871" xr:uid="{00000000-0005-0000-0000-0000FD360000}"/>
    <cellStyle name="40% - Accent2 4 2 4 2 8" xfId="21872" xr:uid="{00000000-0005-0000-0000-0000FE360000}"/>
    <cellStyle name="40% - Accent2 4 2 4 2 9" xfId="21873" xr:uid="{00000000-0005-0000-0000-0000FF360000}"/>
    <cellStyle name="40% - Accent2 4 2 4 3" xfId="21874" xr:uid="{00000000-0005-0000-0000-000000370000}"/>
    <cellStyle name="40% - Accent2 4 2 4 3 2" xfId="21875" xr:uid="{00000000-0005-0000-0000-000001370000}"/>
    <cellStyle name="40% - Accent2 4 2 4 3 2 2" xfId="21876" xr:uid="{00000000-0005-0000-0000-000002370000}"/>
    <cellStyle name="40% - Accent2 4 2 4 3 2 3" xfId="21877" xr:uid="{00000000-0005-0000-0000-000003370000}"/>
    <cellStyle name="40% - Accent2 4 2 4 3 3" xfId="21878" xr:uid="{00000000-0005-0000-0000-000004370000}"/>
    <cellStyle name="40% - Accent2 4 2 4 3 3 2" xfId="21879" xr:uid="{00000000-0005-0000-0000-000005370000}"/>
    <cellStyle name="40% - Accent2 4 2 4 3 3 3" xfId="21880" xr:uid="{00000000-0005-0000-0000-000006370000}"/>
    <cellStyle name="40% - Accent2 4 2 4 3 4" xfId="21881" xr:uid="{00000000-0005-0000-0000-000007370000}"/>
    <cellStyle name="40% - Accent2 4 2 4 3 4 2" xfId="21882" xr:uid="{00000000-0005-0000-0000-000008370000}"/>
    <cellStyle name="40% - Accent2 4 2 4 3 5" xfId="21883" xr:uid="{00000000-0005-0000-0000-000009370000}"/>
    <cellStyle name="40% - Accent2 4 2 4 3 6" xfId="21884" xr:uid="{00000000-0005-0000-0000-00000A370000}"/>
    <cellStyle name="40% - Accent2 4 2 4 4" xfId="21885" xr:uid="{00000000-0005-0000-0000-00000B370000}"/>
    <cellStyle name="40% - Accent2 4 2 4 4 2" xfId="21886" xr:uid="{00000000-0005-0000-0000-00000C370000}"/>
    <cellStyle name="40% - Accent2 4 2 4 4 2 2" xfId="21887" xr:uid="{00000000-0005-0000-0000-00000D370000}"/>
    <cellStyle name="40% - Accent2 4 2 4 4 2 3" xfId="21888" xr:uid="{00000000-0005-0000-0000-00000E370000}"/>
    <cellStyle name="40% - Accent2 4 2 4 4 3" xfId="21889" xr:uid="{00000000-0005-0000-0000-00000F370000}"/>
    <cellStyle name="40% - Accent2 4 2 4 4 3 2" xfId="21890" xr:uid="{00000000-0005-0000-0000-000010370000}"/>
    <cellStyle name="40% - Accent2 4 2 4 4 3 3" xfId="21891" xr:uid="{00000000-0005-0000-0000-000011370000}"/>
    <cellStyle name="40% - Accent2 4 2 4 4 4" xfId="21892" xr:uid="{00000000-0005-0000-0000-000012370000}"/>
    <cellStyle name="40% - Accent2 4 2 4 4 4 2" xfId="21893" xr:uid="{00000000-0005-0000-0000-000013370000}"/>
    <cellStyle name="40% - Accent2 4 2 4 4 5" xfId="21894" xr:uid="{00000000-0005-0000-0000-000014370000}"/>
    <cellStyle name="40% - Accent2 4 2 4 4 6" xfId="21895" xr:uid="{00000000-0005-0000-0000-000015370000}"/>
    <cellStyle name="40% - Accent2 4 2 4 5" xfId="21896" xr:uid="{00000000-0005-0000-0000-000016370000}"/>
    <cellStyle name="40% - Accent2 4 2 4 5 2" xfId="21897" xr:uid="{00000000-0005-0000-0000-000017370000}"/>
    <cellStyle name="40% - Accent2 4 2 4 5 2 2" xfId="21898" xr:uid="{00000000-0005-0000-0000-000018370000}"/>
    <cellStyle name="40% - Accent2 4 2 4 5 2 3" xfId="21899" xr:uid="{00000000-0005-0000-0000-000019370000}"/>
    <cellStyle name="40% - Accent2 4 2 4 5 3" xfId="21900" xr:uid="{00000000-0005-0000-0000-00001A370000}"/>
    <cellStyle name="40% - Accent2 4 2 4 5 3 2" xfId="21901" xr:uid="{00000000-0005-0000-0000-00001B370000}"/>
    <cellStyle name="40% - Accent2 4 2 4 5 4" xfId="21902" xr:uid="{00000000-0005-0000-0000-00001C370000}"/>
    <cellStyle name="40% - Accent2 4 2 4 5 5" xfId="21903" xr:uid="{00000000-0005-0000-0000-00001D370000}"/>
    <cellStyle name="40% - Accent2 4 2 4 6" xfId="21904" xr:uid="{00000000-0005-0000-0000-00001E370000}"/>
    <cellStyle name="40% - Accent2 4 2 4 6 2" xfId="21905" xr:uid="{00000000-0005-0000-0000-00001F370000}"/>
    <cellStyle name="40% - Accent2 4 2 4 6 3" xfId="21906" xr:uid="{00000000-0005-0000-0000-000020370000}"/>
    <cellStyle name="40% - Accent2 4 2 4 7" xfId="21907" xr:uid="{00000000-0005-0000-0000-000021370000}"/>
    <cellStyle name="40% - Accent2 4 2 4 7 2" xfId="21908" xr:uid="{00000000-0005-0000-0000-000022370000}"/>
    <cellStyle name="40% - Accent2 4 2 4 7 3" xfId="21909" xr:uid="{00000000-0005-0000-0000-000023370000}"/>
    <cellStyle name="40% - Accent2 4 2 4 8" xfId="21910" xr:uid="{00000000-0005-0000-0000-000024370000}"/>
    <cellStyle name="40% - Accent2 4 2 4 8 2" xfId="21911" xr:uid="{00000000-0005-0000-0000-000025370000}"/>
    <cellStyle name="40% - Accent2 4 2 4 9" xfId="21912" xr:uid="{00000000-0005-0000-0000-000026370000}"/>
    <cellStyle name="40% - Accent2 4 2 5" xfId="1795" xr:uid="{00000000-0005-0000-0000-000027370000}"/>
    <cellStyle name="40% - Accent2 4 2 5 2" xfId="21913" xr:uid="{00000000-0005-0000-0000-000028370000}"/>
    <cellStyle name="40% - Accent2 4 2 5 2 2" xfId="21914" xr:uid="{00000000-0005-0000-0000-000029370000}"/>
    <cellStyle name="40% - Accent2 4 2 5 2 2 2" xfId="21915" xr:uid="{00000000-0005-0000-0000-00002A370000}"/>
    <cellStyle name="40% - Accent2 4 2 5 2 2 3" xfId="21916" xr:uid="{00000000-0005-0000-0000-00002B370000}"/>
    <cellStyle name="40% - Accent2 4 2 5 2 3" xfId="21917" xr:uid="{00000000-0005-0000-0000-00002C370000}"/>
    <cellStyle name="40% - Accent2 4 2 5 2 3 2" xfId="21918" xr:uid="{00000000-0005-0000-0000-00002D370000}"/>
    <cellStyle name="40% - Accent2 4 2 5 2 3 3" xfId="21919" xr:uid="{00000000-0005-0000-0000-00002E370000}"/>
    <cellStyle name="40% - Accent2 4 2 5 2 4" xfId="21920" xr:uid="{00000000-0005-0000-0000-00002F370000}"/>
    <cellStyle name="40% - Accent2 4 2 5 2 4 2" xfId="21921" xr:uid="{00000000-0005-0000-0000-000030370000}"/>
    <cellStyle name="40% - Accent2 4 2 5 2 5" xfId="21922" xr:uid="{00000000-0005-0000-0000-000031370000}"/>
    <cellStyle name="40% - Accent2 4 2 5 2 6" xfId="21923" xr:uid="{00000000-0005-0000-0000-000032370000}"/>
    <cellStyle name="40% - Accent2 4 2 5 3" xfId="21924" xr:uid="{00000000-0005-0000-0000-000033370000}"/>
    <cellStyle name="40% - Accent2 4 2 5 3 2" xfId="21925" xr:uid="{00000000-0005-0000-0000-000034370000}"/>
    <cellStyle name="40% - Accent2 4 2 5 3 2 2" xfId="21926" xr:uid="{00000000-0005-0000-0000-000035370000}"/>
    <cellStyle name="40% - Accent2 4 2 5 3 2 3" xfId="21927" xr:uid="{00000000-0005-0000-0000-000036370000}"/>
    <cellStyle name="40% - Accent2 4 2 5 3 3" xfId="21928" xr:uid="{00000000-0005-0000-0000-000037370000}"/>
    <cellStyle name="40% - Accent2 4 2 5 3 3 2" xfId="21929" xr:uid="{00000000-0005-0000-0000-000038370000}"/>
    <cellStyle name="40% - Accent2 4 2 5 3 3 3" xfId="21930" xr:uid="{00000000-0005-0000-0000-000039370000}"/>
    <cellStyle name="40% - Accent2 4 2 5 3 4" xfId="21931" xr:uid="{00000000-0005-0000-0000-00003A370000}"/>
    <cellStyle name="40% - Accent2 4 2 5 3 4 2" xfId="21932" xr:uid="{00000000-0005-0000-0000-00003B370000}"/>
    <cellStyle name="40% - Accent2 4 2 5 3 5" xfId="21933" xr:uid="{00000000-0005-0000-0000-00003C370000}"/>
    <cellStyle name="40% - Accent2 4 2 5 3 6" xfId="21934" xr:uid="{00000000-0005-0000-0000-00003D370000}"/>
    <cellStyle name="40% - Accent2 4 2 5 4" xfId="21935" xr:uid="{00000000-0005-0000-0000-00003E370000}"/>
    <cellStyle name="40% - Accent2 4 2 5 4 2" xfId="21936" xr:uid="{00000000-0005-0000-0000-00003F370000}"/>
    <cellStyle name="40% - Accent2 4 2 5 4 2 2" xfId="21937" xr:uid="{00000000-0005-0000-0000-000040370000}"/>
    <cellStyle name="40% - Accent2 4 2 5 4 2 3" xfId="21938" xr:uid="{00000000-0005-0000-0000-000041370000}"/>
    <cellStyle name="40% - Accent2 4 2 5 4 3" xfId="21939" xr:uid="{00000000-0005-0000-0000-000042370000}"/>
    <cellStyle name="40% - Accent2 4 2 5 4 3 2" xfId="21940" xr:uid="{00000000-0005-0000-0000-000043370000}"/>
    <cellStyle name="40% - Accent2 4 2 5 4 4" xfId="21941" xr:uid="{00000000-0005-0000-0000-000044370000}"/>
    <cellStyle name="40% - Accent2 4 2 5 4 5" xfId="21942" xr:uid="{00000000-0005-0000-0000-000045370000}"/>
    <cellStyle name="40% - Accent2 4 2 5 5" xfId="21943" xr:uid="{00000000-0005-0000-0000-000046370000}"/>
    <cellStyle name="40% - Accent2 4 2 5 5 2" xfId="21944" xr:uid="{00000000-0005-0000-0000-000047370000}"/>
    <cellStyle name="40% - Accent2 4 2 5 5 3" xfId="21945" xr:uid="{00000000-0005-0000-0000-000048370000}"/>
    <cellStyle name="40% - Accent2 4 2 5 6" xfId="21946" xr:uid="{00000000-0005-0000-0000-000049370000}"/>
    <cellStyle name="40% - Accent2 4 2 5 6 2" xfId="21947" xr:uid="{00000000-0005-0000-0000-00004A370000}"/>
    <cellStyle name="40% - Accent2 4 2 5 6 3" xfId="21948" xr:uid="{00000000-0005-0000-0000-00004B370000}"/>
    <cellStyle name="40% - Accent2 4 2 5 7" xfId="21949" xr:uid="{00000000-0005-0000-0000-00004C370000}"/>
    <cellStyle name="40% - Accent2 4 2 5 7 2" xfId="21950" xr:uid="{00000000-0005-0000-0000-00004D370000}"/>
    <cellStyle name="40% - Accent2 4 2 5 8" xfId="21951" xr:uid="{00000000-0005-0000-0000-00004E370000}"/>
    <cellStyle name="40% - Accent2 4 2 5 9" xfId="21952" xr:uid="{00000000-0005-0000-0000-00004F370000}"/>
    <cellStyle name="40% - Accent2 4 2 6" xfId="21953" xr:uid="{00000000-0005-0000-0000-000050370000}"/>
    <cellStyle name="40% - Accent2 4 2 6 2" xfId="21954" xr:uid="{00000000-0005-0000-0000-000051370000}"/>
    <cellStyle name="40% - Accent2 4 2 6 2 2" xfId="21955" xr:uid="{00000000-0005-0000-0000-000052370000}"/>
    <cellStyle name="40% - Accent2 4 2 6 2 2 2" xfId="21956" xr:uid="{00000000-0005-0000-0000-000053370000}"/>
    <cellStyle name="40% - Accent2 4 2 6 2 2 3" xfId="21957" xr:uid="{00000000-0005-0000-0000-000054370000}"/>
    <cellStyle name="40% - Accent2 4 2 6 2 3" xfId="21958" xr:uid="{00000000-0005-0000-0000-000055370000}"/>
    <cellStyle name="40% - Accent2 4 2 6 2 3 2" xfId="21959" xr:uid="{00000000-0005-0000-0000-000056370000}"/>
    <cellStyle name="40% - Accent2 4 2 6 2 3 3" xfId="21960" xr:uid="{00000000-0005-0000-0000-000057370000}"/>
    <cellStyle name="40% - Accent2 4 2 6 2 4" xfId="21961" xr:uid="{00000000-0005-0000-0000-000058370000}"/>
    <cellStyle name="40% - Accent2 4 2 6 2 4 2" xfId="21962" xr:uid="{00000000-0005-0000-0000-000059370000}"/>
    <cellStyle name="40% - Accent2 4 2 6 2 5" xfId="21963" xr:uid="{00000000-0005-0000-0000-00005A370000}"/>
    <cellStyle name="40% - Accent2 4 2 6 2 6" xfId="21964" xr:uid="{00000000-0005-0000-0000-00005B370000}"/>
    <cellStyle name="40% - Accent2 4 2 6 3" xfId="21965" xr:uid="{00000000-0005-0000-0000-00005C370000}"/>
    <cellStyle name="40% - Accent2 4 2 6 3 2" xfId="21966" xr:uid="{00000000-0005-0000-0000-00005D370000}"/>
    <cellStyle name="40% - Accent2 4 2 6 3 2 2" xfId="21967" xr:uid="{00000000-0005-0000-0000-00005E370000}"/>
    <cellStyle name="40% - Accent2 4 2 6 3 2 3" xfId="21968" xr:uid="{00000000-0005-0000-0000-00005F370000}"/>
    <cellStyle name="40% - Accent2 4 2 6 3 3" xfId="21969" xr:uid="{00000000-0005-0000-0000-000060370000}"/>
    <cellStyle name="40% - Accent2 4 2 6 3 3 2" xfId="21970" xr:uid="{00000000-0005-0000-0000-000061370000}"/>
    <cellStyle name="40% - Accent2 4 2 6 3 3 3" xfId="21971" xr:uid="{00000000-0005-0000-0000-000062370000}"/>
    <cellStyle name="40% - Accent2 4 2 6 3 4" xfId="21972" xr:uid="{00000000-0005-0000-0000-000063370000}"/>
    <cellStyle name="40% - Accent2 4 2 6 3 4 2" xfId="21973" xr:uid="{00000000-0005-0000-0000-000064370000}"/>
    <cellStyle name="40% - Accent2 4 2 6 3 5" xfId="21974" xr:uid="{00000000-0005-0000-0000-000065370000}"/>
    <cellStyle name="40% - Accent2 4 2 6 3 6" xfId="21975" xr:uid="{00000000-0005-0000-0000-000066370000}"/>
    <cellStyle name="40% - Accent2 4 2 6 4" xfId="21976" xr:uid="{00000000-0005-0000-0000-000067370000}"/>
    <cellStyle name="40% - Accent2 4 2 6 4 2" xfId="21977" xr:uid="{00000000-0005-0000-0000-000068370000}"/>
    <cellStyle name="40% - Accent2 4 2 6 4 2 2" xfId="21978" xr:uid="{00000000-0005-0000-0000-000069370000}"/>
    <cellStyle name="40% - Accent2 4 2 6 4 2 3" xfId="21979" xr:uid="{00000000-0005-0000-0000-00006A370000}"/>
    <cellStyle name="40% - Accent2 4 2 6 4 3" xfId="21980" xr:uid="{00000000-0005-0000-0000-00006B370000}"/>
    <cellStyle name="40% - Accent2 4 2 6 4 3 2" xfId="21981" xr:uid="{00000000-0005-0000-0000-00006C370000}"/>
    <cellStyle name="40% - Accent2 4 2 6 4 4" xfId="21982" xr:uid="{00000000-0005-0000-0000-00006D370000}"/>
    <cellStyle name="40% - Accent2 4 2 6 4 5" xfId="21983" xr:uid="{00000000-0005-0000-0000-00006E370000}"/>
    <cellStyle name="40% - Accent2 4 2 6 5" xfId="21984" xr:uid="{00000000-0005-0000-0000-00006F370000}"/>
    <cellStyle name="40% - Accent2 4 2 6 5 2" xfId="21985" xr:uid="{00000000-0005-0000-0000-000070370000}"/>
    <cellStyle name="40% - Accent2 4 2 6 5 3" xfId="21986" xr:uid="{00000000-0005-0000-0000-000071370000}"/>
    <cellStyle name="40% - Accent2 4 2 6 6" xfId="21987" xr:uid="{00000000-0005-0000-0000-000072370000}"/>
    <cellStyle name="40% - Accent2 4 2 6 6 2" xfId="21988" xr:uid="{00000000-0005-0000-0000-000073370000}"/>
    <cellStyle name="40% - Accent2 4 2 6 6 3" xfId="21989" xr:uid="{00000000-0005-0000-0000-000074370000}"/>
    <cellStyle name="40% - Accent2 4 2 6 7" xfId="21990" xr:uid="{00000000-0005-0000-0000-000075370000}"/>
    <cellStyle name="40% - Accent2 4 2 6 7 2" xfId="21991" xr:uid="{00000000-0005-0000-0000-000076370000}"/>
    <cellStyle name="40% - Accent2 4 2 6 8" xfId="21992" xr:uid="{00000000-0005-0000-0000-000077370000}"/>
    <cellStyle name="40% - Accent2 4 2 6 9" xfId="21993" xr:uid="{00000000-0005-0000-0000-000078370000}"/>
    <cellStyle name="40% - Accent2 4 2 7" xfId="21994" xr:uid="{00000000-0005-0000-0000-000079370000}"/>
    <cellStyle name="40% - Accent2 4 2 7 2" xfId="21995" xr:uid="{00000000-0005-0000-0000-00007A370000}"/>
    <cellStyle name="40% - Accent2 4 2 7 2 2" xfId="21996" xr:uid="{00000000-0005-0000-0000-00007B370000}"/>
    <cellStyle name="40% - Accent2 4 2 7 2 3" xfId="21997" xr:uid="{00000000-0005-0000-0000-00007C370000}"/>
    <cellStyle name="40% - Accent2 4 2 7 3" xfId="21998" xr:uid="{00000000-0005-0000-0000-00007D370000}"/>
    <cellStyle name="40% - Accent2 4 2 7 3 2" xfId="21999" xr:uid="{00000000-0005-0000-0000-00007E370000}"/>
    <cellStyle name="40% - Accent2 4 2 7 3 3" xfId="22000" xr:uid="{00000000-0005-0000-0000-00007F370000}"/>
    <cellStyle name="40% - Accent2 4 2 7 4" xfId="22001" xr:uid="{00000000-0005-0000-0000-000080370000}"/>
    <cellStyle name="40% - Accent2 4 2 7 4 2" xfId="22002" xr:uid="{00000000-0005-0000-0000-000081370000}"/>
    <cellStyle name="40% - Accent2 4 2 7 5" xfId="22003" xr:uid="{00000000-0005-0000-0000-000082370000}"/>
    <cellStyle name="40% - Accent2 4 2 7 6" xfId="22004" xr:uid="{00000000-0005-0000-0000-000083370000}"/>
    <cellStyle name="40% - Accent2 4 2 8" xfId="22005" xr:uid="{00000000-0005-0000-0000-000084370000}"/>
    <cellStyle name="40% - Accent2 4 2 8 2" xfId="22006" xr:uid="{00000000-0005-0000-0000-000085370000}"/>
    <cellStyle name="40% - Accent2 4 2 8 2 2" xfId="22007" xr:uid="{00000000-0005-0000-0000-000086370000}"/>
    <cellStyle name="40% - Accent2 4 2 8 2 3" xfId="22008" xr:uid="{00000000-0005-0000-0000-000087370000}"/>
    <cellStyle name="40% - Accent2 4 2 8 3" xfId="22009" xr:uid="{00000000-0005-0000-0000-000088370000}"/>
    <cellStyle name="40% - Accent2 4 2 8 3 2" xfId="22010" xr:uid="{00000000-0005-0000-0000-000089370000}"/>
    <cellStyle name="40% - Accent2 4 2 8 3 3" xfId="22011" xr:uid="{00000000-0005-0000-0000-00008A370000}"/>
    <cellStyle name="40% - Accent2 4 2 8 4" xfId="22012" xr:uid="{00000000-0005-0000-0000-00008B370000}"/>
    <cellStyle name="40% - Accent2 4 2 8 4 2" xfId="22013" xr:uid="{00000000-0005-0000-0000-00008C370000}"/>
    <cellStyle name="40% - Accent2 4 2 8 5" xfId="22014" xr:uid="{00000000-0005-0000-0000-00008D370000}"/>
    <cellStyle name="40% - Accent2 4 2 8 6" xfId="22015" xr:uid="{00000000-0005-0000-0000-00008E370000}"/>
    <cellStyle name="40% - Accent2 4 2 9" xfId="22016" xr:uid="{00000000-0005-0000-0000-00008F370000}"/>
    <cellStyle name="40% - Accent2 4 2 9 2" xfId="22017" xr:uid="{00000000-0005-0000-0000-000090370000}"/>
    <cellStyle name="40% - Accent2 4 2 9 2 2" xfId="22018" xr:uid="{00000000-0005-0000-0000-000091370000}"/>
    <cellStyle name="40% - Accent2 4 2 9 2 3" xfId="22019" xr:uid="{00000000-0005-0000-0000-000092370000}"/>
    <cellStyle name="40% - Accent2 4 2 9 3" xfId="22020" xr:uid="{00000000-0005-0000-0000-000093370000}"/>
    <cellStyle name="40% - Accent2 4 2 9 3 2" xfId="22021" xr:uid="{00000000-0005-0000-0000-000094370000}"/>
    <cellStyle name="40% - Accent2 4 2 9 4" xfId="22022" xr:uid="{00000000-0005-0000-0000-000095370000}"/>
    <cellStyle name="40% - Accent2 4 2 9 5" xfId="22023" xr:uid="{00000000-0005-0000-0000-000096370000}"/>
    <cellStyle name="40% - Accent2 4 3" xfId="1796" xr:uid="{00000000-0005-0000-0000-000097370000}"/>
    <cellStyle name="40% - Accent2 4 3 10" xfId="22024" xr:uid="{00000000-0005-0000-0000-000098370000}"/>
    <cellStyle name="40% - Accent2 4 3 10 2" xfId="22025" xr:uid="{00000000-0005-0000-0000-000099370000}"/>
    <cellStyle name="40% - Accent2 4 3 10 3" xfId="22026" xr:uid="{00000000-0005-0000-0000-00009A370000}"/>
    <cellStyle name="40% - Accent2 4 3 11" xfId="22027" xr:uid="{00000000-0005-0000-0000-00009B370000}"/>
    <cellStyle name="40% - Accent2 4 3 11 2" xfId="22028" xr:uid="{00000000-0005-0000-0000-00009C370000}"/>
    <cellStyle name="40% - Accent2 4 3 12" xfId="22029" xr:uid="{00000000-0005-0000-0000-00009D370000}"/>
    <cellStyle name="40% - Accent2 4 3 13" xfId="22030" xr:uid="{00000000-0005-0000-0000-00009E370000}"/>
    <cellStyle name="40% - Accent2 4 3 14" xfId="22031" xr:uid="{00000000-0005-0000-0000-00009F370000}"/>
    <cellStyle name="40% - Accent2 4 3 2" xfId="1797" xr:uid="{00000000-0005-0000-0000-0000A0370000}"/>
    <cellStyle name="40% - Accent2 4 3 2 10" xfId="22032" xr:uid="{00000000-0005-0000-0000-0000A1370000}"/>
    <cellStyle name="40% - Accent2 4 3 2 10 2" xfId="22033" xr:uid="{00000000-0005-0000-0000-0000A2370000}"/>
    <cellStyle name="40% - Accent2 4 3 2 11" xfId="22034" xr:uid="{00000000-0005-0000-0000-0000A3370000}"/>
    <cellStyle name="40% - Accent2 4 3 2 12" xfId="22035" xr:uid="{00000000-0005-0000-0000-0000A4370000}"/>
    <cellStyle name="40% - Accent2 4 3 2 2" xfId="1798" xr:uid="{00000000-0005-0000-0000-0000A5370000}"/>
    <cellStyle name="40% - Accent2 4 3 2 2 10" xfId="22036" xr:uid="{00000000-0005-0000-0000-0000A6370000}"/>
    <cellStyle name="40% - Accent2 4 3 2 2 2" xfId="1799" xr:uid="{00000000-0005-0000-0000-0000A7370000}"/>
    <cellStyle name="40% - Accent2 4 3 2 2 2 2" xfId="22037" xr:uid="{00000000-0005-0000-0000-0000A8370000}"/>
    <cellStyle name="40% - Accent2 4 3 2 2 2 2 2" xfId="22038" xr:uid="{00000000-0005-0000-0000-0000A9370000}"/>
    <cellStyle name="40% - Accent2 4 3 2 2 2 2 2 2" xfId="22039" xr:uid="{00000000-0005-0000-0000-0000AA370000}"/>
    <cellStyle name="40% - Accent2 4 3 2 2 2 2 2 3" xfId="22040" xr:uid="{00000000-0005-0000-0000-0000AB370000}"/>
    <cellStyle name="40% - Accent2 4 3 2 2 2 2 3" xfId="22041" xr:uid="{00000000-0005-0000-0000-0000AC370000}"/>
    <cellStyle name="40% - Accent2 4 3 2 2 2 2 3 2" xfId="22042" xr:uid="{00000000-0005-0000-0000-0000AD370000}"/>
    <cellStyle name="40% - Accent2 4 3 2 2 2 2 3 3" xfId="22043" xr:uid="{00000000-0005-0000-0000-0000AE370000}"/>
    <cellStyle name="40% - Accent2 4 3 2 2 2 2 4" xfId="22044" xr:uid="{00000000-0005-0000-0000-0000AF370000}"/>
    <cellStyle name="40% - Accent2 4 3 2 2 2 2 4 2" xfId="22045" xr:uid="{00000000-0005-0000-0000-0000B0370000}"/>
    <cellStyle name="40% - Accent2 4 3 2 2 2 2 5" xfId="22046" xr:uid="{00000000-0005-0000-0000-0000B1370000}"/>
    <cellStyle name="40% - Accent2 4 3 2 2 2 2 6" xfId="22047" xr:uid="{00000000-0005-0000-0000-0000B2370000}"/>
    <cellStyle name="40% - Accent2 4 3 2 2 2 3" xfId="22048" xr:uid="{00000000-0005-0000-0000-0000B3370000}"/>
    <cellStyle name="40% - Accent2 4 3 2 2 2 3 2" xfId="22049" xr:uid="{00000000-0005-0000-0000-0000B4370000}"/>
    <cellStyle name="40% - Accent2 4 3 2 2 2 3 2 2" xfId="22050" xr:uid="{00000000-0005-0000-0000-0000B5370000}"/>
    <cellStyle name="40% - Accent2 4 3 2 2 2 3 2 3" xfId="22051" xr:uid="{00000000-0005-0000-0000-0000B6370000}"/>
    <cellStyle name="40% - Accent2 4 3 2 2 2 3 3" xfId="22052" xr:uid="{00000000-0005-0000-0000-0000B7370000}"/>
    <cellStyle name="40% - Accent2 4 3 2 2 2 3 3 2" xfId="22053" xr:uid="{00000000-0005-0000-0000-0000B8370000}"/>
    <cellStyle name="40% - Accent2 4 3 2 2 2 3 3 3" xfId="22054" xr:uid="{00000000-0005-0000-0000-0000B9370000}"/>
    <cellStyle name="40% - Accent2 4 3 2 2 2 3 4" xfId="22055" xr:uid="{00000000-0005-0000-0000-0000BA370000}"/>
    <cellStyle name="40% - Accent2 4 3 2 2 2 3 4 2" xfId="22056" xr:uid="{00000000-0005-0000-0000-0000BB370000}"/>
    <cellStyle name="40% - Accent2 4 3 2 2 2 3 5" xfId="22057" xr:uid="{00000000-0005-0000-0000-0000BC370000}"/>
    <cellStyle name="40% - Accent2 4 3 2 2 2 3 6" xfId="22058" xr:uid="{00000000-0005-0000-0000-0000BD370000}"/>
    <cellStyle name="40% - Accent2 4 3 2 2 2 4" xfId="22059" xr:uid="{00000000-0005-0000-0000-0000BE370000}"/>
    <cellStyle name="40% - Accent2 4 3 2 2 2 4 2" xfId="22060" xr:uid="{00000000-0005-0000-0000-0000BF370000}"/>
    <cellStyle name="40% - Accent2 4 3 2 2 2 4 2 2" xfId="22061" xr:uid="{00000000-0005-0000-0000-0000C0370000}"/>
    <cellStyle name="40% - Accent2 4 3 2 2 2 4 2 3" xfId="22062" xr:uid="{00000000-0005-0000-0000-0000C1370000}"/>
    <cellStyle name="40% - Accent2 4 3 2 2 2 4 3" xfId="22063" xr:uid="{00000000-0005-0000-0000-0000C2370000}"/>
    <cellStyle name="40% - Accent2 4 3 2 2 2 4 3 2" xfId="22064" xr:uid="{00000000-0005-0000-0000-0000C3370000}"/>
    <cellStyle name="40% - Accent2 4 3 2 2 2 4 4" xfId="22065" xr:uid="{00000000-0005-0000-0000-0000C4370000}"/>
    <cellStyle name="40% - Accent2 4 3 2 2 2 4 5" xfId="22066" xr:uid="{00000000-0005-0000-0000-0000C5370000}"/>
    <cellStyle name="40% - Accent2 4 3 2 2 2 5" xfId="22067" xr:uid="{00000000-0005-0000-0000-0000C6370000}"/>
    <cellStyle name="40% - Accent2 4 3 2 2 2 5 2" xfId="22068" xr:uid="{00000000-0005-0000-0000-0000C7370000}"/>
    <cellStyle name="40% - Accent2 4 3 2 2 2 5 3" xfId="22069" xr:uid="{00000000-0005-0000-0000-0000C8370000}"/>
    <cellStyle name="40% - Accent2 4 3 2 2 2 6" xfId="22070" xr:uid="{00000000-0005-0000-0000-0000C9370000}"/>
    <cellStyle name="40% - Accent2 4 3 2 2 2 6 2" xfId="22071" xr:uid="{00000000-0005-0000-0000-0000CA370000}"/>
    <cellStyle name="40% - Accent2 4 3 2 2 2 6 3" xfId="22072" xr:uid="{00000000-0005-0000-0000-0000CB370000}"/>
    <cellStyle name="40% - Accent2 4 3 2 2 2 7" xfId="22073" xr:uid="{00000000-0005-0000-0000-0000CC370000}"/>
    <cellStyle name="40% - Accent2 4 3 2 2 2 7 2" xfId="22074" xr:uid="{00000000-0005-0000-0000-0000CD370000}"/>
    <cellStyle name="40% - Accent2 4 3 2 2 2 8" xfId="22075" xr:uid="{00000000-0005-0000-0000-0000CE370000}"/>
    <cellStyle name="40% - Accent2 4 3 2 2 2 9" xfId="22076" xr:uid="{00000000-0005-0000-0000-0000CF370000}"/>
    <cellStyle name="40% - Accent2 4 3 2 2 3" xfId="22077" xr:uid="{00000000-0005-0000-0000-0000D0370000}"/>
    <cellStyle name="40% - Accent2 4 3 2 2 3 2" xfId="22078" xr:uid="{00000000-0005-0000-0000-0000D1370000}"/>
    <cellStyle name="40% - Accent2 4 3 2 2 3 2 2" xfId="22079" xr:uid="{00000000-0005-0000-0000-0000D2370000}"/>
    <cellStyle name="40% - Accent2 4 3 2 2 3 2 3" xfId="22080" xr:uid="{00000000-0005-0000-0000-0000D3370000}"/>
    <cellStyle name="40% - Accent2 4 3 2 2 3 3" xfId="22081" xr:uid="{00000000-0005-0000-0000-0000D4370000}"/>
    <cellStyle name="40% - Accent2 4 3 2 2 3 3 2" xfId="22082" xr:uid="{00000000-0005-0000-0000-0000D5370000}"/>
    <cellStyle name="40% - Accent2 4 3 2 2 3 3 3" xfId="22083" xr:uid="{00000000-0005-0000-0000-0000D6370000}"/>
    <cellStyle name="40% - Accent2 4 3 2 2 3 4" xfId="22084" xr:uid="{00000000-0005-0000-0000-0000D7370000}"/>
    <cellStyle name="40% - Accent2 4 3 2 2 3 4 2" xfId="22085" xr:uid="{00000000-0005-0000-0000-0000D8370000}"/>
    <cellStyle name="40% - Accent2 4 3 2 2 3 5" xfId="22086" xr:uid="{00000000-0005-0000-0000-0000D9370000}"/>
    <cellStyle name="40% - Accent2 4 3 2 2 3 6" xfId="22087" xr:uid="{00000000-0005-0000-0000-0000DA370000}"/>
    <cellStyle name="40% - Accent2 4 3 2 2 4" xfId="22088" xr:uid="{00000000-0005-0000-0000-0000DB370000}"/>
    <cellStyle name="40% - Accent2 4 3 2 2 4 2" xfId="22089" xr:uid="{00000000-0005-0000-0000-0000DC370000}"/>
    <cellStyle name="40% - Accent2 4 3 2 2 4 2 2" xfId="22090" xr:uid="{00000000-0005-0000-0000-0000DD370000}"/>
    <cellStyle name="40% - Accent2 4 3 2 2 4 2 3" xfId="22091" xr:uid="{00000000-0005-0000-0000-0000DE370000}"/>
    <cellStyle name="40% - Accent2 4 3 2 2 4 3" xfId="22092" xr:uid="{00000000-0005-0000-0000-0000DF370000}"/>
    <cellStyle name="40% - Accent2 4 3 2 2 4 3 2" xfId="22093" xr:uid="{00000000-0005-0000-0000-0000E0370000}"/>
    <cellStyle name="40% - Accent2 4 3 2 2 4 3 3" xfId="22094" xr:uid="{00000000-0005-0000-0000-0000E1370000}"/>
    <cellStyle name="40% - Accent2 4 3 2 2 4 4" xfId="22095" xr:uid="{00000000-0005-0000-0000-0000E2370000}"/>
    <cellStyle name="40% - Accent2 4 3 2 2 4 4 2" xfId="22096" xr:uid="{00000000-0005-0000-0000-0000E3370000}"/>
    <cellStyle name="40% - Accent2 4 3 2 2 4 5" xfId="22097" xr:uid="{00000000-0005-0000-0000-0000E4370000}"/>
    <cellStyle name="40% - Accent2 4 3 2 2 4 6" xfId="22098" xr:uid="{00000000-0005-0000-0000-0000E5370000}"/>
    <cellStyle name="40% - Accent2 4 3 2 2 5" xfId="22099" xr:uid="{00000000-0005-0000-0000-0000E6370000}"/>
    <cellStyle name="40% - Accent2 4 3 2 2 5 2" xfId="22100" xr:uid="{00000000-0005-0000-0000-0000E7370000}"/>
    <cellStyle name="40% - Accent2 4 3 2 2 5 2 2" xfId="22101" xr:uid="{00000000-0005-0000-0000-0000E8370000}"/>
    <cellStyle name="40% - Accent2 4 3 2 2 5 2 3" xfId="22102" xr:uid="{00000000-0005-0000-0000-0000E9370000}"/>
    <cellStyle name="40% - Accent2 4 3 2 2 5 3" xfId="22103" xr:uid="{00000000-0005-0000-0000-0000EA370000}"/>
    <cellStyle name="40% - Accent2 4 3 2 2 5 3 2" xfId="22104" xr:uid="{00000000-0005-0000-0000-0000EB370000}"/>
    <cellStyle name="40% - Accent2 4 3 2 2 5 4" xfId="22105" xr:uid="{00000000-0005-0000-0000-0000EC370000}"/>
    <cellStyle name="40% - Accent2 4 3 2 2 5 5" xfId="22106" xr:uid="{00000000-0005-0000-0000-0000ED370000}"/>
    <cellStyle name="40% - Accent2 4 3 2 2 6" xfId="22107" xr:uid="{00000000-0005-0000-0000-0000EE370000}"/>
    <cellStyle name="40% - Accent2 4 3 2 2 6 2" xfId="22108" xr:uid="{00000000-0005-0000-0000-0000EF370000}"/>
    <cellStyle name="40% - Accent2 4 3 2 2 6 3" xfId="22109" xr:uid="{00000000-0005-0000-0000-0000F0370000}"/>
    <cellStyle name="40% - Accent2 4 3 2 2 7" xfId="22110" xr:uid="{00000000-0005-0000-0000-0000F1370000}"/>
    <cellStyle name="40% - Accent2 4 3 2 2 7 2" xfId="22111" xr:uid="{00000000-0005-0000-0000-0000F2370000}"/>
    <cellStyle name="40% - Accent2 4 3 2 2 7 3" xfId="22112" xr:uid="{00000000-0005-0000-0000-0000F3370000}"/>
    <cellStyle name="40% - Accent2 4 3 2 2 8" xfId="22113" xr:uid="{00000000-0005-0000-0000-0000F4370000}"/>
    <cellStyle name="40% - Accent2 4 3 2 2 8 2" xfId="22114" xr:uid="{00000000-0005-0000-0000-0000F5370000}"/>
    <cellStyle name="40% - Accent2 4 3 2 2 9" xfId="22115" xr:uid="{00000000-0005-0000-0000-0000F6370000}"/>
    <cellStyle name="40% - Accent2 4 3 2 3" xfId="1800" xr:uid="{00000000-0005-0000-0000-0000F7370000}"/>
    <cellStyle name="40% - Accent2 4 3 2 3 2" xfId="22116" xr:uid="{00000000-0005-0000-0000-0000F8370000}"/>
    <cellStyle name="40% - Accent2 4 3 2 3 2 2" xfId="22117" xr:uid="{00000000-0005-0000-0000-0000F9370000}"/>
    <cellStyle name="40% - Accent2 4 3 2 3 2 2 2" xfId="22118" xr:uid="{00000000-0005-0000-0000-0000FA370000}"/>
    <cellStyle name="40% - Accent2 4 3 2 3 2 2 3" xfId="22119" xr:uid="{00000000-0005-0000-0000-0000FB370000}"/>
    <cellStyle name="40% - Accent2 4 3 2 3 2 3" xfId="22120" xr:uid="{00000000-0005-0000-0000-0000FC370000}"/>
    <cellStyle name="40% - Accent2 4 3 2 3 2 3 2" xfId="22121" xr:uid="{00000000-0005-0000-0000-0000FD370000}"/>
    <cellStyle name="40% - Accent2 4 3 2 3 2 3 3" xfId="22122" xr:uid="{00000000-0005-0000-0000-0000FE370000}"/>
    <cellStyle name="40% - Accent2 4 3 2 3 2 4" xfId="22123" xr:uid="{00000000-0005-0000-0000-0000FF370000}"/>
    <cellStyle name="40% - Accent2 4 3 2 3 2 4 2" xfId="22124" xr:uid="{00000000-0005-0000-0000-000000380000}"/>
    <cellStyle name="40% - Accent2 4 3 2 3 2 5" xfId="22125" xr:uid="{00000000-0005-0000-0000-000001380000}"/>
    <cellStyle name="40% - Accent2 4 3 2 3 2 6" xfId="22126" xr:uid="{00000000-0005-0000-0000-000002380000}"/>
    <cellStyle name="40% - Accent2 4 3 2 3 3" xfId="22127" xr:uid="{00000000-0005-0000-0000-000003380000}"/>
    <cellStyle name="40% - Accent2 4 3 2 3 3 2" xfId="22128" xr:uid="{00000000-0005-0000-0000-000004380000}"/>
    <cellStyle name="40% - Accent2 4 3 2 3 3 2 2" xfId="22129" xr:uid="{00000000-0005-0000-0000-000005380000}"/>
    <cellStyle name="40% - Accent2 4 3 2 3 3 2 3" xfId="22130" xr:uid="{00000000-0005-0000-0000-000006380000}"/>
    <cellStyle name="40% - Accent2 4 3 2 3 3 3" xfId="22131" xr:uid="{00000000-0005-0000-0000-000007380000}"/>
    <cellStyle name="40% - Accent2 4 3 2 3 3 3 2" xfId="22132" xr:uid="{00000000-0005-0000-0000-000008380000}"/>
    <cellStyle name="40% - Accent2 4 3 2 3 3 3 3" xfId="22133" xr:uid="{00000000-0005-0000-0000-000009380000}"/>
    <cellStyle name="40% - Accent2 4 3 2 3 3 4" xfId="22134" xr:uid="{00000000-0005-0000-0000-00000A380000}"/>
    <cellStyle name="40% - Accent2 4 3 2 3 3 4 2" xfId="22135" xr:uid="{00000000-0005-0000-0000-00000B380000}"/>
    <cellStyle name="40% - Accent2 4 3 2 3 3 5" xfId="22136" xr:uid="{00000000-0005-0000-0000-00000C380000}"/>
    <cellStyle name="40% - Accent2 4 3 2 3 3 6" xfId="22137" xr:uid="{00000000-0005-0000-0000-00000D380000}"/>
    <cellStyle name="40% - Accent2 4 3 2 3 4" xfId="22138" xr:uid="{00000000-0005-0000-0000-00000E380000}"/>
    <cellStyle name="40% - Accent2 4 3 2 3 4 2" xfId="22139" xr:uid="{00000000-0005-0000-0000-00000F380000}"/>
    <cellStyle name="40% - Accent2 4 3 2 3 4 2 2" xfId="22140" xr:uid="{00000000-0005-0000-0000-000010380000}"/>
    <cellStyle name="40% - Accent2 4 3 2 3 4 2 3" xfId="22141" xr:uid="{00000000-0005-0000-0000-000011380000}"/>
    <cellStyle name="40% - Accent2 4 3 2 3 4 3" xfId="22142" xr:uid="{00000000-0005-0000-0000-000012380000}"/>
    <cellStyle name="40% - Accent2 4 3 2 3 4 3 2" xfId="22143" xr:uid="{00000000-0005-0000-0000-000013380000}"/>
    <cellStyle name="40% - Accent2 4 3 2 3 4 4" xfId="22144" xr:uid="{00000000-0005-0000-0000-000014380000}"/>
    <cellStyle name="40% - Accent2 4 3 2 3 4 5" xfId="22145" xr:uid="{00000000-0005-0000-0000-000015380000}"/>
    <cellStyle name="40% - Accent2 4 3 2 3 5" xfId="22146" xr:uid="{00000000-0005-0000-0000-000016380000}"/>
    <cellStyle name="40% - Accent2 4 3 2 3 5 2" xfId="22147" xr:uid="{00000000-0005-0000-0000-000017380000}"/>
    <cellStyle name="40% - Accent2 4 3 2 3 5 3" xfId="22148" xr:uid="{00000000-0005-0000-0000-000018380000}"/>
    <cellStyle name="40% - Accent2 4 3 2 3 6" xfId="22149" xr:uid="{00000000-0005-0000-0000-000019380000}"/>
    <cellStyle name="40% - Accent2 4 3 2 3 6 2" xfId="22150" xr:uid="{00000000-0005-0000-0000-00001A380000}"/>
    <cellStyle name="40% - Accent2 4 3 2 3 6 3" xfId="22151" xr:uid="{00000000-0005-0000-0000-00001B380000}"/>
    <cellStyle name="40% - Accent2 4 3 2 3 7" xfId="22152" xr:uid="{00000000-0005-0000-0000-00001C380000}"/>
    <cellStyle name="40% - Accent2 4 3 2 3 7 2" xfId="22153" xr:uid="{00000000-0005-0000-0000-00001D380000}"/>
    <cellStyle name="40% - Accent2 4 3 2 3 8" xfId="22154" xr:uid="{00000000-0005-0000-0000-00001E380000}"/>
    <cellStyle name="40% - Accent2 4 3 2 3 9" xfId="22155" xr:uid="{00000000-0005-0000-0000-00001F380000}"/>
    <cellStyle name="40% - Accent2 4 3 2 4" xfId="22156" xr:uid="{00000000-0005-0000-0000-000020380000}"/>
    <cellStyle name="40% - Accent2 4 3 2 4 2" xfId="22157" xr:uid="{00000000-0005-0000-0000-000021380000}"/>
    <cellStyle name="40% - Accent2 4 3 2 4 2 2" xfId="22158" xr:uid="{00000000-0005-0000-0000-000022380000}"/>
    <cellStyle name="40% - Accent2 4 3 2 4 2 2 2" xfId="22159" xr:uid="{00000000-0005-0000-0000-000023380000}"/>
    <cellStyle name="40% - Accent2 4 3 2 4 2 2 3" xfId="22160" xr:uid="{00000000-0005-0000-0000-000024380000}"/>
    <cellStyle name="40% - Accent2 4 3 2 4 2 3" xfId="22161" xr:uid="{00000000-0005-0000-0000-000025380000}"/>
    <cellStyle name="40% - Accent2 4 3 2 4 2 3 2" xfId="22162" xr:uid="{00000000-0005-0000-0000-000026380000}"/>
    <cellStyle name="40% - Accent2 4 3 2 4 2 3 3" xfId="22163" xr:uid="{00000000-0005-0000-0000-000027380000}"/>
    <cellStyle name="40% - Accent2 4 3 2 4 2 4" xfId="22164" xr:uid="{00000000-0005-0000-0000-000028380000}"/>
    <cellStyle name="40% - Accent2 4 3 2 4 2 4 2" xfId="22165" xr:uid="{00000000-0005-0000-0000-000029380000}"/>
    <cellStyle name="40% - Accent2 4 3 2 4 2 5" xfId="22166" xr:uid="{00000000-0005-0000-0000-00002A380000}"/>
    <cellStyle name="40% - Accent2 4 3 2 4 2 6" xfId="22167" xr:uid="{00000000-0005-0000-0000-00002B380000}"/>
    <cellStyle name="40% - Accent2 4 3 2 4 3" xfId="22168" xr:uid="{00000000-0005-0000-0000-00002C380000}"/>
    <cellStyle name="40% - Accent2 4 3 2 4 3 2" xfId="22169" xr:uid="{00000000-0005-0000-0000-00002D380000}"/>
    <cellStyle name="40% - Accent2 4 3 2 4 3 2 2" xfId="22170" xr:uid="{00000000-0005-0000-0000-00002E380000}"/>
    <cellStyle name="40% - Accent2 4 3 2 4 3 2 3" xfId="22171" xr:uid="{00000000-0005-0000-0000-00002F380000}"/>
    <cellStyle name="40% - Accent2 4 3 2 4 3 3" xfId="22172" xr:uid="{00000000-0005-0000-0000-000030380000}"/>
    <cellStyle name="40% - Accent2 4 3 2 4 3 3 2" xfId="22173" xr:uid="{00000000-0005-0000-0000-000031380000}"/>
    <cellStyle name="40% - Accent2 4 3 2 4 3 3 3" xfId="22174" xr:uid="{00000000-0005-0000-0000-000032380000}"/>
    <cellStyle name="40% - Accent2 4 3 2 4 3 4" xfId="22175" xr:uid="{00000000-0005-0000-0000-000033380000}"/>
    <cellStyle name="40% - Accent2 4 3 2 4 3 4 2" xfId="22176" xr:uid="{00000000-0005-0000-0000-000034380000}"/>
    <cellStyle name="40% - Accent2 4 3 2 4 3 5" xfId="22177" xr:uid="{00000000-0005-0000-0000-000035380000}"/>
    <cellStyle name="40% - Accent2 4 3 2 4 3 6" xfId="22178" xr:uid="{00000000-0005-0000-0000-000036380000}"/>
    <cellStyle name="40% - Accent2 4 3 2 4 4" xfId="22179" xr:uid="{00000000-0005-0000-0000-000037380000}"/>
    <cellStyle name="40% - Accent2 4 3 2 4 4 2" xfId="22180" xr:uid="{00000000-0005-0000-0000-000038380000}"/>
    <cellStyle name="40% - Accent2 4 3 2 4 4 2 2" xfId="22181" xr:uid="{00000000-0005-0000-0000-000039380000}"/>
    <cellStyle name="40% - Accent2 4 3 2 4 4 2 3" xfId="22182" xr:uid="{00000000-0005-0000-0000-00003A380000}"/>
    <cellStyle name="40% - Accent2 4 3 2 4 4 3" xfId="22183" xr:uid="{00000000-0005-0000-0000-00003B380000}"/>
    <cellStyle name="40% - Accent2 4 3 2 4 4 3 2" xfId="22184" xr:uid="{00000000-0005-0000-0000-00003C380000}"/>
    <cellStyle name="40% - Accent2 4 3 2 4 4 4" xfId="22185" xr:uid="{00000000-0005-0000-0000-00003D380000}"/>
    <cellStyle name="40% - Accent2 4 3 2 4 4 5" xfId="22186" xr:uid="{00000000-0005-0000-0000-00003E380000}"/>
    <cellStyle name="40% - Accent2 4 3 2 4 5" xfId="22187" xr:uid="{00000000-0005-0000-0000-00003F380000}"/>
    <cellStyle name="40% - Accent2 4 3 2 4 5 2" xfId="22188" xr:uid="{00000000-0005-0000-0000-000040380000}"/>
    <cellStyle name="40% - Accent2 4 3 2 4 5 3" xfId="22189" xr:uid="{00000000-0005-0000-0000-000041380000}"/>
    <cellStyle name="40% - Accent2 4 3 2 4 6" xfId="22190" xr:uid="{00000000-0005-0000-0000-000042380000}"/>
    <cellStyle name="40% - Accent2 4 3 2 4 6 2" xfId="22191" xr:uid="{00000000-0005-0000-0000-000043380000}"/>
    <cellStyle name="40% - Accent2 4 3 2 4 6 3" xfId="22192" xr:uid="{00000000-0005-0000-0000-000044380000}"/>
    <cellStyle name="40% - Accent2 4 3 2 4 7" xfId="22193" xr:uid="{00000000-0005-0000-0000-000045380000}"/>
    <cellStyle name="40% - Accent2 4 3 2 4 7 2" xfId="22194" xr:uid="{00000000-0005-0000-0000-000046380000}"/>
    <cellStyle name="40% - Accent2 4 3 2 4 8" xfId="22195" xr:uid="{00000000-0005-0000-0000-000047380000}"/>
    <cellStyle name="40% - Accent2 4 3 2 4 9" xfId="22196" xr:uid="{00000000-0005-0000-0000-000048380000}"/>
    <cellStyle name="40% - Accent2 4 3 2 5" xfId="22197" xr:uid="{00000000-0005-0000-0000-000049380000}"/>
    <cellStyle name="40% - Accent2 4 3 2 5 2" xfId="22198" xr:uid="{00000000-0005-0000-0000-00004A380000}"/>
    <cellStyle name="40% - Accent2 4 3 2 5 2 2" xfId="22199" xr:uid="{00000000-0005-0000-0000-00004B380000}"/>
    <cellStyle name="40% - Accent2 4 3 2 5 2 3" xfId="22200" xr:uid="{00000000-0005-0000-0000-00004C380000}"/>
    <cellStyle name="40% - Accent2 4 3 2 5 3" xfId="22201" xr:uid="{00000000-0005-0000-0000-00004D380000}"/>
    <cellStyle name="40% - Accent2 4 3 2 5 3 2" xfId="22202" xr:uid="{00000000-0005-0000-0000-00004E380000}"/>
    <cellStyle name="40% - Accent2 4 3 2 5 3 3" xfId="22203" xr:uid="{00000000-0005-0000-0000-00004F380000}"/>
    <cellStyle name="40% - Accent2 4 3 2 5 4" xfId="22204" xr:uid="{00000000-0005-0000-0000-000050380000}"/>
    <cellStyle name="40% - Accent2 4 3 2 5 4 2" xfId="22205" xr:uid="{00000000-0005-0000-0000-000051380000}"/>
    <cellStyle name="40% - Accent2 4 3 2 5 5" xfId="22206" xr:uid="{00000000-0005-0000-0000-000052380000}"/>
    <cellStyle name="40% - Accent2 4 3 2 5 6" xfId="22207" xr:uid="{00000000-0005-0000-0000-000053380000}"/>
    <cellStyle name="40% - Accent2 4 3 2 6" xfId="22208" xr:uid="{00000000-0005-0000-0000-000054380000}"/>
    <cellStyle name="40% - Accent2 4 3 2 6 2" xfId="22209" xr:uid="{00000000-0005-0000-0000-000055380000}"/>
    <cellStyle name="40% - Accent2 4 3 2 6 2 2" xfId="22210" xr:uid="{00000000-0005-0000-0000-000056380000}"/>
    <cellStyle name="40% - Accent2 4 3 2 6 2 3" xfId="22211" xr:uid="{00000000-0005-0000-0000-000057380000}"/>
    <cellStyle name="40% - Accent2 4 3 2 6 3" xfId="22212" xr:uid="{00000000-0005-0000-0000-000058380000}"/>
    <cellStyle name="40% - Accent2 4 3 2 6 3 2" xfId="22213" xr:uid="{00000000-0005-0000-0000-000059380000}"/>
    <cellStyle name="40% - Accent2 4 3 2 6 3 3" xfId="22214" xr:uid="{00000000-0005-0000-0000-00005A380000}"/>
    <cellStyle name="40% - Accent2 4 3 2 6 4" xfId="22215" xr:uid="{00000000-0005-0000-0000-00005B380000}"/>
    <cellStyle name="40% - Accent2 4 3 2 6 4 2" xfId="22216" xr:uid="{00000000-0005-0000-0000-00005C380000}"/>
    <cellStyle name="40% - Accent2 4 3 2 6 5" xfId="22217" xr:uid="{00000000-0005-0000-0000-00005D380000}"/>
    <cellStyle name="40% - Accent2 4 3 2 6 6" xfId="22218" xr:uid="{00000000-0005-0000-0000-00005E380000}"/>
    <cellStyle name="40% - Accent2 4 3 2 7" xfId="22219" xr:uid="{00000000-0005-0000-0000-00005F380000}"/>
    <cellStyle name="40% - Accent2 4 3 2 7 2" xfId="22220" xr:uid="{00000000-0005-0000-0000-000060380000}"/>
    <cellStyle name="40% - Accent2 4 3 2 7 2 2" xfId="22221" xr:uid="{00000000-0005-0000-0000-000061380000}"/>
    <cellStyle name="40% - Accent2 4 3 2 7 2 3" xfId="22222" xr:uid="{00000000-0005-0000-0000-000062380000}"/>
    <cellStyle name="40% - Accent2 4 3 2 7 3" xfId="22223" xr:uid="{00000000-0005-0000-0000-000063380000}"/>
    <cellStyle name="40% - Accent2 4 3 2 7 3 2" xfId="22224" xr:uid="{00000000-0005-0000-0000-000064380000}"/>
    <cellStyle name="40% - Accent2 4 3 2 7 4" xfId="22225" xr:uid="{00000000-0005-0000-0000-000065380000}"/>
    <cellStyle name="40% - Accent2 4 3 2 7 5" xfId="22226" xr:uid="{00000000-0005-0000-0000-000066380000}"/>
    <cellStyle name="40% - Accent2 4 3 2 8" xfId="22227" xr:uid="{00000000-0005-0000-0000-000067380000}"/>
    <cellStyle name="40% - Accent2 4 3 2 8 2" xfId="22228" xr:uid="{00000000-0005-0000-0000-000068380000}"/>
    <cellStyle name="40% - Accent2 4 3 2 8 3" xfId="22229" xr:uid="{00000000-0005-0000-0000-000069380000}"/>
    <cellStyle name="40% - Accent2 4 3 2 9" xfId="22230" xr:uid="{00000000-0005-0000-0000-00006A380000}"/>
    <cellStyle name="40% - Accent2 4 3 2 9 2" xfId="22231" xr:uid="{00000000-0005-0000-0000-00006B380000}"/>
    <cellStyle name="40% - Accent2 4 3 2 9 3" xfId="22232" xr:uid="{00000000-0005-0000-0000-00006C380000}"/>
    <cellStyle name="40% - Accent2 4 3 3" xfId="1801" xr:uid="{00000000-0005-0000-0000-00006D380000}"/>
    <cellStyle name="40% - Accent2 4 3 3 10" xfId="22233" xr:uid="{00000000-0005-0000-0000-00006E380000}"/>
    <cellStyle name="40% - Accent2 4 3 3 2" xfId="1802" xr:uid="{00000000-0005-0000-0000-00006F380000}"/>
    <cellStyle name="40% - Accent2 4 3 3 2 2" xfId="22234" xr:uid="{00000000-0005-0000-0000-000070380000}"/>
    <cellStyle name="40% - Accent2 4 3 3 2 2 2" xfId="22235" xr:uid="{00000000-0005-0000-0000-000071380000}"/>
    <cellStyle name="40% - Accent2 4 3 3 2 2 2 2" xfId="22236" xr:uid="{00000000-0005-0000-0000-000072380000}"/>
    <cellStyle name="40% - Accent2 4 3 3 2 2 2 3" xfId="22237" xr:uid="{00000000-0005-0000-0000-000073380000}"/>
    <cellStyle name="40% - Accent2 4 3 3 2 2 3" xfId="22238" xr:uid="{00000000-0005-0000-0000-000074380000}"/>
    <cellStyle name="40% - Accent2 4 3 3 2 2 3 2" xfId="22239" xr:uid="{00000000-0005-0000-0000-000075380000}"/>
    <cellStyle name="40% - Accent2 4 3 3 2 2 3 3" xfId="22240" xr:uid="{00000000-0005-0000-0000-000076380000}"/>
    <cellStyle name="40% - Accent2 4 3 3 2 2 4" xfId="22241" xr:uid="{00000000-0005-0000-0000-000077380000}"/>
    <cellStyle name="40% - Accent2 4 3 3 2 2 4 2" xfId="22242" xr:uid="{00000000-0005-0000-0000-000078380000}"/>
    <cellStyle name="40% - Accent2 4 3 3 2 2 5" xfId="22243" xr:uid="{00000000-0005-0000-0000-000079380000}"/>
    <cellStyle name="40% - Accent2 4 3 3 2 2 6" xfId="22244" xr:uid="{00000000-0005-0000-0000-00007A380000}"/>
    <cellStyle name="40% - Accent2 4 3 3 2 3" xfId="22245" xr:uid="{00000000-0005-0000-0000-00007B380000}"/>
    <cellStyle name="40% - Accent2 4 3 3 2 3 2" xfId="22246" xr:uid="{00000000-0005-0000-0000-00007C380000}"/>
    <cellStyle name="40% - Accent2 4 3 3 2 3 2 2" xfId="22247" xr:uid="{00000000-0005-0000-0000-00007D380000}"/>
    <cellStyle name="40% - Accent2 4 3 3 2 3 2 3" xfId="22248" xr:uid="{00000000-0005-0000-0000-00007E380000}"/>
    <cellStyle name="40% - Accent2 4 3 3 2 3 3" xfId="22249" xr:uid="{00000000-0005-0000-0000-00007F380000}"/>
    <cellStyle name="40% - Accent2 4 3 3 2 3 3 2" xfId="22250" xr:uid="{00000000-0005-0000-0000-000080380000}"/>
    <cellStyle name="40% - Accent2 4 3 3 2 3 3 3" xfId="22251" xr:uid="{00000000-0005-0000-0000-000081380000}"/>
    <cellStyle name="40% - Accent2 4 3 3 2 3 4" xfId="22252" xr:uid="{00000000-0005-0000-0000-000082380000}"/>
    <cellStyle name="40% - Accent2 4 3 3 2 3 4 2" xfId="22253" xr:uid="{00000000-0005-0000-0000-000083380000}"/>
    <cellStyle name="40% - Accent2 4 3 3 2 3 5" xfId="22254" xr:uid="{00000000-0005-0000-0000-000084380000}"/>
    <cellStyle name="40% - Accent2 4 3 3 2 3 6" xfId="22255" xr:uid="{00000000-0005-0000-0000-000085380000}"/>
    <cellStyle name="40% - Accent2 4 3 3 2 4" xfId="22256" xr:uid="{00000000-0005-0000-0000-000086380000}"/>
    <cellStyle name="40% - Accent2 4 3 3 2 4 2" xfId="22257" xr:uid="{00000000-0005-0000-0000-000087380000}"/>
    <cellStyle name="40% - Accent2 4 3 3 2 4 2 2" xfId="22258" xr:uid="{00000000-0005-0000-0000-000088380000}"/>
    <cellStyle name="40% - Accent2 4 3 3 2 4 2 3" xfId="22259" xr:uid="{00000000-0005-0000-0000-000089380000}"/>
    <cellStyle name="40% - Accent2 4 3 3 2 4 3" xfId="22260" xr:uid="{00000000-0005-0000-0000-00008A380000}"/>
    <cellStyle name="40% - Accent2 4 3 3 2 4 3 2" xfId="22261" xr:uid="{00000000-0005-0000-0000-00008B380000}"/>
    <cellStyle name="40% - Accent2 4 3 3 2 4 4" xfId="22262" xr:uid="{00000000-0005-0000-0000-00008C380000}"/>
    <cellStyle name="40% - Accent2 4 3 3 2 4 5" xfId="22263" xr:uid="{00000000-0005-0000-0000-00008D380000}"/>
    <cellStyle name="40% - Accent2 4 3 3 2 5" xfId="22264" xr:uid="{00000000-0005-0000-0000-00008E380000}"/>
    <cellStyle name="40% - Accent2 4 3 3 2 5 2" xfId="22265" xr:uid="{00000000-0005-0000-0000-00008F380000}"/>
    <cellStyle name="40% - Accent2 4 3 3 2 5 3" xfId="22266" xr:uid="{00000000-0005-0000-0000-000090380000}"/>
    <cellStyle name="40% - Accent2 4 3 3 2 6" xfId="22267" xr:uid="{00000000-0005-0000-0000-000091380000}"/>
    <cellStyle name="40% - Accent2 4 3 3 2 6 2" xfId="22268" xr:uid="{00000000-0005-0000-0000-000092380000}"/>
    <cellStyle name="40% - Accent2 4 3 3 2 6 3" xfId="22269" xr:uid="{00000000-0005-0000-0000-000093380000}"/>
    <cellStyle name="40% - Accent2 4 3 3 2 7" xfId="22270" xr:uid="{00000000-0005-0000-0000-000094380000}"/>
    <cellStyle name="40% - Accent2 4 3 3 2 7 2" xfId="22271" xr:uid="{00000000-0005-0000-0000-000095380000}"/>
    <cellStyle name="40% - Accent2 4 3 3 2 8" xfId="22272" xr:uid="{00000000-0005-0000-0000-000096380000}"/>
    <cellStyle name="40% - Accent2 4 3 3 2 9" xfId="22273" xr:uid="{00000000-0005-0000-0000-000097380000}"/>
    <cellStyle name="40% - Accent2 4 3 3 3" xfId="22274" xr:uid="{00000000-0005-0000-0000-000098380000}"/>
    <cellStyle name="40% - Accent2 4 3 3 3 2" xfId="22275" xr:uid="{00000000-0005-0000-0000-000099380000}"/>
    <cellStyle name="40% - Accent2 4 3 3 3 2 2" xfId="22276" xr:uid="{00000000-0005-0000-0000-00009A380000}"/>
    <cellStyle name="40% - Accent2 4 3 3 3 2 3" xfId="22277" xr:uid="{00000000-0005-0000-0000-00009B380000}"/>
    <cellStyle name="40% - Accent2 4 3 3 3 3" xfId="22278" xr:uid="{00000000-0005-0000-0000-00009C380000}"/>
    <cellStyle name="40% - Accent2 4 3 3 3 3 2" xfId="22279" xr:uid="{00000000-0005-0000-0000-00009D380000}"/>
    <cellStyle name="40% - Accent2 4 3 3 3 3 3" xfId="22280" xr:uid="{00000000-0005-0000-0000-00009E380000}"/>
    <cellStyle name="40% - Accent2 4 3 3 3 4" xfId="22281" xr:uid="{00000000-0005-0000-0000-00009F380000}"/>
    <cellStyle name="40% - Accent2 4 3 3 3 4 2" xfId="22282" xr:uid="{00000000-0005-0000-0000-0000A0380000}"/>
    <cellStyle name="40% - Accent2 4 3 3 3 5" xfId="22283" xr:uid="{00000000-0005-0000-0000-0000A1380000}"/>
    <cellStyle name="40% - Accent2 4 3 3 3 6" xfId="22284" xr:uid="{00000000-0005-0000-0000-0000A2380000}"/>
    <cellStyle name="40% - Accent2 4 3 3 4" xfId="22285" xr:uid="{00000000-0005-0000-0000-0000A3380000}"/>
    <cellStyle name="40% - Accent2 4 3 3 4 2" xfId="22286" xr:uid="{00000000-0005-0000-0000-0000A4380000}"/>
    <cellStyle name="40% - Accent2 4 3 3 4 2 2" xfId="22287" xr:uid="{00000000-0005-0000-0000-0000A5380000}"/>
    <cellStyle name="40% - Accent2 4 3 3 4 2 3" xfId="22288" xr:uid="{00000000-0005-0000-0000-0000A6380000}"/>
    <cellStyle name="40% - Accent2 4 3 3 4 3" xfId="22289" xr:uid="{00000000-0005-0000-0000-0000A7380000}"/>
    <cellStyle name="40% - Accent2 4 3 3 4 3 2" xfId="22290" xr:uid="{00000000-0005-0000-0000-0000A8380000}"/>
    <cellStyle name="40% - Accent2 4 3 3 4 3 3" xfId="22291" xr:uid="{00000000-0005-0000-0000-0000A9380000}"/>
    <cellStyle name="40% - Accent2 4 3 3 4 4" xfId="22292" xr:uid="{00000000-0005-0000-0000-0000AA380000}"/>
    <cellStyle name="40% - Accent2 4 3 3 4 4 2" xfId="22293" xr:uid="{00000000-0005-0000-0000-0000AB380000}"/>
    <cellStyle name="40% - Accent2 4 3 3 4 5" xfId="22294" xr:uid="{00000000-0005-0000-0000-0000AC380000}"/>
    <cellStyle name="40% - Accent2 4 3 3 4 6" xfId="22295" xr:uid="{00000000-0005-0000-0000-0000AD380000}"/>
    <cellStyle name="40% - Accent2 4 3 3 5" xfId="22296" xr:uid="{00000000-0005-0000-0000-0000AE380000}"/>
    <cellStyle name="40% - Accent2 4 3 3 5 2" xfId="22297" xr:uid="{00000000-0005-0000-0000-0000AF380000}"/>
    <cellStyle name="40% - Accent2 4 3 3 5 2 2" xfId="22298" xr:uid="{00000000-0005-0000-0000-0000B0380000}"/>
    <cellStyle name="40% - Accent2 4 3 3 5 2 3" xfId="22299" xr:uid="{00000000-0005-0000-0000-0000B1380000}"/>
    <cellStyle name="40% - Accent2 4 3 3 5 3" xfId="22300" xr:uid="{00000000-0005-0000-0000-0000B2380000}"/>
    <cellStyle name="40% - Accent2 4 3 3 5 3 2" xfId="22301" xr:uid="{00000000-0005-0000-0000-0000B3380000}"/>
    <cellStyle name="40% - Accent2 4 3 3 5 4" xfId="22302" xr:uid="{00000000-0005-0000-0000-0000B4380000}"/>
    <cellStyle name="40% - Accent2 4 3 3 5 5" xfId="22303" xr:uid="{00000000-0005-0000-0000-0000B5380000}"/>
    <cellStyle name="40% - Accent2 4 3 3 6" xfId="22304" xr:uid="{00000000-0005-0000-0000-0000B6380000}"/>
    <cellStyle name="40% - Accent2 4 3 3 6 2" xfId="22305" xr:uid="{00000000-0005-0000-0000-0000B7380000}"/>
    <cellStyle name="40% - Accent2 4 3 3 6 3" xfId="22306" xr:uid="{00000000-0005-0000-0000-0000B8380000}"/>
    <cellStyle name="40% - Accent2 4 3 3 7" xfId="22307" xr:uid="{00000000-0005-0000-0000-0000B9380000}"/>
    <cellStyle name="40% - Accent2 4 3 3 7 2" xfId="22308" xr:uid="{00000000-0005-0000-0000-0000BA380000}"/>
    <cellStyle name="40% - Accent2 4 3 3 7 3" xfId="22309" xr:uid="{00000000-0005-0000-0000-0000BB380000}"/>
    <cellStyle name="40% - Accent2 4 3 3 8" xfId="22310" xr:uid="{00000000-0005-0000-0000-0000BC380000}"/>
    <cellStyle name="40% - Accent2 4 3 3 8 2" xfId="22311" xr:uid="{00000000-0005-0000-0000-0000BD380000}"/>
    <cellStyle name="40% - Accent2 4 3 3 9" xfId="22312" xr:uid="{00000000-0005-0000-0000-0000BE380000}"/>
    <cellStyle name="40% - Accent2 4 3 4" xfId="1803" xr:uid="{00000000-0005-0000-0000-0000BF380000}"/>
    <cellStyle name="40% - Accent2 4 3 4 2" xfId="22313" xr:uid="{00000000-0005-0000-0000-0000C0380000}"/>
    <cellStyle name="40% - Accent2 4 3 4 2 2" xfId="22314" xr:uid="{00000000-0005-0000-0000-0000C1380000}"/>
    <cellStyle name="40% - Accent2 4 3 4 2 2 2" xfId="22315" xr:uid="{00000000-0005-0000-0000-0000C2380000}"/>
    <cellStyle name="40% - Accent2 4 3 4 2 2 3" xfId="22316" xr:uid="{00000000-0005-0000-0000-0000C3380000}"/>
    <cellStyle name="40% - Accent2 4 3 4 2 3" xfId="22317" xr:uid="{00000000-0005-0000-0000-0000C4380000}"/>
    <cellStyle name="40% - Accent2 4 3 4 2 3 2" xfId="22318" xr:uid="{00000000-0005-0000-0000-0000C5380000}"/>
    <cellStyle name="40% - Accent2 4 3 4 2 3 3" xfId="22319" xr:uid="{00000000-0005-0000-0000-0000C6380000}"/>
    <cellStyle name="40% - Accent2 4 3 4 2 4" xfId="22320" xr:uid="{00000000-0005-0000-0000-0000C7380000}"/>
    <cellStyle name="40% - Accent2 4 3 4 2 4 2" xfId="22321" xr:uid="{00000000-0005-0000-0000-0000C8380000}"/>
    <cellStyle name="40% - Accent2 4 3 4 2 5" xfId="22322" xr:uid="{00000000-0005-0000-0000-0000C9380000}"/>
    <cellStyle name="40% - Accent2 4 3 4 2 6" xfId="22323" xr:uid="{00000000-0005-0000-0000-0000CA380000}"/>
    <cellStyle name="40% - Accent2 4 3 4 3" xfId="22324" xr:uid="{00000000-0005-0000-0000-0000CB380000}"/>
    <cellStyle name="40% - Accent2 4 3 4 3 2" xfId="22325" xr:uid="{00000000-0005-0000-0000-0000CC380000}"/>
    <cellStyle name="40% - Accent2 4 3 4 3 2 2" xfId="22326" xr:uid="{00000000-0005-0000-0000-0000CD380000}"/>
    <cellStyle name="40% - Accent2 4 3 4 3 2 3" xfId="22327" xr:uid="{00000000-0005-0000-0000-0000CE380000}"/>
    <cellStyle name="40% - Accent2 4 3 4 3 3" xfId="22328" xr:uid="{00000000-0005-0000-0000-0000CF380000}"/>
    <cellStyle name="40% - Accent2 4 3 4 3 3 2" xfId="22329" xr:uid="{00000000-0005-0000-0000-0000D0380000}"/>
    <cellStyle name="40% - Accent2 4 3 4 3 3 3" xfId="22330" xr:uid="{00000000-0005-0000-0000-0000D1380000}"/>
    <cellStyle name="40% - Accent2 4 3 4 3 4" xfId="22331" xr:uid="{00000000-0005-0000-0000-0000D2380000}"/>
    <cellStyle name="40% - Accent2 4 3 4 3 4 2" xfId="22332" xr:uid="{00000000-0005-0000-0000-0000D3380000}"/>
    <cellStyle name="40% - Accent2 4 3 4 3 5" xfId="22333" xr:uid="{00000000-0005-0000-0000-0000D4380000}"/>
    <cellStyle name="40% - Accent2 4 3 4 3 6" xfId="22334" xr:uid="{00000000-0005-0000-0000-0000D5380000}"/>
    <cellStyle name="40% - Accent2 4 3 4 4" xfId="22335" xr:uid="{00000000-0005-0000-0000-0000D6380000}"/>
    <cellStyle name="40% - Accent2 4 3 4 4 2" xfId="22336" xr:uid="{00000000-0005-0000-0000-0000D7380000}"/>
    <cellStyle name="40% - Accent2 4 3 4 4 2 2" xfId="22337" xr:uid="{00000000-0005-0000-0000-0000D8380000}"/>
    <cellStyle name="40% - Accent2 4 3 4 4 2 3" xfId="22338" xr:uid="{00000000-0005-0000-0000-0000D9380000}"/>
    <cellStyle name="40% - Accent2 4 3 4 4 3" xfId="22339" xr:uid="{00000000-0005-0000-0000-0000DA380000}"/>
    <cellStyle name="40% - Accent2 4 3 4 4 3 2" xfId="22340" xr:uid="{00000000-0005-0000-0000-0000DB380000}"/>
    <cellStyle name="40% - Accent2 4 3 4 4 4" xfId="22341" xr:uid="{00000000-0005-0000-0000-0000DC380000}"/>
    <cellStyle name="40% - Accent2 4 3 4 4 5" xfId="22342" xr:uid="{00000000-0005-0000-0000-0000DD380000}"/>
    <cellStyle name="40% - Accent2 4 3 4 5" xfId="22343" xr:uid="{00000000-0005-0000-0000-0000DE380000}"/>
    <cellStyle name="40% - Accent2 4 3 4 5 2" xfId="22344" xr:uid="{00000000-0005-0000-0000-0000DF380000}"/>
    <cellStyle name="40% - Accent2 4 3 4 5 3" xfId="22345" xr:uid="{00000000-0005-0000-0000-0000E0380000}"/>
    <cellStyle name="40% - Accent2 4 3 4 6" xfId="22346" xr:uid="{00000000-0005-0000-0000-0000E1380000}"/>
    <cellStyle name="40% - Accent2 4 3 4 6 2" xfId="22347" xr:uid="{00000000-0005-0000-0000-0000E2380000}"/>
    <cellStyle name="40% - Accent2 4 3 4 6 3" xfId="22348" xr:uid="{00000000-0005-0000-0000-0000E3380000}"/>
    <cellStyle name="40% - Accent2 4 3 4 7" xfId="22349" xr:uid="{00000000-0005-0000-0000-0000E4380000}"/>
    <cellStyle name="40% - Accent2 4 3 4 7 2" xfId="22350" xr:uid="{00000000-0005-0000-0000-0000E5380000}"/>
    <cellStyle name="40% - Accent2 4 3 4 8" xfId="22351" xr:uid="{00000000-0005-0000-0000-0000E6380000}"/>
    <cellStyle name="40% - Accent2 4 3 4 9" xfId="22352" xr:uid="{00000000-0005-0000-0000-0000E7380000}"/>
    <cellStyle name="40% - Accent2 4 3 5" xfId="22353" xr:uid="{00000000-0005-0000-0000-0000E8380000}"/>
    <cellStyle name="40% - Accent2 4 3 5 2" xfId="22354" xr:uid="{00000000-0005-0000-0000-0000E9380000}"/>
    <cellStyle name="40% - Accent2 4 3 5 2 2" xfId="22355" xr:uid="{00000000-0005-0000-0000-0000EA380000}"/>
    <cellStyle name="40% - Accent2 4 3 5 2 2 2" xfId="22356" xr:uid="{00000000-0005-0000-0000-0000EB380000}"/>
    <cellStyle name="40% - Accent2 4 3 5 2 2 3" xfId="22357" xr:uid="{00000000-0005-0000-0000-0000EC380000}"/>
    <cellStyle name="40% - Accent2 4 3 5 2 3" xfId="22358" xr:uid="{00000000-0005-0000-0000-0000ED380000}"/>
    <cellStyle name="40% - Accent2 4 3 5 2 3 2" xfId="22359" xr:uid="{00000000-0005-0000-0000-0000EE380000}"/>
    <cellStyle name="40% - Accent2 4 3 5 2 3 3" xfId="22360" xr:uid="{00000000-0005-0000-0000-0000EF380000}"/>
    <cellStyle name="40% - Accent2 4 3 5 2 4" xfId="22361" xr:uid="{00000000-0005-0000-0000-0000F0380000}"/>
    <cellStyle name="40% - Accent2 4 3 5 2 4 2" xfId="22362" xr:uid="{00000000-0005-0000-0000-0000F1380000}"/>
    <cellStyle name="40% - Accent2 4 3 5 2 5" xfId="22363" xr:uid="{00000000-0005-0000-0000-0000F2380000}"/>
    <cellStyle name="40% - Accent2 4 3 5 2 6" xfId="22364" xr:uid="{00000000-0005-0000-0000-0000F3380000}"/>
    <cellStyle name="40% - Accent2 4 3 5 3" xfId="22365" xr:uid="{00000000-0005-0000-0000-0000F4380000}"/>
    <cellStyle name="40% - Accent2 4 3 5 3 2" xfId="22366" xr:uid="{00000000-0005-0000-0000-0000F5380000}"/>
    <cellStyle name="40% - Accent2 4 3 5 3 2 2" xfId="22367" xr:uid="{00000000-0005-0000-0000-0000F6380000}"/>
    <cellStyle name="40% - Accent2 4 3 5 3 2 3" xfId="22368" xr:uid="{00000000-0005-0000-0000-0000F7380000}"/>
    <cellStyle name="40% - Accent2 4 3 5 3 3" xfId="22369" xr:uid="{00000000-0005-0000-0000-0000F8380000}"/>
    <cellStyle name="40% - Accent2 4 3 5 3 3 2" xfId="22370" xr:uid="{00000000-0005-0000-0000-0000F9380000}"/>
    <cellStyle name="40% - Accent2 4 3 5 3 3 3" xfId="22371" xr:uid="{00000000-0005-0000-0000-0000FA380000}"/>
    <cellStyle name="40% - Accent2 4 3 5 3 4" xfId="22372" xr:uid="{00000000-0005-0000-0000-0000FB380000}"/>
    <cellStyle name="40% - Accent2 4 3 5 3 4 2" xfId="22373" xr:uid="{00000000-0005-0000-0000-0000FC380000}"/>
    <cellStyle name="40% - Accent2 4 3 5 3 5" xfId="22374" xr:uid="{00000000-0005-0000-0000-0000FD380000}"/>
    <cellStyle name="40% - Accent2 4 3 5 3 6" xfId="22375" xr:uid="{00000000-0005-0000-0000-0000FE380000}"/>
    <cellStyle name="40% - Accent2 4 3 5 4" xfId="22376" xr:uid="{00000000-0005-0000-0000-0000FF380000}"/>
    <cellStyle name="40% - Accent2 4 3 5 4 2" xfId="22377" xr:uid="{00000000-0005-0000-0000-000000390000}"/>
    <cellStyle name="40% - Accent2 4 3 5 4 2 2" xfId="22378" xr:uid="{00000000-0005-0000-0000-000001390000}"/>
    <cellStyle name="40% - Accent2 4 3 5 4 2 3" xfId="22379" xr:uid="{00000000-0005-0000-0000-000002390000}"/>
    <cellStyle name="40% - Accent2 4 3 5 4 3" xfId="22380" xr:uid="{00000000-0005-0000-0000-000003390000}"/>
    <cellStyle name="40% - Accent2 4 3 5 4 3 2" xfId="22381" xr:uid="{00000000-0005-0000-0000-000004390000}"/>
    <cellStyle name="40% - Accent2 4 3 5 4 4" xfId="22382" xr:uid="{00000000-0005-0000-0000-000005390000}"/>
    <cellStyle name="40% - Accent2 4 3 5 4 5" xfId="22383" xr:uid="{00000000-0005-0000-0000-000006390000}"/>
    <cellStyle name="40% - Accent2 4 3 5 5" xfId="22384" xr:uid="{00000000-0005-0000-0000-000007390000}"/>
    <cellStyle name="40% - Accent2 4 3 5 5 2" xfId="22385" xr:uid="{00000000-0005-0000-0000-000008390000}"/>
    <cellStyle name="40% - Accent2 4 3 5 5 3" xfId="22386" xr:uid="{00000000-0005-0000-0000-000009390000}"/>
    <cellStyle name="40% - Accent2 4 3 5 6" xfId="22387" xr:uid="{00000000-0005-0000-0000-00000A390000}"/>
    <cellStyle name="40% - Accent2 4 3 5 6 2" xfId="22388" xr:uid="{00000000-0005-0000-0000-00000B390000}"/>
    <cellStyle name="40% - Accent2 4 3 5 6 3" xfId="22389" xr:uid="{00000000-0005-0000-0000-00000C390000}"/>
    <cellStyle name="40% - Accent2 4 3 5 7" xfId="22390" xr:uid="{00000000-0005-0000-0000-00000D390000}"/>
    <cellStyle name="40% - Accent2 4 3 5 7 2" xfId="22391" xr:uid="{00000000-0005-0000-0000-00000E390000}"/>
    <cellStyle name="40% - Accent2 4 3 5 8" xfId="22392" xr:uid="{00000000-0005-0000-0000-00000F390000}"/>
    <cellStyle name="40% - Accent2 4 3 5 9" xfId="22393" xr:uid="{00000000-0005-0000-0000-000010390000}"/>
    <cellStyle name="40% - Accent2 4 3 6" xfId="22394" xr:uid="{00000000-0005-0000-0000-000011390000}"/>
    <cellStyle name="40% - Accent2 4 3 6 2" xfId="22395" xr:uid="{00000000-0005-0000-0000-000012390000}"/>
    <cellStyle name="40% - Accent2 4 3 6 2 2" xfId="22396" xr:uid="{00000000-0005-0000-0000-000013390000}"/>
    <cellStyle name="40% - Accent2 4 3 6 2 3" xfId="22397" xr:uid="{00000000-0005-0000-0000-000014390000}"/>
    <cellStyle name="40% - Accent2 4 3 6 3" xfId="22398" xr:uid="{00000000-0005-0000-0000-000015390000}"/>
    <cellStyle name="40% - Accent2 4 3 6 3 2" xfId="22399" xr:uid="{00000000-0005-0000-0000-000016390000}"/>
    <cellStyle name="40% - Accent2 4 3 6 3 3" xfId="22400" xr:uid="{00000000-0005-0000-0000-000017390000}"/>
    <cellStyle name="40% - Accent2 4 3 6 4" xfId="22401" xr:uid="{00000000-0005-0000-0000-000018390000}"/>
    <cellStyle name="40% - Accent2 4 3 6 4 2" xfId="22402" xr:uid="{00000000-0005-0000-0000-000019390000}"/>
    <cellStyle name="40% - Accent2 4 3 6 5" xfId="22403" xr:uid="{00000000-0005-0000-0000-00001A390000}"/>
    <cellStyle name="40% - Accent2 4 3 6 6" xfId="22404" xr:uid="{00000000-0005-0000-0000-00001B390000}"/>
    <cellStyle name="40% - Accent2 4 3 7" xfId="22405" xr:uid="{00000000-0005-0000-0000-00001C390000}"/>
    <cellStyle name="40% - Accent2 4 3 7 2" xfId="22406" xr:uid="{00000000-0005-0000-0000-00001D390000}"/>
    <cellStyle name="40% - Accent2 4 3 7 2 2" xfId="22407" xr:uid="{00000000-0005-0000-0000-00001E390000}"/>
    <cellStyle name="40% - Accent2 4 3 7 2 3" xfId="22408" xr:uid="{00000000-0005-0000-0000-00001F390000}"/>
    <cellStyle name="40% - Accent2 4 3 7 3" xfId="22409" xr:uid="{00000000-0005-0000-0000-000020390000}"/>
    <cellStyle name="40% - Accent2 4 3 7 3 2" xfId="22410" xr:uid="{00000000-0005-0000-0000-000021390000}"/>
    <cellStyle name="40% - Accent2 4 3 7 3 3" xfId="22411" xr:uid="{00000000-0005-0000-0000-000022390000}"/>
    <cellStyle name="40% - Accent2 4 3 7 4" xfId="22412" xr:uid="{00000000-0005-0000-0000-000023390000}"/>
    <cellStyle name="40% - Accent2 4 3 7 4 2" xfId="22413" xr:uid="{00000000-0005-0000-0000-000024390000}"/>
    <cellStyle name="40% - Accent2 4 3 7 5" xfId="22414" xr:uid="{00000000-0005-0000-0000-000025390000}"/>
    <cellStyle name="40% - Accent2 4 3 7 6" xfId="22415" xr:uid="{00000000-0005-0000-0000-000026390000}"/>
    <cellStyle name="40% - Accent2 4 3 8" xfId="22416" xr:uid="{00000000-0005-0000-0000-000027390000}"/>
    <cellStyle name="40% - Accent2 4 3 8 2" xfId="22417" xr:uid="{00000000-0005-0000-0000-000028390000}"/>
    <cellStyle name="40% - Accent2 4 3 8 2 2" xfId="22418" xr:uid="{00000000-0005-0000-0000-000029390000}"/>
    <cellStyle name="40% - Accent2 4 3 8 2 3" xfId="22419" xr:uid="{00000000-0005-0000-0000-00002A390000}"/>
    <cellStyle name="40% - Accent2 4 3 8 3" xfId="22420" xr:uid="{00000000-0005-0000-0000-00002B390000}"/>
    <cellStyle name="40% - Accent2 4 3 8 3 2" xfId="22421" xr:uid="{00000000-0005-0000-0000-00002C390000}"/>
    <cellStyle name="40% - Accent2 4 3 8 4" xfId="22422" xr:uid="{00000000-0005-0000-0000-00002D390000}"/>
    <cellStyle name="40% - Accent2 4 3 8 5" xfId="22423" xr:uid="{00000000-0005-0000-0000-00002E390000}"/>
    <cellStyle name="40% - Accent2 4 3 9" xfId="22424" xr:uid="{00000000-0005-0000-0000-00002F390000}"/>
    <cellStyle name="40% - Accent2 4 3 9 2" xfId="22425" xr:uid="{00000000-0005-0000-0000-000030390000}"/>
    <cellStyle name="40% - Accent2 4 3 9 3" xfId="22426" xr:uid="{00000000-0005-0000-0000-000031390000}"/>
    <cellStyle name="40% - Accent2 4 4" xfId="1804" xr:uid="{00000000-0005-0000-0000-000032390000}"/>
    <cellStyle name="40% - Accent2 4 4 10" xfId="22427" xr:uid="{00000000-0005-0000-0000-000033390000}"/>
    <cellStyle name="40% - Accent2 4 4 10 2" xfId="22428" xr:uid="{00000000-0005-0000-0000-000034390000}"/>
    <cellStyle name="40% - Accent2 4 4 11" xfId="22429" xr:uid="{00000000-0005-0000-0000-000035390000}"/>
    <cellStyle name="40% - Accent2 4 4 12" xfId="22430" xr:uid="{00000000-0005-0000-0000-000036390000}"/>
    <cellStyle name="40% - Accent2 4 4 2" xfId="1805" xr:uid="{00000000-0005-0000-0000-000037390000}"/>
    <cellStyle name="40% - Accent2 4 4 2 10" xfId="22431" xr:uid="{00000000-0005-0000-0000-000038390000}"/>
    <cellStyle name="40% - Accent2 4 4 2 2" xfId="1806" xr:uid="{00000000-0005-0000-0000-000039390000}"/>
    <cellStyle name="40% - Accent2 4 4 2 2 2" xfId="22432" xr:uid="{00000000-0005-0000-0000-00003A390000}"/>
    <cellStyle name="40% - Accent2 4 4 2 2 2 2" xfId="22433" xr:uid="{00000000-0005-0000-0000-00003B390000}"/>
    <cellStyle name="40% - Accent2 4 4 2 2 2 2 2" xfId="22434" xr:uid="{00000000-0005-0000-0000-00003C390000}"/>
    <cellStyle name="40% - Accent2 4 4 2 2 2 2 3" xfId="22435" xr:uid="{00000000-0005-0000-0000-00003D390000}"/>
    <cellStyle name="40% - Accent2 4 4 2 2 2 3" xfId="22436" xr:uid="{00000000-0005-0000-0000-00003E390000}"/>
    <cellStyle name="40% - Accent2 4 4 2 2 2 3 2" xfId="22437" xr:uid="{00000000-0005-0000-0000-00003F390000}"/>
    <cellStyle name="40% - Accent2 4 4 2 2 2 3 3" xfId="22438" xr:uid="{00000000-0005-0000-0000-000040390000}"/>
    <cellStyle name="40% - Accent2 4 4 2 2 2 4" xfId="22439" xr:uid="{00000000-0005-0000-0000-000041390000}"/>
    <cellStyle name="40% - Accent2 4 4 2 2 2 4 2" xfId="22440" xr:uid="{00000000-0005-0000-0000-000042390000}"/>
    <cellStyle name="40% - Accent2 4 4 2 2 2 5" xfId="22441" xr:uid="{00000000-0005-0000-0000-000043390000}"/>
    <cellStyle name="40% - Accent2 4 4 2 2 2 6" xfId="22442" xr:uid="{00000000-0005-0000-0000-000044390000}"/>
    <cellStyle name="40% - Accent2 4 4 2 2 3" xfId="22443" xr:uid="{00000000-0005-0000-0000-000045390000}"/>
    <cellStyle name="40% - Accent2 4 4 2 2 3 2" xfId="22444" xr:uid="{00000000-0005-0000-0000-000046390000}"/>
    <cellStyle name="40% - Accent2 4 4 2 2 3 2 2" xfId="22445" xr:uid="{00000000-0005-0000-0000-000047390000}"/>
    <cellStyle name="40% - Accent2 4 4 2 2 3 2 3" xfId="22446" xr:uid="{00000000-0005-0000-0000-000048390000}"/>
    <cellStyle name="40% - Accent2 4 4 2 2 3 3" xfId="22447" xr:uid="{00000000-0005-0000-0000-000049390000}"/>
    <cellStyle name="40% - Accent2 4 4 2 2 3 3 2" xfId="22448" xr:uid="{00000000-0005-0000-0000-00004A390000}"/>
    <cellStyle name="40% - Accent2 4 4 2 2 3 3 3" xfId="22449" xr:uid="{00000000-0005-0000-0000-00004B390000}"/>
    <cellStyle name="40% - Accent2 4 4 2 2 3 4" xfId="22450" xr:uid="{00000000-0005-0000-0000-00004C390000}"/>
    <cellStyle name="40% - Accent2 4 4 2 2 3 4 2" xfId="22451" xr:uid="{00000000-0005-0000-0000-00004D390000}"/>
    <cellStyle name="40% - Accent2 4 4 2 2 3 5" xfId="22452" xr:uid="{00000000-0005-0000-0000-00004E390000}"/>
    <cellStyle name="40% - Accent2 4 4 2 2 3 6" xfId="22453" xr:uid="{00000000-0005-0000-0000-00004F390000}"/>
    <cellStyle name="40% - Accent2 4 4 2 2 4" xfId="22454" xr:uid="{00000000-0005-0000-0000-000050390000}"/>
    <cellStyle name="40% - Accent2 4 4 2 2 4 2" xfId="22455" xr:uid="{00000000-0005-0000-0000-000051390000}"/>
    <cellStyle name="40% - Accent2 4 4 2 2 4 2 2" xfId="22456" xr:uid="{00000000-0005-0000-0000-000052390000}"/>
    <cellStyle name="40% - Accent2 4 4 2 2 4 2 3" xfId="22457" xr:uid="{00000000-0005-0000-0000-000053390000}"/>
    <cellStyle name="40% - Accent2 4 4 2 2 4 3" xfId="22458" xr:uid="{00000000-0005-0000-0000-000054390000}"/>
    <cellStyle name="40% - Accent2 4 4 2 2 4 3 2" xfId="22459" xr:uid="{00000000-0005-0000-0000-000055390000}"/>
    <cellStyle name="40% - Accent2 4 4 2 2 4 4" xfId="22460" xr:uid="{00000000-0005-0000-0000-000056390000}"/>
    <cellStyle name="40% - Accent2 4 4 2 2 4 5" xfId="22461" xr:uid="{00000000-0005-0000-0000-000057390000}"/>
    <cellStyle name="40% - Accent2 4 4 2 2 5" xfId="22462" xr:uid="{00000000-0005-0000-0000-000058390000}"/>
    <cellStyle name="40% - Accent2 4 4 2 2 5 2" xfId="22463" xr:uid="{00000000-0005-0000-0000-000059390000}"/>
    <cellStyle name="40% - Accent2 4 4 2 2 5 3" xfId="22464" xr:uid="{00000000-0005-0000-0000-00005A390000}"/>
    <cellStyle name="40% - Accent2 4 4 2 2 6" xfId="22465" xr:uid="{00000000-0005-0000-0000-00005B390000}"/>
    <cellStyle name="40% - Accent2 4 4 2 2 6 2" xfId="22466" xr:uid="{00000000-0005-0000-0000-00005C390000}"/>
    <cellStyle name="40% - Accent2 4 4 2 2 6 3" xfId="22467" xr:uid="{00000000-0005-0000-0000-00005D390000}"/>
    <cellStyle name="40% - Accent2 4 4 2 2 7" xfId="22468" xr:uid="{00000000-0005-0000-0000-00005E390000}"/>
    <cellStyle name="40% - Accent2 4 4 2 2 7 2" xfId="22469" xr:uid="{00000000-0005-0000-0000-00005F390000}"/>
    <cellStyle name="40% - Accent2 4 4 2 2 8" xfId="22470" xr:uid="{00000000-0005-0000-0000-000060390000}"/>
    <cellStyle name="40% - Accent2 4 4 2 2 9" xfId="22471" xr:uid="{00000000-0005-0000-0000-000061390000}"/>
    <cellStyle name="40% - Accent2 4 4 2 3" xfId="22472" xr:uid="{00000000-0005-0000-0000-000062390000}"/>
    <cellStyle name="40% - Accent2 4 4 2 3 2" xfId="22473" xr:uid="{00000000-0005-0000-0000-000063390000}"/>
    <cellStyle name="40% - Accent2 4 4 2 3 2 2" xfId="22474" xr:uid="{00000000-0005-0000-0000-000064390000}"/>
    <cellStyle name="40% - Accent2 4 4 2 3 2 3" xfId="22475" xr:uid="{00000000-0005-0000-0000-000065390000}"/>
    <cellStyle name="40% - Accent2 4 4 2 3 3" xfId="22476" xr:uid="{00000000-0005-0000-0000-000066390000}"/>
    <cellStyle name="40% - Accent2 4 4 2 3 3 2" xfId="22477" xr:uid="{00000000-0005-0000-0000-000067390000}"/>
    <cellStyle name="40% - Accent2 4 4 2 3 3 3" xfId="22478" xr:uid="{00000000-0005-0000-0000-000068390000}"/>
    <cellStyle name="40% - Accent2 4 4 2 3 4" xfId="22479" xr:uid="{00000000-0005-0000-0000-000069390000}"/>
    <cellStyle name="40% - Accent2 4 4 2 3 4 2" xfId="22480" xr:uid="{00000000-0005-0000-0000-00006A390000}"/>
    <cellStyle name="40% - Accent2 4 4 2 3 5" xfId="22481" xr:uid="{00000000-0005-0000-0000-00006B390000}"/>
    <cellStyle name="40% - Accent2 4 4 2 3 6" xfId="22482" xr:uid="{00000000-0005-0000-0000-00006C390000}"/>
    <cellStyle name="40% - Accent2 4 4 2 4" xfId="22483" xr:uid="{00000000-0005-0000-0000-00006D390000}"/>
    <cellStyle name="40% - Accent2 4 4 2 4 2" xfId="22484" xr:uid="{00000000-0005-0000-0000-00006E390000}"/>
    <cellStyle name="40% - Accent2 4 4 2 4 2 2" xfId="22485" xr:uid="{00000000-0005-0000-0000-00006F390000}"/>
    <cellStyle name="40% - Accent2 4 4 2 4 2 3" xfId="22486" xr:uid="{00000000-0005-0000-0000-000070390000}"/>
    <cellStyle name="40% - Accent2 4 4 2 4 3" xfId="22487" xr:uid="{00000000-0005-0000-0000-000071390000}"/>
    <cellStyle name="40% - Accent2 4 4 2 4 3 2" xfId="22488" xr:uid="{00000000-0005-0000-0000-000072390000}"/>
    <cellStyle name="40% - Accent2 4 4 2 4 3 3" xfId="22489" xr:uid="{00000000-0005-0000-0000-000073390000}"/>
    <cellStyle name="40% - Accent2 4 4 2 4 4" xfId="22490" xr:uid="{00000000-0005-0000-0000-000074390000}"/>
    <cellStyle name="40% - Accent2 4 4 2 4 4 2" xfId="22491" xr:uid="{00000000-0005-0000-0000-000075390000}"/>
    <cellStyle name="40% - Accent2 4 4 2 4 5" xfId="22492" xr:uid="{00000000-0005-0000-0000-000076390000}"/>
    <cellStyle name="40% - Accent2 4 4 2 4 6" xfId="22493" xr:uid="{00000000-0005-0000-0000-000077390000}"/>
    <cellStyle name="40% - Accent2 4 4 2 5" xfId="22494" xr:uid="{00000000-0005-0000-0000-000078390000}"/>
    <cellStyle name="40% - Accent2 4 4 2 5 2" xfId="22495" xr:uid="{00000000-0005-0000-0000-000079390000}"/>
    <cellStyle name="40% - Accent2 4 4 2 5 2 2" xfId="22496" xr:uid="{00000000-0005-0000-0000-00007A390000}"/>
    <cellStyle name="40% - Accent2 4 4 2 5 2 3" xfId="22497" xr:uid="{00000000-0005-0000-0000-00007B390000}"/>
    <cellStyle name="40% - Accent2 4 4 2 5 3" xfId="22498" xr:uid="{00000000-0005-0000-0000-00007C390000}"/>
    <cellStyle name="40% - Accent2 4 4 2 5 3 2" xfId="22499" xr:uid="{00000000-0005-0000-0000-00007D390000}"/>
    <cellStyle name="40% - Accent2 4 4 2 5 4" xfId="22500" xr:uid="{00000000-0005-0000-0000-00007E390000}"/>
    <cellStyle name="40% - Accent2 4 4 2 5 5" xfId="22501" xr:uid="{00000000-0005-0000-0000-00007F390000}"/>
    <cellStyle name="40% - Accent2 4 4 2 6" xfId="22502" xr:uid="{00000000-0005-0000-0000-000080390000}"/>
    <cellStyle name="40% - Accent2 4 4 2 6 2" xfId="22503" xr:uid="{00000000-0005-0000-0000-000081390000}"/>
    <cellStyle name="40% - Accent2 4 4 2 6 3" xfId="22504" xr:uid="{00000000-0005-0000-0000-000082390000}"/>
    <cellStyle name="40% - Accent2 4 4 2 7" xfId="22505" xr:uid="{00000000-0005-0000-0000-000083390000}"/>
    <cellStyle name="40% - Accent2 4 4 2 7 2" xfId="22506" xr:uid="{00000000-0005-0000-0000-000084390000}"/>
    <cellStyle name="40% - Accent2 4 4 2 7 3" xfId="22507" xr:uid="{00000000-0005-0000-0000-000085390000}"/>
    <cellStyle name="40% - Accent2 4 4 2 8" xfId="22508" xr:uid="{00000000-0005-0000-0000-000086390000}"/>
    <cellStyle name="40% - Accent2 4 4 2 8 2" xfId="22509" xr:uid="{00000000-0005-0000-0000-000087390000}"/>
    <cellStyle name="40% - Accent2 4 4 2 9" xfId="22510" xr:uid="{00000000-0005-0000-0000-000088390000}"/>
    <cellStyle name="40% - Accent2 4 4 3" xfId="1807" xr:uid="{00000000-0005-0000-0000-000089390000}"/>
    <cellStyle name="40% - Accent2 4 4 3 2" xfId="22511" xr:uid="{00000000-0005-0000-0000-00008A390000}"/>
    <cellStyle name="40% - Accent2 4 4 3 2 2" xfId="22512" xr:uid="{00000000-0005-0000-0000-00008B390000}"/>
    <cellStyle name="40% - Accent2 4 4 3 2 2 2" xfId="22513" xr:uid="{00000000-0005-0000-0000-00008C390000}"/>
    <cellStyle name="40% - Accent2 4 4 3 2 2 3" xfId="22514" xr:uid="{00000000-0005-0000-0000-00008D390000}"/>
    <cellStyle name="40% - Accent2 4 4 3 2 3" xfId="22515" xr:uid="{00000000-0005-0000-0000-00008E390000}"/>
    <cellStyle name="40% - Accent2 4 4 3 2 3 2" xfId="22516" xr:uid="{00000000-0005-0000-0000-00008F390000}"/>
    <cellStyle name="40% - Accent2 4 4 3 2 3 3" xfId="22517" xr:uid="{00000000-0005-0000-0000-000090390000}"/>
    <cellStyle name="40% - Accent2 4 4 3 2 4" xfId="22518" xr:uid="{00000000-0005-0000-0000-000091390000}"/>
    <cellStyle name="40% - Accent2 4 4 3 2 4 2" xfId="22519" xr:uid="{00000000-0005-0000-0000-000092390000}"/>
    <cellStyle name="40% - Accent2 4 4 3 2 5" xfId="22520" xr:uid="{00000000-0005-0000-0000-000093390000}"/>
    <cellStyle name="40% - Accent2 4 4 3 2 6" xfId="22521" xr:uid="{00000000-0005-0000-0000-000094390000}"/>
    <cellStyle name="40% - Accent2 4 4 3 3" xfId="22522" xr:uid="{00000000-0005-0000-0000-000095390000}"/>
    <cellStyle name="40% - Accent2 4 4 3 3 2" xfId="22523" xr:uid="{00000000-0005-0000-0000-000096390000}"/>
    <cellStyle name="40% - Accent2 4 4 3 3 2 2" xfId="22524" xr:uid="{00000000-0005-0000-0000-000097390000}"/>
    <cellStyle name="40% - Accent2 4 4 3 3 2 3" xfId="22525" xr:uid="{00000000-0005-0000-0000-000098390000}"/>
    <cellStyle name="40% - Accent2 4 4 3 3 3" xfId="22526" xr:uid="{00000000-0005-0000-0000-000099390000}"/>
    <cellStyle name="40% - Accent2 4 4 3 3 3 2" xfId="22527" xr:uid="{00000000-0005-0000-0000-00009A390000}"/>
    <cellStyle name="40% - Accent2 4 4 3 3 3 3" xfId="22528" xr:uid="{00000000-0005-0000-0000-00009B390000}"/>
    <cellStyle name="40% - Accent2 4 4 3 3 4" xfId="22529" xr:uid="{00000000-0005-0000-0000-00009C390000}"/>
    <cellStyle name="40% - Accent2 4 4 3 3 4 2" xfId="22530" xr:uid="{00000000-0005-0000-0000-00009D390000}"/>
    <cellStyle name="40% - Accent2 4 4 3 3 5" xfId="22531" xr:uid="{00000000-0005-0000-0000-00009E390000}"/>
    <cellStyle name="40% - Accent2 4 4 3 3 6" xfId="22532" xr:uid="{00000000-0005-0000-0000-00009F390000}"/>
    <cellStyle name="40% - Accent2 4 4 3 4" xfId="22533" xr:uid="{00000000-0005-0000-0000-0000A0390000}"/>
    <cellStyle name="40% - Accent2 4 4 3 4 2" xfId="22534" xr:uid="{00000000-0005-0000-0000-0000A1390000}"/>
    <cellStyle name="40% - Accent2 4 4 3 4 2 2" xfId="22535" xr:uid="{00000000-0005-0000-0000-0000A2390000}"/>
    <cellStyle name="40% - Accent2 4 4 3 4 2 3" xfId="22536" xr:uid="{00000000-0005-0000-0000-0000A3390000}"/>
    <cellStyle name="40% - Accent2 4 4 3 4 3" xfId="22537" xr:uid="{00000000-0005-0000-0000-0000A4390000}"/>
    <cellStyle name="40% - Accent2 4 4 3 4 3 2" xfId="22538" xr:uid="{00000000-0005-0000-0000-0000A5390000}"/>
    <cellStyle name="40% - Accent2 4 4 3 4 4" xfId="22539" xr:uid="{00000000-0005-0000-0000-0000A6390000}"/>
    <cellStyle name="40% - Accent2 4 4 3 4 5" xfId="22540" xr:uid="{00000000-0005-0000-0000-0000A7390000}"/>
    <cellStyle name="40% - Accent2 4 4 3 5" xfId="22541" xr:uid="{00000000-0005-0000-0000-0000A8390000}"/>
    <cellStyle name="40% - Accent2 4 4 3 5 2" xfId="22542" xr:uid="{00000000-0005-0000-0000-0000A9390000}"/>
    <cellStyle name="40% - Accent2 4 4 3 5 3" xfId="22543" xr:uid="{00000000-0005-0000-0000-0000AA390000}"/>
    <cellStyle name="40% - Accent2 4 4 3 6" xfId="22544" xr:uid="{00000000-0005-0000-0000-0000AB390000}"/>
    <cellStyle name="40% - Accent2 4 4 3 6 2" xfId="22545" xr:uid="{00000000-0005-0000-0000-0000AC390000}"/>
    <cellStyle name="40% - Accent2 4 4 3 6 3" xfId="22546" xr:uid="{00000000-0005-0000-0000-0000AD390000}"/>
    <cellStyle name="40% - Accent2 4 4 3 7" xfId="22547" xr:uid="{00000000-0005-0000-0000-0000AE390000}"/>
    <cellStyle name="40% - Accent2 4 4 3 7 2" xfId="22548" xr:uid="{00000000-0005-0000-0000-0000AF390000}"/>
    <cellStyle name="40% - Accent2 4 4 3 8" xfId="22549" xr:uid="{00000000-0005-0000-0000-0000B0390000}"/>
    <cellStyle name="40% - Accent2 4 4 3 9" xfId="22550" xr:uid="{00000000-0005-0000-0000-0000B1390000}"/>
    <cellStyle name="40% - Accent2 4 4 4" xfId="22551" xr:uid="{00000000-0005-0000-0000-0000B2390000}"/>
    <cellStyle name="40% - Accent2 4 4 4 2" xfId="22552" xr:uid="{00000000-0005-0000-0000-0000B3390000}"/>
    <cellStyle name="40% - Accent2 4 4 4 2 2" xfId="22553" xr:uid="{00000000-0005-0000-0000-0000B4390000}"/>
    <cellStyle name="40% - Accent2 4 4 4 2 2 2" xfId="22554" xr:uid="{00000000-0005-0000-0000-0000B5390000}"/>
    <cellStyle name="40% - Accent2 4 4 4 2 2 3" xfId="22555" xr:uid="{00000000-0005-0000-0000-0000B6390000}"/>
    <cellStyle name="40% - Accent2 4 4 4 2 3" xfId="22556" xr:uid="{00000000-0005-0000-0000-0000B7390000}"/>
    <cellStyle name="40% - Accent2 4 4 4 2 3 2" xfId="22557" xr:uid="{00000000-0005-0000-0000-0000B8390000}"/>
    <cellStyle name="40% - Accent2 4 4 4 2 3 3" xfId="22558" xr:uid="{00000000-0005-0000-0000-0000B9390000}"/>
    <cellStyle name="40% - Accent2 4 4 4 2 4" xfId="22559" xr:uid="{00000000-0005-0000-0000-0000BA390000}"/>
    <cellStyle name="40% - Accent2 4 4 4 2 4 2" xfId="22560" xr:uid="{00000000-0005-0000-0000-0000BB390000}"/>
    <cellStyle name="40% - Accent2 4 4 4 2 5" xfId="22561" xr:uid="{00000000-0005-0000-0000-0000BC390000}"/>
    <cellStyle name="40% - Accent2 4 4 4 2 6" xfId="22562" xr:uid="{00000000-0005-0000-0000-0000BD390000}"/>
    <cellStyle name="40% - Accent2 4 4 4 3" xfId="22563" xr:uid="{00000000-0005-0000-0000-0000BE390000}"/>
    <cellStyle name="40% - Accent2 4 4 4 3 2" xfId="22564" xr:uid="{00000000-0005-0000-0000-0000BF390000}"/>
    <cellStyle name="40% - Accent2 4 4 4 3 2 2" xfId="22565" xr:uid="{00000000-0005-0000-0000-0000C0390000}"/>
    <cellStyle name="40% - Accent2 4 4 4 3 2 3" xfId="22566" xr:uid="{00000000-0005-0000-0000-0000C1390000}"/>
    <cellStyle name="40% - Accent2 4 4 4 3 3" xfId="22567" xr:uid="{00000000-0005-0000-0000-0000C2390000}"/>
    <cellStyle name="40% - Accent2 4 4 4 3 3 2" xfId="22568" xr:uid="{00000000-0005-0000-0000-0000C3390000}"/>
    <cellStyle name="40% - Accent2 4 4 4 3 3 3" xfId="22569" xr:uid="{00000000-0005-0000-0000-0000C4390000}"/>
    <cellStyle name="40% - Accent2 4 4 4 3 4" xfId="22570" xr:uid="{00000000-0005-0000-0000-0000C5390000}"/>
    <cellStyle name="40% - Accent2 4 4 4 3 4 2" xfId="22571" xr:uid="{00000000-0005-0000-0000-0000C6390000}"/>
    <cellStyle name="40% - Accent2 4 4 4 3 5" xfId="22572" xr:uid="{00000000-0005-0000-0000-0000C7390000}"/>
    <cellStyle name="40% - Accent2 4 4 4 3 6" xfId="22573" xr:uid="{00000000-0005-0000-0000-0000C8390000}"/>
    <cellStyle name="40% - Accent2 4 4 4 4" xfId="22574" xr:uid="{00000000-0005-0000-0000-0000C9390000}"/>
    <cellStyle name="40% - Accent2 4 4 4 4 2" xfId="22575" xr:uid="{00000000-0005-0000-0000-0000CA390000}"/>
    <cellStyle name="40% - Accent2 4 4 4 4 2 2" xfId="22576" xr:uid="{00000000-0005-0000-0000-0000CB390000}"/>
    <cellStyle name="40% - Accent2 4 4 4 4 2 3" xfId="22577" xr:uid="{00000000-0005-0000-0000-0000CC390000}"/>
    <cellStyle name="40% - Accent2 4 4 4 4 3" xfId="22578" xr:uid="{00000000-0005-0000-0000-0000CD390000}"/>
    <cellStyle name="40% - Accent2 4 4 4 4 3 2" xfId="22579" xr:uid="{00000000-0005-0000-0000-0000CE390000}"/>
    <cellStyle name="40% - Accent2 4 4 4 4 4" xfId="22580" xr:uid="{00000000-0005-0000-0000-0000CF390000}"/>
    <cellStyle name="40% - Accent2 4 4 4 4 5" xfId="22581" xr:uid="{00000000-0005-0000-0000-0000D0390000}"/>
    <cellStyle name="40% - Accent2 4 4 4 5" xfId="22582" xr:uid="{00000000-0005-0000-0000-0000D1390000}"/>
    <cellStyle name="40% - Accent2 4 4 4 5 2" xfId="22583" xr:uid="{00000000-0005-0000-0000-0000D2390000}"/>
    <cellStyle name="40% - Accent2 4 4 4 5 3" xfId="22584" xr:uid="{00000000-0005-0000-0000-0000D3390000}"/>
    <cellStyle name="40% - Accent2 4 4 4 6" xfId="22585" xr:uid="{00000000-0005-0000-0000-0000D4390000}"/>
    <cellStyle name="40% - Accent2 4 4 4 6 2" xfId="22586" xr:uid="{00000000-0005-0000-0000-0000D5390000}"/>
    <cellStyle name="40% - Accent2 4 4 4 6 3" xfId="22587" xr:uid="{00000000-0005-0000-0000-0000D6390000}"/>
    <cellStyle name="40% - Accent2 4 4 4 7" xfId="22588" xr:uid="{00000000-0005-0000-0000-0000D7390000}"/>
    <cellStyle name="40% - Accent2 4 4 4 7 2" xfId="22589" xr:uid="{00000000-0005-0000-0000-0000D8390000}"/>
    <cellStyle name="40% - Accent2 4 4 4 8" xfId="22590" xr:uid="{00000000-0005-0000-0000-0000D9390000}"/>
    <cellStyle name="40% - Accent2 4 4 4 9" xfId="22591" xr:uid="{00000000-0005-0000-0000-0000DA390000}"/>
    <cellStyle name="40% - Accent2 4 4 5" xfId="22592" xr:uid="{00000000-0005-0000-0000-0000DB390000}"/>
    <cellStyle name="40% - Accent2 4 4 5 2" xfId="22593" xr:uid="{00000000-0005-0000-0000-0000DC390000}"/>
    <cellStyle name="40% - Accent2 4 4 5 2 2" xfId="22594" xr:uid="{00000000-0005-0000-0000-0000DD390000}"/>
    <cellStyle name="40% - Accent2 4 4 5 2 3" xfId="22595" xr:uid="{00000000-0005-0000-0000-0000DE390000}"/>
    <cellStyle name="40% - Accent2 4 4 5 3" xfId="22596" xr:uid="{00000000-0005-0000-0000-0000DF390000}"/>
    <cellStyle name="40% - Accent2 4 4 5 3 2" xfId="22597" xr:uid="{00000000-0005-0000-0000-0000E0390000}"/>
    <cellStyle name="40% - Accent2 4 4 5 3 3" xfId="22598" xr:uid="{00000000-0005-0000-0000-0000E1390000}"/>
    <cellStyle name="40% - Accent2 4 4 5 4" xfId="22599" xr:uid="{00000000-0005-0000-0000-0000E2390000}"/>
    <cellStyle name="40% - Accent2 4 4 5 4 2" xfId="22600" xr:uid="{00000000-0005-0000-0000-0000E3390000}"/>
    <cellStyle name="40% - Accent2 4 4 5 5" xfId="22601" xr:uid="{00000000-0005-0000-0000-0000E4390000}"/>
    <cellStyle name="40% - Accent2 4 4 5 6" xfId="22602" xr:uid="{00000000-0005-0000-0000-0000E5390000}"/>
    <cellStyle name="40% - Accent2 4 4 6" xfId="22603" xr:uid="{00000000-0005-0000-0000-0000E6390000}"/>
    <cellStyle name="40% - Accent2 4 4 6 2" xfId="22604" xr:uid="{00000000-0005-0000-0000-0000E7390000}"/>
    <cellStyle name="40% - Accent2 4 4 6 2 2" xfId="22605" xr:uid="{00000000-0005-0000-0000-0000E8390000}"/>
    <cellStyle name="40% - Accent2 4 4 6 2 3" xfId="22606" xr:uid="{00000000-0005-0000-0000-0000E9390000}"/>
    <cellStyle name="40% - Accent2 4 4 6 3" xfId="22607" xr:uid="{00000000-0005-0000-0000-0000EA390000}"/>
    <cellStyle name="40% - Accent2 4 4 6 3 2" xfId="22608" xr:uid="{00000000-0005-0000-0000-0000EB390000}"/>
    <cellStyle name="40% - Accent2 4 4 6 3 3" xfId="22609" xr:uid="{00000000-0005-0000-0000-0000EC390000}"/>
    <cellStyle name="40% - Accent2 4 4 6 4" xfId="22610" xr:uid="{00000000-0005-0000-0000-0000ED390000}"/>
    <cellStyle name="40% - Accent2 4 4 6 4 2" xfId="22611" xr:uid="{00000000-0005-0000-0000-0000EE390000}"/>
    <cellStyle name="40% - Accent2 4 4 6 5" xfId="22612" xr:uid="{00000000-0005-0000-0000-0000EF390000}"/>
    <cellStyle name="40% - Accent2 4 4 6 6" xfId="22613" xr:uid="{00000000-0005-0000-0000-0000F0390000}"/>
    <cellStyle name="40% - Accent2 4 4 7" xfId="22614" xr:uid="{00000000-0005-0000-0000-0000F1390000}"/>
    <cellStyle name="40% - Accent2 4 4 7 2" xfId="22615" xr:uid="{00000000-0005-0000-0000-0000F2390000}"/>
    <cellStyle name="40% - Accent2 4 4 7 2 2" xfId="22616" xr:uid="{00000000-0005-0000-0000-0000F3390000}"/>
    <cellStyle name="40% - Accent2 4 4 7 2 3" xfId="22617" xr:uid="{00000000-0005-0000-0000-0000F4390000}"/>
    <cellStyle name="40% - Accent2 4 4 7 3" xfId="22618" xr:uid="{00000000-0005-0000-0000-0000F5390000}"/>
    <cellStyle name="40% - Accent2 4 4 7 3 2" xfId="22619" xr:uid="{00000000-0005-0000-0000-0000F6390000}"/>
    <cellStyle name="40% - Accent2 4 4 7 4" xfId="22620" xr:uid="{00000000-0005-0000-0000-0000F7390000}"/>
    <cellStyle name="40% - Accent2 4 4 7 5" xfId="22621" xr:uid="{00000000-0005-0000-0000-0000F8390000}"/>
    <cellStyle name="40% - Accent2 4 4 8" xfId="22622" xr:uid="{00000000-0005-0000-0000-0000F9390000}"/>
    <cellStyle name="40% - Accent2 4 4 8 2" xfId="22623" xr:uid="{00000000-0005-0000-0000-0000FA390000}"/>
    <cellStyle name="40% - Accent2 4 4 8 3" xfId="22624" xr:uid="{00000000-0005-0000-0000-0000FB390000}"/>
    <cellStyle name="40% - Accent2 4 4 9" xfId="22625" xr:uid="{00000000-0005-0000-0000-0000FC390000}"/>
    <cellStyle name="40% - Accent2 4 4 9 2" xfId="22626" xr:uid="{00000000-0005-0000-0000-0000FD390000}"/>
    <cellStyle name="40% - Accent2 4 4 9 3" xfId="22627" xr:uid="{00000000-0005-0000-0000-0000FE390000}"/>
    <cellStyle name="40% - Accent2 4 5" xfId="1808" xr:uid="{00000000-0005-0000-0000-0000FF390000}"/>
    <cellStyle name="40% - Accent2 4 5 10" xfId="22628" xr:uid="{00000000-0005-0000-0000-0000003A0000}"/>
    <cellStyle name="40% - Accent2 4 5 2" xfId="1809" xr:uid="{00000000-0005-0000-0000-0000013A0000}"/>
    <cellStyle name="40% - Accent2 4 5 2 2" xfId="22629" xr:uid="{00000000-0005-0000-0000-0000023A0000}"/>
    <cellStyle name="40% - Accent2 4 5 2 2 2" xfId="22630" xr:uid="{00000000-0005-0000-0000-0000033A0000}"/>
    <cellStyle name="40% - Accent2 4 5 2 2 2 2" xfId="22631" xr:uid="{00000000-0005-0000-0000-0000043A0000}"/>
    <cellStyle name="40% - Accent2 4 5 2 2 2 3" xfId="22632" xr:uid="{00000000-0005-0000-0000-0000053A0000}"/>
    <cellStyle name="40% - Accent2 4 5 2 2 3" xfId="22633" xr:uid="{00000000-0005-0000-0000-0000063A0000}"/>
    <cellStyle name="40% - Accent2 4 5 2 2 3 2" xfId="22634" xr:uid="{00000000-0005-0000-0000-0000073A0000}"/>
    <cellStyle name="40% - Accent2 4 5 2 2 3 3" xfId="22635" xr:uid="{00000000-0005-0000-0000-0000083A0000}"/>
    <cellStyle name="40% - Accent2 4 5 2 2 4" xfId="22636" xr:uid="{00000000-0005-0000-0000-0000093A0000}"/>
    <cellStyle name="40% - Accent2 4 5 2 2 4 2" xfId="22637" xr:uid="{00000000-0005-0000-0000-00000A3A0000}"/>
    <cellStyle name="40% - Accent2 4 5 2 2 5" xfId="22638" xr:uid="{00000000-0005-0000-0000-00000B3A0000}"/>
    <cellStyle name="40% - Accent2 4 5 2 2 6" xfId="22639" xr:uid="{00000000-0005-0000-0000-00000C3A0000}"/>
    <cellStyle name="40% - Accent2 4 5 2 3" xfId="22640" xr:uid="{00000000-0005-0000-0000-00000D3A0000}"/>
    <cellStyle name="40% - Accent2 4 5 2 3 2" xfId="22641" xr:uid="{00000000-0005-0000-0000-00000E3A0000}"/>
    <cellStyle name="40% - Accent2 4 5 2 3 2 2" xfId="22642" xr:uid="{00000000-0005-0000-0000-00000F3A0000}"/>
    <cellStyle name="40% - Accent2 4 5 2 3 2 3" xfId="22643" xr:uid="{00000000-0005-0000-0000-0000103A0000}"/>
    <cellStyle name="40% - Accent2 4 5 2 3 3" xfId="22644" xr:uid="{00000000-0005-0000-0000-0000113A0000}"/>
    <cellStyle name="40% - Accent2 4 5 2 3 3 2" xfId="22645" xr:uid="{00000000-0005-0000-0000-0000123A0000}"/>
    <cellStyle name="40% - Accent2 4 5 2 3 3 3" xfId="22646" xr:uid="{00000000-0005-0000-0000-0000133A0000}"/>
    <cellStyle name="40% - Accent2 4 5 2 3 4" xfId="22647" xr:uid="{00000000-0005-0000-0000-0000143A0000}"/>
    <cellStyle name="40% - Accent2 4 5 2 3 4 2" xfId="22648" xr:uid="{00000000-0005-0000-0000-0000153A0000}"/>
    <cellStyle name="40% - Accent2 4 5 2 3 5" xfId="22649" xr:uid="{00000000-0005-0000-0000-0000163A0000}"/>
    <cellStyle name="40% - Accent2 4 5 2 3 6" xfId="22650" xr:uid="{00000000-0005-0000-0000-0000173A0000}"/>
    <cellStyle name="40% - Accent2 4 5 2 4" xfId="22651" xr:uid="{00000000-0005-0000-0000-0000183A0000}"/>
    <cellStyle name="40% - Accent2 4 5 2 4 2" xfId="22652" xr:uid="{00000000-0005-0000-0000-0000193A0000}"/>
    <cellStyle name="40% - Accent2 4 5 2 4 2 2" xfId="22653" xr:uid="{00000000-0005-0000-0000-00001A3A0000}"/>
    <cellStyle name="40% - Accent2 4 5 2 4 2 3" xfId="22654" xr:uid="{00000000-0005-0000-0000-00001B3A0000}"/>
    <cellStyle name="40% - Accent2 4 5 2 4 3" xfId="22655" xr:uid="{00000000-0005-0000-0000-00001C3A0000}"/>
    <cellStyle name="40% - Accent2 4 5 2 4 3 2" xfId="22656" xr:uid="{00000000-0005-0000-0000-00001D3A0000}"/>
    <cellStyle name="40% - Accent2 4 5 2 4 4" xfId="22657" xr:uid="{00000000-0005-0000-0000-00001E3A0000}"/>
    <cellStyle name="40% - Accent2 4 5 2 4 5" xfId="22658" xr:uid="{00000000-0005-0000-0000-00001F3A0000}"/>
    <cellStyle name="40% - Accent2 4 5 2 5" xfId="22659" xr:uid="{00000000-0005-0000-0000-0000203A0000}"/>
    <cellStyle name="40% - Accent2 4 5 2 5 2" xfId="22660" xr:uid="{00000000-0005-0000-0000-0000213A0000}"/>
    <cellStyle name="40% - Accent2 4 5 2 5 3" xfId="22661" xr:uid="{00000000-0005-0000-0000-0000223A0000}"/>
    <cellStyle name="40% - Accent2 4 5 2 6" xfId="22662" xr:uid="{00000000-0005-0000-0000-0000233A0000}"/>
    <cellStyle name="40% - Accent2 4 5 2 6 2" xfId="22663" xr:uid="{00000000-0005-0000-0000-0000243A0000}"/>
    <cellStyle name="40% - Accent2 4 5 2 6 3" xfId="22664" xr:uid="{00000000-0005-0000-0000-0000253A0000}"/>
    <cellStyle name="40% - Accent2 4 5 2 7" xfId="22665" xr:uid="{00000000-0005-0000-0000-0000263A0000}"/>
    <cellStyle name="40% - Accent2 4 5 2 7 2" xfId="22666" xr:uid="{00000000-0005-0000-0000-0000273A0000}"/>
    <cellStyle name="40% - Accent2 4 5 2 8" xfId="22667" xr:uid="{00000000-0005-0000-0000-0000283A0000}"/>
    <cellStyle name="40% - Accent2 4 5 2 9" xfId="22668" xr:uid="{00000000-0005-0000-0000-0000293A0000}"/>
    <cellStyle name="40% - Accent2 4 5 3" xfId="22669" xr:uid="{00000000-0005-0000-0000-00002A3A0000}"/>
    <cellStyle name="40% - Accent2 4 5 3 2" xfId="22670" xr:uid="{00000000-0005-0000-0000-00002B3A0000}"/>
    <cellStyle name="40% - Accent2 4 5 3 2 2" xfId="22671" xr:uid="{00000000-0005-0000-0000-00002C3A0000}"/>
    <cellStyle name="40% - Accent2 4 5 3 2 3" xfId="22672" xr:uid="{00000000-0005-0000-0000-00002D3A0000}"/>
    <cellStyle name="40% - Accent2 4 5 3 3" xfId="22673" xr:uid="{00000000-0005-0000-0000-00002E3A0000}"/>
    <cellStyle name="40% - Accent2 4 5 3 3 2" xfId="22674" xr:uid="{00000000-0005-0000-0000-00002F3A0000}"/>
    <cellStyle name="40% - Accent2 4 5 3 3 3" xfId="22675" xr:uid="{00000000-0005-0000-0000-0000303A0000}"/>
    <cellStyle name="40% - Accent2 4 5 3 4" xfId="22676" xr:uid="{00000000-0005-0000-0000-0000313A0000}"/>
    <cellStyle name="40% - Accent2 4 5 3 4 2" xfId="22677" xr:uid="{00000000-0005-0000-0000-0000323A0000}"/>
    <cellStyle name="40% - Accent2 4 5 3 5" xfId="22678" xr:uid="{00000000-0005-0000-0000-0000333A0000}"/>
    <cellStyle name="40% - Accent2 4 5 3 6" xfId="22679" xr:uid="{00000000-0005-0000-0000-0000343A0000}"/>
    <cellStyle name="40% - Accent2 4 5 4" xfId="22680" xr:uid="{00000000-0005-0000-0000-0000353A0000}"/>
    <cellStyle name="40% - Accent2 4 5 4 2" xfId="22681" xr:uid="{00000000-0005-0000-0000-0000363A0000}"/>
    <cellStyle name="40% - Accent2 4 5 4 2 2" xfId="22682" xr:uid="{00000000-0005-0000-0000-0000373A0000}"/>
    <cellStyle name="40% - Accent2 4 5 4 2 3" xfId="22683" xr:uid="{00000000-0005-0000-0000-0000383A0000}"/>
    <cellStyle name="40% - Accent2 4 5 4 3" xfId="22684" xr:uid="{00000000-0005-0000-0000-0000393A0000}"/>
    <cellStyle name="40% - Accent2 4 5 4 3 2" xfId="22685" xr:uid="{00000000-0005-0000-0000-00003A3A0000}"/>
    <cellStyle name="40% - Accent2 4 5 4 3 3" xfId="22686" xr:uid="{00000000-0005-0000-0000-00003B3A0000}"/>
    <cellStyle name="40% - Accent2 4 5 4 4" xfId="22687" xr:uid="{00000000-0005-0000-0000-00003C3A0000}"/>
    <cellStyle name="40% - Accent2 4 5 4 4 2" xfId="22688" xr:uid="{00000000-0005-0000-0000-00003D3A0000}"/>
    <cellStyle name="40% - Accent2 4 5 4 5" xfId="22689" xr:uid="{00000000-0005-0000-0000-00003E3A0000}"/>
    <cellStyle name="40% - Accent2 4 5 4 6" xfId="22690" xr:uid="{00000000-0005-0000-0000-00003F3A0000}"/>
    <cellStyle name="40% - Accent2 4 5 5" xfId="22691" xr:uid="{00000000-0005-0000-0000-0000403A0000}"/>
    <cellStyle name="40% - Accent2 4 5 5 2" xfId="22692" xr:uid="{00000000-0005-0000-0000-0000413A0000}"/>
    <cellStyle name="40% - Accent2 4 5 5 2 2" xfId="22693" xr:uid="{00000000-0005-0000-0000-0000423A0000}"/>
    <cellStyle name="40% - Accent2 4 5 5 2 3" xfId="22694" xr:uid="{00000000-0005-0000-0000-0000433A0000}"/>
    <cellStyle name="40% - Accent2 4 5 5 3" xfId="22695" xr:uid="{00000000-0005-0000-0000-0000443A0000}"/>
    <cellStyle name="40% - Accent2 4 5 5 3 2" xfId="22696" xr:uid="{00000000-0005-0000-0000-0000453A0000}"/>
    <cellStyle name="40% - Accent2 4 5 5 4" xfId="22697" xr:uid="{00000000-0005-0000-0000-0000463A0000}"/>
    <cellStyle name="40% - Accent2 4 5 5 5" xfId="22698" xr:uid="{00000000-0005-0000-0000-0000473A0000}"/>
    <cellStyle name="40% - Accent2 4 5 6" xfId="22699" xr:uid="{00000000-0005-0000-0000-0000483A0000}"/>
    <cellStyle name="40% - Accent2 4 5 6 2" xfId="22700" xr:uid="{00000000-0005-0000-0000-0000493A0000}"/>
    <cellStyle name="40% - Accent2 4 5 6 3" xfId="22701" xr:uid="{00000000-0005-0000-0000-00004A3A0000}"/>
    <cellStyle name="40% - Accent2 4 5 7" xfId="22702" xr:uid="{00000000-0005-0000-0000-00004B3A0000}"/>
    <cellStyle name="40% - Accent2 4 5 7 2" xfId="22703" xr:uid="{00000000-0005-0000-0000-00004C3A0000}"/>
    <cellStyle name="40% - Accent2 4 5 7 3" xfId="22704" xr:uid="{00000000-0005-0000-0000-00004D3A0000}"/>
    <cellStyle name="40% - Accent2 4 5 8" xfId="22705" xr:uid="{00000000-0005-0000-0000-00004E3A0000}"/>
    <cellStyle name="40% - Accent2 4 5 8 2" xfId="22706" xr:uid="{00000000-0005-0000-0000-00004F3A0000}"/>
    <cellStyle name="40% - Accent2 4 5 9" xfId="22707" xr:uid="{00000000-0005-0000-0000-0000503A0000}"/>
    <cellStyle name="40% - Accent2 4 6" xfId="1810" xr:uid="{00000000-0005-0000-0000-0000513A0000}"/>
    <cellStyle name="40% - Accent2 4 6 2" xfId="22708" xr:uid="{00000000-0005-0000-0000-0000523A0000}"/>
    <cellStyle name="40% - Accent2 4 6 2 2" xfId="22709" xr:uid="{00000000-0005-0000-0000-0000533A0000}"/>
    <cellStyle name="40% - Accent2 4 6 2 2 2" xfId="22710" xr:uid="{00000000-0005-0000-0000-0000543A0000}"/>
    <cellStyle name="40% - Accent2 4 6 2 2 3" xfId="22711" xr:uid="{00000000-0005-0000-0000-0000553A0000}"/>
    <cellStyle name="40% - Accent2 4 6 2 3" xfId="22712" xr:uid="{00000000-0005-0000-0000-0000563A0000}"/>
    <cellStyle name="40% - Accent2 4 6 2 3 2" xfId="22713" xr:uid="{00000000-0005-0000-0000-0000573A0000}"/>
    <cellStyle name="40% - Accent2 4 6 2 3 3" xfId="22714" xr:uid="{00000000-0005-0000-0000-0000583A0000}"/>
    <cellStyle name="40% - Accent2 4 6 2 4" xfId="22715" xr:uid="{00000000-0005-0000-0000-0000593A0000}"/>
    <cellStyle name="40% - Accent2 4 6 2 4 2" xfId="22716" xr:uid="{00000000-0005-0000-0000-00005A3A0000}"/>
    <cellStyle name="40% - Accent2 4 6 2 5" xfId="22717" xr:uid="{00000000-0005-0000-0000-00005B3A0000}"/>
    <cellStyle name="40% - Accent2 4 6 2 6" xfId="22718" xr:uid="{00000000-0005-0000-0000-00005C3A0000}"/>
    <cellStyle name="40% - Accent2 4 6 3" xfId="22719" xr:uid="{00000000-0005-0000-0000-00005D3A0000}"/>
    <cellStyle name="40% - Accent2 4 6 3 2" xfId="22720" xr:uid="{00000000-0005-0000-0000-00005E3A0000}"/>
    <cellStyle name="40% - Accent2 4 6 3 2 2" xfId="22721" xr:uid="{00000000-0005-0000-0000-00005F3A0000}"/>
    <cellStyle name="40% - Accent2 4 6 3 2 3" xfId="22722" xr:uid="{00000000-0005-0000-0000-0000603A0000}"/>
    <cellStyle name="40% - Accent2 4 6 3 3" xfId="22723" xr:uid="{00000000-0005-0000-0000-0000613A0000}"/>
    <cellStyle name="40% - Accent2 4 6 3 3 2" xfId="22724" xr:uid="{00000000-0005-0000-0000-0000623A0000}"/>
    <cellStyle name="40% - Accent2 4 6 3 3 3" xfId="22725" xr:uid="{00000000-0005-0000-0000-0000633A0000}"/>
    <cellStyle name="40% - Accent2 4 6 3 4" xfId="22726" xr:uid="{00000000-0005-0000-0000-0000643A0000}"/>
    <cellStyle name="40% - Accent2 4 6 3 4 2" xfId="22727" xr:uid="{00000000-0005-0000-0000-0000653A0000}"/>
    <cellStyle name="40% - Accent2 4 6 3 5" xfId="22728" xr:uid="{00000000-0005-0000-0000-0000663A0000}"/>
    <cellStyle name="40% - Accent2 4 6 3 6" xfId="22729" xr:uid="{00000000-0005-0000-0000-0000673A0000}"/>
    <cellStyle name="40% - Accent2 4 6 4" xfId="22730" xr:uid="{00000000-0005-0000-0000-0000683A0000}"/>
    <cellStyle name="40% - Accent2 4 6 4 2" xfId="22731" xr:uid="{00000000-0005-0000-0000-0000693A0000}"/>
    <cellStyle name="40% - Accent2 4 6 4 2 2" xfId="22732" xr:uid="{00000000-0005-0000-0000-00006A3A0000}"/>
    <cellStyle name="40% - Accent2 4 6 4 2 3" xfId="22733" xr:uid="{00000000-0005-0000-0000-00006B3A0000}"/>
    <cellStyle name="40% - Accent2 4 6 4 3" xfId="22734" xr:uid="{00000000-0005-0000-0000-00006C3A0000}"/>
    <cellStyle name="40% - Accent2 4 6 4 3 2" xfId="22735" xr:uid="{00000000-0005-0000-0000-00006D3A0000}"/>
    <cellStyle name="40% - Accent2 4 6 4 4" xfId="22736" xr:uid="{00000000-0005-0000-0000-00006E3A0000}"/>
    <cellStyle name="40% - Accent2 4 6 4 5" xfId="22737" xr:uid="{00000000-0005-0000-0000-00006F3A0000}"/>
    <cellStyle name="40% - Accent2 4 6 5" xfId="22738" xr:uid="{00000000-0005-0000-0000-0000703A0000}"/>
    <cellStyle name="40% - Accent2 4 6 5 2" xfId="22739" xr:uid="{00000000-0005-0000-0000-0000713A0000}"/>
    <cellStyle name="40% - Accent2 4 6 5 3" xfId="22740" xr:uid="{00000000-0005-0000-0000-0000723A0000}"/>
    <cellStyle name="40% - Accent2 4 6 6" xfId="22741" xr:uid="{00000000-0005-0000-0000-0000733A0000}"/>
    <cellStyle name="40% - Accent2 4 6 6 2" xfId="22742" xr:uid="{00000000-0005-0000-0000-0000743A0000}"/>
    <cellStyle name="40% - Accent2 4 6 6 3" xfId="22743" xr:uid="{00000000-0005-0000-0000-0000753A0000}"/>
    <cellStyle name="40% - Accent2 4 6 7" xfId="22744" xr:uid="{00000000-0005-0000-0000-0000763A0000}"/>
    <cellStyle name="40% - Accent2 4 6 7 2" xfId="22745" xr:uid="{00000000-0005-0000-0000-0000773A0000}"/>
    <cellStyle name="40% - Accent2 4 6 8" xfId="22746" xr:uid="{00000000-0005-0000-0000-0000783A0000}"/>
    <cellStyle name="40% - Accent2 4 6 9" xfId="22747" xr:uid="{00000000-0005-0000-0000-0000793A0000}"/>
    <cellStyle name="40% - Accent2 4 7" xfId="8965" xr:uid="{00000000-0005-0000-0000-00007A3A0000}"/>
    <cellStyle name="40% - Accent2 4 7 2" xfId="22748" xr:uid="{00000000-0005-0000-0000-00007B3A0000}"/>
    <cellStyle name="40% - Accent2 4 7 2 2" xfId="22749" xr:uid="{00000000-0005-0000-0000-00007C3A0000}"/>
    <cellStyle name="40% - Accent2 4 7 2 2 2" xfId="22750" xr:uid="{00000000-0005-0000-0000-00007D3A0000}"/>
    <cellStyle name="40% - Accent2 4 7 2 2 3" xfId="22751" xr:uid="{00000000-0005-0000-0000-00007E3A0000}"/>
    <cellStyle name="40% - Accent2 4 7 2 3" xfId="22752" xr:uid="{00000000-0005-0000-0000-00007F3A0000}"/>
    <cellStyle name="40% - Accent2 4 7 2 3 2" xfId="22753" xr:uid="{00000000-0005-0000-0000-0000803A0000}"/>
    <cellStyle name="40% - Accent2 4 7 2 3 3" xfId="22754" xr:uid="{00000000-0005-0000-0000-0000813A0000}"/>
    <cellStyle name="40% - Accent2 4 7 2 4" xfId="22755" xr:uid="{00000000-0005-0000-0000-0000823A0000}"/>
    <cellStyle name="40% - Accent2 4 7 2 4 2" xfId="22756" xr:uid="{00000000-0005-0000-0000-0000833A0000}"/>
    <cellStyle name="40% - Accent2 4 7 2 5" xfId="22757" xr:uid="{00000000-0005-0000-0000-0000843A0000}"/>
    <cellStyle name="40% - Accent2 4 7 2 6" xfId="22758" xr:uid="{00000000-0005-0000-0000-0000853A0000}"/>
    <cellStyle name="40% - Accent2 4 7 3" xfId="22759" xr:uid="{00000000-0005-0000-0000-0000863A0000}"/>
    <cellStyle name="40% - Accent2 4 7 3 2" xfId="22760" xr:uid="{00000000-0005-0000-0000-0000873A0000}"/>
    <cellStyle name="40% - Accent2 4 7 3 2 2" xfId="22761" xr:uid="{00000000-0005-0000-0000-0000883A0000}"/>
    <cellStyle name="40% - Accent2 4 7 3 2 3" xfId="22762" xr:uid="{00000000-0005-0000-0000-0000893A0000}"/>
    <cellStyle name="40% - Accent2 4 7 3 3" xfId="22763" xr:uid="{00000000-0005-0000-0000-00008A3A0000}"/>
    <cellStyle name="40% - Accent2 4 7 3 3 2" xfId="22764" xr:uid="{00000000-0005-0000-0000-00008B3A0000}"/>
    <cellStyle name="40% - Accent2 4 7 3 3 3" xfId="22765" xr:uid="{00000000-0005-0000-0000-00008C3A0000}"/>
    <cellStyle name="40% - Accent2 4 7 3 4" xfId="22766" xr:uid="{00000000-0005-0000-0000-00008D3A0000}"/>
    <cellStyle name="40% - Accent2 4 7 3 4 2" xfId="22767" xr:uid="{00000000-0005-0000-0000-00008E3A0000}"/>
    <cellStyle name="40% - Accent2 4 7 3 5" xfId="22768" xr:uid="{00000000-0005-0000-0000-00008F3A0000}"/>
    <cellStyle name="40% - Accent2 4 7 3 6" xfId="22769" xr:uid="{00000000-0005-0000-0000-0000903A0000}"/>
    <cellStyle name="40% - Accent2 4 7 4" xfId="22770" xr:uid="{00000000-0005-0000-0000-0000913A0000}"/>
    <cellStyle name="40% - Accent2 4 7 4 2" xfId="22771" xr:uid="{00000000-0005-0000-0000-0000923A0000}"/>
    <cellStyle name="40% - Accent2 4 7 4 2 2" xfId="22772" xr:uid="{00000000-0005-0000-0000-0000933A0000}"/>
    <cellStyle name="40% - Accent2 4 7 4 2 3" xfId="22773" xr:uid="{00000000-0005-0000-0000-0000943A0000}"/>
    <cellStyle name="40% - Accent2 4 7 4 3" xfId="22774" xr:uid="{00000000-0005-0000-0000-0000953A0000}"/>
    <cellStyle name="40% - Accent2 4 7 4 3 2" xfId="22775" xr:uid="{00000000-0005-0000-0000-0000963A0000}"/>
    <cellStyle name="40% - Accent2 4 7 4 4" xfId="22776" xr:uid="{00000000-0005-0000-0000-0000973A0000}"/>
    <cellStyle name="40% - Accent2 4 7 4 5" xfId="22777" xr:uid="{00000000-0005-0000-0000-0000983A0000}"/>
    <cellStyle name="40% - Accent2 4 7 5" xfId="22778" xr:uid="{00000000-0005-0000-0000-0000993A0000}"/>
    <cellStyle name="40% - Accent2 4 7 5 2" xfId="22779" xr:uid="{00000000-0005-0000-0000-00009A3A0000}"/>
    <cellStyle name="40% - Accent2 4 7 5 3" xfId="22780" xr:uid="{00000000-0005-0000-0000-00009B3A0000}"/>
    <cellStyle name="40% - Accent2 4 7 6" xfId="22781" xr:uid="{00000000-0005-0000-0000-00009C3A0000}"/>
    <cellStyle name="40% - Accent2 4 7 6 2" xfId="22782" xr:uid="{00000000-0005-0000-0000-00009D3A0000}"/>
    <cellStyle name="40% - Accent2 4 7 6 3" xfId="22783" xr:uid="{00000000-0005-0000-0000-00009E3A0000}"/>
    <cellStyle name="40% - Accent2 4 7 7" xfId="22784" xr:uid="{00000000-0005-0000-0000-00009F3A0000}"/>
    <cellStyle name="40% - Accent2 4 7 7 2" xfId="22785" xr:uid="{00000000-0005-0000-0000-0000A03A0000}"/>
    <cellStyle name="40% - Accent2 4 7 8" xfId="22786" xr:uid="{00000000-0005-0000-0000-0000A13A0000}"/>
    <cellStyle name="40% - Accent2 4 7 9" xfId="22787" xr:uid="{00000000-0005-0000-0000-0000A23A0000}"/>
    <cellStyle name="40% - Accent2 4 8" xfId="22788" xr:uid="{00000000-0005-0000-0000-0000A33A0000}"/>
    <cellStyle name="40% - Accent2 4 8 2" xfId="22789" xr:uid="{00000000-0005-0000-0000-0000A43A0000}"/>
    <cellStyle name="40% - Accent2 4 8 2 2" xfId="22790" xr:uid="{00000000-0005-0000-0000-0000A53A0000}"/>
    <cellStyle name="40% - Accent2 4 8 2 3" xfId="22791" xr:uid="{00000000-0005-0000-0000-0000A63A0000}"/>
    <cellStyle name="40% - Accent2 4 8 3" xfId="22792" xr:uid="{00000000-0005-0000-0000-0000A73A0000}"/>
    <cellStyle name="40% - Accent2 4 8 3 2" xfId="22793" xr:uid="{00000000-0005-0000-0000-0000A83A0000}"/>
    <cellStyle name="40% - Accent2 4 8 3 3" xfId="22794" xr:uid="{00000000-0005-0000-0000-0000A93A0000}"/>
    <cellStyle name="40% - Accent2 4 8 4" xfId="22795" xr:uid="{00000000-0005-0000-0000-0000AA3A0000}"/>
    <cellStyle name="40% - Accent2 4 8 4 2" xfId="22796" xr:uid="{00000000-0005-0000-0000-0000AB3A0000}"/>
    <cellStyle name="40% - Accent2 4 8 5" xfId="22797" xr:uid="{00000000-0005-0000-0000-0000AC3A0000}"/>
    <cellStyle name="40% - Accent2 4 8 6" xfId="22798" xr:uid="{00000000-0005-0000-0000-0000AD3A0000}"/>
    <cellStyle name="40% - Accent2 4 9" xfId="22799" xr:uid="{00000000-0005-0000-0000-0000AE3A0000}"/>
    <cellStyle name="40% - Accent2 4 9 2" xfId="22800" xr:uid="{00000000-0005-0000-0000-0000AF3A0000}"/>
    <cellStyle name="40% - Accent2 4 9 2 2" xfId="22801" xr:uid="{00000000-0005-0000-0000-0000B03A0000}"/>
    <cellStyle name="40% - Accent2 4 9 2 3" xfId="22802" xr:uid="{00000000-0005-0000-0000-0000B13A0000}"/>
    <cellStyle name="40% - Accent2 4 9 3" xfId="22803" xr:uid="{00000000-0005-0000-0000-0000B23A0000}"/>
    <cellStyle name="40% - Accent2 4 9 3 2" xfId="22804" xr:uid="{00000000-0005-0000-0000-0000B33A0000}"/>
    <cellStyle name="40% - Accent2 4 9 3 3" xfId="22805" xr:uid="{00000000-0005-0000-0000-0000B43A0000}"/>
    <cellStyle name="40% - Accent2 4 9 4" xfId="22806" xr:uid="{00000000-0005-0000-0000-0000B53A0000}"/>
    <cellStyle name="40% - Accent2 4 9 4 2" xfId="22807" xr:uid="{00000000-0005-0000-0000-0000B63A0000}"/>
    <cellStyle name="40% - Accent2 4 9 5" xfId="22808" xr:uid="{00000000-0005-0000-0000-0000B73A0000}"/>
    <cellStyle name="40% - Accent2 4 9 6" xfId="22809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026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8966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027" xr:uid="{00000000-0005-0000-0000-0000D03A0000}"/>
    <cellStyle name="40% - Accent2 6 2 5" xfId="58028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029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030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031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032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033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034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035" xr:uid="{00000000-0005-0000-0000-0000F93A0000}"/>
    <cellStyle name="40% - Accent3 13" xfId="1865" xr:uid="{00000000-0005-0000-0000-0000FA3A0000}"/>
    <cellStyle name="40% - Accent3 13 2" xfId="58036" xr:uid="{00000000-0005-0000-0000-0000FB3A0000}"/>
    <cellStyle name="40% - Accent3 14" xfId="8967" xr:uid="{00000000-0005-0000-0000-0000FC3A0000}"/>
    <cellStyle name="40% - Accent3 15" xfId="9402" xr:uid="{00000000-0005-0000-0000-0000FD3A0000}"/>
    <cellStyle name="40% - Accent3 16" xfId="9403" xr:uid="{00000000-0005-0000-0000-0000FE3A0000}"/>
    <cellStyle name="40% - Accent3 17" xfId="9404" xr:uid="{00000000-0005-0000-0000-0000FF3A0000}"/>
    <cellStyle name="40% - Accent3 17 2" xfId="58037" xr:uid="{00000000-0005-0000-0000-0000003B0000}"/>
    <cellStyle name="40% - Accent3 18" xfId="58038" xr:uid="{00000000-0005-0000-0000-0000013B0000}"/>
    <cellStyle name="40% - Accent3 19" xfId="58039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040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041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042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043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044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045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046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047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048" xr:uid="{00000000-0005-0000-0000-00004C3B0000}"/>
    <cellStyle name="40% - Accent3 20" xfId="58049" xr:uid="{00000000-0005-0000-0000-00004D3B0000}"/>
    <cellStyle name="40% - Accent3 21" xfId="58050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8968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8969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8970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8971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8972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8973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8974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8975" xr:uid="{00000000-0005-0000-0000-0000973B0000}"/>
    <cellStyle name="40% - Accent3 4" xfId="1996" xr:uid="{00000000-0005-0000-0000-0000983B0000}"/>
    <cellStyle name="40% - Accent3 4 10" xfId="22810" xr:uid="{00000000-0005-0000-0000-0000993B0000}"/>
    <cellStyle name="40% - Accent3 4 10 2" xfId="22811" xr:uid="{00000000-0005-0000-0000-00009A3B0000}"/>
    <cellStyle name="40% - Accent3 4 10 2 2" xfId="22812" xr:uid="{00000000-0005-0000-0000-00009B3B0000}"/>
    <cellStyle name="40% - Accent3 4 10 2 3" xfId="22813" xr:uid="{00000000-0005-0000-0000-00009C3B0000}"/>
    <cellStyle name="40% - Accent3 4 10 3" xfId="22814" xr:uid="{00000000-0005-0000-0000-00009D3B0000}"/>
    <cellStyle name="40% - Accent3 4 10 3 2" xfId="22815" xr:uid="{00000000-0005-0000-0000-00009E3B0000}"/>
    <cellStyle name="40% - Accent3 4 10 4" xfId="22816" xr:uid="{00000000-0005-0000-0000-00009F3B0000}"/>
    <cellStyle name="40% - Accent3 4 10 5" xfId="22817" xr:uid="{00000000-0005-0000-0000-0000A03B0000}"/>
    <cellStyle name="40% - Accent3 4 11" xfId="22818" xr:uid="{00000000-0005-0000-0000-0000A13B0000}"/>
    <cellStyle name="40% - Accent3 4 11 2" xfId="22819" xr:uid="{00000000-0005-0000-0000-0000A23B0000}"/>
    <cellStyle name="40% - Accent3 4 11 3" xfId="22820" xr:uid="{00000000-0005-0000-0000-0000A33B0000}"/>
    <cellStyle name="40% - Accent3 4 12" xfId="22821" xr:uid="{00000000-0005-0000-0000-0000A43B0000}"/>
    <cellStyle name="40% - Accent3 4 12 2" xfId="22822" xr:uid="{00000000-0005-0000-0000-0000A53B0000}"/>
    <cellStyle name="40% - Accent3 4 12 3" xfId="22823" xr:uid="{00000000-0005-0000-0000-0000A63B0000}"/>
    <cellStyle name="40% - Accent3 4 13" xfId="22824" xr:uid="{00000000-0005-0000-0000-0000A73B0000}"/>
    <cellStyle name="40% - Accent3 4 13 2" xfId="22825" xr:uid="{00000000-0005-0000-0000-0000A83B0000}"/>
    <cellStyle name="40% - Accent3 4 14" xfId="22826" xr:uid="{00000000-0005-0000-0000-0000A93B0000}"/>
    <cellStyle name="40% - Accent3 4 15" xfId="22827" xr:uid="{00000000-0005-0000-0000-0000AA3B0000}"/>
    <cellStyle name="40% - Accent3 4 16" xfId="22828" xr:uid="{00000000-0005-0000-0000-0000AB3B0000}"/>
    <cellStyle name="40% - Accent3 4 2" xfId="1997" xr:uid="{00000000-0005-0000-0000-0000AC3B0000}"/>
    <cellStyle name="40% - Accent3 4 2 10" xfId="22829" xr:uid="{00000000-0005-0000-0000-0000AD3B0000}"/>
    <cellStyle name="40% - Accent3 4 2 10 2" xfId="22830" xr:uid="{00000000-0005-0000-0000-0000AE3B0000}"/>
    <cellStyle name="40% - Accent3 4 2 10 3" xfId="22831" xr:uid="{00000000-0005-0000-0000-0000AF3B0000}"/>
    <cellStyle name="40% - Accent3 4 2 11" xfId="22832" xr:uid="{00000000-0005-0000-0000-0000B03B0000}"/>
    <cellStyle name="40% - Accent3 4 2 11 2" xfId="22833" xr:uid="{00000000-0005-0000-0000-0000B13B0000}"/>
    <cellStyle name="40% - Accent3 4 2 11 3" xfId="22834" xr:uid="{00000000-0005-0000-0000-0000B23B0000}"/>
    <cellStyle name="40% - Accent3 4 2 12" xfId="22835" xr:uid="{00000000-0005-0000-0000-0000B33B0000}"/>
    <cellStyle name="40% - Accent3 4 2 12 2" xfId="22836" xr:uid="{00000000-0005-0000-0000-0000B43B0000}"/>
    <cellStyle name="40% - Accent3 4 2 13" xfId="22837" xr:uid="{00000000-0005-0000-0000-0000B53B0000}"/>
    <cellStyle name="40% - Accent3 4 2 14" xfId="22838" xr:uid="{00000000-0005-0000-0000-0000B63B0000}"/>
    <cellStyle name="40% - Accent3 4 2 15" xfId="22839" xr:uid="{00000000-0005-0000-0000-0000B73B0000}"/>
    <cellStyle name="40% - Accent3 4 2 2" xfId="1998" xr:uid="{00000000-0005-0000-0000-0000B83B0000}"/>
    <cellStyle name="40% - Accent3 4 2 2 10" xfId="22840" xr:uid="{00000000-0005-0000-0000-0000B93B0000}"/>
    <cellStyle name="40% - Accent3 4 2 2 10 2" xfId="22841" xr:uid="{00000000-0005-0000-0000-0000BA3B0000}"/>
    <cellStyle name="40% - Accent3 4 2 2 10 3" xfId="22842" xr:uid="{00000000-0005-0000-0000-0000BB3B0000}"/>
    <cellStyle name="40% - Accent3 4 2 2 11" xfId="22843" xr:uid="{00000000-0005-0000-0000-0000BC3B0000}"/>
    <cellStyle name="40% - Accent3 4 2 2 11 2" xfId="22844" xr:uid="{00000000-0005-0000-0000-0000BD3B0000}"/>
    <cellStyle name="40% - Accent3 4 2 2 12" xfId="22845" xr:uid="{00000000-0005-0000-0000-0000BE3B0000}"/>
    <cellStyle name="40% - Accent3 4 2 2 13" xfId="22846" xr:uid="{00000000-0005-0000-0000-0000BF3B0000}"/>
    <cellStyle name="40% - Accent3 4 2 2 2" xfId="1999" xr:uid="{00000000-0005-0000-0000-0000C03B0000}"/>
    <cellStyle name="40% - Accent3 4 2 2 2 10" xfId="22847" xr:uid="{00000000-0005-0000-0000-0000C13B0000}"/>
    <cellStyle name="40% - Accent3 4 2 2 2 10 2" xfId="22848" xr:uid="{00000000-0005-0000-0000-0000C23B0000}"/>
    <cellStyle name="40% - Accent3 4 2 2 2 11" xfId="22849" xr:uid="{00000000-0005-0000-0000-0000C33B0000}"/>
    <cellStyle name="40% - Accent3 4 2 2 2 12" xfId="22850" xr:uid="{00000000-0005-0000-0000-0000C43B0000}"/>
    <cellStyle name="40% - Accent3 4 2 2 2 2" xfId="2000" xr:uid="{00000000-0005-0000-0000-0000C53B0000}"/>
    <cellStyle name="40% - Accent3 4 2 2 2 2 10" xfId="22851" xr:uid="{00000000-0005-0000-0000-0000C63B0000}"/>
    <cellStyle name="40% - Accent3 4 2 2 2 2 2" xfId="2001" xr:uid="{00000000-0005-0000-0000-0000C73B0000}"/>
    <cellStyle name="40% - Accent3 4 2 2 2 2 2 2" xfId="22852" xr:uid="{00000000-0005-0000-0000-0000C83B0000}"/>
    <cellStyle name="40% - Accent3 4 2 2 2 2 2 2 2" xfId="22853" xr:uid="{00000000-0005-0000-0000-0000C93B0000}"/>
    <cellStyle name="40% - Accent3 4 2 2 2 2 2 2 2 2" xfId="22854" xr:uid="{00000000-0005-0000-0000-0000CA3B0000}"/>
    <cellStyle name="40% - Accent3 4 2 2 2 2 2 2 2 3" xfId="22855" xr:uid="{00000000-0005-0000-0000-0000CB3B0000}"/>
    <cellStyle name="40% - Accent3 4 2 2 2 2 2 2 3" xfId="22856" xr:uid="{00000000-0005-0000-0000-0000CC3B0000}"/>
    <cellStyle name="40% - Accent3 4 2 2 2 2 2 2 3 2" xfId="22857" xr:uid="{00000000-0005-0000-0000-0000CD3B0000}"/>
    <cellStyle name="40% - Accent3 4 2 2 2 2 2 2 3 3" xfId="22858" xr:uid="{00000000-0005-0000-0000-0000CE3B0000}"/>
    <cellStyle name="40% - Accent3 4 2 2 2 2 2 2 4" xfId="22859" xr:uid="{00000000-0005-0000-0000-0000CF3B0000}"/>
    <cellStyle name="40% - Accent3 4 2 2 2 2 2 2 4 2" xfId="22860" xr:uid="{00000000-0005-0000-0000-0000D03B0000}"/>
    <cellStyle name="40% - Accent3 4 2 2 2 2 2 2 5" xfId="22861" xr:uid="{00000000-0005-0000-0000-0000D13B0000}"/>
    <cellStyle name="40% - Accent3 4 2 2 2 2 2 2 6" xfId="22862" xr:uid="{00000000-0005-0000-0000-0000D23B0000}"/>
    <cellStyle name="40% - Accent3 4 2 2 2 2 2 3" xfId="22863" xr:uid="{00000000-0005-0000-0000-0000D33B0000}"/>
    <cellStyle name="40% - Accent3 4 2 2 2 2 2 3 2" xfId="22864" xr:uid="{00000000-0005-0000-0000-0000D43B0000}"/>
    <cellStyle name="40% - Accent3 4 2 2 2 2 2 3 2 2" xfId="22865" xr:uid="{00000000-0005-0000-0000-0000D53B0000}"/>
    <cellStyle name="40% - Accent3 4 2 2 2 2 2 3 2 3" xfId="22866" xr:uid="{00000000-0005-0000-0000-0000D63B0000}"/>
    <cellStyle name="40% - Accent3 4 2 2 2 2 2 3 3" xfId="22867" xr:uid="{00000000-0005-0000-0000-0000D73B0000}"/>
    <cellStyle name="40% - Accent3 4 2 2 2 2 2 3 3 2" xfId="22868" xr:uid="{00000000-0005-0000-0000-0000D83B0000}"/>
    <cellStyle name="40% - Accent3 4 2 2 2 2 2 3 3 3" xfId="22869" xr:uid="{00000000-0005-0000-0000-0000D93B0000}"/>
    <cellStyle name="40% - Accent3 4 2 2 2 2 2 3 4" xfId="22870" xr:uid="{00000000-0005-0000-0000-0000DA3B0000}"/>
    <cellStyle name="40% - Accent3 4 2 2 2 2 2 3 4 2" xfId="22871" xr:uid="{00000000-0005-0000-0000-0000DB3B0000}"/>
    <cellStyle name="40% - Accent3 4 2 2 2 2 2 3 5" xfId="22872" xr:uid="{00000000-0005-0000-0000-0000DC3B0000}"/>
    <cellStyle name="40% - Accent3 4 2 2 2 2 2 3 6" xfId="22873" xr:uid="{00000000-0005-0000-0000-0000DD3B0000}"/>
    <cellStyle name="40% - Accent3 4 2 2 2 2 2 4" xfId="22874" xr:uid="{00000000-0005-0000-0000-0000DE3B0000}"/>
    <cellStyle name="40% - Accent3 4 2 2 2 2 2 4 2" xfId="22875" xr:uid="{00000000-0005-0000-0000-0000DF3B0000}"/>
    <cellStyle name="40% - Accent3 4 2 2 2 2 2 4 2 2" xfId="22876" xr:uid="{00000000-0005-0000-0000-0000E03B0000}"/>
    <cellStyle name="40% - Accent3 4 2 2 2 2 2 4 2 3" xfId="22877" xr:uid="{00000000-0005-0000-0000-0000E13B0000}"/>
    <cellStyle name="40% - Accent3 4 2 2 2 2 2 4 3" xfId="22878" xr:uid="{00000000-0005-0000-0000-0000E23B0000}"/>
    <cellStyle name="40% - Accent3 4 2 2 2 2 2 4 3 2" xfId="22879" xr:uid="{00000000-0005-0000-0000-0000E33B0000}"/>
    <cellStyle name="40% - Accent3 4 2 2 2 2 2 4 4" xfId="22880" xr:uid="{00000000-0005-0000-0000-0000E43B0000}"/>
    <cellStyle name="40% - Accent3 4 2 2 2 2 2 4 5" xfId="22881" xr:uid="{00000000-0005-0000-0000-0000E53B0000}"/>
    <cellStyle name="40% - Accent3 4 2 2 2 2 2 5" xfId="22882" xr:uid="{00000000-0005-0000-0000-0000E63B0000}"/>
    <cellStyle name="40% - Accent3 4 2 2 2 2 2 5 2" xfId="22883" xr:uid="{00000000-0005-0000-0000-0000E73B0000}"/>
    <cellStyle name="40% - Accent3 4 2 2 2 2 2 5 3" xfId="22884" xr:uid="{00000000-0005-0000-0000-0000E83B0000}"/>
    <cellStyle name="40% - Accent3 4 2 2 2 2 2 6" xfId="22885" xr:uid="{00000000-0005-0000-0000-0000E93B0000}"/>
    <cellStyle name="40% - Accent3 4 2 2 2 2 2 6 2" xfId="22886" xr:uid="{00000000-0005-0000-0000-0000EA3B0000}"/>
    <cellStyle name="40% - Accent3 4 2 2 2 2 2 6 3" xfId="22887" xr:uid="{00000000-0005-0000-0000-0000EB3B0000}"/>
    <cellStyle name="40% - Accent3 4 2 2 2 2 2 7" xfId="22888" xr:uid="{00000000-0005-0000-0000-0000EC3B0000}"/>
    <cellStyle name="40% - Accent3 4 2 2 2 2 2 7 2" xfId="22889" xr:uid="{00000000-0005-0000-0000-0000ED3B0000}"/>
    <cellStyle name="40% - Accent3 4 2 2 2 2 2 8" xfId="22890" xr:uid="{00000000-0005-0000-0000-0000EE3B0000}"/>
    <cellStyle name="40% - Accent3 4 2 2 2 2 2 9" xfId="22891" xr:uid="{00000000-0005-0000-0000-0000EF3B0000}"/>
    <cellStyle name="40% - Accent3 4 2 2 2 2 3" xfId="22892" xr:uid="{00000000-0005-0000-0000-0000F03B0000}"/>
    <cellStyle name="40% - Accent3 4 2 2 2 2 3 2" xfId="22893" xr:uid="{00000000-0005-0000-0000-0000F13B0000}"/>
    <cellStyle name="40% - Accent3 4 2 2 2 2 3 2 2" xfId="22894" xr:uid="{00000000-0005-0000-0000-0000F23B0000}"/>
    <cellStyle name="40% - Accent3 4 2 2 2 2 3 2 3" xfId="22895" xr:uid="{00000000-0005-0000-0000-0000F33B0000}"/>
    <cellStyle name="40% - Accent3 4 2 2 2 2 3 3" xfId="22896" xr:uid="{00000000-0005-0000-0000-0000F43B0000}"/>
    <cellStyle name="40% - Accent3 4 2 2 2 2 3 3 2" xfId="22897" xr:uid="{00000000-0005-0000-0000-0000F53B0000}"/>
    <cellStyle name="40% - Accent3 4 2 2 2 2 3 3 3" xfId="22898" xr:uid="{00000000-0005-0000-0000-0000F63B0000}"/>
    <cellStyle name="40% - Accent3 4 2 2 2 2 3 4" xfId="22899" xr:uid="{00000000-0005-0000-0000-0000F73B0000}"/>
    <cellStyle name="40% - Accent3 4 2 2 2 2 3 4 2" xfId="22900" xr:uid="{00000000-0005-0000-0000-0000F83B0000}"/>
    <cellStyle name="40% - Accent3 4 2 2 2 2 3 5" xfId="22901" xr:uid="{00000000-0005-0000-0000-0000F93B0000}"/>
    <cellStyle name="40% - Accent3 4 2 2 2 2 3 6" xfId="22902" xr:uid="{00000000-0005-0000-0000-0000FA3B0000}"/>
    <cellStyle name="40% - Accent3 4 2 2 2 2 4" xfId="22903" xr:uid="{00000000-0005-0000-0000-0000FB3B0000}"/>
    <cellStyle name="40% - Accent3 4 2 2 2 2 4 2" xfId="22904" xr:uid="{00000000-0005-0000-0000-0000FC3B0000}"/>
    <cellStyle name="40% - Accent3 4 2 2 2 2 4 2 2" xfId="22905" xr:uid="{00000000-0005-0000-0000-0000FD3B0000}"/>
    <cellStyle name="40% - Accent3 4 2 2 2 2 4 2 3" xfId="22906" xr:uid="{00000000-0005-0000-0000-0000FE3B0000}"/>
    <cellStyle name="40% - Accent3 4 2 2 2 2 4 3" xfId="22907" xr:uid="{00000000-0005-0000-0000-0000FF3B0000}"/>
    <cellStyle name="40% - Accent3 4 2 2 2 2 4 3 2" xfId="22908" xr:uid="{00000000-0005-0000-0000-0000003C0000}"/>
    <cellStyle name="40% - Accent3 4 2 2 2 2 4 3 3" xfId="22909" xr:uid="{00000000-0005-0000-0000-0000013C0000}"/>
    <cellStyle name="40% - Accent3 4 2 2 2 2 4 4" xfId="22910" xr:uid="{00000000-0005-0000-0000-0000023C0000}"/>
    <cellStyle name="40% - Accent3 4 2 2 2 2 4 4 2" xfId="22911" xr:uid="{00000000-0005-0000-0000-0000033C0000}"/>
    <cellStyle name="40% - Accent3 4 2 2 2 2 4 5" xfId="22912" xr:uid="{00000000-0005-0000-0000-0000043C0000}"/>
    <cellStyle name="40% - Accent3 4 2 2 2 2 4 6" xfId="22913" xr:uid="{00000000-0005-0000-0000-0000053C0000}"/>
    <cellStyle name="40% - Accent3 4 2 2 2 2 5" xfId="22914" xr:uid="{00000000-0005-0000-0000-0000063C0000}"/>
    <cellStyle name="40% - Accent3 4 2 2 2 2 5 2" xfId="22915" xr:uid="{00000000-0005-0000-0000-0000073C0000}"/>
    <cellStyle name="40% - Accent3 4 2 2 2 2 5 2 2" xfId="22916" xr:uid="{00000000-0005-0000-0000-0000083C0000}"/>
    <cellStyle name="40% - Accent3 4 2 2 2 2 5 2 3" xfId="22917" xr:uid="{00000000-0005-0000-0000-0000093C0000}"/>
    <cellStyle name="40% - Accent3 4 2 2 2 2 5 3" xfId="22918" xr:uid="{00000000-0005-0000-0000-00000A3C0000}"/>
    <cellStyle name="40% - Accent3 4 2 2 2 2 5 3 2" xfId="22919" xr:uid="{00000000-0005-0000-0000-00000B3C0000}"/>
    <cellStyle name="40% - Accent3 4 2 2 2 2 5 4" xfId="22920" xr:uid="{00000000-0005-0000-0000-00000C3C0000}"/>
    <cellStyle name="40% - Accent3 4 2 2 2 2 5 5" xfId="22921" xr:uid="{00000000-0005-0000-0000-00000D3C0000}"/>
    <cellStyle name="40% - Accent3 4 2 2 2 2 6" xfId="22922" xr:uid="{00000000-0005-0000-0000-00000E3C0000}"/>
    <cellStyle name="40% - Accent3 4 2 2 2 2 6 2" xfId="22923" xr:uid="{00000000-0005-0000-0000-00000F3C0000}"/>
    <cellStyle name="40% - Accent3 4 2 2 2 2 6 3" xfId="22924" xr:uid="{00000000-0005-0000-0000-0000103C0000}"/>
    <cellStyle name="40% - Accent3 4 2 2 2 2 7" xfId="22925" xr:uid="{00000000-0005-0000-0000-0000113C0000}"/>
    <cellStyle name="40% - Accent3 4 2 2 2 2 7 2" xfId="22926" xr:uid="{00000000-0005-0000-0000-0000123C0000}"/>
    <cellStyle name="40% - Accent3 4 2 2 2 2 7 3" xfId="22927" xr:uid="{00000000-0005-0000-0000-0000133C0000}"/>
    <cellStyle name="40% - Accent3 4 2 2 2 2 8" xfId="22928" xr:uid="{00000000-0005-0000-0000-0000143C0000}"/>
    <cellStyle name="40% - Accent3 4 2 2 2 2 8 2" xfId="22929" xr:uid="{00000000-0005-0000-0000-0000153C0000}"/>
    <cellStyle name="40% - Accent3 4 2 2 2 2 9" xfId="22930" xr:uid="{00000000-0005-0000-0000-0000163C0000}"/>
    <cellStyle name="40% - Accent3 4 2 2 2 3" xfId="2002" xr:uid="{00000000-0005-0000-0000-0000173C0000}"/>
    <cellStyle name="40% - Accent3 4 2 2 2 3 2" xfId="22931" xr:uid="{00000000-0005-0000-0000-0000183C0000}"/>
    <cellStyle name="40% - Accent3 4 2 2 2 3 2 2" xfId="22932" xr:uid="{00000000-0005-0000-0000-0000193C0000}"/>
    <cellStyle name="40% - Accent3 4 2 2 2 3 2 2 2" xfId="22933" xr:uid="{00000000-0005-0000-0000-00001A3C0000}"/>
    <cellStyle name="40% - Accent3 4 2 2 2 3 2 2 3" xfId="22934" xr:uid="{00000000-0005-0000-0000-00001B3C0000}"/>
    <cellStyle name="40% - Accent3 4 2 2 2 3 2 3" xfId="22935" xr:uid="{00000000-0005-0000-0000-00001C3C0000}"/>
    <cellStyle name="40% - Accent3 4 2 2 2 3 2 3 2" xfId="22936" xr:uid="{00000000-0005-0000-0000-00001D3C0000}"/>
    <cellStyle name="40% - Accent3 4 2 2 2 3 2 3 3" xfId="22937" xr:uid="{00000000-0005-0000-0000-00001E3C0000}"/>
    <cellStyle name="40% - Accent3 4 2 2 2 3 2 4" xfId="22938" xr:uid="{00000000-0005-0000-0000-00001F3C0000}"/>
    <cellStyle name="40% - Accent3 4 2 2 2 3 2 4 2" xfId="22939" xr:uid="{00000000-0005-0000-0000-0000203C0000}"/>
    <cellStyle name="40% - Accent3 4 2 2 2 3 2 5" xfId="22940" xr:uid="{00000000-0005-0000-0000-0000213C0000}"/>
    <cellStyle name="40% - Accent3 4 2 2 2 3 2 6" xfId="22941" xr:uid="{00000000-0005-0000-0000-0000223C0000}"/>
    <cellStyle name="40% - Accent3 4 2 2 2 3 3" xfId="22942" xr:uid="{00000000-0005-0000-0000-0000233C0000}"/>
    <cellStyle name="40% - Accent3 4 2 2 2 3 3 2" xfId="22943" xr:uid="{00000000-0005-0000-0000-0000243C0000}"/>
    <cellStyle name="40% - Accent3 4 2 2 2 3 3 2 2" xfId="22944" xr:uid="{00000000-0005-0000-0000-0000253C0000}"/>
    <cellStyle name="40% - Accent3 4 2 2 2 3 3 2 3" xfId="22945" xr:uid="{00000000-0005-0000-0000-0000263C0000}"/>
    <cellStyle name="40% - Accent3 4 2 2 2 3 3 3" xfId="22946" xr:uid="{00000000-0005-0000-0000-0000273C0000}"/>
    <cellStyle name="40% - Accent3 4 2 2 2 3 3 3 2" xfId="22947" xr:uid="{00000000-0005-0000-0000-0000283C0000}"/>
    <cellStyle name="40% - Accent3 4 2 2 2 3 3 3 3" xfId="22948" xr:uid="{00000000-0005-0000-0000-0000293C0000}"/>
    <cellStyle name="40% - Accent3 4 2 2 2 3 3 4" xfId="22949" xr:uid="{00000000-0005-0000-0000-00002A3C0000}"/>
    <cellStyle name="40% - Accent3 4 2 2 2 3 3 4 2" xfId="22950" xr:uid="{00000000-0005-0000-0000-00002B3C0000}"/>
    <cellStyle name="40% - Accent3 4 2 2 2 3 3 5" xfId="22951" xr:uid="{00000000-0005-0000-0000-00002C3C0000}"/>
    <cellStyle name="40% - Accent3 4 2 2 2 3 3 6" xfId="22952" xr:uid="{00000000-0005-0000-0000-00002D3C0000}"/>
    <cellStyle name="40% - Accent3 4 2 2 2 3 4" xfId="22953" xr:uid="{00000000-0005-0000-0000-00002E3C0000}"/>
    <cellStyle name="40% - Accent3 4 2 2 2 3 4 2" xfId="22954" xr:uid="{00000000-0005-0000-0000-00002F3C0000}"/>
    <cellStyle name="40% - Accent3 4 2 2 2 3 4 2 2" xfId="22955" xr:uid="{00000000-0005-0000-0000-0000303C0000}"/>
    <cellStyle name="40% - Accent3 4 2 2 2 3 4 2 3" xfId="22956" xr:uid="{00000000-0005-0000-0000-0000313C0000}"/>
    <cellStyle name="40% - Accent3 4 2 2 2 3 4 3" xfId="22957" xr:uid="{00000000-0005-0000-0000-0000323C0000}"/>
    <cellStyle name="40% - Accent3 4 2 2 2 3 4 3 2" xfId="22958" xr:uid="{00000000-0005-0000-0000-0000333C0000}"/>
    <cellStyle name="40% - Accent3 4 2 2 2 3 4 4" xfId="22959" xr:uid="{00000000-0005-0000-0000-0000343C0000}"/>
    <cellStyle name="40% - Accent3 4 2 2 2 3 4 5" xfId="22960" xr:uid="{00000000-0005-0000-0000-0000353C0000}"/>
    <cellStyle name="40% - Accent3 4 2 2 2 3 5" xfId="22961" xr:uid="{00000000-0005-0000-0000-0000363C0000}"/>
    <cellStyle name="40% - Accent3 4 2 2 2 3 5 2" xfId="22962" xr:uid="{00000000-0005-0000-0000-0000373C0000}"/>
    <cellStyle name="40% - Accent3 4 2 2 2 3 5 3" xfId="22963" xr:uid="{00000000-0005-0000-0000-0000383C0000}"/>
    <cellStyle name="40% - Accent3 4 2 2 2 3 6" xfId="22964" xr:uid="{00000000-0005-0000-0000-0000393C0000}"/>
    <cellStyle name="40% - Accent3 4 2 2 2 3 6 2" xfId="22965" xr:uid="{00000000-0005-0000-0000-00003A3C0000}"/>
    <cellStyle name="40% - Accent3 4 2 2 2 3 6 3" xfId="22966" xr:uid="{00000000-0005-0000-0000-00003B3C0000}"/>
    <cellStyle name="40% - Accent3 4 2 2 2 3 7" xfId="22967" xr:uid="{00000000-0005-0000-0000-00003C3C0000}"/>
    <cellStyle name="40% - Accent3 4 2 2 2 3 7 2" xfId="22968" xr:uid="{00000000-0005-0000-0000-00003D3C0000}"/>
    <cellStyle name="40% - Accent3 4 2 2 2 3 8" xfId="22969" xr:uid="{00000000-0005-0000-0000-00003E3C0000}"/>
    <cellStyle name="40% - Accent3 4 2 2 2 3 9" xfId="22970" xr:uid="{00000000-0005-0000-0000-00003F3C0000}"/>
    <cellStyle name="40% - Accent3 4 2 2 2 4" xfId="22971" xr:uid="{00000000-0005-0000-0000-0000403C0000}"/>
    <cellStyle name="40% - Accent3 4 2 2 2 4 2" xfId="22972" xr:uid="{00000000-0005-0000-0000-0000413C0000}"/>
    <cellStyle name="40% - Accent3 4 2 2 2 4 2 2" xfId="22973" xr:uid="{00000000-0005-0000-0000-0000423C0000}"/>
    <cellStyle name="40% - Accent3 4 2 2 2 4 2 2 2" xfId="22974" xr:uid="{00000000-0005-0000-0000-0000433C0000}"/>
    <cellStyle name="40% - Accent3 4 2 2 2 4 2 2 3" xfId="22975" xr:uid="{00000000-0005-0000-0000-0000443C0000}"/>
    <cellStyle name="40% - Accent3 4 2 2 2 4 2 3" xfId="22976" xr:uid="{00000000-0005-0000-0000-0000453C0000}"/>
    <cellStyle name="40% - Accent3 4 2 2 2 4 2 3 2" xfId="22977" xr:uid="{00000000-0005-0000-0000-0000463C0000}"/>
    <cellStyle name="40% - Accent3 4 2 2 2 4 2 3 3" xfId="22978" xr:uid="{00000000-0005-0000-0000-0000473C0000}"/>
    <cellStyle name="40% - Accent3 4 2 2 2 4 2 4" xfId="22979" xr:uid="{00000000-0005-0000-0000-0000483C0000}"/>
    <cellStyle name="40% - Accent3 4 2 2 2 4 2 4 2" xfId="22980" xr:uid="{00000000-0005-0000-0000-0000493C0000}"/>
    <cellStyle name="40% - Accent3 4 2 2 2 4 2 5" xfId="22981" xr:uid="{00000000-0005-0000-0000-00004A3C0000}"/>
    <cellStyle name="40% - Accent3 4 2 2 2 4 2 6" xfId="22982" xr:uid="{00000000-0005-0000-0000-00004B3C0000}"/>
    <cellStyle name="40% - Accent3 4 2 2 2 4 3" xfId="22983" xr:uid="{00000000-0005-0000-0000-00004C3C0000}"/>
    <cellStyle name="40% - Accent3 4 2 2 2 4 3 2" xfId="22984" xr:uid="{00000000-0005-0000-0000-00004D3C0000}"/>
    <cellStyle name="40% - Accent3 4 2 2 2 4 3 2 2" xfId="22985" xr:uid="{00000000-0005-0000-0000-00004E3C0000}"/>
    <cellStyle name="40% - Accent3 4 2 2 2 4 3 2 3" xfId="22986" xr:uid="{00000000-0005-0000-0000-00004F3C0000}"/>
    <cellStyle name="40% - Accent3 4 2 2 2 4 3 3" xfId="22987" xr:uid="{00000000-0005-0000-0000-0000503C0000}"/>
    <cellStyle name="40% - Accent3 4 2 2 2 4 3 3 2" xfId="22988" xr:uid="{00000000-0005-0000-0000-0000513C0000}"/>
    <cellStyle name="40% - Accent3 4 2 2 2 4 3 3 3" xfId="22989" xr:uid="{00000000-0005-0000-0000-0000523C0000}"/>
    <cellStyle name="40% - Accent3 4 2 2 2 4 3 4" xfId="22990" xr:uid="{00000000-0005-0000-0000-0000533C0000}"/>
    <cellStyle name="40% - Accent3 4 2 2 2 4 3 4 2" xfId="22991" xr:uid="{00000000-0005-0000-0000-0000543C0000}"/>
    <cellStyle name="40% - Accent3 4 2 2 2 4 3 5" xfId="22992" xr:uid="{00000000-0005-0000-0000-0000553C0000}"/>
    <cellStyle name="40% - Accent3 4 2 2 2 4 3 6" xfId="22993" xr:uid="{00000000-0005-0000-0000-0000563C0000}"/>
    <cellStyle name="40% - Accent3 4 2 2 2 4 4" xfId="22994" xr:uid="{00000000-0005-0000-0000-0000573C0000}"/>
    <cellStyle name="40% - Accent3 4 2 2 2 4 4 2" xfId="22995" xr:uid="{00000000-0005-0000-0000-0000583C0000}"/>
    <cellStyle name="40% - Accent3 4 2 2 2 4 4 2 2" xfId="22996" xr:uid="{00000000-0005-0000-0000-0000593C0000}"/>
    <cellStyle name="40% - Accent3 4 2 2 2 4 4 2 3" xfId="22997" xr:uid="{00000000-0005-0000-0000-00005A3C0000}"/>
    <cellStyle name="40% - Accent3 4 2 2 2 4 4 3" xfId="22998" xr:uid="{00000000-0005-0000-0000-00005B3C0000}"/>
    <cellStyle name="40% - Accent3 4 2 2 2 4 4 3 2" xfId="22999" xr:uid="{00000000-0005-0000-0000-00005C3C0000}"/>
    <cellStyle name="40% - Accent3 4 2 2 2 4 4 4" xfId="23000" xr:uid="{00000000-0005-0000-0000-00005D3C0000}"/>
    <cellStyle name="40% - Accent3 4 2 2 2 4 4 5" xfId="23001" xr:uid="{00000000-0005-0000-0000-00005E3C0000}"/>
    <cellStyle name="40% - Accent3 4 2 2 2 4 5" xfId="23002" xr:uid="{00000000-0005-0000-0000-00005F3C0000}"/>
    <cellStyle name="40% - Accent3 4 2 2 2 4 5 2" xfId="23003" xr:uid="{00000000-0005-0000-0000-0000603C0000}"/>
    <cellStyle name="40% - Accent3 4 2 2 2 4 5 3" xfId="23004" xr:uid="{00000000-0005-0000-0000-0000613C0000}"/>
    <cellStyle name="40% - Accent3 4 2 2 2 4 6" xfId="23005" xr:uid="{00000000-0005-0000-0000-0000623C0000}"/>
    <cellStyle name="40% - Accent3 4 2 2 2 4 6 2" xfId="23006" xr:uid="{00000000-0005-0000-0000-0000633C0000}"/>
    <cellStyle name="40% - Accent3 4 2 2 2 4 6 3" xfId="23007" xr:uid="{00000000-0005-0000-0000-0000643C0000}"/>
    <cellStyle name="40% - Accent3 4 2 2 2 4 7" xfId="23008" xr:uid="{00000000-0005-0000-0000-0000653C0000}"/>
    <cellStyle name="40% - Accent3 4 2 2 2 4 7 2" xfId="23009" xr:uid="{00000000-0005-0000-0000-0000663C0000}"/>
    <cellStyle name="40% - Accent3 4 2 2 2 4 8" xfId="23010" xr:uid="{00000000-0005-0000-0000-0000673C0000}"/>
    <cellStyle name="40% - Accent3 4 2 2 2 4 9" xfId="23011" xr:uid="{00000000-0005-0000-0000-0000683C0000}"/>
    <cellStyle name="40% - Accent3 4 2 2 2 5" xfId="23012" xr:uid="{00000000-0005-0000-0000-0000693C0000}"/>
    <cellStyle name="40% - Accent3 4 2 2 2 5 2" xfId="23013" xr:uid="{00000000-0005-0000-0000-00006A3C0000}"/>
    <cellStyle name="40% - Accent3 4 2 2 2 5 2 2" xfId="23014" xr:uid="{00000000-0005-0000-0000-00006B3C0000}"/>
    <cellStyle name="40% - Accent3 4 2 2 2 5 2 3" xfId="23015" xr:uid="{00000000-0005-0000-0000-00006C3C0000}"/>
    <cellStyle name="40% - Accent3 4 2 2 2 5 3" xfId="23016" xr:uid="{00000000-0005-0000-0000-00006D3C0000}"/>
    <cellStyle name="40% - Accent3 4 2 2 2 5 3 2" xfId="23017" xr:uid="{00000000-0005-0000-0000-00006E3C0000}"/>
    <cellStyle name="40% - Accent3 4 2 2 2 5 3 3" xfId="23018" xr:uid="{00000000-0005-0000-0000-00006F3C0000}"/>
    <cellStyle name="40% - Accent3 4 2 2 2 5 4" xfId="23019" xr:uid="{00000000-0005-0000-0000-0000703C0000}"/>
    <cellStyle name="40% - Accent3 4 2 2 2 5 4 2" xfId="23020" xr:uid="{00000000-0005-0000-0000-0000713C0000}"/>
    <cellStyle name="40% - Accent3 4 2 2 2 5 5" xfId="23021" xr:uid="{00000000-0005-0000-0000-0000723C0000}"/>
    <cellStyle name="40% - Accent3 4 2 2 2 5 6" xfId="23022" xr:uid="{00000000-0005-0000-0000-0000733C0000}"/>
    <cellStyle name="40% - Accent3 4 2 2 2 6" xfId="23023" xr:uid="{00000000-0005-0000-0000-0000743C0000}"/>
    <cellStyle name="40% - Accent3 4 2 2 2 6 2" xfId="23024" xr:uid="{00000000-0005-0000-0000-0000753C0000}"/>
    <cellStyle name="40% - Accent3 4 2 2 2 6 2 2" xfId="23025" xr:uid="{00000000-0005-0000-0000-0000763C0000}"/>
    <cellStyle name="40% - Accent3 4 2 2 2 6 2 3" xfId="23026" xr:uid="{00000000-0005-0000-0000-0000773C0000}"/>
    <cellStyle name="40% - Accent3 4 2 2 2 6 3" xfId="23027" xr:uid="{00000000-0005-0000-0000-0000783C0000}"/>
    <cellStyle name="40% - Accent3 4 2 2 2 6 3 2" xfId="23028" xr:uid="{00000000-0005-0000-0000-0000793C0000}"/>
    <cellStyle name="40% - Accent3 4 2 2 2 6 3 3" xfId="23029" xr:uid="{00000000-0005-0000-0000-00007A3C0000}"/>
    <cellStyle name="40% - Accent3 4 2 2 2 6 4" xfId="23030" xr:uid="{00000000-0005-0000-0000-00007B3C0000}"/>
    <cellStyle name="40% - Accent3 4 2 2 2 6 4 2" xfId="23031" xr:uid="{00000000-0005-0000-0000-00007C3C0000}"/>
    <cellStyle name="40% - Accent3 4 2 2 2 6 5" xfId="23032" xr:uid="{00000000-0005-0000-0000-00007D3C0000}"/>
    <cellStyle name="40% - Accent3 4 2 2 2 6 6" xfId="23033" xr:uid="{00000000-0005-0000-0000-00007E3C0000}"/>
    <cellStyle name="40% - Accent3 4 2 2 2 7" xfId="23034" xr:uid="{00000000-0005-0000-0000-00007F3C0000}"/>
    <cellStyle name="40% - Accent3 4 2 2 2 7 2" xfId="23035" xr:uid="{00000000-0005-0000-0000-0000803C0000}"/>
    <cellStyle name="40% - Accent3 4 2 2 2 7 2 2" xfId="23036" xr:uid="{00000000-0005-0000-0000-0000813C0000}"/>
    <cellStyle name="40% - Accent3 4 2 2 2 7 2 3" xfId="23037" xr:uid="{00000000-0005-0000-0000-0000823C0000}"/>
    <cellStyle name="40% - Accent3 4 2 2 2 7 3" xfId="23038" xr:uid="{00000000-0005-0000-0000-0000833C0000}"/>
    <cellStyle name="40% - Accent3 4 2 2 2 7 3 2" xfId="23039" xr:uid="{00000000-0005-0000-0000-0000843C0000}"/>
    <cellStyle name="40% - Accent3 4 2 2 2 7 4" xfId="23040" xr:uid="{00000000-0005-0000-0000-0000853C0000}"/>
    <cellStyle name="40% - Accent3 4 2 2 2 7 5" xfId="23041" xr:uid="{00000000-0005-0000-0000-0000863C0000}"/>
    <cellStyle name="40% - Accent3 4 2 2 2 8" xfId="23042" xr:uid="{00000000-0005-0000-0000-0000873C0000}"/>
    <cellStyle name="40% - Accent3 4 2 2 2 8 2" xfId="23043" xr:uid="{00000000-0005-0000-0000-0000883C0000}"/>
    <cellStyle name="40% - Accent3 4 2 2 2 8 3" xfId="23044" xr:uid="{00000000-0005-0000-0000-0000893C0000}"/>
    <cellStyle name="40% - Accent3 4 2 2 2 9" xfId="23045" xr:uid="{00000000-0005-0000-0000-00008A3C0000}"/>
    <cellStyle name="40% - Accent3 4 2 2 2 9 2" xfId="23046" xr:uid="{00000000-0005-0000-0000-00008B3C0000}"/>
    <cellStyle name="40% - Accent3 4 2 2 2 9 3" xfId="23047" xr:uid="{00000000-0005-0000-0000-00008C3C0000}"/>
    <cellStyle name="40% - Accent3 4 2 2 3" xfId="2003" xr:uid="{00000000-0005-0000-0000-00008D3C0000}"/>
    <cellStyle name="40% - Accent3 4 2 2 3 10" xfId="23048" xr:uid="{00000000-0005-0000-0000-00008E3C0000}"/>
    <cellStyle name="40% - Accent3 4 2 2 3 2" xfId="2004" xr:uid="{00000000-0005-0000-0000-00008F3C0000}"/>
    <cellStyle name="40% - Accent3 4 2 2 3 2 2" xfId="23049" xr:uid="{00000000-0005-0000-0000-0000903C0000}"/>
    <cellStyle name="40% - Accent3 4 2 2 3 2 2 2" xfId="23050" xr:uid="{00000000-0005-0000-0000-0000913C0000}"/>
    <cellStyle name="40% - Accent3 4 2 2 3 2 2 2 2" xfId="23051" xr:uid="{00000000-0005-0000-0000-0000923C0000}"/>
    <cellStyle name="40% - Accent3 4 2 2 3 2 2 2 3" xfId="23052" xr:uid="{00000000-0005-0000-0000-0000933C0000}"/>
    <cellStyle name="40% - Accent3 4 2 2 3 2 2 3" xfId="23053" xr:uid="{00000000-0005-0000-0000-0000943C0000}"/>
    <cellStyle name="40% - Accent3 4 2 2 3 2 2 3 2" xfId="23054" xr:uid="{00000000-0005-0000-0000-0000953C0000}"/>
    <cellStyle name="40% - Accent3 4 2 2 3 2 2 3 3" xfId="23055" xr:uid="{00000000-0005-0000-0000-0000963C0000}"/>
    <cellStyle name="40% - Accent3 4 2 2 3 2 2 4" xfId="23056" xr:uid="{00000000-0005-0000-0000-0000973C0000}"/>
    <cellStyle name="40% - Accent3 4 2 2 3 2 2 4 2" xfId="23057" xr:uid="{00000000-0005-0000-0000-0000983C0000}"/>
    <cellStyle name="40% - Accent3 4 2 2 3 2 2 5" xfId="23058" xr:uid="{00000000-0005-0000-0000-0000993C0000}"/>
    <cellStyle name="40% - Accent3 4 2 2 3 2 2 6" xfId="23059" xr:uid="{00000000-0005-0000-0000-00009A3C0000}"/>
    <cellStyle name="40% - Accent3 4 2 2 3 2 3" xfId="23060" xr:uid="{00000000-0005-0000-0000-00009B3C0000}"/>
    <cellStyle name="40% - Accent3 4 2 2 3 2 3 2" xfId="23061" xr:uid="{00000000-0005-0000-0000-00009C3C0000}"/>
    <cellStyle name="40% - Accent3 4 2 2 3 2 3 2 2" xfId="23062" xr:uid="{00000000-0005-0000-0000-00009D3C0000}"/>
    <cellStyle name="40% - Accent3 4 2 2 3 2 3 2 3" xfId="23063" xr:uid="{00000000-0005-0000-0000-00009E3C0000}"/>
    <cellStyle name="40% - Accent3 4 2 2 3 2 3 3" xfId="23064" xr:uid="{00000000-0005-0000-0000-00009F3C0000}"/>
    <cellStyle name="40% - Accent3 4 2 2 3 2 3 3 2" xfId="23065" xr:uid="{00000000-0005-0000-0000-0000A03C0000}"/>
    <cellStyle name="40% - Accent3 4 2 2 3 2 3 3 3" xfId="23066" xr:uid="{00000000-0005-0000-0000-0000A13C0000}"/>
    <cellStyle name="40% - Accent3 4 2 2 3 2 3 4" xfId="23067" xr:uid="{00000000-0005-0000-0000-0000A23C0000}"/>
    <cellStyle name="40% - Accent3 4 2 2 3 2 3 4 2" xfId="23068" xr:uid="{00000000-0005-0000-0000-0000A33C0000}"/>
    <cellStyle name="40% - Accent3 4 2 2 3 2 3 5" xfId="23069" xr:uid="{00000000-0005-0000-0000-0000A43C0000}"/>
    <cellStyle name="40% - Accent3 4 2 2 3 2 3 6" xfId="23070" xr:uid="{00000000-0005-0000-0000-0000A53C0000}"/>
    <cellStyle name="40% - Accent3 4 2 2 3 2 4" xfId="23071" xr:uid="{00000000-0005-0000-0000-0000A63C0000}"/>
    <cellStyle name="40% - Accent3 4 2 2 3 2 4 2" xfId="23072" xr:uid="{00000000-0005-0000-0000-0000A73C0000}"/>
    <cellStyle name="40% - Accent3 4 2 2 3 2 4 2 2" xfId="23073" xr:uid="{00000000-0005-0000-0000-0000A83C0000}"/>
    <cellStyle name="40% - Accent3 4 2 2 3 2 4 2 3" xfId="23074" xr:uid="{00000000-0005-0000-0000-0000A93C0000}"/>
    <cellStyle name="40% - Accent3 4 2 2 3 2 4 3" xfId="23075" xr:uid="{00000000-0005-0000-0000-0000AA3C0000}"/>
    <cellStyle name="40% - Accent3 4 2 2 3 2 4 3 2" xfId="23076" xr:uid="{00000000-0005-0000-0000-0000AB3C0000}"/>
    <cellStyle name="40% - Accent3 4 2 2 3 2 4 4" xfId="23077" xr:uid="{00000000-0005-0000-0000-0000AC3C0000}"/>
    <cellStyle name="40% - Accent3 4 2 2 3 2 4 5" xfId="23078" xr:uid="{00000000-0005-0000-0000-0000AD3C0000}"/>
    <cellStyle name="40% - Accent3 4 2 2 3 2 5" xfId="23079" xr:uid="{00000000-0005-0000-0000-0000AE3C0000}"/>
    <cellStyle name="40% - Accent3 4 2 2 3 2 5 2" xfId="23080" xr:uid="{00000000-0005-0000-0000-0000AF3C0000}"/>
    <cellStyle name="40% - Accent3 4 2 2 3 2 5 3" xfId="23081" xr:uid="{00000000-0005-0000-0000-0000B03C0000}"/>
    <cellStyle name="40% - Accent3 4 2 2 3 2 6" xfId="23082" xr:uid="{00000000-0005-0000-0000-0000B13C0000}"/>
    <cellStyle name="40% - Accent3 4 2 2 3 2 6 2" xfId="23083" xr:uid="{00000000-0005-0000-0000-0000B23C0000}"/>
    <cellStyle name="40% - Accent3 4 2 2 3 2 6 3" xfId="23084" xr:uid="{00000000-0005-0000-0000-0000B33C0000}"/>
    <cellStyle name="40% - Accent3 4 2 2 3 2 7" xfId="23085" xr:uid="{00000000-0005-0000-0000-0000B43C0000}"/>
    <cellStyle name="40% - Accent3 4 2 2 3 2 7 2" xfId="23086" xr:uid="{00000000-0005-0000-0000-0000B53C0000}"/>
    <cellStyle name="40% - Accent3 4 2 2 3 2 8" xfId="23087" xr:uid="{00000000-0005-0000-0000-0000B63C0000}"/>
    <cellStyle name="40% - Accent3 4 2 2 3 2 9" xfId="23088" xr:uid="{00000000-0005-0000-0000-0000B73C0000}"/>
    <cellStyle name="40% - Accent3 4 2 2 3 3" xfId="23089" xr:uid="{00000000-0005-0000-0000-0000B83C0000}"/>
    <cellStyle name="40% - Accent3 4 2 2 3 3 2" xfId="23090" xr:uid="{00000000-0005-0000-0000-0000B93C0000}"/>
    <cellStyle name="40% - Accent3 4 2 2 3 3 2 2" xfId="23091" xr:uid="{00000000-0005-0000-0000-0000BA3C0000}"/>
    <cellStyle name="40% - Accent3 4 2 2 3 3 2 3" xfId="23092" xr:uid="{00000000-0005-0000-0000-0000BB3C0000}"/>
    <cellStyle name="40% - Accent3 4 2 2 3 3 3" xfId="23093" xr:uid="{00000000-0005-0000-0000-0000BC3C0000}"/>
    <cellStyle name="40% - Accent3 4 2 2 3 3 3 2" xfId="23094" xr:uid="{00000000-0005-0000-0000-0000BD3C0000}"/>
    <cellStyle name="40% - Accent3 4 2 2 3 3 3 3" xfId="23095" xr:uid="{00000000-0005-0000-0000-0000BE3C0000}"/>
    <cellStyle name="40% - Accent3 4 2 2 3 3 4" xfId="23096" xr:uid="{00000000-0005-0000-0000-0000BF3C0000}"/>
    <cellStyle name="40% - Accent3 4 2 2 3 3 4 2" xfId="23097" xr:uid="{00000000-0005-0000-0000-0000C03C0000}"/>
    <cellStyle name="40% - Accent3 4 2 2 3 3 5" xfId="23098" xr:uid="{00000000-0005-0000-0000-0000C13C0000}"/>
    <cellStyle name="40% - Accent3 4 2 2 3 3 6" xfId="23099" xr:uid="{00000000-0005-0000-0000-0000C23C0000}"/>
    <cellStyle name="40% - Accent3 4 2 2 3 4" xfId="23100" xr:uid="{00000000-0005-0000-0000-0000C33C0000}"/>
    <cellStyle name="40% - Accent3 4 2 2 3 4 2" xfId="23101" xr:uid="{00000000-0005-0000-0000-0000C43C0000}"/>
    <cellStyle name="40% - Accent3 4 2 2 3 4 2 2" xfId="23102" xr:uid="{00000000-0005-0000-0000-0000C53C0000}"/>
    <cellStyle name="40% - Accent3 4 2 2 3 4 2 3" xfId="23103" xr:uid="{00000000-0005-0000-0000-0000C63C0000}"/>
    <cellStyle name="40% - Accent3 4 2 2 3 4 3" xfId="23104" xr:uid="{00000000-0005-0000-0000-0000C73C0000}"/>
    <cellStyle name="40% - Accent3 4 2 2 3 4 3 2" xfId="23105" xr:uid="{00000000-0005-0000-0000-0000C83C0000}"/>
    <cellStyle name="40% - Accent3 4 2 2 3 4 3 3" xfId="23106" xr:uid="{00000000-0005-0000-0000-0000C93C0000}"/>
    <cellStyle name="40% - Accent3 4 2 2 3 4 4" xfId="23107" xr:uid="{00000000-0005-0000-0000-0000CA3C0000}"/>
    <cellStyle name="40% - Accent3 4 2 2 3 4 4 2" xfId="23108" xr:uid="{00000000-0005-0000-0000-0000CB3C0000}"/>
    <cellStyle name="40% - Accent3 4 2 2 3 4 5" xfId="23109" xr:uid="{00000000-0005-0000-0000-0000CC3C0000}"/>
    <cellStyle name="40% - Accent3 4 2 2 3 4 6" xfId="23110" xr:uid="{00000000-0005-0000-0000-0000CD3C0000}"/>
    <cellStyle name="40% - Accent3 4 2 2 3 5" xfId="23111" xr:uid="{00000000-0005-0000-0000-0000CE3C0000}"/>
    <cellStyle name="40% - Accent3 4 2 2 3 5 2" xfId="23112" xr:uid="{00000000-0005-0000-0000-0000CF3C0000}"/>
    <cellStyle name="40% - Accent3 4 2 2 3 5 2 2" xfId="23113" xr:uid="{00000000-0005-0000-0000-0000D03C0000}"/>
    <cellStyle name="40% - Accent3 4 2 2 3 5 2 3" xfId="23114" xr:uid="{00000000-0005-0000-0000-0000D13C0000}"/>
    <cellStyle name="40% - Accent3 4 2 2 3 5 3" xfId="23115" xr:uid="{00000000-0005-0000-0000-0000D23C0000}"/>
    <cellStyle name="40% - Accent3 4 2 2 3 5 3 2" xfId="23116" xr:uid="{00000000-0005-0000-0000-0000D33C0000}"/>
    <cellStyle name="40% - Accent3 4 2 2 3 5 4" xfId="23117" xr:uid="{00000000-0005-0000-0000-0000D43C0000}"/>
    <cellStyle name="40% - Accent3 4 2 2 3 5 5" xfId="23118" xr:uid="{00000000-0005-0000-0000-0000D53C0000}"/>
    <cellStyle name="40% - Accent3 4 2 2 3 6" xfId="23119" xr:uid="{00000000-0005-0000-0000-0000D63C0000}"/>
    <cellStyle name="40% - Accent3 4 2 2 3 6 2" xfId="23120" xr:uid="{00000000-0005-0000-0000-0000D73C0000}"/>
    <cellStyle name="40% - Accent3 4 2 2 3 6 3" xfId="23121" xr:uid="{00000000-0005-0000-0000-0000D83C0000}"/>
    <cellStyle name="40% - Accent3 4 2 2 3 7" xfId="23122" xr:uid="{00000000-0005-0000-0000-0000D93C0000}"/>
    <cellStyle name="40% - Accent3 4 2 2 3 7 2" xfId="23123" xr:uid="{00000000-0005-0000-0000-0000DA3C0000}"/>
    <cellStyle name="40% - Accent3 4 2 2 3 7 3" xfId="23124" xr:uid="{00000000-0005-0000-0000-0000DB3C0000}"/>
    <cellStyle name="40% - Accent3 4 2 2 3 8" xfId="23125" xr:uid="{00000000-0005-0000-0000-0000DC3C0000}"/>
    <cellStyle name="40% - Accent3 4 2 2 3 8 2" xfId="23126" xr:uid="{00000000-0005-0000-0000-0000DD3C0000}"/>
    <cellStyle name="40% - Accent3 4 2 2 3 9" xfId="23127" xr:uid="{00000000-0005-0000-0000-0000DE3C0000}"/>
    <cellStyle name="40% - Accent3 4 2 2 4" xfId="2005" xr:uid="{00000000-0005-0000-0000-0000DF3C0000}"/>
    <cellStyle name="40% - Accent3 4 2 2 4 2" xfId="23128" xr:uid="{00000000-0005-0000-0000-0000E03C0000}"/>
    <cellStyle name="40% - Accent3 4 2 2 4 2 2" xfId="23129" xr:uid="{00000000-0005-0000-0000-0000E13C0000}"/>
    <cellStyle name="40% - Accent3 4 2 2 4 2 2 2" xfId="23130" xr:uid="{00000000-0005-0000-0000-0000E23C0000}"/>
    <cellStyle name="40% - Accent3 4 2 2 4 2 2 3" xfId="23131" xr:uid="{00000000-0005-0000-0000-0000E33C0000}"/>
    <cellStyle name="40% - Accent3 4 2 2 4 2 3" xfId="23132" xr:uid="{00000000-0005-0000-0000-0000E43C0000}"/>
    <cellStyle name="40% - Accent3 4 2 2 4 2 3 2" xfId="23133" xr:uid="{00000000-0005-0000-0000-0000E53C0000}"/>
    <cellStyle name="40% - Accent3 4 2 2 4 2 3 3" xfId="23134" xr:uid="{00000000-0005-0000-0000-0000E63C0000}"/>
    <cellStyle name="40% - Accent3 4 2 2 4 2 4" xfId="23135" xr:uid="{00000000-0005-0000-0000-0000E73C0000}"/>
    <cellStyle name="40% - Accent3 4 2 2 4 2 4 2" xfId="23136" xr:uid="{00000000-0005-0000-0000-0000E83C0000}"/>
    <cellStyle name="40% - Accent3 4 2 2 4 2 5" xfId="23137" xr:uid="{00000000-0005-0000-0000-0000E93C0000}"/>
    <cellStyle name="40% - Accent3 4 2 2 4 2 6" xfId="23138" xr:uid="{00000000-0005-0000-0000-0000EA3C0000}"/>
    <cellStyle name="40% - Accent3 4 2 2 4 3" xfId="23139" xr:uid="{00000000-0005-0000-0000-0000EB3C0000}"/>
    <cellStyle name="40% - Accent3 4 2 2 4 3 2" xfId="23140" xr:uid="{00000000-0005-0000-0000-0000EC3C0000}"/>
    <cellStyle name="40% - Accent3 4 2 2 4 3 2 2" xfId="23141" xr:uid="{00000000-0005-0000-0000-0000ED3C0000}"/>
    <cellStyle name="40% - Accent3 4 2 2 4 3 2 3" xfId="23142" xr:uid="{00000000-0005-0000-0000-0000EE3C0000}"/>
    <cellStyle name="40% - Accent3 4 2 2 4 3 3" xfId="23143" xr:uid="{00000000-0005-0000-0000-0000EF3C0000}"/>
    <cellStyle name="40% - Accent3 4 2 2 4 3 3 2" xfId="23144" xr:uid="{00000000-0005-0000-0000-0000F03C0000}"/>
    <cellStyle name="40% - Accent3 4 2 2 4 3 3 3" xfId="23145" xr:uid="{00000000-0005-0000-0000-0000F13C0000}"/>
    <cellStyle name="40% - Accent3 4 2 2 4 3 4" xfId="23146" xr:uid="{00000000-0005-0000-0000-0000F23C0000}"/>
    <cellStyle name="40% - Accent3 4 2 2 4 3 4 2" xfId="23147" xr:uid="{00000000-0005-0000-0000-0000F33C0000}"/>
    <cellStyle name="40% - Accent3 4 2 2 4 3 5" xfId="23148" xr:uid="{00000000-0005-0000-0000-0000F43C0000}"/>
    <cellStyle name="40% - Accent3 4 2 2 4 3 6" xfId="23149" xr:uid="{00000000-0005-0000-0000-0000F53C0000}"/>
    <cellStyle name="40% - Accent3 4 2 2 4 4" xfId="23150" xr:uid="{00000000-0005-0000-0000-0000F63C0000}"/>
    <cellStyle name="40% - Accent3 4 2 2 4 4 2" xfId="23151" xr:uid="{00000000-0005-0000-0000-0000F73C0000}"/>
    <cellStyle name="40% - Accent3 4 2 2 4 4 2 2" xfId="23152" xr:uid="{00000000-0005-0000-0000-0000F83C0000}"/>
    <cellStyle name="40% - Accent3 4 2 2 4 4 2 3" xfId="23153" xr:uid="{00000000-0005-0000-0000-0000F93C0000}"/>
    <cellStyle name="40% - Accent3 4 2 2 4 4 3" xfId="23154" xr:uid="{00000000-0005-0000-0000-0000FA3C0000}"/>
    <cellStyle name="40% - Accent3 4 2 2 4 4 3 2" xfId="23155" xr:uid="{00000000-0005-0000-0000-0000FB3C0000}"/>
    <cellStyle name="40% - Accent3 4 2 2 4 4 4" xfId="23156" xr:uid="{00000000-0005-0000-0000-0000FC3C0000}"/>
    <cellStyle name="40% - Accent3 4 2 2 4 4 5" xfId="23157" xr:uid="{00000000-0005-0000-0000-0000FD3C0000}"/>
    <cellStyle name="40% - Accent3 4 2 2 4 5" xfId="23158" xr:uid="{00000000-0005-0000-0000-0000FE3C0000}"/>
    <cellStyle name="40% - Accent3 4 2 2 4 5 2" xfId="23159" xr:uid="{00000000-0005-0000-0000-0000FF3C0000}"/>
    <cellStyle name="40% - Accent3 4 2 2 4 5 3" xfId="23160" xr:uid="{00000000-0005-0000-0000-0000003D0000}"/>
    <cellStyle name="40% - Accent3 4 2 2 4 6" xfId="23161" xr:uid="{00000000-0005-0000-0000-0000013D0000}"/>
    <cellStyle name="40% - Accent3 4 2 2 4 6 2" xfId="23162" xr:uid="{00000000-0005-0000-0000-0000023D0000}"/>
    <cellStyle name="40% - Accent3 4 2 2 4 6 3" xfId="23163" xr:uid="{00000000-0005-0000-0000-0000033D0000}"/>
    <cellStyle name="40% - Accent3 4 2 2 4 7" xfId="23164" xr:uid="{00000000-0005-0000-0000-0000043D0000}"/>
    <cellStyle name="40% - Accent3 4 2 2 4 7 2" xfId="23165" xr:uid="{00000000-0005-0000-0000-0000053D0000}"/>
    <cellStyle name="40% - Accent3 4 2 2 4 8" xfId="23166" xr:uid="{00000000-0005-0000-0000-0000063D0000}"/>
    <cellStyle name="40% - Accent3 4 2 2 4 9" xfId="23167" xr:uid="{00000000-0005-0000-0000-0000073D0000}"/>
    <cellStyle name="40% - Accent3 4 2 2 5" xfId="23168" xr:uid="{00000000-0005-0000-0000-0000083D0000}"/>
    <cellStyle name="40% - Accent3 4 2 2 5 2" xfId="23169" xr:uid="{00000000-0005-0000-0000-0000093D0000}"/>
    <cellStyle name="40% - Accent3 4 2 2 5 2 2" xfId="23170" xr:uid="{00000000-0005-0000-0000-00000A3D0000}"/>
    <cellStyle name="40% - Accent3 4 2 2 5 2 2 2" xfId="23171" xr:uid="{00000000-0005-0000-0000-00000B3D0000}"/>
    <cellStyle name="40% - Accent3 4 2 2 5 2 2 3" xfId="23172" xr:uid="{00000000-0005-0000-0000-00000C3D0000}"/>
    <cellStyle name="40% - Accent3 4 2 2 5 2 3" xfId="23173" xr:uid="{00000000-0005-0000-0000-00000D3D0000}"/>
    <cellStyle name="40% - Accent3 4 2 2 5 2 3 2" xfId="23174" xr:uid="{00000000-0005-0000-0000-00000E3D0000}"/>
    <cellStyle name="40% - Accent3 4 2 2 5 2 3 3" xfId="23175" xr:uid="{00000000-0005-0000-0000-00000F3D0000}"/>
    <cellStyle name="40% - Accent3 4 2 2 5 2 4" xfId="23176" xr:uid="{00000000-0005-0000-0000-0000103D0000}"/>
    <cellStyle name="40% - Accent3 4 2 2 5 2 4 2" xfId="23177" xr:uid="{00000000-0005-0000-0000-0000113D0000}"/>
    <cellStyle name="40% - Accent3 4 2 2 5 2 5" xfId="23178" xr:uid="{00000000-0005-0000-0000-0000123D0000}"/>
    <cellStyle name="40% - Accent3 4 2 2 5 2 6" xfId="23179" xr:uid="{00000000-0005-0000-0000-0000133D0000}"/>
    <cellStyle name="40% - Accent3 4 2 2 5 3" xfId="23180" xr:uid="{00000000-0005-0000-0000-0000143D0000}"/>
    <cellStyle name="40% - Accent3 4 2 2 5 3 2" xfId="23181" xr:uid="{00000000-0005-0000-0000-0000153D0000}"/>
    <cellStyle name="40% - Accent3 4 2 2 5 3 2 2" xfId="23182" xr:uid="{00000000-0005-0000-0000-0000163D0000}"/>
    <cellStyle name="40% - Accent3 4 2 2 5 3 2 3" xfId="23183" xr:uid="{00000000-0005-0000-0000-0000173D0000}"/>
    <cellStyle name="40% - Accent3 4 2 2 5 3 3" xfId="23184" xr:uid="{00000000-0005-0000-0000-0000183D0000}"/>
    <cellStyle name="40% - Accent3 4 2 2 5 3 3 2" xfId="23185" xr:uid="{00000000-0005-0000-0000-0000193D0000}"/>
    <cellStyle name="40% - Accent3 4 2 2 5 3 3 3" xfId="23186" xr:uid="{00000000-0005-0000-0000-00001A3D0000}"/>
    <cellStyle name="40% - Accent3 4 2 2 5 3 4" xfId="23187" xr:uid="{00000000-0005-0000-0000-00001B3D0000}"/>
    <cellStyle name="40% - Accent3 4 2 2 5 3 4 2" xfId="23188" xr:uid="{00000000-0005-0000-0000-00001C3D0000}"/>
    <cellStyle name="40% - Accent3 4 2 2 5 3 5" xfId="23189" xr:uid="{00000000-0005-0000-0000-00001D3D0000}"/>
    <cellStyle name="40% - Accent3 4 2 2 5 3 6" xfId="23190" xr:uid="{00000000-0005-0000-0000-00001E3D0000}"/>
    <cellStyle name="40% - Accent3 4 2 2 5 4" xfId="23191" xr:uid="{00000000-0005-0000-0000-00001F3D0000}"/>
    <cellStyle name="40% - Accent3 4 2 2 5 4 2" xfId="23192" xr:uid="{00000000-0005-0000-0000-0000203D0000}"/>
    <cellStyle name="40% - Accent3 4 2 2 5 4 2 2" xfId="23193" xr:uid="{00000000-0005-0000-0000-0000213D0000}"/>
    <cellStyle name="40% - Accent3 4 2 2 5 4 2 3" xfId="23194" xr:uid="{00000000-0005-0000-0000-0000223D0000}"/>
    <cellStyle name="40% - Accent3 4 2 2 5 4 3" xfId="23195" xr:uid="{00000000-0005-0000-0000-0000233D0000}"/>
    <cellStyle name="40% - Accent3 4 2 2 5 4 3 2" xfId="23196" xr:uid="{00000000-0005-0000-0000-0000243D0000}"/>
    <cellStyle name="40% - Accent3 4 2 2 5 4 4" xfId="23197" xr:uid="{00000000-0005-0000-0000-0000253D0000}"/>
    <cellStyle name="40% - Accent3 4 2 2 5 4 5" xfId="23198" xr:uid="{00000000-0005-0000-0000-0000263D0000}"/>
    <cellStyle name="40% - Accent3 4 2 2 5 5" xfId="23199" xr:uid="{00000000-0005-0000-0000-0000273D0000}"/>
    <cellStyle name="40% - Accent3 4 2 2 5 5 2" xfId="23200" xr:uid="{00000000-0005-0000-0000-0000283D0000}"/>
    <cellStyle name="40% - Accent3 4 2 2 5 5 3" xfId="23201" xr:uid="{00000000-0005-0000-0000-0000293D0000}"/>
    <cellStyle name="40% - Accent3 4 2 2 5 6" xfId="23202" xr:uid="{00000000-0005-0000-0000-00002A3D0000}"/>
    <cellStyle name="40% - Accent3 4 2 2 5 6 2" xfId="23203" xr:uid="{00000000-0005-0000-0000-00002B3D0000}"/>
    <cellStyle name="40% - Accent3 4 2 2 5 6 3" xfId="23204" xr:uid="{00000000-0005-0000-0000-00002C3D0000}"/>
    <cellStyle name="40% - Accent3 4 2 2 5 7" xfId="23205" xr:uid="{00000000-0005-0000-0000-00002D3D0000}"/>
    <cellStyle name="40% - Accent3 4 2 2 5 7 2" xfId="23206" xr:uid="{00000000-0005-0000-0000-00002E3D0000}"/>
    <cellStyle name="40% - Accent3 4 2 2 5 8" xfId="23207" xr:uid="{00000000-0005-0000-0000-00002F3D0000}"/>
    <cellStyle name="40% - Accent3 4 2 2 5 9" xfId="23208" xr:uid="{00000000-0005-0000-0000-0000303D0000}"/>
    <cellStyle name="40% - Accent3 4 2 2 6" xfId="23209" xr:uid="{00000000-0005-0000-0000-0000313D0000}"/>
    <cellStyle name="40% - Accent3 4 2 2 6 2" xfId="23210" xr:uid="{00000000-0005-0000-0000-0000323D0000}"/>
    <cellStyle name="40% - Accent3 4 2 2 6 2 2" xfId="23211" xr:uid="{00000000-0005-0000-0000-0000333D0000}"/>
    <cellStyle name="40% - Accent3 4 2 2 6 2 3" xfId="23212" xr:uid="{00000000-0005-0000-0000-0000343D0000}"/>
    <cellStyle name="40% - Accent3 4 2 2 6 3" xfId="23213" xr:uid="{00000000-0005-0000-0000-0000353D0000}"/>
    <cellStyle name="40% - Accent3 4 2 2 6 3 2" xfId="23214" xr:uid="{00000000-0005-0000-0000-0000363D0000}"/>
    <cellStyle name="40% - Accent3 4 2 2 6 3 3" xfId="23215" xr:uid="{00000000-0005-0000-0000-0000373D0000}"/>
    <cellStyle name="40% - Accent3 4 2 2 6 4" xfId="23216" xr:uid="{00000000-0005-0000-0000-0000383D0000}"/>
    <cellStyle name="40% - Accent3 4 2 2 6 4 2" xfId="23217" xr:uid="{00000000-0005-0000-0000-0000393D0000}"/>
    <cellStyle name="40% - Accent3 4 2 2 6 5" xfId="23218" xr:uid="{00000000-0005-0000-0000-00003A3D0000}"/>
    <cellStyle name="40% - Accent3 4 2 2 6 6" xfId="23219" xr:uid="{00000000-0005-0000-0000-00003B3D0000}"/>
    <cellStyle name="40% - Accent3 4 2 2 7" xfId="23220" xr:uid="{00000000-0005-0000-0000-00003C3D0000}"/>
    <cellStyle name="40% - Accent3 4 2 2 7 2" xfId="23221" xr:uid="{00000000-0005-0000-0000-00003D3D0000}"/>
    <cellStyle name="40% - Accent3 4 2 2 7 2 2" xfId="23222" xr:uid="{00000000-0005-0000-0000-00003E3D0000}"/>
    <cellStyle name="40% - Accent3 4 2 2 7 2 3" xfId="23223" xr:uid="{00000000-0005-0000-0000-00003F3D0000}"/>
    <cellStyle name="40% - Accent3 4 2 2 7 3" xfId="23224" xr:uid="{00000000-0005-0000-0000-0000403D0000}"/>
    <cellStyle name="40% - Accent3 4 2 2 7 3 2" xfId="23225" xr:uid="{00000000-0005-0000-0000-0000413D0000}"/>
    <cellStyle name="40% - Accent3 4 2 2 7 3 3" xfId="23226" xr:uid="{00000000-0005-0000-0000-0000423D0000}"/>
    <cellStyle name="40% - Accent3 4 2 2 7 4" xfId="23227" xr:uid="{00000000-0005-0000-0000-0000433D0000}"/>
    <cellStyle name="40% - Accent3 4 2 2 7 4 2" xfId="23228" xr:uid="{00000000-0005-0000-0000-0000443D0000}"/>
    <cellStyle name="40% - Accent3 4 2 2 7 5" xfId="23229" xr:uid="{00000000-0005-0000-0000-0000453D0000}"/>
    <cellStyle name="40% - Accent3 4 2 2 7 6" xfId="23230" xr:uid="{00000000-0005-0000-0000-0000463D0000}"/>
    <cellStyle name="40% - Accent3 4 2 2 8" xfId="23231" xr:uid="{00000000-0005-0000-0000-0000473D0000}"/>
    <cellStyle name="40% - Accent3 4 2 2 8 2" xfId="23232" xr:uid="{00000000-0005-0000-0000-0000483D0000}"/>
    <cellStyle name="40% - Accent3 4 2 2 8 2 2" xfId="23233" xr:uid="{00000000-0005-0000-0000-0000493D0000}"/>
    <cellStyle name="40% - Accent3 4 2 2 8 2 3" xfId="23234" xr:uid="{00000000-0005-0000-0000-00004A3D0000}"/>
    <cellStyle name="40% - Accent3 4 2 2 8 3" xfId="23235" xr:uid="{00000000-0005-0000-0000-00004B3D0000}"/>
    <cellStyle name="40% - Accent3 4 2 2 8 3 2" xfId="23236" xr:uid="{00000000-0005-0000-0000-00004C3D0000}"/>
    <cellStyle name="40% - Accent3 4 2 2 8 4" xfId="23237" xr:uid="{00000000-0005-0000-0000-00004D3D0000}"/>
    <cellStyle name="40% - Accent3 4 2 2 8 5" xfId="23238" xr:uid="{00000000-0005-0000-0000-00004E3D0000}"/>
    <cellStyle name="40% - Accent3 4 2 2 9" xfId="23239" xr:uid="{00000000-0005-0000-0000-00004F3D0000}"/>
    <cellStyle name="40% - Accent3 4 2 2 9 2" xfId="23240" xr:uid="{00000000-0005-0000-0000-0000503D0000}"/>
    <cellStyle name="40% - Accent3 4 2 2 9 3" xfId="23241" xr:uid="{00000000-0005-0000-0000-0000513D0000}"/>
    <cellStyle name="40% - Accent3 4 2 3" xfId="2006" xr:uid="{00000000-0005-0000-0000-0000523D0000}"/>
    <cellStyle name="40% - Accent3 4 2 3 10" xfId="23242" xr:uid="{00000000-0005-0000-0000-0000533D0000}"/>
    <cellStyle name="40% - Accent3 4 2 3 10 2" xfId="23243" xr:uid="{00000000-0005-0000-0000-0000543D0000}"/>
    <cellStyle name="40% - Accent3 4 2 3 11" xfId="23244" xr:uid="{00000000-0005-0000-0000-0000553D0000}"/>
    <cellStyle name="40% - Accent3 4 2 3 12" xfId="23245" xr:uid="{00000000-0005-0000-0000-0000563D0000}"/>
    <cellStyle name="40% - Accent3 4 2 3 2" xfId="2007" xr:uid="{00000000-0005-0000-0000-0000573D0000}"/>
    <cellStyle name="40% - Accent3 4 2 3 2 10" xfId="23246" xr:uid="{00000000-0005-0000-0000-0000583D0000}"/>
    <cellStyle name="40% - Accent3 4 2 3 2 2" xfId="2008" xr:uid="{00000000-0005-0000-0000-0000593D0000}"/>
    <cellStyle name="40% - Accent3 4 2 3 2 2 2" xfId="23247" xr:uid="{00000000-0005-0000-0000-00005A3D0000}"/>
    <cellStyle name="40% - Accent3 4 2 3 2 2 2 2" xfId="23248" xr:uid="{00000000-0005-0000-0000-00005B3D0000}"/>
    <cellStyle name="40% - Accent3 4 2 3 2 2 2 2 2" xfId="23249" xr:uid="{00000000-0005-0000-0000-00005C3D0000}"/>
    <cellStyle name="40% - Accent3 4 2 3 2 2 2 2 3" xfId="23250" xr:uid="{00000000-0005-0000-0000-00005D3D0000}"/>
    <cellStyle name="40% - Accent3 4 2 3 2 2 2 3" xfId="23251" xr:uid="{00000000-0005-0000-0000-00005E3D0000}"/>
    <cellStyle name="40% - Accent3 4 2 3 2 2 2 3 2" xfId="23252" xr:uid="{00000000-0005-0000-0000-00005F3D0000}"/>
    <cellStyle name="40% - Accent3 4 2 3 2 2 2 3 3" xfId="23253" xr:uid="{00000000-0005-0000-0000-0000603D0000}"/>
    <cellStyle name="40% - Accent3 4 2 3 2 2 2 4" xfId="23254" xr:uid="{00000000-0005-0000-0000-0000613D0000}"/>
    <cellStyle name="40% - Accent3 4 2 3 2 2 2 4 2" xfId="23255" xr:uid="{00000000-0005-0000-0000-0000623D0000}"/>
    <cellStyle name="40% - Accent3 4 2 3 2 2 2 5" xfId="23256" xr:uid="{00000000-0005-0000-0000-0000633D0000}"/>
    <cellStyle name="40% - Accent3 4 2 3 2 2 2 6" xfId="23257" xr:uid="{00000000-0005-0000-0000-0000643D0000}"/>
    <cellStyle name="40% - Accent3 4 2 3 2 2 3" xfId="23258" xr:uid="{00000000-0005-0000-0000-0000653D0000}"/>
    <cellStyle name="40% - Accent3 4 2 3 2 2 3 2" xfId="23259" xr:uid="{00000000-0005-0000-0000-0000663D0000}"/>
    <cellStyle name="40% - Accent3 4 2 3 2 2 3 2 2" xfId="23260" xr:uid="{00000000-0005-0000-0000-0000673D0000}"/>
    <cellStyle name="40% - Accent3 4 2 3 2 2 3 2 3" xfId="23261" xr:uid="{00000000-0005-0000-0000-0000683D0000}"/>
    <cellStyle name="40% - Accent3 4 2 3 2 2 3 3" xfId="23262" xr:uid="{00000000-0005-0000-0000-0000693D0000}"/>
    <cellStyle name="40% - Accent3 4 2 3 2 2 3 3 2" xfId="23263" xr:uid="{00000000-0005-0000-0000-00006A3D0000}"/>
    <cellStyle name="40% - Accent3 4 2 3 2 2 3 3 3" xfId="23264" xr:uid="{00000000-0005-0000-0000-00006B3D0000}"/>
    <cellStyle name="40% - Accent3 4 2 3 2 2 3 4" xfId="23265" xr:uid="{00000000-0005-0000-0000-00006C3D0000}"/>
    <cellStyle name="40% - Accent3 4 2 3 2 2 3 4 2" xfId="23266" xr:uid="{00000000-0005-0000-0000-00006D3D0000}"/>
    <cellStyle name="40% - Accent3 4 2 3 2 2 3 5" xfId="23267" xr:uid="{00000000-0005-0000-0000-00006E3D0000}"/>
    <cellStyle name="40% - Accent3 4 2 3 2 2 3 6" xfId="23268" xr:uid="{00000000-0005-0000-0000-00006F3D0000}"/>
    <cellStyle name="40% - Accent3 4 2 3 2 2 4" xfId="23269" xr:uid="{00000000-0005-0000-0000-0000703D0000}"/>
    <cellStyle name="40% - Accent3 4 2 3 2 2 4 2" xfId="23270" xr:uid="{00000000-0005-0000-0000-0000713D0000}"/>
    <cellStyle name="40% - Accent3 4 2 3 2 2 4 2 2" xfId="23271" xr:uid="{00000000-0005-0000-0000-0000723D0000}"/>
    <cellStyle name="40% - Accent3 4 2 3 2 2 4 2 3" xfId="23272" xr:uid="{00000000-0005-0000-0000-0000733D0000}"/>
    <cellStyle name="40% - Accent3 4 2 3 2 2 4 3" xfId="23273" xr:uid="{00000000-0005-0000-0000-0000743D0000}"/>
    <cellStyle name="40% - Accent3 4 2 3 2 2 4 3 2" xfId="23274" xr:uid="{00000000-0005-0000-0000-0000753D0000}"/>
    <cellStyle name="40% - Accent3 4 2 3 2 2 4 4" xfId="23275" xr:uid="{00000000-0005-0000-0000-0000763D0000}"/>
    <cellStyle name="40% - Accent3 4 2 3 2 2 4 5" xfId="23276" xr:uid="{00000000-0005-0000-0000-0000773D0000}"/>
    <cellStyle name="40% - Accent3 4 2 3 2 2 5" xfId="23277" xr:uid="{00000000-0005-0000-0000-0000783D0000}"/>
    <cellStyle name="40% - Accent3 4 2 3 2 2 5 2" xfId="23278" xr:uid="{00000000-0005-0000-0000-0000793D0000}"/>
    <cellStyle name="40% - Accent3 4 2 3 2 2 5 3" xfId="23279" xr:uid="{00000000-0005-0000-0000-00007A3D0000}"/>
    <cellStyle name="40% - Accent3 4 2 3 2 2 6" xfId="23280" xr:uid="{00000000-0005-0000-0000-00007B3D0000}"/>
    <cellStyle name="40% - Accent3 4 2 3 2 2 6 2" xfId="23281" xr:uid="{00000000-0005-0000-0000-00007C3D0000}"/>
    <cellStyle name="40% - Accent3 4 2 3 2 2 6 3" xfId="23282" xr:uid="{00000000-0005-0000-0000-00007D3D0000}"/>
    <cellStyle name="40% - Accent3 4 2 3 2 2 7" xfId="23283" xr:uid="{00000000-0005-0000-0000-00007E3D0000}"/>
    <cellStyle name="40% - Accent3 4 2 3 2 2 7 2" xfId="23284" xr:uid="{00000000-0005-0000-0000-00007F3D0000}"/>
    <cellStyle name="40% - Accent3 4 2 3 2 2 8" xfId="23285" xr:uid="{00000000-0005-0000-0000-0000803D0000}"/>
    <cellStyle name="40% - Accent3 4 2 3 2 2 9" xfId="23286" xr:uid="{00000000-0005-0000-0000-0000813D0000}"/>
    <cellStyle name="40% - Accent3 4 2 3 2 3" xfId="23287" xr:uid="{00000000-0005-0000-0000-0000823D0000}"/>
    <cellStyle name="40% - Accent3 4 2 3 2 3 2" xfId="23288" xr:uid="{00000000-0005-0000-0000-0000833D0000}"/>
    <cellStyle name="40% - Accent3 4 2 3 2 3 2 2" xfId="23289" xr:uid="{00000000-0005-0000-0000-0000843D0000}"/>
    <cellStyle name="40% - Accent3 4 2 3 2 3 2 3" xfId="23290" xr:uid="{00000000-0005-0000-0000-0000853D0000}"/>
    <cellStyle name="40% - Accent3 4 2 3 2 3 3" xfId="23291" xr:uid="{00000000-0005-0000-0000-0000863D0000}"/>
    <cellStyle name="40% - Accent3 4 2 3 2 3 3 2" xfId="23292" xr:uid="{00000000-0005-0000-0000-0000873D0000}"/>
    <cellStyle name="40% - Accent3 4 2 3 2 3 3 3" xfId="23293" xr:uid="{00000000-0005-0000-0000-0000883D0000}"/>
    <cellStyle name="40% - Accent3 4 2 3 2 3 4" xfId="23294" xr:uid="{00000000-0005-0000-0000-0000893D0000}"/>
    <cellStyle name="40% - Accent3 4 2 3 2 3 4 2" xfId="23295" xr:uid="{00000000-0005-0000-0000-00008A3D0000}"/>
    <cellStyle name="40% - Accent3 4 2 3 2 3 5" xfId="23296" xr:uid="{00000000-0005-0000-0000-00008B3D0000}"/>
    <cellStyle name="40% - Accent3 4 2 3 2 3 6" xfId="23297" xr:uid="{00000000-0005-0000-0000-00008C3D0000}"/>
    <cellStyle name="40% - Accent3 4 2 3 2 4" xfId="23298" xr:uid="{00000000-0005-0000-0000-00008D3D0000}"/>
    <cellStyle name="40% - Accent3 4 2 3 2 4 2" xfId="23299" xr:uid="{00000000-0005-0000-0000-00008E3D0000}"/>
    <cellStyle name="40% - Accent3 4 2 3 2 4 2 2" xfId="23300" xr:uid="{00000000-0005-0000-0000-00008F3D0000}"/>
    <cellStyle name="40% - Accent3 4 2 3 2 4 2 3" xfId="23301" xr:uid="{00000000-0005-0000-0000-0000903D0000}"/>
    <cellStyle name="40% - Accent3 4 2 3 2 4 3" xfId="23302" xr:uid="{00000000-0005-0000-0000-0000913D0000}"/>
    <cellStyle name="40% - Accent3 4 2 3 2 4 3 2" xfId="23303" xr:uid="{00000000-0005-0000-0000-0000923D0000}"/>
    <cellStyle name="40% - Accent3 4 2 3 2 4 3 3" xfId="23304" xr:uid="{00000000-0005-0000-0000-0000933D0000}"/>
    <cellStyle name="40% - Accent3 4 2 3 2 4 4" xfId="23305" xr:uid="{00000000-0005-0000-0000-0000943D0000}"/>
    <cellStyle name="40% - Accent3 4 2 3 2 4 4 2" xfId="23306" xr:uid="{00000000-0005-0000-0000-0000953D0000}"/>
    <cellStyle name="40% - Accent3 4 2 3 2 4 5" xfId="23307" xr:uid="{00000000-0005-0000-0000-0000963D0000}"/>
    <cellStyle name="40% - Accent3 4 2 3 2 4 6" xfId="23308" xr:uid="{00000000-0005-0000-0000-0000973D0000}"/>
    <cellStyle name="40% - Accent3 4 2 3 2 5" xfId="23309" xr:uid="{00000000-0005-0000-0000-0000983D0000}"/>
    <cellStyle name="40% - Accent3 4 2 3 2 5 2" xfId="23310" xr:uid="{00000000-0005-0000-0000-0000993D0000}"/>
    <cellStyle name="40% - Accent3 4 2 3 2 5 2 2" xfId="23311" xr:uid="{00000000-0005-0000-0000-00009A3D0000}"/>
    <cellStyle name="40% - Accent3 4 2 3 2 5 2 3" xfId="23312" xr:uid="{00000000-0005-0000-0000-00009B3D0000}"/>
    <cellStyle name="40% - Accent3 4 2 3 2 5 3" xfId="23313" xr:uid="{00000000-0005-0000-0000-00009C3D0000}"/>
    <cellStyle name="40% - Accent3 4 2 3 2 5 3 2" xfId="23314" xr:uid="{00000000-0005-0000-0000-00009D3D0000}"/>
    <cellStyle name="40% - Accent3 4 2 3 2 5 4" xfId="23315" xr:uid="{00000000-0005-0000-0000-00009E3D0000}"/>
    <cellStyle name="40% - Accent3 4 2 3 2 5 5" xfId="23316" xr:uid="{00000000-0005-0000-0000-00009F3D0000}"/>
    <cellStyle name="40% - Accent3 4 2 3 2 6" xfId="23317" xr:uid="{00000000-0005-0000-0000-0000A03D0000}"/>
    <cellStyle name="40% - Accent3 4 2 3 2 6 2" xfId="23318" xr:uid="{00000000-0005-0000-0000-0000A13D0000}"/>
    <cellStyle name="40% - Accent3 4 2 3 2 6 3" xfId="23319" xr:uid="{00000000-0005-0000-0000-0000A23D0000}"/>
    <cellStyle name="40% - Accent3 4 2 3 2 7" xfId="23320" xr:uid="{00000000-0005-0000-0000-0000A33D0000}"/>
    <cellStyle name="40% - Accent3 4 2 3 2 7 2" xfId="23321" xr:uid="{00000000-0005-0000-0000-0000A43D0000}"/>
    <cellStyle name="40% - Accent3 4 2 3 2 7 3" xfId="23322" xr:uid="{00000000-0005-0000-0000-0000A53D0000}"/>
    <cellStyle name="40% - Accent3 4 2 3 2 8" xfId="23323" xr:uid="{00000000-0005-0000-0000-0000A63D0000}"/>
    <cellStyle name="40% - Accent3 4 2 3 2 8 2" xfId="23324" xr:uid="{00000000-0005-0000-0000-0000A73D0000}"/>
    <cellStyle name="40% - Accent3 4 2 3 2 9" xfId="23325" xr:uid="{00000000-0005-0000-0000-0000A83D0000}"/>
    <cellStyle name="40% - Accent3 4 2 3 3" xfId="2009" xr:uid="{00000000-0005-0000-0000-0000A93D0000}"/>
    <cellStyle name="40% - Accent3 4 2 3 3 2" xfId="23326" xr:uid="{00000000-0005-0000-0000-0000AA3D0000}"/>
    <cellStyle name="40% - Accent3 4 2 3 3 2 2" xfId="23327" xr:uid="{00000000-0005-0000-0000-0000AB3D0000}"/>
    <cellStyle name="40% - Accent3 4 2 3 3 2 2 2" xfId="23328" xr:uid="{00000000-0005-0000-0000-0000AC3D0000}"/>
    <cellStyle name="40% - Accent3 4 2 3 3 2 2 3" xfId="23329" xr:uid="{00000000-0005-0000-0000-0000AD3D0000}"/>
    <cellStyle name="40% - Accent3 4 2 3 3 2 3" xfId="23330" xr:uid="{00000000-0005-0000-0000-0000AE3D0000}"/>
    <cellStyle name="40% - Accent3 4 2 3 3 2 3 2" xfId="23331" xr:uid="{00000000-0005-0000-0000-0000AF3D0000}"/>
    <cellStyle name="40% - Accent3 4 2 3 3 2 3 3" xfId="23332" xr:uid="{00000000-0005-0000-0000-0000B03D0000}"/>
    <cellStyle name="40% - Accent3 4 2 3 3 2 4" xfId="23333" xr:uid="{00000000-0005-0000-0000-0000B13D0000}"/>
    <cellStyle name="40% - Accent3 4 2 3 3 2 4 2" xfId="23334" xr:uid="{00000000-0005-0000-0000-0000B23D0000}"/>
    <cellStyle name="40% - Accent3 4 2 3 3 2 5" xfId="23335" xr:uid="{00000000-0005-0000-0000-0000B33D0000}"/>
    <cellStyle name="40% - Accent3 4 2 3 3 2 6" xfId="23336" xr:uid="{00000000-0005-0000-0000-0000B43D0000}"/>
    <cellStyle name="40% - Accent3 4 2 3 3 3" xfId="23337" xr:uid="{00000000-0005-0000-0000-0000B53D0000}"/>
    <cellStyle name="40% - Accent3 4 2 3 3 3 2" xfId="23338" xr:uid="{00000000-0005-0000-0000-0000B63D0000}"/>
    <cellStyle name="40% - Accent3 4 2 3 3 3 2 2" xfId="23339" xr:uid="{00000000-0005-0000-0000-0000B73D0000}"/>
    <cellStyle name="40% - Accent3 4 2 3 3 3 2 3" xfId="23340" xr:uid="{00000000-0005-0000-0000-0000B83D0000}"/>
    <cellStyle name="40% - Accent3 4 2 3 3 3 3" xfId="23341" xr:uid="{00000000-0005-0000-0000-0000B93D0000}"/>
    <cellStyle name="40% - Accent3 4 2 3 3 3 3 2" xfId="23342" xr:uid="{00000000-0005-0000-0000-0000BA3D0000}"/>
    <cellStyle name="40% - Accent3 4 2 3 3 3 3 3" xfId="23343" xr:uid="{00000000-0005-0000-0000-0000BB3D0000}"/>
    <cellStyle name="40% - Accent3 4 2 3 3 3 4" xfId="23344" xr:uid="{00000000-0005-0000-0000-0000BC3D0000}"/>
    <cellStyle name="40% - Accent3 4 2 3 3 3 4 2" xfId="23345" xr:uid="{00000000-0005-0000-0000-0000BD3D0000}"/>
    <cellStyle name="40% - Accent3 4 2 3 3 3 5" xfId="23346" xr:uid="{00000000-0005-0000-0000-0000BE3D0000}"/>
    <cellStyle name="40% - Accent3 4 2 3 3 3 6" xfId="23347" xr:uid="{00000000-0005-0000-0000-0000BF3D0000}"/>
    <cellStyle name="40% - Accent3 4 2 3 3 4" xfId="23348" xr:uid="{00000000-0005-0000-0000-0000C03D0000}"/>
    <cellStyle name="40% - Accent3 4 2 3 3 4 2" xfId="23349" xr:uid="{00000000-0005-0000-0000-0000C13D0000}"/>
    <cellStyle name="40% - Accent3 4 2 3 3 4 2 2" xfId="23350" xr:uid="{00000000-0005-0000-0000-0000C23D0000}"/>
    <cellStyle name="40% - Accent3 4 2 3 3 4 2 3" xfId="23351" xr:uid="{00000000-0005-0000-0000-0000C33D0000}"/>
    <cellStyle name="40% - Accent3 4 2 3 3 4 3" xfId="23352" xr:uid="{00000000-0005-0000-0000-0000C43D0000}"/>
    <cellStyle name="40% - Accent3 4 2 3 3 4 3 2" xfId="23353" xr:uid="{00000000-0005-0000-0000-0000C53D0000}"/>
    <cellStyle name="40% - Accent3 4 2 3 3 4 4" xfId="23354" xr:uid="{00000000-0005-0000-0000-0000C63D0000}"/>
    <cellStyle name="40% - Accent3 4 2 3 3 4 5" xfId="23355" xr:uid="{00000000-0005-0000-0000-0000C73D0000}"/>
    <cellStyle name="40% - Accent3 4 2 3 3 5" xfId="23356" xr:uid="{00000000-0005-0000-0000-0000C83D0000}"/>
    <cellStyle name="40% - Accent3 4 2 3 3 5 2" xfId="23357" xr:uid="{00000000-0005-0000-0000-0000C93D0000}"/>
    <cellStyle name="40% - Accent3 4 2 3 3 5 3" xfId="23358" xr:uid="{00000000-0005-0000-0000-0000CA3D0000}"/>
    <cellStyle name="40% - Accent3 4 2 3 3 6" xfId="23359" xr:uid="{00000000-0005-0000-0000-0000CB3D0000}"/>
    <cellStyle name="40% - Accent3 4 2 3 3 6 2" xfId="23360" xr:uid="{00000000-0005-0000-0000-0000CC3D0000}"/>
    <cellStyle name="40% - Accent3 4 2 3 3 6 3" xfId="23361" xr:uid="{00000000-0005-0000-0000-0000CD3D0000}"/>
    <cellStyle name="40% - Accent3 4 2 3 3 7" xfId="23362" xr:uid="{00000000-0005-0000-0000-0000CE3D0000}"/>
    <cellStyle name="40% - Accent3 4 2 3 3 7 2" xfId="23363" xr:uid="{00000000-0005-0000-0000-0000CF3D0000}"/>
    <cellStyle name="40% - Accent3 4 2 3 3 8" xfId="23364" xr:uid="{00000000-0005-0000-0000-0000D03D0000}"/>
    <cellStyle name="40% - Accent3 4 2 3 3 9" xfId="23365" xr:uid="{00000000-0005-0000-0000-0000D13D0000}"/>
    <cellStyle name="40% - Accent3 4 2 3 4" xfId="23366" xr:uid="{00000000-0005-0000-0000-0000D23D0000}"/>
    <cellStyle name="40% - Accent3 4 2 3 4 2" xfId="23367" xr:uid="{00000000-0005-0000-0000-0000D33D0000}"/>
    <cellStyle name="40% - Accent3 4 2 3 4 2 2" xfId="23368" xr:uid="{00000000-0005-0000-0000-0000D43D0000}"/>
    <cellStyle name="40% - Accent3 4 2 3 4 2 2 2" xfId="23369" xr:uid="{00000000-0005-0000-0000-0000D53D0000}"/>
    <cellStyle name="40% - Accent3 4 2 3 4 2 2 3" xfId="23370" xr:uid="{00000000-0005-0000-0000-0000D63D0000}"/>
    <cellStyle name="40% - Accent3 4 2 3 4 2 3" xfId="23371" xr:uid="{00000000-0005-0000-0000-0000D73D0000}"/>
    <cellStyle name="40% - Accent3 4 2 3 4 2 3 2" xfId="23372" xr:uid="{00000000-0005-0000-0000-0000D83D0000}"/>
    <cellStyle name="40% - Accent3 4 2 3 4 2 3 3" xfId="23373" xr:uid="{00000000-0005-0000-0000-0000D93D0000}"/>
    <cellStyle name="40% - Accent3 4 2 3 4 2 4" xfId="23374" xr:uid="{00000000-0005-0000-0000-0000DA3D0000}"/>
    <cellStyle name="40% - Accent3 4 2 3 4 2 4 2" xfId="23375" xr:uid="{00000000-0005-0000-0000-0000DB3D0000}"/>
    <cellStyle name="40% - Accent3 4 2 3 4 2 5" xfId="23376" xr:uid="{00000000-0005-0000-0000-0000DC3D0000}"/>
    <cellStyle name="40% - Accent3 4 2 3 4 2 6" xfId="23377" xr:uid="{00000000-0005-0000-0000-0000DD3D0000}"/>
    <cellStyle name="40% - Accent3 4 2 3 4 3" xfId="23378" xr:uid="{00000000-0005-0000-0000-0000DE3D0000}"/>
    <cellStyle name="40% - Accent3 4 2 3 4 3 2" xfId="23379" xr:uid="{00000000-0005-0000-0000-0000DF3D0000}"/>
    <cellStyle name="40% - Accent3 4 2 3 4 3 2 2" xfId="23380" xr:uid="{00000000-0005-0000-0000-0000E03D0000}"/>
    <cellStyle name="40% - Accent3 4 2 3 4 3 2 3" xfId="23381" xr:uid="{00000000-0005-0000-0000-0000E13D0000}"/>
    <cellStyle name="40% - Accent3 4 2 3 4 3 3" xfId="23382" xr:uid="{00000000-0005-0000-0000-0000E23D0000}"/>
    <cellStyle name="40% - Accent3 4 2 3 4 3 3 2" xfId="23383" xr:uid="{00000000-0005-0000-0000-0000E33D0000}"/>
    <cellStyle name="40% - Accent3 4 2 3 4 3 3 3" xfId="23384" xr:uid="{00000000-0005-0000-0000-0000E43D0000}"/>
    <cellStyle name="40% - Accent3 4 2 3 4 3 4" xfId="23385" xr:uid="{00000000-0005-0000-0000-0000E53D0000}"/>
    <cellStyle name="40% - Accent3 4 2 3 4 3 4 2" xfId="23386" xr:uid="{00000000-0005-0000-0000-0000E63D0000}"/>
    <cellStyle name="40% - Accent3 4 2 3 4 3 5" xfId="23387" xr:uid="{00000000-0005-0000-0000-0000E73D0000}"/>
    <cellStyle name="40% - Accent3 4 2 3 4 3 6" xfId="23388" xr:uid="{00000000-0005-0000-0000-0000E83D0000}"/>
    <cellStyle name="40% - Accent3 4 2 3 4 4" xfId="23389" xr:uid="{00000000-0005-0000-0000-0000E93D0000}"/>
    <cellStyle name="40% - Accent3 4 2 3 4 4 2" xfId="23390" xr:uid="{00000000-0005-0000-0000-0000EA3D0000}"/>
    <cellStyle name="40% - Accent3 4 2 3 4 4 2 2" xfId="23391" xr:uid="{00000000-0005-0000-0000-0000EB3D0000}"/>
    <cellStyle name="40% - Accent3 4 2 3 4 4 2 3" xfId="23392" xr:uid="{00000000-0005-0000-0000-0000EC3D0000}"/>
    <cellStyle name="40% - Accent3 4 2 3 4 4 3" xfId="23393" xr:uid="{00000000-0005-0000-0000-0000ED3D0000}"/>
    <cellStyle name="40% - Accent3 4 2 3 4 4 3 2" xfId="23394" xr:uid="{00000000-0005-0000-0000-0000EE3D0000}"/>
    <cellStyle name="40% - Accent3 4 2 3 4 4 4" xfId="23395" xr:uid="{00000000-0005-0000-0000-0000EF3D0000}"/>
    <cellStyle name="40% - Accent3 4 2 3 4 4 5" xfId="23396" xr:uid="{00000000-0005-0000-0000-0000F03D0000}"/>
    <cellStyle name="40% - Accent3 4 2 3 4 5" xfId="23397" xr:uid="{00000000-0005-0000-0000-0000F13D0000}"/>
    <cellStyle name="40% - Accent3 4 2 3 4 5 2" xfId="23398" xr:uid="{00000000-0005-0000-0000-0000F23D0000}"/>
    <cellStyle name="40% - Accent3 4 2 3 4 5 3" xfId="23399" xr:uid="{00000000-0005-0000-0000-0000F33D0000}"/>
    <cellStyle name="40% - Accent3 4 2 3 4 6" xfId="23400" xr:uid="{00000000-0005-0000-0000-0000F43D0000}"/>
    <cellStyle name="40% - Accent3 4 2 3 4 6 2" xfId="23401" xr:uid="{00000000-0005-0000-0000-0000F53D0000}"/>
    <cellStyle name="40% - Accent3 4 2 3 4 6 3" xfId="23402" xr:uid="{00000000-0005-0000-0000-0000F63D0000}"/>
    <cellStyle name="40% - Accent3 4 2 3 4 7" xfId="23403" xr:uid="{00000000-0005-0000-0000-0000F73D0000}"/>
    <cellStyle name="40% - Accent3 4 2 3 4 7 2" xfId="23404" xr:uid="{00000000-0005-0000-0000-0000F83D0000}"/>
    <cellStyle name="40% - Accent3 4 2 3 4 8" xfId="23405" xr:uid="{00000000-0005-0000-0000-0000F93D0000}"/>
    <cellStyle name="40% - Accent3 4 2 3 4 9" xfId="23406" xr:uid="{00000000-0005-0000-0000-0000FA3D0000}"/>
    <cellStyle name="40% - Accent3 4 2 3 5" xfId="23407" xr:uid="{00000000-0005-0000-0000-0000FB3D0000}"/>
    <cellStyle name="40% - Accent3 4 2 3 5 2" xfId="23408" xr:uid="{00000000-0005-0000-0000-0000FC3D0000}"/>
    <cellStyle name="40% - Accent3 4 2 3 5 2 2" xfId="23409" xr:uid="{00000000-0005-0000-0000-0000FD3D0000}"/>
    <cellStyle name="40% - Accent3 4 2 3 5 2 3" xfId="23410" xr:uid="{00000000-0005-0000-0000-0000FE3D0000}"/>
    <cellStyle name="40% - Accent3 4 2 3 5 3" xfId="23411" xr:uid="{00000000-0005-0000-0000-0000FF3D0000}"/>
    <cellStyle name="40% - Accent3 4 2 3 5 3 2" xfId="23412" xr:uid="{00000000-0005-0000-0000-0000003E0000}"/>
    <cellStyle name="40% - Accent3 4 2 3 5 3 3" xfId="23413" xr:uid="{00000000-0005-0000-0000-0000013E0000}"/>
    <cellStyle name="40% - Accent3 4 2 3 5 4" xfId="23414" xr:uid="{00000000-0005-0000-0000-0000023E0000}"/>
    <cellStyle name="40% - Accent3 4 2 3 5 4 2" xfId="23415" xr:uid="{00000000-0005-0000-0000-0000033E0000}"/>
    <cellStyle name="40% - Accent3 4 2 3 5 5" xfId="23416" xr:uid="{00000000-0005-0000-0000-0000043E0000}"/>
    <cellStyle name="40% - Accent3 4 2 3 5 6" xfId="23417" xr:uid="{00000000-0005-0000-0000-0000053E0000}"/>
    <cellStyle name="40% - Accent3 4 2 3 6" xfId="23418" xr:uid="{00000000-0005-0000-0000-0000063E0000}"/>
    <cellStyle name="40% - Accent3 4 2 3 6 2" xfId="23419" xr:uid="{00000000-0005-0000-0000-0000073E0000}"/>
    <cellStyle name="40% - Accent3 4 2 3 6 2 2" xfId="23420" xr:uid="{00000000-0005-0000-0000-0000083E0000}"/>
    <cellStyle name="40% - Accent3 4 2 3 6 2 3" xfId="23421" xr:uid="{00000000-0005-0000-0000-0000093E0000}"/>
    <cellStyle name="40% - Accent3 4 2 3 6 3" xfId="23422" xr:uid="{00000000-0005-0000-0000-00000A3E0000}"/>
    <cellStyle name="40% - Accent3 4 2 3 6 3 2" xfId="23423" xr:uid="{00000000-0005-0000-0000-00000B3E0000}"/>
    <cellStyle name="40% - Accent3 4 2 3 6 3 3" xfId="23424" xr:uid="{00000000-0005-0000-0000-00000C3E0000}"/>
    <cellStyle name="40% - Accent3 4 2 3 6 4" xfId="23425" xr:uid="{00000000-0005-0000-0000-00000D3E0000}"/>
    <cellStyle name="40% - Accent3 4 2 3 6 4 2" xfId="23426" xr:uid="{00000000-0005-0000-0000-00000E3E0000}"/>
    <cellStyle name="40% - Accent3 4 2 3 6 5" xfId="23427" xr:uid="{00000000-0005-0000-0000-00000F3E0000}"/>
    <cellStyle name="40% - Accent3 4 2 3 6 6" xfId="23428" xr:uid="{00000000-0005-0000-0000-0000103E0000}"/>
    <cellStyle name="40% - Accent3 4 2 3 7" xfId="23429" xr:uid="{00000000-0005-0000-0000-0000113E0000}"/>
    <cellStyle name="40% - Accent3 4 2 3 7 2" xfId="23430" xr:uid="{00000000-0005-0000-0000-0000123E0000}"/>
    <cellStyle name="40% - Accent3 4 2 3 7 2 2" xfId="23431" xr:uid="{00000000-0005-0000-0000-0000133E0000}"/>
    <cellStyle name="40% - Accent3 4 2 3 7 2 3" xfId="23432" xr:uid="{00000000-0005-0000-0000-0000143E0000}"/>
    <cellStyle name="40% - Accent3 4 2 3 7 3" xfId="23433" xr:uid="{00000000-0005-0000-0000-0000153E0000}"/>
    <cellStyle name="40% - Accent3 4 2 3 7 3 2" xfId="23434" xr:uid="{00000000-0005-0000-0000-0000163E0000}"/>
    <cellStyle name="40% - Accent3 4 2 3 7 4" xfId="23435" xr:uid="{00000000-0005-0000-0000-0000173E0000}"/>
    <cellStyle name="40% - Accent3 4 2 3 7 5" xfId="23436" xr:uid="{00000000-0005-0000-0000-0000183E0000}"/>
    <cellStyle name="40% - Accent3 4 2 3 8" xfId="23437" xr:uid="{00000000-0005-0000-0000-0000193E0000}"/>
    <cellStyle name="40% - Accent3 4 2 3 8 2" xfId="23438" xr:uid="{00000000-0005-0000-0000-00001A3E0000}"/>
    <cellStyle name="40% - Accent3 4 2 3 8 3" xfId="23439" xr:uid="{00000000-0005-0000-0000-00001B3E0000}"/>
    <cellStyle name="40% - Accent3 4 2 3 9" xfId="23440" xr:uid="{00000000-0005-0000-0000-00001C3E0000}"/>
    <cellStyle name="40% - Accent3 4 2 3 9 2" xfId="23441" xr:uid="{00000000-0005-0000-0000-00001D3E0000}"/>
    <cellStyle name="40% - Accent3 4 2 3 9 3" xfId="23442" xr:uid="{00000000-0005-0000-0000-00001E3E0000}"/>
    <cellStyle name="40% - Accent3 4 2 4" xfId="2010" xr:uid="{00000000-0005-0000-0000-00001F3E0000}"/>
    <cellStyle name="40% - Accent3 4 2 4 10" xfId="23443" xr:uid="{00000000-0005-0000-0000-0000203E0000}"/>
    <cellStyle name="40% - Accent3 4 2 4 2" xfId="2011" xr:uid="{00000000-0005-0000-0000-0000213E0000}"/>
    <cellStyle name="40% - Accent3 4 2 4 2 2" xfId="23444" xr:uid="{00000000-0005-0000-0000-0000223E0000}"/>
    <cellStyle name="40% - Accent3 4 2 4 2 2 2" xfId="23445" xr:uid="{00000000-0005-0000-0000-0000233E0000}"/>
    <cellStyle name="40% - Accent3 4 2 4 2 2 2 2" xfId="23446" xr:uid="{00000000-0005-0000-0000-0000243E0000}"/>
    <cellStyle name="40% - Accent3 4 2 4 2 2 2 3" xfId="23447" xr:uid="{00000000-0005-0000-0000-0000253E0000}"/>
    <cellStyle name="40% - Accent3 4 2 4 2 2 3" xfId="23448" xr:uid="{00000000-0005-0000-0000-0000263E0000}"/>
    <cellStyle name="40% - Accent3 4 2 4 2 2 3 2" xfId="23449" xr:uid="{00000000-0005-0000-0000-0000273E0000}"/>
    <cellStyle name="40% - Accent3 4 2 4 2 2 3 3" xfId="23450" xr:uid="{00000000-0005-0000-0000-0000283E0000}"/>
    <cellStyle name="40% - Accent3 4 2 4 2 2 4" xfId="23451" xr:uid="{00000000-0005-0000-0000-0000293E0000}"/>
    <cellStyle name="40% - Accent3 4 2 4 2 2 4 2" xfId="23452" xr:uid="{00000000-0005-0000-0000-00002A3E0000}"/>
    <cellStyle name="40% - Accent3 4 2 4 2 2 5" xfId="23453" xr:uid="{00000000-0005-0000-0000-00002B3E0000}"/>
    <cellStyle name="40% - Accent3 4 2 4 2 2 6" xfId="23454" xr:uid="{00000000-0005-0000-0000-00002C3E0000}"/>
    <cellStyle name="40% - Accent3 4 2 4 2 3" xfId="23455" xr:uid="{00000000-0005-0000-0000-00002D3E0000}"/>
    <cellStyle name="40% - Accent3 4 2 4 2 3 2" xfId="23456" xr:uid="{00000000-0005-0000-0000-00002E3E0000}"/>
    <cellStyle name="40% - Accent3 4 2 4 2 3 2 2" xfId="23457" xr:uid="{00000000-0005-0000-0000-00002F3E0000}"/>
    <cellStyle name="40% - Accent3 4 2 4 2 3 2 3" xfId="23458" xr:uid="{00000000-0005-0000-0000-0000303E0000}"/>
    <cellStyle name="40% - Accent3 4 2 4 2 3 3" xfId="23459" xr:uid="{00000000-0005-0000-0000-0000313E0000}"/>
    <cellStyle name="40% - Accent3 4 2 4 2 3 3 2" xfId="23460" xr:uid="{00000000-0005-0000-0000-0000323E0000}"/>
    <cellStyle name="40% - Accent3 4 2 4 2 3 3 3" xfId="23461" xr:uid="{00000000-0005-0000-0000-0000333E0000}"/>
    <cellStyle name="40% - Accent3 4 2 4 2 3 4" xfId="23462" xr:uid="{00000000-0005-0000-0000-0000343E0000}"/>
    <cellStyle name="40% - Accent3 4 2 4 2 3 4 2" xfId="23463" xr:uid="{00000000-0005-0000-0000-0000353E0000}"/>
    <cellStyle name="40% - Accent3 4 2 4 2 3 5" xfId="23464" xr:uid="{00000000-0005-0000-0000-0000363E0000}"/>
    <cellStyle name="40% - Accent3 4 2 4 2 3 6" xfId="23465" xr:uid="{00000000-0005-0000-0000-0000373E0000}"/>
    <cellStyle name="40% - Accent3 4 2 4 2 4" xfId="23466" xr:uid="{00000000-0005-0000-0000-0000383E0000}"/>
    <cellStyle name="40% - Accent3 4 2 4 2 4 2" xfId="23467" xr:uid="{00000000-0005-0000-0000-0000393E0000}"/>
    <cellStyle name="40% - Accent3 4 2 4 2 4 2 2" xfId="23468" xr:uid="{00000000-0005-0000-0000-00003A3E0000}"/>
    <cellStyle name="40% - Accent3 4 2 4 2 4 2 3" xfId="23469" xr:uid="{00000000-0005-0000-0000-00003B3E0000}"/>
    <cellStyle name="40% - Accent3 4 2 4 2 4 3" xfId="23470" xr:uid="{00000000-0005-0000-0000-00003C3E0000}"/>
    <cellStyle name="40% - Accent3 4 2 4 2 4 3 2" xfId="23471" xr:uid="{00000000-0005-0000-0000-00003D3E0000}"/>
    <cellStyle name="40% - Accent3 4 2 4 2 4 4" xfId="23472" xr:uid="{00000000-0005-0000-0000-00003E3E0000}"/>
    <cellStyle name="40% - Accent3 4 2 4 2 4 5" xfId="23473" xr:uid="{00000000-0005-0000-0000-00003F3E0000}"/>
    <cellStyle name="40% - Accent3 4 2 4 2 5" xfId="23474" xr:uid="{00000000-0005-0000-0000-0000403E0000}"/>
    <cellStyle name="40% - Accent3 4 2 4 2 5 2" xfId="23475" xr:uid="{00000000-0005-0000-0000-0000413E0000}"/>
    <cellStyle name="40% - Accent3 4 2 4 2 5 3" xfId="23476" xr:uid="{00000000-0005-0000-0000-0000423E0000}"/>
    <cellStyle name="40% - Accent3 4 2 4 2 6" xfId="23477" xr:uid="{00000000-0005-0000-0000-0000433E0000}"/>
    <cellStyle name="40% - Accent3 4 2 4 2 6 2" xfId="23478" xr:uid="{00000000-0005-0000-0000-0000443E0000}"/>
    <cellStyle name="40% - Accent3 4 2 4 2 6 3" xfId="23479" xr:uid="{00000000-0005-0000-0000-0000453E0000}"/>
    <cellStyle name="40% - Accent3 4 2 4 2 7" xfId="23480" xr:uid="{00000000-0005-0000-0000-0000463E0000}"/>
    <cellStyle name="40% - Accent3 4 2 4 2 7 2" xfId="23481" xr:uid="{00000000-0005-0000-0000-0000473E0000}"/>
    <cellStyle name="40% - Accent3 4 2 4 2 8" xfId="23482" xr:uid="{00000000-0005-0000-0000-0000483E0000}"/>
    <cellStyle name="40% - Accent3 4 2 4 2 9" xfId="23483" xr:uid="{00000000-0005-0000-0000-0000493E0000}"/>
    <cellStyle name="40% - Accent3 4 2 4 3" xfId="23484" xr:uid="{00000000-0005-0000-0000-00004A3E0000}"/>
    <cellStyle name="40% - Accent3 4 2 4 3 2" xfId="23485" xr:uid="{00000000-0005-0000-0000-00004B3E0000}"/>
    <cellStyle name="40% - Accent3 4 2 4 3 2 2" xfId="23486" xr:uid="{00000000-0005-0000-0000-00004C3E0000}"/>
    <cellStyle name="40% - Accent3 4 2 4 3 2 3" xfId="23487" xr:uid="{00000000-0005-0000-0000-00004D3E0000}"/>
    <cellStyle name="40% - Accent3 4 2 4 3 3" xfId="23488" xr:uid="{00000000-0005-0000-0000-00004E3E0000}"/>
    <cellStyle name="40% - Accent3 4 2 4 3 3 2" xfId="23489" xr:uid="{00000000-0005-0000-0000-00004F3E0000}"/>
    <cellStyle name="40% - Accent3 4 2 4 3 3 3" xfId="23490" xr:uid="{00000000-0005-0000-0000-0000503E0000}"/>
    <cellStyle name="40% - Accent3 4 2 4 3 4" xfId="23491" xr:uid="{00000000-0005-0000-0000-0000513E0000}"/>
    <cellStyle name="40% - Accent3 4 2 4 3 4 2" xfId="23492" xr:uid="{00000000-0005-0000-0000-0000523E0000}"/>
    <cellStyle name="40% - Accent3 4 2 4 3 5" xfId="23493" xr:uid="{00000000-0005-0000-0000-0000533E0000}"/>
    <cellStyle name="40% - Accent3 4 2 4 3 6" xfId="23494" xr:uid="{00000000-0005-0000-0000-0000543E0000}"/>
    <cellStyle name="40% - Accent3 4 2 4 4" xfId="23495" xr:uid="{00000000-0005-0000-0000-0000553E0000}"/>
    <cellStyle name="40% - Accent3 4 2 4 4 2" xfId="23496" xr:uid="{00000000-0005-0000-0000-0000563E0000}"/>
    <cellStyle name="40% - Accent3 4 2 4 4 2 2" xfId="23497" xr:uid="{00000000-0005-0000-0000-0000573E0000}"/>
    <cellStyle name="40% - Accent3 4 2 4 4 2 3" xfId="23498" xr:uid="{00000000-0005-0000-0000-0000583E0000}"/>
    <cellStyle name="40% - Accent3 4 2 4 4 3" xfId="23499" xr:uid="{00000000-0005-0000-0000-0000593E0000}"/>
    <cellStyle name="40% - Accent3 4 2 4 4 3 2" xfId="23500" xr:uid="{00000000-0005-0000-0000-00005A3E0000}"/>
    <cellStyle name="40% - Accent3 4 2 4 4 3 3" xfId="23501" xr:uid="{00000000-0005-0000-0000-00005B3E0000}"/>
    <cellStyle name="40% - Accent3 4 2 4 4 4" xfId="23502" xr:uid="{00000000-0005-0000-0000-00005C3E0000}"/>
    <cellStyle name="40% - Accent3 4 2 4 4 4 2" xfId="23503" xr:uid="{00000000-0005-0000-0000-00005D3E0000}"/>
    <cellStyle name="40% - Accent3 4 2 4 4 5" xfId="23504" xr:uid="{00000000-0005-0000-0000-00005E3E0000}"/>
    <cellStyle name="40% - Accent3 4 2 4 4 6" xfId="23505" xr:uid="{00000000-0005-0000-0000-00005F3E0000}"/>
    <cellStyle name="40% - Accent3 4 2 4 5" xfId="23506" xr:uid="{00000000-0005-0000-0000-0000603E0000}"/>
    <cellStyle name="40% - Accent3 4 2 4 5 2" xfId="23507" xr:uid="{00000000-0005-0000-0000-0000613E0000}"/>
    <cellStyle name="40% - Accent3 4 2 4 5 2 2" xfId="23508" xr:uid="{00000000-0005-0000-0000-0000623E0000}"/>
    <cellStyle name="40% - Accent3 4 2 4 5 2 3" xfId="23509" xr:uid="{00000000-0005-0000-0000-0000633E0000}"/>
    <cellStyle name="40% - Accent3 4 2 4 5 3" xfId="23510" xr:uid="{00000000-0005-0000-0000-0000643E0000}"/>
    <cellStyle name="40% - Accent3 4 2 4 5 3 2" xfId="23511" xr:uid="{00000000-0005-0000-0000-0000653E0000}"/>
    <cellStyle name="40% - Accent3 4 2 4 5 4" xfId="23512" xr:uid="{00000000-0005-0000-0000-0000663E0000}"/>
    <cellStyle name="40% - Accent3 4 2 4 5 5" xfId="23513" xr:uid="{00000000-0005-0000-0000-0000673E0000}"/>
    <cellStyle name="40% - Accent3 4 2 4 6" xfId="23514" xr:uid="{00000000-0005-0000-0000-0000683E0000}"/>
    <cellStyle name="40% - Accent3 4 2 4 6 2" xfId="23515" xr:uid="{00000000-0005-0000-0000-0000693E0000}"/>
    <cellStyle name="40% - Accent3 4 2 4 6 3" xfId="23516" xr:uid="{00000000-0005-0000-0000-00006A3E0000}"/>
    <cellStyle name="40% - Accent3 4 2 4 7" xfId="23517" xr:uid="{00000000-0005-0000-0000-00006B3E0000}"/>
    <cellStyle name="40% - Accent3 4 2 4 7 2" xfId="23518" xr:uid="{00000000-0005-0000-0000-00006C3E0000}"/>
    <cellStyle name="40% - Accent3 4 2 4 7 3" xfId="23519" xr:uid="{00000000-0005-0000-0000-00006D3E0000}"/>
    <cellStyle name="40% - Accent3 4 2 4 8" xfId="23520" xr:uid="{00000000-0005-0000-0000-00006E3E0000}"/>
    <cellStyle name="40% - Accent3 4 2 4 8 2" xfId="23521" xr:uid="{00000000-0005-0000-0000-00006F3E0000}"/>
    <cellStyle name="40% - Accent3 4 2 4 9" xfId="23522" xr:uid="{00000000-0005-0000-0000-0000703E0000}"/>
    <cellStyle name="40% - Accent3 4 2 5" xfId="2012" xr:uid="{00000000-0005-0000-0000-0000713E0000}"/>
    <cellStyle name="40% - Accent3 4 2 5 2" xfId="23523" xr:uid="{00000000-0005-0000-0000-0000723E0000}"/>
    <cellStyle name="40% - Accent3 4 2 5 2 2" xfId="23524" xr:uid="{00000000-0005-0000-0000-0000733E0000}"/>
    <cellStyle name="40% - Accent3 4 2 5 2 2 2" xfId="23525" xr:uid="{00000000-0005-0000-0000-0000743E0000}"/>
    <cellStyle name="40% - Accent3 4 2 5 2 2 3" xfId="23526" xr:uid="{00000000-0005-0000-0000-0000753E0000}"/>
    <cellStyle name="40% - Accent3 4 2 5 2 3" xfId="23527" xr:uid="{00000000-0005-0000-0000-0000763E0000}"/>
    <cellStyle name="40% - Accent3 4 2 5 2 3 2" xfId="23528" xr:uid="{00000000-0005-0000-0000-0000773E0000}"/>
    <cellStyle name="40% - Accent3 4 2 5 2 3 3" xfId="23529" xr:uid="{00000000-0005-0000-0000-0000783E0000}"/>
    <cellStyle name="40% - Accent3 4 2 5 2 4" xfId="23530" xr:uid="{00000000-0005-0000-0000-0000793E0000}"/>
    <cellStyle name="40% - Accent3 4 2 5 2 4 2" xfId="23531" xr:uid="{00000000-0005-0000-0000-00007A3E0000}"/>
    <cellStyle name="40% - Accent3 4 2 5 2 5" xfId="23532" xr:uid="{00000000-0005-0000-0000-00007B3E0000}"/>
    <cellStyle name="40% - Accent3 4 2 5 2 6" xfId="23533" xr:uid="{00000000-0005-0000-0000-00007C3E0000}"/>
    <cellStyle name="40% - Accent3 4 2 5 3" xfId="23534" xr:uid="{00000000-0005-0000-0000-00007D3E0000}"/>
    <cellStyle name="40% - Accent3 4 2 5 3 2" xfId="23535" xr:uid="{00000000-0005-0000-0000-00007E3E0000}"/>
    <cellStyle name="40% - Accent3 4 2 5 3 2 2" xfId="23536" xr:uid="{00000000-0005-0000-0000-00007F3E0000}"/>
    <cellStyle name="40% - Accent3 4 2 5 3 2 3" xfId="23537" xr:uid="{00000000-0005-0000-0000-0000803E0000}"/>
    <cellStyle name="40% - Accent3 4 2 5 3 3" xfId="23538" xr:uid="{00000000-0005-0000-0000-0000813E0000}"/>
    <cellStyle name="40% - Accent3 4 2 5 3 3 2" xfId="23539" xr:uid="{00000000-0005-0000-0000-0000823E0000}"/>
    <cellStyle name="40% - Accent3 4 2 5 3 3 3" xfId="23540" xr:uid="{00000000-0005-0000-0000-0000833E0000}"/>
    <cellStyle name="40% - Accent3 4 2 5 3 4" xfId="23541" xr:uid="{00000000-0005-0000-0000-0000843E0000}"/>
    <cellStyle name="40% - Accent3 4 2 5 3 4 2" xfId="23542" xr:uid="{00000000-0005-0000-0000-0000853E0000}"/>
    <cellStyle name="40% - Accent3 4 2 5 3 5" xfId="23543" xr:uid="{00000000-0005-0000-0000-0000863E0000}"/>
    <cellStyle name="40% - Accent3 4 2 5 3 6" xfId="23544" xr:uid="{00000000-0005-0000-0000-0000873E0000}"/>
    <cellStyle name="40% - Accent3 4 2 5 4" xfId="23545" xr:uid="{00000000-0005-0000-0000-0000883E0000}"/>
    <cellStyle name="40% - Accent3 4 2 5 4 2" xfId="23546" xr:uid="{00000000-0005-0000-0000-0000893E0000}"/>
    <cellStyle name="40% - Accent3 4 2 5 4 2 2" xfId="23547" xr:uid="{00000000-0005-0000-0000-00008A3E0000}"/>
    <cellStyle name="40% - Accent3 4 2 5 4 2 3" xfId="23548" xr:uid="{00000000-0005-0000-0000-00008B3E0000}"/>
    <cellStyle name="40% - Accent3 4 2 5 4 3" xfId="23549" xr:uid="{00000000-0005-0000-0000-00008C3E0000}"/>
    <cellStyle name="40% - Accent3 4 2 5 4 3 2" xfId="23550" xr:uid="{00000000-0005-0000-0000-00008D3E0000}"/>
    <cellStyle name="40% - Accent3 4 2 5 4 4" xfId="23551" xr:uid="{00000000-0005-0000-0000-00008E3E0000}"/>
    <cellStyle name="40% - Accent3 4 2 5 4 5" xfId="23552" xr:uid="{00000000-0005-0000-0000-00008F3E0000}"/>
    <cellStyle name="40% - Accent3 4 2 5 5" xfId="23553" xr:uid="{00000000-0005-0000-0000-0000903E0000}"/>
    <cellStyle name="40% - Accent3 4 2 5 5 2" xfId="23554" xr:uid="{00000000-0005-0000-0000-0000913E0000}"/>
    <cellStyle name="40% - Accent3 4 2 5 5 3" xfId="23555" xr:uid="{00000000-0005-0000-0000-0000923E0000}"/>
    <cellStyle name="40% - Accent3 4 2 5 6" xfId="23556" xr:uid="{00000000-0005-0000-0000-0000933E0000}"/>
    <cellStyle name="40% - Accent3 4 2 5 6 2" xfId="23557" xr:uid="{00000000-0005-0000-0000-0000943E0000}"/>
    <cellStyle name="40% - Accent3 4 2 5 6 3" xfId="23558" xr:uid="{00000000-0005-0000-0000-0000953E0000}"/>
    <cellStyle name="40% - Accent3 4 2 5 7" xfId="23559" xr:uid="{00000000-0005-0000-0000-0000963E0000}"/>
    <cellStyle name="40% - Accent3 4 2 5 7 2" xfId="23560" xr:uid="{00000000-0005-0000-0000-0000973E0000}"/>
    <cellStyle name="40% - Accent3 4 2 5 8" xfId="23561" xr:uid="{00000000-0005-0000-0000-0000983E0000}"/>
    <cellStyle name="40% - Accent3 4 2 5 9" xfId="23562" xr:uid="{00000000-0005-0000-0000-0000993E0000}"/>
    <cellStyle name="40% - Accent3 4 2 6" xfId="23563" xr:uid="{00000000-0005-0000-0000-00009A3E0000}"/>
    <cellStyle name="40% - Accent3 4 2 6 2" xfId="23564" xr:uid="{00000000-0005-0000-0000-00009B3E0000}"/>
    <cellStyle name="40% - Accent3 4 2 6 2 2" xfId="23565" xr:uid="{00000000-0005-0000-0000-00009C3E0000}"/>
    <cellStyle name="40% - Accent3 4 2 6 2 2 2" xfId="23566" xr:uid="{00000000-0005-0000-0000-00009D3E0000}"/>
    <cellStyle name="40% - Accent3 4 2 6 2 2 3" xfId="23567" xr:uid="{00000000-0005-0000-0000-00009E3E0000}"/>
    <cellStyle name="40% - Accent3 4 2 6 2 3" xfId="23568" xr:uid="{00000000-0005-0000-0000-00009F3E0000}"/>
    <cellStyle name="40% - Accent3 4 2 6 2 3 2" xfId="23569" xr:uid="{00000000-0005-0000-0000-0000A03E0000}"/>
    <cellStyle name="40% - Accent3 4 2 6 2 3 3" xfId="23570" xr:uid="{00000000-0005-0000-0000-0000A13E0000}"/>
    <cellStyle name="40% - Accent3 4 2 6 2 4" xfId="23571" xr:uid="{00000000-0005-0000-0000-0000A23E0000}"/>
    <cellStyle name="40% - Accent3 4 2 6 2 4 2" xfId="23572" xr:uid="{00000000-0005-0000-0000-0000A33E0000}"/>
    <cellStyle name="40% - Accent3 4 2 6 2 5" xfId="23573" xr:uid="{00000000-0005-0000-0000-0000A43E0000}"/>
    <cellStyle name="40% - Accent3 4 2 6 2 6" xfId="23574" xr:uid="{00000000-0005-0000-0000-0000A53E0000}"/>
    <cellStyle name="40% - Accent3 4 2 6 3" xfId="23575" xr:uid="{00000000-0005-0000-0000-0000A63E0000}"/>
    <cellStyle name="40% - Accent3 4 2 6 3 2" xfId="23576" xr:uid="{00000000-0005-0000-0000-0000A73E0000}"/>
    <cellStyle name="40% - Accent3 4 2 6 3 2 2" xfId="23577" xr:uid="{00000000-0005-0000-0000-0000A83E0000}"/>
    <cellStyle name="40% - Accent3 4 2 6 3 2 3" xfId="23578" xr:uid="{00000000-0005-0000-0000-0000A93E0000}"/>
    <cellStyle name="40% - Accent3 4 2 6 3 3" xfId="23579" xr:uid="{00000000-0005-0000-0000-0000AA3E0000}"/>
    <cellStyle name="40% - Accent3 4 2 6 3 3 2" xfId="23580" xr:uid="{00000000-0005-0000-0000-0000AB3E0000}"/>
    <cellStyle name="40% - Accent3 4 2 6 3 3 3" xfId="23581" xr:uid="{00000000-0005-0000-0000-0000AC3E0000}"/>
    <cellStyle name="40% - Accent3 4 2 6 3 4" xfId="23582" xr:uid="{00000000-0005-0000-0000-0000AD3E0000}"/>
    <cellStyle name="40% - Accent3 4 2 6 3 4 2" xfId="23583" xr:uid="{00000000-0005-0000-0000-0000AE3E0000}"/>
    <cellStyle name="40% - Accent3 4 2 6 3 5" xfId="23584" xr:uid="{00000000-0005-0000-0000-0000AF3E0000}"/>
    <cellStyle name="40% - Accent3 4 2 6 3 6" xfId="23585" xr:uid="{00000000-0005-0000-0000-0000B03E0000}"/>
    <cellStyle name="40% - Accent3 4 2 6 4" xfId="23586" xr:uid="{00000000-0005-0000-0000-0000B13E0000}"/>
    <cellStyle name="40% - Accent3 4 2 6 4 2" xfId="23587" xr:uid="{00000000-0005-0000-0000-0000B23E0000}"/>
    <cellStyle name="40% - Accent3 4 2 6 4 2 2" xfId="23588" xr:uid="{00000000-0005-0000-0000-0000B33E0000}"/>
    <cellStyle name="40% - Accent3 4 2 6 4 2 3" xfId="23589" xr:uid="{00000000-0005-0000-0000-0000B43E0000}"/>
    <cellStyle name="40% - Accent3 4 2 6 4 3" xfId="23590" xr:uid="{00000000-0005-0000-0000-0000B53E0000}"/>
    <cellStyle name="40% - Accent3 4 2 6 4 3 2" xfId="23591" xr:uid="{00000000-0005-0000-0000-0000B63E0000}"/>
    <cellStyle name="40% - Accent3 4 2 6 4 4" xfId="23592" xr:uid="{00000000-0005-0000-0000-0000B73E0000}"/>
    <cellStyle name="40% - Accent3 4 2 6 4 5" xfId="23593" xr:uid="{00000000-0005-0000-0000-0000B83E0000}"/>
    <cellStyle name="40% - Accent3 4 2 6 5" xfId="23594" xr:uid="{00000000-0005-0000-0000-0000B93E0000}"/>
    <cellStyle name="40% - Accent3 4 2 6 5 2" xfId="23595" xr:uid="{00000000-0005-0000-0000-0000BA3E0000}"/>
    <cellStyle name="40% - Accent3 4 2 6 5 3" xfId="23596" xr:uid="{00000000-0005-0000-0000-0000BB3E0000}"/>
    <cellStyle name="40% - Accent3 4 2 6 6" xfId="23597" xr:uid="{00000000-0005-0000-0000-0000BC3E0000}"/>
    <cellStyle name="40% - Accent3 4 2 6 6 2" xfId="23598" xr:uid="{00000000-0005-0000-0000-0000BD3E0000}"/>
    <cellStyle name="40% - Accent3 4 2 6 6 3" xfId="23599" xr:uid="{00000000-0005-0000-0000-0000BE3E0000}"/>
    <cellStyle name="40% - Accent3 4 2 6 7" xfId="23600" xr:uid="{00000000-0005-0000-0000-0000BF3E0000}"/>
    <cellStyle name="40% - Accent3 4 2 6 7 2" xfId="23601" xr:uid="{00000000-0005-0000-0000-0000C03E0000}"/>
    <cellStyle name="40% - Accent3 4 2 6 8" xfId="23602" xr:uid="{00000000-0005-0000-0000-0000C13E0000}"/>
    <cellStyle name="40% - Accent3 4 2 6 9" xfId="23603" xr:uid="{00000000-0005-0000-0000-0000C23E0000}"/>
    <cellStyle name="40% - Accent3 4 2 7" xfId="23604" xr:uid="{00000000-0005-0000-0000-0000C33E0000}"/>
    <cellStyle name="40% - Accent3 4 2 7 2" xfId="23605" xr:uid="{00000000-0005-0000-0000-0000C43E0000}"/>
    <cellStyle name="40% - Accent3 4 2 7 2 2" xfId="23606" xr:uid="{00000000-0005-0000-0000-0000C53E0000}"/>
    <cellStyle name="40% - Accent3 4 2 7 2 3" xfId="23607" xr:uid="{00000000-0005-0000-0000-0000C63E0000}"/>
    <cellStyle name="40% - Accent3 4 2 7 3" xfId="23608" xr:uid="{00000000-0005-0000-0000-0000C73E0000}"/>
    <cellStyle name="40% - Accent3 4 2 7 3 2" xfId="23609" xr:uid="{00000000-0005-0000-0000-0000C83E0000}"/>
    <cellStyle name="40% - Accent3 4 2 7 3 3" xfId="23610" xr:uid="{00000000-0005-0000-0000-0000C93E0000}"/>
    <cellStyle name="40% - Accent3 4 2 7 4" xfId="23611" xr:uid="{00000000-0005-0000-0000-0000CA3E0000}"/>
    <cellStyle name="40% - Accent3 4 2 7 4 2" xfId="23612" xr:uid="{00000000-0005-0000-0000-0000CB3E0000}"/>
    <cellStyle name="40% - Accent3 4 2 7 5" xfId="23613" xr:uid="{00000000-0005-0000-0000-0000CC3E0000}"/>
    <cellStyle name="40% - Accent3 4 2 7 6" xfId="23614" xr:uid="{00000000-0005-0000-0000-0000CD3E0000}"/>
    <cellStyle name="40% - Accent3 4 2 8" xfId="23615" xr:uid="{00000000-0005-0000-0000-0000CE3E0000}"/>
    <cellStyle name="40% - Accent3 4 2 8 2" xfId="23616" xr:uid="{00000000-0005-0000-0000-0000CF3E0000}"/>
    <cellStyle name="40% - Accent3 4 2 8 2 2" xfId="23617" xr:uid="{00000000-0005-0000-0000-0000D03E0000}"/>
    <cellStyle name="40% - Accent3 4 2 8 2 3" xfId="23618" xr:uid="{00000000-0005-0000-0000-0000D13E0000}"/>
    <cellStyle name="40% - Accent3 4 2 8 3" xfId="23619" xr:uid="{00000000-0005-0000-0000-0000D23E0000}"/>
    <cellStyle name="40% - Accent3 4 2 8 3 2" xfId="23620" xr:uid="{00000000-0005-0000-0000-0000D33E0000}"/>
    <cellStyle name="40% - Accent3 4 2 8 3 3" xfId="23621" xr:uid="{00000000-0005-0000-0000-0000D43E0000}"/>
    <cellStyle name="40% - Accent3 4 2 8 4" xfId="23622" xr:uid="{00000000-0005-0000-0000-0000D53E0000}"/>
    <cellStyle name="40% - Accent3 4 2 8 4 2" xfId="23623" xr:uid="{00000000-0005-0000-0000-0000D63E0000}"/>
    <cellStyle name="40% - Accent3 4 2 8 5" xfId="23624" xr:uid="{00000000-0005-0000-0000-0000D73E0000}"/>
    <cellStyle name="40% - Accent3 4 2 8 6" xfId="23625" xr:uid="{00000000-0005-0000-0000-0000D83E0000}"/>
    <cellStyle name="40% - Accent3 4 2 9" xfId="23626" xr:uid="{00000000-0005-0000-0000-0000D93E0000}"/>
    <cellStyle name="40% - Accent3 4 2 9 2" xfId="23627" xr:uid="{00000000-0005-0000-0000-0000DA3E0000}"/>
    <cellStyle name="40% - Accent3 4 2 9 2 2" xfId="23628" xr:uid="{00000000-0005-0000-0000-0000DB3E0000}"/>
    <cellStyle name="40% - Accent3 4 2 9 2 3" xfId="23629" xr:uid="{00000000-0005-0000-0000-0000DC3E0000}"/>
    <cellStyle name="40% - Accent3 4 2 9 3" xfId="23630" xr:uid="{00000000-0005-0000-0000-0000DD3E0000}"/>
    <cellStyle name="40% - Accent3 4 2 9 3 2" xfId="23631" xr:uid="{00000000-0005-0000-0000-0000DE3E0000}"/>
    <cellStyle name="40% - Accent3 4 2 9 4" xfId="23632" xr:uid="{00000000-0005-0000-0000-0000DF3E0000}"/>
    <cellStyle name="40% - Accent3 4 2 9 5" xfId="23633" xr:uid="{00000000-0005-0000-0000-0000E03E0000}"/>
    <cellStyle name="40% - Accent3 4 3" xfId="2013" xr:uid="{00000000-0005-0000-0000-0000E13E0000}"/>
    <cellStyle name="40% - Accent3 4 3 10" xfId="23634" xr:uid="{00000000-0005-0000-0000-0000E23E0000}"/>
    <cellStyle name="40% - Accent3 4 3 10 2" xfId="23635" xr:uid="{00000000-0005-0000-0000-0000E33E0000}"/>
    <cellStyle name="40% - Accent3 4 3 10 3" xfId="23636" xr:uid="{00000000-0005-0000-0000-0000E43E0000}"/>
    <cellStyle name="40% - Accent3 4 3 11" xfId="23637" xr:uid="{00000000-0005-0000-0000-0000E53E0000}"/>
    <cellStyle name="40% - Accent3 4 3 11 2" xfId="23638" xr:uid="{00000000-0005-0000-0000-0000E63E0000}"/>
    <cellStyle name="40% - Accent3 4 3 12" xfId="23639" xr:uid="{00000000-0005-0000-0000-0000E73E0000}"/>
    <cellStyle name="40% - Accent3 4 3 13" xfId="23640" xr:uid="{00000000-0005-0000-0000-0000E83E0000}"/>
    <cellStyle name="40% - Accent3 4 3 14" xfId="23641" xr:uid="{00000000-0005-0000-0000-0000E93E0000}"/>
    <cellStyle name="40% - Accent3 4 3 2" xfId="2014" xr:uid="{00000000-0005-0000-0000-0000EA3E0000}"/>
    <cellStyle name="40% - Accent3 4 3 2 10" xfId="23642" xr:uid="{00000000-0005-0000-0000-0000EB3E0000}"/>
    <cellStyle name="40% - Accent3 4 3 2 10 2" xfId="23643" xr:uid="{00000000-0005-0000-0000-0000EC3E0000}"/>
    <cellStyle name="40% - Accent3 4 3 2 11" xfId="23644" xr:uid="{00000000-0005-0000-0000-0000ED3E0000}"/>
    <cellStyle name="40% - Accent3 4 3 2 12" xfId="23645" xr:uid="{00000000-0005-0000-0000-0000EE3E0000}"/>
    <cellStyle name="40% - Accent3 4 3 2 2" xfId="2015" xr:uid="{00000000-0005-0000-0000-0000EF3E0000}"/>
    <cellStyle name="40% - Accent3 4 3 2 2 10" xfId="23646" xr:uid="{00000000-0005-0000-0000-0000F03E0000}"/>
    <cellStyle name="40% - Accent3 4 3 2 2 2" xfId="2016" xr:uid="{00000000-0005-0000-0000-0000F13E0000}"/>
    <cellStyle name="40% - Accent3 4 3 2 2 2 2" xfId="23647" xr:uid="{00000000-0005-0000-0000-0000F23E0000}"/>
    <cellStyle name="40% - Accent3 4 3 2 2 2 2 2" xfId="23648" xr:uid="{00000000-0005-0000-0000-0000F33E0000}"/>
    <cellStyle name="40% - Accent3 4 3 2 2 2 2 2 2" xfId="23649" xr:uid="{00000000-0005-0000-0000-0000F43E0000}"/>
    <cellStyle name="40% - Accent3 4 3 2 2 2 2 2 3" xfId="23650" xr:uid="{00000000-0005-0000-0000-0000F53E0000}"/>
    <cellStyle name="40% - Accent3 4 3 2 2 2 2 3" xfId="23651" xr:uid="{00000000-0005-0000-0000-0000F63E0000}"/>
    <cellStyle name="40% - Accent3 4 3 2 2 2 2 3 2" xfId="23652" xr:uid="{00000000-0005-0000-0000-0000F73E0000}"/>
    <cellStyle name="40% - Accent3 4 3 2 2 2 2 3 3" xfId="23653" xr:uid="{00000000-0005-0000-0000-0000F83E0000}"/>
    <cellStyle name="40% - Accent3 4 3 2 2 2 2 4" xfId="23654" xr:uid="{00000000-0005-0000-0000-0000F93E0000}"/>
    <cellStyle name="40% - Accent3 4 3 2 2 2 2 4 2" xfId="23655" xr:uid="{00000000-0005-0000-0000-0000FA3E0000}"/>
    <cellStyle name="40% - Accent3 4 3 2 2 2 2 5" xfId="23656" xr:uid="{00000000-0005-0000-0000-0000FB3E0000}"/>
    <cellStyle name="40% - Accent3 4 3 2 2 2 2 6" xfId="23657" xr:uid="{00000000-0005-0000-0000-0000FC3E0000}"/>
    <cellStyle name="40% - Accent3 4 3 2 2 2 3" xfId="23658" xr:uid="{00000000-0005-0000-0000-0000FD3E0000}"/>
    <cellStyle name="40% - Accent3 4 3 2 2 2 3 2" xfId="23659" xr:uid="{00000000-0005-0000-0000-0000FE3E0000}"/>
    <cellStyle name="40% - Accent3 4 3 2 2 2 3 2 2" xfId="23660" xr:uid="{00000000-0005-0000-0000-0000FF3E0000}"/>
    <cellStyle name="40% - Accent3 4 3 2 2 2 3 2 3" xfId="23661" xr:uid="{00000000-0005-0000-0000-0000003F0000}"/>
    <cellStyle name="40% - Accent3 4 3 2 2 2 3 3" xfId="23662" xr:uid="{00000000-0005-0000-0000-0000013F0000}"/>
    <cellStyle name="40% - Accent3 4 3 2 2 2 3 3 2" xfId="23663" xr:uid="{00000000-0005-0000-0000-0000023F0000}"/>
    <cellStyle name="40% - Accent3 4 3 2 2 2 3 3 3" xfId="23664" xr:uid="{00000000-0005-0000-0000-0000033F0000}"/>
    <cellStyle name="40% - Accent3 4 3 2 2 2 3 4" xfId="23665" xr:uid="{00000000-0005-0000-0000-0000043F0000}"/>
    <cellStyle name="40% - Accent3 4 3 2 2 2 3 4 2" xfId="23666" xr:uid="{00000000-0005-0000-0000-0000053F0000}"/>
    <cellStyle name="40% - Accent3 4 3 2 2 2 3 5" xfId="23667" xr:uid="{00000000-0005-0000-0000-0000063F0000}"/>
    <cellStyle name="40% - Accent3 4 3 2 2 2 3 6" xfId="23668" xr:uid="{00000000-0005-0000-0000-0000073F0000}"/>
    <cellStyle name="40% - Accent3 4 3 2 2 2 4" xfId="23669" xr:uid="{00000000-0005-0000-0000-0000083F0000}"/>
    <cellStyle name="40% - Accent3 4 3 2 2 2 4 2" xfId="23670" xr:uid="{00000000-0005-0000-0000-0000093F0000}"/>
    <cellStyle name="40% - Accent3 4 3 2 2 2 4 2 2" xfId="23671" xr:uid="{00000000-0005-0000-0000-00000A3F0000}"/>
    <cellStyle name="40% - Accent3 4 3 2 2 2 4 2 3" xfId="23672" xr:uid="{00000000-0005-0000-0000-00000B3F0000}"/>
    <cellStyle name="40% - Accent3 4 3 2 2 2 4 3" xfId="23673" xr:uid="{00000000-0005-0000-0000-00000C3F0000}"/>
    <cellStyle name="40% - Accent3 4 3 2 2 2 4 3 2" xfId="23674" xr:uid="{00000000-0005-0000-0000-00000D3F0000}"/>
    <cellStyle name="40% - Accent3 4 3 2 2 2 4 4" xfId="23675" xr:uid="{00000000-0005-0000-0000-00000E3F0000}"/>
    <cellStyle name="40% - Accent3 4 3 2 2 2 4 5" xfId="23676" xr:uid="{00000000-0005-0000-0000-00000F3F0000}"/>
    <cellStyle name="40% - Accent3 4 3 2 2 2 5" xfId="23677" xr:uid="{00000000-0005-0000-0000-0000103F0000}"/>
    <cellStyle name="40% - Accent3 4 3 2 2 2 5 2" xfId="23678" xr:uid="{00000000-0005-0000-0000-0000113F0000}"/>
    <cellStyle name="40% - Accent3 4 3 2 2 2 5 3" xfId="23679" xr:uid="{00000000-0005-0000-0000-0000123F0000}"/>
    <cellStyle name="40% - Accent3 4 3 2 2 2 6" xfId="23680" xr:uid="{00000000-0005-0000-0000-0000133F0000}"/>
    <cellStyle name="40% - Accent3 4 3 2 2 2 6 2" xfId="23681" xr:uid="{00000000-0005-0000-0000-0000143F0000}"/>
    <cellStyle name="40% - Accent3 4 3 2 2 2 6 3" xfId="23682" xr:uid="{00000000-0005-0000-0000-0000153F0000}"/>
    <cellStyle name="40% - Accent3 4 3 2 2 2 7" xfId="23683" xr:uid="{00000000-0005-0000-0000-0000163F0000}"/>
    <cellStyle name="40% - Accent3 4 3 2 2 2 7 2" xfId="23684" xr:uid="{00000000-0005-0000-0000-0000173F0000}"/>
    <cellStyle name="40% - Accent3 4 3 2 2 2 8" xfId="23685" xr:uid="{00000000-0005-0000-0000-0000183F0000}"/>
    <cellStyle name="40% - Accent3 4 3 2 2 2 9" xfId="23686" xr:uid="{00000000-0005-0000-0000-0000193F0000}"/>
    <cellStyle name="40% - Accent3 4 3 2 2 3" xfId="23687" xr:uid="{00000000-0005-0000-0000-00001A3F0000}"/>
    <cellStyle name="40% - Accent3 4 3 2 2 3 2" xfId="23688" xr:uid="{00000000-0005-0000-0000-00001B3F0000}"/>
    <cellStyle name="40% - Accent3 4 3 2 2 3 2 2" xfId="23689" xr:uid="{00000000-0005-0000-0000-00001C3F0000}"/>
    <cellStyle name="40% - Accent3 4 3 2 2 3 2 3" xfId="23690" xr:uid="{00000000-0005-0000-0000-00001D3F0000}"/>
    <cellStyle name="40% - Accent3 4 3 2 2 3 3" xfId="23691" xr:uid="{00000000-0005-0000-0000-00001E3F0000}"/>
    <cellStyle name="40% - Accent3 4 3 2 2 3 3 2" xfId="23692" xr:uid="{00000000-0005-0000-0000-00001F3F0000}"/>
    <cellStyle name="40% - Accent3 4 3 2 2 3 3 3" xfId="23693" xr:uid="{00000000-0005-0000-0000-0000203F0000}"/>
    <cellStyle name="40% - Accent3 4 3 2 2 3 4" xfId="23694" xr:uid="{00000000-0005-0000-0000-0000213F0000}"/>
    <cellStyle name="40% - Accent3 4 3 2 2 3 4 2" xfId="23695" xr:uid="{00000000-0005-0000-0000-0000223F0000}"/>
    <cellStyle name="40% - Accent3 4 3 2 2 3 5" xfId="23696" xr:uid="{00000000-0005-0000-0000-0000233F0000}"/>
    <cellStyle name="40% - Accent3 4 3 2 2 3 6" xfId="23697" xr:uid="{00000000-0005-0000-0000-0000243F0000}"/>
    <cellStyle name="40% - Accent3 4 3 2 2 4" xfId="23698" xr:uid="{00000000-0005-0000-0000-0000253F0000}"/>
    <cellStyle name="40% - Accent3 4 3 2 2 4 2" xfId="23699" xr:uid="{00000000-0005-0000-0000-0000263F0000}"/>
    <cellStyle name="40% - Accent3 4 3 2 2 4 2 2" xfId="23700" xr:uid="{00000000-0005-0000-0000-0000273F0000}"/>
    <cellStyle name="40% - Accent3 4 3 2 2 4 2 3" xfId="23701" xr:uid="{00000000-0005-0000-0000-0000283F0000}"/>
    <cellStyle name="40% - Accent3 4 3 2 2 4 3" xfId="23702" xr:uid="{00000000-0005-0000-0000-0000293F0000}"/>
    <cellStyle name="40% - Accent3 4 3 2 2 4 3 2" xfId="23703" xr:uid="{00000000-0005-0000-0000-00002A3F0000}"/>
    <cellStyle name="40% - Accent3 4 3 2 2 4 3 3" xfId="23704" xr:uid="{00000000-0005-0000-0000-00002B3F0000}"/>
    <cellStyle name="40% - Accent3 4 3 2 2 4 4" xfId="23705" xr:uid="{00000000-0005-0000-0000-00002C3F0000}"/>
    <cellStyle name="40% - Accent3 4 3 2 2 4 4 2" xfId="23706" xr:uid="{00000000-0005-0000-0000-00002D3F0000}"/>
    <cellStyle name="40% - Accent3 4 3 2 2 4 5" xfId="23707" xr:uid="{00000000-0005-0000-0000-00002E3F0000}"/>
    <cellStyle name="40% - Accent3 4 3 2 2 4 6" xfId="23708" xr:uid="{00000000-0005-0000-0000-00002F3F0000}"/>
    <cellStyle name="40% - Accent3 4 3 2 2 5" xfId="23709" xr:uid="{00000000-0005-0000-0000-0000303F0000}"/>
    <cellStyle name="40% - Accent3 4 3 2 2 5 2" xfId="23710" xr:uid="{00000000-0005-0000-0000-0000313F0000}"/>
    <cellStyle name="40% - Accent3 4 3 2 2 5 2 2" xfId="23711" xr:uid="{00000000-0005-0000-0000-0000323F0000}"/>
    <cellStyle name="40% - Accent3 4 3 2 2 5 2 3" xfId="23712" xr:uid="{00000000-0005-0000-0000-0000333F0000}"/>
    <cellStyle name="40% - Accent3 4 3 2 2 5 3" xfId="23713" xr:uid="{00000000-0005-0000-0000-0000343F0000}"/>
    <cellStyle name="40% - Accent3 4 3 2 2 5 3 2" xfId="23714" xr:uid="{00000000-0005-0000-0000-0000353F0000}"/>
    <cellStyle name="40% - Accent3 4 3 2 2 5 4" xfId="23715" xr:uid="{00000000-0005-0000-0000-0000363F0000}"/>
    <cellStyle name="40% - Accent3 4 3 2 2 5 5" xfId="23716" xr:uid="{00000000-0005-0000-0000-0000373F0000}"/>
    <cellStyle name="40% - Accent3 4 3 2 2 6" xfId="23717" xr:uid="{00000000-0005-0000-0000-0000383F0000}"/>
    <cellStyle name="40% - Accent3 4 3 2 2 6 2" xfId="23718" xr:uid="{00000000-0005-0000-0000-0000393F0000}"/>
    <cellStyle name="40% - Accent3 4 3 2 2 6 3" xfId="23719" xr:uid="{00000000-0005-0000-0000-00003A3F0000}"/>
    <cellStyle name="40% - Accent3 4 3 2 2 7" xfId="23720" xr:uid="{00000000-0005-0000-0000-00003B3F0000}"/>
    <cellStyle name="40% - Accent3 4 3 2 2 7 2" xfId="23721" xr:uid="{00000000-0005-0000-0000-00003C3F0000}"/>
    <cellStyle name="40% - Accent3 4 3 2 2 7 3" xfId="23722" xr:uid="{00000000-0005-0000-0000-00003D3F0000}"/>
    <cellStyle name="40% - Accent3 4 3 2 2 8" xfId="23723" xr:uid="{00000000-0005-0000-0000-00003E3F0000}"/>
    <cellStyle name="40% - Accent3 4 3 2 2 8 2" xfId="23724" xr:uid="{00000000-0005-0000-0000-00003F3F0000}"/>
    <cellStyle name="40% - Accent3 4 3 2 2 9" xfId="23725" xr:uid="{00000000-0005-0000-0000-0000403F0000}"/>
    <cellStyle name="40% - Accent3 4 3 2 3" xfId="2017" xr:uid="{00000000-0005-0000-0000-0000413F0000}"/>
    <cellStyle name="40% - Accent3 4 3 2 3 2" xfId="23726" xr:uid="{00000000-0005-0000-0000-0000423F0000}"/>
    <cellStyle name="40% - Accent3 4 3 2 3 2 2" xfId="23727" xr:uid="{00000000-0005-0000-0000-0000433F0000}"/>
    <cellStyle name="40% - Accent3 4 3 2 3 2 2 2" xfId="23728" xr:uid="{00000000-0005-0000-0000-0000443F0000}"/>
    <cellStyle name="40% - Accent3 4 3 2 3 2 2 3" xfId="23729" xr:uid="{00000000-0005-0000-0000-0000453F0000}"/>
    <cellStyle name="40% - Accent3 4 3 2 3 2 3" xfId="23730" xr:uid="{00000000-0005-0000-0000-0000463F0000}"/>
    <cellStyle name="40% - Accent3 4 3 2 3 2 3 2" xfId="23731" xr:uid="{00000000-0005-0000-0000-0000473F0000}"/>
    <cellStyle name="40% - Accent3 4 3 2 3 2 3 3" xfId="23732" xr:uid="{00000000-0005-0000-0000-0000483F0000}"/>
    <cellStyle name="40% - Accent3 4 3 2 3 2 4" xfId="23733" xr:uid="{00000000-0005-0000-0000-0000493F0000}"/>
    <cellStyle name="40% - Accent3 4 3 2 3 2 4 2" xfId="23734" xr:uid="{00000000-0005-0000-0000-00004A3F0000}"/>
    <cellStyle name="40% - Accent3 4 3 2 3 2 5" xfId="23735" xr:uid="{00000000-0005-0000-0000-00004B3F0000}"/>
    <cellStyle name="40% - Accent3 4 3 2 3 2 6" xfId="23736" xr:uid="{00000000-0005-0000-0000-00004C3F0000}"/>
    <cellStyle name="40% - Accent3 4 3 2 3 3" xfId="23737" xr:uid="{00000000-0005-0000-0000-00004D3F0000}"/>
    <cellStyle name="40% - Accent3 4 3 2 3 3 2" xfId="23738" xr:uid="{00000000-0005-0000-0000-00004E3F0000}"/>
    <cellStyle name="40% - Accent3 4 3 2 3 3 2 2" xfId="23739" xr:uid="{00000000-0005-0000-0000-00004F3F0000}"/>
    <cellStyle name="40% - Accent3 4 3 2 3 3 2 3" xfId="23740" xr:uid="{00000000-0005-0000-0000-0000503F0000}"/>
    <cellStyle name="40% - Accent3 4 3 2 3 3 3" xfId="23741" xr:uid="{00000000-0005-0000-0000-0000513F0000}"/>
    <cellStyle name="40% - Accent3 4 3 2 3 3 3 2" xfId="23742" xr:uid="{00000000-0005-0000-0000-0000523F0000}"/>
    <cellStyle name="40% - Accent3 4 3 2 3 3 3 3" xfId="23743" xr:uid="{00000000-0005-0000-0000-0000533F0000}"/>
    <cellStyle name="40% - Accent3 4 3 2 3 3 4" xfId="23744" xr:uid="{00000000-0005-0000-0000-0000543F0000}"/>
    <cellStyle name="40% - Accent3 4 3 2 3 3 4 2" xfId="23745" xr:uid="{00000000-0005-0000-0000-0000553F0000}"/>
    <cellStyle name="40% - Accent3 4 3 2 3 3 5" xfId="23746" xr:uid="{00000000-0005-0000-0000-0000563F0000}"/>
    <cellStyle name="40% - Accent3 4 3 2 3 3 6" xfId="23747" xr:uid="{00000000-0005-0000-0000-0000573F0000}"/>
    <cellStyle name="40% - Accent3 4 3 2 3 4" xfId="23748" xr:uid="{00000000-0005-0000-0000-0000583F0000}"/>
    <cellStyle name="40% - Accent3 4 3 2 3 4 2" xfId="23749" xr:uid="{00000000-0005-0000-0000-0000593F0000}"/>
    <cellStyle name="40% - Accent3 4 3 2 3 4 2 2" xfId="23750" xr:uid="{00000000-0005-0000-0000-00005A3F0000}"/>
    <cellStyle name="40% - Accent3 4 3 2 3 4 2 3" xfId="23751" xr:uid="{00000000-0005-0000-0000-00005B3F0000}"/>
    <cellStyle name="40% - Accent3 4 3 2 3 4 3" xfId="23752" xr:uid="{00000000-0005-0000-0000-00005C3F0000}"/>
    <cellStyle name="40% - Accent3 4 3 2 3 4 3 2" xfId="23753" xr:uid="{00000000-0005-0000-0000-00005D3F0000}"/>
    <cellStyle name="40% - Accent3 4 3 2 3 4 4" xfId="23754" xr:uid="{00000000-0005-0000-0000-00005E3F0000}"/>
    <cellStyle name="40% - Accent3 4 3 2 3 4 5" xfId="23755" xr:uid="{00000000-0005-0000-0000-00005F3F0000}"/>
    <cellStyle name="40% - Accent3 4 3 2 3 5" xfId="23756" xr:uid="{00000000-0005-0000-0000-0000603F0000}"/>
    <cellStyle name="40% - Accent3 4 3 2 3 5 2" xfId="23757" xr:uid="{00000000-0005-0000-0000-0000613F0000}"/>
    <cellStyle name="40% - Accent3 4 3 2 3 5 3" xfId="23758" xr:uid="{00000000-0005-0000-0000-0000623F0000}"/>
    <cellStyle name="40% - Accent3 4 3 2 3 6" xfId="23759" xr:uid="{00000000-0005-0000-0000-0000633F0000}"/>
    <cellStyle name="40% - Accent3 4 3 2 3 6 2" xfId="23760" xr:uid="{00000000-0005-0000-0000-0000643F0000}"/>
    <cellStyle name="40% - Accent3 4 3 2 3 6 3" xfId="23761" xr:uid="{00000000-0005-0000-0000-0000653F0000}"/>
    <cellStyle name="40% - Accent3 4 3 2 3 7" xfId="23762" xr:uid="{00000000-0005-0000-0000-0000663F0000}"/>
    <cellStyle name="40% - Accent3 4 3 2 3 7 2" xfId="23763" xr:uid="{00000000-0005-0000-0000-0000673F0000}"/>
    <cellStyle name="40% - Accent3 4 3 2 3 8" xfId="23764" xr:uid="{00000000-0005-0000-0000-0000683F0000}"/>
    <cellStyle name="40% - Accent3 4 3 2 3 9" xfId="23765" xr:uid="{00000000-0005-0000-0000-0000693F0000}"/>
    <cellStyle name="40% - Accent3 4 3 2 4" xfId="23766" xr:uid="{00000000-0005-0000-0000-00006A3F0000}"/>
    <cellStyle name="40% - Accent3 4 3 2 4 2" xfId="23767" xr:uid="{00000000-0005-0000-0000-00006B3F0000}"/>
    <cellStyle name="40% - Accent3 4 3 2 4 2 2" xfId="23768" xr:uid="{00000000-0005-0000-0000-00006C3F0000}"/>
    <cellStyle name="40% - Accent3 4 3 2 4 2 2 2" xfId="23769" xr:uid="{00000000-0005-0000-0000-00006D3F0000}"/>
    <cellStyle name="40% - Accent3 4 3 2 4 2 2 3" xfId="23770" xr:uid="{00000000-0005-0000-0000-00006E3F0000}"/>
    <cellStyle name="40% - Accent3 4 3 2 4 2 3" xfId="23771" xr:uid="{00000000-0005-0000-0000-00006F3F0000}"/>
    <cellStyle name="40% - Accent3 4 3 2 4 2 3 2" xfId="23772" xr:uid="{00000000-0005-0000-0000-0000703F0000}"/>
    <cellStyle name="40% - Accent3 4 3 2 4 2 3 3" xfId="23773" xr:uid="{00000000-0005-0000-0000-0000713F0000}"/>
    <cellStyle name="40% - Accent3 4 3 2 4 2 4" xfId="23774" xr:uid="{00000000-0005-0000-0000-0000723F0000}"/>
    <cellStyle name="40% - Accent3 4 3 2 4 2 4 2" xfId="23775" xr:uid="{00000000-0005-0000-0000-0000733F0000}"/>
    <cellStyle name="40% - Accent3 4 3 2 4 2 5" xfId="23776" xr:uid="{00000000-0005-0000-0000-0000743F0000}"/>
    <cellStyle name="40% - Accent3 4 3 2 4 2 6" xfId="23777" xr:uid="{00000000-0005-0000-0000-0000753F0000}"/>
    <cellStyle name="40% - Accent3 4 3 2 4 3" xfId="23778" xr:uid="{00000000-0005-0000-0000-0000763F0000}"/>
    <cellStyle name="40% - Accent3 4 3 2 4 3 2" xfId="23779" xr:uid="{00000000-0005-0000-0000-0000773F0000}"/>
    <cellStyle name="40% - Accent3 4 3 2 4 3 2 2" xfId="23780" xr:uid="{00000000-0005-0000-0000-0000783F0000}"/>
    <cellStyle name="40% - Accent3 4 3 2 4 3 2 3" xfId="23781" xr:uid="{00000000-0005-0000-0000-0000793F0000}"/>
    <cellStyle name="40% - Accent3 4 3 2 4 3 3" xfId="23782" xr:uid="{00000000-0005-0000-0000-00007A3F0000}"/>
    <cellStyle name="40% - Accent3 4 3 2 4 3 3 2" xfId="23783" xr:uid="{00000000-0005-0000-0000-00007B3F0000}"/>
    <cellStyle name="40% - Accent3 4 3 2 4 3 3 3" xfId="23784" xr:uid="{00000000-0005-0000-0000-00007C3F0000}"/>
    <cellStyle name="40% - Accent3 4 3 2 4 3 4" xfId="23785" xr:uid="{00000000-0005-0000-0000-00007D3F0000}"/>
    <cellStyle name="40% - Accent3 4 3 2 4 3 4 2" xfId="23786" xr:uid="{00000000-0005-0000-0000-00007E3F0000}"/>
    <cellStyle name="40% - Accent3 4 3 2 4 3 5" xfId="23787" xr:uid="{00000000-0005-0000-0000-00007F3F0000}"/>
    <cellStyle name="40% - Accent3 4 3 2 4 3 6" xfId="23788" xr:uid="{00000000-0005-0000-0000-0000803F0000}"/>
    <cellStyle name="40% - Accent3 4 3 2 4 4" xfId="23789" xr:uid="{00000000-0005-0000-0000-0000813F0000}"/>
    <cellStyle name="40% - Accent3 4 3 2 4 4 2" xfId="23790" xr:uid="{00000000-0005-0000-0000-0000823F0000}"/>
    <cellStyle name="40% - Accent3 4 3 2 4 4 2 2" xfId="23791" xr:uid="{00000000-0005-0000-0000-0000833F0000}"/>
    <cellStyle name="40% - Accent3 4 3 2 4 4 2 3" xfId="23792" xr:uid="{00000000-0005-0000-0000-0000843F0000}"/>
    <cellStyle name="40% - Accent3 4 3 2 4 4 3" xfId="23793" xr:uid="{00000000-0005-0000-0000-0000853F0000}"/>
    <cellStyle name="40% - Accent3 4 3 2 4 4 3 2" xfId="23794" xr:uid="{00000000-0005-0000-0000-0000863F0000}"/>
    <cellStyle name="40% - Accent3 4 3 2 4 4 4" xfId="23795" xr:uid="{00000000-0005-0000-0000-0000873F0000}"/>
    <cellStyle name="40% - Accent3 4 3 2 4 4 5" xfId="23796" xr:uid="{00000000-0005-0000-0000-0000883F0000}"/>
    <cellStyle name="40% - Accent3 4 3 2 4 5" xfId="23797" xr:uid="{00000000-0005-0000-0000-0000893F0000}"/>
    <cellStyle name="40% - Accent3 4 3 2 4 5 2" xfId="23798" xr:uid="{00000000-0005-0000-0000-00008A3F0000}"/>
    <cellStyle name="40% - Accent3 4 3 2 4 5 3" xfId="23799" xr:uid="{00000000-0005-0000-0000-00008B3F0000}"/>
    <cellStyle name="40% - Accent3 4 3 2 4 6" xfId="23800" xr:uid="{00000000-0005-0000-0000-00008C3F0000}"/>
    <cellStyle name="40% - Accent3 4 3 2 4 6 2" xfId="23801" xr:uid="{00000000-0005-0000-0000-00008D3F0000}"/>
    <cellStyle name="40% - Accent3 4 3 2 4 6 3" xfId="23802" xr:uid="{00000000-0005-0000-0000-00008E3F0000}"/>
    <cellStyle name="40% - Accent3 4 3 2 4 7" xfId="23803" xr:uid="{00000000-0005-0000-0000-00008F3F0000}"/>
    <cellStyle name="40% - Accent3 4 3 2 4 7 2" xfId="23804" xr:uid="{00000000-0005-0000-0000-0000903F0000}"/>
    <cellStyle name="40% - Accent3 4 3 2 4 8" xfId="23805" xr:uid="{00000000-0005-0000-0000-0000913F0000}"/>
    <cellStyle name="40% - Accent3 4 3 2 4 9" xfId="23806" xr:uid="{00000000-0005-0000-0000-0000923F0000}"/>
    <cellStyle name="40% - Accent3 4 3 2 5" xfId="23807" xr:uid="{00000000-0005-0000-0000-0000933F0000}"/>
    <cellStyle name="40% - Accent3 4 3 2 5 2" xfId="23808" xr:uid="{00000000-0005-0000-0000-0000943F0000}"/>
    <cellStyle name="40% - Accent3 4 3 2 5 2 2" xfId="23809" xr:uid="{00000000-0005-0000-0000-0000953F0000}"/>
    <cellStyle name="40% - Accent3 4 3 2 5 2 3" xfId="23810" xr:uid="{00000000-0005-0000-0000-0000963F0000}"/>
    <cellStyle name="40% - Accent3 4 3 2 5 3" xfId="23811" xr:uid="{00000000-0005-0000-0000-0000973F0000}"/>
    <cellStyle name="40% - Accent3 4 3 2 5 3 2" xfId="23812" xr:uid="{00000000-0005-0000-0000-0000983F0000}"/>
    <cellStyle name="40% - Accent3 4 3 2 5 3 3" xfId="23813" xr:uid="{00000000-0005-0000-0000-0000993F0000}"/>
    <cellStyle name="40% - Accent3 4 3 2 5 4" xfId="23814" xr:uid="{00000000-0005-0000-0000-00009A3F0000}"/>
    <cellStyle name="40% - Accent3 4 3 2 5 4 2" xfId="23815" xr:uid="{00000000-0005-0000-0000-00009B3F0000}"/>
    <cellStyle name="40% - Accent3 4 3 2 5 5" xfId="23816" xr:uid="{00000000-0005-0000-0000-00009C3F0000}"/>
    <cellStyle name="40% - Accent3 4 3 2 5 6" xfId="23817" xr:uid="{00000000-0005-0000-0000-00009D3F0000}"/>
    <cellStyle name="40% - Accent3 4 3 2 6" xfId="23818" xr:uid="{00000000-0005-0000-0000-00009E3F0000}"/>
    <cellStyle name="40% - Accent3 4 3 2 6 2" xfId="23819" xr:uid="{00000000-0005-0000-0000-00009F3F0000}"/>
    <cellStyle name="40% - Accent3 4 3 2 6 2 2" xfId="23820" xr:uid="{00000000-0005-0000-0000-0000A03F0000}"/>
    <cellStyle name="40% - Accent3 4 3 2 6 2 3" xfId="23821" xr:uid="{00000000-0005-0000-0000-0000A13F0000}"/>
    <cellStyle name="40% - Accent3 4 3 2 6 3" xfId="23822" xr:uid="{00000000-0005-0000-0000-0000A23F0000}"/>
    <cellStyle name="40% - Accent3 4 3 2 6 3 2" xfId="23823" xr:uid="{00000000-0005-0000-0000-0000A33F0000}"/>
    <cellStyle name="40% - Accent3 4 3 2 6 3 3" xfId="23824" xr:uid="{00000000-0005-0000-0000-0000A43F0000}"/>
    <cellStyle name="40% - Accent3 4 3 2 6 4" xfId="23825" xr:uid="{00000000-0005-0000-0000-0000A53F0000}"/>
    <cellStyle name="40% - Accent3 4 3 2 6 4 2" xfId="23826" xr:uid="{00000000-0005-0000-0000-0000A63F0000}"/>
    <cellStyle name="40% - Accent3 4 3 2 6 5" xfId="23827" xr:uid="{00000000-0005-0000-0000-0000A73F0000}"/>
    <cellStyle name="40% - Accent3 4 3 2 6 6" xfId="23828" xr:uid="{00000000-0005-0000-0000-0000A83F0000}"/>
    <cellStyle name="40% - Accent3 4 3 2 7" xfId="23829" xr:uid="{00000000-0005-0000-0000-0000A93F0000}"/>
    <cellStyle name="40% - Accent3 4 3 2 7 2" xfId="23830" xr:uid="{00000000-0005-0000-0000-0000AA3F0000}"/>
    <cellStyle name="40% - Accent3 4 3 2 7 2 2" xfId="23831" xr:uid="{00000000-0005-0000-0000-0000AB3F0000}"/>
    <cellStyle name="40% - Accent3 4 3 2 7 2 3" xfId="23832" xr:uid="{00000000-0005-0000-0000-0000AC3F0000}"/>
    <cellStyle name="40% - Accent3 4 3 2 7 3" xfId="23833" xr:uid="{00000000-0005-0000-0000-0000AD3F0000}"/>
    <cellStyle name="40% - Accent3 4 3 2 7 3 2" xfId="23834" xr:uid="{00000000-0005-0000-0000-0000AE3F0000}"/>
    <cellStyle name="40% - Accent3 4 3 2 7 4" xfId="23835" xr:uid="{00000000-0005-0000-0000-0000AF3F0000}"/>
    <cellStyle name="40% - Accent3 4 3 2 7 5" xfId="23836" xr:uid="{00000000-0005-0000-0000-0000B03F0000}"/>
    <cellStyle name="40% - Accent3 4 3 2 8" xfId="23837" xr:uid="{00000000-0005-0000-0000-0000B13F0000}"/>
    <cellStyle name="40% - Accent3 4 3 2 8 2" xfId="23838" xr:uid="{00000000-0005-0000-0000-0000B23F0000}"/>
    <cellStyle name="40% - Accent3 4 3 2 8 3" xfId="23839" xr:uid="{00000000-0005-0000-0000-0000B33F0000}"/>
    <cellStyle name="40% - Accent3 4 3 2 9" xfId="23840" xr:uid="{00000000-0005-0000-0000-0000B43F0000}"/>
    <cellStyle name="40% - Accent3 4 3 2 9 2" xfId="23841" xr:uid="{00000000-0005-0000-0000-0000B53F0000}"/>
    <cellStyle name="40% - Accent3 4 3 2 9 3" xfId="23842" xr:uid="{00000000-0005-0000-0000-0000B63F0000}"/>
    <cellStyle name="40% - Accent3 4 3 3" xfId="2018" xr:uid="{00000000-0005-0000-0000-0000B73F0000}"/>
    <cellStyle name="40% - Accent3 4 3 3 10" xfId="23843" xr:uid="{00000000-0005-0000-0000-0000B83F0000}"/>
    <cellStyle name="40% - Accent3 4 3 3 2" xfId="2019" xr:uid="{00000000-0005-0000-0000-0000B93F0000}"/>
    <cellStyle name="40% - Accent3 4 3 3 2 2" xfId="23844" xr:uid="{00000000-0005-0000-0000-0000BA3F0000}"/>
    <cellStyle name="40% - Accent3 4 3 3 2 2 2" xfId="23845" xr:uid="{00000000-0005-0000-0000-0000BB3F0000}"/>
    <cellStyle name="40% - Accent3 4 3 3 2 2 2 2" xfId="23846" xr:uid="{00000000-0005-0000-0000-0000BC3F0000}"/>
    <cellStyle name="40% - Accent3 4 3 3 2 2 2 3" xfId="23847" xr:uid="{00000000-0005-0000-0000-0000BD3F0000}"/>
    <cellStyle name="40% - Accent3 4 3 3 2 2 3" xfId="23848" xr:uid="{00000000-0005-0000-0000-0000BE3F0000}"/>
    <cellStyle name="40% - Accent3 4 3 3 2 2 3 2" xfId="23849" xr:uid="{00000000-0005-0000-0000-0000BF3F0000}"/>
    <cellStyle name="40% - Accent3 4 3 3 2 2 3 3" xfId="23850" xr:uid="{00000000-0005-0000-0000-0000C03F0000}"/>
    <cellStyle name="40% - Accent3 4 3 3 2 2 4" xfId="23851" xr:uid="{00000000-0005-0000-0000-0000C13F0000}"/>
    <cellStyle name="40% - Accent3 4 3 3 2 2 4 2" xfId="23852" xr:uid="{00000000-0005-0000-0000-0000C23F0000}"/>
    <cellStyle name="40% - Accent3 4 3 3 2 2 5" xfId="23853" xr:uid="{00000000-0005-0000-0000-0000C33F0000}"/>
    <cellStyle name="40% - Accent3 4 3 3 2 2 6" xfId="23854" xr:uid="{00000000-0005-0000-0000-0000C43F0000}"/>
    <cellStyle name="40% - Accent3 4 3 3 2 3" xfId="23855" xr:uid="{00000000-0005-0000-0000-0000C53F0000}"/>
    <cellStyle name="40% - Accent3 4 3 3 2 3 2" xfId="23856" xr:uid="{00000000-0005-0000-0000-0000C63F0000}"/>
    <cellStyle name="40% - Accent3 4 3 3 2 3 2 2" xfId="23857" xr:uid="{00000000-0005-0000-0000-0000C73F0000}"/>
    <cellStyle name="40% - Accent3 4 3 3 2 3 2 3" xfId="23858" xr:uid="{00000000-0005-0000-0000-0000C83F0000}"/>
    <cellStyle name="40% - Accent3 4 3 3 2 3 3" xfId="23859" xr:uid="{00000000-0005-0000-0000-0000C93F0000}"/>
    <cellStyle name="40% - Accent3 4 3 3 2 3 3 2" xfId="23860" xr:uid="{00000000-0005-0000-0000-0000CA3F0000}"/>
    <cellStyle name="40% - Accent3 4 3 3 2 3 3 3" xfId="23861" xr:uid="{00000000-0005-0000-0000-0000CB3F0000}"/>
    <cellStyle name="40% - Accent3 4 3 3 2 3 4" xfId="23862" xr:uid="{00000000-0005-0000-0000-0000CC3F0000}"/>
    <cellStyle name="40% - Accent3 4 3 3 2 3 4 2" xfId="23863" xr:uid="{00000000-0005-0000-0000-0000CD3F0000}"/>
    <cellStyle name="40% - Accent3 4 3 3 2 3 5" xfId="23864" xr:uid="{00000000-0005-0000-0000-0000CE3F0000}"/>
    <cellStyle name="40% - Accent3 4 3 3 2 3 6" xfId="23865" xr:uid="{00000000-0005-0000-0000-0000CF3F0000}"/>
    <cellStyle name="40% - Accent3 4 3 3 2 4" xfId="23866" xr:uid="{00000000-0005-0000-0000-0000D03F0000}"/>
    <cellStyle name="40% - Accent3 4 3 3 2 4 2" xfId="23867" xr:uid="{00000000-0005-0000-0000-0000D13F0000}"/>
    <cellStyle name="40% - Accent3 4 3 3 2 4 2 2" xfId="23868" xr:uid="{00000000-0005-0000-0000-0000D23F0000}"/>
    <cellStyle name="40% - Accent3 4 3 3 2 4 2 3" xfId="23869" xr:uid="{00000000-0005-0000-0000-0000D33F0000}"/>
    <cellStyle name="40% - Accent3 4 3 3 2 4 3" xfId="23870" xr:uid="{00000000-0005-0000-0000-0000D43F0000}"/>
    <cellStyle name="40% - Accent3 4 3 3 2 4 3 2" xfId="23871" xr:uid="{00000000-0005-0000-0000-0000D53F0000}"/>
    <cellStyle name="40% - Accent3 4 3 3 2 4 4" xfId="23872" xr:uid="{00000000-0005-0000-0000-0000D63F0000}"/>
    <cellStyle name="40% - Accent3 4 3 3 2 4 5" xfId="23873" xr:uid="{00000000-0005-0000-0000-0000D73F0000}"/>
    <cellStyle name="40% - Accent3 4 3 3 2 5" xfId="23874" xr:uid="{00000000-0005-0000-0000-0000D83F0000}"/>
    <cellStyle name="40% - Accent3 4 3 3 2 5 2" xfId="23875" xr:uid="{00000000-0005-0000-0000-0000D93F0000}"/>
    <cellStyle name="40% - Accent3 4 3 3 2 5 3" xfId="23876" xr:uid="{00000000-0005-0000-0000-0000DA3F0000}"/>
    <cellStyle name="40% - Accent3 4 3 3 2 6" xfId="23877" xr:uid="{00000000-0005-0000-0000-0000DB3F0000}"/>
    <cellStyle name="40% - Accent3 4 3 3 2 6 2" xfId="23878" xr:uid="{00000000-0005-0000-0000-0000DC3F0000}"/>
    <cellStyle name="40% - Accent3 4 3 3 2 6 3" xfId="23879" xr:uid="{00000000-0005-0000-0000-0000DD3F0000}"/>
    <cellStyle name="40% - Accent3 4 3 3 2 7" xfId="23880" xr:uid="{00000000-0005-0000-0000-0000DE3F0000}"/>
    <cellStyle name="40% - Accent3 4 3 3 2 7 2" xfId="23881" xr:uid="{00000000-0005-0000-0000-0000DF3F0000}"/>
    <cellStyle name="40% - Accent3 4 3 3 2 8" xfId="23882" xr:uid="{00000000-0005-0000-0000-0000E03F0000}"/>
    <cellStyle name="40% - Accent3 4 3 3 2 9" xfId="23883" xr:uid="{00000000-0005-0000-0000-0000E13F0000}"/>
    <cellStyle name="40% - Accent3 4 3 3 3" xfId="23884" xr:uid="{00000000-0005-0000-0000-0000E23F0000}"/>
    <cellStyle name="40% - Accent3 4 3 3 3 2" xfId="23885" xr:uid="{00000000-0005-0000-0000-0000E33F0000}"/>
    <cellStyle name="40% - Accent3 4 3 3 3 2 2" xfId="23886" xr:uid="{00000000-0005-0000-0000-0000E43F0000}"/>
    <cellStyle name="40% - Accent3 4 3 3 3 2 3" xfId="23887" xr:uid="{00000000-0005-0000-0000-0000E53F0000}"/>
    <cellStyle name="40% - Accent3 4 3 3 3 3" xfId="23888" xr:uid="{00000000-0005-0000-0000-0000E63F0000}"/>
    <cellStyle name="40% - Accent3 4 3 3 3 3 2" xfId="23889" xr:uid="{00000000-0005-0000-0000-0000E73F0000}"/>
    <cellStyle name="40% - Accent3 4 3 3 3 3 3" xfId="23890" xr:uid="{00000000-0005-0000-0000-0000E83F0000}"/>
    <cellStyle name="40% - Accent3 4 3 3 3 4" xfId="23891" xr:uid="{00000000-0005-0000-0000-0000E93F0000}"/>
    <cellStyle name="40% - Accent3 4 3 3 3 4 2" xfId="23892" xr:uid="{00000000-0005-0000-0000-0000EA3F0000}"/>
    <cellStyle name="40% - Accent3 4 3 3 3 5" xfId="23893" xr:uid="{00000000-0005-0000-0000-0000EB3F0000}"/>
    <cellStyle name="40% - Accent3 4 3 3 3 6" xfId="23894" xr:uid="{00000000-0005-0000-0000-0000EC3F0000}"/>
    <cellStyle name="40% - Accent3 4 3 3 4" xfId="23895" xr:uid="{00000000-0005-0000-0000-0000ED3F0000}"/>
    <cellStyle name="40% - Accent3 4 3 3 4 2" xfId="23896" xr:uid="{00000000-0005-0000-0000-0000EE3F0000}"/>
    <cellStyle name="40% - Accent3 4 3 3 4 2 2" xfId="23897" xr:uid="{00000000-0005-0000-0000-0000EF3F0000}"/>
    <cellStyle name="40% - Accent3 4 3 3 4 2 3" xfId="23898" xr:uid="{00000000-0005-0000-0000-0000F03F0000}"/>
    <cellStyle name="40% - Accent3 4 3 3 4 3" xfId="23899" xr:uid="{00000000-0005-0000-0000-0000F13F0000}"/>
    <cellStyle name="40% - Accent3 4 3 3 4 3 2" xfId="23900" xr:uid="{00000000-0005-0000-0000-0000F23F0000}"/>
    <cellStyle name="40% - Accent3 4 3 3 4 3 3" xfId="23901" xr:uid="{00000000-0005-0000-0000-0000F33F0000}"/>
    <cellStyle name="40% - Accent3 4 3 3 4 4" xfId="23902" xr:uid="{00000000-0005-0000-0000-0000F43F0000}"/>
    <cellStyle name="40% - Accent3 4 3 3 4 4 2" xfId="23903" xr:uid="{00000000-0005-0000-0000-0000F53F0000}"/>
    <cellStyle name="40% - Accent3 4 3 3 4 5" xfId="23904" xr:uid="{00000000-0005-0000-0000-0000F63F0000}"/>
    <cellStyle name="40% - Accent3 4 3 3 4 6" xfId="23905" xr:uid="{00000000-0005-0000-0000-0000F73F0000}"/>
    <cellStyle name="40% - Accent3 4 3 3 5" xfId="23906" xr:uid="{00000000-0005-0000-0000-0000F83F0000}"/>
    <cellStyle name="40% - Accent3 4 3 3 5 2" xfId="23907" xr:uid="{00000000-0005-0000-0000-0000F93F0000}"/>
    <cellStyle name="40% - Accent3 4 3 3 5 2 2" xfId="23908" xr:uid="{00000000-0005-0000-0000-0000FA3F0000}"/>
    <cellStyle name="40% - Accent3 4 3 3 5 2 3" xfId="23909" xr:uid="{00000000-0005-0000-0000-0000FB3F0000}"/>
    <cellStyle name="40% - Accent3 4 3 3 5 3" xfId="23910" xr:uid="{00000000-0005-0000-0000-0000FC3F0000}"/>
    <cellStyle name="40% - Accent3 4 3 3 5 3 2" xfId="23911" xr:uid="{00000000-0005-0000-0000-0000FD3F0000}"/>
    <cellStyle name="40% - Accent3 4 3 3 5 4" xfId="23912" xr:uid="{00000000-0005-0000-0000-0000FE3F0000}"/>
    <cellStyle name="40% - Accent3 4 3 3 5 5" xfId="23913" xr:uid="{00000000-0005-0000-0000-0000FF3F0000}"/>
    <cellStyle name="40% - Accent3 4 3 3 6" xfId="23914" xr:uid="{00000000-0005-0000-0000-000000400000}"/>
    <cellStyle name="40% - Accent3 4 3 3 6 2" xfId="23915" xr:uid="{00000000-0005-0000-0000-000001400000}"/>
    <cellStyle name="40% - Accent3 4 3 3 6 3" xfId="23916" xr:uid="{00000000-0005-0000-0000-000002400000}"/>
    <cellStyle name="40% - Accent3 4 3 3 7" xfId="23917" xr:uid="{00000000-0005-0000-0000-000003400000}"/>
    <cellStyle name="40% - Accent3 4 3 3 7 2" xfId="23918" xr:uid="{00000000-0005-0000-0000-000004400000}"/>
    <cellStyle name="40% - Accent3 4 3 3 7 3" xfId="23919" xr:uid="{00000000-0005-0000-0000-000005400000}"/>
    <cellStyle name="40% - Accent3 4 3 3 8" xfId="23920" xr:uid="{00000000-0005-0000-0000-000006400000}"/>
    <cellStyle name="40% - Accent3 4 3 3 8 2" xfId="23921" xr:uid="{00000000-0005-0000-0000-000007400000}"/>
    <cellStyle name="40% - Accent3 4 3 3 9" xfId="23922" xr:uid="{00000000-0005-0000-0000-000008400000}"/>
    <cellStyle name="40% - Accent3 4 3 4" xfId="2020" xr:uid="{00000000-0005-0000-0000-000009400000}"/>
    <cellStyle name="40% - Accent3 4 3 4 2" xfId="23923" xr:uid="{00000000-0005-0000-0000-00000A400000}"/>
    <cellStyle name="40% - Accent3 4 3 4 2 2" xfId="23924" xr:uid="{00000000-0005-0000-0000-00000B400000}"/>
    <cellStyle name="40% - Accent3 4 3 4 2 2 2" xfId="23925" xr:uid="{00000000-0005-0000-0000-00000C400000}"/>
    <cellStyle name="40% - Accent3 4 3 4 2 2 3" xfId="23926" xr:uid="{00000000-0005-0000-0000-00000D400000}"/>
    <cellStyle name="40% - Accent3 4 3 4 2 3" xfId="23927" xr:uid="{00000000-0005-0000-0000-00000E400000}"/>
    <cellStyle name="40% - Accent3 4 3 4 2 3 2" xfId="23928" xr:uid="{00000000-0005-0000-0000-00000F400000}"/>
    <cellStyle name="40% - Accent3 4 3 4 2 3 3" xfId="23929" xr:uid="{00000000-0005-0000-0000-000010400000}"/>
    <cellStyle name="40% - Accent3 4 3 4 2 4" xfId="23930" xr:uid="{00000000-0005-0000-0000-000011400000}"/>
    <cellStyle name="40% - Accent3 4 3 4 2 4 2" xfId="23931" xr:uid="{00000000-0005-0000-0000-000012400000}"/>
    <cellStyle name="40% - Accent3 4 3 4 2 5" xfId="23932" xr:uid="{00000000-0005-0000-0000-000013400000}"/>
    <cellStyle name="40% - Accent3 4 3 4 2 6" xfId="23933" xr:uid="{00000000-0005-0000-0000-000014400000}"/>
    <cellStyle name="40% - Accent3 4 3 4 3" xfId="23934" xr:uid="{00000000-0005-0000-0000-000015400000}"/>
    <cellStyle name="40% - Accent3 4 3 4 3 2" xfId="23935" xr:uid="{00000000-0005-0000-0000-000016400000}"/>
    <cellStyle name="40% - Accent3 4 3 4 3 2 2" xfId="23936" xr:uid="{00000000-0005-0000-0000-000017400000}"/>
    <cellStyle name="40% - Accent3 4 3 4 3 2 3" xfId="23937" xr:uid="{00000000-0005-0000-0000-000018400000}"/>
    <cellStyle name="40% - Accent3 4 3 4 3 3" xfId="23938" xr:uid="{00000000-0005-0000-0000-000019400000}"/>
    <cellStyle name="40% - Accent3 4 3 4 3 3 2" xfId="23939" xr:uid="{00000000-0005-0000-0000-00001A400000}"/>
    <cellStyle name="40% - Accent3 4 3 4 3 3 3" xfId="23940" xr:uid="{00000000-0005-0000-0000-00001B400000}"/>
    <cellStyle name="40% - Accent3 4 3 4 3 4" xfId="23941" xr:uid="{00000000-0005-0000-0000-00001C400000}"/>
    <cellStyle name="40% - Accent3 4 3 4 3 4 2" xfId="23942" xr:uid="{00000000-0005-0000-0000-00001D400000}"/>
    <cellStyle name="40% - Accent3 4 3 4 3 5" xfId="23943" xr:uid="{00000000-0005-0000-0000-00001E400000}"/>
    <cellStyle name="40% - Accent3 4 3 4 3 6" xfId="23944" xr:uid="{00000000-0005-0000-0000-00001F400000}"/>
    <cellStyle name="40% - Accent3 4 3 4 4" xfId="23945" xr:uid="{00000000-0005-0000-0000-000020400000}"/>
    <cellStyle name="40% - Accent3 4 3 4 4 2" xfId="23946" xr:uid="{00000000-0005-0000-0000-000021400000}"/>
    <cellStyle name="40% - Accent3 4 3 4 4 2 2" xfId="23947" xr:uid="{00000000-0005-0000-0000-000022400000}"/>
    <cellStyle name="40% - Accent3 4 3 4 4 2 3" xfId="23948" xr:uid="{00000000-0005-0000-0000-000023400000}"/>
    <cellStyle name="40% - Accent3 4 3 4 4 3" xfId="23949" xr:uid="{00000000-0005-0000-0000-000024400000}"/>
    <cellStyle name="40% - Accent3 4 3 4 4 3 2" xfId="23950" xr:uid="{00000000-0005-0000-0000-000025400000}"/>
    <cellStyle name="40% - Accent3 4 3 4 4 4" xfId="23951" xr:uid="{00000000-0005-0000-0000-000026400000}"/>
    <cellStyle name="40% - Accent3 4 3 4 4 5" xfId="23952" xr:uid="{00000000-0005-0000-0000-000027400000}"/>
    <cellStyle name="40% - Accent3 4 3 4 5" xfId="23953" xr:uid="{00000000-0005-0000-0000-000028400000}"/>
    <cellStyle name="40% - Accent3 4 3 4 5 2" xfId="23954" xr:uid="{00000000-0005-0000-0000-000029400000}"/>
    <cellStyle name="40% - Accent3 4 3 4 5 3" xfId="23955" xr:uid="{00000000-0005-0000-0000-00002A400000}"/>
    <cellStyle name="40% - Accent3 4 3 4 6" xfId="23956" xr:uid="{00000000-0005-0000-0000-00002B400000}"/>
    <cellStyle name="40% - Accent3 4 3 4 6 2" xfId="23957" xr:uid="{00000000-0005-0000-0000-00002C400000}"/>
    <cellStyle name="40% - Accent3 4 3 4 6 3" xfId="23958" xr:uid="{00000000-0005-0000-0000-00002D400000}"/>
    <cellStyle name="40% - Accent3 4 3 4 7" xfId="23959" xr:uid="{00000000-0005-0000-0000-00002E400000}"/>
    <cellStyle name="40% - Accent3 4 3 4 7 2" xfId="23960" xr:uid="{00000000-0005-0000-0000-00002F400000}"/>
    <cellStyle name="40% - Accent3 4 3 4 8" xfId="23961" xr:uid="{00000000-0005-0000-0000-000030400000}"/>
    <cellStyle name="40% - Accent3 4 3 4 9" xfId="23962" xr:uid="{00000000-0005-0000-0000-000031400000}"/>
    <cellStyle name="40% - Accent3 4 3 5" xfId="23963" xr:uid="{00000000-0005-0000-0000-000032400000}"/>
    <cellStyle name="40% - Accent3 4 3 5 2" xfId="23964" xr:uid="{00000000-0005-0000-0000-000033400000}"/>
    <cellStyle name="40% - Accent3 4 3 5 2 2" xfId="23965" xr:uid="{00000000-0005-0000-0000-000034400000}"/>
    <cellStyle name="40% - Accent3 4 3 5 2 2 2" xfId="23966" xr:uid="{00000000-0005-0000-0000-000035400000}"/>
    <cellStyle name="40% - Accent3 4 3 5 2 2 3" xfId="23967" xr:uid="{00000000-0005-0000-0000-000036400000}"/>
    <cellStyle name="40% - Accent3 4 3 5 2 3" xfId="23968" xr:uid="{00000000-0005-0000-0000-000037400000}"/>
    <cellStyle name="40% - Accent3 4 3 5 2 3 2" xfId="23969" xr:uid="{00000000-0005-0000-0000-000038400000}"/>
    <cellStyle name="40% - Accent3 4 3 5 2 3 3" xfId="23970" xr:uid="{00000000-0005-0000-0000-000039400000}"/>
    <cellStyle name="40% - Accent3 4 3 5 2 4" xfId="23971" xr:uid="{00000000-0005-0000-0000-00003A400000}"/>
    <cellStyle name="40% - Accent3 4 3 5 2 4 2" xfId="23972" xr:uid="{00000000-0005-0000-0000-00003B400000}"/>
    <cellStyle name="40% - Accent3 4 3 5 2 5" xfId="23973" xr:uid="{00000000-0005-0000-0000-00003C400000}"/>
    <cellStyle name="40% - Accent3 4 3 5 2 6" xfId="23974" xr:uid="{00000000-0005-0000-0000-00003D400000}"/>
    <cellStyle name="40% - Accent3 4 3 5 3" xfId="23975" xr:uid="{00000000-0005-0000-0000-00003E400000}"/>
    <cellStyle name="40% - Accent3 4 3 5 3 2" xfId="23976" xr:uid="{00000000-0005-0000-0000-00003F400000}"/>
    <cellStyle name="40% - Accent3 4 3 5 3 2 2" xfId="23977" xr:uid="{00000000-0005-0000-0000-000040400000}"/>
    <cellStyle name="40% - Accent3 4 3 5 3 2 3" xfId="23978" xr:uid="{00000000-0005-0000-0000-000041400000}"/>
    <cellStyle name="40% - Accent3 4 3 5 3 3" xfId="23979" xr:uid="{00000000-0005-0000-0000-000042400000}"/>
    <cellStyle name="40% - Accent3 4 3 5 3 3 2" xfId="23980" xr:uid="{00000000-0005-0000-0000-000043400000}"/>
    <cellStyle name="40% - Accent3 4 3 5 3 3 3" xfId="23981" xr:uid="{00000000-0005-0000-0000-000044400000}"/>
    <cellStyle name="40% - Accent3 4 3 5 3 4" xfId="23982" xr:uid="{00000000-0005-0000-0000-000045400000}"/>
    <cellStyle name="40% - Accent3 4 3 5 3 4 2" xfId="23983" xr:uid="{00000000-0005-0000-0000-000046400000}"/>
    <cellStyle name="40% - Accent3 4 3 5 3 5" xfId="23984" xr:uid="{00000000-0005-0000-0000-000047400000}"/>
    <cellStyle name="40% - Accent3 4 3 5 3 6" xfId="23985" xr:uid="{00000000-0005-0000-0000-000048400000}"/>
    <cellStyle name="40% - Accent3 4 3 5 4" xfId="23986" xr:uid="{00000000-0005-0000-0000-000049400000}"/>
    <cellStyle name="40% - Accent3 4 3 5 4 2" xfId="23987" xr:uid="{00000000-0005-0000-0000-00004A400000}"/>
    <cellStyle name="40% - Accent3 4 3 5 4 2 2" xfId="23988" xr:uid="{00000000-0005-0000-0000-00004B400000}"/>
    <cellStyle name="40% - Accent3 4 3 5 4 2 3" xfId="23989" xr:uid="{00000000-0005-0000-0000-00004C400000}"/>
    <cellStyle name="40% - Accent3 4 3 5 4 3" xfId="23990" xr:uid="{00000000-0005-0000-0000-00004D400000}"/>
    <cellStyle name="40% - Accent3 4 3 5 4 3 2" xfId="23991" xr:uid="{00000000-0005-0000-0000-00004E400000}"/>
    <cellStyle name="40% - Accent3 4 3 5 4 4" xfId="23992" xr:uid="{00000000-0005-0000-0000-00004F400000}"/>
    <cellStyle name="40% - Accent3 4 3 5 4 5" xfId="23993" xr:uid="{00000000-0005-0000-0000-000050400000}"/>
    <cellStyle name="40% - Accent3 4 3 5 5" xfId="23994" xr:uid="{00000000-0005-0000-0000-000051400000}"/>
    <cellStyle name="40% - Accent3 4 3 5 5 2" xfId="23995" xr:uid="{00000000-0005-0000-0000-000052400000}"/>
    <cellStyle name="40% - Accent3 4 3 5 5 3" xfId="23996" xr:uid="{00000000-0005-0000-0000-000053400000}"/>
    <cellStyle name="40% - Accent3 4 3 5 6" xfId="23997" xr:uid="{00000000-0005-0000-0000-000054400000}"/>
    <cellStyle name="40% - Accent3 4 3 5 6 2" xfId="23998" xr:uid="{00000000-0005-0000-0000-000055400000}"/>
    <cellStyle name="40% - Accent3 4 3 5 6 3" xfId="23999" xr:uid="{00000000-0005-0000-0000-000056400000}"/>
    <cellStyle name="40% - Accent3 4 3 5 7" xfId="24000" xr:uid="{00000000-0005-0000-0000-000057400000}"/>
    <cellStyle name="40% - Accent3 4 3 5 7 2" xfId="24001" xr:uid="{00000000-0005-0000-0000-000058400000}"/>
    <cellStyle name="40% - Accent3 4 3 5 8" xfId="24002" xr:uid="{00000000-0005-0000-0000-000059400000}"/>
    <cellStyle name="40% - Accent3 4 3 5 9" xfId="24003" xr:uid="{00000000-0005-0000-0000-00005A400000}"/>
    <cellStyle name="40% - Accent3 4 3 6" xfId="24004" xr:uid="{00000000-0005-0000-0000-00005B400000}"/>
    <cellStyle name="40% - Accent3 4 3 6 2" xfId="24005" xr:uid="{00000000-0005-0000-0000-00005C400000}"/>
    <cellStyle name="40% - Accent3 4 3 6 2 2" xfId="24006" xr:uid="{00000000-0005-0000-0000-00005D400000}"/>
    <cellStyle name="40% - Accent3 4 3 6 2 3" xfId="24007" xr:uid="{00000000-0005-0000-0000-00005E400000}"/>
    <cellStyle name="40% - Accent3 4 3 6 3" xfId="24008" xr:uid="{00000000-0005-0000-0000-00005F400000}"/>
    <cellStyle name="40% - Accent3 4 3 6 3 2" xfId="24009" xr:uid="{00000000-0005-0000-0000-000060400000}"/>
    <cellStyle name="40% - Accent3 4 3 6 3 3" xfId="24010" xr:uid="{00000000-0005-0000-0000-000061400000}"/>
    <cellStyle name="40% - Accent3 4 3 6 4" xfId="24011" xr:uid="{00000000-0005-0000-0000-000062400000}"/>
    <cellStyle name="40% - Accent3 4 3 6 4 2" xfId="24012" xr:uid="{00000000-0005-0000-0000-000063400000}"/>
    <cellStyle name="40% - Accent3 4 3 6 5" xfId="24013" xr:uid="{00000000-0005-0000-0000-000064400000}"/>
    <cellStyle name="40% - Accent3 4 3 6 6" xfId="24014" xr:uid="{00000000-0005-0000-0000-000065400000}"/>
    <cellStyle name="40% - Accent3 4 3 7" xfId="24015" xr:uid="{00000000-0005-0000-0000-000066400000}"/>
    <cellStyle name="40% - Accent3 4 3 7 2" xfId="24016" xr:uid="{00000000-0005-0000-0000-000067400000}"/>
    <cellStyle name="40% - Accent3 4 3 7 2 2" xfId="24017" xr:uid="{00000000-0005-0000-0000-000068400000}"/>
    <cellStyle name="40% - Accent3 4 3 7 2 3" xfId="24018" xr:uid="{00000000-0005-0000-0000-000069400000}"/>
    <cellStyle name="40% - Accent3 4 3 7 3" xfId="24019" xr:uid="{00000000-0005-0000-0000-00006A400000}"/>
    <cellStyle name="40% - Accent3 4 3 7 3 2" xfId="24020" xr:uid="{00000000-0005-0000-0000-00006B400000}"/>
    <cellStyle name="40% - Accent3 4 3 7 3 3" xfId="24021" xr:uid="{00000000-0005-0000-0000-00006C400000}"/>
    <cellStyle name="40% - Accent3 4 3 7 4" xfId="24022" xr:uid="{00000000-0005-0000-0000-00006D400000}"/>
    <cellStyle name="40% - Accent3 4 3 7 4 2" xfId="24023" xr:uid="{00000000-0005-0000-0000-00006E400000}"/>
    <cellStyle name="40% - Accent3 4 3 7 5" xfId="24024" xr:uid="{00000000-0005-0000-0000-00006F400000}"/>
    <cellStyle name="40% - Accent3 4 3 7 6" xfId="24025" xr:uid="{00000000-0005-0000-0000-000070400000}"/>
    <cellStyle name="40% - Accent3 4 3 8" xfId="24026" xr:uid="{00000000-0005-0000-0000-000071400000}"/>
    <cellStyle name="40% - Accent3 4 3 8 2" xfId="24027" xr:uid="{00000000-0005-0000-0000-000072400000}"/>
    <cellStyle name="40% - Accent3 4 3 8 2 2" xfId="24028" xr:uid="{00000000-0005-0000-0000-000073400000}"/>
    <cellStyle name="40% - Accent3 4 3 8 2 3" xfId="24029" xr:uid="{00000000-0005-0000-0000-000074400000}"/>
    <cellStyle name="40% - Accent3 4 3 8 3" xfId="24030" xr:uid="{00000000-0005-0000-0000-000075400000}"/>
    <cellStyle name="40% - Accent3 4 3 8 3 2" xfId="24031" xr:uid="{00000000-0005-0000-0000-000076400000}"/>
    <cellStyle name="40% - Accent3 4 3 8 4" xfId="24032" xr:uid="{00000000-0005-0000-0000-000077400000}"/>
    <cellStyle name="40% - Accent3 4 3 8 5" xfId="24033" xr:uid="{00000000-0005-0000-0000-000078400000}"/>
    <cellStyle name="40% - Accent3 4 3 9" xfId="24034" xr:uid="{00000000-0005-0000-0000-000079400000}"/>
    <cellStyle name="40% - Accent3 4 3 9 2" xfId="24035" xr:uid="{00000000-0005-0000-0000-00007A400000}"/>
    <cellStyle name="40% - Accent3 4 3 9 3" xfId="24036" xr:uid="{00000000-0005-0000-0000-00007B400000}"/>
    <cellStyle name="40% - Accent3 4 4" xfId="2021" xr:uid="{00000000-0005-0000-0000-00007C400000}"/>
    <cellStyle name="40% - Accent3 4 4 10" xfId="24037" xr:uid="{00000000-0005-0000-0000-00007D400000}"/>
    <cellStyle name="40% - Accent3 4 4 10 2" xfId="24038" xr:uid="{00000000-0005-0000-0000-00007E400000}"/>
    <cellStyle name="40% - Accent3 4 4 11" xfId="24039" xr:uid="{00000000-0005-0000-0000-00007F400000}"/>
    <cellStyle name="40% - Accent3 4 4 12" xfId="24040" xr:uid="{00000000-0005-0000-0000-000080400000}"/>
    <cellStyle name="40% - Accent3 4 4 2" xfId="2022" xr:uid="{00000000-0005-0000-0000-000081400000}"/>
    <cellStyle name="40% - Accent3 4 4 2 10" xfId="24041" xr:uid="{00000000-0005-0000-0000-000082400000}"/>
    <cellStyle name="40% - Accent3 4 4 2 2" xfId="2023" xr:uid="{00000000-0005-0000-0000-000083400000}"/>
    <cellStyle name="40% - Accent3 4 4 2 2 2" xfId="24042" xr:uid="{00000000-0005-0000-0000-000084400000}"/>
    <cellStyle name="40% - Accent3 4 4 2 2 2 2" xfId="24043" xr:uid="{00000000-0005-0000-0000-000085400000}"/>
    <cellStyle name="40% - Accent3 4 4 2 2 2 2 2" xfId="24044" xr:uid="{00000000-0005-0000-0000-000086400000}"/>
    <cellStyle name="40% - Accent3 4 4 2 2 2 2 3" xfId="24045" xr:uid="{00000000-0005-0000-0000-000087400000}"/>
    <cellStyle name="40% - Accent3 4 4 2 2 2 3" xfId="24046" xr:uid="{00000000-0005-0000-0000-000088400000}"/>
    <cellStyle name="40% - Accent3 4 4 2 2 2 3 2" xfId="24047" xr:uid="{00000000-0005-0000-0000-000089400000}"/>
    <cellStyle name="40% - Accent3 4 4 2 2 2 3 3" xfId="24048" xr:uid="{00000000-0005-0000-0000-00008A400000}"/>
    <cellStyle name="40% - Accent3 4 4 2 2 2 4" xfId="24049" xr:uid="{00000000-0005-0000-0000-00008B400000}"/>
    <cellStyle name="40% - Accent3 4 4 2 2 2 4 2" xfId="24050" xr:uid="{00000000-0005-0000-0000-00008C400000}"/>
    <cellStyle name="40% - Accent3 4 4 2 2 2 5" xfId="24051" xr:uid="{00000000-0005-0000-0000-00008D400000}"/>
    <cellStyle name="40% - Accent3 4 4 2 2 2 6" xfId="24052" xr:uid="{00000000-0005-0000-0000-00008E400000}"/>
    <cellStyle name="40% - Accent3 4 4 2 2 3" xfId="24053" xr:uid="{00000000-0005-0000-0000-00008F400000}"/>
    <cellStyle name="40% - Accent3 4 4 2 2 3 2" xfId="24054" xr:uid="{00000000-0005-0000-0000-000090400000}"/>
    <cellStyle name="40% - Accent3 4 4 2 2 3 2 2" xfId="24055" xr:uid="{00000000-0005-0000-0000-000091400000}"/>
    <cellStyle name="40% - Accent3 4 4 2 2 3 2 3" xfId="24056" xr:uid="{00000000-0005-0000-0000-000092400000}"/>
    <cellStyle name="40% - Accent3 4 4 2 2 3 3" xfId="24057" xr:uid="{00000000-0005-0000-0000-000093400000}"/>
    <cellStyle name="40% - Accent3 4 4 2 2 3 3 2" xfId="24058" xr:uid="{00000000-0005-0000-0000-000094400000}"/>
    <cellStyle name="40% - Accent3 4 4 2 2 3 3 3" xfId="24059" xr:uid="{00000000-0005-0000-0000-000095400000}"/>
    <cellStyle name="40% - Accent3 4 4 2 2 3 4" xfId="24060" xr:uid="{00000000-0005-0000-0000-000096400000}"/>
    <cellStyle name="40% - Accent3 4 4 2 2 3 4 2" xfId="24061" xr:uid="{00000000-0005-0000-0000-000097400000}"/>
    <cellStyle name="40% - Accent3 4 4 2 2 3 5" xfId="24062" xr:uid="{00000000-0005-0000-0000-000098400000}"/>
    <cellStyle name="40% - Accent3 4 4 2 2 3 6" xfId="24063" xr:uid="{00000000-0005-0000-0000-000099400000}"/>
    <cellStyle name="40% - Accent3 4 4 2 2 4" xfId="24064" xr:uid="{00000000-0005-0000-0000-00009A400000}"/>
    <cellStyle name="40% - Accent3 4 4 2 2 4 2" xfId="24065" xr:uid="{00000000-0005-0000-0000-00009B400000}"/>
    <cellStyle name="40% - Accent3 4 4 2 2 4 2 2" xfId="24066" xr:uid="{00000000-0005-0000-0000-00009C400000}"/>
    <cellStyle name="40% - Accent3 4 4 2 2 4 2 3" xfId="24067" xr:uid="{00000000-0005-0000-0000-00009D400000}"/>
    <cellStyle name="40% - Accent3 4 4 2 2 4 3" xfId="24068" xr:uid="{00000000-0005-0000-0000-00009E400000}"/>
    <cellStyle name="40% - Accent3 4 4 2 2 4 3 2" xfId="24069" xr:uid="{00000000-0005-0000-0000-00009F400000}"/>
    <cellStyle name="40% - Accent3 4 4 2 2 4 4" xfId="24070" xr:uid="{00000000-0005-0000-0000-0000A0400000}"/>
    <cellStyle name="40% - Accent3 4 4 2 2 4 5" xfId="24071" xr:uid="{00000000-0005-0000-0000-0000A1400000}"/>
    <cellStyle name="40% - Accent3 4 4 2 2 5" xfId="24072" xr:uid="{00000000-0005-0000-0000-0000A2400000}"/>
    <cellStyle name="40% - Accent3 4 4 2 2 5 2" xfId="24073" xr:uid="{00000000-0005-0000-0000-0000A3400000}"/>
    <cellStyle name="40% - Accent3 4 4 2 2 5 3" xfId="24074" xr:uid="{00000000-0005-0000-0000-0000A4400000}"/>
    <cellStyle name="40% - Accent3 4 4 2 2 6" xfId="24075" xr:uid="{00000000-0005-0000-0000-0000A5400000}"/>
    <cellStyle name="40% - Accent3 4 4 2 2 6 2" xfId="24076" xr:uid="{00000000-0005-0000-0000-0000A6400000}"/>
    <cellStyle name="40% - Accent3 4 4 2 2 6 3" xfId="24077" xr:uid="{00000000-0005-0000-0000-0000A7400000}"/>
    <cellStyle name="40% - Accent3 4 4 2 2 7" xfId="24078" xr:uid="{00000000-0005-0000-0000-0000A8400000}"/>
    <cellStyle name="40% - Accent3 4 4 2 2 7 2" xfId="24079" xr:uid="{00000000-0005-0000-0000-0000A9400000}"/>
    <cellStyle name="40% - Accent3 4 4 2 2 8" xfId="24080" xr:uid="{00000000-0005-0000-0000-0000AA400000}"/>
    <cellStyle name="40% - Accent3 4 4 2 2 9" xfId="24081" xr:uid="{00000000-0005-0000-0000-0000AB400000}"/>
    <cellStyle name="40% - Accent3 4 4 2 3" xfId="24082" xr:uid="{00000000-0005-0000-0000-0000AC400000}"/>
    <cellStyle name="40% - Accent3 4 4 2 3 2" xfId="24083" xr:uid="{00000000-0005-0000-0000-0000AD400000}"/>
    <cellStyle name="40% - Accent3 4 4 2 3 2 2" xfId="24084" xr:uid="{00000000-0005-0000-0000-0000AE400000}"/>
    <cellStyle name="40% - Accent3 4 4 2 3 2 3" xfId="24085" xr:uid="{00000000-0005-0000-0000-0000AF400000}"/>
    <cellStyle name="40% - Accent3 4 4 2 3 3" xfId="24086" xr:uid="{00000000-0005-0000-0000-0000B0400000}"/>
    <cellStyle name="40% - Accent3 4 4 2 3 3 2" xfId="24087" xr:uid="{00000000-0005-0000-0000-0000B1400000}"/>
    <cellStyle name="40% - Accent3 4 4 2 3 3 3" xfId="24088" xr:uid="{00000000-0005-0000-0000-0000B2400000}"/>
    <cellStyle name="40% - Accent3 4 4 2 3 4" xfId="24089" xr:uid="{00000000-0005-0000-0000-0000B3400000}"/>
    <cellStyle name="40% - Accent3 4 4 2 3 4 2" xfId="24090" xr:uid="{00000000-0005-0000-0000-0000B4400000}"/>
    <cellStyle name="40% - Accent3 4 4 2 3 5" xfId="24091" xr:uid="{00000000-0005-0000-0000-0000B5400000}"/>
    <cellStyle name="40% - Accent3 4 4 2 3 6" xfId="24092" xr:uid="{00000000-0005-0000-0000-0000B6400000}"/>
    <cellStyle name="40% - Accent3 4 4 2 4" xfId="24093" xr:uid="{00000000-0005-0000-0000-0000B7400000}"/>
    <cellStyle name="40% - Accent3 4 4 2 4 2" xfId="24094" xr:uid="{00000000-0005-0000-0000-0000B8400000}"/>
    <cellStyle name="40% - Accent3 4 4 2 4 2 2" xfId="24095" xr:uid="{00000000-0005-0000-0000-0000B9400000}"/>
    <cellStyle name="40% - Accent3 4 4 2 4 2 3" xfId="24096" xr:uid="{00000000-0005-0000-0000-0000BA400000}"/>
    <cellStyle name="40% - Accent3 4 4 2 4 3" xfId="24097" xr:uid="{00000000-0005-0000-0000-0000BB400000}"/>
    <cellStyle name="40% - Accent3 4 4 2 4 3 2" xfId="24098" xr:uid="{00000000-0005-0000-0000-0000BC400000}"/>
    <cellStyle name="40% - Accent3 4 4 2 4 3 3" xfId="24099" xr:uid="{00000000-0005-0000-0000-0000BD400000}"/>
    <cellStyle name="40% - Accent3 4 4 2 4 4" xfId="24100" xr:uid="{00000000-0005-0000-0000-0000BE400000}"/>
    <cellStyle name="40% - Accent3 4 4 2 4 4 2" xfId="24101" xr:uid="{00000000-0005-0000-0000-0000BF400000}"/>
    <cellStyle name="40% - Accent3 4 4 2 4 5" xfId="24102" xr:uid="{00000000-0005-0000-0000-0000C0400000}"/>
    <cellStyle name="40% - Accent3 4 4 2 4 6" xfId="24103" xr:uid="{00000000-0005-0000-0000-0000C1400000}"/>
    <cellStyle name="40% - Accent3 4 4 2 5" xfId="24104" xr:uid="{00000000-0005-0000-0000-0000C2400000}"/>
    <cellStyle name="40% - Accent3 4 4 2 5 2" xfId="24105" xr:uid="{00000000-0005-0000-0000-0000C3400000}"/>
    <cellStyle name="40% - Accent3 4 4 2 5 2 2" xfId="24106" xr:uid="{00000000-0005-0000-0000-0000C4400000}"/>
    <cellStyle name="40% - Accent3 4 4 2 5 2 3" xfId="24107" xr:uid="{00000000-0005-0000-0000-0000C5400000}"/>
    <cellStyle name="40% - Accent3 4 4 2 5 3" xfId="24108" xr:uid="{00000000-0005-0000-0000-0000C6400000}"/>
    <cellStyle name="40% - Accent3 4 4 2 5 3 2" xfId="24109" xr:uid="{00000000-0005-0000-0000-0000C7400000}"/>
    <cellStyle name="40% - Accent3 4 4 2 5 4" xfId="24110" xr:uid="{00000000-0005-0000-0000-0000C8400000}"/>
    <cellStyle name="40% - Accent3 4 4 2 5 5" xfId="24111" xr:uid="{00000000-0005-0000-0000-0000C9400000}"/>
    <cellStyle name="40% - Accent3 4 4 2 6" xfId="24112" xr:uid="{00000000-0005-0000-0000-0000CA400000}"/>
    <cellStyle name="40% - Accent3 4 4 2 6 2" xfId="24113" xr:uid="{00000000-0005-0000-0000-0000CB400000}"/>
    <cellStyle name="40% - Accent3 4 4 2 6 3" xfId="24114" xr:uid="{00000000-0005-0000-0000-0000CC400000}"/>
    <cellStyle name="40% - Accent3 4 4 2 7" xfId="24115" xr:uid="{00000000-0005-0000-0000-0000CD400000}"/>
    <cellStyle name="40% - Accent3 4 4 2 7 2" xfId="24116" xr:uid="{00000000-0005-0000-0000-0000CE400000}"/>
    <cellStyle name="40% - Accent3 4 4 2 7 3" xfId="24117" xr:uid="{00000000-0005-0000-0000-0000CF400000}"/>
    <cellStyle name="40% - Accent3 4 4 2 8" xfId="24118" xr:uid="{00000000-0005-0000-0000-0000D0400000}"/>
    <cellStyle name="40% - Accent3 4 4 2 8 2" xfId="24119" xr:uid="{00000000-0005-0000-0000-0000D1400000}"/>
    <cellStyle name="40% - Accent3 4 4 2 9" xfId="24120" xr:uid="{00000000-0005-0000-0000-0000D2400000}"/>
    <cellStyle name="40% - Accent3 4 4 3" xfId="2024" xr:uid="{00000000-0005-0000-0000-0000D3400000}"/>
    <cellStyle name="40% - Accent3 4 4 3 2" xfId="24121" xr:uid="{00000000-0005-0000-0000-0000D4400000}"/>
    <cellStyle name="40% - Accent3 4 4 3 2 2" xfId="24122" xr:uid="{00000000-0005-0000-0000-0000D5400000}"/>
    <cellStyle name="40% - Accent3 4 4 3 2 2 2" xfId="24123" xr:uid="{00000000-0005-0000-0000-0000D6400000}"/>
    <cellStyle name="40% - Accent3 4 4 3 2 2 3" xfId="24124" xr:uid="{00000000-0005-0000-0000-0000D7400000}"/>
    <cellStyle name="40% - Accent3 4 4 3 2 3" xfId="24125" xr:uid="{00000000-0005-0000-0000-0000D8400000}"/>
    <cellStyle name="40% - Accent3 4 4 3 2 3 2" xfId="24126" xr:uid="{00000000-0005-0000-0000-0000D9400000}"/>
    <cellStyle name="40% - Accent3 4 4 3 2 3 3" xfId="24127" xr:uid="{00000000-0005-0000-0000-0000DA400000}"/>
    <cellStyle name="40% - Accent3 4 4 3 2 4" xfId="24128" xr:uid="{00000000-0005-0000-0000-0000DB400000}"/>
    <cellStyle name="40% - Accent3 4 4 3 2 4 2" xfId="24129" xr:uid="{00000000-0005-0000-0000-0000DC400000}"/>
    <cellStyle name="40% - Accent3 4 4 3 2 5" xfId="24130" xr:uid="{00000000-0005-0000-0000-0000DD400000}"/>
    <cellStyle name="40% - Accent3 4 4 3 2 6" xfId="24131" xr:uid="{00000000-0005-0000-0000-0000DE400000}"/>
    <cellStyle name="40% - Accent3 4 4 3 3" xfId="24132" xr:uid="{00000000-0005-0000-0000-0000DF400000}"/>
    <cellStyle name="40% - Accent3 4 4 3 3 2" xfId="24133" xr:uid="{00000000-0005-0000-0000-0000E0400000}"/>
    <cellStyle name="40% - Accent3 4 4 3 3 2 2" xfId="24134" xr:uid="{00000000-0005-0000-0000-0000E1400000}"/>
    <cellStyle name="40% - Accent3 4 4 3 3 2 3" xfId="24135" xr:uid="{00000000-0005-0000-0000-0000E2400000}"/>
    <cellStyle name="40% - Accent3 4 4 3 3 3" xfId="24136" xr:uid="{00000000-0005-0000-0000-0000E3400000}"/>
    <cellStyle name="40% - Accent3 4 4 3 3 3 2" xfId="24137" xr:uid="{00000000-0005-0000-0000-0000E4400000}"/>
    <cellStyle name="40% - Accent3 4 4 3 3 3 3" xfId="24138" xr:uid="{00000000-0005-0000-0000-0000E5400000}"/>
    <cellStyle name="40% - Accent3 4 4 3 3 4" xfId="24139" xr:uid="{00000000-0005-0000-0000-0000E6400000}"/>
    <cellStyle name="40% - Accent3 4 4 3 3 4 2" xfId="24140" xr:uid="{00000000-0005-0000-0000-0000E7400000}"/>
    <cellStyle name="40% - Accent3 4 4 3 3 5" xfId="24141" xr:uid="{00000000-0005-0000-0000-0000E8400000}"/>
    <cellStyle name="40% - Accent3 4 4 3 3 6" xfId="24142" xr:uid="{00000000-0005-0000-0000-0000E9400000}"/>
    <cellStyle name="40% - Accent3 4 4 3 4" xfId="24143" xr:uid="{00000000-0005-0000-0000-0000EA400000}"/>
    <cellStyle name="40% - Accent3 4 4 3 4 2" xfId="24144" xr:uid="{00000000-0005-0000-0000-0000EB400000}"/>
    <cellStyle name="40% - Accent3 4 4 3 4 2 2" xfId="24145" xr:uid="{00000000-0005-0000-0000-0000EC400000}"/>
    <cellStyle name="40% - Accent3 4 4 3 4 2 3" xfId="24146" xr:uid="{00000000-0005-0000-0000-0000ED400000}"/>
    <cellStyle name="40% - Accent3 4 4 3 4 3" xfId="24147" xr:uid="{00000000-0005-0000-0000-0000EE400000}"/>
    <cellStyle name="40% - Accent3 4 4 3 4 3 2" xfId="24148" xr:uid="{00000000-0005-0000-0000-0000EF400000}"/>
    <cellStyle name="40% - Accent3 4 4 3 4 4" xfId="24149" xr:uid="{00000000-0005-0000-0000-0000F0400000}"/>
    <cellStyle name="40% - Accent3 4 4 3 4 5" xfId="24150" xr:uid="{00000000-0005-0000-0000-0000F1400000}"/>
    <cellStyle name="40% - Accent3 4 4 3 5" xfId="24151" xr:uid="{00000000-0005-0000-0000-0000F2400000}"/>
    <cellStyle name="40% - Accent3 4 4 3 5 2" xfId="24152" xr:uid="{00000000-0005-0000-0000-0000F3400000}"/>
    <cellStyle name="40% - Accent3 4 4 3 5 3" xfId="24153" xr:uid="{00000000-0005-0000-0000-0000F4400000}"/>
    <cellStyle name="40% - Accent3 4 4 3 6" xfId="24154" xr:uid="{00000000-0005-0000-0000-0000F5400000}"/>
    <cellStyle name="40% - Accent3 4 4 3 6 2" xfId="24155" xr:uid="{00000000-0005-0000-0000-0000F6400000}"/>
    <cellStyle name="40% - Accent3 4 4 3 6 3" xfId="24156" xr:uid="{00000000-0005-0000-0000-0000F7400000}"/>
    <cellStyle name="40% - Accent3 4 4 3 7" xfId="24157" xr:uid="{00000000-0005-0000-0000-0000F8400000}"/>
    <cellStyle name="40% - Accent3 4 4 3 7 2" xfId="24158" xr:uid="{00000000-0005-0000-0000-0000F9400000}"/>
    <cellStyle name="40% - Accent3 4 4 3 8" xfId="24159" xr:uid="{00000000-0005-0000-0000-0000FA400000}"/>
    <cellStyle name="40% - Accent3 4 4 3 9" xfId="24160" xr:uid="{00000000-0005-0000-0000-0000FB400000}"/>
    <cellStyle name="40% - Accent3 4 4 4" xfId="24161" xr:uid="{00000000-0005-0000-0000-0000FC400000}"/>
    <cellStyle name="40% - Accent3 4 4 4 2" xfId="24162" xr:uid="{00000000-0005-0000-0000-0000FD400000}"/>
    <cellStyle name="40% - Accent3 4 4 4 2 2" xfId="24163" xr:uid="{00000000-0005-0000-0000-0000FE400000}"/>
    <cellStyle name="40% - Accent3 4 4 4 2 2 2" xfId="24164" xr:uid="{00000000-0005-0000-0000-0000FF400000}"/>
    <cellStyle name="40% - Accent3 4 4 4 2 2 3" xfId="24165" xr:uid="{00000000-0005-0000-0000-000000410000}"/>
    <cellStyle name="40% - Accent3 4 4 4 2 3" xfId="24166" xr:uid="{00000000-0005-0000-0000-000001410000}"/>
    <cellStyle name="40% - Accent3 4 4 4 2 3 2" xfId="24167" xr:uid="{00000000-0005-0000-0000-000002410000}"/>
    <cellStyle name="40% - Accent3 4 4 4 2 3 3" xfId="24168" xr:uid="{00000000-0005-0000-0000-000003410000}"/>
    <cellStyle name="40% - Accent3 4 4 4 2 4" xfId="24169" xr:uid="{00000000-0005-0000-0000-000004410000}"/>
    <cellStyle name="40% - Accent3 4 4 4 2 4 2" xfId="24170" xr:uid="{00000000-0005-0000-0000-000005410000}"/>
    <cellStyle name="40% - Accent3 4 4 4 2 5" xfId="24171" xr:uid="{00000000-0005-0000-0000-000006410000}"/>
    <cellStyle name="40% - Accent3 4 4 4 2 6" xfId="24172" xr:uid="{00000000-0005-0000-0000-000007410000}"/>
    <cellStyle name="40% - Accent3 4 4 4 3" xfId="24173" xr:uid="{00000000-0005-0000-0000-000008410000}"/>
    <cellStyle name="40% - Accent3 4 4 4 3 2" xfId="24174" xr:uid="{00000000-0005-0000-0000-000009410000}"/>
    <cellStyle name="40% - Accent3 4 4 4 3 2 2" xfId="24175" xr:uid="{00000000-0005-0000-0000-00000A410000}"/>
    <cellStyle name="40% - Accent3 4 4 4 3 2 3" xfId="24176" xr:uid="{00000000-0005-0000-0000-00000B410000}"/>
    <cellStyle name="40% - Accent3 4 4 4 3 3" xfId="24177" xr:uid="{00000000-0005-0000-0000-00000C410000}"/>
    <cellStyle name="40% - Accent3 4 4 4 3 3 2" xfId="24178" xr:uid="{00000000-0005-0000-0000-00000D410000}"/>
    <cellStyle name="40% - Accent3 4 4 4 3 3 3" xfId="24179" xr:uid="{00000000-0005-0000-0000-00000E410000}"/>
    <cellStyle name="40% - Accent3 4 4 4 3 4" xfId="24180" xr:uid="{00000000-0005-0000-0000-00000F410000}"/>
    <cellStyle name="40% - Accent3 4 4 4 3 4 2" xfId="24181" xr:uid="{00000000-0005-0000-0000-000010410000}"/>
    <cellStyle name="40% - Accent3 4 4 4 3 5" xfId="24182" xr:uid="{00000000-0005-0000-0000-000011410000}"/>
    <cellStyle name="40% - Accent3 4 4 4 3 6" xfId="24183" xr:uid="{00000000-0005-0000-0000-000012410000}"/>
    <cellStyle name="40% - Accent3 4 4 4 4" xfId="24184" xr:uid="{00000000-0005-0000-0000-000013410000}"/>
    <cellStyle name="40% - Accent3 4 4 4 4 2" xfId="24185" xr:uid="{00000000-0005-0000-0000-000014410000}"/>
    <cellStyle name="40% - Accent3 4 4 4 4 2 2" xfId="24186" xr:uid="{00000000-0005-0000-0000-000015410000}"/>
    <cellStyle name="40% - Accent3 4 4 4 4 2 3" xfId="24187" xr:uid="{00000000-0005-0000-0000-000016410000}"/>
    <cellStyle name="40% - Accent3 4 4 4 4 3" xfId="24188" xr:uid="{00000000-0005-0000-0000-000017410000}"/>
    <cellStyle name="40% - Accent3 4 4 4 4 3 2" xfId="24189" xr:uid="{00000000-0005-0000-0000-000018410000}"/>
    <cellStyle name="40% - Accent3 4 4 4 4 4" xfId="24190" xr:uid="{00000000-0005-0000-0000-000019410000}"/>
    <cellStyle name="40% - Accent3 4 4 4 4 5" xfId="24191" xr:uid="{00000000-0005-0000-0000-00001A410000}"/>
    <cellStyle name="40% - Accent3 4 4 4 5" xfId="24192" xr:uid="{00000000-0005-0000-0000-00001B410000}"/>
    <cellStyle name="40% - Accent3 4 4 4 5 2" xfId="24193" xr:uid="{00000000-0005-0000-0000-00001C410000}"/>
    <cellStyle name="40% - Accent3 4 4 4 5 3" xfId="24194" xr:uid="{00000000-0005-0000-0000-00001D410000}"/>
    <cellStyle name="40% - Accent3 4 4 4 6" xfId="24195" xr:uid="{00000000-0005-0000-0000-00001E410000}"/>
    <cellStyle name="40% - Accent3 4 4 4 6 2" xfId="24196" xr:uid="{00000000-0005-0000-0000-00001F410000}"/>
    <cellStyle name="40% - Accent3 4 4 4 6 3" xfId="24197" xr:uid="{00000000-0005-0000-0000-000020410000}"/>
    <cellStyle name="40% - Accent3 4 4 4 7" xfId="24198" xr:uid="{00000000-0005-0000-0000-000021410000}"/>
    <cellStyle name="40% - Accent3 4 4 4 7 2" xfId="24199" xr:uid="{00000000-0005-0000-0000-000022410000}"/>
    <cellStyle name="40% - Accent3 4 4 4 8" xfId="24200" xr:uid="{00000000-0005-0000-0000-000023410000}"/>
    <cellStyle name="40% - Accent3 4 4 4 9" xfId="24201" xr:uid="{00000000-0005-0000-0000-000024410000}"/>
    <cellStyle name="40% - Accent3 4 4 5" xfId="24202" xr:uid="{00000000-0005-0000-0000-000025410000}"/>
    <cellStyle name="40% - Accent3 4 4 5 2" xfId="24203" xr:uid="{00000000-0005-0000-0000-000026410000}"/>
    <cellStyle name="40% - Accent3 4 4 5 2 2" xfId="24204" xr:uid="{00000000-0005-0000-0000-000027410000}"/>
    <cellStyle name="40% - Accent3 4 4 5 2 3" xfId="24205" xr:uid="{00000000-0005-0000-0000-000028410000}"/>
    <cellStyle name="40% - Accent3 4 4 5 3" xfId="24206" xr:uid="{00000000-0005-0000-0000-000029410000}"/>
    <cellStyle name="40% - Accent3 4 4 5 3 2" xfId="24207" xr:uid="{00000000-0005-0000-0000-00002A410000}"/>
    <cellStyle name="40% - Accent3 4 4 5 3 3" xfId="24208" xr:uid="{00000000-0005-0000-0000-00002B410000}"/>
    <cellStyle name="40% - Accent3 4 4 5 4" xfId="24209" xr:uid="{00000000-0005-0000-0000-00002C410000}"/>
    <cellStyle name="40% - Accent3 4 4 5 4 2" xfId="24210" xr:uid="{00000000-0005-0000-0000-00002D410000}"/>
    <cellStyle name="40% - Accent3 4 4 5 5" xfId="24211" xr:uid="{00000000-0005-0000-0000-00002E410000}"/>
    <cellStyle name="40% - Accent3 4 4 5 6" xfId="24212" xr:uid="{00000000-0005-0000-0000-00002F410000}"/>
    <cellStyle name="40% - Accent3 4 4 6" xfId="24213" xr:uid="{00000000-0005-0000-0000-000030410000}"/>
    <cellStyle name="40% - Accent3 4 4 6 2" xfId="24214" xr:uid="{00000000-0005-0000-0000-000031410000}"/>
    <cellStyle name="40% - Accent3 4 4 6 2 2" xfId="24215" xr:uid="{00000000-0005-0000-0000-000032410000}"/>
    <cellStyle name="40% - Accent3 4 4 6 2 3" xfId="24216" xr:uid="{00000000-0005-0000-0000-000033410000}"/>
    <cellStyle name="40% - Accent3 4 4 6 3" xfId="24217" xr:uid="{00000000-0005-0000-0000-000034410000}"/>
    <cellStyle name="40% - Accent3 4 4 6 3 2" xfId="24218" xr:uid="{00000000-0005-0000-0000-000035410000}"/>
    <cellStyle name="40% - Accent3 4 4 6 3 3" xfId="24219" xr:uid="{00000000-0005-0000-0000-000036410000}"/>
    <cellStyle name="40% - Accent3 4 4 6 4" xfId="24220" xr:uid="{00000000-0005-0000-0000-000037410000}"/>
    <cellStyle name="40% - Accent3 4 4 6 4 2" xfId="24221" xr:uid="{00000000-0005-0000-0000-000038410000}"/>
    <cellStyle name="40% - Accent3 4 4 6 5" xfId="24222" xr:uid="{00000000-0005-0000-0000-000039410000}"/>
    <cellStyle name="40% - Accent3 4 4 6 6" xfId="24223" xr:uid="{00000000-0005-0000-0000-00003A410000}"/>
    <cellStyle name="40% - Accent3 4 4 7" xfId="24224" xr:uid="{00000000-0005-0000-0000-00003B410000}"/>
    <cellStyle name="40% - Accent3 4 4 7 2" xfId="24225" xr:uid="{00000000-0005-0000-0000-00003C410000}"/>
    <cellStyle name="40% - Accent3 4 4 7 2 2" xfId="24226" xr:uid="{00000000-0005-0000-0000-00003D410000}"/>
    <cellStyle name="40% - Accent3 4 4 7 2 3" xfId="24227" xr:uid="{00000000-0005-0000-0000-00003E410000}"/>
    <cellStyle name="40% - Accent3 4 4 7 3" xfId="24228" xr:uid="{00000000-0005-0000-0000-00003F410000}"/>
    <cellStyle name="40% - Accent3 4 4 7 3 2" xfId="24229" xr:uid="{00000000-0005-0000-0000-000040410000}"/>
    <cellStyle name="40% - Accent3 4 4 7 4" xfId="24230" xr:uid="{00000000-0005-0000-0000-000041410000}"/>
    <cellStyle name="40% - Accent3 4 4 7 5" xfId="24231" xr:uid="{00000000-0005-0000-0000-000042410000}"/>
    <cellStyle name="40% - Accent3 4 4 8" xfId="24232" xr:uid="{00000000-0005-0000-0000-000043410000}"/>
    <cellStyle name="40% - Accent3 4 4 8 2" xfId="24233" xr:uid="{00000000-0005-0000-0000-000044410000}"/>
    <cellStyle name="40% - Accent3 4 4 8 3" xfId="24234" xr:uid="{00000000-0005-0000-0000-000045410000}"/>
    <cellStyle name="40% - Accent3 4 4 9" xfId="24235" xr:uid="{00000000-0005-0000-0000-000046410000}"/>
    <cellStyle name="40% - Accent3 4 4 9 2" xfId="24236" xr:uid="{00000000-0005-0000-0000-000047410000}"/>
    <cellStyle name="40% - Accent3 4 4 9 3" xfId="24237" xr:uid="{00000000-0005-0000-0000-000048410000}"/>
    <cellStyle name="40% - Accent3 4 5" xfId="2025" xr:uid="{00000000-0005-0000-0000-000049410000}"/>
    <cellStyle name="40% - Accent3 4 5 10" xfId="24238" xr:uid="{00000000-0005-0000-0000-00004A410000}"/>
    <cellStyle name="40% - Accent3 4 5 2" xfId="2026" xr:uid="{00000000-0005-0000-0000-00004B410000}"/>
    <cellStyle name="40% - Accent3 4 5 2 2" xfId="24239" xr:uid="{00000000-0005-0000-0000-00004C410000}"/>
    <cellStyle name="40% - Accent3 4 5 2 2 2" xfId="24240" xr:uid="{00000000-0005-0000-0000-00004D410000}"/>
    <cellStyle name="40% - Accent3 4 5 2 2 2 2" xfId="24241" xr:uid="{00000000-0005-0000-0000-00004E410000}"/>
    <cellStyle name="40% - Accent3 4 5 2 2 2 3" xfId="24242" xr:uid="{00000000-0005-0000-0000-00004F410000}"/>
    <cellStyle name="40% - Accent3 4 5 2 2 3" xfId="24243" xr:uid="{00000000-0005-0000-0000-000050410000}"/>
    <cellStyle name="40% - Accent3 4 5 2 2 3 2" xfId="24244" xr:uid="{00000000-0005-0000-0000-000051410000}"/>
    <cellStyle name="40% - Accent3 4 5 2 2 3 3" xfId="24245" xr:uid="{00000000-0005-0000-0000-000052410000}"/>
    <cellStyle name="40% - Accent3 4 5 2 2 4" xfId="24246" xr:uid="{00000000-0005-0000-0000-000053410000}"/>
    <cellStyle name="40% - Accent3 4 5 2 2 4 2" xfId="24247" xr:uid="{00000000-0005-0000-0000-000054410000}"/>
    <cellStyle name="40% - Accent3 4 5 2 2 5" xfId="24248" xr:uid="{00000000-0005-0000-0000-000055410000}"/>
    <cellStyle name="40% - Accent3 4 5 2 2 6" xfId="24249" xr:uid="{00000000-0005-0000-0000-000056410000}"/>
    <cellStyle name="40% - Accent3 4 5 2 3" xfId="24250" xr:uid="{00000000-0005-0000-0000-000057410000}"/>
    <cellStyle name="40% - Accent3 4 5 2 3 2" xfId="24251" xr:uid="{00000000-0005-0000-0000-000058410000}"/>
    <cellStyle name="40% - Accent3 4 5 2 3 2 2" xfId="24252" xr:uid="{00000000-0005-0000-0000-000059410000}"/>
    <cellStyle name="40% - Accent3 4 5 2 3 2 3" xfId="24253" xr:uid="{00000000-0005-0000-0000-00005A410000}"/>
    <cellStyle name="40% - Accent3 4 5 2 3 3" xfId="24254" xr:uid="{00000000-0005-0000-0000-00005B410000}"/>
    <cellStyle name="40% - Accent3 4 5 2 3 3 2" xfId="24255" xr:uid="{00000000-0005-0000-0000-00005C410000}"/>
    <cellStyle name="40% - Accent3 4 5 2 3 3 3" xfId="24256" xr:uid="{00000000-0005-0000-0000-00005D410000}"/>
    <cellStyle name="40% - Accent3 4 5 2 3 4" xfId="24257" xr:uid="{00000000-0005-0000-0000-00005E410000}"/>
    <cellStyle name="40% - Accent3 4 5 2 3 4 2" xfId="24258" xr:uid="{00000000-0005-0000-0000-00005F410000}"/>
    <cellStyle name="40% - Accent3 4 5 2 3 5" xfId="24259" xr:uid="{00000000-0005-0000-0000-000060410000}"/>
    <cellStyle name="40% - Accent3 4 5 2 3 6" xfId="24260" xr:uid="{00000000-0005-0000-0000-000061410000}"/>
    <cellStyle name="40% - Accent3 4 5 2 4" xfId="24261" xr:uid="{00000000-0005-0000-0000-000062410000}"/>
    <cellStyle name="40% - Accent3 4 5 2 4 2" xfId="24262" xr:uid="{00000000-0005-0000-0000-000063410000}"/>
    <cellStyle name="40% - Accent3 4 5 2 4 2 2" xfId="24263" xr:uid="{00000000-0005-0000-0000-000064410000}"/>
    <cellStyle name="40% - Accent3 4 5 2 4 2 3" xfId="24264" xr:uid="{00000000-0005-0000-0000-000065410000}"/>
    <cellStyle name="40% - Accent3 4 5 2 4 3" xfId="24265" xr:uid="{00000000-0005-0000-0000-000066410000}"/>
    <cellStyle name="40% - Accent3 4 5 2 4 3 2" xfId="24266" xr:uid="{00000000-0005-0000-0000-000067410000}"/>
    <cellStyle name="40% - Accent3 4 5 2 4 4" xfId="24267" xr:uid="{00000000-0005-0000-0000-000068410000}"/>
    <cellStyle name="40% - Accent3 4 5 2 4 5" xfId="24268" xr:uid="{00000000-0005-0000-0000-000069410000}"/>
    <cellStyle name="40% - Accent3 4 5 2 5" xfId="24269" xr:uid="{00000000-0005-0000-0000-00006A410000}"/>
    <cellStyle name="40% - Accent3 4 5 2 5 2" xfId="24270" xr:uid="{00000000-0005-0000-0000-00006B410000}"/>
    <cellStyle name="40% - Accent3 4 5 2 5 3" xfId="24271" xr:uid="{00000000-0005-0000-0000-00006C410000}"/>
    <cellStyle name="40% - Accent3 4 5 2 6" xfId="24272" xr:uid="{00000000-0005-0000-0000-00006D410000}"/>
    <cellStyle name="40% - Accent3 4 5 2 6 2" xfId="24273" xr:uid="{00000000-0005-0000-0000-00006E410000}"/>
    <cellStyle name="40% - Accent3 4 5 2 6 3" xfId="24274" xr:uid="{00000000-0005-0000-0000-00006F410000}"/>
    <cellStyle name="40% - Accent3 4 5 2 7" xfId="24275" xr:uid="{00000000-0005-0000-0000-000070410000}"/>
    <cellStyle name="40% - Accent3 4 5 2 7 2" xfId="24276" xr:uid="{00000000-0005-0000-0000-000071410000}"/>
    <cellStyle name="40% - Accent3 4 5 2 8" xfId="24277" xr:uid="{00000000-0005-0000-0000-000072410000}"/>
    <cellStyle name="40% - Accent3 4 5 2 9" xfId="24278" xr:uid="{00000000-0005-0000-0000-000073410000}"/>
    <cellStyle name="40% - Accent3 4 5 3" xfId="24279" xr:uid="{00000000-0005-0000-0000-000074410000}"/>
    <cellStyle name="40% - Accent3 4 5 3 2" xfId="24280" xr:uid="{00000000-0005-0000-0000-000075410000}"/>
    <cellStyle name="40% - Accent3 4 5 3 2 2" xfId="24281" xr:uid="{00000000-0005-0000-0000-000076410000}"/>
    <cellStyle name="40% - Accent3 4 5 3 2 3" xfId="24282" xr:uid="{00000000-0005-0000-0000-000077410000}"/>
    <cellStyle name="40% - Accent3 4 5 3 3" xfId="24283" xr:uid="{00000000-0005-0000-0000-000078410000}"/>
    <cellStyle name="40% - Accent3 4 5 3 3 2" xfId="24284" xr:uid="{00000000-0005-0000-0000-000079410000}"/>
    <cellStyle name="40% - Accent3 4 5 3 3 3" xfId="24285" xr:uid="{00000000-0005-0000-0000-00007A410000}"/>
    <cellStyle name="40% - Accent3 4 5 3 4" xfId="24286" xr:uid="{00000000-0005-0000-0000-00007B410000}"/>
    <cellStyle name="40% - Accent3 4 5 3 4 2" xfId="24287" xr:uid="{00000000-0005-0000-0000-00007C410000}"/>
    <cellStyle name="40% - Accent3 4 5 3 5" xfId="24288" xr:uid="{00000000-0005-0000-0000-00007D410000}"/>
    <cellStyle name="40% - Accent3 4 5 3 6" xfId="24289" xr:uid="{00000000-0005-0000-0000-00007E410000}"/>
    <cellStyle name="40% - Accent3 4 5 4" xfId="24290" xr:uid="{00000000-0005-0000-0000-00007F410000}"/>
    <cellStyle name="40% - Accent3 4 5 4 2" xfId="24291" xr:uid="{00000000-0005-0000-0000-000080410000}"/>
    <cellStyle name="40% - Accent3 4 5 4 2 2" xfId="24292" xr:uid="{00000000-0005-0000-0000-000081410000}"/>
    <cellStyle name="40% - Accent3 4 5 4 2 3" xfId="24293" xr:uid="{00000000-0005-0000-0000-000082410000}"/>
    <cellStyle name="40% - Accent3 4 5 4 3" xfId="24294" xr:uid="{00000000-0005-0000-0000-000083410000}"/>
    <cellStyle name="40% - Accent3 4 5 4 3 2" xfId="24295" xr:uid="{00000000-0005-0000-0000-000084410000}"/>
    <cellStyle name="40% - Accent3 4 5 4 3 3" xfId="24296" xr:uid="{00000000-0005-0000-0000-000085410000}"/>
    <cellStyle name="40% - Accent3 4 5 4 4" xfId="24297" xr:uid="{00000000-0005-0000-0000-000086410000}"/>
    <cellStyle name="40% - Accent3 4 5 4 4 2" xfId="24298" xr:uid="{00000000-0005-0000-0000-000087410000}"/>
    <cellStyle name="40% - Accent3 4 5 4 5" xfId="24299" xr:uid="{00000000-0005-0000-0000-000088410000}"/>
    <cellStyle name="40% - Accent3 4 5 4 6" xfId="24300" xr:uid="{00000000-0005-0000-0000-000089410000}"/>
    <cellStyle name="40% - Accent3 4 5 5" xfId="24301" xr:uid="{00000000-0005-0000-0000-00008A410000}"/>
    <cellStyle name="40% - Accent3 4 5 5 2" xfId="24302" xr:uid="{00000000-0005-0000-0000-00008B410000}"/>
    <cellStyle name="40% - Accent3 4 5 5 2 2" xfId="24303" xr:uid="{00000000-0005-0000-0000-00008C410000}"/>
    <cellStyle name="40% - Accent3 4 5 5 2 3" xfId="24304" xr:uid="{00000000-0005-0000-0000-00008D410000}"/>
    <cellStyle name="40% - Accent3 4 5 5 3" xfId="24305" xr:uid="{00000000-0005-0000-0000-00008E410000}"/>
    <cellStyle name="40% - Accent3 4 5 5 3 2" xfId="24306" xr:uid="{00000000-0005-0000-0000-00008F410000}"/>
    <cellStyle name="40% - Accent3 4 5 5 4" xfId="24307" xr:uid="{00000000-0005-0000-0000-000090410000}"/>
    <cellStyle name="40% - Accent3 4 5 5 5" xfId="24308" xr:uid="{00000000-0005-0000-0000-000091410000}"/>
    <cellStyle name="40% - Accent3 4 5 6" xfId="24309" xr:uid="{00000000-0005-0000-0000-000092410000}"/>
    <cellStyle name="40% - Accent3 4 5 6 2" xfId="24310" xr:uid="{00000000-0005-0000-0000-000093410000}"/>
    <cellStyle name="40% - Accent3 4 5 6 3" xfId="24311" xr:uid="{00000000-0005-0000-0000-000094410000}"/>
    <cellStyle name="40% - Accent3 4 5 7" xfId="24312" xr:uid="{00000000-0005-0000-0000-000095410000}"/>
    <cellStyle name="40% - Accent3 4 5 7 2" xfId="24313" xr:uid="{00000000-0005-0000-0000-000096410000}"/>
    <cellStyle name="40% - Accent3 4 5 7 3" xfId="24314" xr:uid="{00000000-0005-0000-0000-000097410000}"/>
    <cellStyle name="40% - Accent3 4 5 8" xfId="24315" xr:uid="{00000000-0005-0000-0000-000098410000}"/>
    <cellStyle name="40% - Accent3 4 5 8 2" xfId="24316" xr:uid="{00000000-0005-0000-0000-000099410000}"/>
    <cellStyle name="40% - Accent3 4 5 9" xfId="24317" xr:uid="{00000000-0005-0000-0000-00009A410000}"/>
    <cellStyle name="40% - Accent3 4 6" xfId="2027" xr:uid="{00000000-0005-0000-0000-00009B410000}"/>
    <cellStyle name="40% - Accent3 4 6 2" xfId="24318" xr:uid="{00000000-0005-0000-0000-00009C410000}"/>
    <cellStyle name="40% - Accent3 4 6 2 2" xfId="24319" xr:uid="{00000000-0005-0000-0000-00009D410000}"/>
    <cellStyle name="40% - Accent3 4 6 2 2 2" xfId="24320" xr:uid="{00000000-0005-0000-0000-00009E410000}"/>
    <cellStyle name="40% - Accent3 4 6 2 2 3" xfId="24321" xr:uid="{00000000-0005-0000-0000-00009F410000}"/>
    <cellStyle name="40% - Accent3 4 6 2 3" xfId="24322" xr:uid="{00000000-0005-0000-0000-0000A0410000}"/>
    <cellStyle name="40% - Accent3 4 6 2 3 2" xfId="24323" xr:uid="{00000000-0005-0000-0000-0000A1410000}"/>
    <cellStyle name="40% - Accent3 4 6 2 3 3" xfId="24324" xr:uid="{00000000-0005-0000-0000-0000A2410000}"/>
    <cellStyle name="40% - Accent3 4 6 2 4" xfId="24325" xr:uid="{00000000-0005-0000-0000-0000A3410000}"/>
    <cellStyle name="40% - Accent3 4 6 2 4 2" xfId="24326" xr:uid="{00000000-0005-0000-0000-0000A4410000}"/>
    <cellStyle name="40% - Accent3 4 6 2 5" xfId="24327" xr:uid="{00000000-0005-0000-0000-0000A5410000}"/>
    <cellStyle name="40% - Accent3 4 6 2 6" xfId="24328" xr:uid="{00000000-0005-0000-0000-0000A6410000}"/>
    <cellStyle name="40% - Accent3 4 6 3" xfId="24329" xr:uid="{00000000-0005-0000-0000-0000A7410000}"/>
    <cellStyle name="40% - Accent3 4 6 3 2" xfId="24330" xr:uid="{00000000-0005-0000-0000-0000A8410000}"/>
    <cellStyle name="40% - Accent3 4 6 3 2 2" xfId="24331" xr:uid="{00000000-0005-0000-0000-0000A9410000}"/>
    <cellStyle name="40% - Accent3 4 6 3 2 3" xfId="24332" xr:uid="{00000000-0005-0000-0000-0000AA410000}"/>
    <cellStyle name="40% - Accent3 4 6 3 3" xfId="24333" xr:uid="{00000000-0005-0000-0000-0000AB410000}"/>
    <cellStyle name="40% - Accent3 4 6 3 3 2" xfId="24334" xr:uid="{00000000-0005-0000-0000-0000AC410000}"/>
    <cellStyle name="40% - Accent3 4 6 3 3 3" xfId="24335" xr:uid="{00000000-0005-0000-0000-0000AD410000}"/>
    <cellStyle name="40% - Accent3 4 6 3 4" xfId="24336" xr:uid="{00000000-0005-0000-0000-0000AE410000}"/>
    <cellStyle name="40% - Accent3 4 6 3 4 2" xfId="24337" xr:uid="{00000000-0005-0000-0000-0000AF410000}"/>
    <cellStyle name="40% - Accent3 4 6 3 5" xfId="24338" xr:uid="{00000000-0005-0000-0000-0000B0410000}"/>
    <cellStyle name="40% - Accent3 4 6 3 6" xfId="24339" xr:uid="{00000000-0005-0000-0000-0000B1410000}"/>
    <cellStyle name="40% - Accent3 4 6 4" xfId="24340" xr:uid="{00000000-0005-0000-0000-0000B2410000}"/>
    <cellStyle name="40% - Accent3 4 6 4 2" xfId="24341" xr:uid="{00000000-0005-0000-0000-0000B3410000}"/>
    <cellStyle name="40% - Accent3 4 6 4 2 2" xfId="24342" xr:uid="{00000000-0005-0000-0000-0000B4410000}"/>
    <cellStyle name="40% - Accent3 4 6 4 2 3" xfId="24343" xr:uid="{00000000-0005-0000-0000-0000B5410000}"/>
    <cellStyle name="40% - Accent3 4 6 4 3" xfId="24344" xr:uid="{00000000-0005-0000-0000-0000B6410000}"/>
    <cellStyle name="40% - Accent3 4 6 4 3 2" xfId="24345" xr:uid="{00000000-0005-0000-0000-0000B7410000}"/>
    <cellStyle name="40% - Accent3 4 6 4 4" xfId="24346" xr:uid="{00000000-0005-0000-0000-0000B8410000}"/>
    <cellStyle name="40% - Accent3 4 6 4 5" xfId="24347" xr:uid="{00000000-0005-0000-0000-0000B9410000}"/>
    <cellStyle name="40% - Accent3 4 6 5" xfId="24348" xr:uid="{00000000-0005-0000-0000-0000BA410000}"/>
    <cellStyle name="40% - Accent3 4 6 5 2" xfId="24349" xr:uid="{00000000-0005-0000-0000-0000BB410000}"/>
    <cellStyle name="40% - Accent3 4 6 5 3" xfId="24350" xr:uid="{00000000-0005-0000-0000-0000BC410000}"/>
    <cellStyle name="40% - Accent3 4 6 6" xfId="24351" xr:uid="{00000000-0005-0000-0000-0000BD410000}"/>
    <cellStyle name="40% - Accent3 4 6 6 2" xfId="24352" xr:uid="{00000000-0005-0000-0000-0000BE410000}"/>
    <cellStyle name="40% - Accent3 4 6 6 3" xfId="24353" xr:uid="{00000000-0005-0000-0000-0000BF410000}"/>
    <cellStyle name="40% - Accent3 4 6 7" xfId="24354" xr:uid="{00000000-0005-0000-0000-0000C0410000}"/>
    <cellStyle name="40% - Accent3 4 6 7 2" xfId="24355" xr:uid="{00000000-0005-0000-0000-0000C1410000}"/>
    <cellStyle name="40% - Accent3 4 6 8" xfId="24356" xr:uid="{00000000-0005-0000-0000-0000C2410000}"/>
    <cellStyle name="40% - Accent3 4 6 9" xfId="24357" xr:uid="{00000000-0005-0000-0000-0000C3410000}"/>
    <cellStyle name="40% - Accent3 4 7" xfId="8976" xr:uid="{00000000-0005-0000-0000-0000C4410000}"/>
    <cellStyle name="40% - Accent3 4 7 2" xfId="24358" xr:uid="{00000000-0005-0000-0000-0000C5410000}"/>
    <cellStyle name="40% - Accent3 4 7 2 2" xfId="24359" xr:uid="{00000000-0005-0000-0000-0000C6410000}"/>
    <cellStyle name="40% - Accent3 4 7 2 2 2" xfId="24360" xr:uid="{00000000-0005-0000-0000-0000C7410000}"/>
    <cellStyle name="40% - Accent3 4 7 2 2 3" xfId="24361" xr:uid="{00000000-0005-0000-0000-0000C8410000}"/>
    <cellStyle name="40% - Accent3 4 7 2 3" xfId="24362" xr:uid="{00000000-0005-0000-0000-0000C9410000}"/>
    <cellStyle name="40% - Accent3 4 7 2 3 2" xfId="24363" xr:uid="{00000000-0005-0000-0000-0000CA410000}"/>
    <cellStyle name="40% - Accent3 4 7 2 3 3" xfId="24364" xr:uid="{00000000-0005-0000-0000-0000CB410000}"/>
    <cellStyle name="40% - Accent3 4 7 2 4" xfId="24365" xr:uid="{00000000-0005-0000-0000-0000CC410000}"/>
    <cellStyle name="40% - Accent3 4 7 2 4 2" xfId="24366" xr:uid="{00000000-0005-0000-0000-0000CD410000}"/>
    <cellStyle name="40% - Accent3 4 7 2 5" xfId="24367" xr:uid="{00000000-0005-0000-0000-0000CE410000}"/>
    <cellStyle name="40% - Accent3 4 7 2 6" xfId="24368" xr:uid="{00000000-0005-0000-0000-0000CF410000}"/>
    <cellStyle name="40% - Accent3 4 7 3" xfId="24369" xr:uid="{00000000-0005-0000-0000-0000D0410000}"/>
    <cellStyle name="40% - Accent3 4 7 3 2" xfId="24370" xr:uid="{00000000-0005-0000-0000-0000D1410000}"/>
    <cellStyle name="40% - Accent3 4 7 3 2 2" xfId="24371" xr:uid="{00000000-0005-0000-0000-0000D2410000}"/>
    <cellStyle name="40% - Accent3 4 7 3 2 3" xfId="24372" xr:uid="{00000000-0005-0000-0000-0000D3410000}"/>
    <cellStyle name="40% - Accent3 4 7 3 3" xfId="24373" xr:uid="{00000000-0005-0000-0000-0000D4410000}"/>
    <cellStyle name="40% - Accent3 4 7 3 3 2" xfId="24374" xr:uid="{00000000-0005-0000-0000-0000D5410000}"/>
    <cellStyle name="40% - Accent3 4 7 3 3 3" xfId="24375" xr:uid="{00000000-0005-0000-0000-0000D6410000}"/>
    <cellStyle name="40% - Accent3 4 7 3 4" xfId="24376" xr:uid="{00000000-0005-0000-0000-0000D7410000}"/>
    <cellStyle name="40% - Accent3 4 7 3 4 2" xfId="24377" xr:uid="{00000000-0005-0000-0000-0000D8410000}"/>
    <cellStyle name="40% - Accent3 4 7 3 5" xfId="24378" xr:uid="{00000000-0005-0000-0000-0000D9410000}"/>
    <cellStyle name="40% - Accent3 4 7 3 6" xfId="24379" xr:uid="{00000000-0005-0000-0000-0000DA410000}"/>
    <cellStyle name="40% - Accent3 4 7 4" xfId="24380" xr:uid="{00000000-0005-0000-0000-0000DB410000}"/>
    <cellStyle name="40% - Accent3 4 7 4 2" xfId="24381" xr:uid="{00000000-0005-0000-0000-0000DC410000}"/>
    <cellStyle name="40% - Accent3 4 7 4 2 2" xfId="24382" xr:uid="{00000000-0005-0000-0000-0000DD410000}"/>
    <cellStyle name="40% - Accent3 4 7 4 2 3" xfId="24383" xr:uid="{00000000-0005-0000-0000-0000DE410000}"/>
    <cellStyle name="40% - Accent3 4 7 4 3" xfId="24384" xr:uid="{00000000-0005-0000-0000-0000DF410000}"/>
    <cellStyle name="40% - Accent3 4 7 4 3 2" xfId="24385" xr:uid="{00000000-0005-0000-0000-0000E0410000}"/>
    <cellStyle name="40% - Accent3 4 7 4 4" xfId="24386" xr:uid="{00000000-0005-0000-0000-0000E1410000}"/>
    <cellStyle name="40% - Accent3 4 7 4 5" xfId="24387" xr:uid="{00000000-0005-0000-0000-0000E2410000}"/>
    <cellStyle name="40% - Accent3 4 7 5" xfId="24388" xr:uid="{00000000-0005-0000-0000-0000E3410000}"/>
    <cellStyle name="40% - Accent3 4 7 5 2" xfId="24389" xr:uid="{00000000-0005-0000-0000-0000E4410000}"/>
    <cellStyle name="40% - Accent3 4 7 5 3" xfId="24390" xr:uid="{00000000-0005-0000-0000-0000E5410000}"/>
    <cellStyle name="40% - Accent3 4 7 6" xfId="24391" xr:uid="{00000000-0005-0000-0000-0000E6410000}"/>
    <cellStyle name="40% - Accent3 4 7 6 2" xfId="24392" xr:uid="{00000000-0005-0000-0000-0000E7410000}"/>
    <cellStyle name="40% - Accent3 4 7 6 3" xfId="24393" xr:uid="{00000000-0005-0000-0000-0000E8410000}"/>
    <cellStyle name="40% - Accent3 4 7 7" xfId="24394" xr:uid="{00000000-0005-0000-0000-0000E9410000}"/>
    <cellStyle name="40% - Accent3 4 7 7 2" xfId="24395" xr:uid="{00000000-0005-0000-0000-0000EA410000}"/>
    <cellStyle name="40% - Accent3 4 7 8" xfId="24396" xr:uid="{00000000-0005-0000-0000-0000EB410000}"/>
    <cellStyle name="40% - Accent3 4 7 9" xfId="24397" xr:uid="{00000000-0005-0000-0000-0000EC410000}"/>
    <cellStyle name="40% - Accent3 4 8" xfId="24398" xr:uid="{00000000-0005-0000-0000-0000ED410000}"/>
    <cellStyle name="40% - Accent3 4 8 2" xfId="24399" xr:uid="{00000000-0005-0000-0000-0000EE410000}"/>
    <cellStyle name="40% - Accent3 4 8 2 2" xfId="24400" xr:uid="{00000000-0005-0000-0000-0000EF410000}"/>
    <cellStyle name="40% - Accent3 4 8 2 3" xfId="24401" xr:uid="{00000000-0005-0000-0000-0000F0410000}"/>
    <cellStyle name="40% - Accent3 4 8 3" xfId="24402" xr:uid="{00000000-0005-0000-0000-0000F1410000}"/>
    <cellStyle name="40% - Accent3 4 8 3 2" xfId="24403" xr:uid="{00000000-0005-0000-0000-0000F2410000}"/>
    <cellStyle name="40% - Accent3 4 8 3 3" xfId="24404" xr:uid="{00000000-0005-0000-0000-0000F3410000}"/>
    <cellStyle name="40% - Accent3 4 8 4" xfId="24405" xr:uid="{00000000-0005-0000-0000-0000F4410000}"/>
    <cellStyle name="40% - Accent3 4 8 4 2" xfId="24406" xr:uid="{00000000-0005-0000-0000-0000F5410000}"/>
    <cellStyle name="40% - Accent3 4 8 5" xfId="24407" xr:uid="{00000000-0005-0000-0000-0000F6410000}"/>
    <cellStyle name="40% - Accent3 4 8 6" xfId="24408" xr:uid="{00000000-0005-0000-0000-0000F7410000}"/>
    <cellStyle name="40% - Accent3 4 9" xfId="24409" xr:uid="{00000000-0005-0000-0000-0000F8410000}"/>
    <cellStyle name="40% - Accent3 4 9 2" xfId="24410" xr:uid="{00000000-0005-0000-0000-0000F9410000}"/>
    <cellStyle name="40% - Accent3 4 9 2 2" xfId="24411" xr:uid="{00000000-0005-0000-0000-0000FA410000}"/>
    <cellStyle name="40% - Accent3 4 9 2 3" xfId="24412" xr:uid="{00000000-0005-0000-0000-0000FB410000}"/>
    <cellStyle name="40% - Accent3 4 9 3" xfId="24413" xr:uid="{00000000-0005-0000-0000-0000FC410000}"/>
    <cellStyle name="40% - Accent3 4 9 3 2" xfId="24414" xr:uid="{00000000-0005-0000-0000-0000FD410000}"/>
    <cellStyle name="40% - Accent3 4 9 3 3" xfId="24415" xr:uid="{00000000-0005-0000-0000-0000FE410000}"/>
    <cellStyle name="40% - Accent3 4 9 4" xfId="24416" xr:uid="{00000000-0005-0000-0000-0000FF410000}"/>
    <cellStyle name="40% - Accent3 4 9 4 2" xfId="24417" xr:uid="{00000000-0005-0000-0000-000000420000}"/>
    <cellStyle name="40% - Accent3 4 9 5" xfId="24418" xr:uid="{00000000-0005-0000-0000-000001420000}"/>
    <cellStyle name="40% - Accent3 4 9 6" xfId="24419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051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8977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052" xr:uid="{00000000-0005-0000-0000-00001A420000}"/>
    <cellStyle name="40% - Accent3 6 2 5" xfId="58053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054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055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056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057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058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059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060" xr:uid="{00000000-0005-0000-0000-000043420000}"/>
    <cellStyle name="40% - Accent4 13" xfId="2082" xr:uid="{00000000-0005-0000-0000-000044420000}"/>
    <cellStyle name="40% - Accent4 13 2" xfId="58061" xr:uid="{00000000-0005-0000-0000-000045420000}"/>
    <cellStyle name="40% - Accent4 14" xfId="8978" xr:uid="{00000000-0005-0000-0000-000046420000}"/>
    <cellStyle name="40% - Accent4 15" xfId="9405" xr:uid="{00000000-0005-0000-0000-000047420000}"/>
    <cellStyle name="40% - Accent4 16" xfId="9406" xr:uid="{00000000-0005-0000-0000-000048420000}"/>
    <cellStyle name="40% - Accent4 17" xfId="9407" xr:uid="{00000000-0005-0000-0000-000049420000}"/>
    <cellStyle name="40% - Accent4 17 2" xfId="58062" xr:uid="{00000000-0005-0000-0000-00004A420000}"/>
    <cellStyle name="40% - Accent4 18" xfId="58063" xr:uid="{00000000-0005-0000-0000-00004B420000}"/>
    <cellStyle name="40% - Accent4 19" xfId="58064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065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066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067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068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069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070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071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072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073" xr:uid="{00000000-0005-0000-0000-000096420000}"/>
    <cellStyle name="40% - Accent4 20" xfId="58074" xr:uid="{00000000-0005-0000-0000-000097420000}"/>
    <cellStyle name="40% - Accent4 21" xfId="58075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8979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8980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8981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8982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8983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8984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8985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8986" xr:uid="{00000000-0005-0000-0000-0000E1420000}"/>
    <cellStyle name="40% - Accent4 4" xfId="2213" xr:uid="{00000000-0005-0000-0000-0000E2420000}"/>
    <cellStyle name="40% - Accent4 4 10" xfId="24420" xr:uid="{00000000-0005-0000-0000-0000E3420000}"/>
    <cellStyle name="40% - Accent4 4 10 2" xfId="24421" xr:uid="{00000000-0005-0000-0000-0000E4420000}"/>
    <cellStyle name="40% - Accent4 4 10 2 2" xfId="24422" xr:uid="{00000000-0005-0000-0000-0000E5420000}"/>
    <cellStyle name="40% - Accent4 4 10 2 3" xfId="24423" xr:uid="{00000000-0005-0000-0000-0000E6420000}"/>
    <cellStyle name="40% - Accent4 4 10 3" xfId="24424" xr:uid="{00000000-0005-0000-0000-0000E7420000}"/>
    <cellStyle name="40% - Accent4 4 10 3 2" xfId="24425" xr:uid="{00000000-0005-0000-0000-0000E8420000}"/>
    <cellStyle name="40% - Accent4 4 10 4" xfId="24426" xr:uid="{00000000-0005-0000-0000-0000E9420000}"/>
    <cellStyle name="40% - Accent4 4 10 5" xfId="24427" xr:uid="{00000000-0005-0000-0000-0000EA420000}"/>
    <cellStyle name="40% - Accent4 4 11" xfId="24428" xr:uid="{00000000-0005-0000-0000-0000EB420000}"/>
    <cellStyle name="40% - Accent4 4 11 2" xfId="24429" xr:uid="{00000000-0005-0000-0000-0000EC420000}"/>
    <cellStyle name="40% - Accent4 4 11 3" xfId="24430" xr:uid="{00000000-0005-0000-0000-0000ED420000}"/>
    <cellStyle name="40% - Accent4 4 12" xfId="24431" xr:uid="{00000000-0005-0000-0000-0000EE420000}"/>
    <cellStyle name="40% - Accent4 4 12 2" xfId="24432" xr:uid="{00000000-0005-0000-0000-0000EF420000}"/>
    <cellStyle name="40% - Accent4 4 12 3" xfId="24433" xr:uid="{00000000-0005-0000-0000-0000F0420000}"/>
    <cellStyle name="40% - Accent4 4 13" xfId="24434" xr:uid="{00000000-0005-0000-0000-0000F1420000}"/>
    <cellStyle name="40% - Accent4 4 13 2" xfId="24435" xr:uid="{00000000-0005-0000-0000-0000F2420000}"/>
    <cellStyle name="40% - Accent4 4 14" xfId="24436" xr:uid="{00000000-0005-0000-0000-0000F3420000}"/>
    <cellStyle name="40% - Accent4 4 15" xfId="24437" xr:uid="{00000000-0005-0000-0000-0000F4420000}"/>
    <cellStyle name="40% - Accent4 4 16" xfId="24438" xr:uid="{00000000-0005-0000-0000-0000F5420000}"/>
    <cellStyle name="40% - Accent4 4 2" xfId="2214" xr:uid="{00000000-0005-0000-0000-0000F6420000}"/>
    <cellStyle name="40% - Accent4 4 2 10" xfId="24439" xr:uid="{00000000-0005-0000-0000-0000F7420000}"/>
    <cellStyle name="40% - Accent4 4 2 10 2" xfId="24440" xr:uid="{00000000-0005-0000-0000-0000F8420000}"/>
    <cellStyle name="40% - Accent4 4 2 10 3" xfId="24441" xr:uid="{00000000-0005-0000-0000-0000F9420000}"/>
    <cellStyle name="40% - Accent4 4 2 11" xfId="24442" xr:uid="{00000000-0005-0000-0000-0000FA420000}"/>
    <cellStyle name="40% - Accent4 4 2 11 2" xfId="24443" xr:uid="{00000000-0005-0000-0000-0000FB420000}"/>
    <cellStyle name="40% - Accent4 4 2 11 3" xfId="24444" xr:uid="{00000000-0005-0000-0000-0000FC420000}"/>
    <cellStyle name="40% - Accent4 4 2 12" xfId="24445" xr:uid="{00000000-0005-0000-0000-0000FD420000}"/>
    <cellStyle name="40% - Accent4 4 2 12 2" xfId="24446" xr:uid="{00000000-0005-0000-0000-0000FE420000}"/>
    <cellStyle name="40% - Accent4 4 2 13" xfId="24447" xr:uid="{00000000-0005-0000-0000-0000FF420000}"/>
    <cellStyle name="40% - Accent4 4 2 14" xfId="24448" xr:uid="{00000000-0005-0000-0000-000000430000}"/>
    <cellStyle name="40% - Accent4 4 2 15" xfId="24449" xr:uid="{00000000-0005-0000-0000-000001430000}"/>
    <cellStyle name="40% - Accent4 4 2 2" xfId="2215" xr:uid="{00000000-0005-0000-0000-000002430000}"/>
    <cellStyle name="40% - Accent4 4 2 2 10" xfId="24450" xr:uid="{00000000-0005-0000-0000-000003430000}"/>
    <cellStyle name="40% - Accent4 4 2 2 10 2" xfId="24451" xr:uid="{00000000-0005-0000-0000-000004430000}"/>
    <cellStyle name="40% - Accent4 4 2 2 10 3" xfId="24452" xr:uid="{00000000-0005-0000-0000-000005430000}"/>
    <cellStyle name="40% - Accent4 4 2 2 11" xfId="24453" xr:uid="{00000000-0005-0000-0000-000006430000}"/>
    <cellStyle name="40% - Accent4 4 2 2 11 2" xfId="24454" xr:uid="{00000000-0005-0000-0000-000007430000}"/>
    <cellStyle name="40% - Accent4 4 2 2 12" xfId="24455" xr:uid="{00000000-0005-0000-0000-000008430000}"/>
    <cellStyle name="40% - Accent4 4 2 2 13" xfId="24456" xr:uid="{00000000-0005-0000-0000-000009430000}"/>
    <cellStyle name="40% - Accent4 4 2 2 2" xfId="2216" xr:uid="{00000000-0005-0000-0000-00000A430000}"/>
    <cellStyle name="40% - Accent4 4 2 2 2 10" xfId="24457" xr:uid="{00000000-0005-0000-0000-00000B430000}"/>
    <cellStyle name="40% - Accent4 4 2 2 2 10 2" xfId="24458" xr:uid="{00000000-0005-0000-0000-00000C430000}"/>
    <cellStyle name="40% - Accent4 4 2 2 2 11" xfId="24459" xr:uid="{00000000-0005-0000-0000-00000D430000}"/>
    <cellStyle name="40% - Accent4 4 2 2 2 12" xfId="24460" xr:uid="{00000000-0005-0000-0000-00000E430000}"/>
    <cellStyle name="40% - Accent4 4 2 2 2 2" xfId="2217" xr:uid="{00000000-0005-0000-0000-00000F430000}"/>
    <cellStyle name="40% - Accent4 4 2 2 2 2 10" xfId="24461" xr:uid="{00000000-0005-0000-0000-000010430000}"/>
    <cellStyle name="40% - Accent4 4 2 2 2 2 2" xfId="2218" xr:uid="{00000000-0005-0000-0000-000011430000}"/>
    <cellStyle name="40% - Accent4 4 2 2 2 2 2 2" xfId="24462" xr:uid="{00000000-0005-0000-0000-000012430000}"/>
    <cellStyle name="40% - Accent4 4 2 2 2 2 2 2 2" xfId="24463" xr:uid="{00000000-0005-0000-0000-000013430000}"/>
    <cellStyle name="40% - Accent4 4 2 2 2 2 2 2 2 2" xfId="24464" xr:uid="{00000000-0005-0000-0000-000014430000}"/>
    <cellStyle name="40% - Accent4 4 2 2 2 2 2 2 2 3" xfId="24465" xr:uid="{00000000-0005-0000-0000-000015430000}"/>
    <cellStyle name="40% - Accent4 4 2 2 2 2 2 2 3" xfId="24466" xr:uid="{00000000-0005-0000-0000-000016430000}"/>
    <cellStyle name="40% - Accent4 4 2 2 2 2 2 2 3 2" xfId="24467" xr:uid="{00000000-0005-0000-0000-000017430000}"/>
    <cellStyle name="40% - Accent4 4 2 2 2 2 2 2 3 3" xfId="24468" xr:uid="{00000000-0005-0000-0000-000018430000}"/>
    <cellStyle name="40% - Accent4 4 2 2 2 2 2 2 4" xfId="24469" xr:uid="{00000000-0005-0000-0000-000019430000}"/>
    <cellStyle name="40% - Accent4 4 2 2 2 2 2 2 4 2" xfId="24470" xr:uid="{00000000-0005-0000-0000-00001A430000}"/>
    <cellStyle name="40% - Accent4 4 2 2 2 2 2 2 5" xfId="24471" xr:uid="{00000000-0005-0000-0000-00001B430000}"/>
    <cellStyle name="40% - Accent4 4 2 2 2 2 2 2 6" xfId="24472" xr:uid="{00000000-0005-0000-0000-00001C430000}"/>
    <cellStyle name="40% - Accent4 4 2 2 2 2 2 3" xfId="24473" xr:uid="{00000000-0005-0000-0000-00001D430000}"/>
    <cellStyle name="40% - Accent4 4 2 2 2 2 2 3 2" xfId="24474" xr:uid="{00000000-0005-0000-0000-00001E430000}"/>
    <cellStyle name="40% - Accent4 4 2 2 2 2 2 3 2 2" xfId="24475" xr:uid="{00000000-0005-0000-0000-00001F430000}"/>
    <cellStyle name="40% - Accent4 4 2 2 2 2 2 3 2 3" xfId="24476" xr:uid="{00000000-0005-0000-0000-000020430000}"/>
    <cellStyle name="40% - Accent4 4 2 2 2 2 2 3 3" xfId="24477" xr:uid="{00000000-0005-0000-0000-000021430000}"/>
    <cellStyle name="40% - Accent4 4 2 2 2 2 2 3 3 2" xfId="24478" xr:uid="{00000000-0005-0000-0000-000022430000}"/>
    <cellStyle name="40% - Accent4 4 2 2 2 2 2 3 3 3" xfId="24479" xr:uid="{00000000-0005-0000-0000-000023430000}"/>
    <cellStyle name="40% - Accent4 4 2 2 2 2 2 3 4" xfId="24480" xr:uid="{00000000-0005-0000-0000-000024430000}"/>
    <cellStyle name="40% - Accent4 4 2 2 2 2 2 3 4 2" xfId="24481" xr:uid="{00000000-0005-0000-0000-000025430000}"/>
    <cellStyle name="40% - Accent4 4 2 2 2 2 2 3 5" xfId="24482" xr:uid="{00000000-0005-0000-0000-000026430000}"/>
    <cellStyle name="40% - Accent4 4 2 2 2 2 2 3 6" xfId="24483" xr:uid="{00000000-0005-0000-0000-000027430000}"/>
    <cellStyle name="40% - Accent4 4 2 2 2 2 2 4" xfId="24484" xr:uid="{00000000-0005-0000-0000-000028430000}"/>
    <cellStyle name="40% - Accent4 4 2 2 2 2 2 4 2" xfId="24485" xr:uid="{00000000-0005-0000-0000-000029430000}"/>
    <cellStyle name="40% - Accent4 4 2 2 2 2 2 4 2 2" xfId="24486" xr:uid="{00000000-0005-0000-0000-00002A430000}"/>
    <cellStyle name="40% - Accent4 4 2 2 2 2 2 4 2 3" xfId="24487" xr:uid="{00000000-0005-0000-0000-00002B430000}"/>
    <cellStyle name="40% - Accent4 4 2 2 2 2 2 4 3" xfId="24488" xr:uid="{00000000-0005-0000-0000-00002C430000}"/>
    <cellStyle name="40% - Accent4 4 2 2 2 2 2 4 3 2" xfId="24489" xr:uid="{00000000-0005-0000-0000-00002D430000}"/>
    <cellStyle name="40% - Accent4 4 2 2 2 2 2 4 4" xfId="24490" xr:uid="{00000000-0005-0000-0000-00002E430000}"/>
    <cellStyle name="40% - Accent4 4 2 2 2 2 2 4 5" xfId="24491" xr:uid="{00000000-0005-0000-0000-00002F430000}"/>
    <cellStyle name="40% - Accent4 4 2 2 2 2 2 5" xfId="24492" xr:uid="{00000000-0005-0000-0000-000030430000}"/>
    <cellStyle name="40% - Accent4 4 2 2 2 2 2 5 2" xfId="24493" xr:uid="{00000000-0005-0000-0000-000031430000}"/>
    <cellStyle name="40% - Accent4 4 2 2 2 2 2 5 3" xfId="24494" xr:uid="{00000000-0005-0000-0000-000032430000}"/>
    <cellStyle name="40% - Accent4 4 2 2 2 2 2 6" xfId="24495" xr:uid="{00000000-0005-0000-0000-000033430000}"/>
    <cellStyle name="40% - Accent4 4 2 2 2 2 2 6 2" xfId="24496" xr:uid="{00000000-0005-0000-0000-000034430000}"/>
    <cellStyle name="40% - Accent4 4 2 2 2 2 2 6 3" xfId="24497" xr:uid="{00000000-0005-0000-0000-000035430000}"/>
    <cellStyle name="40% - Accent4 4 2 2 2 2 2 7" xfId="24498" xr:uid="{00000000-0005-0000-0000-000036430000}"/>
    <cellStyle name="40% - Accent4 4 2 2 2 2 2 7 2" xfId="24499" xr:uid="{00000000-0005-0000-0000-000037430000}"/>
    <cellStyle name="40% - Accent4 4 2 2 2 2 2 8" xfId="24500" xr:uid="{00000000-0005-0000-0000-000038430000}"/>
    <cellStyle name="40% - Accent4 4 2 2 2 2 2 9" xfId="24501" xr:uid="{00000000-0005-0000-0000-000039430000}"/>
    <cellStyle name="40% - Accent4 4 2 2 2 2 3" xfId="24502" xr:uid="{00000000-0005-0000-0000-00003A430000}"/>
    <cellStyle name="40% - Accent4 4 2 2 2 2 3 2" xfId="24503" xr:uid="{00000000-0005-0000-0000-00003B430000}"/>
    <cellStyle name="40% - Accent4 4 2 2 2 2 3 2 2" xfId="24504" xr:uid="{00000000-0005-0000-0000-00003C430000}"/>
    <cellStyle name="40% - Accent4 4 2 2 2 2 3 2 3" xfId="24505" xr:uid="{00000000-0005-0000-0000-00003D430000}"/>
    <cellStyle name="40% - Accent4 4 2 2 2 2 3 3" xfId="24506" xr:uid="{00000000-0005-0000-0000-00003E430000}"/>
    <cellStyle name="40% - Accent4 4 2 2 2 2 3 3 2" xfId="24507" xr:uid="{00000000-0005-0000-0000-00003F430000}"/>
    <cellStyle name="40% - Accent4 4 2 2 2 2 3 3 3" xfId="24508" xr:uid="{00000000-0005-0000-0000-000040430000}"/>
    <cellStyle name="40% - Accent4 4 2 2 2 2 3 4" xfId="24509" xr:uid="{00000000-0005-0000-0000-000041430000}"/>
    <cellStyle name="40% - Accent4 4 2 2 2 2 3 4 2" xfId="24510" xr:uid="{00000000-0005-0000-0000-000042430000}"/>
    <cellStyle name="40% - Accent4 4 2 2 2 2 3 5" xfId="24511" xr:uid="{00000000-0005-0000-0000-000043430000}"/>
    <cellStyle name="40% - Accent4 4 2 2 2 2 3 6" xfId="24512" xr:uid="{00000000-0005-0000-0000-000044430000}"/>
    <cellStyle name="40% - Accent4 4 2 2 2 2 4" xfId="24513" xr:uid="{00000000-0005-0000-0000-000045430000}"/>
    <cellStyle name="40% - Accent4 4 2 2 2 2 4 2" xfId="24514" xr:uid="{00000000-0005-0000-0000-000046430000}"/>
    <cellStyle name="40% - Accent4 4 2 2 2 2 4 2 2" xfId="24515" xr:uid="{00000000-0005-0000-0000-000047430000}"/>
    <cellStyle name="40% - Accent4 4 2 2 2 2 4 2 3" xfId="24516" xr:uid="{00000000-0005-0000-0000-000048430000}"/>
    <cellStyle name="40% - Accent4 4 2 2 2 2 4 3" xfId="24517" xr:uid="{00000000-0005-0000-0000-000049430000}"/>
    <cellStyle name="40% - Accent4 4 2 2 2 2 4 3 2" xfId="24518" xr:uid="{00000000-0005-0000-0000-00004A430000}"/>
    <cellStyle name="40% - Accent4 4 2 2 2 2 4 3 3" xfId="24519" xr:uid="{00000000-0005-0000-0000-00004B430000}"/>
    <cellStyle name="40% - Accent4 4 2 2 2 2 4 4" xfId="24520" xr:uid="{00000000-0005-0000-0000-00004C430000}"/>
    <cellStyle name="40% - Accent4 4 2 2 2 2 4 4 2" xfId="24521" xr:uid="{00000000-0005-0000-0000-00004D430000}"/>
    <cellStyle name="40% - Accent4 4 2 2 2 2 4 5" xfId="24522" xr:uid="{00000000-0005-0000-0000-00004E430000}"/>
    <cellStyle name="40% - Accent4 4 2 2 2 2 4 6" xfId="24523" xr:uid="{00000000-0005-0000-0000-00004F430000}"/>
    <cellStyle name="40% - Accent4 4 2 2 2 2 5" xfId="24524" xr:uid="{00000000-0005-0000-0000-000050430000}"/>
    <cellStyle name="40% - Accent4 4 2 2 2 2 5 2" xfId="24525" xr:uid="{00000000-0005-0000-0000-000051430000}"/>
    <cellStyle name="40% - Accent4 4 2 2 2 2 5 2 2" xfId="24526" xr:uid="{00000000-0005-0000-0000-000052430000}"/>
    <cellStyle name="40% - Accent4 4 2 2 2 2 5 2 3" xfId="24527" xr:uid="{00000000-0005-0000-0000-000053430000}"/>
    <cellStyle name="40% - Accent4 4 2 2 2 2 5 3" xfId="24528" xr:uid="{00000000-0005-0000-0000-000054430000}"/>
    <cellStyle name="40% - Accent4 4 2 2 2 2 5 3 2" xfId="24529" xr:uid="{00000000-0005-0000-0000-000055430000}"/>
    <cellStyle name="40% - Accent4 4 2 2 2 2 5 4" xfId="24530" xr:uid="{00000000-0005-0000-0000-000056430000}"/>
    <cellStyle name="40% - Accent4 4 2 2 2 2 5 5" xfId="24531" xr:uid="{00000000-0005-0000-0000-000057430000}"/>
    <cellStyle name="40% - Accent4 4 2 2 2 2 6" xfId="24532" xr:uid="{00000000-0005-0000-0000-000058430000}"/>
    <cellStyle name="40% - Accent4 4 2 2 2 2 6 2" xfId="24533" xr:uid="{00000000-0005-0000-0000-000059430000}"/>
    <cellStyle name="40% - Accent4 4 2 2 2 2 6 3" xfId="24534" xr:uid="{00000000-0005-0000-0000-00005A430000}"/>
    <cellStyle name="40% - Accent4 4 2 2 2 2 7" xfId="24535" xr:uid="{00000000-0005-0000-0000-00005B430000}"/>
    <cellStyle name="40% - Accent4 4 2 2 2 2 7 2" xfId="24536" xr:uid="{00000000-0005-0000-0000-00005C430000}"/>
    <cellStyle name="40% - Accent4 4 2 2 2 2 7 3" xfId="24537" xr:uid="{00000000-0005-0000-0000-00005D430000}"/>
    <cellStyle name="40% - Accent4 4 2 2 2 2 8" xfId="24538" xr:uid="{00000000-0005-0000-0000-00005E430000}"/>
    <cellStyle name="40% - Accent4 4 2 2 2 2 8 2" xfId="24539" xr:uid="{00000000-0005-0000-0000-00005F430000}"/>
    <cellStyle name="40% - Accent4 4 2 2 2 2 9" xfId="24540" xr:uid="{00000000-0005-0000-0000-000060430000}"/>
    <cellStyle name="40% - Accent4 4 2 2 2 3" xfId="2219" xr:uid="{00000000-0005-0000-0000-000061430000}"/>
    <cellStyle name="40% - Accent4 4 2 2 2 3 2" xfId="24541" xr:uid="{00000000-0005-0000-0000-000062430000}"/>
    <cellStyle name="40% - Accent4 4 2 2 2 3 2 2" xfId="24542" xr:uid="{00000000-0005-0000-0000-000063430000}"/>
    <cellStyle name="40% - Accent4 4 2 2 2 3 2 2 2" xfId="24543" xr:uid="{00000000-0005-0000-0000-000064430000}"/>
    <cellStyle name="40% - Accent4 4 2 2 2 3 2 2 3" xfId="24544" xr:uid="{00000000-0005-0000-0000-000065430000}"/>
    <cellStyle name="40% - Accent4 4 2 2 2 3 2 3" xfId="24545" xr:uid="{00000000-0005-0000-0000-000066430000}"/>
    <cellStyle name="40% - Accent4 4 2 2 2 3 2 3 2" xfId="24546" xr:uid="{00000000-0005-0000-0000-000067430000}"/>
    <cellStyle name="40% - Accent4 4 2 2 2 3 2 3 3" xfId="24547" xr:uid="{00000000-0005-0000-0000-000068430000}"/>
    <cellStyle name="40% - Accent4 4 2 2 2 3 2 4" xfId="24548" xr:uid="{00000000-0005-0000-0000-000069430000}"/>
    <cellStyle name="40% - Accent4 4 2 2 2 3 2 4 2" xfId="24549" xr:uid="{00000000-0005-0000-0000-00006A430000}"/>
    <cellStyle name="40% - Accent4 4 2 2 2 3 2 5" xfId="24550" xr:uid="{00000000-0005-0000-0000-00006B430000}"/>
    <cellStyle name="40% - Accent4 4 2 2 2 3 2 6" xfId="24551" xr:uid="{00000000-0005-0000-0000-00006C430000}"/>
    <cellStyle name="40% - Accent4 4 2 2 2 3 3" xfId="24552" xr:uid="{00000000-0005-0000-0000-00006D430000}"/>
    <cellStyle name="40% - Accent4 4 2 2 2 3 3 2" xfId="24553" xr:uid="{00000000-0005-0000-0000-00006E430000}"/>
    <cellStyle name="40% - Accent4 4 2 2 2 3 3 2 2" xfId="24554" xr:uid="{00000000-0005-0000-0000-00006F430000}"/>
    <cellStyle name="40% - Accent4 4 2 2 2 3 3 2 3" xfId="24555" xr:uid="{00000000-0005-0000-0000-000070430000}"/>
    <cellStyle name="40% - Accent4 4 2 2 2 3 3 3" xfId="24556" xr:uid="{00000000-0005-0000-0000-000071430000}"/>
    <cellStyle name="40% - Accent4 4 2 2 2 3 3 3 2" xfId="24557" xr:uid="{00000000-0005-0000-0000-000072430000}"/>
    <cellStyle name="40% - Accent4 4 2 2 2 3 3 3 3" xfId="24558" xr:uid="{00000000-0005-0000-0000-000073430000}"/>
    <cellStyle name="40% - Accent4 4 2 2 2 3 3 4" xfId="24559" xr:uid="{00000000-0005-0000-0000-000074430000}"/>
    <cellStyle name="40% - Accent4 4 2 2 2 3 3 4 2" xfId="24560" xr:uid="{00000000-0005-0000-0000-000075430000}"/>
    <cellStyle name="40% - Accent4 4 2 2 2 3 3 5" xfId="24561" xr:uid="{00000000-0005-0000-0000-000076430000}"/>
    <cellStyle name="40% - Accent4 4 2 2 2 3 3 6" xfId="24562" xr:uid="{00000000-0005-0000-0000-000077430000}"/>
    <cellStyle name="40% - Accent4 4 2 2 2 3 4" xfId="24563" xr:uid="{00000000-0005-0000-0000-000078430000}"/>
    <cellStyle name="40% - Accent4 4 2 2 2 3 4 2" xfId="24564" xr:uid="{00000000-0005-0000-0000-000079430000}"/>
    <cellStyle name="40% - Accent4 4 2 2 2 3 4 2 2" xfId="24565" xr:uid="{00000000-0005-0000-0000-00007A430000}"/>
    <cellStyle name="40% - Accent4 4 2 2 2 3 4 2 3" xfId="24566" xr:uid="{00000000-0005-0000-0000-00007B430000}"/>
    <cellStyle name="40% - Accent4 4 2 2 2 3 4 3" xfId="24567" xr:uid="{00000000-0005-0000-0000-00007C430000}"/>
    <cellStyle name="40% - Accent4 4 2 2 2 3 4 3 2" xfId="24568" xr:uid="{00000000-0005-0000-0000-00007D430000}"/>
    <cellStyle name="40% - Accent4 4 2 2 2 3 4 4" xfId="24569" xr:uid="{00000000-0005-0000-0000-00007E430000}"/>
    <cellStyle name="40% - Accent4 4 2 2 2 3 4 5" xfId="24570" xr:uid="{00000000-0005-0000-0000-00007F430000}"/>
    <cellStyle name="40% - Accent4 4 2 2 2 3 5" xfId="24571" xr:uid="{00000000-0005-0000-0000-000080430000}"/>
    <cellStyle name="40% - Accent4 4 2 2 2 3 5 2" xfId="24572" xr:uid="{00000000-0005-0000-0000-000081430000}"/>
    <cellStyle name="40% - Accent4 4 2 2 2 3 5 3" xfId="24573" xr:uid="{00000000-0005-0000-0000-000082430000}"/>
    <cellStyle name="40% - Accent4 4 2 2 2 3 6" xfId="24574" xr:uid="{00000000-0005-0000-0000-000083430000}"/>
    <cellStyle name="40% - Accent4 4 2 2 2 3 6 2" xfId="24575" xr:uid="{00000000-0005-0000-0000-000084430000}"/>
    <cellStyle name="40% - Accent4 4 2 2 2 3 6 3" xfId="24576" xr:uid="{00000000-0005-0000-0000-000085430000}"/>
    <cellStyle name="40% - Accent4 4 2 2 2 3 7" xfId="24577" xr:uid="{00000000-0005-0000-0000-000086430000}"/>
    <cellStyle name="40% - Accent4 4 2 2 2 3 7 2" xfId="24578" xr:uid="{00000000-0005-0000-0000-000087430000}"/>
    <cellStyle name="40% - Accent4 4 2 2 2 3 8" xfId="24579" xr:uid="{00000000-0005-0000-0000-000088430000}"/>
    <cellStyle name="40% - Accent4 4 2 2 2 3 9" xfId="24580" xr:uid="{00000000-0005-0000-0000-000089430000}"/>
    <cellStyle name="40% - Accent4 4 2 2 2 4" xfId="24581" xr:uid="{00000000-0005-0000-0000-00008A430000}"/>
    <cellStyle name="40% - Accent4 4 2 2 2 4 2" xfId="24582" xr:uid="{00000000-0005-0000-0000-00008B430000}"/>
    <cellStyle name="40% - Accent4 4 2 2 2 4 2 2" xfId="24583" xr:uid="{00000000-0005-0000-0000-00008C430000}"/>
    <cellStyle name="40% - Accent4 4 2 2 2 4 2 2 2" xfId="24584" xr:uid="{00000000-0005-0000-0000-00008D430000}"/>
    <cellStyle name="40% - Accent4 4 2 2 2 4 2 2 3" xfId="24585" xr:uid="{00000000-0005-0000-0000-00008E430000}"/>
    <cellStyle name="40% - Accent4 4 2 2 2 4 2 3" xfId="24586" xr:uid="{00000000-0005-0000-0000-00008F430000}"/>
    <cellStyle name="40% - Accent4 4 2 2 2 4 2 3 2" xfId="24587" xr:uid="{00000000-0005-0000-0000-000090430000}"/>
    <cellStyle name="40% - Accent4 4 2 2 2 4 2 3 3" xfId="24588" xr:uid="{00000000-0005-0000-0000-000091430000}"/>
    <cellStyle name="40% - Accent4 4 2 2 2 4 2 4" xfId="24589" xr:uid="{00000000-0005-0000-0000-000092430000}"/>
    <cellStyle name="40% - Accent4 4 2 2 2 4 2 4 2" xfId="24590" xr:uid="{00000000-0005-0000-0000-000093430000}"/>
    <cellStyle name="40% - Accent4 4 2 2 2 4 2 5" xfId="24591" xr:uid="{00000000-0005-0000-0000-000094430000}"/>
    <cellStyle name="40% - Accent4 4 2 2 2 4 2 6" xfId="24592" xr:uid="{00000000-0005-0000-0000-000095430000}"/>
    <cellStyle name="40% - Accent4 4 2 2 2 4 3" xfId="24593" xr:uid="{00000000-0005-0000-0000-000096430000}"/>
    <cellStyle name="40% - Accent4 4 2 2 2 4 3 2" xfId="24594" xr:uid="{00000000-0005-0000-0000-000097430000}"/>
    <cellStyle name="40% - Accent4 4 2 2 2 4 3 2 2" xfId="24595" xr:uid="{00000000-0005-0000-0000-000098430000}"/>
    <cellStyle name="40% - Accent4 4 2 2 2 4 3 2 3" xfId="24596" xr:uid="{00000000-0005-0000-0000-000099430000}"/>
    <cellStyle name="40% - Accent4 4 2 2 2 4 3 3" xfId="24597" xr:uid="{00000000-0005-0000-0000-00009A430000}"/>
    <cellStyle name="40% - Accent4 4 2 2 2 4 3 3 2" xfId="24598" xr:uid="{00000000-0005-0000-0000-00009B430000}"/>
    <cellStyle name="40% - Accent4 4 2 2 2 4 3 3 3" xfId="24599" xr:uid="{00000000-0005-0000-0000-00009C430000}"/>
    <cellStyle name="40% - Accent4 4 2 2 2 4 3 4" xfId="24600" xr:uid="{00000000-0005-0000-0000-00009D430000}"/>
    <cellStyle name="40% - Accent4 4 2 2 2 4 3 4 2" xfId="24601" xr:uid="{00000000-0005-0000-0000-00009E430000}"/>
    <cellStyle name="40% - Accent4 4 2 2 2 4 3 5" xfId="24602" xr:uid="{00000000-0005-0000-0000-00009F430000}"/>
    <cellStyle name="40% - Accent4 4 2 2 2 4 3 6" xfId="24603" xr:uid="{00000000-0005-0000-0000-0000A0430000}"/>
    <cellStyle name="40% - Accent4 4 2 2 2 4 4" xfId="24604" xr:uid="{00000000-0005-0000-0000-0000A1430000}"/>
    <cellStyle name="40% - Accent4 4 2 2 2 4 4 2" xfId="24605" xr:uid="{00000000-0005-0000-0000-0000A2430000}"/>
    <cellStyle name="40% - Accent4 4 2 2 2 4 4 2 2" xfId="24606" xr:uid="{00000000-0005-0000-0000-0000A3430000}"/>
    <cellStyle name="40% - Accent4 4 2 2 2 4 4 2 3" xfId="24607" xr:uid="{00000000-0005-0000-0000-0000A4430000}"/>
    <cellStyle name="40% - Accent4 4 2 2 2 4 4 3" xfId="24608" xr:uid="{00000000-0005-0000-0000-0000A5430000}"/>
    <cellStyle name="40% - Accent4 4 2 2 2 4 4 3 2" xfId="24609" xr:uid="{00000000-0005-0000-0000-0000A6430000}"/>
    <cellStyle name="40% - Accent4 4 2 2 2 4 4 4" xfId="24610" xr:uid="{00000000-0005-0000-0000-0000A7430000}"/>
    <cellStyle name="40% - Accent4 4 2 2 2 4 4 5" xfId="24611" xr:uid="{00000000-0005-0000-0000-0000A8430000}"/>
    <cellStyle name="40% - Accent4 4 2 2 2 4 5" xfId="24612" xr:uid="{00000000-0005-0000-0000-0000A9430000}"/>
    <cellStyle name="40% - Accent4 4 2 2 2 4 5 2" xfId="24613" xr:uid="{00000000-0005-0000-0000-0000AA430000}"/>
    <cellStyle name="40% - Accent4 4 2 2 2 4 5 3" xfId="24614" xr:uid="{00000000-0005-0000-0000-0000AB430000}"/>
    <cellStyle name="40% - Accent4 4 2 2 2 4 6" xfId="24615" xr:uid="{00000000-0005-0000-0000-0000AC430000}"/>
    <cellStyle name="40% - Accent4 4 2 2 2 4 6 2" xfId="24616" xr:uid="{00000000-0005-0000-0000-0000AD430000}"/>
    <cellStyle name="40% - Accent4 4 2 2 2 4 6 3" xfId="24617" xr:uid="{00000000-0005-0000-0000-0000AE430000}"/>
    <cellStyle name="40% - Accent4 4 2 2 2 4 7" xfId="24618" xr:uid="{00000000-0005-0000-0000-0000AF430000}"/>
    <cellStyle name="40% - Accent4 4 2 2 2 4 7 2" xfId="24619" xr:uid="{00000000-0005-0000-0000-0000B0430000}"/>
    <cellStyle name="40% - Accent4 4 2 2 2 4 8" xfId="24620" xr:uid="{00000000-0005-0000-0000-0000B1430000}"/>
    <cellStyle name="40% - Accent4 4 2 2 2 4 9" xfId="24621" xr:uid="{00000000-0005-0000-0000-0000B2430000}"/>
    <cellStyle name="40% - Accent4 4 2 2 2 5" xfId="24622" xr:uid="{00000000-0005-0000-0000-0000B3430000}"/>
    <cellStyle name="40% - Accent4 4 2 2 2 5 2" xfId="24623" xr:uid="{00000000-0005-0000-0000-0000B4430000}"/>
    <cellStyle name="40% - Accent4 4 2 2 2 5 2 2" xfId="24624" xr:uid="{00000000-0005-0000-0000-0000B5430000}"/>
    <cellStyle name="40% - Accent4 4 2 2 2 5 2 3" xfId="24625" xr:uid="{00000000-0005-0000-0000-0000B6430000}"/>
    <cellStyle name="40% - Accent4 4 2 2 2 5 3" xfId="24626" xr:uid="{00000000-0005-0000-0000-0000B7430000}"/>
    <cellStyle name="40% - Accent4 4 2 2 2 5 3 2" xfId="24627" xr:uid="{00000000-0005-0000-0000-0000B8430000}"/>
    <cellStyle name="40% - Accent4 4 2 2 2 5 3 3" xfId="24628" xr:uid="{00000000-0005-0000-0000-0000B9430000}"/>
    <cellStyle name="40% - Accent4 4 2 2 2 5 4" xfId="24629" xr:uid="{00000000-0005-0000-0000-0000BA430000}"/>
    <cellStyle name="40% - Accent4 4 2 2 2 5 4 2" xfId="24630" xr:uid="{00000000-0005-0000-0000-0000BB430000}"/>
    <cellStyle name="40% - Accent4 4 2 2 2 5 5" xfId="24631" xr:uid="{00000000-0005-0000-0000-0000BC430000}"/>
    <cellStyle name="40% - Accent4 4 2 2 2 5 6" xfId="24632" xr:uid="{00000000-0005-0000-0000-0000BD430000}"/>
    <cellStyle name="40% - Accent4 4 2 2 2 6" xfId="24633" xr:uid="{00000000-0005-0000-0000-0000BE430000}"/>
    <cellStyle name="40% - Accent4 4 2 2 2 6 2" xfId="24634" xr:uid="{00000000-0005-0000-0000-0000BF430000}"/>
    <cellStyle name="40% - Accent4 4 2 2 2 6 2 2" xfId="24635" xr:uid="{00000000-0005-0000-0000-0000C0430000}"/>
    <cellStyle name="40% - Accent4 4 2 2 2 6 2 3" xfId="24636" xr:uid="{00000000-0005-0000-0000-0000C1430000}"/>
    <cellStyle name="40% - Accent4 4 2 2 2 6 3" xfId="24637" xr:uid="{00000000-0005-0000-0000-0000C2430000}"/>
    <cellStyle name="40% - Accent4 4 2 2 2 6 3 2" xfId="24638" xr:uid="{00000000-0005-0000-0000-0000C3430000}"/>
    <cellStyle name="40% - Accent4 4 2 2 2 6 3 3" xfId="24639" xr:uid="{00000000-0005-0000-0000-0000C4430000}"/>
    <cellStyle name="40% - Accent4 4 2 2 2 6 4" xfId="24640" xr:uid="{00000000-0005-0000-0000-0000C5430000}"/>
    <cellStyle name="40% - Accent4 4 2 2 2 6 4 2" xfId="24641" xr:uid="{00000000-0005-0000-0000-0000C6430000}"/>
    <cellStyle name="40% - Accent4 4 2 2 2 6 5" xfId="24642" xr:uid="{00000000-0005-0000-0000-0000C7430000}"/>
    <cellStyle name="40% - Accent4 4 2 2 2 6 6" xfId="24643" xr:uid="{00000000-0005-0000-0000-0000C8430000}"/>
    <cellStyle name="40% - Accent4 4 2 2 2 7" xfId="24644" xr:uid="{00000000-0005-0000-0000-0000C9430000}"/>
    <cellStyle name="40% - Accent4 4 2 2 2 7 2" xfId="24645" xr:uid="{00000000-0005-0000-0000-0000CA430000}"/>
    <cellStyle name="40% - Accent4 4 2 2 2 7 2 2" xfId="24646" xr:uid="{00000000-0005-0000-0000-0000CB430000}"/>
    <cellStyle name="40% - Accent4 4 2 2 2 7 2 3" xfId="24647" xr:uid="{00000000-0005-0000-0000-0000CC430000}"/>
    <cellStyle name="40% - Accent4 4 2 2 2 7 3" xfId="24648" xr:uid="{00000000-0005-0000-0000-0000CD430000}"/>
    <cellStyle name="40% - Accent4 4 2 2 2 7 3 2" xfId="24649" xr:uid="{00000000-0005-0000-0000-0000CE430000}"/>
    <cellStyle name="40% - Accent4 4 2 2 2 7 4" xfId="24650" xr:uid="{00000000-0005-0000-0000-0000CF430000}"/>
    <cellStyle name="40% - Accent4 4 2 2 2 7 5" xfId="24651" xr:uid="{00000000-0005-0000-0000-0000D0430000}"/>
    <cellStyle name="40% - Accent4 4 2 2 2 8" xfId="24652" xr:uid="{00000000-0005-0000-0000-0000D1430000}"/>
    <cellStyle name="40% - Accent4 4 2 2 2 8 2" xfId="24653" xr:uid="{00000000-0005-0000-0000-0000D2430000}"/>
    <cellStyle name="40% - Accent4 4 2 2 2 8 3" xfId="24654" xr:uid="{00000000-0005-0000-0000-0000D3430000}"/>
    <cellStyle name="40% - Accent4 4 2 2 2 9" xfId="24655" xr:uid="{00000000-0005-0000-0000-0000D4430000}"/>
    <cellStyle name="40% - Accent4 4 2 2 2 9 2" xfId="24656" xr:uid="{00000000-0005-0000-0000-0000D5430000}"/>
    <cellStyle name="40% - Accent4 4 2 2 2 9 3" xfId="24657" xr:uid="{00000000-0005-0000-0000-0000D6430000}"/>
    <cellStyle name="40% - Accent4 4 2 2 3" xfId="2220" xr:uid="{00000000-0005-0000-0000-0000D7430000}"/>
    <cellStyle name="40% - Accent4 4 2 2 3 10" xfId="24658" xr:uid="{00000000-0005-0000-0000-0000D8430000}"/>
    <cellStyle name="40% - Accent4 4 2 2 3 2" xfId="2221" xr:uid="{00000000-0005-0000-0000-0000D9430000}"/>
    <cellStyle name="40% - Accent4 4 2 2 3 2 2" xfId="24659" xr:uid="{00000000-0005-0000-0000-0000DA430000}"/>
    <cellStyle name="40% - Accent4 4 2 2 3 2 2 2" xfId="24660" xr:uid="{00000000-0005-0000-0000-0000DB430000}"/>
    <cellStyle name="40% - Accent4 4 2 2 3 2 2 2 2" xfId="24661" xr:uid="{00000000-0005-0000-0000-0000DC430000}"/>
    <cellStyle name="40% - Accent4 4 2 2 3 2 2 2 3" xfId="24662" xr:uid="{00000000-0005-0000-0000-0000DD430000}"/>
    <cellStyle name="40% - Accent4 4 2 2 3 2 2 3" xfId="24663" xr:uid="{00000000-0005-0000-0000-0000DE430000}"/>
    <cellStyle name="40% - Accent4 4 2 2 3 2 2 3 2" xfId="24664" xr:uid="{00000000-0005-0000-0000-0000DF430000}"/>
    <cellStyle name="40% - Accent4 4 2 2 3 2 2 3 3" xfId="24665" xr:uid="{00000000-0005-0000-0000-0000E0430000}"/>
    <cellStyle name="40% - Accent4 4 2 2 3 2 2 4" xfId="24666" xr:uid="{00000000-0005-0000-0000-0000E1430000}"/>
    <cellStyle name="40% - Accent4 4 2 2 3 2 2 4 2" xfId="24667" xr:uid="{00000000-0005-0000-0000-0000E2430000}"/>
    <cellStyle name="40% - Accent4 4 2 2 3 2 2 5" xfId="24668" xr:uid="{00000000-0005-0000-0000-0000E3430000}"/>
    <cellStyle name="40% - Accent4 4 2 2 3 2 2 6" xfId="24669" xr:uid="{00000000-0005-0000-0000-0000E4430000}"/>
    <cellStyle name="40% - Accent4 4 2 2 3 2 3" xfId="24670" xr:uid="{00000000-0005-0000-0000-0000E5430000}"/>
    <cellStyle name="40% - Accent4 4 2 2 3 2 3 2" xfId="24671" xr:uid="{00000000-0005-0000-0000-0000E6430000}"/>
    <cellStyle name="40% - Accent4 4 2 2 3 2 3 2 2" xfId="24672" xr:uid="{00000000-0005-0000-0000-0000E7430000}"/>
    <cellStyle name="40% - Accent4 4 2 2 3 2 3 2 3" xfId="24673" xr:uid="{00000000-0005-0000-0000-0000E8430000}"/>
    <cellStyle name="40% - Accent4 4 2 2 3 2 3 3" xfId="24674" xr:uid="{00000000-0005-0000-0000-0000E9430000}"/>
    <cellStyle name="40% - Accent4 4 2 2 3 2 3 3 2" xfId="24675" xr:uid="{00000000-0005-0000-0000-0000EA430000}"/>
    <cellStyle name="40% - Accent4 4 2 2 3 2 3 3 3" xfId="24676" xr:uid="{00000000-0005-0000-0000-0000EB430000}"/>
    <cellStyle name="40% - Accent4 4 2 2 3 2 3 4" xfId="24677" xr:uid="{00000000-0005-0000-0000-0000EC430000}"/>
    <cellStyle name="40% - Accent4 4 2 2 3 2 3 4 2" xfId="24678" xr:uid="{00000000-0005-0000-0000-0000ED430000}"/>
    <cellStyle name="40% - Accent4 4 2 2 3 2 3 5" xfId="24679" xr:uid="{00000000-0005-0000-0000-0000EE430000}"/>
    <cellStyle name="40% - Accent4 4 2 2 3 2 3 6" xfId="24680" xr:uid="{00000000-0005-0000-0000-0000EF430000}"/>
    <cellStyle name="40% - Accent4 4 2 2 3 2 4" xfId="24681" xr:uid="{00000000-0005-0000-0000-0000F0430000}"/>
    <cellStyle name="40% - Accent4 4 2 2 3 2 4 2" xfId="24682" xr:uid="{00000000-0005-0000-0000-0000F1430000}"/>
    <cellStyle name="40% - Accent4 4 2 2 3 2 4 2 2" xfId="24683" xr:uid="{00000000-0005-0000-0000-0000F2430000}"/>
    <cellStyle name="40% - Accent4 4 2 2 3 2 4 2 3" xfId="24684" xr:uid="{00000000-0005-0000-0000-0000F3430000}"/>
    <cellStyle name="40% - Accent4 4 2 2 3 2 4 3" xfId="24685" xr:uid="{00000000-0005-0000-0000-0000F4430000}"/>
    <cellStyle name="40% - Accent4 4 2 2 3 2 4 3 2" xfId="24686" xr:uid="{00000000-0005-0000-0000-0000F5430000}"/>
    <cellStyle name="40% - Accent4 4 2 2 3 2 4 4" xfId="24687" xr:uid="{00000000-0005-0000-0000-0000F6430000}"/>
    <cellStyle name="40% - Accent4 4 2 2 3 2 4 5" xfId="24688" xr:uid="{00000000-0005-0000-0000-0000F7430000}"/>
    <cellStyle name="40% - Accent4 4 2 2 3 2 5" xfId="24689" xr:uid="{00000000-0005-0000-0000-0000F8430000}"/>
    <cellStyle name="40% - Accent4 4 2 2 3 2 5 2" xfId="24690" xr:uid="{00000000-0005-0000-0000-0000F9430000}"/>
    <cellStyle name="40% - Accent4 4 2 2 3 2 5 3" xfId="24691" xr:uid="{00000000-0005-0000-0000-0000FA430000}"/>
    <cellStyle name="40% - Accent4 4 2 2 3 2 6" xfId="24692" xr:uid="{00000000-0005-0000-0000-0000FB430000}"/>
    <cellStyle name="40% - Accent4 4 2 2 3 2 6 2" xfId="24693" xr:uid="{00000000-0005-0000-0000-0000FC430000}"/>
    <cellStyle name="40% - Accent4 4 2 2 3 2 6 3" xfId="24694" xr:uid="{00000000-0005-0000-0000-0000FD430000}"/>
    <cellStyle name="40% - Accent4 4 2 2 3 2 7" xfId="24695" xr:uid="{00000000-0005-0000-0000-0000FE430000}"/>
    <cellStyle name="40% - Accent4 4 2 2 3 2 7 2" xfId="24696" xr:uid="{00000000-0005-0000-0000-0000FF430000}"/>
    <cellStyle name="40% - Accent4 4 2 2 3 2 8" xfId="24697" xr:uid="{00000000-0005-0000-0000-000000440000}"/>
    <cellStyle name="40% - Accent4 4 2 2 3 2 9" xfId="24698" xr:uid="{00000000-0005-0000-0000-000001440000}"/>
    <cellStyle name="40% - Accent4 4 2 2 3 3" xfId="24699" xr:uid="{00000000-0005-0000-0000-000002440000}"/>
    <cellStyle name="40% - Accent4 4 2 2 3 3 2" xfId="24700" xr:uid="{00000000-0005-0000-0000-000003440000}"/>
    <cellStyle name="40% - Accent4 4 2 2 3 3 2 2" xfId="24701" xr:uid="{00000000-0005-0000-0000-000004440000}"/>
    <cellStyle name="40% - Accent4 4 2 2 3 3 2 3" xfId="24702" xr:uid="{00000000-0005-0000-0000-000005440000}"/>
    <cellStyle name="40% - Accent4 4 2 2 3 3 3" xfId="24703" xr:uid="{00000000-0005-0000-0000-000006440000}"/>
    <cellStyle name="40% - Accent4 4 2 2 3 3 3 2" xfId="24704" xr:uid="{00000000-0005-0000-0000-000007440000}"/>
    <cellStyle name="40% - Accent4 4 2 2 3 3 3 3" xfId="24705" xr:uid="{00000000-0005-0000-0000-000008440000}"/>
    <cellStyle name="40% - Accent4 4 2 2 3 3 4" xfId="24706" xr:uid="{00000000-0005-0000-0000-000009440000}"/>
    <cellStyle name="40% - Accent4 4 2 2 3 3 4 2" xfId="24707" xr:uid="{00000000-0005-0000-0000-00000A440000}"/>
    <cellStyle name="40% - Accent4 4 2 2 3 3 5" xfId="24708" xr:uid="{00000000-0005-0000-0000-00000B440000}"/>
    <cellStyle name="40% - Accent4 4 2 2 3 3 6" xfId="24709" xr:uid="{00000000-0005-0000-0000-00000C440000}"/>
    <cellStyle name="40% - Accent4 4 2 2 3 4" xfId="24710" xr:uid="{00000000-0005-0000-0000-00000D440000}"/>
    <cellStyle name="40% - Accent4 4 2 2 3 4 2" xfId="24711" xr:uid="{00000000-0005-0000-0000-00000E440000}"/>
    <cellStyle name="40% - Accent4 4 2 2 3 4 2 2" xfId="24712" xr:uid="{00000000-0005-0000-0000-00000F440000}"/>
    <cellStyle name="40% - Accent4 4 2 2 3 4 2 3" xfId="24713" xr:uid="{00000000-0005-0000-0000-000010440000}"/>
    <cellStyle name="40% - Accent4 4 2 2 3 4 3" xfId="24714" xr:uid="{00000000-0005-0000-0000-000011440000}"/>
    <cellStyle name="40% - Accent4 4 2 2 3 4 3 2" xfId="24715" xr:uid="{00000000-0005-0000-0000-000012440000}"/>
    <cellStyle name="40% - Accent4 4 2 2 3 4 3 3" xfId="24716" xr:uid="{00000000-0005-0000-0000-000013440000}"/>
    <cellStyle name="40% - Accent4 4 2 2 3 4 4" xfId="24717" xr:uid="{00000000-0005-0000-0000-000014440000}"/>
    <cellStyle name="40% - Accent4 4 2 2 3 4 4 2" xfId="24718" xr:uid="{00000000-0005-0000-0000-000015440000}"/>
    <cellStyle name="40% - Accent4 4 2 2 3 4 5" xfId="24719" xr:uid="{00000000-0005-0000-0000-000016440000}"/>
    <cellStyle name="40% - Accent4 4 2 2 3 4 6" xfId="24720" xr:uid="{00000000-0005-0000-0000-000017440000}"/>
    <cellStyle name="40% - Accent4 4 2 2 3 5" xfId="24721" xr:uid="{00000000-0005-0000-0000-000018440000}"/>
    <cellStyle name="40% - Accent4 4 2 2 3 5 2" xfId="24722" xr:uid="{00000000-0005-0000-0000-000019440000}"/>
    <cellStyle name="40% - Accent4 4 2 2 3 5 2 2" xfId="24723" xr:uid="{00000000-0005-0000-0000-00001A440000}"/>
    <cellStyle name="40% - Accent4 4 2 2 3 5 2 3" xfId="24724" xr:uid="{00000000-0005-0000-0000-00001B440000}"/>
    <cellStyle name="40% - Accent4 4 2 2 3 5 3" xfId="24725" xr:uid="{00000000-0005-0000-0000-00001C440000}"/>
    <cellStyle name="40% - Accent4 4 2 2 3 5 3 2" xfId="24726" xr:uid="{00000000-0005-0000-0000-00001D440000}"/>
    <cellStyle name="40% - Accent4 4 2 2 3 5 4" xfId="24727" xr:uid="{00000000-0005-0000-0000-00001E440000}"/>
    <cellStyle name="40% - Accent4 4 2 2 3 5 5" xfId="24728" xr:uid="{00000000-0005-0000-0000-00001F440000}"/>
    <cellStyle name="40% - Accent4 4 2 2 3 6" xfId="24729" xr:uid="{00000000-0005-0000-0000-000020440000}"/>
    <cellStyle name="40% - Accent4 4 2 2 3 6 2" xfId="24730" xr:uid="{00000000-0005-0000-0000-000021440000}"/>
    <cellStyle name="40% - Accent4 4 2 2 3 6 3" xfId="24731" xr:uid="{00000000-0005-0000-0000-000022440000}"/>
    <cellStyle name="40% - Accent4 4 2 2 3 7" xfId="24732" xr:uid="{00000000-0005-0000-0000-000023440000}"/>
    <cellStyle name="40% - Accent4 4 2 2 3 7 2" xfId="24733" xr:uid="{00000000-0005-0000-0000-000024440000}"/>
    <cellStyle name="40% - Accent4 4 2 2 3 7 3" xfId="24734" xr:uid="{00000000-0005-0000-0000-000025440000}"/>
    <cellStyle name="40% - Accent4 4 2 2 3 8" xfId="24735" xr:uid="{00000000-0005-0000-0000-000026440000}"/>
    <cellStyle name="40% - Accent4 4 2 2 3 8 2" xfId="24736" xr:uid="{00000000-0005-0000-0000-000027440000}"/>
    <cellStyle name="40% - Accent4 4 2 2 3 9" xfId="24737" xr:uid="{00000000-0005-0000-0000-000028440000}"/>
    <cellStyle name="40% - Accent4 4 2 2 4" xfId="2222" xr:uid="{00000000-0005-0000-0000-000029440000}"/>
    <cellStyle name="40% - Accent4 4 2 2 4 2" xfId="24738" xr:uid="{00000000-0005-0000-0000-00002A440000}"/>
    <cellStyle name="40% - Accent4 4 2 2 4 2 2" xfId="24739" xr:uid="{00000000-0005-0000-0000-00002B440000}"/>
    <cellStyle name="40% - Accent4 4 2 2 4 2 2 2" xfId="24740" xr:uid="{00000000-0005-0000-0000-00002C440000}"/>
    <cellStyle name="40% - Accent4 4 2 2 4 2 2 3" xfId="24741" xr:uid="{00000000-0005-0000-0000-00002D440000}"/>
    <cellStyle name="40% - Accent4 4 2 2 4 2 3" xfId="24742" xr:uid="{00000000-0005-0000-0000-00002E440000}"/>
    <cellStyle name="40% - Accent4 4 2 2 4 2 3 2" xfId="24743" xr:uid="{00000000-0005-0000-0000-00002F440000}"/>
    <cellStyle name="40% - Accent4 4 2 2 4 2 3 3" xfId="24744" xr:uid="{00000000-0005-0000-0000-000030440000}"/>
    <cellStyle name="40% - Accent4 4 2 2 4 2 4" xfId="24745" xr:uid="{00000000-0005-0000-0000-000031440000}"/>
    <cellStyle name="40% - Accent4 4 2 2 4 2 4 2" xfId="24746" xr:uid="{00000000-0005-0000-0000-000032440000}"/>
    <cellStyle name="40% - Accent4 4 2 2 4 2 5" xfId="24747" xr:uid="{00000000-0005-0000-0000-000033440000}"/>
    <cellStyle name="40% - Accent4 4 2 2 4 2 6" xfId="24748" xr:uid="{00000000-0005-0000-0000-000034440000}"/>
    <cellStyle name="40% - Accent4 4 2 2 4 3" xfId="24749" xr:uid="{00000000-0005-0000-0000-000035440000}"/>
    <cellStyle name="40% - Accent4 4 2 2 4 3 2" xfId="24750" xr:uid="{00000000-0005-0000-0000-000036440000}"/>
    <cellStyle name="40% - Accent4 4 2 2 4 3 2 2" xfId="24751" xr:uid="{00000000-0005-0000-0000-000037440000}"/>
    <cellStyle name="40% - Accent4 4 2 2 4 3 2 3" xfId="24752" xr:uid="{00000000-0005-0000-0000-000038440000}"/>
    <cellStyle name="40% - Accent4 4 2 2 4 3 3" xfId="24753" xr:uid="{00000000-0005-0000-0000-000039440000}"/>
    <cellStyle name="40% - Accent4 4 2 2 4 3 3 2" xfId="24754" xr:uid="{00000000-0005-0000-0000-00003A440000}"/>
    <cellStyle name="40% - Accent4 4 2 2 4 3 3 3" xfId="24755" xr:uid="{00000000-0005-0000-0000-00003B440000}"/>
    <cellStyle name="40% - Accent4 4 2 2 4 3 4" xfId="24756" xr:uid="{00000000-0005-0000-0000-00003C440000}"/>
    <cellStyle name="40% - Accent4 4 2 2 4 3 4 2" xfId="24757" xr:uid="{00000000-0005-0000-0000-00003D440000}"/>
    <cellStyle name="40% - Accent4 4 2 2 4 3 5" xfId="24758" xr:uid="{00000000-0005-0000-0000-00003E440000}"/>
    <cellStyle name="40% - Accent4 4 2 2 4 3 6" xfId="24759" xr:uid="{00000000-0005-0000-0000-00003F440000}"/>
    <cellStyle name="40% - Accent4 4 2 2 4 4" xfId="24760" xr:uid="{00000000-0005-0000-0000-000040440000}"/>
    <cellStyle name="40% - Accent4 4 2 2 4 4 2" xfId="24761" xr:uid="{00000000-0005-0000-0000-000041440000}"/>
    <cellStyle name="40% - Accent4 4 2 2 4 4 2 2" xfId="24762" xr:uid="{00000000-0005-0000-0000-000042440000}"/>
    <cellStyle name="40% - Accent4 4 2 2 4 4 2 3" xfId="24763" xr:uid="{00000000-0005-0000-0000-000043440000}"/>
    <cellStyle name="40% - Accent4 4 2 2 4 4 3" xfId="24764" xr:uid="{00000000-0005-0000-0000-000044440000}"/>
    <cellStyle name="40% - Accent4 4 2 2 4 4 3 2" xfId="24765" xr:uid="{00000000-0005-0000-0000-000045440000}"/>
    <cellStyle name="40% - Accent4 4 2 2 4 4 4" xfId="24766" xr:uid="{00000000-0005-0000-0000-000046440000}"/>
    <cellStyle name="40% - Accent4 4 2 2 4 4 5" xfId="24767" xr:uid="{00000000-0005-0000-0000-000047440000}"/>
    <cellStyle name="40% - Accent4 4 2 2 4 5" xfId="24768" xr:uid="{00000000-0005-0000-0000-000048440000}"/>
    <cellStyle name="40% - Accent4 4 2 2 4 5 2" xfId="24769" xr:uid="{00000000-0005-0000-0000-000049440000}"/>
    <cellStyle name="40% - Accent4 4 2 2 4 5 3" xfId="24770" xr:uid="{00000000-0005-0000-0000-00004A440000}"/>
    <cellStyle name="40% - Accent4 4 2 2 4 6" xfId="24771" xr:uid="{00000000-0005-0000-0000-00004B440000}"/>
    <cellStyle name="40% - Accent4 4 2 2 4 6 2" xfId="24772" xr:uid="{00000000-0005-0000-0000-00004C440000}"/>
    <cellStyle name="40% - Accent4 4 2 2 4 6 3" xfId="24773" xr:uid="{00000000-0005-0000-0000-00004D440000}"/>
    <cellStyle name="40% - Accent4 4 2 2 4 7" xfId="24774" xr:uid="{00000000-0005-0000-0000-00004E440000}"/>
    <cellStyle name="40% - Accent4 4 2 2 4 7 2" xfId="24775" xr:uid="{00000000-0005-0000-0000-00004F440000}"/>
    <cellStyle name="40% - Accent4 4 2 2 4 8" xfId="24776" xr:uid="{00000000-0005-0000-0000-000050440000}"/>
    <cellStyle name="40% - Accent4 4 2 2 4 9" xfId="24777" xr:uid="{00000000-0005-0000-0000-000051440000}"/>
    <cellStyle name="40% - Accent4 4 2 2 5" xfId="24778" xr:uid="{00000000-0005-0000-0000-000052440000}"/>
    <cellStyle name="40% - Accent4 4 2 2 5 2" xfId="24779" xr:uid="{00000000-0005-0000-0000-000053440000}"/>
    <cellStyle name="40% - Accent4 4 2 2 5 2 2" xfId="24780" xr:uid="{00000000-0005-0000-0000-000054440000}"/>
    <cellStyle name="40% - Accent4 4 2 2 5 2 2 2" xfId="24781" xr:uid="{00000000-0005-0000-0000-000055440000}"/>
    <cellStyle name="40% - Accent4 4 2 2 5 2 2 3" xfId="24782" xr:uid="{00000000-0005-0000-0000-000056440000}"/>
    <cellStyle name="40% - Accent4 4 2 2 5 2 3" xfId="24783" xr:uid="{00000000-0005-0000-0000-000057440000}"/>
    <cellStyle name="40% - Accent4 4 2 2 5 2 3 2" xfId="24784" xr:uid="{00000000-0005-0000-0000-000058440000}"/>
    <cellStyle name="40% - Accent4 4 2 2 5 2 3 3" xfId="24785" xr:uid="{00000000-0005-0000-0000-000059440000}"/>
    <cellStyle name="40% - Accent4 4 2 2 5 2 4" xfId="24786" xr:uid="{00000000-0005-0000-0000-00005A440000}"/>
    <cellStyle name="40% - Accent4 4 2 2 5 2 4 2" xfId="24787" xr:uid="{00000000-0005-0000-0000-00005B440000}"/>
    <cellStyle name="40% - Accent4 4 2 2 5 2 5" xfId="24788" xr:uid="{00000000-0005-0000-0000-00005C440000}"/>
    <cellStyle name="40% - Accent4 4 2 2 5 2 6" xfId="24789" xr:uid="{00000000-0005-0000-0000-00005D440000}"/>
    <cellStyle name="40% - Accent4 4 2 2 5 3" xfId="24790" xr:uid="{00000000-0005-0000-0000-00005E440000}"/>
    <cellStyle name="40% - Accent4 4 2 2 5 3 2" xfId="24791" xr:uid="{00000000-0005-0000-0000-00005F440000}"/>
    <cellStyle name="40% - Accent4 4 2 2 5 3 2 2" xfId="24792" xr:uid="{00000000-0005-0000-0000-000060440000}"/>
    <cellStyle name="40% - Accent4 4 2 2 5 3 2 3" xfId="24793" xr:uid="{00000000-0005-0000-0000-000061440000}"/>
    <cellStyle name="40% - Accent4 4 2 2 5 3 3" xfId="24794" xr:uid="{00000000-0005-0000-0000-000062440000}"/>
    <cellStyle name="40% - Accent4 4 2 2 5 3 3 2" xfId="24795" xr:uid="{00000000-0005-0000-0000-000063440000}"/>
    <cellStyle name="40% - Accent4 4 2 2 5 3 3 3" xfId="24796" xr:uid="{00000000-0005-0000-0000-000064440000}"/>
    <cellStyle name="40% - Accent4 4 2 2 5 3 4" xfId="24797" xr:uid="{00000000-0005-0000-0000-000065440000}"/>
    <cellStyle name="40% - Accent4 4 2 2 5 3 4 2" xfId="24798" xr:uid="{00000000-0005-0000-0000-000066440000}"/>
    <cellStyle name="40% - Accent4 4 2 2 5 3 5" xfId="24799" xr:uid="{00000000-0005-0000-0000-000067440000}"/>
    <cellStyle name="40% - Accent4 4 2 2 5 3 6" xfId="24800" xr:uid="{00000000-0005-0000-0000-000068440000}"/>
    <cellStyle name="40% - Accent4 4 2 2 5 4" xfId="24801" xr:uid="{00000000-0005-0000-0000-000069440000}"/>
    <cellStyle name="40% - Accent4 4 2 2 5 4 2" xfId="24802" xr:uid="{00000000-0005-0000-0000-00006A440000}"/>
    <cellStyle name="40% - Accent4 4 2 2 5 4 2 2" xfId="24803" xr:uid="{00000000-0005-0000-0000-00006B440000}"/>
    <cellStyle name="40% - Accent4 4 2 2 5 4 2 3" xfId="24804" xr:uid="{00000000-0005-0000-0000-00006C440000}"/>
    <cellStyle name="40% - Accent4 4 2 2 5 4 3" xfId="24805" xr:uid="{00000000-0005-0000-0000-00006D440000}"/>
    <cellStyle name="40% - Accent4 4 2 2 5 4 3 2" xfId="24806" xr:uid="{00000000-0005-0000-0000-00006E440000}"/>
    <cellStyle name="40% - Accent4 4 2 2 5 4 4" xfId="24807" xr:uid="{00000000-0005-0000-0000-00006F440000}"/>
    <cellStyle name="40% - Accent4 4 2 2 5 4 5" xfId="24808" xr:uid="{00000000-0005-0000-0000-000070440000}"/>
    <cellStyle name="40% - Accent4 4 2 2 5 5" xfId="24809" xr:uid="{00000000-0005-0000-0000-000071440000}"/>
    <cellStyle name="40% - Accent4 4 2 2 5 5 2" xfId="24810" xr:uid="{00000000-0005-0000-0000-000072440000}"/>
    <cellStyle name="40% - Accent4 4 2 2 5 5 3" xfId="24811" xr:uid="{00000000-0005-0000-0000-000073440000}"/>
    <cellStyle name="40% - Accent4 4 2 2 5 6" xfId="24812" xr:uid="{00000000-0005-0000-0000-000074440000}"/>
    <cellStyle name="40% - Accent4 4 2 2 5 6 2" xfId="24813" xr:uid="{00000000-0005-0000-0000-000075440000}"/>
    <cellStyle name="40% - Accent4 4 2 2 5 6 3" xfId="24814" xr:uid="{00000000-0005-0000-0000-000076440000}"/>
    <cellStyle name="40% - Accent4 4 2 2 5 7" xfId="24815" xr:uid="{00000000-0005-0000-0000-000077440000}"/>
    <cellStyle name="40% - Accent4 4 2 2 5 7 2" xfId="24816" xr:uid="{00000000-0005-0000-0000-000078440000}"/>
    <cellStyle name="40% - Accent4 4 2 2 5 8" xfId="24817" xr:uid="{00000000-0005-0000-0000-000079440000}"/>
    <cellStyle name="40% - Accent4 4 2 2 5 9" xfId="24818" xr:uid="{00000000-0005-0000-0000-00007A440000}"/>
    <cellStyle name="40% - Accent4 4 2 2 6" xfId="24819" xr:uid="{00000000-0005-0000-0000-00007B440000}"/>
    <cellStyle name="40% - Accent4 4 2 2 6 2" xfId="24820" xr:uid="{00000000-0005-0000-0000-00007C440000}"/>
    <cellStyle name="40% - Accent4 4 2 2 6 2 2" xfId="24821" xr:uid="{00000000-0005-0000-0000-00007D440000}"/>
    <cellStyle name="40% - Accent4 4 2 2 6 2 3" xfId="24822" xr:uid="{00000000-0005-0000-0000-00007E440000}"/>
    <cellStyle name="40% - Accent4 4 2 2 6 3" xfId="24823" xr:uid="{00000000-0005-0000-0000-00007F440000}"/>
    <cellStyle name="40% - Accent4 4 2 2 6 3 2" xfId="24824" xr:uid="{00000000-0005-0000-0000-000080440000}"/>
    <cellStyle name="40% - Accent4 4 2 2 6 3 3" xfId="24825" xr:uid="{00000000-0005-0000-0000-000081440000}"/>
    <cellStyle name="40% - Accent4 4 2 2 6 4" xfId="24826" xr:uid="{00000000-0005-0000-0000-000082440000}"/>
    <cellStyle name="40% - Accent4 4 2 2 6 4 2" xfId="24827" xr:uid="{00000000-0005-0000-0000-000083440000}"/>
    <cellStyle name="40% - Accent4 4 2 2 6 5" xfId="24828" xr:uid="{00000000-0005-0000-0000-000084440000}"/>
    <cellStyle name="40% - Accent4 4 2 2 6 6" xfId="24829" xr:uid="{00000000-0005-0000-0000-000085440000}"/>
    <cellStyle name="40% - Accent4 4 2 2 7" xfId="24830" xr:uid="{00000000-0005-0000-0000-000086440000}"/>
    <cellStyle name="40% - Accent4 4 2 2 7 2" xfId="24831" xr:uid="{00000000-0005-0000-0000-000087440000}"/>
    <cellStyle name="40% - Accent4 4 2 2 7 2 2" xfId="24832" xr:uid="{00000000-0005-0000-0000-000088440000}"/>
    <cellStyle name="40% - Accent4 4 2 2 7 2 3" xfId="24833" xr:uid="{00000000-0005-0000-0000-000089440000}"/>
    <cellStyle name="40% - Accent4 4 2 2 7 3" xfId="24834" xr:uid="{00000000-0005-0000-0000-00008A440000}"/>
    <cellStyle name="40% - Accent4 4 2 2 7 3 2" xfId="24835" xr:uid="{00000000-0005-0000-0000-00008B440000}"/>
    <cellStyle name="40% - Accent4 4 2 2 7 3 3" xfId="24836" xr:uid="{00000000-0005-0000-0000-00008C440000}"/>
    <cellStyle name="40% - Accent4 4 2 2 7 4" xfId="24837" xr:uid="{00000000-0005-0000-0000-00008D440000}"/>
    <cellStyle name="40% - Accent4 4 2 2 7 4 2" xfId="24838" xr:uid="{00000000-0005-0000-0000-00008E440000}"/>
    <cellStyle name="40% - Accent4 4 2 2 7 5" xfId="24839" xr:uid="{00000000-0005-0000-0000-00008F440000}"/>
    <cellStyle name="40% - Accent4 4 2 2 7 6" xfId="24840" xr:uid="{00000000-0005-0000-0000-000090440000}"/>
    <cellStyle name="40% - Accent4 4 2 2 8" xfId="24841" xr:uid="{00000000-0005-0000-0000-000091440000}"/>
    <cellStyle name="40% - Accent4 4 2 2 8 2" xfId="24842" xr:uid="{00000000-0005-0000-0000-000092440000}"/>
    <cellStyle name="40% - Accent4 4 2 2 8 2 2" xfId="24843" xr:uid="{00000000-0005-0000-0000-000093440000}"/>
    <cellStyle name="40% - Accent4 4 2 2 8 2 3" xfId="24844" xr:uid="{00000000-0005-0000-0000-000094440000}"/>
    <cellStyle name="40% - Accent4 4 2 2 8 3" xfId="24845" xr:uid="{00000000-0005-0000-0000-000095440000}"/>
    <cellStyle name="40% - Accent4 4 2 2 8 3 2" xfId="24846" xr:uid="{00000000-0005-0000-0000-000096440000}"/>
    <cellStyle name="40% - Accent4 4 2 2 8 4" xfId="24847" xr:uid="{00000000-0005-0000-0000-000097440000}"/>
    <cellStyle name="40% - Accent4 4 2 2 8 5" xfId="24848" xr:uid="{00000000-0005-0000-0000-000098440000}"/>
    <cellStyle name="40% - Accent4 4 2 2 9" xfId="24849" xr:uid="{00000000-0005-0000-0000-000099440000}"/>
    <cellStyle name="40% - Accent4 4 2 2 9 2" xfId="24850" xr:uid="{00000000-0005-0000-0000-00009A440000}"/>
    <cellStyle name="40% - Accent4 4 2 2 9 3" xfId="24851" xr:uid="{00000000-0005-0000-0000-00009B440000}"/>
    <cellStyle name="40% - Accent4 4 2 3" xfId="2223" xr:uid="{00000000-0005-0000-0000-00009C440000}"/>
    <cellStyle name="40% - Accent4 4 2 3 10" xfId="24852" xr:uid="{00000000-0005-0000-0000-00009D440000}"/>
    <cellStyle name="40% - Accent4 4 2 3 10 2" xfId="24853" xr:uid="{00000000-0005-0000-0000-00009E440000}"/>
    <cellStyle name="40% - Accent4 4 2 3 11" xfId="24854" xr:uid="{00000000-0005-0000-0000-00009F440000}"/>
    <cellStyle name="40% - Accent4 4 2 3 12" xfId="24855" xr:uid="{00000000-0005-0000-0000-0000A0440000}"/>
    <cellStyle name="40% - Accent4 4 2 3 2" xfId="2224" xr:uid="{00000000-0005-0000-0000-0000A1440000}"/>
    <cellStyle name="40% - Accent4 4 2 3 2 10" xfId="24856" xr:uid="{00000000-0005-0000-0000-0000A2440000}"/>
    <cellStyle name="40% - Accent4 4 2 3 2 2" xfId="2225" xr:uid="{00000000-0005-0000-0000-0000A3440000}"/>
    <cellStyle name="40% - Accent4 4 2 3 2 2 2" xfId="24857" xr:uid="{00000000-0005-0000-0000-0000A4440000}"/>
    <cellStyle name="40% - Accent4 4 2 3 2 2 2 2" xfId="24858" xr:uid="{00000000-0005-0000-0000-0000A5440000}"/>
    <cellStyle name="40% - Accent4 4 2 3 2 2 2 2 2" xfId="24859" xr:uid="{00000000-0005-0000-0000-0000A6440000}"/>
    <cellStyle name="40% - Accent4 4 2 3 2 2 2 2 3" xfId="24860" xr:uid="{00000000-0005-0000-0000-0000A7440000}"/>
    <cellStyle name="40% - Accent4 4 2 3 2 2 2 3" xfId="24861" xr:uid="{00000000-0005-0000-0000-0000A8440000}"/>
    <cellStyle name="40% - Accent4 4 2 3 2 2 2 3 2" xfId="24862" xr:uid="{00000000-0005-0000-0000-0000A9440000}"/>
    <cellStyle name="40% - Accent4 4 2 3 2 2 2 3 3" xfId="24863" xr:uid="{00000000-0005-0000-0000-0000AA440000}"/>
    <cellStyle name="40% - Accent4 4 2 3 2 2 2 4" xfId="24864" xr:uid="{00000000-0005-0000-0000-0000AB440000}"/>
    <cellStyle name="40% - Accent4 4 2 3 2 2 2 4 2" xfId="24865" xr:uid="{00000000-0005-0000-0000-0000AC440000}"/>
    <cellStyle name="40% - Accent4 4 2 3 2 2 2 5" xfId="24866" xr:uid="{00000000-0005-0000-0000-0000AD440000}"/>
    <cellStyle name="40% - Accent4 4 2 3 2 2 2 6" xfId="24867" xr:uid="{00000000-0005-0000-0000-0000AE440000}"/>
    <cellStyle name="40% - Accent4 4 2 3 2 2 3" xfId="24868" xr:uid="{00000000-0005-0000-0000-0000AF440000}"/>
    <cellStyle name="40% - Accent4 4 2 3 2 2 3 2" xfId="24869" xr:uid="{00000000-0005-0000-0000-0000B0440000}"/>
    <cellStyle name="40% - Accent4 4 2 3 2 2 3 2 2" xfId="24870" xr:uid="{00000000-0005-0000-0000-0000B1440000}"/>
    <cellStyle name="40% - Accent4 4 2 3 2 2 3 2 3" xfId="24871" xr:uid="{00000000-0005-0000-0000-0000B2440000}"/>
    <cellStyle name="40% - Accent4 4 2 3 2 2 3 3" xfId="24872" xr:uid="{00000000-0005-0000-0000-0000B3440000}"/>
    <cellStyle name="40% - Accent4 4 2 3 2 2 3 3 2" xfId="24873" xr:uid="{00000000-0005-0000-0000-0000B4440000}"/>
    <cellStyle name="40% - Accent4 4 2 3 2 2 3 3 3" xfId="24874" xr:uid="{00000000-0005-0000-0000-0000B5440000}"/>
    <cellStyle name="40% - Accent4 4 2 3 2 2 3 4" xfId="24875" xr:uid="{00000000-0005-0000-0000-0000B6440000}"/>
    <cellStyle name="40% - Accent4 4 2 3 2 2 3 4 2" xfId="24876" xr:uid="{00000000-0005-0000-0000-0000B7440000}"/>
    <cellStyle name="40% - Accent4 4 2 3 2 2 3 5" xfId="24877" xr:uid="{00000000-0005-0000-0000-0000B8440000}"/>
    <cellStyle name="40% - Accent4 4 2 3 2 2 3 6" xfId="24878" xr:uid="{00000000-0005-0000-0000-0000B9440000}"/>
    <cellStyle name="40% - Accent4 4 2 3 2 2 4" xfId="24879" xr:uid="{00000000-0005-0000-0000-0000BA440000}"/>
    <cellStyle name="40% - Accent4 4 2 3 2 2 4 2" xfId="24880" xr:uid="{00000000-0005-0000-0000-0000BB440000}"/>
    <cellStyle name="40% - Accent4 4 2 3 2 2 4 2 2" xfId="24881" xr:uid="{00000000-0005-0000-0000-0000BC440000}"/>
    <cellStyle name="40% - Accent4 4 2 3 2 2 4 2 3" xfId="24882" xr:uid="{00000000-0005-0000-0000-0000BD440000}"/>
    <cellStyle name="40% - Accent4 4 2 3 2 2 4 3" xfId="24883" xr:uid="{00000000-0005-0000-0000-0000BE440000}"/>
    <cellStyle name="40% - Accent4 4 2 3 2 2 4 3 2" xfId="24884" xr:uid="{00000000-0005-0000-0000-0000BF440000}"/>
    <cellStyle name="40% - Accent4 4 2 3 2 2 4 4" xfId="24885" xr:uid="{00000000-0005-0000-0000-0000C0440000}"/>
    <cellStyle name="40% - Accent4 4 2 3 2 2 4 5" xfId="24886" xr:uid="{00000000-0005-0000-0000-0000C1440000}"/>
    <cellStyle name="40% - Accent4 4 2 3 2 2 5" xfId="24887" xr:uid="{00000000-0005-0000-0000-0000C2440000}"/>
    <cellStyle name="40% - Accent4 4 2 3 2 2 5 2" xfId="24888" xr:uid="{00000000-0005-0000-0000-0000C3440000}"/>
    <cellStyle name="40% - Accent4 4 2 3 2 2 5 3" xfId="24889" xr:uid="{00000000-0005-0000-0000-0000C4440000}"/>
    <cellStyle name="40% - Accent4 4 2 3 2 2 6" xfId="24890" xr:uid="{00000000-0005-0000-0000-0000C5440000}"/>
    <cellStyle name="40% - Accent4 4 2 3 2 2 6 2" xfId="24891" xr:uid="{00000000-0005-0000-0000-0000C6440000}"/>
    <cellStyle name="40% - Accent4 4 2 3 2 2 6 3" xfId="24892" xr:uid="{00000000-0005-0000-0000-0000C7440000}"/>
    <cellStyle name="40% - Accent4 4 2 3 2 2 7" xfId="24893" xr:uid="{00000000-0005-0000-0000-0000C8440000}"/>
    <cellStyle name="40% - Accent4 4 2 3 2 2 7 2" xfId="24894" xr:uid="{00000000-0005-0000-0000-0000C9440000}"/>
    <cellStyle name="40% - Accent4 4 2 3 2 2 8" xfId="24895" xr:uid="{00000000-0005-0000-0000-0000CA440000}"/>
    <cellStyle name="40% - Accent4 4 2 3 2 2 9" xfId="24896" xr:uid="{00000000-0005-0000-0000-0000CB440000}"/>
    <cellStyle name="40% - Accent4 4 2 3 2 3" xfId="24897" xr:uid="{00000000-0005-0000-0000-0000CC440000}"/>
    <cellStyle name="40% - Accent4 4 2 3 2 3 2" xfId="24898" xr:uid="{00000000-0005-0000-0000-0000CD440000}"/>
    <cellStyle name="40% - Accent4 4 2 3 2 3 2 2" xfId="24899" xr:uid="{00000000-0005-0000-0000-0000CE440000}"/>
    <cellStyle name="40% - Accent4 4 2 3 2 3 2 3" xfId="24900" xr:uid="{00000000-0005-0000-0000-0000CF440000}"/>
    <cellStyle name="40% - Accent4 4 2 3 2 3 3" xfId="24901" xr:uid="{00000000-0005-0000-0000-0000D0440000}"/>
    <cellStyle name="40% - Accent4 4 2 3 2 3 3 2" xfId="24902" xr:uid="{00000000-0005-0000-0000-0000D1440000}"/>
    <cellStyle name="40% - Accent4 4 2 3 2 3 3 3" xfId="24903" xr:uid="{00000000-0005-0000-0000-0000D2440000}"/>
    <cellStyle name="40% - Accent4 4 2 3 2 3 4" xfId="24904" xr:uid="{00000000-0005-0000-0000-0000D3440000}"/>
    <cellStyle name="40% - Accent4 4 2 3 2 3 4 2" xfId="24905" xr:uid="{00000000-0005-0000-0000-0000D4440000}"/>
    <cellStyle name="40% - Accent4 4 2 3 2 3 5" xfId="24906" xr:uid="{00000000-0005-0000-0000-0000D5440000}"/>
    <cellStyle name="40% - Accent4 4 2 3 2 3 6" xfId="24907" xr:uid="{00000000-0005-0000-0000-0000D6440000}"/>
    <cellStyle name="40% - Accent4 4 2 3 2 4" xfId="24908" xr:uid="{00000000-0005-0000-0000-0000D7440000}"/>
    <cellStyle name="40% - Accent4 4 2 3 2 4 2" xfId="24909" xr:uid="{00000000-0005-0000-0000-0000D8440000}"/>
    <cellStyle name="40% - Accent4 4 2 3 2 4 2 2" xfId="24910" xr:uid="{00000000-0005-0000-0000-0000D9440000}"/>
    <cellStyle name="40% - Accent4 4 2 3 2 4 2 3" xfId="24911" xr:uid="{00000000-0005-0000-0000-0000DA440000}"/>
    <cellStyle name="40% - Accent4 4 2 3 2 4 3" xfId="24912" xr:uid="{00000000-0005-0000-0000-0000DB440000}"/>
    <cellStyle name="40% - Accent4 4 2 3 2 4 3 2" xfId="24913" xr:uid="{00000000-0005-0000-0000-0000DC440000}"/>
    <cellStyle name="40% - Accent4 4 2 3 2 4 3 3" xfId="24914" xr:uid="{00000000-0005-0000-0000-0000DD440000}"/>
    <cellStyle name="40% - Accent4 4 2 3 2 4 4" xfId="24915" xr:uid="{00000000-0005-0000-0000-0000DE440000}"/>
    <cellStyle name="40% - Accent4 4 2 3 2 4 4 2" xfId="24916" xr:uid="{00000000-0005-0000-0000-0000DF440000}"/>
    <cellStyle name="40% - Accent4 4 2 3 2 4 5" xfId="24917" xr:uid="{00000000-0005-0000-0000-0000E0440000}"/>
    <cellStyle name="40% - Accent4 4 2 3 2 4 6" xfId="24918" xr:uid="{00000000-0005-0000-0000-0000E1440000}"/>
    <cellStyle name="40% - Accent4 4 2 3 2 5" xfId="24919" xr:uid="{00000000-0005-0000-0000-0000E2440000}"/>
    <cellStyle name="40% - Accent4 4 2 3 2 5 2" xfId="24920" xr:uid="{00000000-0005-0000-0000-0000E3440000}"/>
    <cellStyle name="40% - Accent4 4 2 3 2 5 2 2" xfId="24921" xr:uid="{00000000-0005-0000-0000-0000E4440000}"/>
    <cellStyle name="40% - Accent4 4 2 3 2 5 2 3" xfId="24922" xr:uid="{00000000-0005-0000-0000-0000E5440000}"/>
    <cellStyle name="40% - Accent4 4 2 3 2 5 3" xfId="24923" xr:uid="{00000000-0005-0000-0000-0000E6440000}"/>
    <cellStyle name="40% - Accent4 4 2 3 2 5 3 2" xfId="24924" xr:uid="{00000000-0005-0000-0000-0000E7440000}"/>
    <cellStyle name="40% - Accent4 4 2 3 2 5 4" xfId="24925" xr:uid="{00000000-0005-0000-0000-0000E8440000}"/>
    <cellStyle name="40% - Accent4 4 2 3 2 5 5" xfId="24926" xr:uid="{00000000-0005-0000-0000-0000E9440000}"/>
    <cellStyle name="40% - Accent4 4 2 3 2 6" xfId="24927" xr:uid="{00000000-0005-0000-0000-0000EA440000}"/>
    <cellStyle name="40% - Accent4 4 2 3 2 6 2" xfId="24928" xr:uid="{00000000-0005-0000-0000-0000EB440000}"/>
    <cellStyle name="40% - Accent4 4 2 3 2 6 3" xfId="24929" xr:uid="{00000000-0005-0000-0000-0000EC440000}"/>
    <cellStyle name="40% - Accent4 4 2 3 2 7" xfId="24930" xr:uid="{00000000-0005-0000-0000-0000ED440000}"/>
    <cellStyle name="40% - Accent4 4 2 3 2 7 2" xfId="24931" xr:uid="{00000000-0005-0000-0000-0000EE440000}"/>
    <cellStyle name="40% - Accent4 4 2 3 2 7 3" xfId="24932" xr:uid="{00000000-0005-0000-0000-0000EF440000}"/>
    <cellStyle name="40% - Accent4 4 2 3 2 8" xfId="24933" xr:uid="{00000000-0005-0000-0000-0000F0440000}"/>
    <cellStyle name="40% - Accent4 4 2 3 2 8 2" xfId="24934" xr:uid="{00000000-0005-0000-0000-0000F1440000}"/>
    <cellStyle name="40% - Accent4 4 2 3 2 9" xfId="24935" xr:uid="{00000000-0005-0000-0000-0000F2440000}"/>
    <cellStyle name="40% - Accent4 4 2 3 3" xfId="2226" xr:uid="{00000000-0005-0000-0000-0000F3440000}"/>
    <cellStyle name="40% - Accent4 4 2 3 3 2" xfId="24936" xr:uid="{00000000-0005-0000-0000-0000F4440000}"/>
    <cellStyle name="40% - Accent4 4 2 3 3 2 2" xfId="24937" xr:uid="{00000000-0005-0000-0000-0000F5440000}"/>
    <cellStyle name="40% - Accent4 4 2 3 3 2 2 2" xfId="24938" xr:uid="{00000000-0005-0000-0000-0000F6440000}"/>
    <cellStyle name="40% - Accent4 4 2 3 3 2 2 3" xfId="24939" xr:uid="{00000000-0005-0000-0000-0000F7440000}"/>
    <cellStyle name="40% - Accent4 4 2 3 3 2 3" xfId="24940" xr:uid="{00000000-0005-0000-0000-0000F8440000}"/>
    <cellStyle name="40% - Accent4 4 2 3 3 2 3 2" xfId="24941" xr:uid="{00000000-0005-0000-0000-0000F9440000}"/>
    <cellStyle name="40% - Accent4 4 2 3 3 2 3 3" xfId="24942" xr:uid="{00000000-0005-0000-0000-0000FA440000}"/>
    <cellStyle name="40% - Accent4 4 2 3 3 2 4" xfId="24943" xr:uid="{00000000-0005-0000-0000-0000FB440000}"/>
    <cellStyle name="40% - Accent4 4 2 3 3 2 4 2" xfId="24944" xr:uid="{00000000-0005-0000-0000-0000FC440000}"/>
    <cellStyle name="40% - Accent4 4 2 3 3 2 5" xfId="24945" xr:uid="{00000000-0005-0000-0000-0000FD440000}"/>
    <cellStyle name="40% - Accent4 4 2 3 3 2 6" xfId="24946" xr:uid="{00000000-0005-0000-0000-0000FE440000}"/>
    <cellStyle name="40% - Accent4 4 2 3 3 3" xfId="24947" xr:uid="{00000000-0005-0000-0000-0000FF440000}"/>
    <cellStyle name="40% - Accent4 4 2 3 3 3 2" xfId="24948" xr:uid="{00000000-0005-0000-0000-000000450000}"/>
    <cellStyle name="40% - Accent4 4 2 3 3 3 2 2" xfId="24949" xr:uid="{00000000-0005-0000-0000-000001450000}"/>
    <cellStyle name="40% - Accent4 4 2 3 3 3 2 3" xfId="24950" xr:uid="{00000000-0005-0000-0000-000002450000}"/>
    <cellStyle name="40% - Accent4 4 2 3 3 3 3" xfId="24951" xr:uid="{00000000-0005-0000-0000-000003450000}"/>
    <cellStyle name="40% - Accent4 4 2 3 3 3 3 2" xfId="24952" xr:uid="{00000000-0005-0000-0000-000004450000}"/>
    <cellStyle name="40% - Accent4 4 2 3 3 3 3 3" xfId="24953" xr:uid="{00000000-0005-0000-0000-000005450000}"/>
    <cellStyle name="40% - Accent4 4 2 3 3 3 4" xfId="24954" xr:uid="{00000000-0005-0000-0000-000006450000}"/>
    <cellStyle name="40% - Accent4 4 2 3 3 3 4 2" xfId="24955" xr:uid="{00000000-0005-0000-0000-000007450000}"/>
    <cellStyle name="40% - Accent4 4 2 3 3 3 5" xfId="24956" xr:uid="{00000000-0005-0000-0000-000008450000}"/>
    <cellStyle name="40% - Accent4 4 2 3 3 3 6" xfId="24957" xr:uid="{00000000-0005-0000-0000-000009450000}"/>
    <cellStyle name="40% - Accent4 4 2 3 3 4" xfId="24958" xr:uid="{00000000-0005-0000-0000-00000A450000}"/>
    <cellStyle name="40% - Accent4 4 2 3 3 4 2" xfId="24959" xr:uid="{00000000-0005-0000-0000-00000B450000}"/>
    <cellStyle name="40% - Accent4 4 2 3 3 4 2 2" xfId="24960" xr:uid="{00000000-0005-0000-0000-00000C450000}"/>
    <cellStyle name="40% - Accent4 4 2 3 3 4 2 3" xfId="24961" xr:uid="{00000000-0005-0000-0000-00000D450000}"/>
    <cellStyle name="40% - Accent4 4 2 3 3 4 3" xfId="24962" xr:uid="{00000000-0005-0000-0000-00000E450000}"/>
    <cellStyle name="40% - Accent4 4 2 3 3 4 3 2" xfId="24963" xr:uid="{00000000-0005-0000-0000-00000F450000}"/>
    <cellStyle name="40% - Accent4 4 2 3 3 4 4" xfId="24964" xr:uid="{00000000-0005-0000-0000-000010450000}"/>
    <cellStyle name="40% - Accent4 4 2 3 3 4 5" xfId="24965" xr:uid="{00000000-0005-0000-0000-000011450000}"/>
    <cellStyle name="40% - Accent4 4 2 3 3 5" xfId="24966" xr:uid="{00000000-0005-0000-0000-000012450000}"/>
    <cellStyle name="40% - Accent4 4 2 3 3 5 2" xfId="24967" xr:uid="{00000000-0005-0000-0000-000013450000}"/>
    <cellStyle name="40% - Accent4 4 2 3 3 5 3" xfId="24968" xr:uid="{00000000-0005-0000-0000-000014450000}"/>
    <cellStyle name="40% - Accent4 4 2 3 3 6" xfId="24969" xr:uid="{00000000-0005-0000-0000-000015450000}"/>
    <cellStyle name="40% - Accent4 4 2 3 3 6 2" xfId="24970" xr:uid="{00000000-0005-0000-0000-000016450000}"/>
    <cellStyle name="40% - Accent4 4 2 3 3 6 3" xfId="24971" xr:uid="{00000000-0005-0000-0000-000017450000}"/>
    <cellStyle name="40% - Accent4 4 2 3 3 7" xfId="24972" xr:uid="{00000000-0005-0000-0000-000018450000}"/>
    <cellStyle name="40% - Accent4 4 2 3 3 7 2" xfId="24973" xr:uid="{00000000-0005-0000-0000-000019450000}"/>
    <cellStyle name="40% - Accent4 4 2 3 3 8" xfId="24974" xr:uid="{00000000-0005-0000-0000-00001A450000}"/>
    <cellStyle name="40% - Accent4 4 2 3 3 9" xfId="24975" xr:uid="{00000000-0005-0000-0000-00001B450000}"/>
    <cellStyle name="40% - Accent4 4 2 3 4" xfId="24976" xr:uid="{00000000-0005-0000-0000-00001C450000}"/>
    <cellStyle name="40% - Accent4 4 2 3 4 2" xfId="24977" xr:uid="{00000000-0005-0000-0000-00001D450000}"/>
    <cellStyle name="40% - Accent4 4 2 3 4 2 2" xfId="24978" xr:uid="{00000000-0005-0000-0000-00001E450000}"/>
    <cellStyle name="40% - Accent4 4 2 3 4 2 2 2" xfId="24979" xr:uid="{00000000-0005-0000-0000-00001F450000}"/>
    <cellStyle name="40% - Accent4 4 2 3 4 2 2 3" xfId="24980" xr:uid="{00000000-0005-0000-0000-000020450000}"/>
    <cellStyle name="40% - Accent4 4 2 3 4 2 3" xfId="24981" xr:uid="{00000000-0005-0000-0000-000021450000}"/>
    <cellStyle name="40% - Accent4 4 2 3 4 2 3 2" xfId="24982" xr:uid="{00000000-0005-0000-0000-000022450000}"/>
    <cellStyle name="40% - Accent4 4 2 3 4 2 3 3" xfId="24983" xr:uid="{00000000-0005-0000-0000-000023450000}"/>
    <cellStyle name="40% - Accent4 4 2 3 4 2 4" xfId="24984" xr:uid="{00000000-0005-0000-0000-000024450000}"/>
    <cellStyle name="40% - Accent4 4 2 3 4 2 4 2" xfId="24985" xr:uid="{00000000-0005-0000-0000-000025450000}"/>
    <cellStyle name="40% - Accent4 4 2 3 4 2 5" xfId="24986" xr:uid="{00000000-0005-0000-0000-000026450000}"/>
    <cellStyle name="40% - Accent4 4 2 3 4 2 6" xfId="24987" xr:uid="{00000000-0005-0000-0000-000027450000}"/>
    <cellStyle name="40% - Accent4 4 2 3 4 3" xfId="24988" xr:uid="{00000000-0005-0000-0000-000028450000}"/>
    <cellStyle name="40% - Accent4 4 2 3 4 3 2" xfId="24989" xr:uid="{00000000-0005-0000-0000-000029450000}"/>
    <cellStyle name="40% - Accent4 4 2 3 4 3 2 2" xfId="24990" xr:uid="{00000000-0005-0000-0000-00002A450000}"/>
    <cellStyle name="40% - Accent4 4 2 3 4 3 2 3" xfId="24991" xr:uid="{00000000-0005-0000-0000-00002B450000}"/>
    <cellStyle name="40% - Accent4 4 2 3 4 3 3" xfId="24992" xr:uid="{00000000-0005-0000-0000-00002C450000}"/>
    <cellStyle name="40% - Accent4 4 2 3 4 3 3 2" xfId="24993" xr:uid="{00000000-0005-0000-0000-00002D450000}"/>
    <cellStyle name="40% - Accent4 4 2 3 4 3 3 3" xfId="24994" xr:uid="{00000000-0005-0000-0000-00002E450000}"/>
    <cellStyle name="40% - Accent4 4 2 3 4 3 4" xfId="24995" xr:uid="{00000000-0005-0000-0000-00002F450000}"/>
    <cellStyle name="40% - Accent4 4 2 3 4 3 4 2" xfId="24996" xr:uid="{00000000-0005-0000-0000-000030450000}"/>
    <cellStyle name="40% - Accent4 4 2 3 4 3 5" xfId="24997" xr:uid="{00000000-0005-0000-0000-000031450000}"/>
    <cellStyle name="40% - Accent4 4 2 3 4 3 6" xfId="24998" xr:uid="{00000000-0005-0000-0000-000032450000}"/>
    <cellStyle name="40% - Accent4 4 2 3 4 4" xfId="24999" xr:uid="{00000000-0005-0000-0000-000033450000}"/>
    <cellStyle name="40% - Accent4 4 2 3 4 4 2" xfId="25000" xr:uid="{00000000-0005-0000-0000-000034450000}"/>
    <cellStyle name="40% - Accent4 4 2 3 4 4 2 2" xfId="25001" xr:uid="{00000000-0005-0000-0000-000035450000}"/>
    <cellStyle name="40% - Accent4 4 2 3 4 4 2 3" xfId="25002" xr:uid="{00000000-0005-0000-0000-000036450000}"/>
    <cellStyle name="40% - Accent4 4 2 3 4 4 3" xfId="25003" xr:uid="{00000000-0005-0000-0000-000037450000}"/>
    <cellStyle name="40% - Accent4 4 2 3 4 4 3 2" xfId="25004" xr:uid="{00000000-0005-0000-0000-000038450000}"/>
    <cellStyle name="40% - Accent4 4 2 3 4 4 4" xfId="25005" xr:uid="{00000000-0005-0000-0000-000039450000}"/>
    <cellStyle name="40% - Accent4 4 2 3 4 4 5" xfId="25006" xr:uid="{00000000-0005-0000-0000-00003A450000}"/>
    <cellStyle name="40% - Accent4 4 2 3 4 5" xfId="25007" xr:uid="{00000000-0005-0000-0000-00003B450000}"/>
    <cellStyle name="40% - Accent4 4 2 3 4 5 2" xfId="25008" xr:uid="{00000000-0005-0000-0000-00003C450000}"/>
    <cellStyle name="40% - Accent4 4 2 3 4 5 3" xfId="25009" xr:uid="{00000000-0005-0000-0000-00003D450000}"/>
    <cellStyle name="40% - Accent4 4 2 3 4 6" xfId="25010" xr:uid="{00000000-0005-0000-0000-00003E450000}"/>
    <cellStyle name="40% - Accent4 4 2 3 4 6 2" xfId="25011" xr:uid="{00000000-0005-0000-0000-00003F450000}"/>
    <cellStyle name="40% - Accent4 4 2 3 4 6 3" xfId="25012" xr:uid="{00000000-0005-0000-0000-000040450000}"/>
    <cellStyle name="40% - Accent4 4 2 3 4 7" xfId="25013" xr:uid="{00000000-0005-0000-0000-000041450000}"/>
    <cellStyle name="40% - Accent4 4 2 3 4 7 2" xfId="25014" xr:uid="{00000000-0005-0000-0000-000042450000}"/>
    <cellStyle name="40% - Accent4 4 2 3 4 8" xfId="25015" xr:uid="{00000000-0005-0000-0000-000043450000}"/>
    <cellStyle name="40% - Accent4 4 2 3 4 9" xfId="25016" xr:uid="{00000000-0005-0000-0000-000044450000}"/>
    <cellStyle name="40% - Accent4 4 2 3 5" xfId="25017" xr:uid="{00000000-0005-0000-0000-000045450000}"/>
    <cellStyle name="40% - Accent4 4 2 3 5 2" xfId="25018" xr:uid="{00000000-0005-0000-0000-000046450000}"/>
    <cellStyle name="40% - Accent4 4 2 3 5 2 2" xfId="25019" xr:uid="{00000000-0005-0000-0000-000047450000}"/>
    <cellStyle name="40% - Accent4 4 2 3 5 2 3" xfId="25020" xr:uid="{00000000-0005-0000-0000-000048450000}"/>
    <cellStyle name="40% - Accent4 4 2 3 5 3" xfId="25021" xr:uid="{00000000-0005-0000-0000-000049450000}"/>
    <cellStyle name="40% - Accent4 4 2 3 5 3 2" xfId="25022" xr:uid="{00000000-0005-0000-0000-00004A450000}"/>
    <cellStyle name="40% - Accent4 4 2 3 5 3 3" xfId="25023" xr:uid="{00000000-0005-0000-0000-00004B450000}"/>
    <cellStyle name="40% - Accent4 4 2 3 5 4" xfId="25024" xr:uid="{00000000-0005-0000-0000-00004C450000}"/>
    <cellStyle name="40% - Accent4 4 2 3 5 4 2" xfId="25025" xr:uid="{00000000-0005-0000-0000-00004D450000}"/>
    <cellStyle name="40% - Accent4 4 2 3 5 5" xfId="25026" xr:uid="{00000000-0005-0000-0000-00004E450000}"/>
    <cellStyle name="40% - Accent4 4 2 3 5 6" xfId="25027" xr:uid="{00000000-0005-0000-0000-00004F450000}"/>
    <cellStyle name="40% - Accent4 4 2 3 6" xfId="25028" xr:uid="{00000000-0005-0000-0000-000050450000}"/>
    <cellStyle name="40% - Accent4 4 2 3 6 2" xfId="25029" xr:uid="{00000000-0005-0000-0000-000051450000}"/>
    <cellStyle name="40% - Accent4 4 2 3 6 2 2" xfId="25030" xr:uid="{00000000-0005-0000-0000-000052450000}"/>
    <cellStyle name="40% - Accent4 4 2 3 6 2 3" xfId="25031" xr:uid="{00000000-0005-0000-0000-000053450000}"/>
    <cellStyle name="40% - Accent4 4 2 3 6 3" xfId="25032" xr:uid="{00000000-0005-0000-0000-000054450000}"/>
    <cellStyle name="40% - Accent4 4 2 3 6 3 2" xfId="25033" xr:uid="{00000000-0005-0000-0000-000055450000}"/>
    <cellStyle name="40% - Accent4 4 2 3 6 3 3" xfId="25034" xr:uid="{00000000-0005-0000-0000-000056450000}"/>
    <cellStyle name="40% - Accent4 4 2 3 6 4" xfId="25035" xr:uid="{00000000-0005-0000-0000-000057450000}"/>
    <cellStyle name="40% - Accent4 4 2 3 6 4 2" xfId="25036" xr:uid="{00000000-0005-0000-0000-000058450000}"/>
    <cellStyle name="40% - Accent4 4 2 3 6 5" xfId="25037" xr:uid="{00000000-0005-0000-0000-000059450000}"/>
    <cellStyle name="40% - Accent4 4 2 3 6 6" xfId="25038" xr:uid="{00000000-0005-0000-0000-00005A450000}"/>
    <cellStyle name="40% - Accent4 4 2 3 7" xfId="25039" xr:uid="{00000000-0005-0000-0000-00005B450000}"/>
    <cellStyle name="40% - Accent4 4 2 3 7 2" xfId="25040" xr:uid="{00000000-0005-0000-0000-00005C450000}"/>
    <cellStyle name="40% - Accent4 4 2 3 7 2 2" xfId="25041" xr:uid="{00000000-0005-0000-0000-00005D450000}"/>
    <cellStyle name="40% - Accent4 4 2 3 7 2 3" xfId="25042" xr:uid="{00000000-0005-0000-0000-00005E450000}"/>
    <cellStyle name="40% - Accent4 4 2 3 7 3" xfId="25043" xr:uid="{00000000-0005-0000-0000-00005F450000}"/>
    <cellStyle name="40% - Accent4 4 2 3 7 3 2" xfId="25044" xr:uid="{00000000-0005-0000-0000-000060450000}"/>
    <cellStyle name="40% - Accent4 4 2 3 7 4" xfId="25045" xr:uid="{00000000-0005-0000-0000-000061450000}"/>
    <cellStyle name="40% - Accent4 4 2 3 7 5" xfId="25046" xr:uid="{00000000-0005-0000-0000-000062450000}"/>
    <cellStyle name="40% - Accent4 4 2 3 8" xfId="25047" xr:uid="{00000000-0005-0000-0000-000063450000}"/>
    <cellStyle name="40% - Accent4 4 2 3 8 2" xfId="25048" xr:uid="{00000000-0005-0000-0000-000064450000}"/>
    <cellStyle name="40% - Accent4 4 2 3 8 3" xfId="25049" xr:uid="{00000000-0005-0000-0000-000065450000}"/>
    <cellStyle name="40% - Accent4 4 2 3 9" xfId="25050" xr:uid="{00000000-0005-0000-0000-000066450000}"/>
    <cellStyle name="40% - Accent4 4 2 3 9 2" xfId="25051" xr:uid="{00000000-0005-0000-0000-000067450000}"/>
    <cellStyle name="40% - Accent4 4 2 3 9 3" xfId="25052" xr:uid="{00000000-0005-0000-0000-000068450000}"/>
    <cellStyle name="40% - Accent4 4 2 4" xfId="2227" xr:uid="{00000000-0005-0000-0000-000069450000}"/>
    <cellStyle name="40% - Accent4 4 2 4 10" xfId="25053" xr:uid="{00000000-0005-0000-0000-00006A450000}"/>
    <cellStyle name="40% - Accent4 4 2 4 2" xfId="2228" xr:uid="{00000000-0005-0000-0000-00006B450000}"/>
    <cellStyle name="40% - Accent4 4 2 4 2 2" xfId="25054" xr:uid="{00000000-0005-0000-0000-00006C450000}"/>
    <cellStyle name="40% - Accent4 4 2 4 2 2 2" xfId="25055" xr:uid="{00000000-0005-0000-0000-00006D450000}"/>
    <cellStyle name="40% - Accent4 4 2 4 2 2 2 2" xfId="25056" xr:uid="{00000000-0005-0000-0000-00006E450000}"/>
    <cellStyle name="40% - Accent4 4 2 4 2 2 2 3" xfId="25057" xr:uid="{00000000-0005-0000-0000-00006F450000}"/>
    <cellStyle name="40% - Accent4 4 2 4 2 2 3" xfId="25058" xr:uid="{00000000-0005-0000-0000-000070450000}"/>
    <cellStyle name="40% - Accent4 4 2 4 2 2 3 2" xfId="25059" xr:uid="{00000000-0005-0000-0000-000071450000}"/>
    <cellStyle name="40% - Accent4 4 2 4 2 2 3 3" xfId="25060" xr:uid="{00000000-0005-0000-0000-000072450000}"/>
    <cellStyle name="40% - Accent4 4 2 4 2 2 4" xfId="25061" xr:uid="{00000000-0005-0000-0000-000073450000}"/>
    <cellStyle name="40% - Accent4 4 2 4 2 2 4 2" xfId="25062" xr:uid="{00000000-0005-0000-0000-000074450000}"/>
    <cellStyle name="40% - Accent4 4 2 4 2 2 5" xfId="25063" xr:uid="{00000000-0005-0000-0000-000075450000}"/>
    <cellStyle name="40% - Accent4 4 2 4 2 2 6" xfId="25064" xr:uid="{00000000-0005-0000-0000-000076450000}"/>
    <cellStyle name="40% - Accent4 4 2 4 2 3" xfId="25065" xr:uid="{00000000-0005-0000-0000-000077450000}"/>
    <cellStyle name="40% - Accent4 4 2 4 2 3 2" xfId="25066" xr:uid="{00000000-0005-0000-0000-000078450000}"/>
    <cellStyle name="40% - Accent4 4 2 4 2 3 2 2" xfId="25067" xr:uid="{00000000-0005-0000-0000-000079450000}"/>
    <cellStyle name="40% - Accent4 4 2 4 2 3 2 3" xfId="25068" xr:uid="{00000000-0005-0000-0000-00007A450000}"/>
    <cellStyle name="40% - Accent4 4 2 4 2 3 3" xfId="25069" xr:uid="{00000000-0005-0000-0000-00007B450000}"/>
    <cellStyle name="40% - Accent4 4 2 4 2 3 3 2" xfId="25070" xr:uid="{00000000-0005-0000-0000-00007C450000}"/>
    <cellStyle name="40% - Accent4 4 2 4 2 3 3 3" xfId="25071" xr:uid="{00000000-0005-0000-0000-00007D450000}"/>
    <cellStyle name="40% - Accent4 4 2 4 2 3 4" xfId="25072" xr:uid="{00000000-0005-0000-0000-00007E450000}"/>
    <cellStyle name="40% - Accent4 4 2 4 2 3 4 2" xfId="25073" xr:uid="{00000000-0005-0000-0000-00007F450000}"/>
    <cellStyle name="40% - Accent4 4 2 4 2 3 5" xfId="25074" xr:uid="{00000000-0005-0000-0000-000080450000}"/>
    <cellStyle name="40% - Accent4 4 2 4 2 3 6" xfId="25075" xr:uid="{00000000-0005-0000-0000-000081450000}"/>
    <cellStyle name="40% - Accent4 4 2 4 2 4" xfId="25076" xr:uid="{00000000-0005-0000-0000-000082450000}"/>
    <cellStyle name="40% - Accent4 4 2 4 2 4 2" xfId="25077" xr:uid="{00000000-0005-0000-0000-000083450000}"/>
    <cellStyle name="40% - Accent4 4 2 4 2 4 2 2" xfId="25078" xr:uid="{00000000-0005-0000-0000-000084450000}"/>
    <cellStyle name="40% - Accent4 4 2 4 2 4 2 3" xfId="25079" xr:uid="{00000000-0005-0000-0000-000085450000}"/>
    <cellStyle name="40% - Accent4 4 2 4 2 4 3" xfId="25080" xr:uid="{00000000-0005-0000-0000-000086450000}"/>
    <cellStyle name="40% - Accent4 4 2 4 2 4 3 2" xfId="25081" xr:uid="{00000000-0005-0000-0000-000087450000}"/>
    <cellStyle name="40% - Accent4 4 2 4 2 4 4" xfId="25082" xr:uid="{00000000-0005-0000-0000-000088450000}"/>
    <cellStyle name="40% - Accent4 4 2 4 2 4 5" xfId="25083" xr:uid="{00000000-0005-0000-0000-000089450000}"/>
    <cellStyle name="40% - Accent4 4 2 4 2 5" xfId="25084" xr:uid="{00000000-0005-0000-0000-00008A450000}"/>
    <cellStyle name="40% - Accent4 4 2 4 2 5 2" xfId="25085" xr:uid="{00000000-0005-0000-0000-00008B450000}"/>
    <cellStyle name="40% - Accent4 4 2 4 2 5 3" xfId="25086" xr:uid="{00000000-0005-0000-0000-00008C450000}"/>
    <cellStyle name="40% - Accent4 4 2 4 2 6" xfId="25087" xr:uid="{00000000-0005-0000-0000-00008D450000}"/>
    <cellStyle name="40% - Accent4 4 2 4 2 6 2" xfId="25088" xr:uid="{00000000-0005-0000-0000-00008E450000}"/>
    <cellStyle name="40% - Accent4 4 2 4 2 6 3" xfId="25089" xr:uid="{00000000-0005-0000-0000-00008F450000}"/>
    <cellStyle name="40% - Accent4 4 2 4 2 7" xfId="25090" xr:uid="{00000000-0005-0000-0000-000090450000}"/>
    <cellStyle name="40% - Accent4 4 2 4 2 7 2" xfId="25091" xr:uid="{00000000-0005-0000-0000-000091450000}"/>
    <cellStyle name="40% - Accent4 4 2 4 2 8" xfId="25092" xr:uid="{00000000-0005-0000-0000-000092450000}"/>
    <cellStyle name="40% - Accent4 4 2 4 2 9" xfId="25093" xr:uid="{00000000-0005-0000-0000-000093450000}"/>
    <cellStyle name="40% - Accent4 4 2 4 3" xfId="25094" xr:uid="{00000000-0005-0000-0000-000094450000}"/>
    <cellStyle name="40% - Accent4 4 2 4 3 2" xfId="25095" xr:uid="{00000000-0005-0000-0000-000095450000}"/>
    <cellStyle name="40% - Accent4 4 2 4 3 2 2" xfId="25096" xr:uid="{00000000-0005-0000-0000-000096450000}"/>
    <cellStyle name="40% - Accent4 4 2 4 3 2 3" xfId="25097" xr:uid="{00000000-0005-0000-0000-000097450000}"/>
    <cellStyle name="40% - Accent4 4 2 4 3 3" xfId="25098" xr:uid="{00000000-0005-0000-0000-000098450000}"/>
    <cellStyle name="40% - Accent4 4 2 4 3 3 2" xfId="25099" xr:uid="{00000000-0005-0000-0000-000099450000}"/>
    <cellStyle name="40% - Accent4 4 2 4 3 3 3" xfId="25100" xr:uid="{00000000-0005-0000-0000-00009A450000}"/>
    <cellStyle name="40% - Accent4 4 2 4 3 4" xfId="25101" xr:uid="{00000000-0005-0000-0000-00009B450000}"/>
    <cellStyle name="40% - Accent4 4 2 4 3 4 2" xfId="25102" xr:uid="{00000000-0005-0000-0000-00009C450000}"/>
    <cellStyle name="40% - Accent4 4 2 4 3 5" xfId="25103" xr:uid="{00000000-0005-0000-0000-00009D450000}"/>
    <cellStyle name="40% - Accent4 4 2 4 3 6" xfId="25104" xr:uid="{00000000-0005-0000-0000-00009E450000}"/>
    <cellStyle name="40% - Accent4 4 2 4 4" xfId="25105" xr:uid="{00000000-0005-0000-0000-00009F450000}"/>
    <cellStyle name="40% - Accent4 4 2 4 4 2" xfId="25106" xr:uid="{00000000-0005-0000-0000-0000A0450000}"/>
    <cellStyle name="40% - Accent4 4 2 4 4 2 2" xfId="25107" xr:uid="{00000000-0005-0000-0000-0000A1450000}"/>
    <cellStyle name="40% - Accent4 4 2 4 4 2 3" xfId="25108" xr:uid="{00000000-0005-0000-0000-0000A2450000}"/>
    <cellStyle name="40% - Accent4 4 2 4 4 3" xfId="25109" xr:uid="{00000000-0005-0000-0000-0000A3450000}"/>
    <cellStyle name="40% - Accent4 4 2 4 4 3 2" xfId="25110" xr:uid="{00000000-0005-0000-0000-0000A4450000}"/>
    <cellStyle name="40% - Accent4 4 2 4 4 3 3" xfId="25111" xr:uid="{00000000-0005-0000-0000-0000A5450000}"/>
    <cellStyle name="40% - Accent4 4 2 4 4 4" xfId="25112" xr:uid="{00000000-0005-0000-0000-0000A6450000}"/>
    <cellStyle name="40% - Accent4 4 2 4 4 4 2" xfId="25113" xr:uid="{00000000-0005-0000-0000-0000A7450000}"/>
    <cellStyle name="40% - Accent4 4 2 4 4 5" xfId="25114" xr:uid="{00000000-0005-0000-0000-0000A8450000}"/>
    <cellStyle name="40% - Accent4 4 2 4 4 6" xfId="25115" xr:uid="{00000000-0005-0000-0000-0000A9450000}"/>
    <cellStyle name="40% - Accent4 4 2 4 5" xfId="25116" xr:uid="{00000000-0005-0000-0000-0000AA450000}"/>
    <cellStyle name="40% - Accent4 4 2 4 5 2" xfId="25117" xr:uid="{00000000-0005-0000-0000-0000AB450000}"/>
    <cellStyle name="40% - Accent4 4 2 4 5 2 2" xfId="25118" xr:uid="{00000000-0005-0000-0000-0000AC450000}"/>
    <cellStyle name="40% - Accent4 4 2 4 5 2 3" xfId="25119" xr:uid="{00000000-0005-0000-0000-0000AD450000}"/>
    <cellStyle name="40% - Accent4 4 2 4 5 3" xfId="25120" xr:uid="{00000000-0005-0000-0000-0000AE450000}"/>
    <cellStyle name="40% - Accent4 4 2 4 5 3 2" xfId="25121" xr:uid="{00000000-0005-0000-0000-0000AF450000}"/>
    <cellStyle name="40% - Accent4 4 2 4 5 4" xfId="25122" xr:uid="{00000000-0005-0000-0000-0000B0450000}"/>
    <cellStyle name="40% - Accent4 4 2 4 5 5" xfId="25123" xr:uid="{00000000-0005-0000-0000-0000B1450000}"/>
    <cellStyle name="40% - Accent4 4 2 4 6" xfId="25124" xr:uid="{00000000-0005-0000-0000-0000B2450000}"/>
    <cellStyle name="40% - Accent4 4 2 4 6 2" xfId="25125" xr:uid="{00000000-0005-0000-0000-0000B3450000}"/>
    <cellStyle name="40% - Accent4 4 2 4 6 3" xfId="25126" xr:uid="{00000000-0005-0000-0000-0000B4450000}"/>
    <cellStyle name="40% - Accent4 4 2 4 7" xfId="25127" xr:uid="{00000000-0005-0000-0000-0000B5450000}"/>
    <cellStyle name="40% - Accent4 4 2 4 7 2" xfId="25128" xr:uid="{00000000-0005-0000-0000-0000B6450000}"/>
    <cellStyle name="40% - Accent4 4 2 4 7 3" xfId="25129" xr:uid="{00000000-0005-0000-0000-0000B7450000}"/>
    <cellStyle name="40% - Accent4 4 2 4 8" xfId="25130" xr:uid="{00000000-0005-0000-0000-0000B8450000}"/>
    <cellStyle name="40% - Accent4 4 2 4 8 2" xfId="25131" xr:uid="{00000000-0005-0000-0000-0000B9450000}"/>
    <cellStyle name="40% - Accent4 4 2 4 9" xfId="25132" xr:uid="{00000000-0005-0000-0000-0000BA450000}"/>
    <cellStyle name="40% - Accent4 4 2 5" xfId="2229" xr:uid="{00000000-0005-0000-0000-0000BB450000}"/>
    <cellStyle name="40% - Accent4 4 2 5 2" xfId="25133" xr:uid="{00000000-0005-0000-0000-0000BC450000}"/>
    <cellStyle name="40% - Accent4 4 2 5 2 2" xfId="25134" xr:uid="{00000000-0005-0000-0000-0000BD450000}"/>
    <cellStyle name="40% - Accent4 4 2 5 2 2 2" xfId="25135" xr:uid="{00000000-0005-0000-0000-0000BE450000}"/>
    <cellStyle name="40% - Accent4 4 2 5 2 2 3" xfId="25136" xr:uid="{00000000-0005-0000-0000-0000BF450000}"/>
    <cellStyle name="40% - Accent4 4 2 5 2 3" xfId="25137" xr:uid="{00000000-0005-0000-0000-0000C0450000}"/>
    <cellStyle name="40% - Accent4 4 2 5 2 3 2" xfId="25138" xr:uid="{00000000-0005-0000-0000-0000C1450000}"/>
    <cellStyle name="40% - Accent4 4 2 5 2 3 3" xfId="25139" xr:uid="{00000000-0005-0000-0000-0000C2450000}"/>
    <cellStyle name="40% - Accent4 4 2 5 2 4" xfId="25140" xr:uid="{00000000-0005-0000-0000-0000C3450000}"/>
    <cellStyle name="40% - Accent4 4 2 5 2 4 2" xfId="25141" xr:uid="{00000000-0005-0000-0000-0000C4450000}"/>
    <cellStyle name="40% - Accent4 4 2 5 2 5" xfId="25142" xr:uid="{00000000-0005-0000-0000-0000C5450000}"/>
    <cellStyle name="40% - Accent4 4 2 5 2 6" xfId="25143" xr:uid="{00000000-0005-0000-0000-0000C6450000}"/>
    <cellStyle name="40% - Accent4 4 2 5 3" xfId="25144" xr:uid="{00000000-0005-0000-0000-0000C7450000}"/>
    <cellStyle name="40% - Accent4 4 2 5 3 2" xfId="25145" xr:uid="{00000000-0005-0000-0000-0000C8450000}"/>
    <cellStyle name="40% - Accent4 4 2 5 3 2 2" xfId="25146" xr:uid="{00000000-0005-0000-0000-0000C9450000}"/>
    <cellStyle name="40% - Accent4 4 2 5 3 2 3" xfId="25147" xr:uid="{00000000-0005-0000-0000-0000CA450000}"/>
    <cellStyle name="40% - Accent4 4 2 5 3 3" xfId="25148" xr:uid="{00000000-0005-0000-0000-0000CB450000}"/>
    <cellStyle name="40% - Accent4 4 2 5 3 3 2" xfId="25149" xr:uid="{00000000-0005-0000-0000-0000CC450000}"/>
    <cellStyle name="40% - Accent4 4 2 5 3 3 3" xfId="25150" xr:uid="{00000000-0005-0000-0000-0000CD450000}"/>
    <cellStyle name="40% - Accent4 4 2 5 3 4" xfId="25151" xr:uid="{00000000-0005-0000-0000-0000CE450000}"/>
    <cellStyle name="40% - Accent4 4 2 5 3 4 2" xfId="25152" xr:uid="{00000000-0005-0000-0000-0000CF450000}"/>
    <cellStyle name="40% - Accent4 4 2 5 3 5" xfId="25153" xr:uid="{00000000-0005-0000-0000-0000D0450000}"/>
    <cellStyle name="40% - Accent4 4 2 5 3 6" xfId="25154" xr:uid="{00000000-0005-0000-0000-0000D1450000}"/>
    <cellStyle name="40% - Accent4 4 2 5 4" xfId="25155" xr:uid="{00000000-0005-0000-0000-0000D2450000}"/>
    <cellStyle name="40% - Accent4 4 2 5 4 2" xfId="25156" xr:uid="{00000000-0005-0000-0000-0000D3450000}"/>
    <cellStyle name="40% - Accent4 4 2 5 4 2 2" xfId="25157" xr:uid="{00000000-0005-0000-0000-0000D4450000}"/>
    <cellStyle name="40% - Accent4 4 2 5 4 2 3" xfId="25158" xr:uid="{00000000-0005-0000-0000-0000D5450000}"/>
    <cellStyle name="40% - Accent4 4 2 5 4 3" xfId="25159" xr:uid="{00000000-0005-0000-0000-0000D6450000}"/>
    <cellStyle name="40% - Accent4 4 2 5 4 3 2" xfId="25160" xr:uid="{00000000-0005-0000-0000-0000D7450000}"/>
    <cellStyle name="40% - Accent4 4 2 5 4 4" xfId="25161" xr:uid="{00000000-0005-0000-0000-0000D8450000}"/>
    <cellStyle name="40% - Accent4 4 2 5 4 5" xfId="25162" xr:uid="{00000000-0005-0000-0000-0000D9450000}"/>
    <cellStyle name="40% - Accent4 4 2 5 5" xfId="25163" xr:uid="{00000000-0005-0000-0000-0000DA450000}"/>
    <cellStyle name="40% - Accent4 4 2 5 5 2" xfId="25164" xr:uid="{00000000-0005-0000-0000-0000DB450000}"/>
    <cellStyle name="40% - Accent4 4 2 5 5 3" xfId="25165" xr:uid="{00000000-0005-0000-0000-0000DC450000}"/>
    <cellStyle name="40% - Accent4 4 2 5 6" xfId="25166" xr:uid="{00000000-0005-0000-0000-0000DD450000}"/>
    <cellStyle name="40% - Accent4 4 2 5 6 2" xfId="25167" xr:uid="{00000000-0005-0000-0000-0000DE450000}"/>
    <cellStyle name="40% - Accent4 4 2 5 6 3" xfId="25168" xr:uid="{00000000-0005-0000-0000-0000DF450000}"/>
    <cellStyle name="40% - Accent4 4 2 5 7" xfId="25169" xr:uid="{00000000-0005-0000-0000-0000E0450000}"/>
    <cellStyle name="40% - Accent4 4 2 5 7 2" xfId="25170" xr:uid="{00000000-0005-0000-0000-0000E1450000}"/>
    <cellStyle name="40% - Accent4 4 2 5 8" xfId="25171" xr:uid="{00000000-0005-0000-0000-0000E2450000}"/>
    <cellStyle name="40% - Accent4 4 2 5 9" xfId="25172" xr:uid="{00000000-0005-0000-0000-0000E3450000}"/>
    <cellStyle name="40% - Accent4 4 2 6" xfId="25173" xr:uid="{00000000-0005-0000-0000-0000E4450000}"/>
    <cellStyle name="40% - Accent4 4 2 6 2" xfId="25174" xr:uid="{00000000-0005-0000-0000-0000E5450000}"/>
    <cellStyle name="40% - Accent4 4 2 6 2 2" xfId="25175" xr:uid="{00000000-0005-0000-0000-0000E6450000}"/>
    <cellStyle name="40% - Accent4 4 2 6 2 2 2" xfId="25176" xr:uid="{00000000-0005-0000-0000-0000E7450000}"/>
    <cellStyle name="40% - Accent4 4 2 6 2 2 3" xfId="25177" xr:uid="{00000000-0005-0000-0000-0000E8450000}"/>
    <cellStyle name="40% - Accent4 4 2 6 2 3" xfId="25178" xr:uid="{00000000-0005-0000-0000-0000E9450000}"/>
    <cellStyle name="40% - Accent4 4 2 6 2 3 2" xfId="25179" xr:uid="{00000000-0005-0000-0000-0000EA450000}"/>
    <cellStyle name="40% - Accent4 4 2 6 2 3 3" xfId="25180" xr:uid="{00000000-0005-0000-0000-0000EB450000}"/>
    <cellStyle name="40% - Accent4 4 2 6 2 4" xfId="25181" xr:uid="{00000000-0005-0000-0000-0000EC450000}"/>
    <cellStyle name="40% - Accent4 4 2 6 2 4 2" xfId="25182" xr:uid="{00000000-0005-0000-0000-0000ED450000}"/>
    <cellStyle name="40% - Accent4 4 2 6 2 5" xfId="25183" xr:uid="{00000000-0005-0000-0000-0000EE450000}"/>
    <cellStyle name="40% - Accent4 4 2 6 2 6" xfId="25184" xr:uid="{00000000-0005-0000-0000-0000EF450000}"/>
    <cellStyle name="40% - Accent4 4 2 6 3" xfId="25185" xr:uid="{00000000-0005-0000-0000-0000F0450000}"/>
    <cellStyle name="40% - Accent4 4 2 6 3 2" xfId="25186" xr:uid="{00000000-0005-0000-0000-0000F1450000}"/>
    <cellStyle name="40% - Accent4 4 2 6 3 2 2" xfId="25187" xr:uid="{00000000-0005-0000-0000-0000F2450000}"/>
    <cellStyle name="40% - Accent4 4 2 6 3 2 3" xfId="25188" xr:uid="{00000000-0005-0000-0000-0000F3450000}"/>
    <cellStyle name="40% - Accent4 4 2 6 3 3" xfId="25189" xr:uid="{00000000-0005-0000-0000-0000F4450000}"/>
    <cellStyle name="40% - Accent4 4 2 6 3 3 2" xfId="25190" xr:uid="{00000000-0005-0000-0000-0000F5450000}"/>
    <cellStyle name="40% - Accent4 4 2 6 3 3 3" xfId="25191" xr:uid="{00000000-0005-0000-0000-0000F6450000}"/>
    <cellStyle name="40% - Accent4 4 2 6 3 4" xfId="25192" xr:uid="{00000000-0005-0000-0000-0000F7450000}"/>
    <cellStyle name="40% - Accent4 4 2 6 3 4 2" xfId="25193" xr:uid="{00000000-0005-0000-0000-0000F8450000}"/>
    <cellStyle name="40% - Accent4 4 2 6 3 5" xfId="25194" xr:uid="{00000000-0005-0000-0000-0000F9450000}"/>
    <cellStyle name="40% - Accent4 4 2 6 3 6" xfId="25195" xr:uid="{00000000-0005-0000-0000-0000FA450000}"/>
    <cellStyle name="40% - Accent4 4 2 6 4" xfId="25196" xr:uid="{00000000-0005-0000-0000-0000FB450000}"/>
    <cellStyle name="40% - Accent4 4 2 6 4 2" xfId="25197" xr:uid="{00000000-0005-0000-0000-0000FC450000}"/>
    <cellStyle name="40% - Accent4 4 2 6 4 2 2" xfId="25198" xr:uid="{00000000-0005-0000-0000-0000FD450000}"/>
    <cellStyle name="40% - Accent4 4 2 6 4 2 3" xfId="25199" xr:uid="{00000000-0005-0000-0000-0000FE450000}"/>
    <cellStyle name="40% - Accent4 4 2 6 4 3" xfId="25200" xr:uid="{00000000-0005-0000-0000-0000FF450000}"/>
    <cellStyle name="40% - Accent4 4 2 6 4 3 2" xfId="25201" xr:uid="{00000000-0005-0000-0000-000000460000}"/>
    <cellStyle name="40% - Accent4 4 2 6 4 4" xfId="25202" xr:uid="{00000000-0005-0000-0000-000001460000}"/>
    <cellStyle name="40% - Accent4 4 2 6 4 5" xfId="25203" xr:uid="{00000000-0005-0000-0000-000002460000}"/>
    <cellStyle name="40% - Accent4 4 2 6 5" xfId="25204" xr:uid="{00000000-0005-0000-0000-000003460000}"/>
    <cellStyle name="40% - Accent4 4 2 6 5 2" xfId="25205" xr:uid="{00000000-0005-0000-0000-000004460000}"/>
    <cellStyle name="40% - Accent4 4 2 6 5 3" xfId="25206" xr:uid="{00000000-0005-0000-0000-000005460000}"/>
    <cellStyle name="40% - Accent4 4 2 6 6" xfId="25207" xr:uid="{00000000-0005-0000-0000-000006460000}"/>
    <cellStyle name="40% - Accent4 4 2 6 6 2" xfId="25208" xr:uid="{00000000-0005-0000-0000-000007460000}"/>
    <cellStyle name="40% - Accent4 4 2 6 6 3" xfId="25209" xr:uid="{00000000-0005-0000-0000-000008460000}"/>
    <cellStyle name="40% - Accent4 4 2 6 7" xfId="25210" xr:uid="{00000000-0005-0000-0000-000009460000}"/>
    <cellStyle name="40% - Accent4 4 2 6 7 2" xfId="25211" xr:uid="{00000000-0005-0000-0000-00000A460000}"/>
    <cellStyle name="40% - Accent4 4 2 6 8" xfId="25212" xr:uid="{00000000-0005-0000-0000-00000B460000}"/>
    <cellStyle name="40% - Accent4 4 2 6 9" xfId="25213" xr:uid="{00000000-0005-0000-0000-00000C460000}"/>
    <cellStyle name="40% - Accent4 4 2 7" xfId="25214" xr:uid="{00000000-0005-0000-0000-00000D460000}"/>
    <cellStyle name="40% - Accent4 4 2 7 2" xfId="25215" xr:uid="{00000000-0005-0000-0000-00000E460000}"/>
    <cellStyle name="40% - Accent4 4 2 7 2 2" xfId="25216" xr:uid="{00000000-0005-0000-0000-00000F460000}"/>
    <cellStyle name="40% - Accent4 4 2 7 2 3" xfId="25217" xr:uid="{00000000-0005-0000-0000-000010460000}"/>
    <cellStyle name="40% - Accent4 4 2 7 3" xfId="25218" xr:uid="{00000000-0005-0000-0000-000011460000}"/>
    <cellStyle name="40% - Accent4 4 2 7 3 2" xfId="25219" xr:uid="{00000000-0005-0000-0000-000012460000}"/>
    <cellStyle name="40% - Accent4 4 2 7 3 3" xfId="25220" xr:uid="{00000000-0005-0000-0000-000013460000}"/>
    <cellStyle name="40% - Accent4 4 2 7 4" xfId="25221" xr:uid="{00000000-0005-0000-0000-000014460000}"/>
    <cellStyle name="40% - Accent4 4 2 7 4 2" xfId="25222" xr:uid="{00000000-0005-0000-0000-000015460000}"/>
    <cellStyle name="40% - Accent4 4 2 7 5" xfId="25223" xr:uid="{00000000-0005-0000-0000-000016460000}"/>
    <cellStyle name="40% - Accent4 4 2 7 6" xfId="25224" xr:uid="{00000000-0005-0000-0000-000017460000}"/>
    <cellStyle name="40% - Accent4 4 2 8" xfId="25225" xr:uid="{00000000-0005-0000-0000-000018460000}"/>
    <cellStyle name="40% - Accent4 4 2 8 2" xfId="25226" xr:uid="{00000000-0005-0000-0000-000019460000}"/>
    <cellStyle name="40% - Accent4 4 2 8 2 2" xfId="25227" xr:uid="{00000000-0005-0000-0000-00001A460000}"/>
    <cellStyle name="40% - Accent4 4 2 8 2 3" xfId="25228" xr:uid="{00000000-0005-0000-0000-00001B460000}"/>
    <cellStyle name="40% - Accent4 4 2 8 3" xfId="25229" xr:uid="{00000000-0005-0000-0000-00001C460000}"/>
    <cellStyle name="40% - Accent4 4 2 8 3 2" xfId="25230" xr:uid="{00000000-0005-0000-0000-00001D460000}"/>
    <cellStyle name="40% - Accent4 4 2 8 3 3" xfId="25231" xr:uid="{00000000-0005-0000-0000-00001E460000}"/>
    <cellStyle name="40% - Accent4 4 2 8 4" xfId="25232" xr:uid="{00000000-0005-0000-0000-00001F460000}"/>
    <cellStyle name="40% - Accent4 4 2 8 4 2" xfId="25233" xr:uid="{00000000-0005-0000-0000-000020460000}"/>
    <cellStyle name="40% - Accent4 4 2 8 5" xfId="25234" xr:uid="{00000000-0005-0000-0000-000021460000}"/>
    <cellStyle name="40% - Accent4 4 2 8 6" xfId="25235" xr:uid="{00000000-0005-0000-0000-000022460000}"/>
    <cellStyle name="40% - Accent4 4 2 9" xfId="25236" xr:uid="{00000000-0005-0000-0000-000023460000}"/>
    <cellStyle name="40% - Accent4 4 2 9 2" xfId="25237" xr:uid="{00000000-0005-0000-0000-000024460000}"/>
    <cellStyle name="40% - Accent4 4 2 9 2 2" xfId="25238" xr:uid="{00000000-0005-0000-0000-000025460000}"/>
    <cellStyle name="40% - Accent4 4 2 9 2 3" xfId="25239" xr:uid="{00000000-0005-0000-0000-000026460000}"/>
    <cellStyle name="40% - Accent4 4 2 9 3" xfId="25240" xr:uid="{00000000-0005-0000-0000-000027460000}"/>
    <cellStyle name="40% - Accent4 4 2 9 3 2" xfId="25241" xr:uid="{00000000-0005-0000-0000-000028460000}"/>
    <cellStyle name="40% - Accent4 4 2 9 4" xfId="25242" xr:uid="{00000000-0005-0000-0000-000029460000}"/>
    <cellStyle name="40% - Accent4 4 2 9 5" xfId="25243" xr:uid="{00000000-0005-0000-0000-00002A460000}"/>
    <cellStyle name="40% - Accent4 4 3" xfId="2230" xr:uid="{00000000-0005-0000-0000-00002B460000}"/>
    <cellStyle name="40% - Accent4 4 3 10" xfId="25244" xr:uid="{00000000-0005-0000-0000-00002C460000}"/>
    <cellStyle name="40% - Accent4 4 3 10 2" xfId="25245" xr:uid="{00000000-0005-0000-0000-00002D460000}"/>
    <cellStyle name="40% - Accent4 4 3 10 3" xfId="25246" xr:uid="{00000000-0005-0000-0000-00002E460000}"/>
    <cellStyle name="40% - Accent4 4 3 11" xfId="25247" xr:uid="{00000000-0005-0000-0000-00002F460000}"/>
    <cellStyle name="40% - Accent4 4 3 11 2" xfId="25248" xr:uid="{00000000-0005-0000-0000-000030460000}"/>
    <cellStyle name="40% - Accent4 4 3 12" xfId="25249" xr:uid="{00000000-0005-0000-0000-000031460000}"/>
    <cellStyle name="40% - Accent4 4 3 13" xfId="25250" xr:uid="{00000000-0005-0000-0000-000032460000}"/>
    <cellStyle name="40% - Accent4 4 3 14" xfId="25251" xr:uid="{00000000-0005-0000-0000-000033460000}"/>
    <cellStyle name="40% - Accent4 4 3 2" xfId="2231" xr:uid="{00000000-0005-0000-0000-000034460000}"/>
    <cellStyle name="40% - Accent4 4 3 2 10" xfId="25252" xr:uid="{00000000-0005-0000-0000-000035460000}"/>
    <cellStyle name="40% - Accent4 4 3 2 10 2" xfId="25253" xr:uid="{00000000-0005-0000-0000-000036460000}"/>
    <cellStyle name="40% - Accent4 4 3 2 11" xfId="25254" xr:uid="{00000000-0005-0000-0000-000037460000}"/>
    <cellStyle name="40% - Accent4 4 3 2 12" xfId="25255" xr:uid="{00000000-0005-0000-0000-000038460000}"/>
    <cellStyle name="40% - Accent4 4 3 2 2" xfId="2232" xr:uid="{00000000-0005-0000-0000-000039460000}"/>
    <cellStyle name="40% - Accent4 4 3 2 2 10" xfId="25256" xr:uid="{00000000-0005-0000-0000-00003A460000}"/>
    <cellStyle name="40% - Accent4 4 3 2 2 2" xfId="2233" xr:uid="{00000000-0005-0000-0000-00003B460000}"/>
    <cellStyle name="40% - Accent4 4 3 2 2 2 2" xfId="25257" xr:uid="{00000000-0005-0000-0000-00003C460000}"/>
    <cellStyle name="40% - Accent4 4 3 2 2 2 2 2" xfId="25258" xr:uid="{00000000-0005-0000-0000-00003D460000}"/>
    <cellStyle name="40% - Accent4 4 3 2 2 2 2 2 2" xfId="25259" xr:uid="{00000000-0005-0000-0000-00003E460000}"/>
    <cellStyle name="40% - Accent4 4 3 2 2 2 2 2 3" xfId="25260" xr:uid="{00000000-0005-0000-0000-00003F460000}"/>
    <cellStyle name="40% - Accent4 4 3 2 2 2 2 3" xfId="25261" xr:uid="{00000000-0005-0000-0000-000040460000}"/>
    <cellStyle name="40% - Accent4 4 3 2 2 2 2 3 2" xfId="25262" xr:uid="{00000000-0005-0000-0000-000041460000}"/>
    <cellStyle name="40% - Accent4 4 3 2 2 2 2 3 3" xfId="25263" xr:uid="{00000000-0005-0000-0000-000042460000}"/>
    <cellStyle name="40% - Accent4 4 3 2 2 2 2 4" xfId="25264" xr:uid="{00000000-0005-0000-0000-000043460000}"/>
    <cellStyle name="40% - Accent4 4 3 2 2 2 2 4 2" xfId="25265" xr:uid="{00000000-0005-0000-0000-000044460000}"/>
    <cellStyle name="40% - Accent4 4 3 2 2 2 2 5" xfId="25266" xr:uid="{00000000-0005-0000-0000-000045460000}"/>
    <cellStyle name="40% - Accent4 4 3 2 2 2 2 6" xfId="25267" xr:uid="{00000000-0005-0000-0000-000046460000}"/>
    <cellStyle name="40% - Accent4 4 3 2 2 2 3" xfId="25268" xr:uid="{00000000-0005-0000-0000-000047460000}"/>
    <cellStyle name="40% - Accent4 4 3 2 2 2 3 2" xfId="25269" xr:uid="{00000000-0005-0000-0000-000048460000}"/>
    <cellStyle name="40% - Accent4 4 3 2 2 2 3 2 2" xfId="25270" xr:uid="{00000000-0005-0000-0000-000049460000}"/>
    <cellStyle name="40% - Accent4 4 3 2 2 2 3 2 3" xfId="25271" xr:uid="{00000000-0005-0000-0000-00004A460000}"/>
    <cellStyle name="40% - Accent4 4 3 2 2 2 3 3" xfId="25272" xr:uid="{00000000-0005-0000-0000-00004B460000}"/>
    <cellStyle name="40% - Accent4 4 3 2 2 2 3 3 2" xfId="25273" xr:uid="{00000000-0005-0000-0000-00004C460000}"/>
    <cellStyle name="40% - Accent4 4 3 2 2 2 3 3 3" xfId="25274" xr:uid="{00000000-0005-0000-0000-00004D460000}"/>
    <cellStyle name="40% - Accent4 4 3 2 2 2 3 4" xfId="25275" xr:uid="{00000000-0005-0000-0000-00004E460000}"/>
    <cellStyle name="40% - Accent4 4 3 2 2 2 3 4 2" xfId="25276" xr:uid="{00000000-0005-0000-0000-00004F460000}"/>
    <cellStyle name="40% - Accent4 4 3 2 2 2 3 5" xfId="25277" xr:uid="{00000000-0005-0000-0000-000050460000}"/>
    <cellStyle name="40% - Accent4 4 3 2 2 2 3 6" xfId="25278" xr:uid="{00000000-0005-0000-0000-000051460000}"/>
    <cellStyle name="40% - Accent4 4 3 2 2 2 4" xfId="25279" xr:uid="{00000000-0005-0000-0000-000052460000}"/>
    <cellStyle name="40% - Accent4 4 3 2 2 2 4 2" xfId="25280" xr:uid="{00000000-0005-0000-0000-000053460000}"/>
    <cellStyle name="40% - Accent4 4 3 2 2 2 4 2 2" xfId="25281" xr:uid="{00000000-0005-0000-0000-000054460000}"/>
    <cellStyle name="40% - Accent4 4 3 2 2 2 4 2 3" xfId="25282" xr:uid="{00000000-0005-0000-0000-000055460000}"/>
    <cellStyle name="40% - Accent4 4 3 2 2 2 4 3" xfId="25283" xr:uid="{00000000-0005-0000-0000-000056460000}"/>
    <cellStyle name="40% - Accent4 4 3 2 2 2 4 3 2" xfId="25284" xr:uid="{00000000-0005-0000-0000-000057460000}"/>
    <cellStyle name="40% - Accent4 4 3 2 2 2 4 4" xfId="25285" xr:uid="{00000000-0005-0000-0000-000058460000}"/>
    <cellStyle name="40% - Accent4 4 3 2 2 2 4 5" xfId="25286" xr:uid="{00000000-0005-0000-0000-000059460000}"/>
    <cellStyle name="40% - Accent4 4 3 2 2 2 5" xfId="25287" xr:uid="{00000000-0005-0000-0000-00005A460000}"/>
    <cellStyle name="40% - Accent4 4 3 2 2 2 5 2" xfId="25288" xr:uid="{00000000-0005-0000-0000-00005B460000}"/>
    <cellStyle name="40% - Accent4 4 3 2 2 2 5 3" xfId="25289" xr:uid="{00000000-0005-0000-0000-00005C460000}"/>
    <cellStyle name="40% - Accent4 4 3 2 2 2 6" xfId="25290" xr:uid="{00000000-0005-0000-0000-00005D460000}"/>
    <cellStyle name="40% - Accent4 4 3 2 2 2 6 2" xfId="25291" xr:uid="{00000000-0005-0000-0000-00005E460000}"/>
    <cellStyle name="40% - Accent4 4 3 2 2 2 6 3" xfId="25292" xr:uid="{00000000-0005-0000-0000-00005F460000}"/>
    <cellStyle name="40% - Accent4 4 3 2 2 2 7" xfId="25293" xr:uid="{00000000-0005-0000-0000-000060460000}"/>
    <cellStyle name="40% - Accent4 4 3 2 2 2 7 2" xfId="25294" xr:uid="{00000000-0005-0000-0000-000061460000}"/>
    <cellStyle name="40% - Accent4 4 3 2 2 2 8" xfId="25295" xr:uid="{00000000-0005-0000-0000-000062460000}"/>
    <cellStyle name="40% - Accent4 4 3 2 2 2 9" xfId="25296" xr:uid="{00000000-0005-0000-0000-000063460000}"/>
    <cellStyle name="40% - Accent4 4 3 2 2 3" xfId="25297" xr:uid="{00000000-0005-0000-0000-000064460000}"/>
    <cellStyle name="40% - Accent4 4 3 2 2 3 2" xfId="25298" xr:uid="{00000000-0005-0000-0000-000065460000}"/>
    <cellStyle name="40% - Accent4 4 3 2 2 3 2 2" xfId="25299" xr:uid="{00000000-0005-0000-0000-000066460000}"/>
    <cellStyle name="40% - Accent4 4 3 2 2 3 2 3" xfId="25300" xr:uid="{00000000-0005-0000-0000-000067460000}"/>
    <cellStyle name="40% - Accent4 4 3 2 2 3 3" xfId="25301" xr:uid="{00000000-0005-0000-0000-000068460000}"/>
    <cellStyle name="40% - Accent4 4 3 2 2 3 3 2" xfId="25302" xr:uid="{00000000-0005-0000-0000-000069460000}"/>
    <cellStyle name="40% - Accent4 4 3 2 2 3 3 3" xfId="25303" xr:uid="{00000000-0005-0000-0000-00006A460000}"/>
    <cellStyle name="40% - Accent4 4 3 2 2 3 4" xfId="25304" xr:uid="{00000000-0005-0000-0000-00006B460000}"/>
    <cellStyle name="40% - Accent4 4 3 2 2 3 4 2" xfId="25305" xr:uid="{00000000-0005-0000-0000-00006C460000}"/>
    <cellStyle name="40% - Accent4 4 3 2 2 3 5" xfId="25306" xr:uid="{00000000-0005-0000-0000-00006D460000}"/>
    <cellStyle name="40% - Accent4 4 3 2 2 3 6" xfId="25307" xr:uid="{00000000-0005-0000-0000-00006E460000}"/>
    <cellStyle name="40% - Accent4 4 3 2 2 4" xfId="25308" xr:uid="{00000000-0005-0000-0000-00006F460000}"/>
    <cellStyle name="40% - Accent4 4 3 2 2 4 2" xfId="25309" xr:uid="{00000000-0005-0000-0000-000070460000}"/>
    <cellStyle name="40% - Accent4 4 3 2 2 4 2 2" xfId="25310" xr:uid="{00000000-0005-0000-0000-000071460000}"/>
    <cellStyle name="40% - Accent4 4 3 2 2 4 2 3" xfId="25311" xr:uid="{00000000-0005-0000-0000-000072460000}"/>
    <cellStyle name="40% - Accent4 4 3 2 2 4 3" xfId="25312" xr:uid="{00000000-0005-0000-0000-000073460000}"/>
    <cellStyle name="40% - Accent4 4 3 2 2 4 3 2" xfId="25313" xr:uid="{00000000-0005-0000-0000-000074460000}"/>
    <cellStyle name="40% - Accent4 4 3 2 2 4 3 3" xfId="25314" xr:uid="{00000000-0005-0000-0000-000075460000}"/>
    <cellStyle name="40% - Accent4 4 3 2 2 4 4" xfId="25315" xr:uid="{00000000-0005-0000-0000-000076460000}"/>
    <cellStyle name="40% - Accent4 4 3 2 2 4 4 2" xfId="25316" xr:uid="{00000000-0005-0000-0000-000077460000}"/>
    <cellStyle name="40% - Accent4 4 3 2 2 4 5" xfId="25317" xr:uid="{00000000-0005-0000-0000-000078460000}"/>
    <cellStyle name="40% - Accent4 4 3 2 2 4 6" xfId="25318" xr:uid="{00000000-0005-0000-0000-000079460000}"/>
    <cellStyle name="40% - Accent4 4 3 2 2 5" xfId="25319" xr:uid="{00000000-0005-0000-0000-00007A460000}"/>
    <cellStyle name="40% - Accent4 4 3 2 2 5 2" xfId="25320" xr:uid="{00000000-0005-0000-0000-00007B460000}"/>
    <cellStyle name="40% - Accent4 4 3 2 2 5 2 2" xfId="25321" xr:uid="{00000000-0005-0000-0000-00007C460000}"/>
    <cellStyle name="40% - Accent4 4 3 2 2 5 2 3" xfId="25322" xr:uid="{00000000-0005-0000-0000-00007D460000}"/>
    <cellStyle name="40% - Accent4 4 3 2 2 5 3" xfId="25323" xr:uid="{00000000-0005-0000-0000-00007E460000}"/>
    <cellStyle name="40% - Accent4 4 3 2 2 5 3 2" xfId="25324" xr:uid="{00000000-0005-0000-0000-00007F460000}"/>
    <cellStyle name="40% - Accent4 4 3 2 2 5 4" xfId="25325" xr:uid="{00000000-0005-0000-0000-000080460000}"/>
    <cellStyle name="40% - Accent4 4 3 2 2 5 5" xfId="25326" xr:uid="{00000000-0005-0000-0000-000081460000}"/>
    <cellStyle name="40% - Accent4 4 3 2 2 6" xfId="25327" xr:uid="{00000000-0005-0000-0000-000082460000}"/>
    <cellStyle name="40% - Accent4 4 3 2 2 6 2" xfId="25328" xr:uid="{00000000-0005-0000-0000-000083460000}"/>
    <cellStyle name="40% - Accent4 4 3 2 2 6 3" xfId="25329" xr:uid="{00000000-0005-0000-0000-000084460000}"/>
    <cellStyle name="40% - Accent4 4 3 2 2 7" xfId="25330" xr:uid="{00000000-0005-0000-0000-000085460000}"/>
    <cellStyle name="40% - Accent4 4 3 2 2 7 2" xfId="25331" xr:uid="{00000000-0005-0000-0000-000086460000}"/>
    <cellStyle name="40% - Accent4 4 3 2 2 7 3" xfId="25332" xr:uid="{00000000-0005-0000-0000-000087460000}"/>
    <cellStyle name="40% - Accent4 4 3 2 2 8" xfId="25333" xr:uid="{00000000-0005-0000-0000-000088460000}"/>
    <cellStyle name="40% - Accent4 4 3 2 2 8 2" xfId="25334" xr:uid="{00000000-0005-0000-0000-000089460000}"/>
    <cellStyle name="40% - Accent4 4 3 2 2 9" xfId="25335" xr:uid="{00000000-0005-0000-0000-00008A460000}"/>
    <cellStyle name="40% - Accent4 4 3 2 3" xfId="2234" xr:uid="{00000000-0005-0000-0000-00008B460000}"/>
    <cellStyle name="40% - Accent4 4 3 2 3 2" xfId="25336" xr:uid="{00000000-0005-0000-0000-00008C460000}"/>
    <cellStyle name="40% - Accent4 4 3 2 3 2 2" xfId="25337" xr:uid="{00000000-0005-0000-0000-00008D460000}"/>
    <cellStyle name="40% - Accent4 4 3 2 3 2 2 2" xfId="25338" xr:uid="{00000000-0005-0000-0000-00008E460000}"/>
    <cellStyle name="40% - Accent4 4 3 2 3 2 2 3" xfId="25339" xr:uid="{00000000-0005-0000-0000-00008F460000}"/>
    <cellStyle name="40% - Accent4 4 3 2 3 2 3" xfId="25340" xr:uid="{00000000-0005-0000-0000-000090460000}"/>
    <cellStyle name="40% - Accent4 4 3 2 3 2 3 2" xfId="25341" xr:uid="{00000000-0005-0000-0000-000091460000}"/>
    <cellStyle name="40% - Accent4 4 3 2 3 2 3 3" xfId="25342" xr:uid="{00000000-0005-0000-0000-000092460000}"/>
    <cellStyle name="40% - Accent4 4 3 2 3 2 4" xfId="25343" xr:uid="{00000000-0005-0000-0000-000093460000}"/>
    <cellStyle name="40% - Accent4 4 3 2 3 2 4 2" xfId="25344" xr:uid="{00000000-0005-0000-0000-000094460000}"/>
    <cellStyle name="40% - Accent4 4 3 2 3 2 5" xfId="25345" xr:uid="{00000000-0005-0000-0000-000095460000}"/>
    <cellStyle name="40% - Accent4 4 3 2 3 2 6" xfId="25346" xr:uid="{00000000-0005-0000-0000-000096460000}"/>
    <cellStyle name="40% - Accent4 4 3 2 3 3" xfId="25347" xr:uid="{00000000-0005-0000-0000-000097460000}"/>
    <cellStyle name="40% - Accent4 4 3 2 3 3 2" xfId="25348" xr:uid="{00000000-0005-0000-0000-000098460000}"/>
    <cellStyle name="40% - Accent4 4 3 2 3 3 2 2" xfId="25349" xr:uid="{00000000-0005-0000-0000-000099460000}"/>
    <cellStyle name="40% - Accent4 4 3 2 3 3 2 3" xfId="25350" xr:uid="{00000000-0005-0000-0000-00009A460000}"/>
    <cellStyle name="40% - Accent4 4 3 2 3 3 3" xfId="25351" xr:uid="{00000000-0005-0000-0000-00009B460000}"/>
    <cellStyle name="40% - Accent4 4 3 2 3 3 3 2" xfId="25352" xr:uid="{00000000-0005-0000-0000-00009C460000}"/>
    <cellStyle name="40% - Accent4 4 3 2 3 3 3 3" xfId="25353" xr:uid="{00000000-0005-0000-0000-00009D460000}"/>
    <cellStyle name="40% - Accent4 4 3 2 3 3 4" xfId="25354" xr:uid="{00000000-0005-0000-0000-00009E460000}"/>
    <cellStyle name="40% - Accent4 4 3 2 3 3 4 2" xfId="25355" xr:uid="{00000000-0005-0000-0000-00009F460000}"/>
    <cellStyle name="40% - Accent4 4 3 2 3 3 5" xfId="25356" xr:uid="{00000000-0005-0000-0000-0000A0460000}"/>
    <cellStyle name="40% - Accent4 4 3 2 3 3 6" xfId="25357" xr:uid="{00000000-0005-0000-0000-0000A1460000}"/>
    <cellStyle name="40% - Accent4 4 3 2 3 4" xfId="25358" xr:uid="{00000000-0005-0000-0000-0000A2460000}"/>
    <cellStyle name="40% - Accent4 4 3 2 3 4 2" xfId="25359" xr:uid="{00000000-0005-0000-0000-0000A3460000}"/>
    <cellStyle name="40% - Accent4 4 3 2 3 4 2 2" xfId="25360" xr:uid="{00000000-0005-0000-0000-0000A4460000}"/>
    <cellStyle name="40% - Accent4 4 3 2 3 4 2 3" xfId="25361" xr:uid="{00000000-0005-0000-0000-0000A5460000}"/>
    <cellStyle name="40% - Accent4 4 3 2 3 4 3" xfId="25362" xr:uid="{00000000-0005-0000-0000-0000A6460000}"/>
    <cellStyle name="40% - Accent4 4 3 2 3 4 3 2" xfId="25363" xr:uid="{00000000-0005-0000-0000-0000A7460000}"/>
    <cellStyle name="40% - Accent4 4 3 2 3 4 4" xfId="25364" xr:uid="{00000000-0005-0000-0000-0000A8460000}"/>
    <cellStyle name="40% - Accent4 4 3 2 3 4 5" xfId="25365" xr:uid="{00000000-0005-0000-0000-0000A9460000}"/>
    <cellStyle name="40% - Accent4 4 3 2 3 5" xfId="25366" xr:uid="{00000000-0005-0000-0000-0000AA460000}"/>
    <cellStyle name="40% - Accent4 4 3 2 3 5 2" xfId="25367" xr:uid="{00000000-0005-0000-0000-0000AB460000}"/>
    <cellStyle name="40% - Accent4 4 3 2 3 5 3" xfId="25368" xr:uid="{00000000-0005-0000-0000-0000AC460000}"/>
    <cellStyle name="40% - Accent4 4 3 2 3 6" xfId="25369" xr:uid="{00000000-0005-0000-0000-0000AD460000}"/>
    <cellStyle name="40% - Accent4 4 3 2 3 6 2" xfId="25370" xr:uid="{00000000-0005-0000-0000-0000AE460000}"/>
    <cellStyle name="40% - Accent4 4 3 2 3 6 3" xfId="25371" xr:uid="{00000000-0005-0000-0000-0000AF460000}"/>
    <cellStyle name="40% - Accent4 4 3 2 3 7" xfId="25372" xr:uid="{00000000-0005-0000-0000-0000B0460000}"/>
    <cellStyle name="40% - Accent4 4 3 2 3 7 2" xfId="25373" xr:uid="{00000000-0005-0000-0000-0000B1460000}"/>
    <cellStyle name="40% - Accent4 4 3 2 3 8" xfId="25374" xr:uid="{00000000-0005-0000-0000-0000B2460000}"/>
    <cellStyle name="40% - Accent4 4 3 2 3 9" xfId="25375" xr:uid="{00000000-0005-0000-0000-0000B3460000}"/>
    <cellStyle name="40% - Accent4 4 3 2 4" xfId="25376" xr:uid="{00000000-0005-0000-0000-0000B4460000}"/>
    <cellStyle name="40% - Accent4 4 3 2 4 2" xfId="25377" xr:uid="{00000000-0005-0000-0000-0000B5460000}"/>
    <cellStyle name="40% - Accent4 4 3 2 4 2 2" xfId="25378" xr:uid="{00000000-0005-0000-0000-0000B6460000}"/>
    <cellStyle name="40% - Accent4 4 3 2 4 2 2 2" xfId="25379" xr:uid="{00000000-0005-0000-0000-0000B7460000}"/>
    <cellStyle name="40% - Accent4 4 3 2 4 2 2 3" xfId="25380" xr:uid="{00000000-0005-0000-0000-0000B8460000}"/>
    <cellStyle name="40% - Accent4 4 3 2 4 2 3" xfId="25381" xr:uid="{00000000-0005-0000-0000-0000B9460000}"/>
    <cellStyle name="40% - Accent4 4 3 2 4 2 3 2" xfId="25382" xr:uid="{00000000-0005-0000-0000-0000BA460000}"/>
    <cellStyle name="40% - Accent4 4 3 2 4 2 3 3" xfId="25383" xr:uid="{00000000-0005-0000-0000-0000BB460000}"/>
    <cellStyle name="40% - Accent4 4 3 2 4 2 4" xfId="25384" xr:uid="{00000000-0005-0000-0000-0000BC460000}"/>
    <cellStyle name="40% - Accent4 4 3 2 4 2 4 2" xfId="25385" xr:uid="{00000000-0005-0000-0000-0000BD460000}"/>
    <cellStyle name="40% - Accent4 4 3 2 4 2 5" xfId="25386" xr:uid="{00000000-0005-0000-0000-0000BE460000}"/>
    <cellStyle name="40% - Accent4 4 3 2 4 2 6" xfId="25387" xr:uid="{00000000-0005-0000-0000-0000BF460000}"/>
    <cellStyle name="40% - Accent4 4 3 2 4 3" xfId="25388" xr:uid="{00000000-0005-0000-0000-0000C0460000}"/>
    <cellStyle name="40% - Accent4 4 3 2 4 3 2" xfId="25389" xr:uid="{00000000-0005-0000-0000-0000C1460000}"/>
    <cellStyle name="40% - Accent4 4 3 2 4 3 2 2" xfId="25390" xr:uid="{00000000-0005-0000-0000-0000C2460000}"/>
    <cellStyle name="40% - Accent4 4 3 2 4 3 2 3" xfId="25391" xr:uid="{00000000-0005-0000-0000-0000C3460000}"/>
    <cellStyle name="40% - Accent4 4 3 2 4 3 3" xfId="25392" xr:uid="{00000000-0005-0000-0000-0000C4460000}"/>
    <cellStyle name="40% - Accent4 4 3 2 4 3 3 2" xfId="25393" xr:uid="{00000000-0005-0000-0000-0000C5460000}"/>
    <cellStyle name="40% - Accent4 4 3 2 4 3 3 3" xfId="25394" xr:uid="{00000000-0005-0000-0000-0000C6460000}"/>
    <cellStyle name="40% - Accent4 4 3 2 4 3 4" xfId="25395" xr:uid="{00000000-0005-0000-0000-0000C7460000}"/>
    <cellStyle name="40% - Accent4 4 3 2 4 3 4 2" xfId="25396" xr:uid="{00000000-0005-0000-0000-0000C8460000}"/>
    <cellStyle name="40% - Accent4 4 3 2 4 3 5" xfId="25397" xr:uid="{00000000-0005-0000-0000-0000C9460000}"/>
    <cellStyle name="40% - Accent4 4 3 2 4 3 6" xfId="25398" xr:uid="{00000000-0005-0000-0000-0000CA460000}"/>
    <cellStyle name="40% - Accent4 4 3 2 4 4" xfId="25399" xr:uid="{00000000-0005-0000-0000-0000CB460000}"/>
    <cellStyle name="40% - Accent4 4 3 2 4 4 2" xfId="25400" xr:uid="{00000000-0005-0000-0000-0000CC460000}"/>
    <cellStyle name="40% - Accent4 4 3 2 4 4 2 2" xfId="25401" xr:uid="{00000000-0005-0000-0000-0000CD460000}"/>
    <cellStyle name="40% - Accent4 4 3 2 4 4 2 3" xfId="25402" xr:uid="{00000000-0005-0000-0000-0000CE460000}"/>
    <cellStyle name="40% - Accent4 4 3 2 4 4 3" xfId="25403" xr:uid="{00000000-0005-0000-0000-0000CF460000}"/>
    <cellStyle name="40% - Accent4 4 3 2 4 4 3 2" xfId="25404" xr:uid="{00000000-0005-0000-0000-0000D0460000}"/>
    <cellStyle name="40% - Accent4 4 3 2 4 4 4" xfId="25405" xr:uid="{00000000-0005-0000-0000-0000D1460000}"/>
    <cellStyle name="40% - Accent4 4 3 2 4 4 5" xfId="25406" xr:uid="{00000000-0005-0000-0000-0000D2460000}"/>
    <cellStyle name="40% - Accent4 4 3 2 4 5" xfId="25407" xr:uid="{00000000-0005-0000-0000-0000D3460000}"/>
    <cellStyle name="40% - Accent4 4 3 2 4 5 2" xfId="25408" xr:uid="{00000000-0005-0000-0000-0000D4460000}"/>
    <cellStyle name="40% - Accent4 4 3 2 4 5 3" xfId="25409" xr:uid="{00000000-0005-0000-0000-0000D5460000}"/>
    <cellStyle name="40% - Accent4 4 3 2 4 6" xfId="25410" xr:uid="{00000000-0005-0000-0000-0000D6460000}"/>
    <cellStyle name="40% - Accent4 4 3 2 4 6 2" xfId="25411" xr:uid="{00000000-0005-0000-0000-0000D7460000}"/>
    <cellStyle name="40% - Accent4 4 3 2 4 6 3" xfId="25412" xr:uid="{00000000-0005-0000-0000-0000D8460000}"/>
    <cellStyle name="40% - Accent4 4 3 2 4 7" xfId="25413" xr:uid="{00000000-0005-0000-0000-0000D9460000}"/>
    <cellStyle name="40% - Accent4 4 3 2 4 7 2" xfId="25414" xr:uid="{00000000-0005-0000-0000-0000DA460000}"/>
    <cellStyle name="40% - Accent4 4 3 2 4 8" xfId="25415" xr:uid="{00000000-0005-0000-0000-0000DB460000}"/>
    <cellStyle name="40% - Accent4 4 3 2 4 9" xfId="25416" xr:uid="{00000000-0005-0000-0000-0000DC460000}"/>
    <cellStyle name="40% - Accent4 4 3 2 5" xfId="25417" xr:uid="{00000000-0005-0000-0000-0000DD460000}"/>
    <cellStyle name="40% - Accent4 4 3 2 5 2" xfId="25418" xr:uid="{00000000-0005-0000-0000-0000DE460000}"/>
    <cellStyle name="40% - Accent4 4 3 2 5 2 2" xfId="25419" xr:uid="{00000000-0005-0000-0000-0000DF460000}"/>
    <cellStyle name="40% - Accent4 4 3 2 5 2 3" xfId="25420" xr:uid="{00000000-0005-0000-0000-0000E0460000}"/>
    <cellStyle name="40% - Accent4 4 3 2 5 3" xfId="25421" xr:uid="{00000000-0005-0000-0000-0000E1460000}"/>
    <cellStyle name="40% - Accent4 4 3 2 5 3 2" xfId="25422" xr:uid="{00000000-0005-0000-0000-0000E2460000}"/>
    <cellStyle name="40% - Accent4 4 3 2 5 3 3" xfId="25423" xr:uid="{00000000-0005-0000-0000-0000E3460000}"/>
    <cellStyle name="40% - Accent4 4 3 2 5 4" xfId="25424" xr:uid="{00000000-0005-0000-0000-0000E4460000}"/>
    <cellStyle name="40% - Accent4 4 3 2 5 4 2" xfId="25425" xr:uid="{00000000-0005-0000-0000-0000E5460000}"/>
    <cellStyle name="40% - Accent4 4 3 2 5 5" xfId="25426" xr:uid="{00000000-0005-0000-0000-0000E6460000}"/>
    <cellStyle name="40% - Accent4 4 3 2 5 6" xfId="25427" xr:uid="{00000000-0005-0000-0000-0000E7460000}"/>
    <cellStyle name="40% - Accent4 4 3 2 6" xfId="25428" xr:uid="{00000000-0005-0000-0000-0000E8460000}"/>
    <cellStyle name="40% - Accent4 4 3 2 6 2" xfId="25429" xr:uid="{00000000-0005-0000-0000-0000E9460000}"/>
    <cellStyle name="40% - Accent4 4 3 2 6 2 2" xfId="25430" xr:uid="{00000000-0005-0000-0000-0000EA460000}"/>
    <cellStyle name="40% - Accent4 4 3 2 6 2 3" xfId="25431" xr:uid="{00000000-0005-0000-0000-0000EB460000}"/>
    <cellStyle name="40% - Accent4 4 3 2 6 3" xfId="25432" xr:uid="{00000000-0005-0000-0000-0000EC460000}"/>
    <cellStyle name="40% - Accent4 4 3 2 6 3 2" xfId="25433" xr:uid="{00000000-0005-0000-0000-0000ED460000}"/>
    <cellStyle name="40% - Accent4 4 3 2 6 3 3" xfId="25434" xr:uid="{00000000-0005-0000-0000-0000EE460000}"/>
    <cellStyle name="40% - Accent4 4 3 2 6 4" xfId="25435" xr:uid="{00000000-0005-0000-0000-0000EF460000}"/>
    <cellStyle name="40% - Accent4 4 3 2 6 4 2" xfId="25436" xr:uid="{00000000-0005-0000-0000-0000F0460000}"/>
    <cellStyle name="40% - Accent4 4 3 2 6 5" xfId="25437" xr:uid="{00000000-0005-0000-0000-0000F1460000}"/>
    <cellStyle name="40% - Accent4 4 3 2 6 6" xfId="25438" xr:uid="{00000000-0005-0000-0000-0000F2460000}"/>
    <cellStyle name="40% - Accent4 4 3 2 7" xfId="25439" xr:uid="{00000000-0005-0000-0000-0000F3460000}"/>
    <cellStyle name="40% - Accent4 4 3 2 7 2" xfId="25440" xr:uid="{00000000-0005-0000-0000-0000F4460000}"/>
    <cellStyle name="40% - Accent4 4 3 2 7 2 2" xfId="25441" xr:uid="{00000000-0005-0000-0000-0000F5460000}"/>
    <cellStyle name="40% - Accent4 4 3 2 7 2 3" xfId="25442" xr:uid="{00000000-0005-0000-0000-0000F6460000}"/>
    <cellStyle name="40% - Accent4 4 3 2 7 3" xfId="25443" xr:uid="{00000000-0005-0000-0000-0000F7460000}"/>
    <cellStyle name="40% - Accent4 4 3 2 7 3 2" xfId="25444" xr:uid="{00000000-0005-0000-0000-0000F8460000}"/>
    <cellStyle name="40% - Accent4 4 3 2 7 4" xfId="25445" xr:uid="{00000000-0005-0000-0000-0000F9460000}"/>
    <cellStyle name="40% - Accent4 4 3 2 7 5" xfId="25446" xr:uid="{00000000-0005-0000-0000-0000FA460000}"/>
    <cellStyle name="40% - Accent4 4 3 2 8" xfId="25447" xr:uid="{00000000-0005-0000-0000-0000FB460000}"/>
    <cellStyle name="40% - Accent4 4 3 2 8 2" xfId="25448" xr:uid="{00000000-0005-0000-0000-0000FC460000}"/>
    <cellStyle name="40% - Accent4 4 3 2 8 3" xfId="25449" xr:uid="{00000000-0005-0000-0000-0000FD460000}"/>
    <cellStyle name="40% - Accent4 4 3 2 9" xfId="25450" xr:uid="{00000000-0005-0000-0000-0000FE460000}"/>
    <cellStyle name="40% - Accent4 4 3 2 9 2" xfId="25451" xr:uid="{00000000-0005-0000-0000-0000FF460000}"/>
    <cellStyle name="40% - Accent4 4 3 2 9 3" xfId="25452" xr:uid="{00000000-0005-0000-0000-000000470000}"/>
    <cellStyle name="40% - Accent4 4 3 3" xfId="2235" xr:uid="{00000000-0005-0000-0000-000001470000}"/>
    <cellStyle name="40% - Accent4 4 3 3 10" xfId="25453" xr:uid="{00000000-0005-0000-0000-000002470000}"/>
    <cellStyle name="40% - Accent4 4 3 3 2" xfId="2236" xr:uid="{00000000-0005-0000-0000-000003470000}"/>
    <cellStyle name="40% - Accent4 4 3 3 2 2" xfId="25454" xr:uid="{00000000-0005-0000-0000-000004470000}"/>
    <cellStyle name="40% - Accent4 4 3 3 2 2 2" xfId="25455" xr:uid="{00000000-0005-0000-0000-000005470000}"/>
    <cellStyle name="40% - Accent4 4 3 3 2 2 2 2" xfId="25456" xr:uid="{00000000-0005-0000-0000-000006470000}"/>
    <cellStyle name="40% - Accent4 4 3 3 2 2 2 3" xfId="25457" xr:uid="{00000000-0005-0000-0000-000007470000}"/>
    <cellStyle name="40% - Accent4 4 3 3 2 2 3" xfId="25458" xr:uid="{00000000-0005-0000-0000-000008470000}"/>
    <cellStyle name="40% - Accent4 4 3 3 2 2 3 2" xfId="25459" xr:uid="{00000000-0005-0000-0000-000009470000}"/>
    <cellStyle name="40% - Accent4 4 3 3 2 2 3 3" xfId="25460" xr:uid="{00000000-0005-0000-0000-00000A470000}"/>
    <cellStyle name="40% - Accent4 4 3 3 2 2 4" xfId="25461" xr:uid="{00000000-0005-0000-0000-00000B470000}"/>
    <cellStyle name="40% - Accent4 4 3 3 2 2 4 2" xfId="25462" xr:uid="{00000000-0005-0000-0000-00000C470000}"/>
    <cellStyle name="40% - Accent4 4 3 3 2 2 5" xfId="25463" xr:uid="{00000000-0005-0000-0000-00000D470000}"/>
    <cellStyle name="40% - Accent4 4 3 3 2 2 6" xfId="25464" xr:uid="{00000000-0005-0000-0000-00000E470000}"/>
    <cellStyle name="40% - Accent4 4 3 3 2 3" xfId="25465" xr:uid="{00000000-0005-0000-0000-00000F470000}"/>
    <cellStyle name="40% - Accent4 4 3 3 2 3 2" xfId="25466" xr:uid="{00000000-0005-0000-0000-000010470000}"/>
    <cellStyle name="40% - Accent4 4 3 3 2 3 2 2" xfId="25467" xr:uid="{00000000-0005-0000-0000-000011470000}"/>
    <cellStyle name="40% - Accent4 4 3 3 2 3 2 3" xfId="25468" xr:uid="{00000000-0005-0000-0000-000012470000}"/>
    <cellStyle name="40% - Accent4 4 3 3 2 3 3" xfId="25469" xr:uid="{00000000-0005-0000-0000-000013470000}"/>
    <cellStyle name="40% - Accent4 4 3 3 2 3 3 2" xfId="25470" xr:uid="{00000000-0005-0000-0000-000014470000}"/>
    <cellStyle name="40% - Accent4 4 3 3 2 3 3 3" xfId="25471" xr:uid="{00000000-0005-0000-0000-000015470000}"/>
    <cellStyle name="40% - Accent4 4 3 3 2 3 4" xfId="25472" xr:uid="{00000000-0005-0000-0000-000016470000}"/>
    <cellStyle name="40% - Accent4 4 3 3 2 3 4 2" xfId="25473" xr:uid="{00000000-0005-0000-0000-000017470000}"/>
    <cellStyle name="40% - Accent4 4 3 3 2 3 5" xfId="25474" xr:uid="{00000000-0005-0000-0000-000018470000}"/>
    <cellStyle name="40% - Accent4 4 3 3 2 3 6" xfId="25475" xr:uid="{00000000-0005-0000-0000-000019470000}"/>
    <cellStyle name="40% - Accent4 4 3 3 2 4" xfId="25476" xr:uid="{00000000-0005-0000-0000-00001A470000}"/>
    <cellStyle name="40% - Accent4 4 3 3 2 4 2" xfId="25477" xr:uid="{00000000-0005-0000-0000-00001B470000}"/>
    <cellStyle name="40% - Accent4 4 3 3 2 4 2 2" xfId="25478" xr:uid="{00000000-0005-0000-0000-00001C470000}"/>
    <cellStyle name="40% - Accent4 4 3 3 2 4 2 3" xfId="25479" xr:uid="{00000000-0005-0000-0000-00001D470000}"/>
    <cellStyle name="40% - Accent4 4 3 3 2 4 3" xfId="25480" xr:uid="{00000000-0005-0000-0000-00001E470000}"/>
    <cellStyle name="40% - Accent4 4 3 3 2 4 3 2" xfId="25481" xr:uid="{00000000-0005-0000-0000-00001F470000}"/>
    <cellStyle name="40% - Accent4 4 3 3 2 4 4" xfId="25482" xr:uid="{00000000-0005-0000-0000-000020470000}"/>
    <cellStyle name="40% - Accent4 4 3 3 2 4 5" xfId="25483" xr:uid="{00000000-0005-0000-0000-000021470000}"/>
    <cellStyle name="40% - Accent4 4 3 3 2 5" xfId="25484" xr:uid="{00000000-0005-0000-0000-000022470000}"/>
    <cellStyle name="40% - Accent4 4 3 3 2 5 2" xfId="25485" xr:uid="{00000000-0005-0000-0000-000023470000}"/>
    <cellStyle name="40% - Accent4 4 3 3 2 5 3" xfId="25486" xr:uid="{00000000-0005-0000-0000-000024470000}"/>
    <cellStyle name="40% - Accent4 4 3 3 2 6" xfId="25487" xr:uid="{00000000-0005-0000-0000-000025470000}"/>
    <cellStyle name="40% - Accent4 4 3 3 2 6 2" xfId="25488" xr:uid="{00000000-0005-0000-0000-000026470000}"/>
    <cellStyle name="40% - Accent4 4 3 3 2 6 3" xfId="25489" xr:uid="{00000000-0005-0000-0000-000027470000}"/>
    <cellStyle name="40% - Accent4 4 3 3 2 7" xfId="25490" xr:uid="{00000000-0005-0000-0000-000028470000}"/>
    <cellStyle name="40% - Accent4 4 3 3 2 7 2" xfId="25491" xr:uid="{00000000-0005-0000-0000-000029470000}"/>
    <cellStyle name="40% - Accent4 4 3 3 2 8" xfId="25492" xr:uid="{00000000-0005-0000-0000-00002A470000}"/>
    <cellStyle name="40% - Accent4 4 3 3 2 9" xfId="25493" xr:uid="{00000000-0005-0000-0000-00002B470000}"/>
    <cellStyle name="40% - Accent4 4 3 3 3" xfId="25494" xr:uid="{00000000-0005-0000-0000-00002C470000}"/>
    <cellStyle name="40% - Accent4 4 3 3 3 2" xfId="25495" xr:uid="{00000000-0005-0000-0000-00002D470000}"/>
    <cellStyle name="40% - Accent4 4 3 3 3 2 2" xfId="25496" xr:uid="{00000000-0005-0000-0000-00002E470000}"/>
    <cellStyle name="40% - Accent4 4 3 3 3 2 3" xfId="25497" xr:uid="{00000000-0005-0000-0000-00002F470000}"/>
    <cellStyle name="40% - Accent4 4 3 3 3 3" xfId="25498" xr:uid="{00000000-0005-0000-0000-000030470000}"/>
    <cellStyle name="40% - Accent4 4 3 3 3 3 2" xfId="25499" xr:uid="{00000000-0005-0000-0000-000031470000}"/>
    <cellStyle name="40% - Accent4 4 3 3 3 3 3" xfId="25500" xr:uid="{00000000-0005-0000-0000-000032470000}"/>
    <cellStyle name="40% - Accent4 4 3 3 3 4" xfId="25501" xr:uid="{00000000-0005-0000-0000-000033470000}"/>
    <cellStyle name="40% - Accent4 4 3 3 3 4 2" xfId="25502" xr:uid="{00000000-0005-0000-0000-000034470000}"/>
    <cellStyle name="40% - Accent4 4 3 3 3 5" xfId="25503" xr:uid="{00000000-0005-0000-0000-000035470000}"/>
    <cellStyle name="40% - Accent4 4 3 3 3 6" xfId="25504" xr:uid="{00000000-0005-0000-0000-000036470000}"/>
    <cellStyle name="40% - Accent4 4 3 3 4" xfId="25505" xr:uid="{00000000-0005-0000-0000-000037470000}"/>
    <cellStyle name="40% - Accent4 4 3 3 4 2" xfId="25506" xr:uid="{00000000-0005-0000-0000-000038470000}"/>
    <cellStyle name="40% - Accent4 4 3 3 4 2 2" xfId="25507" xr:uid="{00000000-0005-0000-0000-000039470000}"/>
    <cellStyle name="40% - Accent4 4 3 3 4 2 3" xfId="25508" xr:uid="{00000000-0005-0000-0000-00003A470000}"/>
    <cellStyle name="40% - Accent4 4 3 3 4 3" xfId="25509" xr:uid="{00000000-0005-0000-0000-00003B470000}"/>
    <cellStyle name="40% - Accent4 4 3 3 4 3 2" xfId="25510" xr:uid="{00000000-0005-0000-0000-00003C470000}"/>
    <cellStyle name="40% - Accent4 4 3 3 4 3 3" xfId="25511" xr:uid="{00000000-0005-0000-0000-00003D470000}"/>
    <cellStyle name="40% - Accent4 4 3 3 4 4" xfId="25512" xr:uid="{00000000-0005-0000-0000-00003E470000}"/>
    <cellStyle name="40% - Accent4 4 3 3 4 4 2" xfId="25513" xr:uid="{00000000-0005-0000-0000-00003F470000}"/>
    <cellStyle name="40% - Accent4 4 3 3 4 5" xfId="25514" xr:uid="{00000000-0005-0000-0000-000040470000}"/>
    <cellStyle name="40% - Accent4 4 3 3 4 6" xfId="25515" xr:uid="{00000000-0005-0000-0000-000041470000}"/>
    <cellStyle name="40% - Accent4 4 3 3 5" xfId="25516" xr:uid="{00000000-0005-0000-0000-000042470000}"/>
    <cellStyle name="40% - Accent4 4 3 3 5 2" xfId="25517" xr:uid="{00000000-0005-0000-0000-000043470000}"/>
    <cellStyle name="40% - Accent4 4 3 3 5 2 2" xfId="25518" xr:uid="{00000000-0005-0000-0000-000044470000}"/>
    <cellStyle name="40% - Accent4 4 3 3 5 2 3" xfId="25519" xr:uid="{00000000-0005-0000-0000-000045470000}"/>
    <cellStyle name="40% - Accent4 4 3 3 5 3" xfId="25520" xr:uid="{00000000-0005-0000-0000-000046470000}"/>
    <cellStyle name="40% - Accent4 4 3 3 5 3 2" xfId="25521" xr:uid="{00000000-0005-0000-0000-000047470000}"/>
    <cellStyle name="40% - Accent4 4 3 3 5 4" xfId="25522" xr:uid="{00000000-0005-0000-0000-000048470000}"/>
    <cellStyle name="40% - Accent4 4 3 3 5 5" xfId="25523" xr:uid="{00000000-0005-0000-0000-000049470000}"/>
    <cellStyle name="40% - Accent4 4 3 3 6" xfId="25524" xr:uid="{00000000-0005-0000-0000-00004A470000}"/>
    <cellStyle name="40% - Accent4 4 3 3 6 2" xfId="25525" xr:uid="{00000000-0005-0000-0000-00004B470000}"/>
    <cellStyle name="40% - Accent4 4 3 3 6 3" xfId="25526" xr:uid="{00000000-0005-0000-0000-00004C470000}"/>
    <cellStyle name="40% - Accent4 4 3 3 7" xfId="25527" xr:uid="{00000000-0005-0000-0000-00004D470000}"/>
    <cellStyle name="40% - Accent4 4 3 3 7 2" xfId="25528" xr:uid="{00000000-0005-0000-0000-00004E470000}"/>
    <cellStyle name="40% - Accent4 4 3 3 7 3" xfId="25529" xr:uid="{00000000-0005-0000-0000-00004F470000}"/>
    <cellStyle name="40% - Accent4 4 3 3 8" xfId="25530" xr:uid="{00000000-0005-0000-0000-000050470000}"/>
    <cellStyle name="40% - Accent4 4 3 3 8 2" xfId="25531" xr:uid="{00000000-0005-0000-0000-000051470000}"/>
    <cellStyle name="40% - Accent4 4 3 3 9" xfId="25532" xr:uid="{00000000-0005-0000-0000-000052470000}"/>
    <cellStyle name="40% - Accent4 4 3 4" xfId="2237" xr:uid="{00000000-0005-0000-0000-000053470000}"/>
    <cellStyle name="40% - Accent4 4 3 4 2" xfId="25533" xr:uid="{00000000-0005-0000-0000-000054470000}"/>
    <cellStyle name="40% - Accent4 4 3 4 2 2" xfId="25534" xr:uid="{00000000-0005-0000-0000-000055470000}"/>
    <cellStyle name="40% - Accent4 4 3 4 2 2 2" xfId="25535" xr:uid="{00000000-0005-0000-0000-000056470000}"/>
    <cellStyle name="40% - Accent4 4 3 4 2 2 3" xfId="25536" xr:uid="{00000000-0005-0000-0000-000057470000}"/>
    <cellStyle name="40% - Accent4 4 3 4 2 3" xfId="25537" xr:uid="{00000000-0005-0000-0000-000058470000}"/>
    <cellStyle name="40% - Accent4 4 3 4 2 3 2" xfId="25538" xr:uid="{00000000-0005-0000-0000-000059470000}"/>
    <cellStyle name="40% - Accent4 4 3 4 2 3 3" xfId="25539" xr:uid="{00000000-0005-0000-0000-00005A470000}"/>
    <cellStyle name="40% - Accent4 4 3 4 2 4" xfId="25540" xr:uid="{00000000-0005-0000-0000-00005B470000}"/>
    <cellStyle name="40% - Accent4 4 3 4 2 4 2" xfId="25541" xr:uid="{00000000-0005-0000-0000-00005C470000}"/>
    <cellStyle name="40% - Accent4 4 3 4 2 5" xfId="25542" xr:uid="{00000000-0005-0000-0000-00005D470000}"/>
    <cellStyle name="40% - Accent4 4 3 4 2 6" xfId="25543" xr:uid="{00000000-0005-0000-0000-00005E470000}"/>
    <cellStyle name="40% - Accent4 4 3 4 3" xfId="25544" xr:uid="{00000000-0005-0000-0000-00005F470000}"/>
    <cellStyle name="40% - Accent4 4 3 4 3 2" xfId="25545" xr:uid="{00000000-0005-0000-0000-000060470000}"/>
    <cellStyle name="40% - Accent4 4 3 4 3 2 2" xfId="25546" xr:uid="{00000000-0005-0000-0000-000061470000}"/>
    <cellStyle name="40% - Accent4 4 3 4 3 2 3" xfId="25547" xr:uid="{00000000-0005-0000-0000-000062470000}"/>
    <cellStyle name="40% - Accent4 4 3 4 3 3" xfId="25548" xr:uid="{00000000-0005-0000-0000-000063470000}"/>
    <cellStyle name="40% - Accent4 4 3 4 3 3 2" xfId="25549" xr:uid="{00000000-0005-0000-0000-000064470000}"/>
    <cellStyle name="40% - Accent4 4 3 4 3 3 3" xfId="25550" xr:uid="{00000000-0005-0000-0000-000065470000}"/>
    <cellStyle name="40% - Accent4 4 3 4 3 4" xfId="25551" xr:uid="{00000000-0005-0000-0000-000066470000}"/>
    <cellStyle name="40% - Accent4 4 3 4 3 4 2" xfId="25552" xr:uid="{00000000-0005-0000-0000-000067470000}"/>
    <cellStyle name="40% - Accent4 4 3 4 3 5" xfId="25553" xr:uid="{00000000-0005-0000-0000-000068470000}"/>
    <cellStyle name="40% - Accent4 4 3 4 3 6" xfId="25554" xr:uid="{00000000-0005-0000-0000-000069470000}"/>
    <cellStyle name="40% - Accent4 4 3 4 4" xfId="25555" xr:uid="{00000000-0005-0000-0000-00006A470000}"/>
    <cellStyle name="40% - Accent4 4 3 4 4 2" xfId="25556" xr:uid="{00000000-0005-0000-0000-00006B470000}"/>
    <cellStyle name="40% - Accent4 4 3 4 4 2 2" xfId="25557" xr:uid="{00000000-0005-0000-0000-00006C470000}"/>
    <cellStyle name="40% - Accent4 4 3 4 4 2 3" xfId="25558" xr:uid="{00000000-0005-0000-0000-00006D470000}"/>
    <cellStyle name="40% - Accent4 4 3 4 4 3" xfId="25559" xr:uid="{00000000-0005-0000-0000-00006E470000}"/>
    <cellStyle name="40% - Accent4 4 3 4 4 3 2" xfId="25560" xr:uid="{00000000-0005-0000-0000-00006F470000}"/>
    <cellStyle name="40% - Accent4 4 3 4 4 4" xfId="25561" xr:uid="{00000000-0005-0000-0000-000070470000}"/>
    <cellStyle name="40% - Accent4 4 3 4 4 5" xfId="25562" xr:uid="{00000000-0005-0000-0000-000071470000}"/>
    <cellStyle name="40% - Accent4 4 3 4 5" xfId="25563" xr:uid="{00000000-0005-0000-0000-000072470000}"/>
    <cellStyle name="40% - Accent4 4 3 4 5 2" xfId="25564" xr:uid="{00000000-0005-0000-0000-000073470000}"/>
    <cellStyle name="40% - Accent4 4 3 4 5 3" xfId="25565" xr:uid="{00000000-0005-0000-0000-000074470000}"/>
    <cellStyle name="40% - Accent4 4 3 4 6" xfId="25566" xr:uid="{00000000-0005-0000-0000-000075470000}"/>
    <cellStyle name="40% - Accent4 4 3 4 6 2" xfId="25567" xr:uid="{00000000-0005-0000-0000-000076470000}"/>
    <cellStyle name="40% - Accent4 4 3 4 6 3" xfId="25568" xr:uid="{00000000-0005-0000-0000-000077470000}"/>
    <cellStyle name="40% - Accent4 4 3 4 7" xfId="25569" xr:uid="{00000000-0005-0000-0000-000078470000}"/>
    <cellStyle name="40% - Accent4 4 3 4 7 2" xfId="25570" xr:uid="{00000000-0005-0000-0000-000079470000}"/>
    <cellStyle name="40% - Accent4 4 3 4 8" xfId="25571" xr:uid="{00000000-0005-0000-0000-00007A470000}"/>
    <cellStyle name="40% - Accent4 4 3 4 9" xfId="25572" xr:uid="{00000000-0005-0000-0000-00007B470000}"/>
    <cellStyle name="40% - Accent4 4 3 5" xfId="25573" xr:uid="{00000000-0005-0000-0000-00007C470000}"/>
    <cellStyle name="40% - Accent4 4 3 5 2" xfId="25574" xr:uid="{00000000-0005-0000-0000-00007D470000}"/>
    <cellStyle name="40% - Accent4 4 3 5 2 2" xfId="25575" xr:uid="{00000000-0005-0000-0000-00007E470000}"/>
    <cellStyle name="40% - Accent4 4 3 5 2 2 2" xfId="25576" xr:uid="{00000000-0005-0000-0000-00007F470000}"/>
    <cellStyle name="40% - Accent4 4 3 5 2 2 3" xfId="25577" xr:uid="{00000000-0005-0000-0000-000080470000}"/>
    <cellStyle name="40% - Accent4 4 3 5 2 3" xfId="25578" xr:uid="{00000000-0005-0000-0000-000081470000}"/>
    <cellStyle name="40% - Accent4 4 3 5 2 3 2" xfId="25579" xr:uid="{00000000-0005-0000-0000-000082470000}"/>
    <cellStyle name="40% - Accent4 4 3 5 2 3 3" xfId="25580" xr:uid="{00000000-0005-0000-0000-000083470000}"/>
    <cellStyle name="40% - Accent4 4 3 5 2 4" xfId="25581" xr:uid="{00000000-0005-0000-0000-000084470000}"/>
    <cellStyle name="40% - Accent4 4 3 5 2 4 2" xfId="25582" xr:uid="{00000000-0005-0000-0000-000085470000}"/>
    <cellStyle name="40% - Accent4 4 3 5 2 5" xfId="25583" xr:uid="{00000000-0005-0000-0000-000086470000}"/>
    <cellStyle name="40% - Accent4 4 3 5 2 6" xfId="25584" xr:uid="{00000000-0005-0000-0000-000087470000}"/>
    <cellStyle name="40% - Accent4 4 3 5 3" xfId="25585" xr:uid="{00000000-0005-0000-0000-000088470000}"/>
    <cellStyle name="40% - Accent4 4 3 5 3 2" xfId="25586" xr:uid="{00000000-0005-0000-0000-000089470000}"/>
    <cellStyle name="40% - Accent4 4 3 5 3 2 2" xfId="25587" xr:uid="{00000000-0005-0000-0000-00008A470000}"/>
    <cellStyle name="40% - Accent4 4 3 5 3 2 3" xfId="25588" xr:uid="{00000000-0005-0000-0000-00008B470000}"/>
    <cellStyle name="40% - Accent4 4 3 5 3 3" xfId="25589" xr:uid="{00000000-0005-0000-0000-00008C470000}"/>
    <cellStyle name="40% - Accent4 4 3 5 3 3 2" xfId="25590" xr:uid="{00000000-0005-0000-0000-00008D470000}"/>
    <cellStyle name="40% - Accent4 4 3 5 3 3 3" xfId="25591" xr:uid="{00000000-0005-0000-0000-00008E470000}"/>
    <cellStyle name="40% - Accent4 4 3 5 3 4" xfId="25592" xr:uid="{00000000-0005-0000-0000-00008F470000}"/>
    <cellStyle name="40% - Accent4 4 3 5 3 4 2" xfId="25593" xr:uid="{00000000-0005-0000-0000-000090470000}"/>
    <cellStyle name="40% - Accent4 4 3 5 3 5" xfId="25594" xr:uid="{00000000-0005-0000-0000-000091470000}"/>
    <cellStyle name="40% - Accent4 4 3 5 3 6" xfId="25595" xr:uid="{00000000-0005-0000-0000-000092470000}"/>
    <cellStyle name="40% - Accent4 4 3 5 4" xfId="25596" xr:uid="{00000000-0005-0000-0000-000093470000}"/>
    <cellStyle name="40% - Accent4 4 3 5 4 2" xfId="25597" xr:uid="{00000000-0005-0000-0000-000094470000}"/>
    <cellStyle name="40% - Accent4 4 3 5 4 2 2" xfId="25598" xr:uid="{00000000-0005-0000-0000-000095470000}"/>
    <cellStyle name="40% - Accent4 4 3 5 4 2 3" xfId="25599" xr:uid="{00000000-0005-0000-0000-000096470000}"/>
    <cellStyle name="40% - Accent4 4 3 5 4 3" xfId="25600" xr:uid="{00000000-0005-0000-0000-000097470000}"/>
    <cellStyle name="40% - Accent4 4 3 5 4 3 2" xfId="25601" xr:uid="{00000000-0005-0000-0000-000098470000}"/>
    <cellStyle name="40% - Accent4 4 3 5 4 4" xfId="25602" xr:uid="{00000000-0005-0000-0000-000099470000}"/>
    <cellStyle name="40% - Accent4 4 3 5 4 5" xfId="25603" xr:uid="{00000000-0005-0000-0000-00009A470000}"/>
    <cellStyle name="40% - Accent4 4 3 5 5" xfId="25604" xr:uid="{00000000-0005-0000-0000-00009B470000}"/>
    <cellStyle name="40% - Accent4 4 3 5 5 2" xfId="25605" xr:uid="{00000000-0005-0000-0000-00009C470000}"/>
    <cellStyle name="40% - Accent4 4 3 5 5 3" xfId="25606" xr:uid="{00000000-0005-0000-0000-00009D470000}"/>
    <cellStyle name="40% - Accent4 4 3 5 6" xfId="25607" xr:uid="{00000000-0005-0000-0000-00009E470000}"/>
    <cellStyle name="40% - Accent4 4 3 5 6 2" xfId="25608" xr:uid="{00000000-0005-0000-0000-00009F470000}"/>
    <cellStyle name="40% - Accent4 4 3 5 6 3" xfId="25609" xr:uid="{00000000-0005-0000-0000-0000A0470000}"/>
    <cellStyle name="40% - Accent4 4 3 5 7" xfId="25610" xr:uid="{00000000-0005-0000-0000-0000A1470000}"/>
    <cellStyle name="40% - Accent4 4 3 5 7 2" xfId="25611" xr:uid="{00000000-0005-0000-0000-0000A2470000}"/>
    <cellStyle name="40% - Accent4 4 3 5 8" xfId="25612" xr:uid="{00000000-0005-0000-0000-0000A3470000}"/>
    <cellStyle name="40% - Accent4 4 3 5 9" xfId="25613" xr:uid="{00000000-0005-0000-0000-0000A4470000}"/>
    <cellStyle name="40% - Accent4 4 3 6" xfId="25614" xr:uid="{00000000-0005-0000-0000-0000A5470000}"/>
    <cellStyle name="40% - Accent4 4 3 6 2" xfId="25615" xr:uid="{00000000-0005-0000-0000-0000A6470000}"/>
    <cellStyle name="40% - Accent4 4 3 6 2 2" xfId="25616" xr:uid="{00000000-0005-0000-0000-0000A7470000}"/>
    <cellStyle name="40% - Accent4 4 3 6 2 3" xfId="25617" xr:uid="{00000000-0005-0000-0000-0000A8470000}"/>
    <cellStyle name="40% - Accent4 4 3 6 3" xfId="25618" xr:uid="{00000000-0005-0000-0000-0000A9470000}"/>
    <cellStyle name="40% - Accent4 4 3 6 3 2" xfId="25619" xr:uid="{00000000-0005-0000-0000-0000AA470000}"/>
    <cellStyle name="40% - Accent4 4 3 6 3 3" xfId="25620" xr:uid="{00000000-0005-0000-0000-0000AB470000}"/>
    <cellStyle name="40% - Accent4 4 3 6 4" xfId="25621" xr:uid="{00000000-0005-0000-0000-0000AC470000}"/>
    <cellStyle name="40% - Accent4 4 3 6 4 2" xfId="25622" xr:uid="{00000000-0005-0000-0000-0000AD470000}"/>
    <cellStyle name="40% - Accent4 4 3 6 5" xfId="25623" xr:uid="{00000000-0005-0000-0000-0000AE470000}"/>
    <cellStyle name="40% - Accent4 4 3 6 6" xfId="25624" xr:uid="{00000000-0005-0000-0000-0000AF470000}"/>
    <cellStyle name="40% - Accent4 4 3 7" xfId="25625" xr:uid="{00000000-0005-0000-0000-0000B0470000}"/>
    <cellStyle name="40% - Accent4 4 3 7 2" xfId="25626" xr:uid="{00000000-0005-0000-0000-0000B1470000}"/>
    <cellStyle name="40% - Accent4 4 3 7 2 2" xfId="25627" xr:uid="{00000000-0005-0000-0000-0000B2470000}"/>
    <cellStyle name="40% - Accent4 4 3 7 2 3" xfId="25628" xr:uid="{00000000-0005-0000-0000-0000B3470000}"/>
    <cellStyle name="40% - Accent4 4 3 7 3" xfId="25629" xr:uid="{00000000-0005-0000-0000-0000B4470000}"/>
    <cellStyle name="40% - Accent4 4 3 7 3 2" xfId="25630" xr:uid="{00000000-0005-0000-0000-0000B5470000}"/>
    <cellStyle name="40% - Accent4 4 3 7 3 3" xfId="25631" xr:uid="{00000000-0005-0000-0000-0000B6470000}"/>
    <cellStyle name="40% - Accent4 4 3 7 4" xfId="25632" xr:uid="{00000000-0005-0000-0000-0000B7470000}"/>
    <cellStyle name="40% - Accent4 4 3 7 4 2" xfId="25633" xr:uid="{00000000-0005-0000-0000-0000B8470000}"/>
    <cellStyle name="40% - Accent4 4 3 7 5" xfId="25634" xr:uid="{00000000-0005-0000-0000-0000B9470000}"/>
    <cellStyle name="40% - Accent4 4 3 7 6" xfId="25635" xr:uid="{00000000-0005-0000-0000-0000BA470000}"/>
    <cellStyle name="40% - Accent4 4 3 8" xfId="25636" xr:uid="{00000000-0005-0000-0000-0000BB470000}"/>
    <cellStyle name="40% - Accent4 4 3 8 2" xfId="25637" xr:uid="{00000000-0005-0000-0000-0000BC470000}"/>
    <cellStyle name="40% - Accent4 4 3 8 2 2" xfId="25638" xr:uid="{00000000-0005-0000-0000-0000BD470000}"/>
    <cellStyle name="40% - Accent4 4 3 8 2 3" xfId="25639" xr:uid="{00000000-0005-0000-0000-0000BE470000}"/>
    <cellStyle name="40% - Accent4 4 3 8 3" xfId="25640" xr:uid="{00000000-0005-0000-0000-0000BF470000}"/>
    <cellStyle name="40% - Accent4 4 3 8 3 2" xfId="25641" xr:uid="{00000000-0005-0000-0000-0000C0470000}"/>
    <cellStyle name="40% - Accent4 4 3 8 4" xfId="25642" xr:uid="{00000000-0005-0000-0000-0000C1470000}"/>
    <cellStyle name="40% - Accent4 4 3 8 5" xfId="25643" xr:uid="{00000000-0005-0000-0000-0000C2470000}"/>
    <cellStyle name="40% - Accent4 4 3 9" xfId="25644" xr:uid="{00000000-0005-0000-0000-0000C3470000}"/>
    <cellStyle name="40% - Accent4 4 3 9 2" xfId="25645" xr:uid="{00000000-0005-0000-0000-0000C4470000}"/>
    <cellStyle name="40% - Accent4 4 3 9 3" xfId="25646" xr:uid="{00000000-0005-0000-0000-0000C5470000}"/>
    <cellStyle name="40% - Accent4 4 4" xfId="2238" xr:uid="{00000000-0005-0000-0000-0000C6470000}"/>
    <cellStyle name="40% - Accent4 4 4 10" xfId="25647" xr:uid="{00000000-0005-0000-0000-0000C7470000}"/>
    <cellStyle name="40% - Accent4 4 4 10 2" xfId="25648" xr:uid="{00000000-0005-0000-0000-0000C8470000}"/>
    <cellStyle name="40% - Accent4 4 4 11" xfId="25649" xr:uid="{00000000-0005-0000-0000-0000C9470000}"/>
    <cellStyle name="40% - Accent4 4 4 12" xfId="25650" xr:uid="{00000000-0005-0000-0000-0000CA470000}"/>
    <cellStyle name="40% - Accent4 4 4 2" xfId="2239" xr:uid="{00000000-0005-0000-0000-0000CB470000}"/>
    <cellStyle name="40% - Accent4 4 4 2 10" xfId="25651" xr:uid="{00000000-0005-0000-0000-0000CC470000}"/>
    <cellStyle name="40% - Accent4 4 4 2 2" xfId="2240" xr:uid="{00000000-0005-0000-0000-0000CD470000}"/>
    <cellStyle name="40% - Accent4 4 4 2 2 2" xfId="25652" xr:uid="{00000000-0005-0000-0000-0000CE470000}"/>
    <cellStyle name="40% - Accent4 4 4 2 2 2 2" xfId="25653" xr:uid="{00000000-0005-0000-0000-0000CF470000}"/>
    <cellStyle name="40% - Accent4 4 4 2 2 2 2 2" xfId="25654" xr:uid="{00000000-0005-0000-0000-0000D0470000}"/>
    <cellStyle name="40% - Accent4 4 4 2 2 2 2 3" xfId="25655" xr:uid="{00000000-0005-0000-0000-0000D1470000}"/>
    <cellStyle name="40% - Accent4 4 4 2 2 2 3" xfId="25656" xr:uid="{00000000-0005-0000-0000-0000D2470000}"/>
    <cellStyle name="40% - Accent4 4 4 2 2 2 3 2" xfId="25657" xr:uid="{00000000-0005-0000-0000-0000D3470000}"/>
    <cellStyle name="40% - Accent4 4 4 2 2 2 3 3" xfId="25658" xr:uid="{00000000-0005-0000-0000-0000D4470000}"/>
    <cellStyle name="40% - Accent4 4 4 2 2 2 4" xfId="25659" xr:uid="{00000000-0005-0000-0000-0000D5470000}"/>
    <cellStyle name="40% - Accent4 4 4 2 2 2 4 2" xfId="25660" xr:uid="{00000000-0005-0000-0000-0000D6470000}"/>
    <cellStyle name="40% - Accent4 4 4 2 2 2 5" xfId="25661" xr:uid="{00000000-0005-0000-0000-0000D7470000}"/>
    <cellStyle name="40% - Accent4 4 4 2 2 2 6" xfId="25662" xr:uid="{00000000-0005-0000-0000-0000D8470000}"/>
    <cellStyle name="40% - Accent4 4 4 2 2 3" xfId="25663" xr:uid="{00000000-0005-0000-0000-0000D9470000}"/>
    <cellStyle name="40% - Accent4 4 4 2 2 3 2" xfId="25664" xr:uid="{00000000-0005-0000-0000-0000DA470000}"/>
    <cellStyle name="40% - Accent4 4 4 2 2 3 2 2" xfId="25665" xr:uid="{00000000-0005-0000-0000-0000DB470000}"/>
    <cellStyle name="40% - Accent4 4 4 2 2 3 2 3" xfId="25666" xr:uid="{00000000-0005-0000-0000-0000DC470000}"/>
    <cellStyle name="40% - Accent4 4 4 2 2 3 3" xfId="25667" xr:uid="{00000000-0005-0000-0000-0000DD470000}"/>
    <cellStyle name="40% - Accent4 4 4 2 2 3 3 2" xfId="25668" xr:uid="{00000000-0005-0000-0000-0000DE470000}"/>
    <cellStyle name="40% - Accent4 4 4 2 2 3 3 3" xfId="25669" xr:uid="{00000000-0005-0000-0000-0000DF470000}"/>
    <cellStyle name="40% - Accent4 4 4 2 2 3 4" xfId="25670" xr:uid="{00000000-0005-0000-0000-0000E0470000}"/>
    <cellStyle name="40% - Accent4 4 4 2 2 3 4 2" xfId="25671" xr:uid="{00000000-0005-0000-0000-0000E1470000}"/>
    <cellStyle name="40% - Accent4 4 4 2 2 3 5" xfId="25672" xr:uid="{00000000-0005-0000-0000-0000E2470000}"/>
    <cellStyle name="40% - Accent4 4 4 2 2 3 6" xfId="25673" xr:uid="{00000000-0005-0000-0000-0000E3470000}"/>
    <cellStyle name="40% - Accent4 4 4 2 2 4" xfId="25674" xr:uid="{00000000-0005-0000-0000-0000E4470000}"/>
    <cellStyle name="40% - Accent4 4 4 2 2 4 2" xfId="25675" xr:uid="{00000000-0005-0000-0000-0000E5470000}"/>
    <cellStyle name="40% - Accent4 4 4 2 2 4 2 2" xfId="25676" xr:uid="{00000000-0005-0000-0000-0000E6470000}"/>
    <cellStyle name="40% - Accent4 4 4 2 2 4 2 3" xfId="25677" xr:uid="{00000000-0005-0000-0000-0000E7470000}"/>
    <cellStyle name="40% - Accent4 4 4 2 2 4 3" xfId="25678" xr:uid="{00000000-0005-0000-0000-0000E8470000}"/>
    <cellStyle name="40% - Accent4 4 4 2 2 4 3 2" xfId="25679" xr:uid="{00000000-0005-0000-0000-0000E9470000}"/>
    <cellStyle name="40% - Accent4 4 4 2 2 4 4" xfId="25680" xr:uid="{00000000-0005-0000-0000-0000EA470000}"/>
    <cellStyle name="40% - Accent4 4 4 2 2 4 5" xfId="25681" xr:uid="{00000000-0005-0000-0000-0000EB470000}"/>
    <cellStyle name="40% - Accent4 4 4 2 2 5" xfId="25682" xr:uid="{00000000-0005-0000-0000-0000EC470000}"/>
    <cellStyle name="40% - Accent4 4 4 2 2 5 2" xfId="25683" xr:uid="{00000000-0005-0000-0000-0000ED470000}"/>
    <cellStyle name="40% - Accent4 4 4 2 2 5 3" xfId="25684" xr:uid="{00000000-0005-0000-0000-0000EE470000}"/>
    <cellStyle name="40% - Accent4 4 4 2 2 6" xfId="25685" xr:uid="{00000000-0005-0000-0000-0000EF470000}"/>
    <cellStyle name="40% - Accent4 4 4 2 2 6 2" xfId="25686" xr:uid="{00000000-0005-0000-0000-0000F0470000}"/>
    <cellStyle name="40% - Accent4 4 4 2 2 6 3" xfId="25687" xr:uid="{00000000-0005-0000-0000-0000F1470000}"/>
    <cellStyle name="40% - Accent4 4 4 2 2 7" xfId="25688" xr:uid="{00000000-0005-0000-0000-0000F2470000}"/>
    <cellStyle name="40% - Accent4 4 4 2 2 7 2" xfId="25689" xr:uid="{00000000-0005-0000-0000-0000F3470000}"/>
    <cellStyle name="40% - Accent4 4 4 2 2 8" xfId="25690" xr:uid="{00000000-0005-0000-0000-0000F4470000}"/>
    <cellStyle name="40% - Accent4 4 4 2 2 9" xfId="25691" xr:uid="{00000000-0005-0000-0000-0000F5470000}"/>
    <cellStyle name="40% - Accent4 4 4 2 3" xfId="25692" xr:uid="{00000000-0005-0000-0000-0000F6470000}"/>
    <cellStyle name="40% - Accent4 4 4 2 3 2" xfId="25693" xr:uid="{00000000-0005-0000-0000-0000F7470000}"/>
    <cellStyle name="40% - Accent4 4 4 2 3 2 2" xfId="25694" xr:uid="{00000000-0005-0000-0000-0000F8470000}"/>
    <cellStyle name="40% - Accent4 4 4 2 3 2 3" xfId="25695" xr:uid="{00000000-0005-0000-0000-0000F9470000}"/>
    <cellStyle name="40% - Accent4 4 4 2 3 3" xfId="25696" xr:uid="{00000000-0005-0000-0000-0000FA470000}"/>
    <cellStyle name="40% - Accent4 4 4 2 3 3 2" xfId="25697" xr:uid="{00000000-0005-0000-0000-0000FB470000}"/>
    <cellStyle name="40% - Accent4 4 4 2 3 3 3" xfId="25698" xr:uid="{00000000-0005-0000-0000-0000FC470000}"/>
    <cellStyle name="40% - Accent4 4 4 2 3 4" xfId="25699" xr:uid="{00000000-0005-0000-0000-0000FD470000}"/>
    <cellStyle name="40% - Accent4 4 4 2 3 4 2" xfId="25700" xr:uid="{00000000-0005-0000-0000-0000FE470000}"/>
    <cellStyle name="40% - Accent4 4 4 2 3 5" xfId="25701" xr:uid="{00000000-0005-0000-0000-0000FF470000}"/>
    <cellStyle name="40% - Accent4 4 4 2 3 6" xfId="25702" xr:uid="{00000000-0005-0000-0000-000000480000}"/>
    <cellStyle name="40% - Accent4 4 4 2 4" xfId="25703" xr:uid="{00000000-0005-0000-0000-000001480000}"/>
    <cellStyle name="40% - Accent4 4 4 2 4 2" xfId="25704" xr:uid="{00000000-0005-0000-0000-000002480000}"/>
    <cellStyle name="40% - Accent4 4 4 2 4 2 2" xfId="25705" xr:uid="{00000000-0005-0000-0000-000003480000}"/>
    <cellStyle name="40% - Accent4 4 4 2 4 2 3" xfId="25706" xr:uid="{00000000-0005-0000-0000-000004480000}"/>
    <cellStyle name="40% - Accent4 4 4 2 4 3" xfId="25707" xr:uid="{00000000-0005-0000-0000-000005480000}"/>
    <cellStyle name="40% - Accent4 4 4 2 4 3 2" xfId="25708" xr:uid="{00000000-0005-0000-0000-000006480000}"/>
    <cellStyle name="40% - Accent4 4 4 2 4 3 3" xfId="25709" xr:uid="{00000000-0005-0000-0000-000007480000}"/>
    <cellStyle name="40% - Accent4 4 4 2 4 4" xfId="25710" xr:uid="{00000000-0005-0000-0000-000008480000}"/>
    <cellStyle name="40% - Accent4 4 4 2 4 4 2" xfId="25711" xr:uid="{00000000-0005-0000-0000-000009480000}"/>
    <cellStyle name="40% - Accent4 4 4 2 4 5" xfId="25712" xr:uid="{00000000-0005-0000-0000-00000A480000}"/>
    <cellStyle name="40% - Accent4 4 4 2 4 6" xfId="25713" xr:uid="{00000000-0005-0000-0000-00000B480000}"/>
    <cellStyle name="40% - Accent4 4 4 2 5" xfId="25714" xr:uid="{00000000-0005-0000-0000-00000C480000}"/>
    <cellStyle name="40% - Accent4 4 4 2 5 2" xfId="25715" xr:uid="{00000000-0005-0000-0000-00000D480000}"/>
    <cellStyle name="40% - Accent4 4 4 2 5 2 2" xfId="25716" xr:uid="{00000000-0005-0000-0000-00000E480000}"/>
    <cellStyle name="40% - Accent4 4 4 2 5 2 3" xfId="25717" xr:uid="{00000000-0005-0000-0000-00000F480000}"/>
    <cellStyle name="40% - Accent4 4 4 2 5 3" xfId="25718" xr:uid="{00000000-0005-0000-0000-000010480000}"/>
    <cellStyle name="40% - Accent4 4 4 2 5 3 2" xfId="25719" xr:uid="{00000000-0005-0000-0000-000011480000}"/>
    <cellStyle name="40% - Accent4 4 4 2 5 4" xfId="25720" xr:uid="{00000000-0005-0000-0000-000012480000}"/>
    <cellStyle name="40% - Accent4 4 4 2 5 5" xfId="25721" xr:uid="{00000000-0005-0000-0000-000013480000}"/>
    <cellStyle name="40% - Accent4 4 4 2 6" xfId="25722" xr:uid="{00000000-0005-0000-0000-000014480000}"/>
    <cellStyle name="40% - Accent4 4 4 2 6 2" xfId="25723" xr:uid="{00000000-0005-0000-0000-000015480000}"/>
    <cellStyle name="40% - Accent4 4 4 2 6 3" xfId="25724" xr:uid="{00000000-0005-0000-0000-000016480000}"/>
    <cellStyle name="40% - Accent4 4 4 2 7" xfId="25725" xr:uid="{00000000-0005-0000-0000-000017480000}"/>
    <cellStyle name="40% - Accent4 4 4 2 7 2" xfId="25726" xr:uid="{00000000-0005-0000-0000-000018480000}"/>
    <cellStyle name="40% - Accent4 4 4 2 7 3" xfId="25727" xr:uid="{00000000-0005-0000-0000-000019480000}"/>
    <cellStyle name="40% - Accent4 4 4 2 8" xfId="25728" xr:uid="{00000000-0005-0000-0000-00001A480000}"/>
    <cellStyle name="40% - Accent4 4 4 2 8 2" xfId="25729" xr:uid="{00000000-0005-0000-0000-00001B480000}"/>
    <cellStyle name="40% - Accent4 4 4 2 9" xfId="25730" xr:uid="{00000000-0005-0000-0000-00001C480000}"/>
    <cellStyle name="40% - Accent4 4 4 3" xfId="2241" xr:uid="{00000000-0005-0000-0000-00001D480000}"/>
    <cellStyle name="40% - Accent4 4 4 3 2" xfId="25731" xr:uid="{00000000-0005-0000-0000-00001E480000}"/>
    <cellStyle name="40% - Accent4 4 4 3 2 2" xfId="25732" xr:uid="{00000000-0005-0000-0000-00001F480000}"/>
    <cellStyle name="40% - Accent4 4 4 3 2 2 2" xfId="25733" xr:uid="{00000000-0005-0000-0000-000020480000}"/>
    <cellStyle name="40% - Accent4 4 4 3 2 2 3" xfId="25734" xr:uid="{00000000-0005-0000-0000-000021480000}"/>
    <cellStyle name="40% - Accent4 4 4 3 2 3" xfId="25735" xr:uid="{00000000-0005-0000-0000-000022480000}"/>
    <cellStyle name="40% - Accent4 4 4 3 2 3 2" xfId="25736" xr:uid="{00000000-0005-0000-0000-000023480000}"/>
    <cellStyle name="40% - Accent4 4 4 3 2 3 3" xfId="25737" xr:uid="{00000000-0005-0000-0000-000024480000}"/>
    <cellStyle name="40% - Accent4 4 4 3 2 4" xfId="25738" xr:uid="{00000000-0005-0000-0000-000025480000}"/>
    <cellStyle name="40% - Accent4 4 4 3 2 4 2" xfId="25739" xr:uid="{00000000-0005-0000-0000-000026480000}"/>
    <cellStyle name="40% - Accent4 4 4 3 2 5" xfId="25740" xr:uid="{00000000-0005-0000-0000-000027480000}"/>
    <cellStyle name="40% - Accent4 4 4 3 2 6" xfId="25741" xr:uid="{00000000-0005-0000-0000-000028480000}"/>
    <cellStyle name="40% - Accent4 4 4 3 3" xfId="25742" xr:uid="{00000000-0005-0000-0000-000029480000}"/>
    <cellStyle name="40% - Accent4 4 4 3 3 2" xfId="25743" xr:uid="{00000000-0005-0000-0000-00002A480000}"/>
    <cellStyle name="40% - Accent4 4 4 3 3 2 2" xfId="25744" xr:uid="{00000000-0005-0000-0000-00002B480000}"/>
    <cellStyle name="40% - Accent4 4 4 3 3 2 3" xfId="25745" xr:uid="{00000000-0005-0000-0000-00002C480000}"/>
    <cellStyle name="40% - Accent4 4 4 3 3 3" xfId="25746" xr:uid="{00000000-0005-0000-0000-00002D480000}"/>
    <cellStyle name="40% - Accent4 4 4 3 3 3 2" xfId="25747" xr:uid="{00000000-0005-0000-0000-00002E480000}"/>
    <cellStyle name="40% - Accent4 4 4 3 3 3 3" xfId="25748" xr:uid="{00000000-0005-0000-0000-00002F480000}"/>
    <cellStyle name="40% - Accent4 4 4 3 3 4" xfId="25749" xr:uid="{00000000-0005-0000-0000-000030480000}"/>
    <cellStyle name="40% - Accent4 4 4 3 3 4 2" xfId="25750" xr:uid="{00000000-0005-0000-0000-000031480000}"/>
    <cellStyle name="40% - Accent4 4 4 3 3 5" xfId="25751" xr:uid="{00000000-0005-0000-0000-000032480000}"/>
    <cellStyle name="40% - Accent4 4 4 3 3 6" xfId="25752" xr:uid="{00000000-0005-0000-0000-000033480000}"/>
    <cellStyle name="40% - Accent4 4 4 3 4" xfId="25753" xr:uid="{00000000-0005-0000-0000-000034480000}"/>
    <cellStyle name="40% - Accent4 4 4 3 4 2" xfId="25754" xr:uid="{00000000-0005-0000-0000-000035480000}"/>
    <cellStyle name="40% - Accent4 4 4 3 4 2 2" xfId="25755" xr:uid="{00000000-0005-0000-0000-000036480000}"/>
    <cellStyle name="40% - Accent4 4 4 3 4 2 3" xfId="25756" xr:uid="{00000000-0005-0000-0000-000037480000}"/>
    <cellStyle name="40% - Accent4 4 4 3 4 3" xfId="25757" xr:uid="{00000000-0005-0000-0000-000038480000}"/>
    <cellStyle name="40% - Accent4 4 4 3 4 3 2" xfId="25758" xr:uid="{00000000-0005-0000-0000-000039480000}"/>
    <cellStyle name="40% - Accent4 4 4 3 4 4" xfId="25759" xr:uid="{00000000-0005-0000-0000-00003A480000}"/>
    <cellStyle name="40% - Accent4 4 4 3 4 5" xfId="25760" xr:uid="{00000000-0005-0000-0000-00003B480000}"/>
    <cellStyle name="40% - Accent4 4 4 3 5" xfId="25761" xr:uid="{00000000-0005-0000-0000-00003C480000}"/>
    <cellStyle name="40% - Accent4 4 4 3 5 2" xfId="25762" xr:uid="{00000000-0005-0000-0000-00003D480000}"/>
    <cellStyle name="40% - Accent4 4 4 3 5 3" xfId="25763" xr:uid="{00000000-0005-0000-0000-00003E480000}"/>
    <cellStyle name="40% - Accent4 4 4 3 6" xfId="25764" xr:uid="{00000000-0005-0000-0000-00003F480000}"/>
    <cellStyle name="40% - Accent4 4 4 3 6 2" xfId="25765" xr:uid="{00000000-0005-0000-0000-000040480000}"/>
    <cellStyle name="40% - Accent4 4 4 3 6 3" xfId="25766" xr:uid="{00000000-0005-0000-0000-000041480000}"/>
    <cellStyle name="40% - Accent4 4 4 3 7" xfId="25767" xr:uid="{00000000-0005-0000-0000-000042480000}"/>
    <cellStyle name="40% - Accent4 4 4 3 7 2" xfId="25768" xr:uid="{00000000-0005-0000-0000-000043480000}"/>
    <cellStyle name="40% - Accent4 4 4 3 8" xfId="25769" xr:uid="{00000000-0005-0000-0000-000044480000}"/>
    <cellStyle name="40% - Accent4 4 4 3 9" xfId="25770" xr:uid="{00000000-0005-0000-0000-000045480000}"/>
    <cellStyle name="40% - Accent4 4 4 4" xfId="25771" xr:uid="{00000000-0005-0000-0000-000046480000}"/>
    <cellStyle name="40% - Accent4 4 4 4 2" xfId="25772" xr:uid="{00000000-0005-0000-0000-000047480000}"/>
    <cellStyle name="40% - Accent4 4 4 4 2 2" xfId="25773" xr:uid="{00000000-0005-0000-0000-000048480000}"/>
    <cellStyle name="40% - Accent4 4 4 4 2 2 2" xfId="25774" xr:uid="{00000000-0005-0000-0000-000049480000}"/>
    <cellStyle name="40% - Accent4 4 4 4 2 2 3" xfId="25775" xr:uid="{00000000-0005-0000-0000-00004A480000}"/>
    <cellStyle name="40% - Accent4 4 4 4 2 3" xfId="25776" xr:uid="{00000000-0005-0000-0000-00004B480000}"/>
    <cellStyle name="40% - Accent4 4 4 4 2 3 2" xfId="25777" xr:uid="{00000000-0005-0000-0000-00004C480000}"/>
    <cellStyle name="40% - Accent4 4 4 4 2 3 3" xfId="25778" xr:uid="{00000000-0005-0000-0000-00004D480000}"/>
    <cellStyle name="40% - Accent4 4 4 4 2 4" xfId="25779" xr:uid="{00000000-0005-0000-0000-00004E480000}"/>
    <cellStyle name="40% - Accent4 4 4 4 2 4 2" xfId="25780" xr:uid="{00000000-0005-0000-0000-00004F480000}"/>
    <cellStyle name="40% - Accent4 4 4 4 2 5" xfId="25781" xr:uid="{00000000-0005-0000-0000-000050480000}"/>
    <cellStyle name="40% - Accent4 4 4 4 2 6" xfId="25782" xr:uid="{00000000-0005-0000-0000-000051480000}"/>
    <cellStyle name="40% - Accent4 4 4 4 3" xfId="25783" xr:uid="{00000000-0005-0000-0000-000052480000}"/>
    <cellStyle name="40% - Accent4 4 4 4 3 2" xfId="25784" xr:uid="{00000000-0005-0000-0000-000053480000}"/>
    <cellStyle name="40% - Accent4 4 4 4 3 2 2" xfId="25785" xr:uid="{00000000-0005-0000-0000-000054480000}"/>
    <cellStyle name="40% - Accent4 4 4 4 3 2 3" xfId="25786" xr:uid="{00000000-0005-0000-0000-000055480000}"/>
    <cellStyle name="40% - Accent4 4 4 4 3 3" xfId="25787" xr:uid="{00000000-0005-0000-0000-000056480000}"/>
    <cellStyle name="40% - Accent4 4 4 4 3 3 2" xfId="25788" xr:uid="{00000000-0005-0000-0000-000057480000}"/>
    <cellStyle name="40% - Accent4 4 4 4 3 3 3" xfId="25789" xr:uid="{00000000-0005-0000-0000-000058480000}"/>
    <cellStyle name="40% - Accent4 4 4 4 3 4" xfId="25790" xr:uid="{00000000-0005-0000-0000-000059480000}"/>
    <cellStyle name="40% - Accent4 4 4 4 3 4 2" xfId="25791" xr:uid="{00000000-0005-0000-0000-00005A480000}"/>
    <cellStyle name="40% - Accent4 4 4 4 3 5" xfId="25792" xr:uid="{00000000-0005-0000-0000-00005B480000}"/>
    <cellStyle name="40% - Accent4 4 4 4 3 6" xfId="25793" xr:uid="{00000000-0005-0000-0000-00005C480000}"/>
    <cellStyle name="40% - Accent4 4 4 4 4" xfId="25794" xr:uid="{00000000-0005-0000-0000-00005D480000}"/>
    <cellStyle name="40% - Accent4 4 4 4 4 2" xfId="25795" xr:uid="{00000000-0005-0000-0000-00005E480000}"/>
    <cellStyle name="40% - Accent4 4 4 4 4 2 2" xfId="25796" xr:uid="{00000000-0005-0000-0000-00005F480000}"/>
    <cellStyle name="40% - Accent4 4 4 4 4 2 3" xfId="25797" xr:uid="{00000000-0005-0000-0000-000060480000}"/>
    <cellStyle name="40% - Accent4 4 4 4 4 3" xfId="25798" xr:uid="{00000000-0005-0000-0000-000061480000}"/>
    <cellStyle name="40% - Accent4 4 4 4 4 3 2" xfId="25799" xr:uid="{00000000-0005-0000-0000-000062480000}"/>
    <cellStyle name="40% - Accent4 4 4 4 4 4" xfId="25800" xr:uid="{00000000-0005-0000-0000-000063480000}"/>
    <cellStyle name="40% - Accent4 4 4 4 4 5" xfId="25801" xr:uid="{00000000-0005-0000-0000-000064480000}"/>
    <cellStyle name="40% - Accent4 4 4 4 5" xfId="25802" xr:uid="{00000000-0005-0000-0000-000065480000}"/>
    <cellStyle name="40% - Accent4 4 4 4 5 2" xfId="25803" xr:uid="{00000000-0005-0000-0000-000066480000}"/>
    <cellStyle name="40% - Accent4 4 4 4 5 3" xfId="25804" xr:uid="{00000000-0005-0000-0000-000067480000}"/>
    <cellStyle name="40% - Accent4 4 4 4 6" xfId="25805" xr:uid="{00000000-0005-0000-0000-000068480000}"/>
    <cellStyle name="40% - Accent4 4 4 4 6 2" xfId="25806" xr:uid="{00000000-0005-0000-0000-000069480000}"/>
    <cellStyle name="40% - Accent4 4 4 4 6 3" xfId="25807" xr:uid="{00000000-0005-0000-0000-00006A480000}"/>
    <cellStyle name="40% - Accent4 4 4 4 7" xfId="25808" xr:uid="{00000000-0005-0000-0000-00006B480000}"/>
    <cellStyle name="40% - Accent4 4 4 4 7 2" xfId="25809" xr:uid="{00000000-0005-0000-0000-00006C480000}"/>
    <cellStyle name="40% - Accent4 4 4 4 8" xfId="25810" xr:uid="{00000000-0005-0000-0000-00006D480000}"/>
    <cellStyle name="40% - Accent4 4 4 4 9" xfId="25811" xr:uid="{00000000-0005-0000-0000-00006E480000}"/>
    <cellStyle name="40% - Accent4 4 4 5" xfId="25812" xr:uid="{00000000-0005-0000-0000-00006F480000}"/>
    <cellStyle name="40% - Accent4 4 4 5 2" xfId="25813" xr:uid="{00000000-0005-0000-0000-000070480000}"/>
    <cellStyle name="40% - Accent4 4 4 5 2 2" xfId="25814" xr:uid="{00000000-0005-0000-0000-000071480000}"/>
    <cellStyle name="40% - Accent4 4 4 5 2 3" xfId="25815" xr:uid="{00000000-0005-0000-0000-000072480000}"/>
    <cellStyle name="40% - Accent4 4 4 5 3" xfId="25816" xr:uid="{00000000-0005-0000-0000-000073480000}"/>
    <cellStyle name="40% - Accent4 4 4 5 3 2" xfId="25817" xr:uid="{00000000-0005-0000-0000-000074480000}"/>
    <cellStyle name="40% - Accent4 4 4 5 3 3" xfId="25818" xr:uid="{00000000-0005-0000-0000-000075480000}"/>
    <cellStyle name="40% - Accent4 4 4 5 4" xfId="25819" xr:uid="{00000000-0005-0000-0000-000076480000}"/>
    <cellStyle name="40% - Accent4 4 4 5 4 2" xfId="25820" xr:uid="{00000000-0005-0000-0000-000077480000}"/>
    <cellStyle name="40% - Accent4 4 4 5 5" xfId="25821" xr:uid="{00000000-0005-0000-0000-000078480000}"/>
    <cellStyle name="40% - Accent4 4 4 5 6" xfId="25822" xr:uid="{00000000-0005-0000-0000-000079480000}"/>
    <cellStyle name="40% - Accent4 4 4 6" xfId="25823" xr:uid="{00000000-0005-0000-0000-00007A480000}"/>
    <cellStyle name="40% - Accent4 4 4 6 2" xfId="25824" xr:uid="{00000000-0005-0000-0000-00007B480000}"/>
    <cellStyle name="40% - Accent4 4 4 6 2 2" xfId="25825" xr:uid="{00000000-0005-0000-0000-00007C480000}"/>
    <cellStyle name="40% - Accent4 4 4 6 2 3" xfId="25826" xr:uid="{00000000-0005-0000-0000-00007D480000}"/>
    <cellStyle name="40% - Accent4 4 4 6 3" xfId="25827" xr:uid="{00000000-0005-0000-0000-00007E480000}"/>
    <cellStyle name="40% - Accent4 4 4 6 3 2" xfId="25828" xr:uid="{00000000-0005-0000-0000-00007F480000}"/>
    <cellStyle name="40% - Accent4 4 4 6 3 3" xfId="25829" xr:uid="{00000000-0005-0000-0000-000080480000}"/>
    <cellStyle name="40% - Accent4 4 4 6 4" xfId="25830" xr:uid="{00000000-0005-0000-0000-000081480000}"/>
    <cellStyle name="40% - Accent4 4 4 6 4 2" xfId="25831" xr:uid="{00000000-0005-0000-0000-000082480000}"/>
    <cellStyle name="40% - Accent4 4 4 6 5" xfId="25832" xr:uid="{00000000-0005-0000-0000-000083480000}"/>
    <cellStyle name="40% - Accent4 4 4 6 6" xfId="25833" xr:uid="{00000000-0005-0000-0000-000084480000}"/>
    <cellStyle name="40% - Accent4 4 4 7" xfId="25834" xr:uid="{00000000-0005-0000-0000-000085480000}"/>
    <cellStyle name="40% - Accent4 4 4 7 2" xfId="25835" xr:uid="{00000000-0005-0000-0000-000086480000}"/>
    <cellStyle name="40% - Accent4 4 4 7 2 2" xfId="25836" xr:uid="{00000000-0005-0000-0000-000087480000}"/>
    <cellStyle name="40% - Accent4 4 4 7 2 3" xfId="25837" xr:uid="{00000000-0005-0000-0000-000088480000}"/>
    <cellStyle name="40% - Accent4 4 4 7 3" xfId="25838" xr:uid="{00000000-0005-0000-0000-000089480000}"/>
    <cellStyle name="40% - Accent4 4 4 7 3 2" xfId="25839" xr:uid="{00000000-0005-0000-0000-00008A480000}"/>
    <cellStyle name="40% - Accent4 4 4 7 4" xfId="25840" xr:uid="{00000000-0005-0000-0000-00008B480000}"/>
    <cellStyle name="40% - Accent4 4 4 7 5" xfId="25841" xr:uid="{00000000-0005-0000-0000-00008C480000}"/>
    <cellStyle name="40% - Accent4 4 4 8" xfId="25842" xr:uid="{00000000-0005-0000-0000-00008D480000}"/>
    <cellStyle name="40% - Accent4 4 4 8 2" xfId="25843" xr:uid="{00000000-0005-0000-0000-00008E480000}"/>
    <cellStyle name="40% - Accent4 4 4 8 3" xfId="25844" xr:uid="{00000000-0005-0000-0000-00008F480000}"/>
    <cellStyle name="40% - Accent4 4 4 9" xfId="25845" xr:uid="{00000000-0005-0000-0000-000090480000}"/>
    <cellStyle name="40% - Accent4 4 4 9 2" xfId="25846" xr:uid="{00000000-0005-0000-0000-000091480000}"/>
    <cellStyle name="40% - Accent4 4 4 9 3" xfId="25847" xr:uid="{00000000-0005-0000-0000-000092480000}"/>
    <cellStyle name="40% - Accent4 4 5" xfId="2242" xr:uid="{00000000-0005-0000-0000-000093480000}"/>
    <cellStyle name="40% - Accent4 4 5 10" xfId="25848" xr:uid="{00000000-0005-0000-0000-000094480000}"/>
    <cellStyle name="40% - Accent4 4 5 2" xfId="2243" xr:uid="{00000000-0005-0000-0000-000095480000}"/>
    <cellStyle name="40% - Accent4 4 5 2 2" xfId="25849" xr:uid="{00000000-0005-0000-0000-000096480000}"/>
    <cellStyle name="40% - Accent4 4 5 2 2 2" xfId="25850" xr:uid="{00000000-0005-0000-0000-000097480000}"/>
    <cellStyle name="40% - Accent4 4 5 2 2 2 2" xfId="25851" xr:uid="{00000000-0005-0000-0000-000098480000}"/>
    <cellStyle name="40% - Accent4 4 5 2 2 2 3" xfId="25852" xr:uid="{00000000-0005-0000-0000-000099480000}"/>
    <cellStyle name="40% - Accent4 4 5 2 2 3" xfId="25853" xr:uid="{00000000-0005-0000-0000-00009A480000}"/>
    <cellStyle name="40% - Accent4 4 5 2 2 3 2" xfId="25854" xr:uid="{00000000-0005-0000-0000-00009B480000}"/>
    <cellStyle name="40% - Accent4 4 5 2 2 3 3" xfId="25855" xr:uid="{00000000-0005-0000-0000-00009C480000}"/>
    <cellStyle name="40% - Accent4 4 5 2 2 4" xfId="25856" xr:uid="{00000000-0005-0000-0000-00009D480000}"/>
    <cellStyle name="40% - Accent4 4 5 2 2 4 2" xfId="25857" xr:uid="{00000000-0005-0000-0000-00009E480000}"/>
    <cellStyle name="40% - Accent4 4 5 2 2 5" xfId="25858" xr:uid="{00000000-0005-0000-0000-00009F480000}"/>
    <cellStyle name="40% - Accent4 4 5 2 2 6" xfId="25859" xr:uid="{00000000-0005-0000-0000-0000A0480000}"/>
    <cellStyle name="40% - Accent4 4 5 2 3" xfId="25860" xr:uid="{00000000-0005-0000-0000-0000A1480000}"/>
    <cellStyle name="40% - Accent4 4 5 2 3 2" xfId="25861" xr:uid="{00000000-0005-0000-0000-0000A2480000}"/>
    <cellStyle name="40% - Accent4 4 5 2 3 2 2" xfId="25862" xr:uid="{00000000-0005-0000-0000-0000A3480000}"/>
    <cellStyle name="40% - Accent4 4 5 2 3 2 3" xfId="25863" xr:uid="{00000000-0005-0000-0000-0000A4480000}"/>
    <cellStyle name="40% - Accent4 4 5 2 3 3" xfId="25864" xr:uid="{00000000-0005-0000-0000-0000A5480000}"/>
    <cellStyle name="40% - Accent4 4 5 2 3 3 2" xfId="25865" xr:uid="{00000000-0005-0000-0000-0000A6480000}"/>
    <cellStyle name="40% - Accent4 4 5 2 3 3 3" xfId="25866" xr:uid="{00000000-0005-0000-0000-0000A7480000}"/>
    <cellStyle name="40% - Accent4 4 5 2 3 4" xfId="25867" xr:uid="{00000000-0005-0000-0000-0000A8480000}"/>
    <cellStyle name="40% - Accent4 4 5 2 3 4 2" xfId="25868" xr:uid="{00000000-0005-0000-0000-0000A9480000}"/>
    <cellStyle name="40% - Accent4 4 5 2 3 5" xfId="25869" xr:uid="{00000000-0005-0000-0000-0000AA480000}"/>
    <cellStyle name="40% - Accent4 4 5 2 3 6" xfId="25870" xr:uid="{00000000-0005-0000-0000-0000AB480000}"/>
    <cellStyle name="40% - Accent4 4 5 2 4" xfId="25871" xr:uid="{00000000-0005-0000-0000-0000AC480000}"/>
    <cellStyle name="40% - Accent4 4 5 2 4 2" xfId="25872" xr:uid="{00000000-0005-0000-0000-0000AD480000}"/>
    <cellStyle name="40% - Accent4 4 5 2 4 2 2" xfId="25873" xr:uid="{00000000-0005-0000-0000-0000AE480000}"/>
    <cellStyle name="40% - Accent4 4 5 2 4 2 3" xfId="25874" xr:uid="{00000000-0005-0000-0000-0000AF480000}"/>
    <cellStyle name="40% - Accent4 4 5 2 4 3" xfId="25875" xr:uid="{00000000-0005-0000-0000-0000B0480000}"/>
    <cellStyle name="40% - Accent4 4 5 2 4 3 2" xfId="25876" xr:uid="{00000000-0005-0000-0000-0000B1480000}"/>
    <cellStyle name="40% - Accent4 4 5 2 4 4" xfId="25877" xr:uid="{00000000-0005-0000-0000-0000B2480000}"/>
    <cellStyle name="40% - Accent4 4 5 2 4 5" xfId="25878" xr:uid="{00000000-0005-0000-0000-0000B3480000}"/>
    <cellStyle name="40% - Accent4 4 5 2 5" xfId="25879" xr:uid="{00000000-0005-0000-0000-0000B4480000}"/>
    <cellStyle name="40% - Accent4 4 5 2 5 2" xfId="25880" xr:uid="{00000000-0005-0000-0000-0000B5480000}"/>
    <cellStyle name="40% - Accent4 4 5 2 5 3" xfId="25881" xr:uid="{00000000-0005-0000-0000-0000B6480000}"/>
    <cellStyle name="40% - Accent4 4 5 2 6" xfId="25882" xr:uid="{00000000-0005-0000-0000-0000B7480000}"/>
    <cellStyle name="40% - Accent4 4 5 2 6 2" xfId="25883" xr:uid="{00000000-0005-0000-0000-0000B8480000}"/>
    <cellStyle name="40% - Accent4 4 5 2 6 3" xfId="25884" xr:uid="{00000000-0005-0000-0000-0000B9480000}"/>
    <cellStyle name="40% - Accent4 4 5 2 7" xfId="25885" xr:uid="{00000000-0005-0000-0000-0000BA480000}"/>
    <cellStyle name="40% - Accent4 4 5 2 7 2" xfId="25886" xr:uid="{00000000-0005-0000-0000-0000BB480000}"/>
    <cellStyle name="40% - Accent4 4 5 2 8" xfId="25887" xr:uid="{00000000-0005-0000-0000-0000BC480000}"/>
    <cellStyle name="40% - Accent4 4 5 2 9" xfId="25888" xr:uid="{00000000-0005-0000-0000-0000BD480000}"/>
    <cellStyle name="40% - Accent4 4 5 3" xfId="25889" xr:uid="{00000000-0005-0000-0000-0000BE480000}"/>
    <cellStyle name="40% - Accent4 4 5 3 2" xfId="25890" xr:uid="{00000000-0005-0000-0000-0000BF480000}"/>
    <cellStyle name="40% - Accent4 4 5 3 2 2" xfId="25891" xr:uid="{00000000-0005-0000-0000-0000C0480000}"/>
    <cellStyle name="40% - Accent4 4 5 3 2 3" xfId="25892" xr:uid="{00000000-0005-0000-0000-0000C1480000}"/>
    <cellStyle name="40% - Accent4 4 5 3 3" xfId="25893" xr:uid="{00000000-0005-0000-0000-0000C2480000}"/>
    <cellStyle name="40% - Accent4 4 5 3 3 2" xfId="25894" xr:uid="{00000000-0005-0000-0000-0000C3480000}"/>
    <cellStyle name="40% - Accent4 4 5 3 3 3" xfId="25895" xr:uid="{00000000-0005-0000-0000-0000C4480000}"/>
    <cellStyle name="40% - Accent4 4 5 3 4" xfId="25896" xr:uid="{00000000-0005-0000-0000-0000C5480000}"/>
    <cellStyle name="40% - Accent4 4 5 3 4 2" xfId="25897" xr:uid="{00000000-0005-0000-0000-0000C6480000}"/>
    <cellStyle name="40% - Accent4 4 5 3 5" xfId="25898" xr:uid="{00000000-0005-0000-0000-0000C7480000}"/>
    <cellStyle name="40% - Accent4 4 5 3 6" xfId="25899" xr:uid="{00000000-0005-0000-0000-0000C8480000}"/>
    <cellStyle name="40% - Accent4 4 5 4" xfId="25900" xr:uid="{00000000-0005-0000-0000-0000C9480000}"/>
    <cellStyle name="40% - Accent4 4 5 4 2" xfId="25901" xr:uid="{00000000-0005-0000-0000-0000CA480000}"/>
    <cellStyle name="40% - Accent4 4 5 4 2 2" xfId="25902" xr:uid="{00000000-0005-0000-0000-0000CB480000}"/>
    <cellStyle name="40% - Accent4 4 5 4 2 3" xfId="25903" xr:uid="{00000000-0005-0000-0000-0000CC480000}"/>
    <cellStyle name="40% - Accent4 4 5 4 3" xfId="25904" xr:uid="{00000000-0005-0000-0000-0000CD480000}"/>
    <cellStyle name="40% - Accent4 4 5 4 3 2" xfId="25905" xr:uid="{00000000-0005-0000-0000-0000CE480000}"/>
    <cellStyle name="40% - Accent4 4 5 4 3 3" xfId="25906" xr:uid="{00000000-0005-0000-0000-0000CF480000}"/>
    <cellStyle name="40% - Accent4 4 5 4 4" xfId="25907" xr:uid="{00000000-0005-0000-0000-0000D0480000}"/>
    <cellStyle name="40% - Accent4 4 5 4 4 2" xfId="25908" xr:uid="{00000000-0005-0000-0000-0000D1480000}"/>
    <cellStyle name="40% - Accent4 4 5 4 5" xfId="25909" xr:uid="{00000000-0005-0000-0000-0000D2480000}"/>
    <cellStyle name="40% - Accent4 4 5 4 6" xfId="25910" xr:uid="{00000000-0005-0000-0000-0000D3480000}"/>
    <cellStyle name="40% - Accent4 4 5 5" xfId="25911" xr:uid="{00000000-0005-0000-0000-0000D4480000}"/>
    <cellStyle name="40% - Accent4 4 5 5 2" xfId="25912" xr:uid="{00000000-0005-0000-0000-0000D5480000}"/>
    <cellStyle name="40% - Accent4 4 5 5 2 2" xfId="25913" xr:uid="{00000000-0005-0000-0000-0000D6480000}"/>
    <cellStyle name="40% - Accent4 4 5 5 2 3" xfId="25914" xr:uid="{00000000-0005-0000-0000-0000D7480000}"/>
    <cellStyle name="40% - Accent4 4 5 5 3" xfId="25915" xr:uid="{00000000-0005-0000-0000-0000D8480000}"/>
    <cellStyle name="40% - Accent4 4 5 5 3 2" xfId="25916" xr:uid="{00000000-0005-0000-0000-0000D9480000}"/>
    <cellStyle name="40% - Accent4 4 5 5 4" xfId="25917" xr:uid="{00000000-0005-0000-0000-0000DA480000}"/>
    <cellStyle name="40% - Accent4 4 5 5 5" xfId="25918" xr:uid="{00000000-0005-0000-0000-0000DB480000}"/>
    <cellStyle name="40% - Accent4 4 5 6" xfId="25919" xr:uid="{00000000-0005-0000-0000-0000DC480000}"/>
    <cellStyle name="40% - Accent4 4 5 6 2" xfId="25920" xr:uid="{00000000-0005-0000-0000-0000DD480000}"/>
    <cellStyle name="40% - Accent4 4 5 6 3" xfId="25921" xr:uid="{00000000-0005-0000-0000-0000DE480000}"/>
    <cellStyle name="40% - Accent4 4 5 7" xfId="25922" xr:uid="{00000000-0005-0000-0000-0000DF480000}"/>
    <cellStyle name="40% - Accent4 4 5 7 2" xfId="25923" xr:uid="{00000000-0005-0000-0000-0000E0480000}"/>
    <cellStyle name="40% - Accent4 4 5 7 3" xfId="25924" xr:uid="{00000000-0005-0000-0000-0000E1480000}"/>
    <cellStyle name="40% - Accent4 4 5 8" xfId="25925" xr:uid="{00000000-0005-0000-0000-0000E2480000}"/>
    <cellStyle name="40% - Accent4 4 5 8 2" xfId="25926" xr:uid="{00000000-0005-0000-0000-0000E3480000}"/>
    <cellStyle name="40% - Accent4 4 5 9" xfId="25927" xr:uid="{00000000-0005-0000-0000-0000E4480000}"/>
    <cellStyle name="40% - Accent4 4 6" xfId="2244" xr:uid="{00000000-0005-0000-0000-0000E5480000}"/>
    <cellStyle name="40% - Accent4 4 6 2" xfId="25928" xr:uid="{00000000-0005-0000-0000-0000E6480000}"/>
    <cellStyle name="40% - Accent4 4 6 2 2" xfId="25929" xr:uid="{00000000-0005-0000-0000-0000E7480000}"/>
    <cellStyle name="40% - Accent4 4 6 2 2 2" xfId="25930" xr:uid="{00000000-0005-0000-0000-0000E8480000}"/>
    <cellStyle name="40% - Accent4 4 6 2 2 3" xfId="25931" xr:uid="{00000000-0005-0000-0000-0000E9480000}"/>
    <cellStyle name="40% - Accent4 4 6 2 3" xfId="25932" xr:uid="{00000000-0005-0000-0000-0000EA480000}"/>
    <cellStyle name="40% - Accent4 4 6 2 3 2" xfId="25933" xr:uid="{00000000-0005-0000-0000-0000EB480000}"/>
    <cellStyle name="40% - Accent4 4 6 2 3 3" xfId="25934" xr:uid="{00000000-0005-0000-0000-0000EC480000}"/>
    <cellStyle name="40% - Accent4 4 6 2 4" xfId="25935" xr:uid="{00000000-0005-0000-0000-0000ED480000}"/>
    <cellStyle name="40% - Accent4 4 6 2 4 2" xfId="25936" xr:uid="{00000000-0005-0000-0000-0000EE480000}"/>
    <cellStyle name="40% - Accent4 4 6 2 5" xfId="25937" xr:uid="{00000000-0005-0000-0000-0000EF480000}"/>
    <cellStyle name="40% - Accent4 4 6 2 6" xfId="25938" xr:uid="{00000000-0005-0000-0000-0000F0480000}"/>
    <cellStyle name="40% - Accent4 4 6 3" xfId="25939" xr:uid="{00000000-0005-0000-0000-0000F1480000}"/>
    <cellStyle name="40% - Accent4 4 6 3 2" xfId="25940" xr:uid="{00000000-0005-0000-0000-0000F2480000}"/>
    <cellStyle name="40% - Accent4 4 6 3 2 2" xfId="25941" xr:uid="{00000000-0005-0000-0000-0000F3480000}"/>
    <cellStyle name="40% - Accent4 4 6 3 2 3" xfId="25942" xr:uid="{00000000-0005-0000-0000-0000F4480000}"/>
    <cellStyle name="40% - Accent4 4 6 3 3" xfId="25943" xr:uid="{00000000-0005-0000-0000-0000F5480000}"/>
    <cellStyle name="40% - Accent4 4 6 3 3 2" xfId="25944" xr:uid="{00000000-0005-0000-0000-0000F6480000}"/>
    <cellStyle name="40% - Accent4 4 6 3 3 3" xfId="25945" xr:uid="{00000000-0005-0000-0000-0000F7480000}"/>
    <cellStyle name="40% - Accent4 4 6 3 4" xfId="25946" xr:uid="{00000000-0005-0000-0000-0000F8480000}"/>
    <cellStyle name="40% - Accent4 4 6 3 4 2" xfId="25947" xr:uid="{00000000-0005-0000-0000-0000F9480000}"/>
    <cellStyle name="40% - Accent4 4 6 3 5" xfId="25948" xr:uid="{00000000-0005-0000-0000-0000FA480000}"/>
    <cellStyle name="40% - Accent4 4 6 3 6" xfId="25949" xr:uid="{00000000-0005-0000-0000-0000FB480000}"/>
    <cellStyle name="40% - Accent4 4 6 4" xfId="25950" xr:uid="{00000000-0005-0000-0000-0000FC480000}"/>
    <cellStyle name="40% - Accent4 4 6 4 2" xfId="25951" xr:uid="{00000000-0005-0000-0000-0000FD480000}"/>
    <cellStyle name="40% - Accent4 4 6 4 2 2" xfId="25952" xr:uid="{00000000-0005-0000-0000-0000FE480000}"/>
    <cellStyle name="40% - Accent4 4 6 4 2 3" xfId="25953" xr:uid="{00000000-0005-0000-0000-0000FF480000}"/>
    <cellStyle name="40% - Accent4 4 6 4 3" xfId="25954" xr:uid="{00000000-0005-0000-0000-000000490000}"/>
    <cellStyle name="40% - Accent4 4 6 4 3 2" xfId="25955" xr:uid="{00000000-0005-0000-0000-000001490000}"/>
    <cellStyle name="40% - Accent4 4 6 4 4" xfId="25956" xr:uid="{00000000-0005-0000-0000-000002490000}"/>
    <cellStyle name="40% - Accent4 4 6 4 5" xfId="25957" xr:uid="{00000000-0005-0000-0000-000003490000}"/>
    <cellStyle name="40% - Accent4 4 6 5" xfId="25958" xr:uid="{00000000-0005-0000-0000-000004490000}"/>
    <cellStyle name="40% - Accent4 4 6 5 2" xfId="25959" xr:uid="{00000000-0005-0000-0000-000005490000}"/>
    <cellStyle name="40% - Accent4 4 6 5 3" xfId="25960" xr:uid="{00000000-0005-0000-0000-000006490000}"/>
    <cellStyle name="40% - Accent4 4 6 6" xfId="25961" xr:uid="{00000000-0005-0000-0000-000007490000}"/>
    <cellStyle name="40% - Accent4 4 6 6 2" xfId="25962" xr:uid="{00000000-0005-0000-0000-000008490000}"/>
    <cellStyle name="40% - Accent4 4 6 6 3" xfId="25963" xr:uid="{00000000-0005-0000-0000-000009490000}"/>
    <cellStyle name="40% - Accent4 4 6 7" xfId="25964" xr:uid="{00000000-0005-0000-0000-00000A490000}"/>
    <cellStyle name="40% - Accent4 4 6 7 2" xfId="25965" xr:uid="{00000000-0005-0000-0000-00000B490000}"/>
    <cellStyle name="40% - Accent4 4 6 8" xfId="25966" xr:uid="{00000000-0005-0000-0000-00000C490000}"/>
    <cellStyle name="40% - Accent4 4 6 9" xfId="25967" xr:uid="{00000000-0005-0000-0000-00000D490000}"/>
    <cellStyle name="40% - Accent4 4 7" xfId="8987" xr:uid="{00000000-0005-0000-0000-00000E490000}"/>
    <cellStyle name="40% - Accent4 4 7 2" xfId="25968" xr:uid="{00000000-0005-0000-0000-00000F490000}"/>
    <cellStyle name="40% - Accent4 4 7 2 2" xfId="25969" xr:uid="{00000000-0005-0000-0000-000010490000}"/>
    <cellStyle name="40% - Accent4 4 7 2 2 2" xfId="25970" xr:uid="{00000000-0005-0000-0000-000011490000}"/>
    <cellStyle name="40% - Accent4 4 7 2 2 3" xfId="25971" xr:uid="{00000000-0005-0000-0000-000012490000}"/>
    <cellStyle name="40% - Accent4 4 7 2 3" xfId="25972" xr:uid="{00000000-0005-0000-0000-000013490000}"/>
    <cellStyle name="40% - Accent4 4 7 2 3 2" xfId="25973" xr:uid="{00000000-0005-0000-0000-000014490000}"/>
    <cellStyle name="40% - Accent4 4 7 2 3 3" xfId="25974" xr:uid="{00000000-0005-0000-0000-000015490000}"/>
    <cellStyle name="40% - Accent4 4 7 2 4" xfId="25975" xr:uid="{00000000-0005-0000-0000-000016490000}"/>
    <cellStyle name="40% - Accent4 4 7 2 4 2" xfId="25976" xr:uid="{00000000-0005-0000-0000-000017490000}"/>
    <cellStyle name="40% - Accent4 4 7 2 5" xfId="25977" xr:uid="{00000000-0005-0000-0000-000018490000}"/>
    <cellStyle name="40% - Accent4 4 7 2 6" xfId="25978" xr:uid="{00000000-0005-0000-0000-000019490000}"/>
    <cellStyle name="40% - Accent4 4 7 3" xfId="25979" xr:uid="{00000000-0005-0000-0000-00001A490000}"/>
    <cellStyle name="40% - Accent4 4 7 3 2" xfId="25980" xr:uid="{00000000-0005-0000-0000-00001B490000}"/>
    <cellStyle name="40% - Accent4 4 7 3 2 2" xfId="25981" xr:uid="{00000000-0005-0000-0000-00001C490000}"/>
    <cellStyle name="40% - Accent4 4 7 3 2 3" xfId="25982" xr:uid="{00000000-0005-0000-0000-00001D490000}"/>
    <cellStyle name="40% - Accent4 4 7 3 3" xfId="25983" xr:uid="{00000000-0005-0000-0000-00001E490000}"/>
    <cellStyle name="40% - Accent4 4 7 3 3 2" xfId="25984" xr:uid="{00000000-0005-0000-0000-00001F490000}"/>
    <cellStyle name="40% - Accent4 4 7 3 3 3" xfId="25985" xr:uid="{00000000-0005-0000-0000-000020490000}"/>
    <cellStyle name="40% - Accent4 4 7 3 4" xfId="25986" xr:uid="{00000000-0005-0000-0000-000021490000}"/>
    <cellStyle name="40% - Accent4 4 7 3 4 2" xfId="25987" xr:uid="{00000000-0005-0000-0000-000022490000}"/>
    <cellStyle name="40% - Accent4 4 7 3 5" xfId="25988" xr:uid="{00000000-0005-0000-0000-000023490000}"/>
    <cellStyle name="40% - Accent4 4 7 3 6" xfId="25989" xr:uid="{00000000-0005-0000-0000-000024490000}"/>
    <cellStyle name="40% - Accent4 4 7 4" xfId="25990" xr:uid="{00000000-0005-0000-0000-000025490000}"/>
    <cellStyle name="40% - Accent4 4 7 4 2" xfId="25991" xr:uid="{00000000-0005-0000-0000-000026490000}"/>
    <cellStyle name="40% - Accent4 4 7 4 2 2" xfId="25992" xr:uid="{00000000-0005-0000-0000-000027490000}"/>
    <cellStyle name="40% - Accent4 4 7 4 2 3" xfId="25993" xr:uid="{00000000-0005-0000-0000-000028490000}"/>
    <cellStyle name="40% - Accent4 4 7 4 3" xfId="25994" xr:uid="{00000000-0005-0000-0000-000029490000}"/>
    <cellStyle name="40% - Accent4 4 7 4 3 2" xfId="25995" xr:uid="{00000000-0005-0000-0000-00002A490000}"/>
    <cellStyle name="40% - Accent4 4 7 4 4" xfId="25996" xr:uid="{00000000-0005-0000-0000-00002B490000}"/>
    <cellStyle name="40% - Accent4 4 7 4 5" xfId="25997" xr:uid="{00000000-0005-0000-0000-00002C490000}"/>
    <cellStyle name="40% - Accent4 4 7 5" xfId="25998" xr:uid="{00000000-0005-0000-0000-00002D490000}"/>
    <cellStyle name="40% - Accent4 4 7 5 2" xfId="25999" xr:uid="{00000000-0005-0000-0000-00002E490000}"/>
    <cellStyle name="40% - Accent4 4 7 5 3" xfId="26000" xr:uid="{00000000-0005-0000-0000-00002F490000}"/>
    <cellStyle name="40% - Accent4 4 7 6" xfId="26001" xr:uid="{00000000-0005-0000-0000-000030490000}"/>
    <cellStyle name="40% - Accent4 4 7 6 2" xfId="26002" xr:uid="{00000000-0005-0000-0000-000031490000}"/>
    <cellStyle name="40% - Accent4 4 7 6 3" xfId="26003" xr:uid="{00000000-0005-0000-0000-000032490000}"/>
    <cellStyle name="40% - Accent4 4 7 7" xfId="26004" xr:uid="{00000000-0005-0000-0000-000033490000}"/>
    <cellStyle name="40% - Accent4 4 7 7 2" xfId="26005" xr:uid="{00000000-0005-0000-0000-000034490000}"/>
    <cellStyle name="40% - Accent4 4 7 8" xfId="26006" xr:uid="{00000000-0005-0000-0000-000035490000}"/>
    <cellStyle name="40% - Accent4 4 7 9" xfId="26007" xr:uid="{00000000-0005-0000-0000-000036490000}"/>
    <cellStyle name="40% - Accent4 4 8" xfId="26008" xr:uid="{00000000-0005-0000-0000-000037490000}"/>
    <cellStyle name="40% - Accent4 4 8 2" xfId="26009" xr:uid="{00000000-0005-0000-0000-000038490000}"/>
    <cellStyle name="40% - Accent4 4 8 2 2" xfId="26010" xr:uid="{00000000-0005-0000-0000-000039490000}"/>
    <cellStyle name="40% - Accent4 4 8 2 3" xfId="26011" xr:uid="{00000000-0005-0000-0000-00003A490000}"/>
    <cellStyle name="40% - Accent4 4 8 3" xfId="26012" xr:uid="{00000000-0005-0000-0000-00003B490000}"/>
    <cellStyle name="40% - Accent4 4 8 3 2" xfId="26013" xr:uid="{00000000-0005-0000-0000-00003C490000}"/>
    <cellStyle name="40% - Accent4 4 8 3 3" xfId="26014" xr:uid="{00000000-0005-0000-0000-00003D490000}"/>
    <cellStyle name="40% - Accent4 4 8 4" xfId="26015" xr:uid="{00000000-0005-0000-0000-00003E490000}"/>
    <cellStyle name="40% - Accent4 4 8 4 2" xfId="26016" xr:uid="{00000000-0005-0000-0000-00003F490000}"/>
    <cellStyle name="40% - Accent4 4 8 5" xfId="26017" xr:uid="{00000000-0005-0000-0000-000040490000}"/>
    <cellStyle name="40% - Accent4 4 8 6" xfId="26018" xr:uid="{00000000-0005-0000-0000-000041490000}"/>
    <cellStyle name="40% - Accent4 4 9" xfId="26019" xr:uid="{00000000-0005-0000-0000-000042490000}"/>
    <cellStyle name="40% - Accent4 4 9 2" xfId="26020" xr:uid="{00000000-0005-0000-0000-000043490000}"/>
    <cellStyle name="40% - Accent4 4 9 2 2" xfId="26021" xr:uid="{00000000-0005-0000-0000-000044490000}"/>
    <cellStyle name="40% - Accent4 4 9 2 3" xfId="26022" xr:uid="{00000000-0005-0000-0000-000045490000}"/>
    <cellStyle name="40% - Accent4 4 9 3" xfId="26023" xr:uid="{00000000-0005-0000-0000-000046490000}"/>
    <cellStyle name="40% - Accent4 4 9 3 2" xfId="26024" xr:uid="{00000000-0005-0000-0000-000047490000}"/>
    <cellStyle name="40% - Accent4 4 9 3 3" xfId="26025" xr:uid="{00000000-0005-0000-0000-000048490000}"/>
    <cellStyle name="40% - Accent4 4 9 4" xfId="26026" xr:uid="{00000000-0005-0000-0000-000049490000}"/>
    <cellStyle name="40% - Accent4 4 9 4 2" xfId="26027" xr:uid="{00000000-0005-0000-0000-00004A490000}"/>
    <cellStyle name="40% - Accent4 4 9 5" xfId="26028" xr:uid="{00000000-0005-0000-0000-00004B490000}"/>
    <cellStyle name="40% - Accent4 4 9 6" xfId="26029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076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8988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077" xr:uid="{00000000-0005-0000-0000-000064490000}"/>
    <cellStyle name="40% - Accent4 6 2 5" xfId="58078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079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080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081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082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083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084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085" xr:uid="{00000000-0005-0000-0000-00008D490000}"/>
    <cellStyle name="40% - Accent5 13" xfId="2299" xr:uid="{00000000-0005-0000-0000-00008E490000}"/>
    <cellStyle name="40% - Accent5 13 2" xfId="58086" xr:uid="{00000000-0005-0000-0000-00008F490000}"/>
    <cellStyle name="40% - Accent5 14" xfId="8989" xr:uid="{00000000-0005-0000-0000-000090490000}"/>
    <cellStyle name="40% - Accent5 15" xfId="9408" xr:uid="{00000000-0005-0000-0000-000091490000}"/>
    <cellStyle name="40% - Accent5 16" xfId="9409" xr:uid="{00000000-0005-0000-0000-000092490000}"/>
    <cellStyle name="40% - Accent5 17" xfId="9410" xr:uid="{00000000-0005-0000-0000-000093490000}"/>
    <cellStyle name="40% - Accent5 17 2" xfId="58087" xr:uid="{00000000-0005-0000-0000-000094490000}"/>
    <cellStyle name="40% - Accent5 18" xfId="58088" xr:uid="{00000000-0005-0000-0000-000095490000}"/>
    <cellStyle name="40% - Accent5 19" xfId="58089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090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091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092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093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094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095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096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097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098" xr:uid="{00000000-0005-0000-0000-0000E0490000}"/>
    <cellStyle name="40% - Accent5 20" xfId="58099" xr:uid="{00000000-0005-0000-0000-0000E1490000}"/>
    <cellStyle name="40% - Accent5 21" xfId="58100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8990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8991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8992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8993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8994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8995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8996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8997" xr:uid="{00000000-0005-0000-0000-00002B4A0000}"/>
    <cellStyle name="40% - Accent5 4" xfId="2430" xr:uid="{00000000-0005-0000-0000-00002C4A0000}"/>
    <cellStyle name="40% - Accent5 4 10" xfId="26030" xr:uid="{00000000-0005-0000-0000-00002D4A0000}"/>
    <cellStyle name="40% - Accent5 4 10 2" xfId="26031" xr:uid="{00000000-0005-0000-0000-00002E4A0000}"/>
    <cellStyle name="40% - Accent5 4 10 2 2" xfId="26032" xr:uid="{00000000-0005-0000-0000-00002F4A0000}"/>
    <cellStyle name="40% - Accent5 4 10 2 3" xfId="26033" xr:uid="{00000000-0005-0000-0000-0000304A0000}"/>
    <cellStyle name="40% - Accent5 4 10 3" xfId="26034" xr:uid="{00000000-0005-0000-0000-0000314A0000}"/>
    <cellStyle name="40% - Accent5 4 10 3 2" xfId="26035" xr:uid="{00000000-0005-0000-0000-0000324A0000}"/>
    <cellStyle name="40% - Accent5 4 10 4" xfId="26036" xr:uid="{00000000-0005-0000-0000-0000334A0000}"/>
    <cellStyle name="40% - Accent5 4 10 5" xfId="26037" xr:uid="{00000000-0005-0000-0000-0000344A0000}"/>
    <cellStyle name="40% - Accent5 4 11" xfId="26038" xr:uid="{00000000-0005-0000-0000-0000354A0000}"/>
    <cellStyle name="40% - Accent5 4 11 2" xfId="26039" xr:uid="{00000000-0005-0000-0000-0000364A0000}"/>
    <cellStyle name="40% - Accent5 4 11 3" xfId="26040" xr:uid="{00000000-0005-0000-0000-0000374A0000}"/>
    <cellStyle name="40% - Accent5 4 12" xfId="26041" xr:uid="{00000000-0005-0000-0000-0000384A0000}"/>
    <cellStyle name="40% - Accent5 4 12 2" xfId="26042" xr:uid="{00000000-0005-0000-0000-0000394A0000}"/>
    <cellStyle name="40% - Accent5 4 12 3" xfId="26043" xr:uid="{00000000-0005-0000-0000-00003A4A0000}"/>
    <cellStyle name="40% - Accent5 4 13" xfId="26044" xr:uid="{00000000-0005-0000-0000-00003B4A0000}"/>
    <cellStyle name="40% - Accent5 4 13 2" xfId="26045" xr:uid="{00000000-0005-0000-0000-00003C4A0000}"/>
    <cellStyle name="40% - Accent5 4 14" xfId="26046" xr:uid="{00000000-0005-0000-0000-00003D4A0000}"/>
    <cellStyle name="40% - Accent5 4 15" xfId="26047" xr:uid="{00000000-0005-0000-0000-00003E4A0000}"/>
    <cellStyle name="40% - Accent5 4 16" xfId="26048" xr:uid="{00000000-0005-0000-0000-00003F4A0000}"/>
    <cellStyle name="40% - Accent5 4 2" xfId="2431" xr:uid="{00000000-0005-0000-0000-0000404A0000}"/>
    <cellStyle name="40% - Accent5 4 2 10" xfId="26049" xr:uid="{00000000-0005-0000-0000-0000414A0000}"/>
    <cellStyle name="40% - Accent5 4 2 10 2" xfId="26050" xr:uid="{00000000-0005-0000-0000-0000424A0000}"/>
    <cellStyle name="40% - Accent5 4 2 10 3" xfId="26051" xr:uid="{00000000-0005-0000-0000-0000434A0000}"/>
    <cellStyle name="40% - Accent5 4 2 11" xfId="26052" xr:uid="{00000000-0005-0000-0000-0000444A0000}"/>
    <cellStyle name="40% - Accent5 4 2 11 2" xfId="26053" xr:uid="{00000000-0005-0000-0000-0000454A0000}"/>
    <cellStyle name="40% - Accent5 4 2 11 3" xfId="26054" xr:uid="{00000000-0005-0000-0000-0000464A0000}"/>
    <cellStyle name="40% - Accent5 4 2 12" xfId="26055" xr:uid="{00000000-0005-0000-0000-0000474A0000}"/>
    <cellStyle name="40% - Accent5 4 2 12 2" xfId="26056" xr:uid="{00000000-0005-0000-0000-0000484A0000}"/>
    <cellStyle name="40% - Accent5 4 2 13" xfId="26057" xr:uid="{00000000-0005-0000-0000-0000494A0000}"/>
    <cellStyle name="40% - Accent5 4 2 14" xfId="26058" xr:uid="{00000000-0005-0000-0000-00004A4A0000}"/>
    <cellStyle name="40% - Accent5 4 2 15" xfId="26059" xr:uid="{00000000-0005-0000-0000-00004B4A0000}"/>
    <cellStyle name="40% - Accent5 4 2 2" xfId="2432" xr:uid="{00000000-0005-0000-0000-00004C4A0000}"/>
    <cellStyle name="40% - Accent5 4 2 2 10" xfId="26060" xr:uid="{00000000-0005-0000-0000-00004D4A0000}"/>
    <cellStyle name="40% - Accent5 4 2 2 10 2" xfId="26061" xr:uid="{00000000-0005-0000-0000-00004E4A0000}"/>
    <cellStyle name="40% - Accent5 4 2 2 10 3" xfId="26062" xr:uid="{00000000-0005-0000-0000-00004F4A0000}"/>
    <cellStyle name="40% - Accent5 4 2 2 11" xfId="26063" xr:uid="{00000000-0005-0000-0000-0000504A0000}"/>
    <cellStyle name="40% - Accent5 4 2 2 11 2" xfId="26064" xr:uid="{00000000-0005-0000-0000-0000514A0000}"/>
    <cellStyle name="40% - Accent5 4 2 2 12" xfId="26065" xr:uid="{00000000-0005-0000-0000-0000524A0000}"/>
    <cellStyle name="40% - Accent5 4 2 2 13" xfId="26066" xr:uid="{00000000-0005-0000-0000-0000534A0000}"/>
    <cellStyle name="40% - Accent5 4 2 2 2" xfId="2433" xr:uid="{00000000-0005-0000-0000-0000544A0000}"/>
    <cellStyle name="40% - Accent5 4 2 2 2 10" xfId="26067" xr:uid="{00000000-0005-0000-0000-0000554A0000}"/>
    <cellStyle name="40% - Accent5 4 2 2 2 10 2" xfId="26068" xr:uid="{00000000-0005-0000-0000-0000564A0000}"/>
    <cellStyle name="40% - Accent5 4 2 2 2 11" xfId="26069" xr:uid="{00000000-0005-0000-0000-0000574A0000}"/>
    <cellStyle name="40% - Accent5 4 2 2 2 12" xfId="26070" xr:uid="{00000000-0005-0000-0000-0000584A0000}"/>
    <cellStyle name="40% - Accent5 4 2 2 2 2" xfId="2434" xr:uid="{00000000-0005-0000-0000-0000594A0000}"/>
    <cellStyle name="40% - Accent5 4 2 2 2 2 10" xfId="26071" xr:uid="{00000000-0005-0000-0000-00005A4A0000}"/>
    <cellStyle name="40% - Accent5 4 2 2 2 2 2" xfId="2435" xr:uid="{00000000-0005-0000-0000-00005B4A0000}"/>
    <cellStyle name="40% - Accent5 4 2 2 2 2 2 2" xfId="26072" xr:uid="{00000000-0005-0000-0000-00005C4A0000}"/>
    <cellStyle name="40% - Accent5 4 2 2 2 2 2 2 2" xfId="26073" xr:uid="{00000000-0005-0000-0000-00005D4A0000}"/>
    <cellStyle name="40% - Accent5 4 2 2 2 2 2 2 2 2" xfId="26074" xr:uid="{00000000-0005-0000-0000-00005E4A0000}"/>
    <cellStyle name="40% - Accent5 4 2 2 2 2 2 2 2 3" xfId="26075" xr:uid="{00000000-0005-0000-0000-00005F4A0000}"/>
    <cellStyle name="40% - Accent5 4 2 2 2 2 2 2 3" xfId="26076" xr:uid="{00000000-0005-0000-0000-0000604A0000}"/>
    <cellStyle name="40% - Accent5 4 2 2 2 2 2 2 3 2" xfId="26077" xr:uid="{00000000-0005-0000-0000-0000614A0000}"/>
    <cellStyle name="40% - Accent5 4 2 2 2 2 2 2 3 3" xfId="26078" xr:uid="{00000000-0005-0000-0000-0000624A0000}"/>
    <cellStyle name="40% - Accent5 4 2 2 2 2 2 2 4" xfId="26079" xr:uid="{00000000-0005-0000-0000-0000634A0000}"/>
    <cellStyle name="40% - Accent5 4 2 2 2 2 2 2 4 2" xfId="26080" xr:uid="{00000000-0005-0000-0000-0000644A0000}"/>
    <cellStyle name="40% - Accent5 4 2 2 2 2 2 2 5" xfId="26081" xr:uid="{00000000-0005-0000-0000-0000654A0000}"/>
    <cellStyle name="40% - Accent5 4 2 2 2 2 2 2 6" xfId="26082" xr:uid="{00000000-0005-0000-0000-0000664A0000}"/>
    <cellStyle name="40% - Accent5 4 2 2 2 2 2 3" xfId="26083" xr:uid="{00000000-0005-0000-0000-0000674A0000}"/>
    <cellStyle name="40% - Accent5 4 2 2 2 2 2 3 2" xfId="26084" xr:uid="{00000000-0005-0000-0000-0000684A0000}"/>
    <cellStyle name="40% - Accent5 4 2 2 2 2 2 3 2 2" xfId="26085" xr:uid="{00000000-0005-0000-0000-0000694A0000}"/>
    <cellStyle name="40% - Accent5 4 2 2 2 2 2 3 2 3" xfId="26086" xr:uid="{00000000-0005-0000-0000-00006A4A0000}"/>
    <cellStyle name="40% - Accent5 4 2 2 2 2 2 3 3" xfId="26087" xr:uid="{00000000-0005-0000-0000-00006B4A0000}"/>
    <cellStyle name="40% - Accent5 4 2 2 2 2 2 3 3 2" xfId="26088" xr:uid="{00000000-0005-0000-0000-00006C4A0000}"/>
    <cellStyle name="40% - Accent5 4 2 2 2 2 2 3 3 3" xfId="26089" xr:uid="{00000000-0005-0000-0000-00006D4A0000}"/>
    <cellStyle name="40% - Accent5 4 2 2 2 2 2 3 4" xfId="26090" xr:uid="{00000000-0005-0000-0000-00006E4A0000}"/>
    <cellStyle name="40% - Accent5 4 2 2 2 2 2 3 4 2" xfId="26091" xr:uid="{00000000-0005-0000-0000-00006F4A0000}"/>
    <cellStyle name="40% - Accent5 4 2 2 2 2 2 3 5" xfId="26092" xr:uid="{00000000-0005-0000-0000-0000704A0000}"/>
    <cellStyle name="40% - Accent5 4 2 2 2 2 2 3 6" xfId="26093" xr:uid="{00000000-0005-0000-0000-0000714A0000}"/>
    <cellStyle name="40% - Accent5 4 2 2 2 2 2 4" xfId="26094" xr:uid="{00000000-0005-0000-0000-0000724A0000}"/>
    <cellStyle name="40% - Accent5 4 2 2 2 2 2 4 2" xfId="26095" xr:uid="{00000000-0005-0000-0000-0000734A0000}"/>
    <cellStyle name="40% - Accent5 4 2 2 2 2 2 4 2 2" xfId="26096" xr:uid="{00000000-0005-0000-0000-0000744A0000}"/>
    <cellStyle name="40% - Accent5 4 2 2 2 2 2 4 2 3" xfId="26097" xr:uid="{00000000-0005-0000-0000-0000754A0000}"/>
    <cellStyle name="40% - Accent5 4 2 2 2 2 2 4 3" xfId="26098" xr:uid="{00000000-0005-0000-0000-0000764A0000}"/>
    <cellStyle name="40% - Accent5 4 2 2 2 2 2 4 3 2" xfId="26099" xr:uid="{00000000-0005-0000-0000-0000774A0000}"/>
    <cellStyle name="40% - Accent5 4 2 2 2 2 2 4 4" xfId="26100" xr:uid="{00000000-0005-0000-0000-0000784A0000}"/>
    <cellStyle name="40% - Accent5 4 2 2 2 2 2 4 5" xfId="26101" xr:uid="{00000000-0005-0000-0000-0000794A0000}"/>
    <cellStyle name="40% - Accent5 4 2 2 2 2 2 5" xfId="26102" xr:uid="{00000000-0005-0000-0000-00007A4A0000}"/>
    <cellStyle name="40% - Accent5 4 2 2 2 2 2 5 2" xfId="26103" xr:uid="{00000000-0005-0000-0000-00007B4A0000}"/>
    <cellStyle name="40% - Accent5 4 2 2 2 2 2 5 3" xfId="26104" xr:uid="{00000000-0005-0000-0000-00007C4A0000}"/>
    <cellStyle name="40% - Accent5 4 2 2 2 2 2 6" xfId="26105" xr:uid="{00000000-0005-0000-0000-00007D4A0000}"/>
    <cellStyle name="40% - Accent5 4 2 2 2 2 2 6 2" xfId="26106" xr:uid="{00000000-0005-0000-0000-00007E4A0000}"/>
    <cellStyle name="40% - Accent5 4 2 2 2 2 2 6 3" xfId="26107" xr:uid="{00000000-0005-0000-0000-00007F4A0000}"/>
    <cellStyle name="40% - Accent5 4 2 2 2 2 2 7" xfId="26108" xr:uid="{00000000-0005-0000-0000-0000804A0000}"/>
    <cellStyle name="40% - Accent5 4 2 2 2 2 2 7 2" xfId="26109" xr:uid="{00000000-0005-0000-0000-0000814A0000}"/>
    <cellStyle name="40% - Accent5 4 2 2 2 2 2 8" xfId="26110" xr:uid="{00000000-0005-0000-0000-0000824A0000}"/>
    <cellStyle name="40% - Accent5 4 2 2 2 2 2 9" xfId="26111" xr:uid="{00000000-0005-0000-0000-0000834A0000}"/>
    <cellStyle name="40% - Accent5 4 2 2 2 2 3" xfId="26112" xr:uid="{00000000-0005-0000-0000-0000844A0000}"/>
    <cellStyle name="40% - Accent5 4 2 2 2 2 3 2" xfId="26113" xr:uid="{00000000-0005-0000-0000-0000854A0000}"/>
    <cellStyle name="40% - Accent5 4 2 2 2 2 3 2 2" xfId="26114" xr:uid="{00000000-0005-0000-0000-0000864A0000}"/>
    <cellStyle name="40% - Accent5 4 2 2 2 2 3 2 3" xfId="26115" xr:uid="{00000000-0005-0000-0000-0000874A0000}"/>
    <cellStyle name="40% - Accent5 4 2 2 2 2 3 3" xfId="26116" xr:uid="{00000000-0005-0000-0000-0000884A0000}"/>
    <cellStyle name="40% - Accent5 4 2 2 2 2 3 3 2" xfId="26117" xr:uid="{00000000-0005-0000-0000-0000894A0000}"/>
    <cellStyle name="40% - Accent5 4 2 2 2 2 3 3 3" xfId="26118" xr:uid="{00000000-0005-0000-0000-00008A4A0000}"/>
    <cellStyle name="40% - Accent5 4 2 2 2 2 3 4" xfId="26119" xr:uid="{00000000-0005-0000-0000-00008B4A0000}"/>
    <cellStyle name="40% - Accent5 4 2 2 2 2 3 4 2" xfId="26120" xr:uid="{00000000-0005-0000-0000-00008C4A0000}"/>
    <cellStyle name="40% - Accent5 4 2 2 2 2 3 5" xfId="26121" xr:uid="{00000000-0005-0000-0000-00008D4A0000}"/>
    <cellStyle name="40% - Accent5 4 2 2 2 2 3 6" xfId="26122" xr:uid="{00000000-0005-0000-0000-00008E4A0000}"/>
    <cellStyle name="40% - Accent5 4 2 2 2 2 4" xfId="26123" xr:uid="{00000000-0005-0000-0000-00008F4A0000}"/>
    <cellStyle name="40% - Accent5 4 2 2 2 2 4 2" xfId="26124" xr:uid="{00000000-0005-0000-0000-0000904A0000}"/>
    <cellStyle name="40% - Accent5 4 2 2 2 2 4 2 2" xfId="26125" xr:uid="{00000000-0005-0000-0000-0000914A0000}"/>
    <cellStyle name="40% - Accent5 4 2 2 2 2 4 2 3" xfId="26126" xr:uid="{00000000-0005-0000-0000-0000924A0000}"/>
    <cellStyle name="40% - Accent5 4 2 2 2 2 4 3" xfId="26127" xr:uid="{00000000-0005-0000-0000-0000934A0000}"/>
    <cellStyle name="40% - Accent5 4 2 2 2 2 4 3 2" xfId="26128" xr:uid="{00000000-0005-0000-0000-0000944A0000}"/>
    <cellStyle name="40% - Accent5 4 2 2 2 2 4 3 3" xfId="26129" xr:uid="{00000000-0005-0000-0000-0000954A0000}"/>
    <cellStyle name="40% - Accent5 4 2 2 2 2 4 4" xfId="26130" xr:uid="{00000000-0005-0000-0000-0000964A0000}"/>
    <cellStyle name="40% - Accent5 4 2 2 2 2 4 4 2" xfId="26131" xr:uid="{00000000-0005-0000-0000-0000974A0000}"/>
    <cellStyle name="40% - Accent5 4 2 2 2 2 4 5" xfId="26132" xr:uid="{00000000-0005-0000-0000-0000984A0000}"/>
    <cellStyle name="40% - Accent5 4 2 2 2 2 4 6" xfId="26133" xr:uid="{00000000-0005-0000-0000-0000994A0000}"/>
    <cellStyle name="40% - Accent5 4 2 2 2 2 5" xfId="26134" xr:uid="{00000000-0005-0000-0000-00009A4A0000}"/>
    <cellStyle name="40% - Accent5 4 2 2 2 2 5 2" xfId="26135" xr:uid="{00000000-0005-0000-0000-00009B4A0000}"/>
    <cellStyle name="40% - Accent5 4 2 2 2 2 5 2 2" xfId="26136" xr:uid="{00000000-0005-0000-0000-00009C4A0000}"/>
    <cellStyle name="40% - Accent5 4 2 2 2 2 5 2 3" xfId="26137" xr:uid="{00000000-0005-0000-0000-00009D4A0000}"/>
    <cellStyle name="40% - Accent5 4 2 2 2 2 5 3" xfId="26138" xr:uid="{00000000-0005-0000-0000-00009E4A0000}"/>
    <cellStyle name="40% - Accent5 4 2 2 2 2 5 3 2" xfId="26139" xr:uid="{00000000-0005-0000-0000-00009F4A0000}"/>
    <cellStyle name="40% - Accent5 4 2 2 2 2 5 4" xfId="26140" xr:uid="{00000000-0005-0000-0000-0000A04A0000}"/>
    <cellStyle name="40% - Accent5 4 2 2 2 2 5 5" xfId="26141" xr:uid="{00000000-0005-0000-0000-0000A14A0000}"/>
    <cellStyle name="40% - Accent5 4 2 2 2 2 6" xfId="26142" xr:uid="{00000000-0005-0000-0000-0000A24A0000}"/>
    <cellStyle name="40% - Accent5 4 2 2 2 2 6 2" xfId="26143" xr:uid="{00000000-0005-0000-0000-0000A34A0000}"/>
    <cellStyle name="40% - Accent5 4 2 2 2 2 6 3" xfId="26144" xr:uid="{00000000-0005-0000-0000-0000A44A0000}"/>
    <cellStyle name="40% - Accent5 4 2 2 2 2 7" xfId="26145" xr:uid="{00000000-0005-0000-0000-0000A54A0000}"/>
    <cellStyle name="40% - Accent5 4 2 2 2 2 7 2" xfId="26146" xr:uid="{00000000-0005-0000-0000-0000A64A0000}"/>
    <cellStyle name="40% - Accent5 4 2 2 2 2 7 3" xfId="26147" xr:uid="{00000000-0005-0000-0000-0000A74A0000}"/>
    <cellStyle name="40% - Accent5 4 2 2 2 2 8" xfId="26148" xr:uid="{00000000-0005-0000-0000-0000A84A0000}"/>
    <cellStyle name="40% - Accent5 4 2 2 2 2 8 2" xfId="26149" xr:uid="{00000000-0005-0000-0000-0000A94A0000}"/>
    <cellStyle name="40% - Accent5 4 2 2 2 2 9" xfId="26150" xr:uid="{00000000-0005-0000-0000-0000AA4A0000}"/>
    <cellStyle name="40% - Accent5 4 2 2 2 3" xfId="2436" xr:uid="{00000000-0005-0000-0000-0000AB4A0000}"/>
    <cellStyle name="40% - Accent5 4 2 2 2 3 2" xfId="26151" xr:uid="{00000000-0005-0000-0000-0000AC4A0000}"/>
    <cellStyle name="40% - Accent5 4 2 2 2 3 2 2" xfId="26152" xr:uid="{00000000-0005-0000-0000-0000AD4A0000}"/>
    <cellStyle name="40% - Accent5 4 2 2 2 3 2 2 2" xfId="26153" xr:uid="{00000000-0005-0000-0000-0000AE4A0000}"/>
    <cellStyle name="40% - Accent5 4 2 2 2 3 2 2 3" xfId="26154" xr:uid="{00000000-0005-0000-0000-0000AF4A0000}"/>
    <cellStyle name="40% - Accent5 4 2 2 2 3 2 3" xfId="26155" xr:uid="{00000000-0005-0000-0000-0000B04A0000}"/>
    <cellStyle name="40% - Accent5 4 2 2 2 3 2 3 2" xfId="26156" xr:uid="{00000000-0005-0000-0000-0000B14A0000}"/>
    <cellStyle name="40% - Accent5 4 2 2 2 3 2 3 3" xfId="26157" xr:uid="{00000000-0005-0000-0000-0000B24A0000}"/>
    <cellStyle name="40% - Accent5 4 2 2 2 3 2 4" xfId="26158" xr:uid="{00000000-0005-0000-0000-0000B34A0000}"/>
    <cellStyle name="40% - Accent5 4 2 2 2 3 2 4 2" xfId="26159" xr:uid="{00000000-0005-0000-0000-0000B44A0000}"/>
    <cellStyle name="40% - Accent5 4 2 2 2 3 2 5" xfId="26160" xr:uid="{00000000-0005-0000-0000-0000B54A0000}"/>
    <cellStyle name="40% - Accent5 4 2 2 2 3 2 6" xfId="26161" xr:uid="{00000000-0005-0000-0000-0000B64A0000}"/>
    <cellStyle name="40% - Accent5 4 2 2 2 3 3" xfId="26162" xr:uid="{00000000-0005-0000-0000-0000B74A0000}"/>
    <cellStyle name="40% - Accent5 4 2 2 2 3 3 2" xfId="26163" xr:uid="{00000000-0005-0000-0000-0000B84A0000}"/>
    <cellStyle name="40% - Accent5 4 2 2 2 3 3 2 2" xfId="26164" xr:uid="{00000000-0005-0000-0000-0000B94A0000}"/>
    <cellStyle name="40% - Accent5 4 2 2 2 3 3 2 3" xfId="26165" xr:uid="{00000000-0005-0000-0000-0000BA4A0000}"/>
    <cellStyle name="40% - Accent5 4 2 2 2 3 3 3" xfId="26166" xr:uid="{00000000-0005-0000-0000-0000BB4A0000}"/>
    <cellStyle name="40% - Accent5 4 2 2 2 3 3 3 2" xfId="26167" xr:uid="{00000000-0005-0000-0000-0000BC4A0000}"/>
    <cellStyle name="40% - Accent5 4 2 2 2 3 3 3 3" xfId="26168" xr:uid="{00000000-0005-0000-0000-0000BD4A0000}"/>
    <cellStyle name="40% - Accent5 4 2 2 2 3 3 4" xfId="26169" xr:uid="{00000000-0005-0000-0000-0000BE4A0000}"/>
    <cellStyle name="40% - Accent5 4 2 2 2 3 3 4 2" xfId="26170" xr:uid="{00000000-0005-0000-0000-0000BF4A0000}"/>
    <cellStyle name="40% - Accent5 4 2 2 2 3 3 5" xfId="26171" xr:uid="{00000000-0005-0000-0000-0000C04A0000}"/>
    <cellStyle name="40% - Accent5 4 2 2 2 3 3 6" xfId="26172" xr:uid="{00000000-0005-0000-0000-0000C14A0000}"/>
    <cellStyle name="40% - Accent5 4 2 2 2 3 4" xfId="26173" xr:uid="{00000000-0005-0000-0000-0000C24A0000}"/>
    <cellStyle name="40% - Accent5 4 2 2 2 3 4 2" xfId="26174" xr:uid="{00000000-0005-0000-0000-0000C34A0000}"/>
    <cellStyle name="40% - Accent5 4 2 2 2 3 4 2 2" xfId="26175" xr:uid="{00000000-0005-0000-0000-0000C44A0000}"/>
    <cellStyle name="40% - Accent5 4 2 2 2 3 4 2 3" xfId="26176" xr:uid="{00000000-0005-0000-0000-0000C54A0000}"/>
    <cellStyle name="40% - Accent5 4 2 2 2 3 4 3" xfId="26177" xr:uid="{00000000-0005-0000-0000-0000C64A0000}"/>
    <cellStyle name="40% - Accent5 4 2 2 2 3 4 3 2" xfId="26178" xr:uid="{00000000-0005-0000-0000-0000C74A0000}"/>
    <cellStyle name="40% - Accent5 4 2 2 2 3 4 4" xfId="26179" xr:uid="{00000000-0005-0000-0000-0000C84A0000}"/>
    <cellStyle name="40% - Accent5 4 2 2 2 3 4 5" xfId="26180" xr:uid="{00000000-0005-0000-0000-0000C94A0000}"/>
    <cellStyle name="40% - Accent5 4 2 2 2 3 5" xfId="26181" xr:uid="{00000000-0005-0000-0000-0000CA4A0000}"/>
    <cellStyle name="40% - Accent5 4 2 2 2 3 5 2" xfId="26182" xr:uid="{00000000-0005-0000-0000-0000CB4A0000}"/>
    <cellStyle name="40% - Accent5 4 2 2 2 3 5 3" xfId="26183" xr:uid="{00000000-0005-0000-0000-0000CC4A0000}"/>
    <cellStyle name="40% - Accent5 4 2 2 2 3 6" xfId="26184" xr:uid="{00000000-0005-0000-0000-0000CD4A0000}"/>
    <cellStyle name="40% - Accent5 4 2 2 2 3 6 2" xfId="26185" xr:uid="{00000000-0005-0000-0000-0000CE4A0000}"/>
    <cellStyle name="40% - Accent5 4 2 2 2 3 6 3" xfId="26186" xr:uid="{00000000-0005-0000-0000-0000CF4A0000}"/>
    <cellStyle name="40% - Accent5 4 2 2 2 3 7" xfId="26187" xr:uid="{00000000-0005-0000-0000-0000D04A0000}"/>
    <cellStyle name="40% - Accent5 4 2 2 2 3 7 2" xfId="26188" xr:uid="{00000000-0005-0000-0000-0000D14A0000}"/>
    <cellStyle name="40% - Accent5 4 2 2 2 3 8" xfId="26189" xr:uid="{00000000-0005-0000-0000-0000D24A0000}"/>
    <cellStyle name="40% - Accent5 4 2 2 2 3 9" xfId="26190" xr:uid="{00000000-0005-0000-0000-0000D34A0000}"/>
    <cellStyle name="40% - Accent5 4 2 2 2 4" xfId="26191" xr:uid="{00000000-0005-0000-0000-0000D44A0000}"/>
    <cellStyle name="40% - Accent5 4 2 2 2 4 2" xfId="26192" xr:uid="{00000000-0005-0000-0000-0000D54A0000}"/>
    <cellStyle name="40% - Accent5 4 2 2 2 4 2 2" xfId="26193" xr:uid="{00000000-0005-0000-0000-0000D64A0000}"/>
    <cellStyle name="40% - Accent5 4 2 2 2 4 2 2 2" xfId="26194" xr:uid="{00000000-0005-0000-0000-0000D74A0000}"/>
    <cellStyle name="40% - Accent5 4 2 2 2 4 2 2 3" xfId="26195" xr:uid="{00000000-0005-0000-0000-0000D84A0000}"/>
    <cellStyle name="40% - Accent5 4 2 2 2 4 2 3" xfId="26196" xr:uid="{00000000-0005-0000-0000-0000D94A0000}"/>
    <cellStyle name="40% - Accent5 4 2 2 2 4 2 3 2" xfId="26197" xr:uid="{00000000-0005-0000-0000-0000DA4A0000}"/>
    <cellStyle name="40% - Accent5 4 2 2 2 4 2 3 3" xfId="26198" xr:uid="{00000000-0005-0000-0000-0000DB4A0000}"/>
    <cellStyle name="40% - Accent5 4 2 2 2 4 2 4" xfId="26199" xr:uid="{00000000-0005-0000-0000-0000DC4A0000}"/>
    <cellStyle name="40% - Accent5 4 2 2 2 4 2 4 2" xfId="26200" xr:uid="{00000000-0005-0000-0000-0000DD4A0000}"/>
    <cellStyle name="40% - Accent5 4 2 2 2 4 2 5" xfId="26201" xr:uid="{00000000-0005-0000-0000-0000DE4A0000}"/>
    <cellStyle name="40% - Accent5 4 2 2 2 4 2 6" xfId="26202" xr:uid="{00000000-0005-0000-0000-0000DF4A0000}"/>
    <cellStyle name="40% - Accent5 4 2 2 2 4 3" xfId="26203" xr:uid="{00000000-0005-0000-0000-0000E04A0000}"/>
    <cellStyle name="40% - Accent5 4 2 2 2 4 3 2" xfId="26204" xr:uid="{00000000-0005-0000-0000-0000E14A0000}"/>
    <cellStyle name="40% - Accent5 4 2 2 2 4 3 2 2" xfId="26205" xr:uid="{00000000-0005-0000-0000-0000E24A0000}"/>
    <cellStyle name="40% - Accent5 4 2 2 2 4 3 2 3" xfId="26206" xr:uid="{00000000-0005-0000-0000-0000E34A0000}"/>
    <cellStyle name="40% - Accent5 4 2 2 2 4 3 3" xfId="26207" xr:uid="{00000000-0005-0000-0000-0000E44A0000}"/>
    <cellStyle name="40% - Accent5 4 2 2 2 4 3 3 2" xfId="26208" xr:uid="{00000000-0005-0000-0000-0000E54A0000}"/>
    <cellStyle name="40% - Accent5 4 2 2 2 4 3 3 3" xfId="26209" xr:uid="{00000000-0005-0000-0000-0000E64A0000}"/>
    <cellStyle name="40% - Accent5 4 2 2 2 4 3 4" xfId="26210" xr:uid="{00000000-0005-0000-0000-0000E74A0000}"/>
    <cellStyle name="40% - Accent5 4 2 2 2 4 3 4 2" xfId="26211" xr:uid="{00000000-0005-0000-0000-0000E84A0000}"/>
    <cellStyle name="40% - Accent5 4 2 2 2 4 3 5" xfId="26212" xr:uid="{00000000-0005-0000-0000-0000E94A0000}"/>
    <cellStyle name="40% - Accent5 4 2 2 2 4 3 6" xfId="26213" xr:uid="{00000000-0005-0000-0000-0000EA4A0000}"/>
    <cellStyle name="40% - Accent5 4 2 2 2 4 4" xfId="26214" xr:uid="{00000000-0005-0000-0000-0000EB4A0000}"/>
    <cellStyle name="40% - Accent5 4 2 2 2 4 4 2" xfId="26215" xr:uid="{00000000-0005-0000-0000-0000EC4A0000}"/>
    <cellStyle name="40% - Accent5 4 2 2 2 4 4 2 2" xfId="26216" xr:uid="{00000000-0005-0000-0000-0000ED4A0000}"/>
    <cellStyle name="40% - Accent5 4 2 2 2 4 4 2 3" xfId="26217" xr:uid="{00000000-0005-0000-0000-0000EE4A0000}"/>
    <cellStyle name="40% - Accent5 4 2 2 2 4 4 3" xfId="26218" xr:uid="{00000000-0005-0000-0000-0000EF4A0000}"/>
    <cellStyle name="40% - Accent5 4 2 2 2 4 4 3 2" xfId="26219" xr:uid="{00000000-0005-0000-0000-0000F04A0000}"/>
    <cellStyle name="40% - Accent5 4 2 2 2 4 4 4" xfId="26220" xr:uid="{00000000-0005-0000-0000-0000F14A0000}"/>
    <cellStyle name="40% - Accent5 4 2 2 2 4 4 5" xfId="26221" xr:uid="{00000000-0005-0000-0000-0000F24A0000}"/>
    <cellStyle name="40% - Accent5 4 2 2 2 4 5" xfId="26222" xr:uid="{00000000-0005-0000-0000-0000F34A0000}"/>
    <cellStyle name="40% - Accent5 4 2 2 2 4 5 2" xfId="26223" xr:uid="{00000000-0005-0000-0000-0000F44A0000}"/>
    <cellStyle name="40% - Accent5 4 2 2 2 4 5 3" xfId="26224" xr:uid="{00000000-0005-0000-0000-0000F54A0000}"/>
    <cellStyle name="40% - Accent5 4 2 2 2 4 6" xfId="26225" xr:uid="{00000000-0005-0000-0000-0000F64A0000}"/>
    <cellStyle name="40% - Accent5 4 2 2 2 4 6 2" xfId="26226" xr:uid="{00000000-0005-0000-0000-0000F74A0000}"/>
    <cellStyle name="40% - Accent5 4 2 2 2 4 6 3" xfId="26227" xr:uid="{00000000-0005-0000-0000-0000F84A0000}"/>
    <cellStyle name="40% - Accent5 4 2 2 2 4 7" xfId="26228" xr:uid="{00000000-0005-0000-0000-0000F94A0000}"/>
    <cellStyle name="40% - Accent5 4 2 2 2 4 7 2" xfId="26229" xr:uid="{00000000-0005-0000-0000-0000FA4A0000}"/>
    <cellStyle name="40% - Accent5 4 2 2 2 4 8" xfId="26230" xr:uid="{00000000-0005-0000-0000-0000FB4A0000}"/>
    <cellStyle name="40% - Accent5 4 2 2 2 4 9" xfId="26231" xr:uid="{00000000-0005-0000-0000-0000FC4A0000}"/>
    <cellStyle name="40% - Accent5 4 2 2 2 5" xfId="26232" xr:uid="{00000000-0005-0000-0000-0000FD4A0000}"/>
    <cellStyle name="40% - Accent5 4 2 2 2 5 2" xfId="26233" xr:uid="{00000000-0005-0000-0000-0000FE4A0000}"/>
    <cellStyle name="40% - Accent5 4 2 2 2 5 2 2" xfId="26234" xr:uid="{00000000-0005-0000-0000-0000FF4A0000}"/>
    <cellStyle name="40% - Accent5 4 2 2 2 5 2 3" xfId="26235" xr:uid="{00000000-0005-0000-0000-0000004B0000}"/>
    <cellStyle name="40% - Accent5 4 2 2 2 5 3" xfId="26236" xr:uid="{00000000-0005-0000-0000-0000014B0000}"/>
    <cellStyle name="40% - Accent5 4 2 2 2 5 3 2" xfId="26237" xr:uid="{00000000-0005-0000-0000-0000024B0000}"/>
    <cellStyle name="40% - Accent5 4 2 2 2 5 3 3" xfId="26238" xr:uid="{00000000-0005-0000-0000-0000034B0000}"/>
    <cellStyle name="40% - Accent5 4 2 2 2 5 4" xfId="26239" xr:uid="{00000000-0005-0000-0000-0000044B0000}"/>
    <cellStyle name="40% - Accent5 4 2 2 2 5 4 2" xfId="26240" xr:uid="{00000000-0005-0000-0000-0000054B0000}"/>
    <cellStyle name="40% - Accent5 4 2 2 2 5 5" xfId="26241" xr:uid="{00000000-0005-0000-0000-0000064B0000}"/>
    <cellStyle name="40% - Accent5 4 2 2 2 5 6" xfId="26242" xr:uid="{00000000-0005-0000-0000-0000074B0000}"/>
    <cellStyle name="40% - Accent5 4 2 2 2 6" xfId="26243" xr:uid="{00000000-0005-0000-0000-0000084B0000}"/>
    <cellStyle name="40% - Accent5 4 2 2 2 6 2" xfId="26244" xr:uid="{00000000-0005-0000-0000-0000094B0000}"/>
    <cellStyle name="40% - Accent5 4 2 2 2 6 2 2" xfId="26245" xr:uid="{00000000-0005-0000-0000-00000A4B0000}"/>
    <cellStyle name="40% - Accent5 4 2 2 2 6 2 3" xfId="26246" xr:uid="{00000000-0005-0000-0000-00000B4B0000}"/>
    <cellStyle name="40% - Accent5 4 2 2 2 6 3" xfId="26247" xr:uid="{00000000-0005-0000-0000-00000C4B0000}"/>
    <cellStyle name="40% - Accent5 4 2 2 2 6 3 2" xfId="26248" xr:uid="{00000000-0005-0000-0000-00000D4B0000}"/>
    <cellStyle name="40% - Accent5 4 2 2 2 6 3 3" xfId="26249" xr:uid="{00000000-0005-0000-0000-00000E4B0000}"/>
    <cellStyle name="40% - Accent5 4 2 2 2 6 4" xfId="26250" xr:uid="{00000000-0005-0000-0000-00000F4B0000}"/>
    <cellStyle name="40% - Accent5 4 2 2 2 6 4 2" xfId="26251" xr:uid="{00000000-0005-0000-0000-0000104B0000}"/>
    <cellStyle name="40% - Accent5 4 2 2 2 6 5" xfId="26252" xr:uid="{00000000-0005-0000-0000-0000114B0000}"/>
    <cellStyle name="40% - Accent5 4 2 2 2 6 6" xfId="26253" xr:uid="{00000000-0005-0000-0000-0000124B0000}"/>
    <cellStyle name="40% - Accent5 4 2 2 2 7" xfId="26254" xr:uid="{00000000-0005-0000-0000-0000134B0000}"/>
    <cellStyle name="40% - Accent5 4 2 2 2 7 2" xfId="26255" xr:uid="{00000000-0005-0000-0000-0000144B0000}"/>
    <cellStyle name="40% - Accent5 4 2 2 2 7 2 2" xfId="26256" xr:uid="{00000000-0005-0000-0000-0000154B0000}"/>
    <cellStyle name="40% - Accent5 4 2 2 2 7 2 3" xfId="26257" xr:uid="{00000000-0005-0000-0000-0000164B0000}"/>
    <cellStyle name="40% - Accent5 4 2 2 2 7 3" xfId="26258" xr:uid="{00000000-0005-0000-0000-0000174B0000}"/>
    <cellStyle name="40% - Accent5 4 2 2 2 7 3 2" xfId="26259" xr:uid="{00000000-0005-0000-0000-0000184B0000}"/>
    <cellStyle name="40% - Accent5 4 2 2 2 7 4" xfId="26260" xr:uid="{00000000-0005-0000-0000-0000194B0000}"/>
    <cellStyle name="40% - Accent5 4 2 2 2 7 5" xfId="26261" xr:uid="{00000000-0005-0000-0000-00001A4B0000}"/>
    <cellStyle name="40% - Accent5 4 2 2 2 8" xfId="26262" xr:uid="{00000000-0005-0000-0000-00001B4B0000}"/>
    <cellStyle name="40% - Accent5 4 2 2 2 8 2" xfId="26263" xr:uid="{00000000-0005-0000-0000-00001C4B0000}"/>
    <cellStyle name="40% - Accent5 4 2 2 2 8 3" xfId="26264" xr:uid="{00000000-0005-0000-0000-00001D4B0000}"/>
    <cellStyle name="40% - Accent5 4 2 2 2 9" xfId="26265" xr:uid="{00000000-0005-0000-0000-00001E4B0000}"/>
    <cellStyle name="40% - Accent5 4 2 2 2 9 2" xfId="26266" xr:uid="{00000000-0005-0000-0000-00001F4B0000}"/>
    <cellStyle name="40% - Accent5 4 2 2 2 9 3" xfId="26267" xr:uid="{00000000-0005-0000-0000-0000204B0000}"/>
    <cellStyle name="40% - Accent5 4 2 2 3" xfId="2437" xr:uid="{00000000-0005-0000-0000-0000214B0000}"/>
    <cellStyle name="40% - Accent5 4 2 2 3 10" xfId="26268" xr:uid="{00000000-0005-0000-0000-0000224B0000}"/>
    <cellStyle name="40% - Accent5 4 2 2 3 2" xfId="2438" xr:uid="{00000000-0005-0000-0000-0000234B0000}"/>
    <cellStyle name="40% - Accent5 4 2 2 3 2 2" xfId="26269" xr:uid="{00000000-0005-0000-0000-0000244B0000}"/>
    <cellStyle name="40% - Accent5 4 2 2 3 2 2 2" xfId="26270" xr:uid="{00000000-0005-0000-0000-0000254B0000}"/>
    <cellStyle name="40% - Accent5 4 2 2 3 2 2 2 2" xfId="26271" xr:uid="{00000000-0005-0000-0000-0000264B0000}"/>
    <cellStyle name="40% - Accent5 4 2 2 3 2 2 2 3" xfId="26272" xr:uid="{00000000-0005-0000-0000-0000274B0000}"/>
    <cellStyle name="40% - Accent5 4 2 2 3 2 2 3" xfId="26273" xr:uid="{00000000-0005-0000-0000-0000284B0000}"/>
    <cellStyle name="40% - Accent5 4 2 2 3 2 2 3 2" xfId="26274" xr:uid="{00000000-0005-0000-0000-0000294B0000}"/>
    <cellStyle name="40% - Accent5 4 2 2 3 2 2 3 3" xfId="26275" xr:uid="{00000000-0005-0000-0000-00002A4B0000}"/>
    <cellStyle name="40% - Accent5 4 2 2 3 2 2 4" xfId="26276" xr:uid="{00000000-0005-0000-0000-00002B4B0000}"/>
    <cellStyle name="40% - Accent5 4 2 2 3 2 2 4 2" xfId="26277" xr:uid="{00000000-0005-0000-0000-00002C4B0000}"/>
    <cellStyle name="40% - Accent5 4 2 2 3 2 2 5" xfId="26278" xr:uid="{00000000-0005-0000-0000-00002D4B0000}"/>
    <cellStyle name="40% - Accent5 4 2 2 3 2 2 6" xfId="26279" xr:uid="{00000000-0005-0000-0000-00002E4B0000}"/>
    <cellStyle name="40% - Accent5 4 2 2 3 2 3" xfId="26280" xr:uid="{00000000-0005-0000-0000-00002F4B0000}"/>
    <cellStyle name="40% - Accent5 4 2 2 3 2 3 2" xfId="26281" xr:uid="{00000000-0005-0000-0000-0000304B0000}"/>
    <cellStyle name="40% - Accent5 4 2 2 3 2 3 2 2" xfId="26282" xr:uid="{00000000-0005-0000-0000-0000314B0000}"/>
    <cellStyle name="40% - Accent5 4 2 2 3 2 3 2 3" xfId="26283" xr:uid="{00000000-0005-0000-0000-0000324B0000}"/>
    <cellStyle name="40% - Accent5 4 2 2 3 2 3 3" xfId="26284" xr:uid="{00000000-0005-0000-0000-0000334B0000}"/>
    <cellStyle name="40% - Accent5 4 2 2 3 2 3 3 2" xfId="26285" xr:uid="{00000000-0005-0000-0000-0000344B0000}"/>
    <cellStyle name="40% - Accent5 4 2 2 3 2 3 3 3" xfId="26286" xr:uid="{00000000-0005-0000-0000-0000354B0000}"/>
    <cellStyle name="40% - Accent5 4 2 2 3 2 3 4" xfId="26287" xr:uid="{00000000-0005-0000-0000-0000364B0000}"/>
    <cellStyle name="40% - Accent5 4 2 2 3 2 3 4 2" xfId="26288" xr:uid="{00000000-0005-0000-0000-0000374B0000}"/>
    <cellStyle name="40% - Accent5 4 2 2 3 2 3 5" xfId="26289" xr:uid="{00000000-0005-0000-0000-0000384B0000}"/>
    <cellStyle name="40% - Accent5 4 2 2 3 2 3 6" xfId="26290" xr:uid="{00000000-0005-0000-0000-0000394B0000}"/>
    <cellStyle name="40% - Accent5 4 2 2 3 2 4" xfId="26291" xr:uid="{00000000-0005-0000-0000-00003A4B0000}"/>
    <cellStyle name="40% - Accent5 4 2 2 3 2 4 2" xfId="26292" xr:uid="{00000000-0005-0000-0000-00003B4B0000}"/>
    <cellStyle name="40% - Accent5 4 2 2 3 2 4 2 2" xfId="26293" xr:uid="{00000000-0005-0000-0000-00003C4B0000}"/>
    <cellStyle name="40% - Accent5 4 2 2 3 2 4 2 3" xfId="26294" xr:uid="{00000000-0005-0000-0000-00003D4B0000}"/>
    <cellStyle name="40% - Accent5 4 2 2 3 2 4 3" xfId="26295" xr:uid="{00000000-0005-0000-0000-00003E4B0000}"/>
    <cellStyle name="40% - Accent5 4 2 2 3 2 4 3 2" xfId="26296" xr:uid="{00000000-0005-0000-0000-00003F4B0000}"/>
    <cellStyle name="40% - Accent5 4 2 2 3 2 4 4" xfId="26297" xr:uid="{00000000-0005-0000-0000-0000404B0000}"/>
    <cellStyle name="40% - Accent5 4 2 2 3 2 4 5" xfId="26298" xr:uid="{00000000-0005-0000-0000-0000414B0000}"/>
    <cellStyle name="40% - Accent5 4 2 2 3 2 5" xfId="26299" xr:uid="{00000000-0005-0000-0000-0000424B0000}"/>
    <cellStyle name="40% - Accent5 4 2 2 3 2 5 2" xfId="26300" xr:uid="{00000000-0005-0000-0000-0000434B0000}"/>
    <cellStyle name="40% - Accent5 4 2 2 3 2 5 3" xfId="26301" xr:uid="{00000000-0005-0000-0000-0000444B0000}"/>
    <cellStyle name="40% - Accent5 4 2 2 3 2 6" xfId="26302" xr:uid="{00000000-0005-0000-0000-0000454B0000}"/>
    <cellStyle name="40% - Accent5 4 2 2 3 2 6 2" xfId="26303" xr:uid="{00000000-0005-0000-0000-0000464B0000}"/>
    <cellStyle name="40% - Accent5 4 2 2 3 2 6 3" xfId="26304" xr:uid="{00000000-0005-0000-0000-0000474B0000}"/>
    <cellStyle name="40% - Accent5 4 2 2 3 2 7" xfId="26305" xr:uid="{00000000-0005-0000-0000-0000484B0000}"/>
    <cellStyle name="40% - Accent5 4 2 2 3 2 7 2" xfId="26306" xr:uid="{00000000-0005-0000-0000-0000494B0000}"/>
    <cellStyle name="40% - Accent5 4 2 2 3 2 8" xfId="26307" xr:uid="{00000000-0005-0000-0000-00004A4B0000}"/>
    <cellStyle name="40% - Accent5 4 2 2 3 2 9" xfId="26308" xr:uid="{00000000-0005-0000-0000-00004B4B0000}"/>
    <cellStyle name="40% - Accent5 4 2 2 3 3" xfId="26309" xr:uid="{00000000-0005-0000-0000-00004C4B0000}"/>
    <cellStyle name="40% - Accent5 4 2 2 3 3 2" xfId="26310" xr:uid="{00000000-0005-0000-0000-00004D4B0000}"/>
    <cellStyle name="40% - Accent5 4 2 2 3 3 2 2" xfId="26311" xr:uid="{00000000-0005-0000-0000-00004E4B0000}"/>
    <cellStyle name="40% - Accent5 4 2 2 3 3 2 3" xfId="26312" xr:uid="{00000000-0005-0000-0000-00004F4B0000}"/>
    <cellStyle name="40% - Accent5 4 2 2 3 3 3" xfId="26313" xr:uid="{00000000-0005-0000-0000-0000504B0000}"/>
    <cellStyle name="40% - Accent5 4 2 2 3 3 3 2" xfId="26314" xr:uid="{00000000-0005-0000-0000-0000514B0000}"/>
    <cellStyle name="40% - Accent5 4 2 2 3 3 3 3" xfId="26315" xr:uid="{00000000-0005-0000-0000-0000524B0000}"/>
    <cellStyle name="40% - Accent5 4 2 2 3 3 4" xfId="26316" xr:uid="{00000000-0005-0000-0000-0000534B0000}"/>
    <cellStyle name="40% - Accent5 4 2 2 3 3 4 2" xfId="26317" xr:uid="{00000000-0005-0000-0000-0000544B0000}"/>
    <cellStyle name="40% - Accent5 4 2 2 3 3 5" xfId="26318" xr:uid="{00000000-0005-0000-0000-0000554B0000}"/>
    <cellStyle name="40% - Accent5 4 2 2 3 3 6" xfId="26319" xr:uid="{00000000-0005-0000-0000-0000564B0000}"/>
    <cellStyle name="40% - Accent5 4 2 2 3 4" xfId="26320" xr:uid="{00000000-0005-0000-0000-0000574B0000}"/>
    <cellStyle name="40% - Accent5 4 2 2 3 4 2" xfId="26321" xr:uid="{00000000-0005-0000-0000-0000584B0000}"/>
    <cellStyle name="40% - Accent5 4 2 2 3 4 2 2" xfId="26322" xr:uid="{00000000-0005-0000-0000-0000594B0000}"/>
    <cellStyle name="40% - Accent5 4 2 2 3 4 2 3" xfId="26323" xr:uid="{00000000-0005-0000-0000-00005A4B0000}"/>
    <cellStyle name="40% - Accent5 4 2 2 3 4 3" xfId="26324" xr:uid="{00000000-0005-0000-0000-00005B4B0000}"/>
    <cellStyle name="40% - Accent5 4 2 2 3 4 3 2" xfId="26325" xr:uid="{00000000-0005-0000-0000-00005C4B0000}"/>
    <cellStyle name="40% - Accent5 4 2 2 3 4 3 3" xfId="26326" xr:uid="{00000000-0005-0000-0000-00005D4B0000}"/>
    <cellStyle name="40% - Accent5 4 2 2 3 4 4" xfId="26327" xr:uid="{00000000-0005-0000-0000-00005E4B0000}"/>
    <cellStyle name="40% - Accent5 4 2 2 3 4 4 2" xfId="26328" xr:uid="{00000000-0005-0000-0000-00005F4B0000}"/>
    <cellStyle name="40% - Accent5 4 2 2 3 4 5" xfId="26329" xr:uid="{00000000-0005-0000-0000-0000604B0000}"/>
    <cellStyle name="40% - Accent5 4 2 2 3 4 6" xfId="26330" xr:uid="{00000000-0005-0000-0000-0000614B0000}"/>
    <cellStyle name="40% - Accent5 4 2 2 3 5" xfId="26331" xr:uid="{00000000-0005-0000-0000-0000624B0000}"/>
    <cellStyle name="40% - Accent5 4 2 2 3 5 2" xfId="26332" xr:uid="{00000000-0005-0000-0000-0000634B0000}"/>
    <cellStyle name="40% - Accent5 4 2 2 3 5 2 2" xfId="26333" xr:uid="{00000000-0005-0000-0000-0000644B0000}"/>
    <cellStyle name="40% - Accent5 4 2 2 3 5 2 3" xfId="26334" xr:uid="{00000000-0005-0000-0000-0000654B0000}"/>
    <cellStyle name="40% - Accent5 4 2 2 3 5 3" xfId="26335" xr:uid="{00000000-0005-0000-0000-0000664B0000}"/>
    <cellStyle name="40% - Accent5 4 2 2 3 5 3 2" xfId="26336" xr:uid="{00000000-0005-0000-0000-0000674B0000}"/>
    <cellStyle name="40% - Accent5 4 2 2 3 5 4" xfId="26337" xr:uid="{00000000-0005-0000-0000-0000684B0000}"/>
    <cellStyle name="40% - Accent5 4 2 2 3 5 5" xfId="26338" xr:uid="{00000000-0005-0000-0000-0000694B0000}"/>
    <cellStyle name="40% - Accent5 4 2 2 3 6" xfId="26339" xr:uid="{00000000-0005-0000-0000-00006A4B0000}"/>
    <cellStyle name="40% - Accent5 4 2 2 3 6 2" xfId="26340" xr:uid="{00000000-0005-0000-0000-00006B4B0000}"/>
    <cellStyle name="40% - Accent5 4 2 2 3 6 3" xfId="26341" xr:uid="{00000000-0005-0000-0000-00006C4B0000}"/>
    <cellStyle name="40% - Accent5 4 2 2 3 7" xfId="26342" xr:uid="{00000000-0005-0000-0000-00006D4B0000}"/>
    <cellStyle name="40% - Accent5 4 2 2 3 7 2" xfId="26343" xr:uid="{00000000-0005-0000-0000-00006E4B0000}"/>
    <cellStyle name="40% - Accent5 4 2 2 3 7 3" xfId="26344" xr:uid="{00000000-0005-0000-0000-00006F4B0000}"/>
    <cellStyle name="40% - Accent5 4 2 2 3 8" xfId="26345" xr:uid="{00000000-0005-0000-0000-0000704B0000}"/>
    <cellStyle name="40% - Accent5 4 2 2 3 8 2" xfId="26346" xr:uid="{00000000-0005-0000-0000-0000714B0000}"/>
    <cellStyle name="40% - Accent5 4 2 2 3 9" xfId="26347" xr:uid="{00000000-0005-0000-0000-0000724B0000}"/>
    <cellStyle name="40% - Accent5 4 2 2 4" xfId="2439" xr:uid="{00000000-0005-0000-0000-0000734B0000}"/>
    <cellStyle name="40% - Accent5 4 2 2 4 2" xfId="26348" xr:uid="{00000000-0005-0000-0000-0000744B0000}"/>
    <cellStyle name="40% - Accent5 4 2 2 4 2 2" xfId="26349" xr:uid="{00000000-0005-0000-0000-0000754B0000}"/>
    <cellStyle name="40% - Accent5 4 2 2 4 2 2 2" xfId="26350" xr:uid="{00000000-0005-0000-0000-0000764B0000}"/>
    <cellStyle name="40% - Accent5 4 2 2 4 2 2 3" xfId="26351" xr:uid="{00000000-0005-0000-0000-0000774B0000}"/>
    <cellStyle name="40% - Accent5 4 2 2 4 2 3" xfId="26352" xr:uid="{00000000-0005-0000-0000-0000784B0000}"/>
    <cellStyle name="40% - Accent5 4 2 2 4 2 3 2" xfId="26353" xr:uid="{00000000-0005-0000-0000-0000794B0000}"/>
    <cellStyle name="40% - Accent5 4 2 2 4 2 3 3" xfId="26354" xr:uid="{00000000-0005-0000-0000-00007A4B0000}"/>
    <cellStyle name="40% - Accent5 4 2 2 4 2 4" xfId="26355" xr:uid="{00000000-0005-0000-0000-00007B4B0000}"/>
    <cellStyle name="40% - Accent5 4 2 2 4 2 4 2" xfId="26356" xr:uid="{00000000-0005-0000-0000-00007C4B0000}"/>
    <cellStyle name="40% - Accent5 4 2 2 4 2 5" xfId="26357" xr:uid="{00000000-0005-0000-0000-00007D4B0000}"/>
    <cellStyle name="40% - Accent5 4 2 2 4 2 6" xfId="26358" xr:uid="{00000000-0005-0000-0000-00007E4B0000}"/>
    <cellStyle name="40% - Accent5 4 2 2 4 3" xfId="26359" xr:uid="{00000000-0005-0000-0000-00007F4B0000}"/>
    <cellStyle name="40% - Accent5 4 2 2 4 3 2" xfId="26360" xr:uid="{00000000-0005-0000-0000-0000804B0000}"/>
    <cellStyle name="40% - Accent5 4 2 2 4 3 2 2" xfId="26361" xr:uid="{00000000-0005-0000-0000-0000814B0000}"/>
    <cellStyle name="40% - Accent5 4 2 2 4 3 2 3" xfId="26362" xr:uid="{00000000-0005-0000-0000-0000824B0000}"/>
    <cellStyle name="40% - Accent5 4 2 2 4 3 3" xfId="26363" xr:uid="{00000000-0005-0000-0000-0000834B0000}"/>
    <cellStyle name="40% - Accent5 4 2 2 4 3 3 2" xfId="26364" xr:uid="{00000000-0005-0000-0000-0000844B0000}"/>
    <cellStyle name="40% - Accent5 4 2 2 4 3 3 3" xfId="26365" xr:uid="{00000000-0005-0000-0000-0000854B0000}"/>
    <cellStyle name="40% - Accent5 4 2 2 4 3 4" xfId="26366" xr:uid="{00000000-0005-0000-0000-0000864B0000}"/>
    <cellStyle name="40% - Accent5 4 2 2 4 3 4 2" xfId="26367" xr:uid="{00000000-0005-0000-0000-0000874B0000}"/>
    <cellStyle name="40% - Accent5 4 2 2 4 3 5" xfId="26368" xr:uid="{00000000-0005-0000-0000-0000884B0000}"/>
    <cellStyle name="40% - Accent5 4 2 2 4 3 6" xfId="26369" xr:uid="{00000000-0005-0000-0000-0000894B0000}"/>
    <cellStyle name="40% - Accent5 4 2 2 4 4" xfId="26370" xr:uid="{00000000-0005-0000-0000-00008A4B0000}"/>
    <cellStyle name="40% - Accent5 4 2 2 4 4 2" xfId="26371" xr:uid="{00000000-0005-0000-0000-00008B4B0000}"/>
    <cellStyle name="40% - Accent5 4 2 2 4 4 2 2" xfId="26372" xr:uid="{00000000-0005-0000-0000-00008C4B0000}"/>
    <cellStyle name="40% - Accent5 4 2 2 4 4 2 3" xfId="26373" xr:uid="{00000000-0005-0000-0000-00008D4B0000}"/>
    <cellStyle name="40% - Accent5 4 2 2 4 4 3" xfId="26374" xr:uid="{00000000-0005-0000-0000-00008E4B0000}"/>
    <cellStyle name="40% - Accent5 4 2 2 4 4 3 2" xfId="26375" xr:uid="{00000000-0005-0000-0000-00008F4B0000}"/>
    <cellStyle name="40% - Accent5 4 2 2 4 4 4" xfId="26376" xr:uid="{00000000-0005-0000-0000-0000904B0000}"/>
    <cellStyle name="40% - Accent5 4 2 2 4 4 5" xfId="26377" xr:uid="{00000000-0005-0000-0000-0000914B0000}"/>
    <cellStyle name="40% - Accent5 4 2 2 4 5" xfId="26378" xr:uid="{00000000-0005-0000-0000-0000924B0000}"/>
    <cellStyle name="40% - Accent5 4 2 2 4 5 2" xfId="26379" xr:uid="{00000000-0005-0000-0000-0000934B0000}"/>
    <cellStyle name="40% - Accent5 4 2 2 4 5 3" xfId="26380" xr:uid="{00000000-0005-0000-0000-0000944B0000}"/>
    <cellStyle name="40% - Accent5 4 2 2 4 6" xfId="26381" xr:uid="{00000000-0005-0000-0000-0000954B0000}"/>
    <cellStyle name="40% - Accent5 4 2 2 4 6 2" xfId="26382" xr:uid="{00000000-0005-0000-0000-0000964B0000}"/>
    <cellStyle name="40% - Accent5 4 2 2 4 6 3" xfId="26383" xr:uid="{00000000-0005-0000-0000-0000974B0000}"/>
    <cellStyle name="40% - Accent5 4 2 2 4 7" xfId="26384" xr:uid="{00000000-0005-0000-0000-0000984B0000}"/>
    <cellStyle name="40% - Accent5 4 2 2 4 7 2" xfId="26385" xr:uid="{00000000-0005-0000-0000-0000994B0000}"/>
    <cellStyle name="40% - Accent5 4 2 2 4 8" xfId="26386" xr:uid="{00000000-0005-0000-0000-00009A4B0000}"/>
    <cellStyle name="40% - Accent5 4 2 2 4 9" xfId="26387" xr:uid="{00000000-0005-0000-0000-00009B4B0000}"/>
    <cellStyle name="40% - Accent5 4 2 2 5" xfId="26388" xr:uid="{00000000-0005-0000-0000-00009C4B0000}"/>
    <cellStyle name="40% - Accent5 4 2 2 5 2" xfId="26389" xr:uid="{00000000-0005-0000-0000-00009D4B0000}"/>
    <cellStyle name="40% - Accent5 4 2 2 5 2 2" xfId="26390" xr:uid="{00000000-0005-0000-0000-00009E4B0000}"/>
    <cellStyle name="40% - Accent5 4 2 2 5 2 2 2" xfId="26391" xr:uid="{00000000-0005-0000-0000-00009F4B0000}"/>
    <cellStyle name="40% - Accent5 4 2 2 5 2 2 3" xfId="26392" xr:uid="{00000000-0005-0000-0000-0000A04B0000}"/>
    <cellStyle name="40% - Accent5 4 2 2 5 2 3" xfId="26393" xr:uid="{00000000-0005-0000-0000-0000A14B0000}"/>
    <cellStyle name="40% - Accent5 4 2 2 5 2 3 2" xfId="26394" xr:uid="{00000000-0005-0000-0000-0000A24B0000}"/>
    <cellStyle name="40% - Accent5 4 2 2 5 2 3 3" xfId="26395" xr:uid="{00000000-0005-0000-0000-0000A34B0000}"/>
    <cellStyle name="40% - Accent5 4 2 2 5 2 4" xfId="26396" xr:uid="{00000000-0005-0000-0000-0000A44B0000}"/>
    <cellStyle name="40% - Accent5 4 2 2 5 2 4 2" xfId="26397" xr:uid="{00000000-0005-0000-0000-0000A54B0000}"/>
    <cellStyle name="40% - Accent5 4 2 2 5 2 5" xfId="26398" xr:uid="{00000000-0005-0000-0000-0000A64B0000}"/>
    <cellStyle name="40% - Accent5 4 2 2 5 2 6" xfId="26399" xr:uid="{00000000-0005-0000-0000-0000A74B0000}"/>
    <cellStyle name="40% - Accent5 4 2 2 5 3" xfId="26400" xr:uid="{00000000-0005-0000-0000-0000A84B0000}"/>
    <cellStyle name="40% - Accent5 4 2 2 5 3 2" xfId="26401" xr:uid="{00000000-0005-0000-0000-0000A94B0000}"/>
    <cellStyle name="40% - Accent5 4 2 2 5 3 2 2" xfId="26402" xr:uid="{00000000-0005-0000-0000-0000AA4B0000}"/>
    <cellStyle name="40% - Accent5 4 2 2 5 3 2 3" xfId="26403" xr:uid="{00000000-0005-0000-0000-0000AB4B0000}"/>
    <cellStyle name="40% - Accent5 4 2 2 5 3 3" xfId="26404" xr:uid="{00000000-0005-0000-0000-0000AC4B0000}"/>
    <cellStyle name="40% - Accent5 4 2 2 5 3 3 2" xfId="26405" xr:uid="{00000000-0005-0000-0000-0000AD4B0000}"/>
    <cellStyle name="40% - Accent5 4 2 2 5 3 3 3" xfId="26406" xr:uid="{00000000-0005-0000-0000-0000AE4B0000}"/>
    <cellStyle name="40% - Accent5 4 2 2 5 3 4" xfId="26407" xr:uid="{00000000-0005-0000-0000-0000AF4B0000}"/>
    <cellStyle name="40% - Accent5 4 2 2 5 3 4 2" xfId="26408" xr:uid="{00000000-0005-0000-0000-0000B04B0000}"/>
    <cellStyle name="40% - Accent5 4 2 2 5 3 5" xfId="26409" xr:uid="{00000000-0005-0000-0000-0000B14B0000}"/>
    <cellStyle name="40% - Accent5 4 2 2 5 3 6" xfId="26410" xr:uid="{00000000-0005-0000-0000-0000B24B0000}"/>
    <cellStyle name="40% - Accent5 4 2 2 5 4" xfId="26411" xr:uid="{00000000-0005-0000-0000-0000B34B0000}"/>
    <cellStyle name="40% - Accent5 4 2 2 5 4 2" xfId="26412" xr:uid="{00000000-0005-0000-0000-0000B44B0000}"/>
    <cellStyle name="40% - Accent5 4 2 2 5 4 2 2" xfId="26413" xr:uid="{00000000-0005-0000-0000-0000B54B0000}"/>
    <cellStyle name="40% - Accent5 4 2 2 5 4 2 3" xfId="26414" xr:uid="{00000000-0005-0000-0000-0000B64B0000}"/>
    <cellStyle name="40% - Accent5 4 2 2 5 4 3" xfId="26415" xr:uid="{00000000-0005-0000-0000-0000B74B0000}"/>
    <cellStyle name="40% - Accent5 4 2 2 5 4 3 2" xfId="26416" xr:uid="{00000000-0005-0000-0000-0000B84B0000}"/>
    <cellStyle name="40% - Accent5 4 2 2 5 4 4" xfId="26417" xr:uid="{00000000-0005-0000-0000-0000B94B0000}"/>
    <cellStyle name="40% - Accent5 4 2 2 5 4 5" xfId="26418" xr:uid="{00000000-0005-0000-0000-0000BA4B0000}"/>
    <cellStyle name="40% - Accent5 4 2 2 5 5" xfId="26419" xr:uid="{00000000-0005-0000-0000-0000BB4B0000}"/>
    <cellStyle name="40% - Accent5 4 2 2 5 5 2" xfId="26420" xr:uid="{00000000-0005-0000-0000-0000BC4B0000}"/>
    <cellStyle name="40% - Accent5 4 2 2 5 5 3" xfId="26421" xr:uid="{00000000-0005-0000-0000-0000BD4B0000}"/>
    <cellStyle name="40% - Accent5 4 2 2 5 6" xfId="26422" xr:uid="{00000000-0005-0000-0000-0000BE4B0000}"/>
    <cellStyle name="40% - Accent5 4 2 2 5 6 2" xfId="26423" xr:uid="{00000000-0005-0000-0000-0000BF4B0000}"/>
    <cellStyle name="40% - Accent5 4 2 2 5 6 3" xfId="26424" xr:uid="{00000000-0005-0000-0000-0000C04B0000}"/>
    <cellStyle name="40% - Accent5 4 2 2 5 7" xfId="26425" xr:uid="{00000000-0005-0000-0000-0000C14B0000}"/>
    <cellStyle name="40% - Accent5 4 2 2 5 7 2" xfId="26426" xr:uid="{00000000-0005-0000-0000-0000C24B0000}"/>
    <cellStyle name="40% - Accent5 4 2 2 5 8" xfId="26427" xr:uid="{00000000-0005-0000-0000-0000C34B0000}"/>
    <cellStyle name="40% - Accent5 4 2 2 5 9" xfId="26428" xr:uid="{00000000-0005-0000-0000-0000C44B0000}"/>
    <cellStyle name="40% - Accent5 4 2 2 6" xfId="26429" xr:uid="{00000000-0005-0000-0000-0000C54B0000}"/>
    <cellStyle name="40% - Accent5 4 2 2 6 2" xfId="26430" xr:uid="{00000000-0005-0000-0000-0000C64B0000}"/>
    <cellStyle name="40% - Accent5 4 2 2 6 2 2" xfId="26431" xr:uid="{00000000-0005-0000-0000-0000C74B0000}"/>
    <cellStyle name="40% - Accent5 4 2 2 6 2 3" xfId="26432" xr:uid="{00000000-0005-0000-0000-0000C84B0000}"/>
    <cellStyle name="40% - Accent5 4 2 2 6 3" xfId="26433" xr:uid="{00000000-0005-0000-0000-0000C94B0000}"/>
    <cellStyle name="40% - Accent5 4 2 2 6 3 2" xfId="26434" xr:uid="{00000000-0005-0000-0000-0000CA4B0000}"/>
    <cellStyle name="40% - Accent5 4 2 2 6 3 3" xfId="26435" xr:uid="{00000000-0005-0000-0000-0000CB4B0000}"/>
    <cellStyle name="40% - Accent5 4 2 2 6 4" xfId="26436" xr:uid="{00000000-0005-0000-0000-0000CC4B0000}"/>
    <cellStyle name="40% - Accent5 4 2 2 6 4 2" xfId="26437" xr:uid="{00000000-0005-0000-0000-0000CD4B0000}"/>
    <cellStyle name="40% - Accent5 4 2 2 6 5" xfId="26438" xr:uid="{00000000-0005-0000-0000-0000CE4B0000}"/>
    <cellStyle name="40% - Accent5 4 2 2 6 6" xfId="26439" xr:uid="{00000000-0005-0000-0000-0000CF4B0000}"/>
    <cellStyle name="40% - Accent5 4 2 2 7" xfId="26440" xr:uid="{00000000-0005-0000-0000-0000D04B0000}"/>
    <cellStyle name="40% - Accent5 4 2 2 7 2" xfId="26441" xr:uid="{00000000-0005-0000-0000-0000D14B0000}"/>
    <cellStyle name="40% - Accent5 4 2 2 7 2 2" xfId="26442" xr:uid="{00000000-0005-0000-0000-0000D24B0000}"/>
    <cellStyle name="40% - Accent5 4 2 2 7 2 3" xfId="26443" xr:uid="{00000000-0005-0000-0000-0000D34B0000}"/>
    <cellStyle name="40% - Accent5 4 2 2 7 3" xfId="26444" xr:uid="{00000000-0005-0000-0000-0000D44B0000}"/>
    <cellStyle name="40% - Accent5 4 2 2 7 3 2" xfId="26445" xr:uid="{00000000-0005-0000-0000-0000D54B0000}"/>
    <cellStyle name="40% - Accent5 4 2 2 7 3 3" xfId="26446" xr:uid="{00000000-0005-0000-0000-0000D64B0000}"/>
    <cellStyle name="40% - Accent5 4 2 2 7 4" xfId="26447" xr:uid="{00000000-0005-0000-0000-0000D74B0000}"/>
    <cellStyle name="40% - Accent5 4 2 2 7 4 2" xfId="26448" xr:uid="{00000000-0005-0000-0000-0000D84B0000}"/>
    <cellStyle name="40% - Accent5 4 2 2 7 5" xfId="26449" xr:uid="{00000000-0005-0000-0000-0000D94B0000}"/>
    <cellStyle name="40% - Accent5 4 2 2 7 6" xfId="26450" xr:uid="{00000000-0005-0000-0000-0000DA4B0000}"/>
    <cellStyle name="40% - Accent5 4 2 2 8" xfId="26451" xr:uid="{00000000-0005-0000-0000-0000DB4B0000}"/>
    <cellStyle name="40% - Accent5 4 2 2 8 2" xfId="26452" xr:uid="{00000000-0005-0000-0000-0000DC4B0000}"/>
    <cellStyle name="40% - Accent5 4 2 2 8 2 2" xfId="26453" xr:uid="{00000000-0005-0000-0000-0000DD4B0000}"/>
    <cellStyle name="40% - Accent5 4 2 2 8 2 3" xfId="26454" xr:uid="{00000000-0005-0000-0000-0000DE4B0000}"/>
    <cellStyle name="40% - Accent5 4 2 2 8 3" xfId="26455" xr:uid="{00000000-0005-0000-0000-0000DF4B0000}"/>
    <cellStyle name="40% - Accent5 4 2 2 8 3 2" xfId="26456" xr:uid="{00000000-0005-0000-0000-0000E04B0000}"/>
    <cellStyle name="40% - Accent5 4 2 2 8 4" xfId="26457" xr:uid="{00000000-0005-0000-0000-0000E14B0000}"/>
    <cellStyle name="40% - Accent5 4 2 2 8 5" xfId="26458" xr:uid="{00000000-0005-0000-0000-0000E24B0000}"/>
    <cellStyle name="40% - Accent5 4 2 2 9" xfId="26459" xr:uid="{00000000-0005-0000-0000-0000E34B0000}"/>
    <cellStyle name="40% - Accent5 4 2 2 9 2" xfId="26460" xr:uid="{00000000-0005-0000-0000-0000E44B0000}"/>
    <cellStyle name="40% - Accent5 4 2 2 9 3" xfId="26461" xr:uid="{00000000-0005-0000-0000-0000E54B0000}"/>
    <cellStyle name="40% - Accent5 4 2 3" xfId="2440" xr:uid="{00000000-0005-0000-0000-0000E64B0000}"/>
    <cellStyle name="40% - Accent5 4 2 3 10" xfId="26462" xr:uid="{00000000-0005-0000-0000-0000E74B0000}"/>
    <cellStyle name="40% - Accent5 4 2 3 10 2" xfId="26463" xr:uid="{00000000-0005-0000-0000-0000E84B0000}"/>
    <cellStyle name="40% - Accent5 4 2 3 11" xfId="26464" xr:uid="{00000000-0005-0000-0000-0000E94B0000}"/>
    <cellStyle name="40% - Accent5 4 2 3 12" xfId="26465" xr:uid="{00000000-0005-0000-0000-0000EA4B0000}"/>
    <cellStyle name="40% - Accent5 4 2 3 2" xfId="2441" xr:uid="{00000000-0005-0000-0000-0000EB4B0000}"/>
    <cellStyle name="40% - Accent5 4 2 3 2 10" xfId="26466" xr:uid="{00000000-0005-0000-0000-0000EC4B0000}"/>
    <cellStyle name="40% - Accent5 4 2 3 2 2" xfId="2442" xr:uid="{00000000-0005-0000-0000-0000ED4B0000}"/>
    <cellStyle name="40% - Accent5 4 2 3 2 2 2" xfId="26467" xr:uid="{00000000-0005-0000-0000-0000EE4B0000}"/>
    <cellStyle name="40% - Accent5 4 2 3 2 2 2 2" xfId="26468" xr:uid="{00000000-0005-0000-0000-0000EF4B0000}"/>
    <cellStyle name="40% - Accent5 4 2 3 2 2 2 2 2" xfId="26469" xr:uid="{00000000-0005-0000-0000-0000F04B0000}"/>
    <cellStyle name="40% - Accent5 4 2 3 2 2 2 2 3" xfId="26470" xr:uid="{00000000-0005-0000-0000-0000F14B0000}"/>
    <cellStyle name="40% - Accent5 4 2 3 2 2 2 3" xfId="26471" xr:uid="{00000000-0005-0000-0000-0000F24B0000}"/>
    <cellStyle name="40% - Accent5 4 2 3 2 2 2 3 2" xfId="26472" xr:uid="{00000000-0005-0000-0000-0000F34B0000}"/>
    <cellStyle name="40% - Accent5 4 2 3 2 2 2 3 3" xfId="26473" xr:uid="{00000000-0005-0000-0000-0000F44B0000}"/>
    <cellStyle name="40% - Accent5 4 2 3 2 2 2 4" xfId="26474" xr:uid="{00000000-0005-0000-0000-0000F54B0000}"/>
    <cellStyle name="40% - Accent5 4 2 3 2 2 2 4 2" xfId="26475" xr:uid="{00000000-0005-0000-0000-0000F64B0000}"/>
    <cellStyle name="40% - Accent5 4 2 3 2 2 2 5" xfId="26476" xr:uid="{00000000-0005-0000-0000-0000F74B0000}"/>
    <cellStyle name="40% - Accent5 4 2 3 2 2 2 6" xfId="26477" xr:uid="{00000000-0005-0000-0000-0000F84B0000}"/>
    <cellStyle name="40% - Accent5 4 2 3 2 2 3" xfId="26478" xr:uid="{00000000-0005-0000-0000-0000F94B0000}"/>
    <cellStyle name="40% - Accent5 4 2 3 2 2 3 2" xfId="26479" xr:uid="{00000000-0005-0000-0000-0000FA4B0000}"/>
    <cellStyle name="40% - Accent5 4 2 3 2 2 3 2 2" xfId="26480" xr:uid="{00000000-0005-0000-0000-0000FB4B0000}"/>
    <cellStyle name="40% - Accent5 4 2 3 2 2 3 2 3" xfId="26481" xr:uid="{00000000-0005-0000-0000-0000FC4B0000}"/>
    <cellStyle name="40% - Accent5 4 2 3 2 2 3 3" xfId="26482" xr:uid="{00000000-0005-0000-0000-0000FD4B0000}"/>
    <cellStyle name="40% - Accent5 4 2 3 2 2 3 3 2" xfId="26483" xr:uid="{00000000-0005-0000-0000-0000FE4B0000}"/>
    <cellStyle name="40% - Accent5 4 2 3 2 2 3 3 3" xfId="26484" xr:uid="{00000000-0005-0000-0000-0000FF4B0000}"/>
    <cellStyle name="40% - Accent5 4 2 3 2 2 3 4" xfId="26485" xr:uid="{00000000-0005-0000-0000-0000004C0000}"/>
    <cellStyle name="40% - Accent5 4 2 3 2 2 3 4 2" xfId="26486" xr:uid="{00000000-0005-0000-0000-0000014C0000}"/>
    <cellStyle name="40% - Accent5 4 2 3 2 2 3 5" xfId="26487" xr:uid="{00000000-0005-0000-0000-0000024C0000}"/>
    <cellStyle name="40% - Accent5 4 2 3 2 2 3 6" xfId="26488" xr:uid="{00000000-0005-0000-0000-0000034C0000}"/>
    <cellStyle name="40% - Accent5 4 2 3 2 2 4" xfId="26489" xr:uid="{00000000-0005-0000-0000-0000044C0000}"/>
    <cellStyle name="40% - Accent5 4 2 3 2 2 4 2" xfId="26490" xr:uid="{00000000-0005-0000-0000-0000054C0000}"/>
    <cellStyle name="40% - Accent5 4 2 3 2 2 4 2 2" xfId="26491" xr:uid="{00000000-0005-0000-0000-0000064C0000}"/>
    <cellStyle name="40% - Accent5 4 2 3 2 2 4 2 3" xfId="26492" xr:uid="{00000000-0005-0000-0000-0000074C0000}"/>
    <cellStyle name="40% - Accent5 4 2 3 2 2 4 3" xfId="26493" xr:uid="{00000000-0005-0000-0000-0000084C0000}"/>
    <cellStyle name="40% - Accent5 4 2 3 2 2 4 3 2" xfId="26494" xr:uid="{00000000-0005-0000-0000-0000094C0000}"/>
    <cellStyle name="40% - Accent5 4 2 3 2 2 4 4" xfId="26495" xr:uid="{00000000-0005-0000-0000-00000A4C0000}"/>
    <cellStyle name="40% - Accent5 4 2 3 2 2 4 5" xfId="26496" xr:uid="{00000000-0005-0000-0000-00000B4C0000}"/>
    <cellStyle name="40% - Accent5 4 2 3 2 2 5" xfId="26497" xr:uid="{00000000-0005-0000-0000-00000C4C0000}"/>
    <cellStyle name="40% - Accent5 4 2 3 2 2 5 2" xfId="26498" xr:uid="{00000000-0005-0000-0000-00000D4C0000}"/>
    <cellStyle name="40% - Accent5 4 2 3 2 2 5 3" xfId="26499" xr:uid="{00000000-0005-0000-0000-00000E4C0000}"/>
    <cellStyle name="40% - Accent5 4 2 3 2 2 6" xfId="26500" xr:uid="{00000000-0005-0000-0000-00000F4C0000}"/>
    <cellStyle name="40% - Accent5 4 2 3 2 2 6 2" xfId="26501" xr:uid="{00000000-0005-0000-0000-0000104C0000}"/>
    <cellStyle name="40% - Accent5 4 2 3 2 2 6 3" xfId="26502" xr:uid="{00000000-0005-0000-0000-0000114C0000}"/>
    <cellStyle name="40% - Accent5 4 2 3 2 2 7" xfId="26503" xr:uid="{00000000-0005-0000-0000-0000124C0000}"/>
    <cellStyle name="40% - Accent5 4 2 3 2 2 7 2" xfId="26504" xr:uid="{00000000-0005-0000-0000-0000134C0000}"/>
    <cellStyle name="40% - Accent5 4 2 3 2 2 8" xfId="26505" xr:uid="{00000000-0005-0000-0000-0000144C0000}"/>
    <cellStyle name="40% - Accent5 4 2 3 2 2 9" xfId="26506" xr:uid="{00000000-0005-0000-0000-0000154C0000}"/>
    <cellStyle name="40% - Accent5 4 2 3 2 3" xfId="26507" xr:uid="{00000000-0005-0000-0000-0000164C0000}"/>
    <cellStyle name="40% - Accent5 4 2 3 2 3 2" xfId="26508" xr:uid="{00000000-0005-0000-0000-0000174C0000}"/>
    <cellStyle name="40% - Accent5 4 2 3 2 3 2 2" xfId="26509" xr:uid="{00000000-0005-0000-0000-0000184C0000}"/>
    <cellStyle name="40% - Accent5 4 2 3 2 3 2 3" xfId="26510" xr:uid="{00000000-0005-0000-0000-0000194C0000}"/>
    <cellStyle name="40% - Accent5 4 2 3 2 3 3" xfId="26511" xr:uid="{00000000-0005-0000-0000-00001A4C0000}"/>
    <cellStyle name="40% - Accent5 4 2 3 2 3 3 2" xfId="26512" xr:uid="{00000000-0005-0000-0000-00001B4C0000}"/>
    <cellStyle name="40% - Accent5 4 2 3 2 3 3 3" xfId="26513" xr:uid="{00000000-0005-0000-0000-00001C4C0000}"/>
    <cellStyle name="40% - Accent5 4 2 3 2 3 4" xfId="26514" xr:uid="{00000000-0005-0000-0000-00001D4C0000}"/>
    <cellStyle name="40% - Accent5 4 2 3 2 3 4 2" xfId="26515" xr:uid="{00000000-0005-0000-0000-00001E4C0000}"/>
    <cellStyle name="40% - Accent5 4 2 3 2 3 5" xfId="26516" xr:uid="{00000000-0005-0000-0000-00001F4C0000}"/>
    <cellStyle name="40% - Accent5 4 2 3 2 3 6" xfId="26517" xr:uid="{00000000-0005-0000-0000-0000204C0000}"/>
    <cellStyle name="40% - Accent5 4 2 3 2 4" xfId="26518" xr:uid="{00000000-0005-0000-0000-0000214C0000}"/>
    <cellStyle name="40% - Accent5 4 2 3 2 4 2" xfId="26519" xr:uid="{00000000-0005-0000-0000-0000224C0000}"/>
    <cellStyle name="40% - Accent5 4 2 3 2 4 2 2" xfId="26520" xr:uid="{00000000-0005-0000-0000-0000234C0000}"/>
    <cellStyle name="40% - Accent5 4 2 3 2 4 2 3" xfId="26521" xr:uid="{00000000-0005-0000-0000-0000244C0000}"/>
    <cellStyle name="40% - Accent5 4 2 3 2 4 3" xfId="26522" xr:uid="{00000000-0005-0000-0000-0000254C0000}"/>
    <cellStyle name="40% - Accent5 4 2 3 2 4 3 2" xfId="26523" xr:uid="{00000000-0005-0000-0000-0000264C0000}"/>
    <cellStyle name="40% - Accent5 4 2 3 2 4 3 3" xfId="26524" xr:uid="{00000000-0005-0000-0000-0000274C0000}"/>
    <cellStyle name="40% - Accent5 4 2 3 2 4 4" xfId="26525" xr:uid="{00000000-0005-0000-0000-0000284C0000}"/>
    <cellStyle name="40% - Accent5 4 2 3 2 4 4 2" xfId="26526" xr:uid="{00000000-0005-0000-0000-0000294C0000}"/>
    <cellStyle name="40% - Accent5 4 2 3 2 4 5" xfId="26527" xr:uid="{00000000-0005-0000-0000-00002A4C0000}"/>
    <cellStyle name="40% - Accent5 4 2 3 2 4 6" xfId="26528" xr:uid="{00000000-0005-0000-0000-00002B4C0000}"/>
    <cellStyle name="40% - Accent5 4 2 3 2 5" xfId="26529" xr:uid="{00000000-0005-0000-0000-00002C4C0000}"/>
    <cellStyle name="40% - Accent5 4 2 3 2 5 2" xfId="26530" xr:uid="{00000000-0005-0000-0000-00002D4C0000}"/>
    <cellStyle name="40% - Accent5 4 2 3 2 5 2 2" xfId="26531" xr:uid="{00000000-0005-0000-0000-00002E4C0000}"/>
    <cellStyle name="40% - Accent5 4 2 3 2 5 2 3" xfId="26532" xr:uid="{00000000-0005-0000-0000-00002F4C0000}"/>
    <cellStyle name="40% - Accent5 4 2 3 2 5 3" xfId="26533" xr:uid="{00000000-0005-0000-0000-0000304C0000}"/>
    <cellStyle name="40% - Accent5 4 2 3 2 5 3 2" xfId="26534" xr:uid="{00000000-0005-0000-0000-0000314C0000}"/>
    <cellStyle name="40% - Accent5 4 2 3 2 5 4" xfId="26535" xr:uid="{00000000-0005-0000-0000-0000324C0000}"/>
    <cellStyle name="40% - Accent5 4 2 3 2 5 5" xfId="26536" xr:uid="{00000000-0005-0000-0000-0000334C0000}"/>
    <cellStyle name="40% - Accent5 4 2 3 2 6" xfId="26537" xr:uid="{00000000-0005-0000-0000-0000344C0000}"/>
    <cellStyle name="40% - Accent5 4 2 3 2 6 2" xfId="26538" xr:uid="{00000000-0005-0000-0000-0000354C0000}"/>
    <cellStyle name="40% - Accent5 4 2 3 2 6 3" xfId="26539" xr:uid="{00000000-0005-0000-0000-0000364C0000}"/>
    <cellStyle name="40% - Accent5 4 2 3 2 7" xfId="26540" xr:uid="{00000000-0005-0000-0000-0000374C0000}"/>
    <cellStyle name="40% - Accent5 4 2 3 2 7 2" xfId="26541" xr:uid="{00000000-0005-0000-0000-0000384C0000}"/>
    <cellStyle name="40% - Accent5 4 2 3 2 7 3" xfId="26542" xr:uid="{00000000-0005-0000-0000-0000394C0000}"/>
    <cellStyle name="40% - Accent5 4 2 3 2 8" xfId="26543" xr:uid="{00000000-0005-0000-0000-00003A4C0000}"/>
    <cellStyle name="40% - Accent5 4 2 3 2 8 2" xfId="26544" xr:uid="{00000000-0005-0000-0000-00003B4C0000}"/>
    <cellStyle name="40% - Accent5 4 2 3 2 9" xfId="26545" xr:uid="{00000000-0005-0000-0000-00003C4C0000}"/>
    <cellStyle name="40% - Accent5 4 2 3 3" xfId="2443" xr:uid="{00000000-0005-0000-0000-00003D4C0000}"/>
    <cellStyle name="40% - Accent5 4 2 3 3 2" xfId="26546" xr:uid="{00000000-0005-0000-0000-00003E4C0000}"/>
    <cellStyle name="40% - Accent5 4 2 3 3 2 2" xfId="26547" xr:uid="{00000000-0005-0000-0000-00003F4C0000}"/>
    <cellStyle name="40% - Accent5 4 2 3 3 2 2 2" xfId="26548" xr:uid="{00000000-0005-0000-0000-0000404C0000}"/>
    <cellStyle name="40% - Accent5 4 2 3 3 2 2 3" xfId="26549" xr:uid="{00000000-0005-0000-0000-0000414C0000}"/>
    <cellStyle name="40% - Accent5 4 2 3 3 2 3" xfId="26550" xr:uid="{00000000-0005-0000-0000-0000424C0000}"/>
    <cellStyle name="40% - Accent5 4 2 3 3 2 3 2" xfId="26551" xr:uid="{00000000-0005-0000-0000-0000434C0000}"/>
    <cellStyle name="40% - Accent5 4 2 3 3 2 3 3" xfId="26552" xr:uid="{00000000-0005-0000-0000-0000444C0000}"/>
    <cellStyle name="40% - Accent5 4 2 3 3 2 4" xfId="26553" xr:uid="{00000000-0005-0000-0000-0000454C0000}"/>
    <cellStyle name="40% - Accent5 4 2 3 3 2 4 2" xfId="26554" xr:uid="{00000000-0005-0000-0000-0000464C0000}"/>
    <cellStyle name="40% - Accent5 4 2 3 3 2 5" xfId="26555" xr:uid="{00000000-0005-0000-0000-0000474C0000}"/>
    <cellStyle name="40% - Accent5 4 2 3 3 2 6" xfId="26556" xr:uid="{00000000-0005-0000-0000-0000484C0000}"/>
    <cellStyle name="40% - Accent5 4 2 3 3 3" xfId="26557" xr:uid="{00000000-0005-0000-0000-0000494C0000}"/>
    <cellStyle name="40% - Accent5 4 2 3 3 3 2" xfId="26558" xr:uid="{00000000-0005-0000-0000-00004A4C0000}"/>
    <cellStyle name="40% - Accent5 4 2 3 3 3 2 2" xfId="26559" xr:uid="{00000000-0005-0000-0000-00004B4C0000}"/>
    <cellStyle name="40% - Accent5 4 2 3 3 3 2 3" xfId="26560" xr:uid="{00000000-0005-0000-0000-00004C4C0000}"/>
    <cellStyle name="40% - Accent5 4 2 3 3 3 3" xfId="26561" xr:uid="{00000000-0005-0000-0000-00004D4C0000}"/>
    <cellStyle name="40% - Accent5 4 2 3 3 3 3 2" xfId="26562" xr:uid="{00000000-0005-0000-0000-00004E4C0000}"/>
    <cellStyle name="40% - Accent5 4 2 3 3 3 3 3" xfId="26563" xr:uid="{00000000-0005-0000-0000-00004F4C0000}"/>
    <cellStyle name="40% - Accent5 4 2 3 3 3 4" xfId="26564" xr:uid="{00000000-0005-0000-0000-0000504C0000}"/>
    <cellStyle name="40% - Accent5 4 2 3 3 3 4 2" xfId="26565" xr:uid="{00000000-0005-0000-0000-0000514C0000}"/>
    <cellStyle name="40% - Accent5 4 2 3 3 3 5" xfId="26566" xr:uid="{00000000-0005-0000-0000-0000524C0000}"/>
    <cellStyle name="40% - Accent5 4 2 3 3 3 6" xfId="26567" xr:uid="{00000000-0005-0000-0000-0000534C0000}"/>
    <cellStyle name="40% - Accent5 4 2 3 3 4" xfId="26568" xr:uid="{00000000-0005-0000-0000-0000544C0000}"/>
    <cellStyle name="40% - Accent5 4 2 3 3 4 2" xfId="26569" xr:uid="{00000000-0005-0000-0000-0000554C0000}"/>
    <cellStyle name="40% - Accent5 4 2 3 3 4 2 2" xfId="26570" xr:uid="{00000000-0005-0000-0000-0000564C0000}"/>
    <cellStyle name="40% - Accent5 4 2 3 3 4 2 3" xfId="26571" xr:uid="{00000000-0005-0000-0000-0000574C0000}"/>
    <cellStyle name="40% - Accent5 4 2 3 3 4 3" xfId="26572" xr:uid="{00000000-0005-0000-0000-0000584C0000}"/>
    <cellStyle name="40% - Accent5 4 2 3 3 4 3 2" xfId="26573" xr:uid="{00000000-0005-0000-0000-0000594C0000}"/>
    <cellStyle name="40% - Accent5 4 2 3 3 4 4" xfId="26574" xr:uid="{00000000-0005-0000-0000-00005A4C0000}"/>
    <cellStyle name="40% - Accent5 4 2 3 3 4 5" xfId="26575" xr:uid="{00000000-0005-0000-0000-00005B4C0000}"/>
    <cellStyle name="40% - Accent5 4 2 3 3 5" xfId="26576" xr:uid="{00000000-0005-0000-0000-00005C4C0000}"/>
    <cellStyle name="40% - Accent5 4 2 3 3 5 2" xfId="26577" xr:uid="{00000000-0005-0000-0000-00005D4C0000}"/>
    <cellStyle name="40% - Accent5 4 2 3 3 5 3" xfId="26578" xr:uid="{00000000-0005-0000-0000-00005E4C0000}"/>
    <cellStyle name="40% - Accent5 4 2 3 3 6" xfId="26579" xr:uid="{00000000-0005-0000-0000-00005F4C0000}"/>
    <cellStyle name="40% - Accent5 4 2 3 3 6 2" xfId="26580" xr:uid="{00000000-0005-0000-0000-0000604C0000}"/>
    <cellStyle name="40% - Accent5 4 2 3 3 6 3" xfId="26581" xr:uid="{00000000-0005-0000-0000-0000614C0000}"/>
    <cellStyle name="40% - Accent5 4 2 3 3 7" xfId="26582" xr:uid="{00000000-0005-0000-0000-0000624C0000}"/>
    <cellStyle name="40% - Accent5 4 2 3 3 7 2" xfId="26583" xr:uid="{00000000-0005-0000-0000-0000634C0000}"/>
    <cellStyle name="40% - Accent5 4 2 3 3 8" xfId="26584" xr:uid="{00000000-0005-0000-0000-0000644C0000}"/>
    <cellStyle name="40% - Accent5 4 2 3 3 9" xfId="26585" xr:uid="{00000000-0005-0000-0000-0000654C0000}"/>
    <cellStyle name="40% - Accent5 4 2 3 4" xfId="26586" xr:uid="{00000000-0005-0000-0000-0000664C0000}"/>
    <cellStyle name="40% - Accent5 4 2 3 4 2" xfId="26587" xr:uid="{00000000-0005-0000-0000-0000674C0000}"/>
    <cellStyle name="40% - Accent5 4 2 3 4 2 2" xfId="26588" xr:uid="{00000000-0005-0000-0000-0000684C0000}"/>
    <cellStyle name="40% - Accent5 4 2 3 4 2 2 2" xfId="26589" xr:uid="{00000000-0005-0000-0000-0000694C0000}"/>
    <cellStyle name="40% - Accent5 4 2 3 4 2 2 3" xfId="26590" xr:uid="{00000000-0005-0000-0000-00006A4C0000}"/>
    <cellStyle name="40% - Accent5 4 2 3 4 2 3" xfId="26591" xr:uid="{00000000-0005-0000-0000-00006B4C0000}"/>
    <cellStyle name="40% - Accent5 4 2 3 4 2 3 2" xfId="26592" xr:uid="{00000000-0005-0000-0000-00006C4C0000}"/>
    <cellStyle name="40% - Accent5 4 2 3 4 2 3 3" xfId="26593" xr:uid="{00000000-0005-0000-0000-00006D4C0000}"/>
    <cellStyle name="40% - Accent5 4 2 3 4 2 4" xfId="26594" xr:uid="{00000000-0005-0000-0000-00006E4C0000}"/>
    <cellStyle name="40% - Accent5 4 2 3 4 2 4 2" xfId="26595" xr:uid="{00000000-0005-0000-0000-00006F4C0000}"/>
    <cellStyle name="40% - Accent5 4 2 3 4 2 5" xfId="26596" xr:uid="{00000000-0005-0000-0000-0000704C0000}"/>
    <cellStyle name="40% - Accent5 4 2 3 4 2 6" xfId="26597" xr:uid="{00000000-0005-0000-0000-0000714C0000}"/>
    <cellStyle name="40% - Accent5 4 2 3 4 3" xfId="26598" xr:uid="{00000000-0005-0000-0000-0000724C0000}"/>
    <cellStyle name="40% - Accent5 4 2 3 4 3 2" xfId="26599" xr:uid="{00000000-0005-0000-0000-0000734C0000}"/>
    <cellStyle name="40% - Accent5 4 2 3 4 3 2 2" xfId="26600" xr:uid="{00000000-0005-0000-0000-0000744C0000}"/>
    <cellStyle name="40% - Accent5 4 2 3 4 3 2 3" xfId="26601" xr:uid="{00000000-0005-0000-0000-0000754C0000}"/>
    <cellStyle name="40% - Accent5 4 2 3 4 3 3" xfId="26602" xr:uid="{00000000-0005-0000-0000-0000764C0000}"/>
    <cellStyle name="40% - Accent5 4 2 3 4 3 3 2" xfId="26603" xr:uid="{00000000-0005-0000-0000-0000774C0000}"/>
    <cellStyle name="40% - Accent5 4 2 3 4 3 3 3" xfId="26604" xr:uid="{00000000-0005-0000-0000-0000784C0000}"/>
    <cellStyle name="40% - Accent5 4 2 3 4 3 4" xfId="26605" xr:uid="{00000000-0005-0000-0000-0000794C0000}"/>
    <cellStyle name="40% - Accent5 4 2 3 4 3 4 2" xfId="26606" xr:uid="{00000000-0005-0000-0000-00007A4C0000}"/>
    <cellStyle name="40% - Accent5 4 2 3 4 3 5" xfId="26607" xr:uid="{00000000-0005-0000-0000-00007B4C0000}"/>
    <cellStyle name="40% - Accent5 4 2 3 4 3 6" xfId="26608" xr:uid="{00000000-0005-0000-0000-00007C4C0000}"/>
    <cellStyle name="40% - Accent5 4 2 3 4 4" xfId="26609" xr:uid="{00000000-0005-0000-0000-00007D4C0000}"/>
    <cellStyle name="40% - Accent5 4 2 3 4 4 2" xfId="26610" xr:uid="{00000000-0005-0000-0000-00007E4C0000}"/>
    <cellStyle name="40% - Accent5 4 2 3 4 4 2 2" xfId="26611" xr:uid="{00000000-0005-0000-0000-00007F4C0000}"/>
    <cellStyle name="40% - Accent5 4 2 3 4 4 2 3" xfId="26612" xr:uid="{00000000-0005-0000-0000-0000804C0000}"/>
    <cellStyle name="40% - Accent5 4 2 3 4 4 3" xfId="26613" xr:uid="{00000000-0005-0000-0000-0000814C0000}"/>
    <cellStyle name="40% - Accent5 4 2 3 4 4 3 2" xfId="26614" xr:uid="{00000000-0005-0000-0000-0000824C0000}"/>
    <cellStyle name="40% - Accent5 4 2 3 4 4 4" xfId="26615" xr:uid="{00000000-0005-0000-0000-0000834C0000}"/>
    <cellStyle name="40% - Accent5 4 2 3 4 4 5" xfId="26616" xr:uid="{00000000-0005-0000-0000-0000844C0000}"/>
    <cellStyle name="40% - Accent5 4 2 3 4 5" xfId="26617" xr:uid="{00000000-0005-0000-0000-0000854C0000}"/>
    <cellStyle name="40% - Accent5 4 2 3 4 5 2" xfId="26618" xr:uid="{00000000-0005-0000-0000-0000864C0000}"/>
    <cellStyle name="40% - Accent5 4 2 3 4 5 3" xfId="26619" xr:uid="{00000000-0005-0000-0000-0000874C0000}"/>
    <cellStyle name="40% - Accent5 4 2 3 4 6" xfId="26620" xr:uid="{00000000-0005-0000-0000-0000884C0000}"/>
    <cellStyle name="40% - Accent5 4 2 3 4 6 2" xfId="26621" xr:uid="{00000000-0005-0000-0000-0000894C0000}"/>
    <cellStyle name="40% - Accent5 4 2 3 4 6 3" xfId="26622" xr:uid="{00000000-0005-0000-0000-00008A4C0000}"/>
    <cellStyle name="40% - Accent5 4 2 3 4 7" xfId="26623" xr:uid="{00000000-0005-0000-0000-00008B4C0000}"/>
    <cellStyle name="40% - Accent5 4 2 3 4 7 2" xfId="26624" xr:uid="{00000000-0005-0000-0000-00008C4C0000}"/>
    <cellStyle name="40% - Accent5 4 2 3 4 8" xfId="26625" xr:uid="{00000000-0005-0000-0000-00008D4C0000}"/>
    <cellStyle name="40% - Accent5 4 2 3 4 9" xfId="26626" xr:uid="{00000000-0005-0000-0000-00008E4C0000}"/>
    <cellStyle name="40% - Accent5 4 2 3 5" xfId="26627" xr:uid="{00000000-0005-0000-0000-00008F4C0000}"/>
    <cellStyle name="40% - Accent5 4 2 3 5 2" xfId="26628" xr:uid="{00000000-0005-0000-0000-0000904C0000}"/>
    <cellStyle name="40% - Accent5 4 2 3 5 2 2" xfId="26629" xr:uid="{00000000-0005-0000-0000-0000914C0000}"/>
    <cellStyle name="40% - Accent5 4 2 3 5 2 3" xfId="26630" xr:uid="{00000000-0005-0000-0000-0000924C0000}"/>
    <cellStyle name="40% - Accent5 4 2 3 5 3" xfId="26631" xr:uid="{00000000-0005-0000-0000-0000934C0000}"/>
    <cellStyle name="40% - Accent5 4 2 3 5 3 2" xfId="26632" xr:uid="{00000000-0005-0000-0000-0000944C0000}"/>
    <cellStyle name="40% - Accent5 4 2 3 5 3 3" xfId="26633" xr:uid="{00000000-0005-0000-0000-0000954C0000}"/>
    <cellStyle name="40% - Accent5 4 2 3 5 4" xfId="26634" xr:uid="{00000000-0005-0000-0000-0000964C0000}"/>
    <cellStyle name="40% - Accent5 4 2 3 5 4 2" xfId="26635" xr:uid="{00000000-0005-0000-0000-0000974C0000}"/>
    <cellStyle name="40% - Accent5 4 2 3 5 5" xfId="26636" xr:uid="{00000000-0005-0000-0000-0000984C0000}"/>
    <cellStyle name="40% - Accent5 4 2 3 5 6" xfId="26637" xr:uid="{00000000-0005-0000-0000-0000994C0000}"/>
    <cellStyle name="40% - Accent5 4 2 3 6" xfId="26638" xr:uid="{00000000-0005-0000-0000-00009A4C0000}"/>
    <cellStyle name="40% - Accent5 4 2 3 6 2" xfId="26639" xr:uid="{00000000-0005-0000-0000-00009B4C0000}"/>
    <cellStyle name="40% - Accent5 4 2 3 6 2 2" xfId="26640" xr:uid="{00000000-0005-0000-0000-00009C4C0000}"/>
    <cellStyle name="40% - Accent5 4 2 3 6 2 3" xfId="26641" xr:uid="{00000000-0005-0000-0000-00009D4C0000}"/>
    <cellStyle name="40% - Accent5 4 2 3 6 3" xfId="26642" xr:uid="{00000000-0005-0000-0000-00009E4C0000}"/>
    <cellStyle name="40% - Accent5 4 2 3 6 3 2" xfId="26643" xr:uid="{00000000-0005-0000-0000-00009F4C0000}"/>
    <cellStyle name="40% - Accent5 4 2 3 6 3 3" xfId="26644" xr:uid="{00000000-0005-0000-0000-0000A04C0000}"/>
    <cellStyle name="40% - Accent5 4 2 3 6 4" xfId="26645" xr:uid="{00000000-0005-0000-0000-0000A14C0000}"/>
    <cellStyle name="40% - Accent5 4 2 3 6 4 2" xfId="26646" xr:uid="{00000000-0005-0000-0000-0000A24C0000}"/>
    <cellStyle name="40% - Accent5 4 2 3 6 5" xfId="26647" xr:uid="{00000000-0005-0000-0000-0000A34C0000}"/>
    <cellStyle name="40% - Accent5 4 2 3 6 6" xfId="26648" xr:uid="{00000000-0005-0000-0000-0000A44C0000}"/>
    <cellStyle name="40% - Accent5 4 2 3 7" xfId="26649" xr:uid="{00000000-0005-0000-0000-0000A54C0000}"/>
    <cellStyle name="40% - Accent5 4 2 3 7 2" xfId="26650" xr:uid="{00000000-0005-0000-0000-0000A64C0000}"/>
    <cellStyle name="40% - Accent5 4 2 3 7 2 2" xfId="26651" xr:uid="{00000000-0005-0000-0000-0000A74C0000}"/>
    <cellStyle name="40% - Accent5 4 2 3 7 2 3" xfId="26652" xr:uid="{00000000-0005-0000-0000-0000A84C0000}"/>
    <cellStyle name="40% - Accent5 4 2 3 7 3" xfId="26653" xr:uid="{00000000-0005-0000-0000-0000A94C0000}"/>
    <cellStyle name="40% - Accent5 4 2 3 7 3 2" xfId="26654" xr:uid="{00000000-0005-0000-0000-0000AA4C0000}"/>
    <cellStyle name="40% - Accent5 4 2 3 7 4" xfId="26655" xr:uid="{00000000-0005-0000-0000-0000AB4C0000}"/>
    <cellStyle name="40% - Accent5 4 2 3 7 5" xfId="26656" xr:uid="{00000000-0005-0000-0000-0000AC4C0000}"/>
    <cellStyle name="40% - Accent5 4 2 3 8" xfId="26657" xr:uid="{00000000-0005-0000-0000-0000AD4C0000}"/>
    <cellStyle name="40% - Accent5 4 2 3 8 2" xfId="26658" xr:uid="{00000000-0005-0000-0000-0000AE4C0000}"/>
    <cellStyle name="40% - Accent5 4 2 3 8 3" xfId="26659" xr:uid="{00000000-0005-0000-0000-0000AF4C0000}"/>
    <cellStyle name="40% - Accent5 4 2 3 9" xfId="26660" xr:uid="{00000000-0005-0000-0000-0000B04C0000}"/>
    <cellStyle name="40% - Accent5 4 2 3 9 2" xfId="26661" xr:uid="{00000000-0005-0000-0000-0000B14C0000}"/>
    <cellStyle name="40% - Accent5 4 2 3 9 3" xfId="26662" xr:uid="{00000000-0005-0000-0000-0000B24C0000}"/>
    <cellStyle name="40% - Accent5 4 2 4" xfId="2444" xr:uid="{00000000-0005-0000-0000-0000B34C0000}"/>
    <cellStyle name="40% - Accent5 4 2 4 10" xfId="26663" xr:uid="{00000000-0005-0000-0000-0000B44C0000}"/>
    <cellStyle name="40% - Accent5 4 2 4 2" xfId="2445" xr:uid="{00000000-0005-0000-0000-0000B54C0000}"/>
    <cellStyle name="40% - Accent5 4 2 4 2 2" xfId="26664" xr:uid="{00000000-0005-0000-0000-0000B64C0000}"/>
    <cellStyle name="40% - Accent5 4 2 4 2 2 2" xfId="26665" xr:uid="{00000000-0005-0000-0000-0000B74C0000}"/>
    <cellStyle name="40% - Accent5 4 2 4 2 2 2 2" xfId="26666" xr:uid="{00000000-0005-0000-0000-0000B84C0000}"/>
    <cellStyle name="40% - Accent5 4 2 4 2 2 2 3" xfId="26667" xr:uid="{00000000-0005-0000-0000-0000B94C0000}"/>
    <cellStyle name="40% - Accent5 4 2 4 2 2 3" xfId="26668" xr:uid="{00000000-0005-0000-0000-0000BA4C0000}"/>
    <cellStyle name="40% - Accent5 4 2 4 2 2 3 2" xfId="26669" xr:uid="{00000000-0005-0000-0000-0000BB4C0000}"/>
    <cellStyle name="40% - Accent5 4 2 4 2 2 3 3" xfId="26670" xr:uid="{00000000-0005-0000-0000-0000BC4C0000}"/>
    <cellStyle name="40% - Accent5 4 2 4 2 2 4" xfId="26671" xr:uid="{00000000-0005-0000-0000-0000BD4C0000}"/>
    <cellStyle name="40% - Accent5 4 2 4 2 2 4 2" xfId="26672" xr:uid="{00000000-0005-0000-0000-0000BE4C0000}"/>
    <cellStyle name="40% - Accent5 4 2 4 2 2 5" xfId="26673" xr:uid="{00000000-0005-0000-0000-0000BF4C0000}"/>
    <cellStyle name="40% - Accent5 4 2 4 2 2 6" xfId="26674" xr:uid="{00000000-0005-0000-0000-0000C04C0000}"/>
    <cellStyle name="40% - Accent5 4 2 4 2 3" xfId="26675" xr:uid="{00000000-0005-0000-0000-0000C14C0000}"/>
    <cellStyle name="40% - Accent5 4 2 4 2 3 2" xfId="26676" xr:uid="{00000000-0005-0000-0000-0000C24C0000}"/>
    <cellStyle name="40% - Accent5 4 2 4 2 3 2 2" xfId="26677" xr:uid="{00000000-0005-0000-0000-0000C34C0000}"/>
    <cellStyle name="40% - Accent5 4 2 4 2 3 2 3" xfId="26678" xr:uid="{00000000-0005-0000-0000-0000C44C0000}"/>
    <cellStyle name="40% - Accent5 4 2 4 2 3 3" xfId="26679" xr:uid="{00000000-0005-0000-0000-0000C54C0000}"/>
    <cellStyle name="40% - Accent5 4 2 4 2 3 3 2" xfId="26680" xr:uid="{00000000-0005-0000-0000-0000C64C0000}"/>
    <cellStyle name="40% - Accent5 4 2 4 2 3 3 3" xfId="26681" xr:uid="{00000000-0005-0000-0000-0000C74C0000}"/>
    <cellStyle name="40% - Accent5 4 2 4 2 3 4" xfId="26682" xr:uid="{00000000-0005-0000-0000-0000C84C0000}"/>
    <cellStyle name="40% - Accent5 4 2 4 2 3 4 2" xfId="26683" xr:uid="{00000000-0005-0000-0000-0000C94C0000}"/>
    <cellStyle name="40% - Accent5 4 2 4 2 3 5" xfId="26684" xr:uid="{00000000-0005-0000-0000-0000CA4C0000}"/>
    <cellStyle name="40% - Accent5 4 2 4 2 3 6" xfId="26685" xr:uid="{00000000-0005-0000-0000-0000CB4C0000}"/>
    <cellStyle name="40% - Accent5 4 2 4 2 4" xfId="26686" xr:uid="{00000000-0005-0000-0000-0000CC4C0000}"/>
    <cellStyle name="40% - Accent5 4 2 4 2 4 2" xfId="26687" xr:uid="{00000000-0005-0000-0000-0000CD4C0000}"/>
    <cellStyle name="40% - Accent5 4 2 4 2 4 2 2" xfId="26688" xr:uid="{00000000-0005-0000-0000-0000CE4C0000}"/>
    <cellStyle name="40% - Accent5 4 2 4 2 4 2 3" xfId="26689" xr:uid="{00000000-0005-0000-0000-0000CF4C0000}"/>
    <cellStyle name="40% - Accent5 4 2 4 2 4 3" xfId="26690" xr:uid="{00000000-0005-0000-0000-0000D04C0000}"/>
    <cellStyle name="40% - Accent5 4 2 4 2 4 3 2" xfId="26691" xr:uid="{00000000-0005-0000-0000-0000D14C0000}"/>
    <cellStyle name="40% - Accent5 4 2 4 2 4 4" xfId="26692" xr:uid="{00000000-0005-0000-0000-0000D24C0000}"/>
    <cellStyle name="40% - Accent5 4 2 4 2 4 5" xfId="26693" xr:uid="{00000000-0005-0000-0000-0000D34C0000}"/>
    <cellStyle name="40% - Accent5 4 2 4 2 5" xfId="26694" xr:uid="{00000000-0005-0000-0000-0000D44C0000}"/>
    <cellStyle name="40% - Accent5 4 2 4 2 5 2" xfId="26695" xr:uid="{00000000-0005-0000-0000-0000D54C0000}"/>
    <cellStyle name="40% - Accent5 4 2 4 2 5 3" xfId="26696" xr:uid="{00000000-0005-0000-0000-0000D64C0000}"/>
    <cellStyle name="40% - Accent5 4 2 4 2 6" xfId="26697" xr:uid="{00000000-0005-0000-0000-0000D74C0000}"/>
    <cellStyle name="40% - Accent5 4 2 4 2 6 2" xfId="26698" xr:uid="{00000000-0005-0000-0000-0000D84C0000}"/>
    <cellStyle name="40% - Accent5 4 2 4 2 6 3" xfId="26699" xr:uid="{00000000-0005-0000-0000-0000D94C0000}"/>
    <cellStyle name="40% - Accent5 4 2 4 2 7" xfId="26700" xr:uid="{00000000-0005-0000-0000-0000DA4C0000}"/>
    <cellStyle name="40% - Accent5 4 2 4 2 7 2" xfId="26701" xr:uid="{00000000-0005-0000-0000-0000DB4C0000}"/>
    <cellStyle name="40% - Accent5 4 2 4 2 8" xfId="26702" xr:uid="{00000000-0005-0000-0000-0000DC4C0000}"/>
    <cellStyle name="40% - Accent5 4 2 4 2 9" xfId="26703" xr:uid="{00000000-0005-0000-0000-0000DD4C0000}"/>
    <cellStyle name="40% - Accent5 4 2 4 3" xfId="26704" xr:uid="{00000000-0005-0000-0000-0000DE4C0000}"/>
    <cellStyle name="40% - Accent5 4 2 4 3 2" xfId="26705" xr:uid="{00000000-0005-0000-0000-0000DF4C0000}"/>
    <cellStyle name="40% - Accent5 4 2 4 3 2 2" xfId="26706" xr:uid="{00000000-0005-0000-0000-0000E04C0000}"/>
    <cellStyle name="40% - Accent5 4 2 4 3 2 3" xfId="26707" xr:uid="{00000000-0005-0000-0000-0000E14C0000}"/>
    <cellStyle name="40% - Accent5 4 2 4 3 3" xfId="26708" xr:uid="{00000000-0005-0000-0000-0000E24C0000}"/>
    <cellStyle name="40% - Accent5 4 2 4 3 3 2" xfId="26709" xr:uid="{00000000-0005-0000-0000-0000E34C0000}"/>
    <cellStyle name="40% - Accent5 4 2 4 3 3 3" xfId="26710" xr:uid="{00000000-0005-0000-0000-0000E44C0000}"/>
    <cellStyle name="40% - Accent5 4 2 4 3 4" xfId="26711" xr:uid="{00000000-0005-0000-0000-0000E54C0000}"/>
    <cellStyle name="40% - Accent5 4 2 4 3 4 2" xfId="26712" xr:uid="{00000000-0005-0000-0000-0000E64C0000}"/>
    <cellStyle name="40% - Accent5 4 2 4 3 5" xfId="26713" xr:uid="{00000000-0005-0000-0000-0000E74C0000}"/>
    <cellStyle name="40% - Accent5 4 2 4 3 6" xfId="26714" xr:uid="{00000000-0005-0000-0000-0000E84C0000}"/>
    <cellStyle name="40% - Accent5 4 2 4 4" xfId="26715" xr:uid="{00000000-0005-0000-0000-0000E94C0000}"/>
    <cellStyle name="40% - Accent5 4 2 4 4 2" xfId="26716" xr:uid="{00000000-0005-0000-0000-0000EA4C0000}"/>
    <cellStyle name="40% - Accent5 4 2 4 4 2 2" xfId="26717" xr:uid="{00000000-0005-0000-0000-0000EB4C0000}"/>
    <cellStyle name="40% - Accent5 4 2 4 4 2 3" xfId="26718" xr:uid="{00000000-0005-0000-0000-0000EC4C0000}"/>
    <cellStyle name="40% - Accent5 4 2 4 4 3" xfId="26719" xr:uid="{00000000-0005-0000-0000-0000ED4C0000}"/>
    <cellStyle name="40% - Accent5 4 2 4 4 3 2" xfId="26720" xr:uid="{00000000-0005-0000-0000-0000EE4C0000}"/>
    <cellStyle name="40% - Accent5 4 2 4 4 3 3" xfId="26721" xr:uid="{00000000-0005-0000-0000-0000EF4C0000}"/>
    <cellStyle name="40% - Accent5 4 2 4 4 4" xfId="26722" xr:uid="{00000000-0005-0000-0000-0000F04C0000}"/>
    <cellStyle name="40% - Accent5 4 2 4 4 4 2" xfId="26723" xr:uid="{00000000-0005-0000-0000-0000F14C0000}"/>
    <cellStyle name="40% - Accent5 4 2 4 4 5" xfId="26724" xr:uid="{00000000-0005-0000-0000-0000F24C0000}"/>
    <cellStyle name="40% - Accent5 4 2 4 4 6" xfId="26725" xr:uid="{00000000-0005-0000-0000-0000F34C0000}"/>
    <cellStyle name="40% - Accent5 4 2 4 5" xfId="26726" xr:uid="{00000000-0005-0000-0000-0000F44C0000}"/>
    <cellStyle name="40% - Accent5 4 2 4 5 2" xfId="26727" xr:uid="{00000000-0005-0000-0000-0000F54C0000}"/>
    <cellStyle name="40% - Accent5 4 2 4 5 2 2" xfId="26728" xr:uid="{00000000-0005-0000-0000-0000F64C0000}"/>
    <cellStyle name="40% - Accent5 4 2 4 5 2 3" xfId="26729" xr:uid="{00000000-0005-0000-0000-0000F74C0000}"/>
    <cellStyle name="40% - Accent5 4 2 4 5 3" xfId="26730" xr:uid="{00000000-0005-0000-0000-0000F84C0000}"/>
    <cellStyle name="40% - Accent5 4 2 4 5 3 2" xfId="26731" xr:uid="{00000000-0005-0000-0000-0000F94C0000}"/>
    <cellStyle name="40% - Accent5 4 2 4 5 4" xfId="26732" xr:uid="{00000000-0005-0000-0000-0000FA4C0000}"/>
    <cellStyle name="40% - Accent5 4 2 4 5 5" xfId="26733" xr:uid="{00000000-0005-0000-0000-0000FB4C0000}"/>
    <cellStyle name="40% - Accent5 4 2 4 6" xfId="26734" xr:uid="{00000000-0005-0000-0000-0000FC4C0000}"/>
    <cellStyle name="40% - Accent5 4 2 4 6 2" xfId="26735" xr:uid="{00000000-0005-0000-0000-0000FD4C0000}"/>
    <cellStyle name="40% - Accent5 4 2 4 6 3" xfId="26736" xr:uid="{00000000-0005-0000-0000-0000FE4C0000}"/>
    <cellStyle name="40% - Accent5 4 2 4 7" xfId="26737" xr:uid="{00000000-0005-0000-0000-0000FF4C0000}"/>
    <cellStyle name="40% - Accent5 4 2 4 7 2" xfId="26738" xr:uid="{00000000-0005-0000-0000-0000004D0000}"/>
    <cellStyle name="40% - Accent5 4 2 4 7 3" xfId="26739" xr:uid="{00000000-0005-0000-0000-0000014D0000}"/>
    <cellStyle name="40% - Accent5 4 2 4 8" xfId="26740" xr:uid="{00000000-0005-0000-0000-0000024D0000}"/>
    <cellStyle name="40% - Accent5 4 2 4 8 2" xfId="26741" xr:uid="{00000000-0005-0000-0000-0000034D0000}"/>
    <cellStyle name="40% - Accent5 4 2 4 9" xfId="26742" xr:uid="{00000000-0005-0000-0000-0000044D0000}"/>
    <cellStyle name="40% - Accent5 4 2 5" xfId="2446" xr:uid="{00000000-0005-0000-0000-0000054D0000}"/>
    <cellStyle name="40% - Accent5 4 2 5 2" xfId="26743" xr:uid="{00000000-0005-0000-0000-0000064D0000}"/>
    <cellStyle name="40% - Accent5 4 2 5 2 2" xfId="26744" xr:uid="{00000000-0005-0000-0000-0000074D0000}"/>
    <cellStyle name="40% - Accent5 4 2 5 2 2 2" xfId="26745" xr:uid="{00000000-0005-0000-0000-0000084D0000}"/>
    <cellStyle name="40% - Accent5 4 2 5 2 2 3" xfId="26746" xr:uid="{00000000-0005-0000-0000-0000094D0000}"/>
    <cellStyle name="40% - Accent5 4 2 5 2 3" xfId="26747" xr:uid="{00000000-0005-0000-0000-00000A4D0000}"/>
    <cellStyle name="40% - Accent5 4 2 5 2 3 2" xfId="26748" xr:uid="{00000000-0005-0000-0000-00000B4D0000}"/>
    <cellStyle name="40% - Accent5 4 2 5 2 3 3" xfId="26749" xr:uid="{00000000-0005-0000-0000-00000C4D0000}"/>
    <cellStyle name="40% - Accent5 4 2 5 2 4" xfId="26750" xr:uid="{00000000-0005-0000-0000-00000D4D0000}"/>
    <cellStyle name="40% - Accent5 4 2 5 2 4 2" xfId="26751" xr:uid="{00000000-0005-0000-0000-00000E4D0000}"/>
    <cellStyle name="40% - Accent5 4 2 5 2 5" xfId="26752" xr:uid="{00000000-0005-0000-0000-00000F4D0000}"/>
    <cellStyle name="40% - Accent5 4 2 5 2 6" xfId="26753" xr:uid="{00000000-0005-0000-0000-0000104D0000}"/>
    <cellStyle name="40% - Accent5 4 2 5 3" xfId="26754" xr:uid="{00000000-0005-0000-0000-0000114D0000}"/>
    <cellStyle name="40% - Accent5 4 2 5 3 2" xfId="26755" xr:uid="{00000000-0005-0000-0000-0000124D0000}"/>
    <cellStyle name="40% - Accent5 4 2 5 3 2 2" xfId="26756" xr:uid="{00000000-0005-0000-0000-0000134D0000}"/>
    <cellStyle name="40% - Accent5 4 2 5 3 2 3" xfId="26757" xr:uid="{00000000-0005-0000-0000-0000144D0000}"/>
    <cellStyle name="40% - Accent5 4 2 5 3 3" xfId="26758" xr:uid="{00000000-0005-0000-0000-0000154D0000}"/>
    <cellStyle name="40% - Accent5 4 2 5 3 3 2" xfId="26759" xr:uid="{00000000-0005-0000-0000-0000164D0000}"/>
    <cellStyle name="40% - Accent5 4 2 5 3 3 3" xfId="26760" xr:uid="{00000000-0005-0000-0000-0000174D0000}"/>
    <cellStyle name="40% - Accent5 4 2 5 3 4" xfId="26761" xr:uid="{00000000-0005-0000-0000-0000184D0000}"/>
    <cellStyle name="40% - Accent5 4 2 5 3 4 2" xfId="26762" xr:uid="{00000000-0005-0000-0000-0000194D0000}"/>
    <cellStyle name="40% - Accent5 4 2 5 3 5" xfId="26763" xr:uid="{00000000-0005-0000-0000-00001A4D0000}"/>
    <cellStyle name="40% - Accent5 4 2 5 3 6" xfId="26764" xr:uid="{00000000-0005-0000-0000-00001B4D0000}"/>
    <cellStyle name="40% - Accent5 4 2 5 4" xfId="26765" xr:uid="{00000000-0005-0000-0000-00001C4D0000}"/>
    <cellStyle name="40% - Accent5 4 2 5 4 2" xfId="26766" xr:uid="{00000000-0005-0000-0000-00001D4D0000}"/>
    <cellStyle name="40% - Accent5 4 2 5 4 2 2" xfId="26767" xr:uid="{00000000-0005-0000-0000-00001E4D0000}"/>
    <cellStyle name="40% - Accent5 4 2 5 4 2 3" xfId="26768" xr:uid="{00000000-0005-0000-0000-00001F4D0000}"/>
    <cellStyle name="40% - Accent5 4 2 5 4 3" xfId="26769" xr:uid="{00000000-0005-0000-0000-0000204D0000}"/>
    <cellStyle name="40% - Accent5 4 2 5 4 3 2" xfId="26770" xr:uid="{00000000-0005-0000-0000-0000214D0000}"/>
    <cellStyle name="40% - Accent5 4 2 5 4 4" xfId="26771" xr:uid="{00000000-0005-0000-0000-0000224D0000}"/>
    <cellStyle name="40% - Accent5 4 2 5 4 5" xfId="26772" xr:uid="{00000000-0005-0000-0000-0000234D0000}"/>
    <cellStyle name="40% - Accent5 4 2 5 5" xfId="26773" xr:uid="{00000000-0005-0000-0000-0000244D0000}"/>
    <cellStyle name="40% - Accent5 4 2 5 5 2" xfId="26774" xr:uid="{00000000-0005-0000-0000-0000254D0000}"/>
    <cellStyle name="40% - Accent5 4 2 5 5 3" xfId="26775" xr:uid="{00000000-0005-0000-0000-0000264D0000}"/>
    <cellStyle name="40% - Accent5 4 2 5 6" xfId="26776" xr:uid="{00000000-0005-0000-0000-0000274D0000}"/>
    <cellStyle name="40% - Accent5 4 2 5 6 2" xfId="26777" xr:uid="{00000000-0005-0000-0000-0000284D0000}"/>
    <cellStyle name="40% - Accent5 4 2 5 6 3" xfId="26778" xr:uid="{00000000-0005-0000-0000-0000294D0000}"/>
    <cellStyle name="40% - Accent5 4 2 5 7" xfId="26779" xr:uid="{00000000-0005-0000-0000-00002A4D0000}"/>
    <cellStyle name="40% - Accent5 4 2 5 7 2" xfId="26780" xr:uid="{00000000-0005-0000-0000-00002B4D0000}"/>
    <cellStyle name="40% - Accent5 4 2 5 8" xfId="26781" xr:uid="{00000000-0005-0000-0000-00002C4D0000}"/>
    <cellStyle name="40% - Accent5 4 2 5 9" xfId="26782" xr:uid="{00000000-0005-0000-0000-00002D4D0000}"/>
    <cellStyle name="40% - Accent5 4 2 6" xfId="26783" xr:uid="{00000000-0005-0000-0000-00002E4D0000}"/>
    <cellStyle name="40% - Accent5 4 2 6 2" xfId="26784" xr:uid="{00000000-0005-0000-0000-00002F4D0000}"/>
    <cellStyle name="40% - Accent5 4 2 6 2 2" xfId="26785" xr:uid="{00000000-0005-0000-0000-0000304D0000}"/>
    <cellStyle name="40% - Accent5 4 2 6 2 2 2" xfId="26786" xr:uid="{00000000-0005-0000-0000-0000314D0000}"/>
    <cellStyle name="40% - Accent5 4 2 6 2 2 3" xfId="26787" xr:uid="{00000000-0005-0000-0000-0000324D0000}"/>
    <cellStyle name="40% - Accent5 4 2 6 2 3" xfId="26788" xr:uid="{00000000-0005-0000-0000-0000334D0000}"/>
    <cellStyle name="40% - Accent5 4 2 6 2 3 2" xfId="26789" xr:uid="{00000000-0005-0000-0000-0000344D0000}"/>
    <cellStyle name="40% - Accent5 4 2 6 2 3 3" xfId="26790" xr:uid="{00000000-0005-0000-0000-0000354D0000}"/>
    <cellStyle name="40% - Accent5 4 2 6 2 4" xfId="26791" xr:uid="{00000000-0005-0000-0000-0000364D0000}"/>
    <cellStyle name="40% - Accent5 4 2 6 2 4 2" xfId="26792" xr:uid="{00000000-0005-0000-0000-0000374D0000}"/>
    <cellStyle name="40% - Accent5 4 2 6 2 5" xfId="26793" xr:uid="{00000000-0005-0000-0000-0000384D0000}"/>
    <cellStyle name="40% - Accent5 4 2 6 2 6" xfId="26794" xr:uid="{00000000-0005-0000-0000-0000394D0000}"/>
    <cellStyle name="40% - Accent5 4 2 6 3" xfId="26795" xr:uid="{00000000-0005-0000-0000-00003A4D0000}"/>
    <cellStyle name="40% - Accent5 4 2 6 3 2" xfId="26796" xr:uid="{00000000-0005-0000-0000-00003B4D0000}"/>
    <cellStyle name="40% - Accent5 4 2 6 3 2 2" xfId="26797" xr:uid="{00000000-0005-0000-0000-00003C4D0000}"/>
    <cellStyle name="40% - Accent5 4 2 6 3 2 3" xfId="26798" xr:uid="{00000000-0005-0000-0000-00003D4D0000}"/>
    <cellStyle name="40% - Accent5 4 2 6 3 3" xfId="26799" xr:uid="{00000000-0005-0000-0000-00003E4D0000}"/>
    <cellStyle name="40% - Accent5 4 2 6 3 3 2" xfId="26800" xr:uid="{00000000-0005-0000-0000-00003F4D0000}"/>
    <cellStyle name="40% - Accent5 4 2 6 3 3 3" xfId="26801" xr:uid="{00000000-0005-0000-0000-0000404D0000}"/>
    <cellStyle name="40% - Accent5 4 2 6 3 4" xfId="26802" xr:uid="{00000000-0005-0000-0000-0000414D0000}"/>
    <cellStyle name="40% - Accent5 4 2 6 3 4 2" xfId="26803" xr:uid="{00000000-0005-0000-0000-0000424D0000}"/>
    <cellStyle name="40% - Accent5 4 2 6 3 5" xfId="26804" xr:uid="{00000000-0005-0000-0000-0000434D0000}"/>
    <cellStyle name="40% - Accent5 4 2 6 3 6" xfId="26805" xr:uid="{00000000-0005-0000-0000-0000444D0000}"/>
    <cellStyle name="40% - Accent5 4 2 6 4" xfId="26806" xr:uid="{00000000-0005-0000-0000-0000454D0000}"/>
    <cellStyle name="40% - Accent5 4 2 6 4 2" xfId="26807" xr:uid="{00000000-0005-0000-0000-0000464D0000}"/>
    <cellStyle name="40% - Accent5 4 2 6 4 2 2" xfId="26808" xr:uid="{00000000-0005-0000-0000-0000474D0000}"/>
    <cellStyle name="40% - Accent5 4 2 6 4 2 3" xfId="26809" xr:uid="{00000000-0005-0000-0000-0000484D0000}"/>
    <cellStyle name="40% - Accent5 4 2 6 4 3" xfId="26810" xr:uid="{00000000-0005-0000-0000-0000494D0000}"/>
    <cellStyle name="40% - Accent5 4 2 6 4 3 2" xfId="26811" xr:uid="{00000000-0005-0000-0000-00004A4D0000}"/>
    <cellStyle name="40% - Accent5 4 2 6 4 4" xfId="26812" xr:uid="{00000000-0005-0000-0000-00004B4D0000}"/>
    <cellStyle name="40% - Accent5 4 2 6 4 5" xfId="26813" xr:uid="{00000000-0005-0000-0000-00004C4D0000}"/>
    <cellStyle name="40% - Accent5 4 2 6 5" xfId="26814" xr:uid="{00000000-0005-0000-0000-00004D4D0000}"/>
    <cellStyle name="40% - Accent5 4 2 6 5 2" xfId="26815" xr:uid="{00000000-0005-0000-0000-00004E4D0000}"/>
    <cellStyle name="40% - Accent5 4 2 6 5 3" xfId="26816" xr:uid="{00000000-0005-0000-0000-00004F4D0000}"/>
    <cellStyle name="40% - Accent5 4 2 6 6" xfId="26817" xr:uid="{00000000-0005-0000-0000-0000504D0000}"/>
    <cellStyle name="40% - Accent5 4 2 6 6 2" xfId="26818" xr:uid="{00000000-0005-0000-0000-0000514D0000}"/>
    <cellStyle name="40% - Accent5 4 2 6 6 3" xfId="26819" xr:uid="{00000000-0005-0000-0000-0000524D0000}"/>
    <cellStyle name="40% - Accent5 4 2 6 7" xfId="26820" xr:uid="{00000000-0005-0000-0000-0000534D0000}"/>
    <cellStyle name="40% - Accent5 4 2 6 7 2" xfId="26821" xr:uid="{00000000-0005-0000-0000-0000544D0000}"/>
    <cellStyle name="40% - Accent5 4 2 6 8" xfId="26822" xr:uid="{00000000-0005-0000-0000-0000554D0000}"/>
    <cellStyle name="40% - Accent5 4 2 6 9" xfId="26823" xr:uid="{00000000-0005-0000-0000-0000564D0000}"/>
    <cellStyle name="40% - Accent5 4 2 7" xfId="26824" xr:uid="{00000000-0005-0000-0000-0000574D0000}"/>
    <cellStyle name="40% - Accent5 4 2 7 2" xfId="26825" xr:uid="{00000000-0005-0000-0000-0000584D0000}"/>
    <cellStyle name="40% - Accent5 4 2 7 2 2" xfId="26826" xr:uid="{00000000-0005-0000-0000-0000594D0000}"/>
    <cellStyle name="40% - Accent5 4 2 7 2 3" xfId="26827" xr:uid="{00000000-0005-0000-0000-00005A4D0000}"/>
    <cellStyle name="40% - Accent5 4 2 7 3" xfId="26828" xr:uid="{00000000-0005-0000-0000-00005B4D0000}"/>
    <cellStyle name="40% - Accent5 4 2 7 3 2" xfId="26829" xr:uid="{00000000-0005-0000-0000-00005C4D0000}"/>
    <cellStyle name="40% - Accent5 4 2 7 3 3" xfId="26830" xr:uid="{00000000-0005-0000-0000-00005D4D0000}"/>
    <cellStyle name="40% - Accent5 4 2 7 4" xfId="26831" xr:uid="{00000000-0005-0000-0000-00005E4D0000}"/>
    <cellStyle name="40% - Accent5 4 2 7 4 2" xfId="26832" xr:uid="{00000000-0005-0000-0000-00005F4D0000}"/>
    <cellStyle name="40% - Accent5 4 2 7 5" xfId="26833" xr:uid="{00000000-0005-0000-0000-0000604D0000}"/>
    <cellStyle name="40% - Accent5 4 2 7 6" xfId="26834" xr:uid="{00000000-0005-0000-0000-0000614D0000}"/>
    <cellStyle name="40% - Accent5 4 2 8" xfId="26835" xr:uid="{00000000-0005-0000-0000-0000624D0000}"/>
    <cellStyle name="40% - Accent5 4 2 8 2" xfId="26836" xr:uid="{00000000-0005-0000-0000-0000634D0000}"/>
    <cellStyle name="40% - Accent5 4 2 8 2 2" xfId="26837" xr:uid="{00000000-0005-0000-0000-0000644D0000}"/>
    <cellStyle name="40% - Accent5 4 2 8 2 3" xfId="26838" xr:uid="{00000000-0005-0000-0000-0000654D0000}"/>
    <cellStyle name="40% - Accent5 4 2 8 3" xfId="26839" xr:uid="{00000000-0005-0000-0000-0000664D0000}"/>
    <cellStyle name="40% - Accent5 4 2 8 3 2" xfId="26840" xr:uid="{00000000-0005-0000-0000-0000674D0000}"/>
    <cellStyle name="40% - Accent5 4 2 8 3 3" xfId="26841" xr:uid="{00000000-0005-0000-0000-0000684D0000}"/>
    <cellStyle name="40% - Accent5 4 2 8 4" xfId="26842" xr:uid="{00000000-0005-0000-0000-0000694D0000}"/>
    <cellStyle name="40% - Accent5 4 2 8 4 2" xfId="26843" xr:uid="{00000000-0005-0000-0000-00006A4D0000}"/>
    <cellStyle name="40% - Accent5 4 2 8 5" xfId="26844" xr:uid="{00000000-0005-0000-0000-00006B4D0000}"/>
    <cellStyle name="40% - Accent5 4 2 8 6" xfId="26845" xr:uid="{00000000-0005-0000-0000-00006C4D0000}"/>
    <cellStyle name="40% - Accent5 4 2 9" xfId="26846" xr:uid="{00000000-0005-0000-0000-00006D4D0000}"/>
    <cellStyle name="40% - Accent5 4 2 9 2" xfId="26847" xr:uid="{00000000-0005-0000-0000-00006E4D0000}"/>
    <cellStyle name="40% - Accent5 4 2 9 2 2" xfId="26848" xr:uid="{00000000-0005-0000-0000-00006F4D0000}"/>
    <cellStyle name="40% - Accent5 4 2 9 2 3" xfId="26849" xr:uid="{00000000-0005-0000-0000-0000704D0000}"/>
    <cellStyle name="40% - Accent5 4 2 9 3" xfId="26850" xr:uid="{00000000-0005-0000-0000-0000714D0000}"/>
    <cellStyle name="40% - Accent5 4 2 9 3 2" xfId="26851" xr:uid="{00000000-0005-0000-0000-0000724D0000}"/>
    <cellStyle name="40% - Accent5 4 2 9 4" xfId="26852" xr:uid="{00000000-0005-0000-0000-0000734D0000}"/>
    <cellStyle name="40% - Accent5 4 2 9 5" xfId="26853" xr:uid="{00000000-0005-0000-0000-0000744D0000}"/>
    <cellStyle name="40% - Accent5 4 3" xfId="2447" xr:uid="{00000000-0005-0000-0000-0000754D0000}"/>
    <cellStyle name="40% - Accent5 4 3 10" xfId="26854" xr:uid="{00000000-0005-0000-0000-0000764D0000}"/>
    <cellStyle name="40% - Accent5 4 3 10 2" xfId="26855" xr:uid="{00000000-0005-0000-0000-0000774D0000}"/>
    <cellStyle name="40% - Accent5 4 3 10 3" xfId="26856" xr:uid="{00000000-0005-0000-0000-0000784D0000}"/>
    <cellStyle name="40% - Accent5 4 3 11" xfId="26857" xr:uid="{00000000-0005-0000-0000-0000794D0000}"/>
    <cellStyle name="40% - Accent5 4 3 11 2" xfId="26858" xr:uid="{00000000-0005-0000-0000-00007A4D0000}"/>
    <cellStyle name="40% - Accent5 4 3 12" xfId="26859" xr:uid="{00000000-0005-0000-0000-00007B4D0000}"/>
    <cellStyle name="40% - Accent5 4 3 13" xfId="26860" xr:uid="{00000000-0005-0000-0000-00007C4D0000}"/>
    <cellStyle name="40% - Accent5 4 3 14" xfId="26861" xr:uid="{00000000-0005-0000-0000-00007D4D0000}"/>
    <cellStyle name="40% - Accent5 4 3 2" xfId="2448" xr:uid="{00000000-0005-0000-0000-00007E4D0000}"/>
    <cellStyle name="40% - Accent5 4 3 2 10" xfId="26862" xr:uid="{00000000-0005-0000-0000-00007F4D0000}"/>
    <cellStyle name="40% - Accent5 4 3 2 10 2" xfId="26863" xr:uid="{00000000-0005-0000-0000-0000804D0000}"/>
    <cellStyle name="40% - Accent5 4 3 2 11" xfId="26864" xr:uid="{00000000-0005-0000-0000-0000814D0000}"/>
    <cellStyle name="40% - Accent5 4 3 2 12" xfId="26865" xr:uid="{00000000-0005-0000-0000-0000824D0000}"/>
    <cellStyle name="40% - Accent5 4 3 2 2" xfId="2449" xr:uid="{00000000-0005-0000-0000-0000834D0000}"/>
    <cellStyle name="40% - Accent5 4 3 2 2 10" xfId="26866" xr:uid="{00000000-0005-0000-0000-0000844D0000}"/>
    <cellStyle name="40% - Accent5 4 3 2 2 2" xfId="2450" xr:uid="{00000000-0005-0000-0000-0000854D0000}"/>
    <cellStyle name="40% - Accent5 4 3 2 2 2 2" xfId="26867" xr:uid="{00000000-0005-0000-0000-0000864D0000}"/>
    <cellStyle name="40% - Accent5 4 3 2 2 2 2 2" xfId="26868" xr:uid="{00000000-0005-0000-0000-0000874D0000}"/>
    <cellStyle name="40% - Accent5 4 3 2 2 2 2 2 2" xfId="26869" xr:uid="{00000000-0005-0000-0000-0000884D0000}"/>
    <cellStyle name="40% - Accent5 4 3 2 2 2 2 2 3" xfId="26870" xr:uid="{00000000-0005-0000-0000-0000894D0000}"/>
    <cellStyle name="40% - Accent5 4 3 2 2 2 2 3" xfId="26871" xr:uid="{00000000-0005-0000-0000-00008A4D0000}"/>
    <cellStyle name="40% - Accent5 4 3 2 2 2 2 3 2" xfId="26872" xr:uid="{00000000-0005-0000-0000-00008B4D0000}"/>
    <cellStyle name="40% - Accent5 4 3 2 2 2 2 3 3" xfId="26873" xr:uid="{00000000-0005-0000-0000-00008C4D0000}"/>
    <cellStyle name="40% - Accent5 4 3 2 2 2 2 4" xfId="26874" xr:uid="{00000000-0005-0000-0000-00008D4D0000}"/>
    <cellStyle name="40% - Accent5 4 3 2 2 2 2 4 2" xfId="26875" xr:uid="{00000000-0005-0000-0000-00008E4D0000}"/>
    <cellStyle name="40% - Accent5 4 3 2 2 2 2 5" xfId="26876" xr:uid="{00000000-0005-0000-0000-00008F4D0000}"/>
    <cellStyle name="40% - Accent5 4 3 2 2 2 2 6" xfId="26877" xr:uid="{00000000-0005-0000-0000-0000904D0000}"/>
    <cellStyle name="40% - Accent5 4 3 2 2 2 3" xfId="26878" xr:uid="{00000000-0005-0000-0000-0000914D0000}"/>
    <cellStyle name="40% - Accent5 4 3 2 2 2 3 2" xfId="26879" xr:uid="{00000000-0005-0000-0000-0000924D0000}"/>
    <cellStyle name="40% - Accent5 4 3 2 2 2 3 2 2" xfId="26880" xr:uid="{00000000-0005-0000-0000-0000934D0000}"/>
    <cellStyle name="40% - Accent5 4 3 2 2 2 3 2 3" xfId="26881" xr:uid="{00000000-0005-0000-0000-0000944D0000}"/>
    <cellStyle name="40% - Accent5 4 3 2 2 2 3 3" xfId="26882" xr:uid="{00000000-0005-0000-0000-0000954D0000}"/>
    <cellStyle name="40% - Accent5 4 3 2 2 2 3 3 2" xfId="26883" xr:uid="{00000000-0005-0000-0000-0000964D0000}"/>
    <cellStyle name="40% - Accent5 4 3 2 2 2 3 3 3" xfId="26884" xr:uid="{00000000-0005-0000-0000-0000974D0000}"/>
    <cellStyle name="40% - Accent5 4 3 2 2 2 3 4" xfId="26885" xr:uid="{00000000-0005-0000-0000-0000984D0000}"/>
    <cellStyle name="40% - Accent5 4 3 2 2 2 3 4 2" xfId="26886" xr:uid="{00000000-0005-0000-0000-0000994D0000}"/>
    <cellStyle name="40% - Accent5 4 3 2 2 2 3 5" xfId="26887" xr:uid="{00000000-0005-0000-0000-00009A4D0000}"/>
    <cellStyle name="40% - Accent5 4 3 2 2 2 3 6" xfId="26888" xr:uid="{00000000-0005-0000-0000-00009B4D0000}"/>
    <cellStyle name="40% - Accent5 4 3 2 2 2 4" xfId="26889" xr:uid="{00000000-0005-0000-0000-00009C4D0000}"/>
    <cellStyle name="40% - Accent5 4 3 2 2 2 4 2" xfId="26890" xr:uid="{00000000-0005-0000-0000-00009D4D0000}"/>
    <cellStyle name="40% - Accent5 4 3 2 2 2 4 2 2" xfId="26891" xr:uid="{00000000-0005-0000-0000-00009E4D0000}"/>
    <cellStyle name="40% - Accent5 4 3 2 2 2 4 2 3" xfId="26892" xr:uid="{00000000-0005-0000-0000-00009F4D0000}"/>
    <cellStyle name="40% - Accent5 4 3 2 2 2 4 3" xfId="26893" xr:uid="{00000000-0005-0000-0000-0000A04D0000}"/>
    <cellStyle name="40% - Accent5 4 3 2 2 2 4 3 2" xfId="26894" xr:uid="{00000000-0005-0000-0000-0000A14D0000}"/>
    <cellStyle name="40% - Accent5 4 3 2 2 2 4 4" xfId="26895" xr:uid="{00000000-0005-0000-0000-0000A24D0000}"/>
    <cellStyle name="40% - Accent5 4 3 2 2 2 4 5" xfId="26896" xr:uid="{00000000-0005-0000-0000-0000A34D0000}"/>
    <cellStyle name="40% - Accent5 4 3 2 2 2 5" xfId="26897" xr:uid="{00000000-0005-0000-0000-0000A44D0000}"/>
    <cellStyle name="40% - Accent5 4 3 2 2 2 5 2" xfId="26898" xr:uid="{00000000-0005-0000-0000-0000A54D0000}"/>
    <cellStyle name="40% - Accent5 4 3 2 2 2 5 3" xfId="26899" xr:uid="{00000000-0005-0000-0000-0000A64D0000}"/>
    <cellStyle name="40% - Accent5 4 3 2 2 2 6" xfId="26900" xr:uid="{00000000-0005-0000-0000-0000A74D0000}"/>
    <cellStyle name="40% - Accent5 4 3 2 2 2 6 2" xfId="26901" xr:uid="{00000000-0005-0000-0000-0000A84D0000}"/>
    <cellStyle name="40% - Accent5 4 3 2 2 2 6 3" xfId="26902" xr:uid="{00000000-0005-0000-0000-0000A94D0000}"/>
    <cellStyle name="40% - Accent5 4 3 2 2 2 7" xfId="26903" xr:uid="{00000000-0005-0000-0000-0000AA4D0000}"/>
    <cellStyle name="40% - Accent5 4 3 2 2 2 7 2" xfId="26904" xr:uid="{00000000-0005-0000-0000-0000AB4D0000}"/>
    <cellStyle name="40% - Accent5 4 3 2 2 2 8" xfId="26905" xr:uid="{00000000-0005-0000-0000-0000AC4D0000}"/>
    <cellStyle name="40% - Accent5 4 3 2 2 2 9" xfId="26906" xr:uid="{00000000-0005-0000-0000-0000AD4D0000}"/>
    <cellStyle name="40% - Accent5 4 3 2 2 3" xfId="26907" xr:uid="{00000000-0005-0000-0000-0000AE4D0000}"/>
    <cellStyle name="40% - Accent5 4 3 2 2 3 2" xfId="26908" xr:uid="{00000000-0005-0000-0000-0000AF4D0000}"/>
    <cellStyle name="40% - Accent5 4 3 2 2 3 2 2" xfId="26909" xr:uid="{00000000-0005-0000-0000-0000B04D0000}"/>
    <cellStyle name="40% - Accent5 4 3 2 2 3 2 3" xfId="26910" xr:uid="{00000000-0005-0000-0000-0000B14D0000}"/>
    <cellStyle name="40% - Accent5 4 3 2 2 3 3" xfId="26911" xr:uid="{00000000-0005-0000-0000-0000B24D0000}"/>
    <cellStyle name="40% - Accent5 4 3 2 2 3 3 2" xfId="26912" xr:uid="{00000000-0005-0000-0000-0000B34D0000}"/>
    <cellStyle name="40% - Accent5 4 3 2 2 3 3 3" xfId="26913" xr:uid="{00000000-0005-0000-0000-0000B44D0000}"/>
    <cellStyle name="40% - Accent5 4 3 2 2 3 4" xfId="26914" xr:uid="{00000000-0005-0000-0000-0000B54D0000}"/>
    <cellStyle name="40% - Accent5 4 3 2 2 3 4 2" xfId="26915" xr:uid="{00000000-0005-0000-0000-0000B64D0000}"/>
    <cellStyle name="40% - Accent5 4 3 2 2 3 5" xfId="26916" xr:uid="{00000000-0005-0000-0000-0000B74D0000}"/>
    <cellStyle name="40% - Accent5 4 3 2 2 3 6" xfId="26917" xr:uid="{00000000-0005-0000-0000-0000B84D0000}"/>
    <cellStyle name="40% - Accent5 4 3 2 2 4" xfId="26918" xr:uid="{00000000-0005-0000-0000-0000B94D0000}"/>
    <cellStyle name="40% - Accent5 4 3 2 2 4 2" xfId="26919" xr:uid="{00000000-0005-0000-0000-0000BA4D0000}"/>
    <cellStyle name="40% - Accent5 4 3 2 2 4 2 2" xfId="26920" xr:uid="{00000000-0005-0000-0000-0000BB4D0000}"/>
    <cellStyle name="40% - Accent5 4 3 2 2 4 2 3" xfId="26921" xr:uid="{00000000-0005-0000-0000-0000BC4D0000}"/>
    <cellStyle name="40% - Accent5 4 3 2 2 4 3" xfId="26922" xr:uid="{00000000-0005-0000-0000-0000BD4D0000}"/>
    <cellStyle name="40% - Accent5 4 3 2 2 4 3 2" xfId="26923" xr:uid="{00000000-0005-0000-0000-0000BE4D0000}"/>
    <cellStyle name="40% - Accent5 4 3 2 2 4 3 3" xfId="26924" xr:uid="{00000000-0005-0000-0000-0000BF4D0000}"/>
    <cellStyle name="40% - Accent5 4 3 2 2 4 4" xfId="26925" xr:uid="{00000000-0005-0000-0000-0000C04D0000}"/>
    <cellStyle name="40% - Accent5 4 3 2 2 4 4 2" xfId="26926" xr:uid="{00000000-0005-0000-0000-0000C14D0000}"/>
    <cellStyle name="40% - Accent5 4 3 2 2 4 5" xfId="26927" xr:uid="{00000000-0005-0000-0000-0000C24D0000}"/>
    <cellStyle name="40% - Accent5 4 3 2 2 4 6" xfId="26928" xr:uid="{00000000-0005-0000-0000-0000C34D0000}"/>
    <cellStyle name="40% - Accent5 4 3 2 2 5" xfId="26929" xr:uid="{00000000-0005-0000-0000-0000C44D0000}"/>
    <cellStyle name="40% - Accent5 4 3 2 2 5 2" xfId="26930" xr:uid="{00000000-0005-0000-0000-0000C54D0000}"/>
    <cellStyle name="40% - Accent5 4 3 2 2 5 2 2" xfId="26931" xr:uid="{00000000-0005-0000-0000-0000C64D0000}"/>
    <cellStyle name="40% - Accent5 4 3 2 2 5 2 3" xfId="26932" xr:uid="{00000000-0005-0000-0000-0000C74D0000}"/>
    <cellStyle name="40% - Accent5 4 3 2 2 5 3" xfId="26933" xr:uid="{00000000-0005-0000-0000-0000C84D0000}"/>
    <cellStyle name="40% - Accent5 4 3 2 2 5 3 2" xfId="26934" xr:uid="{00000000-0005-0000-0000-0000C94D0000}"/>
    <cellStyle name="40% - Accent5 4 3 2 2 5 4" xfId="26935" xr:uid="{00000000-0005-0000-0000-0000CA4D0000}"/>
    <cellStyle name="40% - Accent5 4 3 2 2 5 5" xfId="26936" xr:uid="{00000000-0005-0000-0000-0000CB4D0000}"/>
    <cellStyle name="40% - Accent5 4 3 2 2 6" xfId="26937" xr:uid="{00000000-0005-0000-0000-0000CC4D0000}"/>
    <cellStyle name="40% - Accent5 4 3 2 2 6 2" xfId="26938" xr:uid="{00000000-0005-0000-0000-0000CD4D0000}"/>
    <cellStyle name="40% - Accent5 4 3 2 2 6 3" xfId="26939" xr:uid="{00000000-0005-0000-0000-0000CE4D0000}"/>
    <cellStyle name="40% - Accent5 4 3 2 2 7" xfId="26940" xr:uid="{00000000-0005-0000-0000-0000CF4D0000}"/>
    <cellStyle name="40% - Accent5 4 3 2 2 7 2" xfId="26941" xr:uid="{00000000-0005-0000-0000-0000D04D0000}"/>
    <cellStyle name="40% - Accent5 4 3 2 2 7 3" xfId="26942" xr:uid="{00000000-0005-0000-0000-0000D14D0000}"/>
    <cellStyle name="40% - Accent5 4 3 2 2 8" xfId="26943" xr:uid="{00000000-0005-0000-0000-0000D24D0000}"/>
    <cellStyle name="40% - Accent5 4 3 2 2 8 2" xfId="26944" xr:uid="{00000000-0005-0000-0000-0000D34D0000}"/>
    <cellStyle name="40% - Accent5 4 3 2 2 9" xfId="26945" xr:uid="{00000000-0005-0000-0000-0000D44D0000}"/>
    <cellStyle name="40% - Accent5 4 3 2 3" xfId="2451" xr:uid="{00000000-0005-0000-0000-0000D54D0000}"/>
    <cellStyle name="40% - Accent5 4 3 2 3 2" xfId="26946" xr:uid="{00000000-0005-0000-0000-0000D64D0000}"/>
    <cellStyle name="40% - Accent5 4 3 2 3 2 2" xfId="26947" xr:uid="{00000000-0005-0000-0000-0000D74D0000}"/>
    <cellStyle name="40% - Accent5 4 3 2 3 2 2 2" xfId="26948" xr:uid="{00000000-0005-0000-0000-0000D84D0000}"/>
    <cellStyle name="40% - Accent5 4 3 2 3 2 2 3" xfId="26949" xr:uid="{00000000-0005-0000-0000-0000D94D0000}"/>
    <cellStyle name="40% - Accent5 4 3 2 3 2 3" xfId="26950" xr:uid="{00000000-0005-0000-0000-0000DA4D0000}"/>
    <cellStyle name="40% - Accent5 4 3 2 3 2 3 2" xfId="26951" xr:uid="{00000000-0005-0000-0000-0000DB4D0000}"/>
    <cellStyle name="40% - Accent5 4 3 2 3 2 3 3" xfId="26952" xr:uid="{00000000-0005-0000-0000-0000DC4D0000}"/>
    <cellStyle name="40% - Accent5 4 3 2 3 2 4" xfId="26953" xr:uid="{00000000-0005-0000-0000-0000DD4D0000}"/>
    <cellStyle name="40% - Accent5 4 3 2 3 2 4 2" xfId="26954" xr:uid="{00000000-0005-0000-0000-0000DE4D0000}"/>
    <cellStyle name="40% - Accent5 4 3 2 3 2 5" xfId="26955" xr:uid="{00000000-0005-0000-0000-0000DF4D0000}"/>
    <cellStyle name="40% - Accent5 4 3 2 3 2 6" xfId="26956" xr:uid="{00000000-0005-0000-0000-0000E04D0000}"/>
    <cellStyle name="40% - Accent5 4 3 2 3 3" xfId="26957" xr:uid="{00000000-0005-0000-0000-0000E14D0000}"/>
    <cellStyle name="40% - Accent5 4 3 2 3 3 2" xfId="26958" xr:uid="{00000000-0005-0000-0000-0000E24D0000}"/>
    <cellStyle name="40% - Accent5 4 3 2 3 3 2 2" xfId="26959" xr:uid="{00000000-0005-0000-0000-0000E34D0000}"/>
    <cellStyle name="40% - Accent5 4 3 2 3 3 2 3" xfId="26960" xr:uid="{00000000-0005-0000-0000-0000E44D0000}"/>
    <cellStyle name="40% - Accent5 4 3 2 3 3 3" xfId="26961" xr:uid="{00000000-0005-0000-0000-0000E54D0000}"/>
    <cellStyle name="40% - Accent5 4 3 2 3 3 3 2" xfId="26962" xr:uid="{00000000-0005-0000-0000-0000E64D0000}"/>
    <cellStyle name="40% - Accent5 4 3 2 3 3 3 3" xfId="26963" xr:uid="{00000000-0005-0000-0000-0000E74D0000}"/>
    <cellStyle name="40% - Accent5 4 3 2 3 3 4" xfId="26964" xr:uid="{00000000-0005-0000-0000-0000E84D0000}"/>
    <cellStyle name="40% - Accent5 4 3 2 3 3 4 2" xfId="26965" xr:uid="{00000000-0005-0000-0000-0000E94D0000}"/>
    <cellStyle name="40% - Accent5 4 3 2 3 3 5" xfId="26966" xr:uid="{00000000-0005-0000-0000-0000EA4D0000}"/>
    <cellStyle name="40% - Accent5 4 3 2 3 3 6" xfId="26967" xr:uid="{00000000-0005-0000-0000-0000EB4D0000}"/>
    <cellStyle name="40% - Accent5 4 3 2 3 4" xfId="26968" xr:uid="{00000000-0005-0000-0000-0000EC4D0000}"/>
    <cellStyle name="40% - Accent5 4 3 2 3 4 2" xfId="26969" xr:uid="{00000000-0005-0000-0000-0000ED4D0000}"/>
    <cellStyle name="40% - Accent5 4 3 2 3 4 2 2" xfId="26970" xr:uid="{00000000-0005-0000-0000-0000EE4D0000}"/>
    <cellStyle name="40% - Accent5 4 3 2 3 4 2 3" xfId="26971" xr:uid="{00000000-0005-0000-0000-0000EF4D0000}"/>
    <cellStyle name="40% - Accent5 4 3 2 3 4 3" xfId="26972" xr:uid="{00000000-0005-0000-0000-0000F04D0000}"/>
    <cellStyle name="40% - Accent5 4 3 2 3 4 3 2" xfId="26973" xr:uid="{00000000-0005-0000-0000-0000F14D0000}"/>
    <cellStyle name="40% - Accent5 4 3 2 3 4 4" xfId="26974" xr:uid="{00000000-0005-0000-0000-0000F24D0000}"/>
    <cellStyle name="40% - Accent5 4 3 2 3 4 5" xfId="26975" xr:uid="{00000000-0005-0000-0000-0000F34D0000}"/>
    <cellStyle name="40% - Accent5 4 3 2 3 5" xfId="26976" xr:uid="{00000000-0005-0000-0000-0000F44D0000}"/>
    <cellStyle name="40% - Accent5 4 3 2 3 5 2" xfId="26977" xr:uid="{00000000-0005-0000-0000-0000F54D0000}"/>
    <cellStyle name="40% - Accent5 4 3 2 3 5 3" xfId="26978" xr:uid="{00000000-0005-0000-0000-0000F64D0000}"/>
    <cellStyle name="40% - Accent5 4 3 2 3 6" xfId="26979" xr:uid="{00000000-0005-0000-0000-0000F74D0000}"/>
    <cellStyle name="40% - Accent5 4 3 2 3 6 2" xfId="26980" xr:uid="{00000000-0005-0000-0000-0000F84D0000}"/>
    <cellStyle name="40% - Accent5 4 3 2 3 6 3" xfId="26981" xr:uid="{00000000-0005-0000-0000-0000F94D0000}"/>
    <cellStyle name="40% - Accent5 4 3 2 3 7" xfId="26982" xr:uid="{00000000-0005-0000-0000-0000FA4D0000}"/>
    <cellStyle name="40% - Accent5 4 3 2 3 7 2" xfId="26983" xr:uid="{00000000-0005-0000-0000-0000FB4D0000}"/>
    <cellStyle name="40% - Accent5 4 3 2 3 8" xfId="26984" xr:uid="{00000000-0005-0000-0000-0000FC4D0000}"/>
    <cellStyle name="40% - Accent5 4 3 2 3 9" xfId="26985" xr:uid="{00000000-0005-0000-0000-0000FD4D0000}"/>
    <cellStyle name="40% - Accent5 4 3 2 4" xfId="26986" xr:uid="{00000000-0005-0000-0000-0000FE4D0000}"/>
    <cellStyle name="40% - Accent5 4 3 2 4 2" xfId="26987" xr:uid="{00000000-0005-0000-0000-0000FF4D0000}"/>
    <cellStyle name="40% - Accent5 4 3 2 4 2 2" xfId="26988" xr:uid="{00000000-0005-0000-0000-0000004E0000}"/>
    <cellStyle name="40% - Accent5 4 3 2 4 2 2 2" xfId="26989" xr:uid="{00000000-0005-0000-0000-0000014E0000}"/>
    <cellStyle name="40% - Accent5 4 3 2 4 2 2 3" xfId="26990" xr:uid="{00000000-0005-0000-0000-0000024E0000}"/>
    <cellStyle name="40% - Accent5 4 3 2 4 2 3" xfId="26991" xr:uid="{00000000-0005-0000-0000-0000034E0000}"/>
    <cellStyle name="40% - Accent5 4 3 2 4 2 3 2" xfId="26992" xr:uid="{00000000-0005-0000-0000-0000044E0000}"/>
    <cellStyle name="40% - Accent5 4 3 2 4 2 3 3" xfId="26993" xr:uid="{00000000-0005-0000-0000-0000054E0000}"/>
    <cellStyle name="40% - Accent5 4 3 2 4 2 4" xfId="26994" xr:uid="{00000000-0005-0000-0000-0000064E0000}"/>
    <cellStyle name="40% - Accent5 4 3 2 4 2 4 2" xfId="26995" xr:uid="{00000000-0005-0000-0000-0000074E0000}"/>
    <cellStyle name="40% - Accent5 4 3 2 4 2 5" xfId="26996" xr:uid="{00000000-0005-0000-0000-0000084E0000}"/>
    <cellStyle name="40% - Accent5 4 3 2 4 2 6" xfId="26997" xr:uid="{00000000-0005-0000-0000-0000094E0000}"/>
    <cellStyle name="40% - Accent5 4 3 2 4 3" xfId="26998" xr:uid="{00000000-0005-0000-0000-00000A4E0000}"/>
    <cellStyle name="40% - Accent5 4 3 2 4 3 2" xfId="26999" xr:uid="{00000000-0005-0000-0000-00000B4E0000}"/>
    <cellStyle name="40% - Accent5 4 3 2 4 3 2 2" xfId="27000" xr:uid="{00000000-0005-0000-0000-00000C4E0000}"/>
    <cellStyle name="40% - Accent5 4 3 2 4 3 2 3" xfId="27001" xr:uid="{00000000-0005-0000-0000-00000D4E0000}"/>
    <cellStyle name="40% - Accent5 4 3 2 4 3 3" xfId="27002" xr:uid="{00000000-0005-0000-0000-00000E4E0000}"/>
    <cellStyle name="40% - Accent5 4 3 2 4 3 3 2" xfId="27003" xr:uid="{00000000-0005-0000-0000-00000F4E0000}"/>
    <cellStyle name="40% - Accent5 4 3 2 4 3 3 3" xfId="27004" xr:uid="{00000000-0005-0000-0000-0000104E0000}"/>
    <cellStyle name="40% - Accent5 4 3 2 4 3 4" xfId="27005" xr:uid="{00000000-0005-0000-0000-0000114E0000}"/>
    <cellStyle name="40% - Accent5 4 3 2 4 3 4 2" xfId="27006" xr:uid="{00000000-0005-0000-0000-0000124E0000}"/>
    <cellStyle name="40% - Accent5 4 3 2 4 3 5" xfId="27007" xr:uid="{00000000-0005-0000-0000-0000134E0000}"/>
    <cellStyle name="40% - Accent5 4 3 2 4 3 6" xfId="27008" xr:uid="{00000000-0005-0000-0000-0000144E0000}"/>
    <cellStyle name="40% - Accent5 4 3 2 4 4" xfId="27009" xr:uid="{00000000-0005-0000-0000-0000154E0000}"/>
    <cellStyle name="40% - Accent5 4 3 2 4 4 2" xfId="27010" xr:uid="{00000000-0005-0000-0000-0000164E0000}"/>
    <cellStyle name="40% - Accent5 4 3 2 4 4 2 2" xfId="27011" xr:uid="{00000000-0005-0000-0000-0000174E0000}"/>
    <cellStyle name="40% - Accent5 4 3 2 4 4 2 3" xfId="27012" xr:uid="{00000000-0005-0000-0000-0000184E0000}"/>
    <cellStyle name="40% - Accent5 4 3 2 4 4 3" xfId="27013" xr:uid="{00000000-0005-0000-0000-0000194E0000}"/>
    <cellStyle name="40% - Accent5 4 3 2 4 4 3 2" xfId="27014" xr:uid="{00000000-0005-0000-0000-00001A4E0000}"/>
    <cellStyle name="40% - Accent5 4 3 2 4 4 4" xfId="27015" xr:uid="{00000000-0005-0000-0000-00001B4E0000}"/>
    <cellStyle name="40% - Accent5 4 3 2 4 4 5" xfId="27016" xr:uid="{00000000-0005-0000-0000-00001C4E0000}"/>
    <cellStyle name="40% - Accent5 4 3 2 4 5" xfId="27017" xr:uid="{00000000-0005-0000-0000-00001D4E0000}"/>
    <cellStyle name="40% - Accent5 4 3 2 4 5 2" xfId="27018" xr:uid="{00000000-0005-0000-0000-00001E4E0000}"/>
    <cellStyle name="40% - Accent5 4 3 2 4 5 3" xfId="27019" xr:uid="{00000000-0005-0000-0000-00001F4E0000}"/>
    <cellStyle name="40% - Accent5 4 3 2 4 6" xfId="27020" xr:uid="{00000000-0005-0000-0000-0000204E0000}"/>
    <cellStyle name="40% - Accent5 4 3 2 4 6 2" xfId="27021" xr:uid="{00000000-0005-0000-0000-0000214E0000}"/>
    <cellStyle name="40% - Accent5 4 3 2 4 6 3" xfId="27022" xr:uid="{00000000-0005-0000-0000-0000224E0000}"/>
    <cellStyle name="40% - Accent5 4 3 2 4 7" xfId="27023" xr:uid="{00000000-0005-0000-0000-0000234E0000}"/>
    <cellStyle name="40% - Accent5 4 3 2 4 7 2" xfId="27024" xr:uid="{00000000-0005-0000-0000-0000244E0000}"/>
    <cellStyle name="40% - Accent5 4 3 2 4 8" xfId="27025" xr:uid="{00000000-0005-0000-0000-0000254E0000}"/>
    <cellStyle name="40% - Accent5 4 3 2 4 9" xfId="27026" xr:uid="{00000000-0005-0000-0000-0000264E0000}"/>
    <cellStyle name="40% - Accent5 4 3 2 5" xfId="27027" xr:uid="{00000000-0005-0000-0000-0000274E0000}"/>
    <cellStyle name="40% - Accent5 4 3 2 5 2" xfId="27028" xr:uid="{00000000-0005-0000-0000-0000284E0000}"/>
    <cellStyle name="40% - Accent5 4 3 2 5 2 2" xfId="27029" xr:uid="{00000000-0005-0000-0000-0000294E0000}"/>
    <cellStyle name="40% - Accent5 4 3 2 5 2 3" xfId="27030" xr:uid="{00000000-0005-0000-0000-00002A4E0000}"/>
    <cellStyle name="40% - Accent5 4 3 2 5 3" xfId="27031" xr:uid="{00000000-0005-0000-0000-00002B4E0000}"/>
    <cellStyle name="40% - Accent5 4 3 2 5 3 2" xfId="27032" xr:uid="{00000000-0005-0000-0000-00002C4E0000}"/>
    <cellStyle name="40% - Accent5 4 3 2 5 3 3" xfId="27033" xr:uid="{00000000-0005-0000-0000-00002D4E0000}"/>
    <cellStyle name="40% - Accent5 4 3 2 5 4" xfId="27034" xr:uid="{00000000-0005-0000-0000-00002E4E0000}"/>
    <cellStyle name="40% - Accent5 4 3 2 5 4 2" xfId="27035" xr:uid="{00000000-0005-0000-0000-00002F4E0000}"/>
    <cellStyle name="40% - Accent5 4 3 2 5 5" xfId="27036" xr:uid="{00000000-0005-0000-0000-0000304E0000}"/>
    <cellStyle name="40% - Accent5 4 3 2 5 6" xfId="27037" xr:uid="{00000000-0005-0000-0000-0000314E0000}"/>
    <cellStyle name="40% - Accent5 4 3 2 6" xfId="27038" xr:uid="{00000000-0005-0000-0000-0000324E0000}"/>
    <cellStyle name="40% - Accent5 4 3 2 6 2" xfId="27039" xr:uid="{00000000-0005-0000-0000-0000334E0000}"/>
    <cellStyle name="40% - Accent5 4 3 2 6 2 2" xfId="27040" xr:uid="{00000000-0005-0000-0000-0000344E0000}"/>
    <cellStyle name="40% - Accent5 4 3 2 6 2 3" xfId="27041" xr:uid="{00000000-0005-0000-0000-0000354E0000}"/>
    <cellStyle name="40% - Accent5 4 3 2 6 3" xfId="27042" xr:uid="{00000000-0005-0000-0000-0000364E0000}"/>
    <cellStyle name="40% - Accent5 4 3 2 6 3 2" xfId="27043" xr:uid="{00000000-0005-0000-0000-0000374E0000}"/>
    <cellStyle name="40% - Accent5 4 3 2 6 3 3" xfId="27044" xr:uid="{00000000-0005-0000-0000-0000384E0000}"/>
    <cellStyle name="40% - Accent5 4 3 2 6 4" xfId="27045" xr:uid="{00000000-0005-0000-0000-0000394E0000}"/>
    <cellStyle name="40% - Accent5 4 3 2 6 4 2" xfId="27046" xr:uid="{00000000-0005-0000-0000-00003A4E0000}"/>
    <cellStyle name="40% - Accent5 4 3 2 6 5" xfId="27047" xr:uid="{00000000-0005-0000-0000-00003B4E0000}"/>
    <cellStyle name="40% - Accent5 4 3 2 6 6" xfId="27048" xr:uid="{00000000-0005-0000-0000-00003C4E0000}"/>
    <cellStyle name="40% - Accent5 4 3 2 7" xfId="27049" xr:uid="{00000000-0005-0000-0000-00003D4E0000}"/>
    <cellStyle name="40% - Accent5 4 3 2 7 2" xfId="27050" xr:uid="{00000000-0005-0000-0000-00003E4E0000}"/>
    <cellStyle name="40% - Accent5 4 3 2 7 2 2" xfId="27051" xr:uid="{00000000-0005-0000-0000-00003F4E0000}"/>
    <cellStyle name="40% - Accent5 4 3 2 7 2 3" xfId="27052" xr:uid="{00000000-0005-0000-0000-0000404E0000}"/>
    <cellStyle name="40% - Accent5 4 3 2 7 3" xfId="27053" xr:uid="{00000000-0005-0000-0000-0000414E0000}"/>
    <cellStyle name="40% - Accent5 4 3 2 7 3 2" xfId="27054" xr:uid="{00000000-0005-0000-0000-0000424E0000}"/>
    <cellStyle name="40% - Accent5 4 3 2 7 4" xfId="27055" xr:uid="{00000000-0005-0000-0000-0000434E0000}"/>
    <cellStyle name="40% - Accent5 4 3 2 7 5" xfId="27056" xr:uid="{00000000-0005-0000-0000-0000444E0000}"/>
    <cellStyle name="40% - Accent5 4 3 2 8" xfId="27057" xr:uid="{00000000-0005-0000-0000-0000454E0000}"/>
    <cellStyle name="40% - Accent5 4 3 2 8 2" xfId="27058" xr:uid="{00000000-0005-0000-0000-0000464E0000}"/>
    <cellStyle name="40% - Accent5 4 3 2 8 3" xfId="27059" xr:uid="{00000000-0005-0000-0000-0000474E0000}"/>
    <cellStyle name="40% - Accent5 4 3 2 9" xfId="27060" xr:uid="{00000000-0005-0000-0000-0000484E0000}"/>
    <cellStyle name="40% - Accent5 4 3 2 9 2" xfId="27061" xr:uid="{00000000-0005-0000-0000-0000494E0000}"/>
    <cellStyle name="40% - Accent5 4 3 2 9 3" xfId="27062" xr:uid="{00000000-0005-0000-0000-00004A4E0000}"/>
    <cellStyle name="40% - Accent5 4 3 3" xfId="2452" xr:uid="{00000000-0005-0000-0000-00004B4E0000}"/>
    <cellStyle name="40% - Accent5 4 3 3 10" xfId="27063" xr:uid="{00000000-0005-0000-0000-00004C4E0000}"/>
    <cellStyle name="40% - Accent5 4 3 3 2" xfId="2453" xr:uid="{00000000-0005-0000-0000-00004D4E0000}"/>
    <cellStyle name="40% - Accent5 4 3 3 2 2" xfId="27064" xr:uid="{00000000-0005-0000-0000-00004E4E0000}"/>
    <cellStyle name="40% - Accent5 4 3 3 2 2 2" xfId="27065" xr:uid="{00000000-0005-0000-0000-00004F4E0000}"/>
    <cellStyle name="40% - Accent5 4 3 3 2 2 2 2" xfId="27066" xr:uid="{00000000-0005-0000-0000-0000504E0000}"/>
    <cellStyle name="40% - Accent5 4 3 3 2 2 2 3" xfId="27067" xr:uid="{00000000-0005-0000-0000-0000514E0000}"/>
    <cellStyle name="40% - Accent5 4 3 3 2 2 3" xfId="27068" xr:uid="{00000000-0005-0000-0000-0000524E0000}"/>
    <cellStyle name="40% - Accent5 4 3 3 2 2 3 2" xfId="27069" xr:uid="{00000000-0005-0000-0000-0000534E0000}"/>
    <cellStyle name="40% - Accent5 4 3 3 2 2 3 3" xfId="27070" xr:uid="{00000000-0005-0000-0000-0000544E0000}"/>
    <cellStyle name="40% - Accent5 4 3 3 2 2 4" xfId="27071" xr:uid="{00000000-0005-0000-0000-0000554E0000}"/>
    <cellStyle name="40% - Accent5 4 3 3 2 2 4 2" xfId="27072" xr:uid="{00000000-0005-0000-0000-0000564E0000}"/>
    <cellStyle name="40% - Accent5 4 3 3 2 2 5" xfId="27073" xr:uid="{00000000-0005-0000-0000-0000574E0000}"/>
    <cellStyle name="40% - Accent5 4 3 3 2 2 6" xfId="27074" xr:uid="{00000000-0005-0000-0000-0000584E0000}"/>
    <cellStyle name="40% - Accent5 4 3 3 2 3" xfId="27075" xr:uid="{00000000-0005-0000-0000-0000594E0000}"/>
    <cellStyle name="40% - Accent5 4 3 3 2 3 2" xfId="27076" xr:uid="{00000000-0005-0000-0000-00005A4E0000}"/>
    <cellStyle name="40% - Accent5 4 3 3 2 3 2 2" xfId="27077" xr:uid="{00000000-0005-0000-0000-00005B4E0000}"/>
    <cellStyle name="40% - Accent5 4 3 3 2 3 2 3" xfId="27078" xr:uid="{00000000-0005-0000-0000-00005C4E0000}"/>
    <cellStyle name="40% - Accent5 4 3 3 2 3 3" xfId="27079" xr:uid="{00000000-0005-0000-0000-00005D4E0000}"/>
    <cellStyle name="40% - Accent5 4 3 3 2 3 3 2" xfId="27080" xr:uid="{00000000-0005-0000-0000-00005E4E0000}"/>
    <cellStyle name="40% - Accent5 4 3 3 2 3 3 3" xfId="27081" xr:uid="{00000000-0005-0000-0000-00005F4E0000}"/>
    <cellStyle name="40% - Accent5 4 3 3 2 3 4" xfId="27082" xr:uid="{00000000-0005-0000-0000-0000604E0000}"/>
    <cellStyle name="40% - Accent5 4 3 3 2 3 4 2" xfId="27083" xr:uid="{00000000-0005-0000-0000-0000614E0000}"/>
    <cellStyle name="40% - Accent5 4 3 3 2 3 5" xfId="27084" xr:uid="{00000000-0005-0000-0000-0000624E0000}"/>
    <cellStyle name="40% - Accent5 4 3 3 2 3 6" xfId="27085" xr:uid="{00000000-0005-0000-0000-0000634E0000}"/>
    <cellStyle name="40% - Accent5 4 3 3 2 4" xfId="27086" xr:uid="{00000000-0005-0000-0000-0000644E0000}"/>
    <cellStyle name="40% - Accent5 4 3 3 2 4 2" xfId="27087" xr:uid="{00000000-0005-0000-0000-0000654E0000}"/>
    <cellStyle name="40% - Accent5 4 3 3 2 4 2 2" xfId="27088" xr:uid="{00000000-0005-0000-0000-0000664E0000}"/>
    <cellStyle name="40% - Accent5 4 3 3 2 4 2 3" xfId="27089" xr:uid="{00000000-0005-0000-0000-0000674E0000}"/>
    <cellStyle name="40% - Accent5 4 3 3 2 4 3" xfId="27090" xr:uid="{00000000-0005-0000-0000-0000684E0000}"/>
    <cellStyle name="40% - Accent5 4 3 3 2 4 3 2" xfId="27091" xr:uid="{00000000-0005-0000-0000-0000694E0000}"/>
    <cellStyle name="40% - Accent5 4 3 3 2 4 4" xfId="27092" xr:uid="{00000000-0005-0000-0000-00006A4E0000}"/>
    <cellStyle name="40% - Accent5 4 3 3 2 4 5" xfId="27093" xr:uid="{00000000-0005-0000-0000-00006B4E0000}"/>
    <cellStyle name="40% - Accent5 4 3 3 2 5" xfId="27094" xr:uid="{00000000-0005-0000-0000-00006C4E0000}"/>
    <cellStyle name="40% - Accent5 4 3 3 2 5 2" xfId="27095" xr:uid="{00000000-0005-0000-0000-00006D4E0000}"/>
    <cellStyle name="40% - Accent5 4 3 3 2 5 3" xfId="27096" xr:uid="{00000000-0005-0000-0000-00006E4E0000}"/>
    <cellStyle name="40% - Accent5 4 3 3 2 6" xfId="27097" xr:uid="{00000000-0005-0000-0000-00006F4E0000}"/>
    <cellStyle name="40% - Accent5 4 3 3 2 6 2" xfId="27098" xr:uid="{00000000-0005-0000-0000-0000704E0000}"/>
    <cellStyle name="40% - Accent5 4 3 3 2 6 3" xfId="27099" xr:uid="{00000000-0005-0000-0000-0000714E0000}"/>
    <cellStyle name="40% - Accent5 4 3 3 2 7" xfId="27100" xr:uid="{00000000-0005-0000-0000-0000724E0000}"/>
    <cellStyle name="40% - Accent5 4 3 3 2 7 2" xfId="27101" xr:uid="{00000000-0005-0000-0000-0000734E0000}"/>
    <cellStyle name="40% - Accent5 4 3 3 2 8" xfId="27102" xr:uid="{00000000-0005-0000-0000-0000744E0000}"/>
    <cellStyle name="40% - Accent5 4 3 3 2 9" xfId="27103" xr:uid="{00000000-0005-0000-0000-0000754E0000}"/>
    <cellStyle name="40% - Accent5 4 3 3 3" xfId="27104" xr:uid="{00000000-0005-0000-0000-0000764E0000}"/>
    <cellStyle name="40% - Accent5 4 3 3 3 2" xfId="27105" xr:uid="{00000000-0005-0000-0000-0000774E0000}"/>
    <cellStyle name="40% - Accent5 4 3 3 3 2 2" xfId="27106" xr:uid="{00000000-0005-0000-0000-0000784E0000}"/>
    <cellStyle name="40% - Accent5 4 3 3 3 2 3" xfId="27107" xr:uid="{00000000-0005-0000-0000-0000794E0000}"/>
    <cellStyle name="40% - Accent5 4 3 3 3 3" xfId="27108" xr:uid="{00000000-0005-0000-0000-00007A4E0000}"/>
    <cellStyle name="40% - Accent5 4 3 3 3 3 2" xfId="27109" xr:uid="{00000000-0005-0000-0000-00007B4E0000}"/>
    <cellStyle name="40% - Accent5 4 3 3 3 3 3" xfId="27110" xr:uid="{00000000-0005-0000-0000-00007C4E0000}"/>
    <cellStyle name="40% - Accent5 4 3 3 3 4" xfId="27111" xr:uid="{00000000-0005-0000-0000-00007D4E0000}"/>
    <cellStyle name="40% - Accent5 4 3 3 3 4 2" xfId="27112" xr:uid="{00000000-0005-0000-0000-00007E4E0000}"/>
    <cellStyle name="40% - Accent5 4 3 3 3 5" xfId="27113" xr:uid="{00000000-0005-0000-0000-00007F4E0000}"/>
    <cellStyle name="40% - Accent5 4 3 3 3 6" xfId="27114" xr:uid="{00000000-0005-0000-0000-0000804E0000}"/>
    <cellStyle name="40% - Accent5 4 3 3 4" xfId="27115" xr:uid="{00000000-0005-0000-0000-0000814E0000}"/>
    <cellStyle name="40% - Accent5 4 3 3 4 2" xfId="27116" xr:uid="{00000000-0005-0000-0000-0000824E0000}"/>
    <cellStyle name="40% - Accent5 4 3 3 4 2 2" xfId="27117" xr:uid="{00000000-0005-0000-0000-0000834E0000}"/>
    <cellStyle name="40% - Accent5 4 3 3 4 2 3" xfId="27118" xr:uid="{00000000-0005-0000-0000-0000844E0000}"/>
    <cellStyle name="40% - Accent5 4 3 3 4 3" xfId="27119" xr:uid="{00000000-0005-0000-0000-0000854E0000}"/>
    <cellStyle name="40% - Accent5 4 3 3 4 3 2" xfId="27120" xr:uid="{00000000-0005-0000-0000-0000864E0000}"/>
    <cellStyle name="40% - Accent5 4 3 3 4 3 3" xfId="27121" xr:uid="{00000000-0005-0000-0000-0000874E0000}"/>
    <cellStyle name="40% - Accent5 4 3 3 4 4" xfId="27122" xr:uid="{00000000-0005-0000-0000-0000884E0000}"/>
    <cellStyle name="40% - Accent5 4 3 3 4 4 2" xfId="27123" xr:uid="{00000000-0005-0000-0000-0000894E0000}"/>
    <cellStyle name="40% - Accent5 4 3 3 4 5" xfId="27124" xr:uid="{00000000-0005-0000-0000-00008A4E0000}"/>
    <cellStyle name="40% - Accent5 4 3 3 4 6" xfId="27125" xr:uid="{00000000-0005-0000-0000-00008B4E0000}"/>
    <cellStyle name="40% - Accent5 4 3 3 5" xfId="27126" xr:uid="{00000000-0005-0000-0000-00008C4E0000}"/>
    <cellStyle name="40% - Accent5 4 3 3 5 2" xfId="27127" xr:uid="{00000000-0005-0000-0000-00008D4E0000}"/>
    <cellStyle name="40% - Accent5 4 3 3 5 2 2" xfId="27128" xr:uid="{00000000-0005-0000-0000-00008E4E0000}"/>
    <cellStyle name="40% - Accent5 4 3 3 5 2 3" xfId="27129" xr:uid="{00000000-0005-0000-0000-00008F4E0000}"/>
    <cellStyle name="40% - Accent5 4 3 3 5 3" xfId="27130" xr:uid="{00000000-0005-0000-0000-0000904E0000}"/>
    <cellStyle name="40% - Accent5 4 3 3 5 3 2" xfId="27131" xr:uid="{00000000-0005-0000-0000-0000914E0000}"/>
    <cellStyle name="40% - Accent5 4 3 3 5 4" xfId="27132" xr:uid="{00000000-0005-0000-0000-0000924E0000}"/>
    <cellStyle name="40% - Accent5 4 3 3 5 5" xfId="27133" xr:uid="{00000000-0005-0000-0000-0000934E0000}"/>
    <cellStyle name="40% - Accent5 4 3 3 6" xfId="27134" xr:uid="{00000000-0005-0000-0000-0000944E0000}"/>
    <cellStyle name="40% - Accent5 4 3 3 6 2" xfId="27135" xr:uid="{00000000-0005-0000-0000-0000954E0000}"/>
    <cellStyle name="40% - Accent5 4 3 3 6 3" xfId="27136" xr:uid="{00000000-0005-0000-0000-0000964E0000}"/>
    <cellStyle name="40% - Accent5 4 3 3 7" xfId="27137" xr:uid="{00000000-0005-0000-0000-0000974E0000}"/>
    <cellStyle name="40% - Accent5 4 3 3 7 2" xfId="27138" xr:uid="{00000000-0005-0000-0000-0000984E0000}"/>
    <cellStyle name="40% - Accent5 4 3 3 7 3" xfId="27139" xr:uid="{00000000-0005-0000-0000-0000994E0000}"/>
    <cellStyle name="40% - Accent5 4 3 3 8" xfId="27140" xr:uid="{00000000-0005-0000-0000-00009A4E0000}"/>
    <cellStyle name="40% - Accent5 4 3 3 8 2" xfId="27141" xr:uid="{00000000-0005-0000-0000-00009B4E0000}"/>
    <cellStyle name="40% - Accent5 4 3 3 9" xfId="27142" xr:uid="{00000000-0005-0000-0000-00009C4E0000}"/>
    <cellStyle name="40% - Accent5 4 3 4" xfId="2454" xr:uid="{00000000-0005-0000-0000-00009D4E0000}"/>
    <cellStyle name="40% - Accent5 4 3 4 2" xfId="27143" xr:uid="{00000000-0005-0000-0000-00009E4E0000}"/>
    <cellStyle name="40% - Accent5 4 3 4 2 2" xfId="27144" xr:uid="{00000000-0005-0000-0000-00009F4E0000}"/>
    <cellStyle name="40% - Accent5 4 3 4 2 2 2" xfId="27145" xr:uid="{00000000-0005-0000-0000-0000A04E0000}"/>
    <cellStyle name="40% - Accent5 4 3 4 2 2 3" xfId="27146" xr:uid="{00000000-0005-0000-0000-0000A14E0000}"/>
    <cellStyle name="40% - Accent5 4 3 4 2 3" xfId="27147" xr:uid="{00000000-0005-0000-0000-0000A24E0000}"/>
    <cellStyle name="40% - Accent5 4 3 4 2 3 2" xfId="27148" xr:uid="{00000000-0005-0000-0000-0000A34E0000}"/>
    <cellStyle name="40% - Accent5 4 3 4 2 3 3" xfId="27149" xr:uid="{00000000-0005-0000-0000-0000A44E0000}"/>
    <cellStyle name="40% - Accent5 4 3 4 2 4" xfId="27150" xr:uid="{00000000-0005-0000-0000-0000A54E0000}"/>
    <cellStyle name="40% - Accent5 4 3 4 2 4 2" xfId="27151" xr:uid="{00000000-0005-0000-0000-0000A64E0000}"/>
    <cellStyle name="40% - Accent5 4 3 4 2 5" xfId="27152" xr:uid="{00000000-0005-0000-0000-0000A74E0000}"/>
    <cellStyle name="40% - Accent5 4 3 4 2 6" xfId="27153" xr:uid="{00000000-0005-0000-0000-0000A84E0000}"/>
    <cellStyle name="40% - Accent5 4 3 4 3" xfId="27154" xr:uid="{00000000-0005-0000-0000-0000A94E0000}"/>
    <cellStyle name="40% - Accent5 4 3 4 3 2" xfId="27155" xr:uid="{00000000-0005-0000-0000-0000AA4E0000}"/>
    <cellStyle name="40% - Accent5 4 3 4 3 2 2" xfId="27156" xr:uid="{00000000-0005-0000-0000-0000AB4E0000}"/>
    <cellStyle name="40% - Accent5 4 3 4 3 2 3" xfId="27157" xr:uid="{00000000-0005-0000-0000-0000AC4E0000}"/>
    <cellStyle name="40% - Accent5 4 3 4 3 3" xfId="27158" xr:uid="{00000000-0005-0000-0000-0000AD4E0000}"/>
    <cellStyle name="40% - Accent5 4 3 4 3 3 2" xfId="27159" xr:uid="{00000000-0005-0000-0000-0000AE4E0000}"/>
    <cellStyle name="40% - Accent5 4 3 4 3 3 3" xfId="27160" xr:uid="{00000000-0005-0000-0000-0000AF4E0000}"/>
    <cellStyle name="40% - Accent5 4 3 4 3 4" xfId="27161" xr:uid="{00000000-0005-0000-0000-0000B04E0000}"/>
    <cellStyle name="40% - Accent5 4 3 4 3 4 2" xfId="27162" xr:uid="{00000000-0005-0000-0000-0000B14E0000}"/>
    <cellStyle name="40% - Accent5 4 3 4 3 5" xfId="27163" xr:uid="{00000000-0005-0000-0000-0000B24E0000}"/>
    <cellStyle name="40% - Accent5 4 3 4 3 6" xfId="27164" xr:uid="{00000000-0005-0000-0000-0000B34E0000}"/>
    <cellStyle name="40% - Accent5 4 3 4 4" xfId="27165" xr:uid="{00000000-0005-0000-0000-0000B44E0000}"/>
    <cellStyle name="40% - Accent5 4 3 4 4 2" xfId="27166" xr:uid="{00000000-0005-0000-0000-0000B54E0000}"/>
    <cellStyle name="40% - Accent5 4 3 4 4 2 2" xfId="27167" xr:uid="{00000000-0005-0000-0000-0000B64E0000}"/>
    <cellStyle name="40% - Accent5 4 3 4 4 2 3" xfId="27168" xr:uid="{00000000-0005-0000-0000-0000B74E0000}"/>
    <cellStyle name="40% - Accent5 4 3 4 4 3" xfId="27169" xr:uid="{00000000-0005-0000-0000-0000B84E0000}"/>
    <cellStyle name="40% - Accent5 4 3 4 4 3 2" xfId="27170" xr:uid="{00000000-0005-0000-0000-0000B94E0000}"/>
    <cellStyle name="40% - Accent5 4 3 4 4 4" xfId="27171" xr:uid="{00000000-0005-0000-0000-0000BA4E0000}"/>
    <cellStyle name="40% - Accent5 4 3 4 4 5" xfId="27172" xr:uid="{00000000-0005-0000-0000-0000BB4E0000}"/>
    <cellStyle name="40% - Accent5 4 3 4 5" xfId="27173" xr:uid="{00000000-0005-0000-0000-0000BC4E0000}"/>
    <cellStyle name="40% - Accent5 4 3 4 5 2" xfId="27174" xr:uid="{00000000-0005-0000-0000-0000BD4E0000}"/>
    <cellStyle name="40% - Accent5 4 3 4 5 3" xfId="27175" xr:uid="{00000000-0005-0000-0000-0000BE4E0000}"/>
    <cellStyle name="40% - Accent5 4 3 4 6" xfId="27176" xr:uid="{00000000-0005-0000-0000-0000BF4E0000}"/>
    <cellStyle name="40% - Accent5 4 3 4 6 2" xfId="27177" xr:uid="{00000000-0005-0000-0000-0000C04E0000}"/>
    <cellStyle name="40% - Accent5 4 3 4 6 3" xfId="27178" xr:uid="{00000000-0005-0000-0000-0000C14E0000}"/>
    <cellStyle name="40% - Accent5 4 3 4 7" xfId="27179" xr:uid="{00000000-0005-0000-0000-0000C24E0000}"/>
    <cellStyle name="40% - Accent5 4 3 4 7 2" xfId="27180" xr:uid="{00000000-0005-0000-0000-0000C34E0000}"/>
    <cellStyle name="40% - Accent5 4 3 4 8" xfId="27181" xr:uid="{00000000-0005-0000-0000-0000C44E0000}"/>
    <cellStyle name="40% - Accent5 4 3 4 9" xfId="27182" xr:uid="{00000000-0005-0000-0000-0000C54E0000}"/>
    <cellStyle name="40% - Accent5 4 3 5" xfId="27183" xr:uid="{00000000-0005-0000-0000-0000C64E0000}"/>
    <cellStyle name="40% - Accent5 4 3 5 2" xfId="27184" xr:uid="{00000000-0005-0000-0000-0000C74E0000}"/>
    <cellStyle name="40% - Accent5 4 3 5 2 2" xfId="27185" xr:uid="{00000000-0005-0000-0000-0000C84E0000}"/>
    <cellStyle name="40% - Accent5 4 3 5 2 2 2" xfId="27186" xr:uid="{00000000-0005-0000-0000-0000C94E0000}"/>
    <cellStyle name="40% - Accent5 4 3 5 2 2 3" xfId="27187" xr:uid="{00000000-0005-0000-0000-0000CA4E0000}"/>
    <cellStyle name="40% - Accent5 4 3 5 2 3" xfId="27188" xr:uid="{00000000-0005-0000-0000-0000CB4E0000}"/>
    <cellStyle name="40% - Accent5 4 3 5 2 3 2" xfId="27189" xr:uid="{00000000-0005-0000-0000-0000CC4E0000}"/>
    <cellStyle name="40% - Accent5 4 3 5 2 3 3" xfId="27190" xr:uid="{00000000-0005-0000-0000-0000CD4E0000}"/>
    <cellStyle name="40% - Accent5 4 3 5 2 4" xfId="27191" xr:uid="{00000000-0005-0000-0000-0000CE4E0000}"/>
    <cellStyle name="40% - Accent5 4 3 5 2 4 2" xfId="27192" xr:uid="{00000000-0005-0000-0000-0000CF4E0000}"/>
    <cellStyle name="40% - Accent5 4 3 5 2 5" xfId="27193" xr:uid="{00000000-0005-0000-0000-0000D04E0000}"/>
    <cellStyle name="40% - Accent5 4 3 5 2 6" xfId="27194" xr:uid="{00000000-0005-0000-0000-0000D14E0000}"/>
    <cellStyle name="40% - Accent5 4 3 5 3" xfId="27195" xr:uid="{00000000-0005-0000-0000-0000D24E0000}"/>
    <cellStyle name="40% - Accent5 4 3 5 3 2" xfId="27196" xr:uid="{00000000-0005-0000-0000-0000D34E0000}"/>
    <cellStyle name="40% - Accent5 4 3 5 3 2 2" xfId="27197" xr:uid="{00000000-0005-0000-0000-0000D44E0000}"/>
    <cellStyle name="40% - Accent5 4 3 5 3 2 3" xfId="27198" xr:uid="{00000000-0005-0000-0000-0000D54E0000}"/>
    <cellStyle name="40% - Accent5 4 3 5 3 3" xfId="27199" xr:uid="{00000000-0005-0000-0000-0000D64E0000}"/>
    <cellStyle name="40% - Accent5 4 3 5 3 3 2" xfId="27200" xr:uid="{00000000-0005-0000-0000-0000D74E0000}"/>
    <cellStyle name="40% - Accent5 4 3 5 3 3 3" xfId="27201" xr:uid="{00000000-0005-0000-0000-0000D84E0000}"/>
    <cellStyle name="40% - Accent5 4 3 5 3 4" xfId="27202" xr:uid="{00000000-0005-0000-0000-0000D94E0000}"/>
    <cellStyle name="40% - Accent5 4 3 5 3 4 2" xfId="27203" xr:uid="{00000000-0005-0000-0000-0000DA4E0000}"/>
    <cellStyle name="40% - Accent5 4 3 5 3 5" xfId="27204" xr:uid="{00000000-0005-0000-0000-0000DB4E0000}"/>
    <cellStyle name="40% - Accent5 4 3 5 3 6" xfId="27205" xr:uid="{00000000-0005-0000-0000-0000DC4E0000}"/>
    <cellStyle name="40% - Accent5 4 3 5 4" xfId="27206" xr:uid="{00000000-0005-0000-0000-0000DD4E0000}"/>
    <cellStyle name="40% - Accent5 4 3 5 4 2" xfId="27207" xr:uid="{00000000-0005-0000-0000-0000DE4E0000}"/>
    <cellStyle name="40% - Accent5 4 3 5 4 2 2" xfId="27208" xr:uid="{00000000-0005-0000-0000-0000DF4E0000}"/>
    <cellStyle name="40% - Accent5 4 3 5 4 2 3" xfId="27209" xr:uid="{00000000-0005-0000-0000-0000E04E0000}"/>
    <cellStyle name="40% - Accent5 4 3 5 4 3" xfId="27210" xr:uid="{00000000-0005-0000-0000-0000E14E0000}"/>
    <cellStyle name="40% - Accent5 4 3 5 4 3 2" xfId="27211" xr:uid="{00000000-0005-0000-0000-0000E24E0000}"/>
    <cellStyle name="40% - Accent5 4 3 5 4 4" xfId="27212" xr:uid="{00000000-0005-0000-0000-0000E34E0000}"/>
    <cellStyle name="40% - Accent5 4 3 5 4 5" xfId="27213" xr:uid="{00000000-0005-0000-0000-0000E44E0000}"/>
    <cellStyle name="40% - Accent5 4 3 5 5" xfId="27214" xr:uid="{00000000-0005-0000-0000-0000E54E0000}"/>
    <cellStyle name="40% - Accent5 4 3 5 5 2" xfId="27215" xr:uid="{00000000-0005-0000-0000-0000E64E0000}"/>
    <cellStyle name="40% - Accent5 4 3 5 5 3" xfId="27216" xr:uid="{00000000-0005-0000-0000-0000E74E0000}"/>
    <cellStyle name="40% - Accent5 4 3 5 6" xfId="27217" xr:uid="{00000000-0005-0000-0000-0000E84E0000}"/>
    <cellStyle name="40% - Accent5 4 3 5 6 2" xfId="27218" xr:uid="{00000000-0005-0000-0000-0000E94E0000}"/>
    <cellStyle name="40% - Accent5 4 3 5 6 3" xfId="27219" xr:uid="{00000000-0005-0000-0000-0000EA4E0000}"/>
    <cellStyle name="40% - Accent5 4 3 5 7" xfId="27220" xr:uid="{00000000-0005-0000-0000-0000EB4E0000}"/>
    <cellStyle name="40% - Accent5 4 3 5 7 2" xfId="27221" xr:uid="{00000000-0005-0000-0000-0000EC4E0000}"/>
    <cellStyle name="40% - Accent5 4 3 5 8" xfId="27222" xr:uid="{00000000-0005-0000-0000-0000ED4E0000}"/>
    <cellStyle name="40% - Accent5 4 3 5 9" xfId="27223" xr:uid="{00000000-0005-0000-0000-0000EE4E0000}"/>
    <cellStyle name="40% - Accent5 4 3 6" xfId="27224" xr:uid="{00000000-0005-0000-0000-0000EF4E0000}"/>
    <cellStyle name="40% - Accent5 4 3 6 2" xfId="27225" xr:uid="{00000000-0005-0000-0000-0000F04E0000}"/>
    <cellStyle name="40% - Accent5 4 3 6 2 2" xfId="27226" xr:uid="{00000000-0005-0000-0000-0000F14E0000}"/>
    <cellStyle name="40% - Accent5 4 3 6 2 3" xfId="27227" xr:uid="{00000000-0005-0000-0000-0000F24E0000}"/>
    <cellStyle name="40% - Accent5 4 3 6 3" xfId="27228" xr:uid="{00000000-0005-0000-0000-0000F34E0000}"/>
    <cellStyle name="40% - Accent5 4 3 6 3 2" xfId="27229" xr:uid="{00000000-0005-0000-0000-0000F44E0000}"/>
    <cellStyle name="40% - Accent5 4 3 6 3 3" xfId="27230" xr:uid="{00000000-0005-0000-0000-0000F54E0000}"/>
    <cellStyle name="40% - Accent5 4 3 6 4" xfId="27231" xr:uid="{00000000-0005-0000-0000-0000F64E0000}"/>
    <cellStyle name="40% - Accent5 4 3 6 4 2" xfId="27232" xr:uid="{00000000-0005-0000-0000-0000F74E0000}"/>
    <cellStyle name="40% - Accent5 4 3 6 5" xfId="27233" xr:uid="{00000000-0005-0000-0000-0000F84E0000}"/>
    <cellStyle name="40% - Accent5 4 3 6 6" xfId="27234" xr:uid="{00000000-0005-0000-0000-0000F94E0000}"/>
    <cellStyle name="40% - Accent5 4 3 7" xfId="27235" xr:uid="{00000000-0005-0000-0000-0000FA4E0000}"/>
    <cellStyle name="40% - Accent5 4 3 7 2" xfId="27236" xr:uid="{00000000-0005-0000-0000-0000FB4E0000}"/>
    <cellStyle name="40% - Accent5 4 3 7 2 2" xfId="27237" xr:uid="{00000000-0005-0000-0000-0000FC4E0000}"/>
    <cellStyle name="40% - Accent5 4 3 7 2 3" xfId="27238" xr:uid="{00000000-0005-0000-0000-0000FD4E0000}"/>
    <cellStyle name="40% - Accent5 4 3 7 3" xfId="27239" xr:uid="{00000000-0005-0000-0000-0000FE4E0000}"/>
    <cellStyle name="40% - Accent5 4 3 7 3 2" xfId="27240" xr:uid="{00000000-0005-0000-0000-0000FF4E0000}"/>
    <cellStyle name="40% - Accent5 4 3 7 3 3" xfId="27241" xr:uid="{00000000-0005-0000-0000-0000004F0000}"/>
    <cellStyle name="40% - Accent5 4 3 7 4" xfId="27242" xr:uid="{00000000-0005-0000-0000-0000014F0000}"/>
    <cellStyle name="40% - Accent5 4 3 7 4 2" xfId="27243" xr:uid="{00000000-0005-0000-0000-0000024F0000}"/>
    <cellStyle name="40% - Accent5 4 3 7 5" xfId="27244" xr:uid="{00000000-0005-0000-0000-0000034F0000}"/>
    <cellStyle name="40% - Accent5 4 3 7 6" xfId="27245" xr:uid="{00000000-0005-0000-0000-0000044F0000}"/>
    <cellStyle name="40% - Accent5 4 3 8" xfId="27246" xr:uid="{00000000-0005-0000-0000-0000054F0000}"/>
    <cellStyle name="40% - Accent5 4 3 8 2" xfId="27247" xr:uid="{00000000-0005-0000-0000-0000064F0000}"/>
    <cellStyle name="40% - Accent5 4 3 8 2 2" xfId="27248" xr:uid="{00000000-0005-0000-0000-0000074F0000}"/>
    <cellStyle name="40% - Accent5 4 3 8 2 3" xfId="27249" xr:uid="{00000000-0005-0000-0000-0000084F0000}"/>
    <cellStyle name="40% - Accent5 4 3 8 3" xfId="27250" xr:uid="{00000000-0005-0000-0000-0000094F0000}"/>
    <cellStyle name="40% - Accent5 4 3 8 3 2" xfId="27251" xr:uid="{00000000-0005-0000-0000-00000A4F0000}"/>
    <cellStyle name="40% - Accent5 4 3 8 4" xfId="27252" xr:uid="{00000000-0005-0000-0000-00000B4F0000}"/>
    <cellStyle name="40% - Accent5 4 3 8 5" xfId="27253" xr:uid="{00000000-0005-0000-0000-00000C4F0000}"/>
    <cellStyle name="40% - Accent5 4 3 9" xfId="27254" xr:uid="{00000000-0005-0000-0000-00000D4F0000}"/>
    <cellStyle name="40% - Accent5 4 3 9 2" xfId="27255" xr:uid="{00000000-0005-0000-0000-00000E4F0000}"/>
    <cellStyle name="40% - Accent5 4 3 9 3" xfId="27256" xr:uid="{00000000-0005-0000-0000-00000F4F0000}"/>
    <cellStyle name="40% - Accent5 4 4" xfId="2455" xr:uid="{00000000-0005-0000-0000-0000104F0000}"/>
    <cellStyle name="40% - Accent5 4 4 10" xfId="27257" xr:uid="{00000000-0005-0000-0000-0000114F0000}"/>
    <cellStyle name="40% - Accent5 4 4 10 2" xfId="27258" xr:uid="{00000000-0005-0000-0000-0000124F0000}"/>
    <cellStyle name="40% - Accent5 4 4 11" xfId="27259" xr:uid="{00000000-0005-0000-0000-0000134F0000}"/>
    <cellStyle name="40% - Accent5 4 4 12" xfId="27260" xr:uid="{00000000-0005-0000-0000-0000144F0000}"/>
    <cellStyle name="40% - Accent5 4 4 2" xfId="2456" xr:uid="{00000000-0005-0000-0000-0000154F0000}"/>
    <cellStyle name="40% - Accent5 4 4 2 10" xfId="27261" xr:uid="{00000000-0005-0000-0000-0000164F0000}"/>
    <cellStyle name="40% - Accent5 4 4 2 2" xfId="2457" xr:uid="{00000000-0005-0000-0000-0000174F0000}"/>
    <cellStyle name="40% - Accent5 4 4 2 2 2" xfId="27262" xr:uid="{00000000-0005-0000-0000-0000184F0000}"/>
    <cellStyle name="40% - Accent5 4 4 2 2 2 2" xfId="27263" xr:uid="{00000000-0005-0000-0000-0000194F0000}"/>
    <cellStyle name="40% - Accent5 4 4 2 2 2 2 2" xfId="27264" xr:uid="{00000000-0005-0000-0000-00001A4F0000}"/>
    <cellStyle name="40% - Accent5 4 4 2 2 2 2 3" xfId="27265" xr:uid="{00000000-0005-0000-0000-00001B4F0000}"/>
    <cellStyle name="40% - Accent5 4 4 2 2 2 3" xfId="27266" xr:uid="{00000000-0005-0000-0000-00001C4F0000}"/>
    <cellStyle name="40% - Accent5 4 4 2 2 2 3 2" xfId="27267" xr:uid="{00000000-0005-0000-0000-00001D4F0000}"/>
    <cellStyle name="40% - Accent5 4 4 2 2 2 3 3" xfId="27268" xr:uid="{00000000-0005-0000-0000-00001E4F0000}"/>
    <cellStyle name="40% - Accent5 4 4 2 2 2 4" xfId="27269" xr:uid="{00000000-0005-0000-0000-00001F4F0000}"/>
    <cellStyle name="40% - Accent5 4 4 2 2 2 4 2" xfId="27270" xr:uid="{00000000-0005-0000-0000-0000204F0000}"/>
    <cellStyle name="40% - Accent5 4 4 2 2 2 5" xfId="27271" xr:uid="{00000000-0005-0000-0000-0000214F0000}"/>
    <cellStyle name="40% - Accent5 4 4 2 2 2 6" xfId="27272" xr:uid="{00000000-0005-0000-0000-0000224F0000}"/>
    <cellStyle name="40% - Accent5 4 4 2 2 3" xfId="27273" xr:uid="{00000000-0005-0000-0000-0000234F0000}"/>
    <cellStyle name="40% - Accent5 4 4 2 2 3 2" xfId="27274" xr:uid="{00000000-0005-0000-0000-0000244F0000}"/>
    <cellStyle name="40% - Accent5 4 4 2 2 3 2 2" xfId="27275" xr:uid="{00000000-0005-0000-0000-0000254F0000}"/>
    <cellStyle name="40% - Accent5 4 4 2 2 3 2 3" xfId="27276" xr:uid="{00000000-0005-0000-0000-0000264F0000}"/>
    <cellStyle name="40% - Accent5 4 4 2 2 3 3" xfId="27277" xr:uid="{00000000-0005-0000-0000-0000274F0000}"/>
    <cellStyle name="40% - Accent5 4 4 2 2 3 3 2" xfId="27278" xr:uid="{00000000-0005-0000-0000-0000284F0000}"/>
    <cellStyle name="40% - Accent5 4 4 2 2 3 3 3" xfId="27279" xr:uid="{00000000-0005-0000-0000-0000294F0000}"/>
    <cellStyle name="40% - Accent5 4 4 2 2 3 4" xfId="27280" xr:uid="{00000000-0005-0000-0000-00002A4F0000}"/>
    <cellStyle name="40% - Accent5 4 4 2 2 3 4 2" xfId="27281" xr:uid="{00000000-0005-0000-0000-00002B4F0000}"/>
    <cellStyle name="40% - Accent5 4 4 2 2 3 5" xfId="27282" xr:uid="{00000000-0005-0000-0000-00002C4F0000}"/>
    <cellStyle name="40% - Accent5 4 4 2 2 3 6" xfId="27283" xr:uid="{00000000-0005-0000-0000-00002D4F0000}"/>
    <cellStyle name="40% - Accent5 4 4 2 2 4" xfId="27284" xr:uid="{00000000-0005-0000-0000-00002E4F0000}"/>
    <cellStyle name="40% - Accent5 4 4 2 2 4 2" xfId="27285" xr:uid="{00000000-0005-0000-0000-00002F4F0000}"/>
    <cellStyle name="40% - Accent5 4 4 2 2 4 2 2" xfId="27286" xr:uid="{00000000-0005-0000-0000-0000304F0000}"/>
    <cellStyle name="40% - Accent5 4 4 2 2 4 2 3" xfId="27287" xr:uid="{00000000-0005-0000-0000-0000314F0000}"/>
    <cellStyle name="40% - Accent5 4 4 2 2 4 3" xfId="27288" xr:uid="{00000000-0005-0000-0000-0000324F0000}"/>
    <cellStyle name="40% - Accent5 4 4 2 2 4 3 2" xfId="27289" xr:uid="{00000000-0005-0000-0000-0000334F0000}"/>
    <cellStyle name="40% - Accent5 4 4 2 2 4 4" xfId="27290" xr:uid="{00000000-0005-0000-0000-0000344F0000}"/>
    <cellStyle name="40% - Accent5 4 4 2 2 4 5" xfId="27291" xr:uid="{00000000-0005-0000-0000-0000354F0000}"/>
    <cellStyle name="40% - Accent5 4 4 2 2 5" xfId="27292" xr:uid="{00000000-0005-0000-0000-0000364F0000}"/>
    <cellStyle name="40% - Accent5 4 4 2 2 5 2" xfId="27293" xr:uid="{00000000-0005-0000-0000-0000374F0000}"/>
    <cellStyle name="40% - Accent5 4 4 2 2 5 3" xfId="27294" xr:uid="{00000000-0005-0000-0000-0000384F0000}"/>
    <cellStyle name="40% - Accent5 4 4 2 2 6" xfId="27295" xr:uid="{00000000-0005-0000-0000-0000394F0000}"/>
    <cellStyle name="40% - Accent5 4 4 2 2 6 2" xfId="27296" xr:uid="{00000000-0005-0000-0000-00003A4F0000}"/>
    <cellStyle name="40% - Accent5 4 4 2 2 6 3" xfId="27297" xr:uid="{00000000-0005-0000-0000-00003B4F0000}"/>
    <cellStyle name="40% - Accent5 4 4 2 2 7" xfId="27298" xr:uid="{00000000-0005-0000-0000-00003C4F0000}"/>
    <cellStyle name="40% - Accent5 4 4 2 2 7 2" xfId="27299" xr:uid="{00000000-0005-0000-0000-00003D4F0000}"/>
    <cellStyle name="40% - Accent5 4 4 2 2 8" xfId="27300" xr:uid="{00000000-0005-0000-0000-00003E4F0000}"/>
    <cellStyle name="40% - Accent5 4 4 2 2 9" xfId="27301" xr:uid="{00000000-0005-0000-0000-00003F4F0000}"/>
    <cellStyle name="40% - Accent5 4 4 2 3" xfId="27302" xr:uid="{00000000-0005-0000-0000-0000404F0000}"/>
    <cellStyle name="40% - Accent5 4 4 2 3 2" xfId="27303" xr:uid="{00000000-0005-0000-0000-0000414F0000}"/>
    <cellStyle name="40% - Accent5 4 4 2 3 2 2" xfId="27304" xr:uid="{00000000-0005-0000-0000-0000424F0000}"/>
    <cellStyle name="40% - Accent5 4 4 2 3 2 3" xfId="27305" xr:uid="{00000000-0005-0000-0000-0000434F0000}"/>
    <cellStyle name="40% - Accent5 4 4 2 3 3" xfId="27306" xr:uid="{00000000-0005-0000-0000-0000444F0000}"/>
    <cellStyle name="40% - Accent5 4 4 2 3 3 2" xfId="27307" xr:uid="{00000000-0005-0000-0000-0000454F0000}"/>
    <cellStyle name="40% - Accent5 4 4 2 3 3 3" xfId="27308" xr:uid="{00000000-0005-0000-0000-0000464F0000}"/>
    <cellStyle name="40% - Accent5 4 4 2 3 4" xfId="27309" xr:uid="{00000000-0005-0000-0000-0000474F0000}"/>
    <cellStyle name="40% - Accent5 4 4 2 3 4 2" xfId="27310" xr:uid="{00000000-0005-0000-0000-0000484F0000}"/>
    <cellStyle name="40% - Accent5 4 4 2 3 5" xfId="27311" xr:uid="{00000000-0005-0000-0000-0000494F0000}"/>
    <cellStyle name="40% - Accent5 4 4 2 3 6" xfId="27312" xr:uid="{00000000-0005-0000-0000-00004A4F0000}"/>
    <cellStyle name="40% - Accent5 4 4 2 4" xfId="27313" xr:uid="{00000000-0005-0000-0000-00004B4F0000}"/>
    <cellStyle name="40% - Accent5 4 4 2 4 2" xfId="27314" xr:uid="{00000000-0005-0000-0000-00004C4F0000}"/>
    <cellStyle name="40% - Accent5 4 4 2 4 2 2" xfId="27315" xr:uid="{00000000-0005-0000-0000-00004D4F0000}"/>
    <cellStyle name="40% - Accent5 4 4 2 4 2 3" xfId="27316" xr:uid="{00000000-0005-0000-0000-00004E4F0000}"/>
    <cellStyle name="40% - Accent5 4 4 2 4 3" xfId="27317" xr:uid="{00000000-0005-0000-0000-00004F4F0000}"/>
    <cellStyle name="40% - Accent5 4 4 2 4 3 2" xfId="27318" xr:uid="{00000000-0005-0000-0000-0000504F0000}"/>
    <cellStyle name="40% - Accent5 4 4 2 4 3 3" xfId="27319" xr:uid="{00000000-0005-0000-0000-0000514F0000}"/>
    <cellStyle name="40% - Accent5 4 4 2 4 4" xfId="27320" xr:uid="{00000000-0005-0000-0000-0000524F0000}"/>
    <cellStyle name="40% - Accent5 4 4 2 4 4 2" xfId="27321" xr:uid="{00000000-0005-0000-0000-0000534F0000}"/>
    <cellStyle name="40% - Accent5 4 4 2 4 5" xfId="27322" xr:uid="{00000000-0005-0000-0000-0000544F0000}"/>
    <cellStyle name="40% - Accent5 4 4 2 4 6" xfId="27323" xr:uid="{00000000-0005-0000-0000-0000554F0000}"/>
    <cellStyle name="40% - Accent5 4 4 2 5" xfId="27324" xr:uid="{00000000-0005-0000-0000-0000564F0000}"/>
    <cellStyle name="40% - Accent5 4 4 2 5 2" xfId="27325" xr:uid="{00000000-0005-0000-0000-0000574F0000}"/>
    <cellStyle name="40% - Accent5 4 4 2 5 2 2" xfId="27326" xr:uid="{00000000-0005-0000-0000-0000584F0000}"/>
    <cellStyle name="40% - Accent5 4 4 2 5 2 3" xfId="27327" xr:uid="{00000000-0005-0000-0000-0000594F0000}"/>
    <cellStyle name="40% - Accent5 4 4 2 5 3" xfId="27328" xr:uid="{00000000-0005-0000-0000-00005A4F0000}"/>
    <cellStyle name="40% - Accent5 4 4 2 5 3 2" xfId="27329" xr:uid="{00000000-0005-0000-0000-00005B4F0000}"/>
    <cellStyle name="40% - Accent5 4 4 2 5 4" xfId="27330" xr:uid="{00000000-0005-0000-0000-00005C4F0000}"/>
    <cellStyle name="40% - Accent5 4 4 2 5 5" xfId="27331" xr:uid="{00000000-0005-0000-0000-00005D4F0000}"/>
    <cellStyle name="40% - Accent5 4 4 2 6" xfId="27332" xr:uid="{00000000-0005-0000-0000-00005E4F0000}"/>
    <cellStyle name="40% - Accent5 4 4 2 6 2" xfId="27333" xr:uid="{00000000-0005-0000-0000-00005F4F0000}"/>
    <cellStyle name="40% - Accent5 4 4 2 6 3" xfId="27334" xr:uid="{00000000-0005-0000-0000-0000604F0000}"/>
    <cellStyle name="40% - Accent5 4 4 2 7" xfId="27335" xr:uid="{00000000-0005-0000-0000-0000614F0000}"/>
    <cellStyle name="40% - Accent5 4 4 2 7 2" xfId="27336" xr:uid="{00000000-0005-0000-0000-0000624F0000}"/>
    <cellStyle name="40% - Accent5 4 4 2 7 3" xfId="27337" xr:uid="{00000000-0005-0000-0000-0000634F0000}"/>
    <cellStyle name="40% - Accent5 4 4 2 8" xfId="27338" xr:uid="{00000000-0005-0000-0000-0000644F0000}"/>
    <cellStyle name="40% - Accent5 4 4 2 8 2" xfId="27339" xr:uid="{00000000-0005-0000-0000-0000654F0000}"/>
    <cellStyle name="40% - Accent5 4 4 2 9" xfId="27340" xr:uid="{00000000-0005-0000-0000-0000664F0000}"/>
    <cellStyle name="40% - Accent5 4 4 3" xfId="2458" xr:uid="{00000000-0005-0000-0000-0000674F0000}"/>
    <cellStyle name="40% - Accent5 4 4 3 2" xfId="27341" xr:uid="{00000000-0005-0000-0000-0000684F0000}"/>
    <cellStyle name="40% - Accent5 4 4 3 2 2" xfId="27342" xr:uid="{00000000-0005-0000-0000-0000694F0000}"/>
    <cellStyle name="40% - Accent5 4 4 3 2 2 2" xfId="27343" xr:uid="{00000000-0005-0000-0000-00006A4F0000}"/>
    <cellStyle name="40% - Accent5 4 4 3 2 2 3" xfId="27344" xr:uid="{00000000-0005-0000-0000-00006B4F0000}"/>
    <cellStyle name="40% - Accent5 4 4 3 2 3" xfId="27345" xr:uid="{00000000-0005-0000-0000-00006C4F0000}"/>
    <cellStyle name="40% - Accent5 4 4 3 2 3 2" xfId="27346" xr:uid="{00000000-0005-0000-0000-00006D4F0000}"/>
    <cellStyle name="40% - Accent5 4 4 3 2 3 3" xfId="27347" xr:uid="{00000000-0005-0000-0000-00006E4F0000}"/>
    <cellStyle name="40% - Accent5 4 4 3 2 4" xfId="27348" xr:uid="{00000000-0005-0000-0000-00006F4F0000}"/>
    <cellStyle name="40% - Accent5 4 4 3 2 4 2" xfId="27349" xr:uid="{00000000-0005-0000-0000-0000704F0000}"/>
    <cellStyle name="40% - Accent5 4 4 3 2 5" xfId="27350" xr:uid="{00000000-0005-0000-0000-0000714F0000}"/>
    <cellStyle name="40% - Accent5 4 4 3 2 6" xfId="27351" xr:uid="{00000000-0005-0000-0000-0000724F0000}"/>
    <cellStyle name="40% - Accent5 4 4 3 3" xfId="27352" xr:uid="{00000000-0005-0000-0000-0000734F0000}"/>
    <cellStyle name="40% - Accent5 4 4 3 3 2" xfId="27353" xr:uid="{00000000-0005-0000-0000-0000744F0000}"/>
    <cellStyle name="40% - Accent5 4 4 3 3 2 2" xfId="27354" xr:uid="{00000000-0005-0000-0000-0000754F0000}"/>
    <cellStyle name="40% - Accent5 4 4 3 3 2 3" xfId="27355" xr:uid="{00000000-0005-0000-0000-0000764F0000}"/>
    <cellStyle name="40% - Accent5 4 4 3 3 3" xfId="27356" xr:uid="{00000000-0005-0000-0000-0000774F0000}"/>
    <cellStyle name="40% - Accent5 4 4 3 3 3 2" xfId="27357" xr:uid="{00000000-0005-0000-0000-0000784F0000}"/>
    <cellStyle name="40% - Accent5 4 4 3 3 3 3" xfId="27358" xr:uid="{00000000-0005-0000-0000-0000794F0000}"/>
    <cellStyle name="40% - Accent5 4 4 3 3 4" xfId="27359" xr:uid="{00000000-0005-0000-0000-00007A4F0000}"/>
    <cellStyle name="40% - Accent5 4 4 3 3 4 2" xfId="27360" xr:uid="{00000000-0005-0000-0000-00007B4F0000}"/>
    <cellStyle name="40% - Accent5 4 4 3 3 5" xfId="27361" xr:uid="{00000000-0005-0000-0000-00007C4F0000}"/>
    <cellStyle name="40% - Accent5 4 4 3 3 6" xfId="27362" xr:uid="{00000000-0005-0000-0000-00007D4F0000}"/>
    <cellStyle name="40% - Accent5 4 4 3 4" xfId="27363" xr:uid="{00000000-0005-0000-0000-00007E4F0000}"/>
    <cellStyle name="40% - Accent5 4 4 3 4 2" xfId="27364" xr:uid="{00000000-0005-0000-0000-00007F4F0000}"/>
    <cellStyle name="40% - Accent5 4 4 3 4 2 2" xfId="27365" xr:uid="{00000000-0005-0000-0000-0000804F0000}"/>
    <cellStyle name="40% - Accent5 4 4 3 4 2 3" xfId="27366" xr:uid="{00000000-0005-0000-0000-0000814F0000}"/>
    <cellStyle name="40% - Accent5 4 4 3 4 3" xfId="27367" xr:uid="{00000000-0005-0000-0000-0000824F0000}"/>
    <cellStyle name="40% - Accent5 4 4 3 4 3 2" xfId="27368" xr:uid="{00000000-0005-0000-0000-0000834F0000}"/>
    <cellStyle name="40% - Accent5 4 4 3 4 4" xfId="27369" xr:uid="{00000000-0005-0000-0000-0000844F0000}"/>
    <cellStyle name="40% - Accent5 4 4 3 4 5" xfId="27370" xr:uid="{00000000-0005-0000-0000-0000854F0000}"/>
    <cellStyle name="40% - Accent5 4 4 3 5" xfId="27371" xr:uid="{00000000-0005-0000-0000-0000864F0000}"/>
    <cellStyle name="40% - Accent5 4 4 3 5 2" xfId="27372" xr:uid="{00000000-0005-0000-0000-0000874F0000}"/>
    <cellStyle name="40% - Accent5 4 4 3 5 3" xfId="27373" xr:uid="{00000000-0005-0000-0000-0000884F0000}"/>
    <cellStyle name="40% - Accent5 4 4 3 6" xfId="27374" xr:uid="{00000000-0005-0000-0000-0000894F0000}"/>
    <cellStyle name="40% - Accent5 4 4 3 6 2" xfId="27375" xr:uid="{00000000-0005-0000-0000-00008A4F0000}"/>
    <cellStyle name="40% - Accent5 4 4 3 6 3" xfId="27376" xr:uid="{00000000-0005-0000-0000-00008B4F0000}"/>
    <cellStyle name="40% - Accent5 4 4 3 7" xfId="27377" xr:uid="{00000000-0005-0000-0000-00008C4F0000}"/>
    <cellStyle name="40% - Accent5 4 4 3 7 2" xfId="27378" xr:uid="{00000000-0005-0000-0000-00008D4F0000}"/>
    <cellStyle name="40% - Accent5 4 4 3 8" xfId="27379" xr:uid="{00000000-0005-0000-0000-00008E4F0000}"/>
    <cellStyle name="40% - Accent5 4 4 3 9" xfId="27380" xr:uid="{00000000-0005-0000-0000-00008F4F0000}"/>
    <cellStyle name="40% - Accent5 4 4 4" xfId="27381" xr:uid="{00000000-0005-0000-0000-0000904F0000}"/>
    <cellStyle name="40% - Accent5 4 4 4 2" xfId="27382" xr:uid="{00000000-0005-0000-0000-0000914F0000}"/>
    <cellStyle name="40% - Accent5 4 4 4 2 2" xfId="27383" xr:uid="{00000000-0005-0000-0000-0000924F0000}"/>
    <cellStyle name="40% - Accent5 4 4 4 2 2 2" xfId="27384" xr:uid="{00000000-0005-0000-0000-0000934F0000}"/>
    <cellStyle name="40% - Accent5 4 4 4 2 2 3" xfId="27385" xr:uid="{00000000-0005-0000-0000-0000944F0000}"/>
    <cellStyle name="40% - Accent5 4 4 4 2 3" xfId="27386" xr:uid="{00000000-0005-0000-0000-0000954F0000}"/>
    <cellStyle name="40% - Accent5 4 4 4 2 3 2" xfId="27387" xr:uid="{00000000-0005-0000-0000-0000964F0000}"/>
    <cellStyle name="40% - Accent5 4 4 4 2 3 3" xfId="27388" xr:uid="{00000000-0005-0000-0000-0000974F0000}"/>
    <cellStyle name="40% - Accent5 4 4 4 2 4" xfId="27389" xr:uid="{00000000-0005-0000-0000-0000984F0000}"/>
    <cellStyle name="40% - Accent5 4 4 4 2 4 2" xfId="27390" xr:uid="{00000000-0005-0000-0000-0000994F0000}"/>
    <cellStyle name="40% - Accent5 4 4 4 2 5" xfId="27391" xr:uid="{00000000-0005-0000-0000-00009A4F0000}"/>
    <cellStyle name="40% - Accent5 4 4 4 2 6" xfId="27392" xr:uid="{00000000-0005-0000-0000-00009B4F0000}"/>
    <cellStyle name="40% - Accent5 4 4 4 3" xfId="27393" xr:uid="{00000000-0005-0000-0000-00009C4F0000}"/>
    <cellStyle name="40% - Accent5 4 4 4 3 2" xfId="27394" xr:uid="{00000000-0005-0000-0000-00009D4F0000}"/>
    <cellStyle name="40% - Accent5 4 4 4 3 2 2" xfId="27395" xr:uid="{00000000-0005-0000-0000-00009E4F0000}"/>
    <cellStyle name="40% - Accent5 4 4 4 3 2 3" xfId="27396" xr:uid="{00000000-0005-0000-0000-00009F4F0000}"/>
    <cellStyle name="40% - Accent5 4 4 4 3 3" xfId="27397" xr:uid="{00000000-0005-0000-0000-0000A04F0000}"/>
    <cellStyle name="40% - Accent5 4 4 4 3 3 2" xfId="27398" xr:uid="{00000000-0005-0000-0000-0000A14F0000}"/>
    <cellStyle name="40% - Accent5 4 4 4 3 3 3" xfId="27399" xr:uid="{00000000-0005-0000-0000-0000A24F0000}"/>
    <cellStyle name="40% - Accent5 4 4 4 3 4" xfId="27400" xr:uid="{00000000-0005-0000-0000-0000A34F0000}"/>
    <cellStyle name="40% - Accent5 4 4 4 3 4 2" xfId="27401" xr:uid="{00000000-0005-0000-0000-0000A44F0000}"/>
    <cellStyle name="40% - Accent5 4 4 4 3 5" xfId="27402" xr:uid="{00000000-0005-0000-0000-0000A54F0000}"/>
    <cellStyle name="40% - Accent5 4 4 4 3 6" xfId="27403" xr:uid="{00000000-0005-0000-0000-0000A64F0000}"/>
    <cellStyle name="40% - Accent5 4 4 4 4" xfId="27404" xr:uid="{00000000-0005-0000-0000-0000A74F0000}"/>
    <cellStyle name="40% - Accent5 4 4 4 4 2" xfId="27405" xr:uid="{00000000-0005-0000-0000-0000A84F0000}"/>
    <cellStyle name="40% - Accent5 4 4 4 4 2 2" xfId="27406" xr:uid="{00000000-0005-0000-0000-0000A94F0000}"/>
    <cellStyle name="40% - Accent5 4 4 4 4 2 3" xfId="27407" xr:uid="{00000000-0005-0000-0000-0000AA4F0000}"/>
    <cellStyle name="40% - Accent5 4 4 4 4 3" xfId="27408" xr:uid="{00000000-0005-0000-0000-0000AB4F0000}"/>
    <cellStyle name="40% - Accent5 4 4 4 4 3 2" xfId="27409" xr:uid="{00000000-0005-0000-0000-0000AC4F0000}"/>
    <cellStyle name="40% - Accent5 4 4 4 4 4" xfId="27410" xr:uid="{00000000-0005-0000-0000-0000AD4F0000}"/>
    <cellStyle name="40% - Accent5 4 4 4 4 5" xfId="27411" xr:uid="{00000000-0005-0000-0000-0000AE4F0000}"/>
    <cellStyle name="40% - Accent5 4 4 4 5" xfId="27412" xr:uid="{00000000-0005-0000-0000-0000AF4F0000}"/>
    <cellStyle name="40% - Accent5 4 4 4 5 2" xfId="27413" xr:uid="{00000000-0005-0000-0000-0000B04F0000}"/>
    <cellStyle name="40% - Accent5 4 4 4 5 3" xfId="27414" xr:uid="{00000000-0005-0000-0000-0000B14F0000}"/>
    <cellStyle name="40% - Accent5 4 4 4 6" xfId="27415" xr:uid="{00000000-0005-0000-0000-0000B24F0000}"/>
    <cellStyle name="40% - Accent5 4 4 4 6 2" xfId="27416" xr:uid="{00000000-0005-0000-0000-0000B34F0000}"/>
    <cellStyle name="40% - Accent5 4 4 4 6 3" xfId="27417" xr:uid="{00000000-0005-0000-0000-0000B44F0000}"/>
    <cellStyle name="40% - Accent5 4 4 4 7" xfId="27418" xr:uid="{00000000-0005-0000-0000-0000B54F0000}"/>
    <cellStyle name="40% - Accent5 4 4 4 7 2" xfId="27419" xr:uid="{00000000-0005-0000-0000-0000B64F0000}"/>
    <cellStyle name="40% - Accent5 4 4 4 8" xfId="27420" xr:uid="{00000000-0005-0000-0000-0000B74F0000}"/>
    <cellStyle name="40% - Accent5 4 4 4 9" xfId="27421" xr:uid="{00000000-0005-0000-0000-0000B84F0000}"/>
    <cellStyle name="40% - Accent5 4 4 5" xfId="27422" xr:uid="{00000000-0005-0000-0000-0000B94F0000}"/>
    <cellStyle name="40% - Accent5 4 4 5 2" xfId="27423" xr:uid="{00000000-0005-0000-0000-0000BA4F0000}"/>
    <cellStyle name="40% - Accent5 4 4 5 2 2" xfId="27424" xr:uid="{00000000-0005-0000-0000-0000BB4F0000}"/>
    <cellStyle name="40% - Accent5 4 4 5 2 3" xfId="27425" xr:uid="{00000000-0005-0000-0000-0000BC4F0000}"/>
    <cellStyle name="40% - Accent5 4 4 5 3" xfId="27426" xr:uid="{00000000-0005-0000-0000-0000BD4F0000}"/>
    <cellStyle name="40% - Accent5 4 4 5 3 2" xfId="27427" xr:uid="{00000000-0005-0000-0000-0000BE4F0000}"/>
    <cellStyle name="40% - Accent5 4 4 5 3 3" xfId="27428" xr:uid="{00000000-0005-0000-0000-0000BF4F0000}"/>
    <cellStyle name="40% - Accent5 4 4 5 4" xfId="27429" xr:uid="{00000000-0005-0000-0000-0000C04F0000}"/>
    <cellStyle name="40% - Accent5 4 4 5 4 2" xfId="27430" xr:uid="{00000000-0005-0000-0000-0000C14F0000}"/>
    <cellStyle name="40% - Accent5 4 4 5 5" xfId="27431" xr:uid="{00000000-0005-0000-0000-0000C24F0000}"/>
    <cellStyle name="40% - Accent5 4 4 5 6" xfId="27432" xr:uid="{00000000-0005-0000-0000-0000C34F0000}"/>
    <cellStyle name="40% - Accent5 4 4 6" xfId="27433" xr:uid="{00000000-0005-0000-0000-0000C44F0000}"/>
    <cellStyle name="40% - Accent5 4 4 6 2" xfId="27434" xr:uid="{00000000-0005-0000-0000-0000C54F0000}"/>
    <cellStyle name="40% - Accent5 4 4 6 2 2" xfId="27435" xr:uid="{00000000-0005-0000-0000-0000C64F0000}"/>
    <cellStyle name="40% - Accent5 4 4 6 2 3" xfId="27436" xr:uid="{00000000-0005-0000-0000-0000C74F0000}"/>
    <cellStyle name="40% - Accent5 4 4 6 3" xfId="27437" xr:uid="{00000000-0005-0000-0000-0000C84F0000}"/>
    <cellStyle name="40% - Accent5 4 4 6 3 2" xfId="27438" xr:uid="{00000000-0005-0000-0000-0000C94F0000}"/>
    <cellStyle name="40% - Accent5 4 4 6 3 3" xfId="27439" xr:uid="{00000000-0005-0000-0000-0000CA4F0000}"/>
    <cellStyle name="40% - Accent5 4 4 6 4" xfId="27440" xr:uid="{00000000-0005-0000-0000-0000CB4F0000}"/>
    <cellStyle name="40% - Accent5 4 4 6 4 2" xfId="27441" xr:uid="{00000000-0005-0000-0000-0000CC4F0000}"/>
    <cellStyle name="40% - Accent5 4 4 6 5" xfId="27442" xr:uid="{00000000-0005-0000-0000-0000CD4F0000}"/>
    <cellStyle name="40% - Accent5 4 4 6 6" xfId="27443" xr:uid="{00000000-0005-0000-0000-0000CE4F0000}"/>
    <cellStyle name="40% - Accent5 4 4 7" xfId="27444" xr:uid="{00000000-0005-0000-0000-0000CF4F0000}"/>
    <cellStyle name="40% - Accent5 4 4 7 2" xfId="27445" xr:uid="{00000000-0005-0000-0000-0000D04F0000}"/>
    <cellStyle name="40% - Accent5 4 4 7 2 2" xfId="27446" xr:uid="{00000000-0005-0000-0000-0000D14F0000}"/>
    <cellStyle name="40% - Accent5 4 4 7 2 3" xfId="27447" xr:uid="{00000000-0005-0000-0000-0000D24F0000}"/>
    <cellStyle name="40% - Accent5 4 4 7 3" xfId="27448" xr:uid="{00000000-0005-0000-0000-0000D34F0000}"/>
    <cellStyle name="40% - Accent5 4 4 7 3 2" xfId="27449" xr:uid="{00000000-0005-0000-0000-0000D44F0000}"/>
    <cellStyle name="40% - Accent5 4 4 7 4" xfId="27450" xr:uid="{00000000-0005-0000-0000-0000D54F0000}"/>
    <cellStyle name="40% - Accent5 4 4 7 5" xfId="27451" xr:uid="{00000000-0005-0000-0000-0000D64F0000}"/>
    <cellStyle name="40% - Accent5 4 4 8" xfId="27452" xr:uid="{00000000-0005-0000-0000-0000D74F0000}"/>
    <cellStyle name="40% - Accent5 4 4 8 2" xfId="27453" xr:uid="{00000000-0005-0000-0000-0000D84F0000}"/>
    <cellStyle name="40% - Accent5 4 4 8 3" xfId="27454" xr:uid="{00000000-0005-0000-0000-0000D94F0000}"/>
    <cellStyle name="40% - Accent5 4 4 9" xfId="27455" xr:uid="{00000000-0005-0000-0000-0000DA4F0000}"/>
    <cellStyle name="40% - Accent5 4 4 9 2" xfId="27456" xr:uid="{00000000-0005-0000-0000-0000DB4F0000}"/>
    <cellStyle name="40% - Accent5 4 4 9 3" xfId="27457" xr:uid="{00000000-0005-0000-0000-0000DC4F0000}"/>
    <cellStyle name="40% - Accent5 4 5" xfId="2459" xr:uid="{00000000-0005-0000-0000-0000DD4F0000}"/>
    <cellStyle name="40% - Accent5 4 5 10" xfId="27458" xr:uid="{00000000-0005-0000-0000-0000DE4F0000}"/>
    <cellStyle name="40% - Accent5 4 5 2" xfId="2460" xr:uid="{00000000-0005-0000-0000-0000DF4F0000}"/>
    <cellStyle name="40% - Accent5 4 5 2 2" xfId="27459" xr:uid="{00000000-0005-0000-0000-0000E04F0000}"/>
    <cellStyle name="40% - Accent5 4 5 2 2 2" xfId="27460" xr:uid="{00000000-0005-0000-0000-0000E14F0000}"/>
    <cellStyle name="40% - Accent5 4 5 2 2 2 2" xfId="27461" xr:uid="{00000000-0005-0000-0000-0000E24F0000}"/>
    <cellStyle name="40% - Accent5 4 5 2 2 2 3" xfId="27462" xr:uid="{00000000-0005-0000-0000-0000E34F0000}"/>
    <cellStyle name="40% - Accent5 4 5 2 2 3" xfId="27463" xr:uid="{00000000-0005-0000-0000-0000E44F0000}"/>
    <cellStyle name="40% - Accent5 4 5 2 2 3 2" xfId="27464" xr:uid="{00000000-0005-0000-0000-0000E54F0000}"/>
    <cellStyle name="40% - Accent5 4 5 2 2 3 3" xfId="27465" xr:uid="{00000000-0005-0000-0000-0000E64F0000}"/>
    <cellStyle name="40% - Accent5 4 5 2 2 4" xfId="27466" xr:uid="{00000000-0005-0000-0000-0000E74F0000}"/>
    <cellStyle name="40% - Accent5 4 5 2 2 4 2" xfId="27467" xr:uid="{00000000-0005-0000-0000-0000E84F0000}"/>
    <cellStyle name="40% - Accent5 4 5 2 2 5" xfId="27468" xr:uid="{00000000-0005-0000-0000-0000E94F0000}"/>
    <cellStyle name="40% - Accent5 4 5 2 2 6" xfId="27469" xr:uid="{00000000-0005-0000-0000-0000EA4F0000}"/>
    <cellStyle name="40% - Accent5 4 5 2 3" xfId="27470" xr:uid="{00000000-0005-0000-0000-0000EB4F0000}"/>
    <cellStyle name="40% - Accent5 4 5 2 3 2" xfId="27471" xr:uid="{00000000-0005-0000-0000-0000EC4F0000}"/>
    <cellStyle name="40% - Accent5 4 5 2 3 2 2" xfId="27472" xr:uid="{00000000-0005-0000-0000-0000ED4F0000}"/>
    <cellStyle name="40% - Accent5 4 5 2 3 2 3" xfId="27473" xr:uid="{00000000-0005-0000-0000-0000EE4F0000}"/>
    <cellStyle name="40% - Accent5 4 5 2 3 3" xfId="27474" xr:uid="{00000000-0005-0000-0000-0000EF4F0000}"/>
    <cellStyle name="40% - Accent5 4 5 2 3 3 2" xfId="27475" xr:uid="{00000000-0005-0000-0000-0000F04F0000}"/>
    <cellStyle name="40% - Accent5 4 5 2 3 3 3" xfId="27476" xr:uid="{00000000-0005-0000-0000-0000F14F0000}"/>
    <cellStyle name="40% - Accent5 4 5 2 3 4" xfId="27477" xr:uid="{00000000-0005-0000-0000-0000F24F0000}"/>
    <cellStyle name="40% - Accent5 4 5 2 3 4 2" xfId="27478" xr:uid="{00000000-0005-0000-0000-0000F34F0000}"/>
    <cellStyle name="40% - Accent5 4 5 2 3 5" xfId="27479" xr:uid="{00000000-0005-0000-0000-0000F44F0000}"/>
    <cellStyle name="40% - Accent5 4 5 2 3 6" xfId="27480" xr:uid="{00000000-0005-0000-0000-0000F54F0000}"/>
    <cellStyle name="40% - Accent5 4 5 2 4" xfId="27481" xr:uid="{00000000-0005-0000-0000-0000F64F0000}"/>
    <cellStyle name="40% - Accent5 4 5 2 4 2" xfId="27482" xr:uid="{00000000-0005-0000-0000-0000F74F0000}"/>
    <cellStyle name="40% - Accent5 4 5 2 4 2 2" xfId="27483" xr:uid="{00000000-0005-0000-0000-0000F84F0000}"/>
    <cellStyle name="40% - Accent5 4 5 2 4 2 3" xfId="27484" xr:uid="{00000000-0005-0000-0000-0000F94F0000}"/>
    <cellStyle name="40% - Accent5 4 5 2 4 3" xfId="27485" xr:uid="{00000000-0005-0000-0000-0000FA4F0000}"/>
    <cellStyle name="40% - Accent5 4 5 2 4 3 2" xfId="27486" xr:uid="{00000000-0005-0000-0000-0000FB4F0000}"/>
    <cellStyle name="40% - Accent5 4 5 2 4 4" xfId="27487" xr:uid="{00000000-0005-0000-0000-0000FC4F0000}"/>
    <cellStyle name="40% - Accent5 4 5 2 4 5" xfId="27488" xr:uid="{00000000-0005-0000-0000-0000FD4F0000}"/>
    <cellStyle name="40% - Accent5 4 5 2 5" xfId="27489" xr:uid="{00000000-0005-0000-0000-0000FE4F0000}"/>
    <cellStyle name="40% - Accent5 4 5 2 5 2" xfId="27490" xr:uid="{00000000-0005-0000-0000-0000FF4F0000}"/>
    <cellStyle name="40% - Accent5 4 5 2 5 3" xfId="27491" xr:uid="{00000000-0005-0000-0000-000000500000}"/>
    <cellStyle name="40% - Accent5 4 5 2 6" xfId="27492" xr:uid="{00000000-0005-0000-0000-000001500000}"/>
    <cellStyle name="40% - Accent5 4 5 2 6 2" xfId="27493" xr:uid="{00000000-0005-0000-0000-000002500000}"/>
    <cellStyle name="40% - Accent5 4 5 2 6 3" xfId="27494" xr:uid="{00000000-0005-0000-0000-000003500000}"/>
    <cellStyle name="40% - Accent5 4 5 2 7" xfId="27495" xr:uid="{00000000-0005-0000-0000-000004500000}"/>
    <cellStyle name="40% - Accent5 4 5 2 7 2" xfId="27496" xr:uid="{00000000-0005-0000-0000-000005500000}"/>
    <cellStyle name="40% - Accent5 4 5 2 8" xfId="27497" xr:uid="{00000000-0005-0000-0000-000006500000}"/>
    <cellStyle name="40% - Accent5 4 5 2 9" xfId="27498" xr:uid="{00000000-0005-0000-0000-000007500000}"/>
    <cellStyle name="40% - Accent5 4 5 3" xfId="27499" xr:uid="{00000000-0005-0000-0000-000008500000}"/>
    <cellStyle name="40% - Accent5 4 5 3 2" xfId="27500" xr:uid="{00000000-0005-0000-0000-000009500000}"/>
    <cellStyle name="40% - Accent5 4 5 3 2 2" xfId="27501" xr:uid="{00000000-0005-0000-0000-00000A500000}"/>
    <cellStyle name="40% - Accent5 4 5 3 2 3" xfId="27502" xr:uid="{00000000-0005-0000-0000-00000B500000}"/>
    <cellStyle name="40% - Accent5 4 5 3 3" xfId="27503" xr:uid="{00000000-0005-0000-0000-00000C500000}"/>
    <cellStyle name="40% - Accent5 4 5 3 3 2" xfId="27504" xr:uid="{00000000-0005-0000-0000-00000D500000}"/>
    <cellStyle name="40% - Accent5 4 5 3 3 3" xfId="27505" xr:uid="{00000000-0005-0000-0000-00000E500000}"/>
    <cellStyle name="40% - Accent5 4 5 3 4" xfId="27506" xr:uid="{00000000-0005-0000-0000-00000F500000}"/>
    <cellStyle name="40% - Accent5 4 5 3 4 2" xfId="27507" xr:uid="{00000000-0005-0000-0000-000010500000}"/>
    <cellStyle name="40% - Accent5 4 5 3 5" xfId="27508" xr:uid="{00000000-0005-0000-0000-000011500000}"/>
    <cellStyle name="40% - Accent5 4 5 3 6" xfId="27509" xr:uid="{00000000-0005-0000-0000-000012500000}"/>
    <cellStyle name="40% - Accent5 4 5 4" xfId="27510" xr:uid="{00000000-0005-0000-0000-000013500000}"/>
    <cellStyle name="40% - Accent5 4 5 4 2" xfId="27511" xr:uid="{00000000-0005-0000-0000-000014500000}"/>
    <cellStyle name="40% - Accent5 4 5 4 2 2" xfId="27512" xr:uid="{00000000-0005-0000-0000-000015500000}"/>
    <cellStyle name="40% - Accent5 4 5 4 2 3" xfId="27513" xr:uid="{00000000-0005-0000-0000-000016500000}"/>
    <cellStyle name="40% - Accent5 4 5 4 3" xfId="27514" xr:uid="{00000000-0005-0000-0000-000017500000}"/>
    <cellStyle name="40% - Accent5 4 5 4 3 2" xfId="27515" xr:uid="{00000000-0005-0000-0000-000018500000}"/>
    <cellStyle name="40% - Accent5 4 5 4 3 3" xfId="27516" xr:uid="{00000000-0005-0000-0000-000019500000}"/>
    <cellStyle name="40% - Accent5 4 5 4 4" xfId="27517" xr:uid="{00000000-0005-0000-0000-00001A500000}"/>
    <cellStyle name="40% - Accent5 4 5 4 4 2" xfId="27518" xr:uid="{00000000-0005-0000-0000-00001B500000}"/>
    <cellStyle name="40% - Accent5 4 5 4 5" xfId="27519" xr:uid="{00000000-0005-0000-0000-00001C500000}"/>
    <cellStyle name="40% - Accent5 4 5 4 6" xfId="27520" xr:uid="{00000000-0005-0000-0000-00001D500000}"/>
    <cellStyle name="40% - Accent5 4 5 5" xfId="27521" xr:uid="{00000000-0005-0000-0000-00001E500000}"/>
    <cellStyle name="40% - Accent5 4 5 5 2" xfId="27522" xr:uid="{00000000-0005-0000-0000-00001F500000}"/>
    <cellStyle name="40% - Accent5 4 5 5 2 2" xfId="27523" xr:uid="{00000000-0005-0000-0000-000020500000}"/>
    <cellStyle name="40% - Accent5 4 5 5 2 3" xfId="27524" xr:uid="{00000000-0005-0000-0000-000021500000}"/>
    <cellStyle name="40% - Accent5 4 5 5 3" xfId="27525" xr:uid="{00000000-0005-0000-0000-000022500000}"/>
    <cellStyle name="40% - Accent5 4 5 5 3 2" xfId="27526" xr:uid="{00000000-0005-0000-0000-000023500000}"/>
    <cellStyle name="40% - Accent5 4 5 5 4" xfId="27527" xr:uid="{00000000-0005-0000-0000-000024500000}"/>
    <cellStyle name="40% - Accent5 4 5 5 5" xfId="27528" xr:uid="{00000000-0005-0000-0000-000025500000}"/>
    <cellStyle name="40% - Accent5 4 5 6" xfId="27529" xr:uid="{00000000-0005-0000-0000-000026500000}"/>
    <cellStyle name="40% - Accent5 4 5 6 2" xfId="27530" xr:uid="{00000000-0005-0000-0000-000027500000}"/>
    <cellStyle name="40% - Accent5 4 5 6 3" xfId="27531" xr:uid="{00000000-0005-0000-0000-000028500000}"/>
    <cellStyle name="40% - Accent5 4 5 7" xfId="27532" xr:uid="{00000000-0005-0000-0000-000029500000}"/>
    <cellStyle name="40% - Accent5 4 5 7 2" xfId="27533" xr:uid="{00000000-0005-0000-0000-00002A500000}"/>
    <cellStyle name="40% - Accent5 4 5 7 3" xfId="27534" xr:uid="{00000000-0005-0000-0000-00002B500000}"/>
    <cellStyle name="40% - Accent5 4 5 8" xfId="27535" xr:uid="{00000000-0005-0000-0000-00002C500000}"/>
    <cellStyle name="40% - Accent5 4 5 8 2" xfId="27536" xr:uid="{00000000-0005-0000-0000-00002D500000}"/>
    <cellStyle name="40% - Accent5 4 5 9" xfId="27537" xr:uid="{00000000-0005-0000-0000-00002E500000}"/>
    <cellStyle name="40% - Accent5 4 6" xfId="2461" xr:uid="{00000000-0005-0000-0000-00002F500000}"/>
    <cellStyle name="40% - Accent5 4 6 2" xfId="27538" xr:uid="{00000000-0005-0000-0000-000030500000}"/>
    <cellStyle name="40% - Accent5 4 6 2 2" xfId="27539" xr:uid="{00000000-0005-0000-0000-000031500000}"/>
    <cellStyle name="40% - Accent5 4 6 2 2 2" xfId="27540" xr:uid="{00000000-0005-0000-0000-000032500000}"/>
    <cellStyle name="40% - Accent5 4 6 2 2 3" xfId="27541" xr:uid="{00000000-0005-0000-0000-000033500000}"/>
    <cellStyle name="40% - Accent5 4 6 2 3" xfId="27542" xr:uid="{00000000-0005-0000-0000-000034500000}"/>
    <cellStyle name="40% - Accent5 4 6 2 3 2" xfId="27543" xr:uid="{00000000-0005-0000-0000-000035500000}"/>
    <cellStyle name="40% - Accent5 4 6 2 3 3" xfId="27544" xr:uid="{00000000-0005-0000-0000-000036500000}"/>
    <cellStyle name="40% - Accent5 4 6 2 4" xfId="27545" xr:uid="{00000000-0005-0000-0000-000037500000}"/>
    <cellStyle name="40% - Accent5 4 6 2 4 2" xfId="27546" xr:uid="{00000000-0005-0000-0000-000038500000}"/>
    <cellStyle name="40% - Accent5 4 6 2 5" xfId="27547" xr:uid="{00000000-0005-0000-0000-000039500000}"/>
    <cellStyle name="40% - Accent5 4 6 2 6" xfId="27548" xr:uid="{00000000-0005-0000-0000-00003A500000}"/>
    <cellStyle name="40% - Accent5 4 6 3" xfId="27549" xr:uid="{00000000-0005-0000-0000-00003B500000}"/>
    <cellStyle name="40% - Accent5 4 6 3 2" xfId="27550" xr:uid="{00000000-0005-0000-0000-00003C500000}"/>
    <cellStyle name="40% - Accent5 4 6 3 2 2" xfId="27551" xr:uid="{00000000-0005-0000-0000-00003D500000}"/>
    <cellStyle name="40% - Accent5 4 6 3 2 3" xfId="27552" xr:uid="{00000000-0005-0000-0000-00003E500000}"/>
    <cellStyle name="40% - Accent5 4 6 3 3" xfId="27553" xr:uid="{00000000-0005-0000-0000-00003F500000}"/>
    <cellStyle name="40% - Accent5 4 6 3 3 2" xfId="27554" xr:uid="{00000000-0005-0000-0000-000040500000}"/>
    <cellStyle name="40% - Accent5 4 6 3 3 3" xfId="27555" xr:uid="{00000000-0005-0000-0000-000041500000}"/>
    <cellStyle name="40% - Accent5 4 6 3 4" xfId="27556" xr:uid="{00000000-0005-0000-0000-000042500000}"/>
    <cellStyle name="40% - Accent5 4 6 3 4 2" xfId="27557" xr:uid="{00000000-0005-0000-0000-000043500000}"/>
    <cellStyle name="40% - Accent5 4 6 3 5" xfId="27558" xr:uid="{00000000-0005-0000-0000-000044500000}"/>
    <cellStyle name="40% - Accent5 4 6 3 6" xfId="27559" xr:uid="{00000000-0005-0000-0000-000045500000}"/>
    <cellStyle name="40% - Accent5 4 6 4" xfId="27560" xr:uid="{00000000-0005-0000-0000-000046500000}"/>
    <cellStyle name="40% - Accent5 4 6 4 2" xfId="27561" xr:uid="{00000000-0005-0000-0000-000047500000}"/>
    <cellStyle name="40% - Accent5 4 6 4 2 2" xfId="27562" xr:uid="{00000000-0005-0000-0000-000048500000}"/>
    <cellStyle name="40% - Accent5 4 6 4 2 3" xfId="27563" xr:uid="{00000000-0005-0000-0000-000049500000}"/>
    <cellStyle name="40% - Accent5 4 6 4 3" xfId="27564" xr:uid="{00000000-0005-0000-0000-00004A500000}"/>
    <cellStyle name="40% - Accent5 4 6 4 3 2" xfId="27565" xr:uid="{00000000-0005-0000-0000-00004B500000}"/>
    <cellStyle name="40% - Accent5 4 6 4 4" xfId="27566" xr:uid="{00000000-0005-0000-0000-00004C500000}"/>
    <cellStyle name="40% - Accent5 4 6 4 5" xfId="27567" xr:uid="{00000000-0005-0000-0000-00004D500000}"/>
    <cellStyle name="40% - Accent5 4 6 5" xfId="27568" xr:uid="{00000000-0005-0000-0000-00004E500000}"/>
    <cellStyle name="40% - Accent5 4 6 5 2" xfId="27569" xr:uid="{00000000-0005-0000-0000-00004F500000}"/>
    <cellStyle name="40% - Accent5 4 6 5 3" xfId="27570" xr:uid="{00000000-0005-0000-0000-000050500000}"/>
    <cellStyle name="40% - Accent5 4 6 6" xfId="27571" xr:uid="{00000000-0005-0000-0000-000051500000}"/>
    <cellStyle name="40% - Accent5 4 6 6 2" xfId="27572" xr:uid="{00000000-0005-0000-0000-000052500000}"/>
    <cellStyle name="40% - Accent5 4 6 6 3" xfId="27573" xr:uid="{00000000-0005-0000-0000-000053500000}"/>
    <cellStyle name="40% - Accent5 4 6 7" xfId="27574" xr:uid="{00000000-0005-0000-0000-000054500000}"/>
    <cellStyle name="40% - Accent5 4 6 7 2" xfId="27575" xr:uid="{00000000-0005-0000-0000-000055500000}"/>
    <cellStyle name="40% - Accent5 4 6 8" xfId="27576" xr:uid="{00000000-0005-0000-0000-000056500000}"/>
    <cellStyle name="40% - Accent5 4 6 9" xfId="27577" xr:uid="{00000000-0005-0000-0000-000057500000}"/>
    <cellStyle name="40% - Accent5 4 7" xfId="8998" xr:uid="{00000000-0005-0000-0000-000058500000}"/>
    <cellStyle name="40% - Accent5 4 7 2" xfId="27578" xr:uid="{00000000-0005-0000-0000-000059500000}"/>
    <cellStyle name="40% - Accent5 4 7 2 2" xfId="27579" xr:uid="{00000000-0005-0000-0000-00005A500000}"/>
    <cellStyle name="40% - Accent5 4 7 2 2 2" xfId="27580" xr:uid="{00000000-0005-0000-0000-00005B500000}"/>
    <cellStyle name="40% - Accent5 4 7 2 2 3" xfId="27581" xr:uid="{00000000-0005-0000-0000-00005C500000}"/>
    <cellStyle name="40% - Accent5 4 7 2 3" xfId="27582" xr:uid="{00000000-0005-0000-0000-00005D500000}"/>
    <cellStyle name="40% - Accent5 4 7 2 3 2" xfId="27583" xr:uid="{00000000-0005-0000-0000-00005E500000}"/>
    <cellStyle name="40% - Accent5 4 7 2 3 3" xfId="27584" xr:uid="{00000000-0005-0000-0000-00005F500000}"/>
    <cellStyle name="40% - Accent5 4 7 2 4" xfId="27585" xr:uid="{00000000-0005-0000-0000-000060500000}"/>
    <cellStyle name="40% - Accent5 4 7 2 4 2" xfId="27586" xr:uid="{00000000-0005-0000-0000-000061500000}"/>
    <cellStyle name="40% - Accent5 4 7 2 5" xfId="27587" xr:uid="{00000000-0005-0000-0000-000062500000}"/>
    <cellStyle name="40% - Accent5 4 7 2 6" xfId="27588" xr:uid="{00000000-0005-0000-0000-000063500000}"/>
    <cellStyle name="40% - Accent5 4 7 3" xfId="27589" xr:uid="{00000000-0005-0000-0000-000064500000}"/>
    <cellStyle name="40% - Accent5 4 7 3 2" xfId="27590" xr:uid="{00000000-0005-0000-0000-000065500000}"/>
    <cellStyle name="40% - Accent5 4 7 3 2 2" xfId="27591" xr:uid="{00000000-0005-0000-0000-000066500000}"/>
    <cellStyle name="40% - Accent5 4 7 3 2 3" xfId="27592" xr:uid="{00000000-0005-0000-0000-000067500000}"/>
    <cellStyle name="40% - Accent5 4 7 3 3" xfId="27593" xr:uid="{00000000-0005-0000-0000-000068500000}"/>
    <cellStyle name="40% - Accent5 4 7 3 3 2" xfId="27594" xr:uid="{00000000-0005-0000-0000-000069500000}"/>
    <cellStyle name="40% - Accent5 4 7 3 3 3" xfId="27595" xr:uid="{00000000-0005-0000-0000-00006A500000}"/>
    <cellStyle name="40% - Accent5 4 7 3 4" xfId="27596" xr:uid="{00000000-0005-0000-0000-00006B500000}"/>
    <cellStyle name="40% - Accent5 4 7 3 4 2" xfId="27597" xr:uid="{00000000-0005-0000-0000-00006C500000}"/>
    <cellStyle name="40% - Accent5 4 7 3 5" xfId="27598" xr:uid="{00000000-0005-0000-0000-00006D500000}"/>
    <cellStyle name="40% - Accent5 4 7 3 6" xfId="27599" xr:uid="{00000000-0005-0000-0000-00006E500000}"/>
    <cellStyle name="40% - Accent5 4 7 4" xfId="27600" xr:uid="{00000000-0005-0000-0000-00006F500000}"/>
    <cellStyle name="40% - Accent5 4 7 4 2" xfId="27601" xr:uid="{00000000-0005-0000-0000-000070500000}"/>
    <cellStyle name="40% - Accent5 4 7 4 2 2" xfId="27602" xr:uid="{00000000-0005-0000-0000-000071500000}"/>
    <cellStyle name="40% - Accent5 4 7 4 2 3" xfId="27603" xr:uid="{00000000-0005-0000-0000-000072500000}"/>
    <cellStyle name="40% - Accent5 4 7 4 3" xfId="27604" xr:uid="{00000000-0005-0000-0000-000073500000}"/>
    <cellStyle name="40% - Accent5 4 7 4 3 2" xfId="27605" xr:uid="{00000000-0005-0000-0000-000074500000}"/>
    <cellStyle name="40% - Accent5 4 7 4 4" xfId="27606" xr:uid="{00000000-0005-0000-0000-000075500000}"/>
    <cellStyle name="40% - Accent5 4 7 4 5" xfId="27607" xr:uid="{00000000-0005-0000-0000-000076500000}"/>
    <cellStyle name="40% - Accent5 4 7 5" xfId="27608" xr:uid="{00000000-0005-0000-0000-000077500000}"/>
    <cellStyle name="40% - Accent5 4 7 5 2" xfId="27609" xr:uid="{00000000-0005-0000-0000-000078500000}"/>
    <cellStyle name="40% - Accent5 4 7 5 3" xfId="27610" xr:uid="{00000000-0005-0000-0000-000079500000}"/>
    <cellStyle name="40% - Accent5 4 7 6" xfId="27611" xr:uid="{00000000-0005-0000-0000-00007A500000}"/>
    <cellStyle name="40% - Accent5 4 7 6 2" xfId="27612" xr:uid="{00000000-0005-0000-0000-00007B500000}"/>
    <cellStyle name="40% - Accent5 4 7 6 3" xfId="27613" xr:uid="{00000000-0005-0000-0000-00007C500000}"/>
    <cellStyle name="40% - Accent5 4 7 7" xfId="27614" xr:uid="{00000000-0005-0000-0000-00007D500000}"/>
    <cellStyle name="40% - Accent5 4 7 7 2" xfId="27615" xr:uid="{00000000-0005-0000-0000-00007E500000}"/>
    <cellStyle name="40% - Accent5 4 7 8" xfId="27616" xr:uid="{00000000-0005-0000-0000-00007F500000}"/>
    <cellStyle name="40% - Accent5 4 7 9" xfId="27617" xr:uid="{00000000-0005-0000-0000-000080500000}"/>
    <cellStyle name="40% - Accent5 4 8" xfId="27618" xr:uid="{00000000-0005-0000-0000-000081500000}"/>
    <cellStyle name="40% - Accent5 4 8 2" xfId="27619" xr:uid="{00000000-0005-0000-0000-000082500000}"/>
    <cellStyle name="40% - Accent5 4 8 2 2" xfId="27620" xr:uid="{00000000-0005-0000-0000-000083500000}"/>
    <cellStyle name="40% - Accent5 4 8 2 3" xfId="27621" xr:uid="{00000000-0005-0000-0000-000084500000}"/>
    <cellStyle name="40% - Accent5 4 8 3" xfId="27622" xr:uid="{00000000-0005-0000-0000-000085500000}"/>
    <cellStyle name="40% - Accent5 4 8 3 2" xfId="27623" xr:uid="{00000000-0005-0000-0000-000086500000}"/>
    <cellStyle name="40% - Accent5 4 8 3 3" xfId="27624" xr:uid="{00000000-0005-0000-0000-000087500000}"/>
    <cellStyle name="40% - Accent5 4 8 4" xfId="27625" xr:uid="{00000000-0005-0000-0000-000088500000}"/>
    <cellStyle name="40% - Accent5 4 8 4 2" xfId="27626" xr:uid="{00000000-0005-0000-0000-000089500000}"/>
    <cellStyle name="40% - Accent5 4 8 5" xfId="27627" xr:uid="{00000000-0005-0000-0000-00008A500000}"/>
    <cellStyle name="40% - Accent5 4 8 6" xfId="27628" xr:uid="{00000000-0005-0000-0000-00008B500000}"/>
    <cellStyle name="40% - Accent5 4 9" xfId="27629" xr:uid="{00000000-0005-0000-0000-00008C500000}"/>
    <cellStyle name="40% - Accent5 4 9 2" xfId="27630" xr:uid="{00000000-0005-0000-0000-00008D500000}"/>
    <cellStyle name="40% - Accent5 4 9 2 2" xfId="27631" xr:uid="{00000000-0005-0000-0000-00008E500000}"/>
    <cellStyle name="40% - Accent5 4 9 2 3" xfId="27632" xr:uid="{00000000-0005-0000-0000-00008F500000}"/>
    <cellStyle name="40% - Accent5 4 9 3" xfId="27633" xr:uid="{00000000-0005-0000-0000-000090500000}"/>
    <cellStyle name="40% - Accent5 4 9 3 2" xfId="27634" xr:uid="{00000000-0005-0000-0000-000091500000}"/>
    <cellStyle name="40% - Accent5 4 9 3 3" xfId="27635" xr:uid="{00000000-0005-0000-0000-000092500000}"/>
    <cellStyle name="40% - Accent5 4 9 4" xfId="27636" xr:uid="{00000000-0005-0000-0000-000093500000}"/>
    <cellStyle name="40% - Accent5 4 9 4 2" xfId="27637" xr:uid="{00000000-0005-0000-0000-000094500000}"/>
    <cellStyle name="40% - Accent5 4 9 5" xfId="27638" xr:uid="{00000000-0005-0000-0000-000095500000}"/>
    <cellStyle name="40% - Accent5 4 9 6" xfId="27639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101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8999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102" xr:uid="{00000000-0005-0000-0000-0000AE500000}"/>
    <cellStyle name="40% - Accent5 6 2 5" xfId="58103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104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105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106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107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108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109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110" xr:uid="{00000000-0005-0000-0000-0000D7500000}"/>
    <cellStyle name="40% - Accent6 13" xfId="2516" xr:uid="{00000000-0005-0000-0000-0000D8500000}"/>
    <cellStyle name="40% - Accent6 13 2" xfId="58111" xr:uid="{00000000-0005-0000-0000-0000D9500000}"/>
    <cellStyle name="40% - Accent6 14" xfId="9000" xr:uid="{00000000-0005-0000-0000-0000DA500000}"/>
    <cellStyle name="40% - Accent6 15" xfId="9411" xr:uid="{00000000-0005-0000-0000-0000DB500000}"/>
    <cellStyle name="40% - Accent6 16" xfId="9412" xr:uid="{00000000-0005-0000-0000-0000DC500000}"/>
    <cellStyle name="40% - Accent6 17" xfId="9413" xr:uid="{00000000-0005-0000-0000-0000DD500000}"/>
    <cellStyle name="40% - Accent6 17 2" xfId="58112" xr:uid="{00000000-0005-0000-0000-0000DE500000}"/>
    <cellStyle name="40% - Accent6 18" xfId="58113" xr:uid="{00000000-0005-0000-0000-0000DF500000}"/>
    <cellStyle name="40% - Accent6 19" xfId="58114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115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116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117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118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119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120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121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122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123" xr:uid="{00000000-0005-0000-0000-00002A510000}"/>
    <cellStyle name="40% - Accent6 20" xfId="58124" xr:uid="{00000000-0005-0000-0000-00002B510000}"/>
    <cellStyle name="40% - Accent6 21" xfId="58125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01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02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03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04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05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06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07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08" xr:uid="{00000000-0005-0000-0000-000075510000}"/>
    <cellStyle name="40% - Accent6 4" xfId="2647" xr:uid="{00000000-0005-0000-0000-000076510000}"/>
    <cellStyle name="40% - Accent6 4 10" xfId="27640" xr:uid="{00000000-0005-0000-0000-000077510000}"/>
    <cellStyle name="40% - Accent6 4 10 2" xfId="27641" xr:uid="{00000000-0005-0000-0000-000078510000}"/>
    <cellStyle name="40% - Accent6 4 10 2 2" xfId="27642" xr:uid="{00000000-0005-0000-0000-000079510000}"/>
    <cellStyle name="40% - Accent6 4 10 2 3" xfId="27643" xr:uid="{00000000-0005-0000-0000-00007A510000}"/>
    <cellStyle name="40% - Accent6 4 10 3" xfId="27644" xr:uid="{00000000-0005-0000-0000-00007B510000}"/>
    <cellStyle name="40% - Accent6 4 10 3 2" xfId="27645" xr:uid="{00000000-0005-0000-0000-00007C510000}"/>
    <cellStyle name="40% - Accent6 4 10 4" xfId="27646" xr:uid="{00000000-0005-0000-0000-00007D510000}"/>
    <cellStyle name="40% - Accent6 4 10 5" xfId="27647" xr:uid="{00000000-0005-0000-0000-00007E510000}"/>
    <cellStyle name="40% - Accent6 4 11" xfId="27648" xr:uid="{00000000-0005-0000-0000-00007F510000}"/>
    <cellStyle name="40% - Accent6 4 11 2" xfId="27649" xr:uid="{00000000-0005-0000-0000-000080510000}"/>
    <cellStyle name="40% - Accent6 4 11 3" xfId="27650" xr:uid="{00000000-0005-0000-0000-000081510000}"/>
    <cellStyle name="40% - Accent6 4 12" xfId="27651" xr:uid="{00000000-0005-0000-0000-000082510000}"/>
    <cellStyle name="40% - Accent6 4 12 2" xfId="27652" xr:uid="{00000000-0005-0000-0000-000083510000}"/>
    <cellStyle name="40% - Accent6 4 12 3" xfId="27653" xr:uid="{00000000-0005-0000-0000-000084510000}"/>
    <cellStyle name="40% - Accent6 4 13" xfId="27654" xr:uid="{00000000-0005-0000-0000-000085510000}"/>
    <cellStyle name="40% - Accent6 4 13 2" xfId="27655" xr:uid="{00000000-0005-0000-0000-000086510000}"/>
    <cellStyle name="40% - Accent6 4 14" xfId="27656" xr:uid="{00000000-0005-0000-0000-000087510000}"/>
    <cellStyle name="40% - Accent6 4 15" xfId="27657" xr:uid="{00000000-0005-0000-0000-000088510000}"/>
    <cellStyle name="40% - Accent6 4 16" xfId="27658" xr:uid="{00000000-0005-0000-0000-000089510000}"/>
    <cellStyle name="40% - Accent6 4 2" xfId="2648" xr:uid="{00000000-0005-0000-0000-00008A510000}"/>
    <cellStyle name="40% - Accent6 4 2 10" xfId="27659" xr:uid="{00000000-0005-0000-0000-00008B510000}"/>
    <cellStyle name="40% - Accent6 4 2 10 2" xfId="27660" xr:uid="{00000000-0005-0000-0000-00008C510000}"/>
    <cellStyle name="40% - Accent6 4 2 10 3" xfId="27661" xr:uid="{00000000-0005-0000-0000-00008D510000}"/>
    <cellStyle name="40% - Accent6 4 2 11" xfId="27662" xr:uid="{00000000-0005-0000-0000-00008E510000}"/>
    <cellStyle name="40% - Accent6 4 2 11 2" xfId="27663" xr:uid="{00000000-0005-0000-0000-00008F510000}"/>
    <cellStyle name="40% - Accent6 4 2 11 3" xfId="27664" xr:uid="{00000000-0005-0000-0000-000090510000}"/>
    <cellStyle name="40% - Accent6 4 2 12" xfId="27665" xr:uid="{00000000-0005-0000-0000-000091510000}"/>
    <cellStyle name="40% - Accent6 4 2 12 2" xfId="27666" xr:uid="{00000000-0005-0000-0000-000092510000}"/>
    <cellStyle name="40% - Accent6 4 2 13" xfId="27667" xr:uid="{00000000-0005-0000-0000-000093510000}"/>
    <cellStyle name="40% - Accent6 4 2 14" xfId="27668" xr:uid="{00000000-0005-0000-0000-000094510000}"/>
    <cellStyle name="40% - Accent6 4 2 15" xfId="27669" xr:uid="{00000000-0005-0000-0000-000095510000}"/>
    <cellStyle name="40% - Accent6 4 2 2" xfId="2649" xr:uid="{00000000-0005-0000-0000-000096510000}"/>
    <cellStyle name="40% - Accent6 4 2 2 10" xfId="27670" xr:uid="{00000000-0005-0000-0000-000097510000}"/>
    <cellStyle name="40% - Accent6 4 2 2 10 2" xfId="27671" xr:uid="{00000000-0005-0000-0000-000098510000}"/>
    <cellStyle name="40% - Accent6 4 2 2 10 3" xfId="27672" xr:uid="{00000000-0005-0000-0000-000099510000}"/>
    <cellStyle name="40% - Accent6 4 2 2 11" xfId="27673" xr:uid="{00000000-0005-0000-0000-00009A510000}"/>
    <cellStyle name="40% - Accent6 4 2 2 11 2" xfId="27674" xr:uid="{00000000-0005-0000-0000-00009B510000}"/>
    <cellStyle name="40% - Accent6 4 2 2 12" xfId="27675" xr:uid="{00000000-0005-0000-0000-00009C510000}"/>
    <cellStyle name="40% - Accent6 4 2 2 13" xfId="27676" xr:uid="{00000000-0005-0000-0000-00009D510000}"/>
    <cellStyle name="40% - Accent6 4 2 2 2" xfId="2650" xr:uid="{00000000-0005-0000-0000-00009E510000}"/>
    <cellStyle name="40% - Accent6 4 2 2 2 10" xfId="27677" xr:uid="{00000000-0005-0000-0000-00009F510000}"/>
    <cellStyle name="40% - Accent6 4 2 2 2 10 2" xfId="27678" xr:uid="{00000000-0005-0000-0000-0000A0510000}"/>
    <cellStyle name="40% - Accent6 4 2 2 2 11" xfId="27679" xr:uid="{00000000-0005-0000-0000-0000A1510000}"/>
    <cellStyle name="40% - Accent6 4 2 2 2 12" xfId="27680" xr:uid="{00000000-0005-0000-0000-0000A2510000}"/>
    <cellStyle name="40% - Accent6 4 2 2 2 2" xfId="2651" xr:uid="{00000000-0005-0000-0000-0000A3510000}"/>
    <cellStyle name="40% - Accent6 4 2 2 2 2 10" xfId="27681" xr:uid="{00000000-0005-0000-0000-0000A4510000}"/>
    <cellStyle name="40% - Accent6 4 2 2 2 2 2" xfId="2652" xr:uid="{00000000-0005-0000-0000-0000A5510000}"/>
    <cellStyle name="40% - Accent6 4 2 2 2 2 2 2" xfId="27682" xr:uid="{00000000-0005-0000-0000-0000A6510000}"/>
    <cellStyle name="40% - Accent6 4 2 2 2 2 2 2 2" xfId="27683" xr:uid="{00000000-0005-0000-0000-0000A7510000}"/>
    <cellStyle name="40% - Accent6 4 2 2 2 2 2 2 2 2" xfId="27684" xr:uid="{00000000-0005-0000-0000-0000A8510000}"/>
    <cellStyle name="40% - Accent6 4 2 2 2 2 2 2 2 3" xfId="27685" xr:uid="{00000000-0005-0000-0000-0000A9510000}"/>
    <cellStyle name="40% - Accent6 4 2 2 2 2 2 2 3" xfId="27686" xr:uid="{00000000-0005-0000-0000-0000AA510000}"/>
    <cellStyle name="40% - Accent6 4 2 2 2 2 2 2 3 2" xfId="27687" xr:uid="{00000000-0005-0000-0000-0000AB510000}"/>
    <cellStyle name="40% - Accent6 4 2 2 2 2 2 2 3 3" xfId="27688" xr:uid="{00000000-0005-0000-0000-0000AC510000}"/>
    <cellStyle name="40% - Accent6 4 2 2 2 2 2 2 4" xfId="27689" xr:uid="{00000000-0005-0000-0000-0000AD510000}"/>
    <cellStyle name="40% - Accent6 4 2 2 2 2 2 2 4 2" xfId="27690" xr:uid="{00000000-0005-0000-0000-0000AE510000}"/>
    <cellStyle name="40% - Accent6 4 2 2 2 2 2 2 5" xfId="27691" xr:uid="{00000000-0005-0000-0000-0000AF510000}"/>
    <cellStyle name="40% - Accent6 4 2 2 2 2 2 2 6" xfId="27692" xr:uid="{00000000-0005-0000-0000-0000B0510000}"/>
    <cellStyle name="40% - Accent6 4 2 2 2 2 2 3" xfId="27693" xr:uid="{00000000-0005-0000-0000-0000B1510000}"/>
    <cellStyle name="40% - Accent6 4 2 2 2 2 2 3 2" xfId="27694" xr:uid="{00000000-0005-0000-0000-0000B2510000}"/>
    <cellStyle name="40% - Accent6 4 2 2 2 2 2 3 2 2" xfId="27695" xr:uid="{00000000-0005-0000-0000-0000B3510000}"/>
    <cellStyle name="40% - Accent6 4 2 2 2 2 2 3 2 3" xfId="27696" xr:uid="{00000000-0005-0000-0000-0000B4510000}"/>
    <cellStyle name="40% - Accent6 4 2 2 2 2 2 3 3" xfId="27697" xr:uid="{00000000-0005-0000-0000-0000B5510000}"/>
    <cellStyle name="40% - Accent6 4 2 2 2 2 2 3 3 2" xfId="27698" xr:uid="{00000000-0005-0000-0000-0000B6510000}"/>
    <cellStyle name="40% - Accent6 4 2 2 2 2 2 3 3 3" xfId="27699" xr:uid="{00000000-0005-0000-0000-0000B7510000}"/>
    <cellStyle name="40% - Accent6 4 2 2 2 2 2 3 4" xfId="27700" xr:uid="{00000000-0005-0000-0000-0000B8510000}"/>
    <cellStyle name="40% - Accent6 4 2 2 2 2 2 3 4 2" xfId="27701" xr:uid="{00000000-0005-0000-0000-0000B9510000}"/>
    <cellStyle name="40% - Accent6 4 2 2 2 2 2 3 5" xfId="27702" xr:uid="{00000000-0005-0000-0000-0000BA510000}"/>
    <cellStyle name="40% - Accent6 4 2 2 2 2 2 3 6" xfId="27703" xr:uid="{00000000-0005-0000-0000-0000BB510000}"/>
    <cellStyle name="40% - Accent6 4 2 2 2 2 2 4" xfId="27704" xr:uid="{00000000-0005-0000-0000-0000BC510000}"/>
    <cellStyle name="40% - Accent6 4 2 2 2 2 2 4 2" xfId="27705" xr:uid="{00000000-0005-0000-0000-0000BD510000}"/>
    <cellStyle name="40% - Accent6 4 2 2 2 2 2 4 2 2" xfId="27706" xr:uid="{00000000-0005-0000-0000-0000BE510000}"/>
    <cellStyle name="40% - Accent6 4 2 2 2 2 2 4 2 3" xfId="27707" xr:uid="{00000000-0005-0000-0000-0000BF510000}"/>
    <cellStyle name="40% - Accent6 4 2 2 2 2 2 4 3" xfId="27708" xr:uid="{00000000-0005-0000-0000-0000C0510000}"/>
    <cellStyle name="40% - Accent6 4 2 2 2 2 2 4 3 2" xfId="27709" xr:uid="{00000000-0005-0000-0000-0000C1510000}"/>
    <cellStyle name="40% - Accent6 4 2 2 2 2 2 4 4" xfId="27710" xr:uid="{00000000-0005-0000-0000-0000C2510000}"/>
    <cellStyle name="40% - Accent6 4 2 2 2 2 2 4 5" xfId="27711" xr:uid="{00000000-0005-0000-0000-0000C3510000}"/>
    <cellStyle name="40% - Accent6 4 2 2 2 2 2 5" xfId="27712" xr:uid="{00000000-0005-0000-0000-0000C4510000}"/>
    <cellStyle name="40% - Accent6 4 2 2 2 2 2 5 2" xfId="27713" xr:uid="{00000000-0005-0000-0000-0000C5510000}"/>
    <cellStyle name="40% - Accent6 4 2 2 2 2 2 5 3" xfId="27714" xr:uid="{00000000-0005-0000-0000-0000C6510000}"/>
    <cellStyle name="40% - Accent6 4 2 2 2 2 2 6" xfId="27715" xr:uid="{00000000-0005-0000-0000-0000C7510000}"/>
    <cellStyle name="40% - Accent6 4 2 2 2 2 2 6 2" xfId="27716" xr:uid="{00000000-0005-0000-0000-0000C8510000}"/>
    <cellStyle name="40% - Accent6 4 2 2 2 2 2 6 3" xfId="27717" xr:uid="{00000000-0005-0000-0000-0000C9510000}"/>
    <cellStyle name="40% - Accent6 4 2 2 2 2 2 7" xfId="27718" xr:uid="{00000000-0005-0000-0000-0000CA510000}"/>
    <cellStyle name="40% - Accent6 4 2 2 2 2 2 7 2" xfId="27719" xr:uid="{00000000-0005-0000-0000-0000CB510000}"/>
    <cellStyle name="40% - Accent6 4 2 2 2 2 2 8" xfId="27720" xr:uid="{00000000-0005-0000-0000-0000CC510000}"/>
    <cellStyle name="40% - Accent6 4 2 2 2 2 2 9" xfId="27721" xr:uid="{00000000-0005-0000-0000-0000CD510000}"/>
    <cellStyle name="40% - Accent6 4 2 2 2 2 3" xfId="27722" xr:uid="{00000000-0005-0000-0000-0000CE510000}"/>
    <cellStyle name="40% - Accent6 4 2 2 2 2 3 2" xfId="27723" xr:uid="{00000000-0005-0000-0000-0000CF510000}"/>
    <cellStyle name="40% - Accent6 4 2 2 2 2 3 2 2" xfId="27724" xr:uid="{00000000-0005-0000-0000-0000D0510000}"/>
    <cellStyle name="40% - Accent6 4 2 2 2 2 3 2 3" xfId="27725" xr:uid="{00000000-0005-0000-0000-0000D1510000}"/>
    <cellStyle name="40% - Accent6 4 2 2 2 2 3 3" xfId="27726" xr:uid="{00000000-0005-0000-0000-0000D2510000}"/>
    <cellStyle name="40% - Accent6 4 2 2 2 2 3 3 2" xfId="27727" xr:uid="{00000000-0005-0000-0000-0000D3510000}"/>
    <cellStyle name="40% - Accent6 4 2 2 2 2 3 3 3" xfId="27728" xr:uid="{00000000-0005-0000-0000-0000D4510000}"/>
    <cellStyle name="40% - Accent6 4 2 2 2 2 3 4" xfId="27729" xr:uid="{00000000-0005-0000-0000-0000D5510000}"/>
    <cellStyle name="40% - Accent6 4 2 2 2 2 3 4 2" xfId="27730" xr:uid="{00000000-0005-0000-0000-0000D6510000}"/>
    <cellStyle name="40% - Accent6 4 2 2 2 2 3 5" xfId="27731" xr:uid="{00000000-0005-0000-0000-0000D7510000}"/>
    <cellStyle name="40% - Accent6 4 2 2 2 2 3 6" xfId="27732" xr:uid="{00000000-0005-0000-0000-0000D8510000}"/>
    <cellStyle name="40% - Accent6 4 2 2 2 2 4" xfId="27733" xr:uid="{00000000-0005-0000-0000-0000D9510000}"/>
    <cellStyle name="40% - Accent6 4 2 2 2 2 4 2" xfId="27734" xr:uid="{00000000-0005-0000-0000-0000DA510000}"/>
    <cellStyle name="40% - Accent6 4 2 2 2 2 4 2 2" xfId="27735" xr:uid="{00000000-0005-0000-0000-0000DB510000}"/>
    <cellStyle name="40% - Accent6 4 2 2 2 2 4 2 3" xfId="27736" xr:uid="{00000000-0005-0000-0000-0000DC510000}"/>
    <cellStyle name="40% - Accent6 4 2 2 2 2 4 3" xfId="27737" xr:uid="{00000000-0005-0000-0000-0000DD510000}"/>
    <cellStyle name="40% - Accent6 4 2 2 2 2 4 3 2" xfId="27738" xr:uid="{00000000-0005-0000-0000-0000DE510000}"/>
    <cellStyle name="40% - Accent6 4 2 2 2 2 4 3 3" xfId="27739" xr:uid="{00000000-0005-0000-0000-0000DF510000}"/>
    <cellStyle name="40% - Accent6 4 2 2 2 2 4 4" xfId="27740" xr:uid="{00000000-0005-0000-0000-0000E0510000}"/>
    <cellStyle name="40% - Accent6 4 2 2 2 2 4 4 2" xfId="27741" xr:uid="{00000000-0005-0000-0000-0000E1510000}"/>
    <cellStyle name="40% - Accent6 4 2 2 2 2 4 5" xfId="27742" xr:uid="{00000000-0005-0000-0000-0000E2510000}"/>
    <cellStyle name="40% - Accent6 4 2 2 2 2 4 6" xfId="27743" xr:uid="{00000000-0005-0000-0000-0000E3510000}"/>
    <cellStyle name="40% - Accent6 4 2 2 2 2 5" xfId="27744" xr:uid="{00000000-0005-0000-0000-0000E4510000}"/>
    <cellStyle name="40% - Accent6 4 2 2 2 2 5 2" xfId="27745" xr:uid="{00000000-0005-0000-0000-0000E5510000}"/>
    <cellStyle name="40% - Accent6 4 2 2 2 2 5 2 2" xfId="27746" xr:uid="{00000000-0005-0000-0000-0000E6510000}"/>
    <cellStyle name="40% - Accent6 4 2 2 2 2 5 2 3" xfId="27747" xr:uid="{00000000-0005-0000-0000-0000E7510000}"/>
    <cellStyle name="40% - Accent6 4 2 2 2 2 5 3" xfId="27748" xr:uid="{00000000-0005-0000-0000-0000E8510000}"/>
    <cellStyle name="40% - Accent6 4 2 2 2 2 5 3 2" xfId="27749" xr:uid="{00000000-0005-0000-0000-0000E9510000}"/>
    <cellStyle name="40% - Accent6 4 2 2 2 2 5 4" xfId="27750" xr:uid="{00000000-0005-0000-0000-0000EA510000}"/>
    <cellStyle name="40% - Accent6 4 2 2 2 2 5 5" xfId="27751" xr:uid="{00000000-0005-0000-0000-0000EB510000}"/>
    <cellStyle name="40% - Accent6 4 2 2 2 2 6" xfId="27752" xr:uid="{00000000-0005-0000-0000-0000EC510000}"/>
    <cellStyle name="40% - Accent6 4 2 2 2 2 6 2" xfId="27753" xr:uid="{00000000-0005-0000-0000-0000ED510000}"/>
    <cellStyle name="40% - Accent6 4 2 2 2 2 6 3" xfId="27754" xr:uid="{00000000-0005-0000-0000-0000EE510000}"/>
    <cellStyle name="40% - Accent6 4 2 2 2 2 7" xfId="27755" xr:uid="{00000000-0005-0000-0000-0000EF510000}"/>
    <cellStyle name="40% - Accent6 4 2 2 2 2 7 2" xfId="27756" xr:uid="{00000000-0005-0000-0000-0000F0510000}"/>
    <cellStyle name="40% - Accent6 4 2 2 2 2 7 3" xfId="27757" xr:uid="{00000000-0005-0000-0000-0000F1510000}"/>
    <cellStyle name="40% - Accent6 4 2 2 2 2 8" xfId="27758" xr:uid="{00000000-0005-0000-0000-0000F2510000}"/>
    <cellStyle name="40% - Accent6 4 2 2 2 2 8 2" xfId="27759" xr:uid="{00000000-0005-0000-0000-0000F3510000}"/>
    <cellStyle name="40% - Accent6 4 2 2 2 2 9" xfId="27760" xr:uid="{00000000-0005-0000-0000-0000F4510000}"/>
    <cellStyle name="40% - Accent6 4 2 2 2 3" xfId="2653" xr:uid="{00000000-0005-0000-0000-0000F5510000}"/>
    <cellStyle name="40% - Accent6 4 2 2 2 3 2" xfId="27761" xr:uid="{00000000-0005-0000-0000-0000F6510000}"/>
    <cellStyle name="40% - Accent6 4 2 2 2 3 2 2" xfId="27762" xr:uid="{00000000-0005-0000-0000-0000F7510000}"/>
    <cellStyle name="40% - Accent6 4 2 2 2 3 2 2 2" xfId="27763" xr:uid="{00000000-0005-0000-0000-0000F8510000}"/>
    <cellStyle name="40% - Accent6 4 2 2 2 3 2 2 3" xfId="27764" xr:uid="{00000000-0005-0000-0000-0000F9510000}"/>
    <cellStyle name="40% - Accent6 4 2 2 2 3 2 3" xfId="27765" xr:uid="{00000000-0005-0000-0000-0000FA510000}"/>
    <cellStyle name="40% - Accent6 4 2 2 2 3 2 3 2" xfId="27766" xr:uid="{00000000-0005-0000-0000-0000FB510000}"/>
    <cellStyle name="40% - Accent6 4 2 2 2 3 2 3 3" xfId="27767" xr:uid="{00000000-0005-0000-0000-0000FC510000}"/>
    <cellStyle name="40% - Accent6 4 2 2 2 3 2 4" xfId="27768" xr:uid="{00000000-0005-0000-0000-0000FD510000}"/>
    <cellStyle name="40% - Accent6 4 2 2 2 3 2 4 2" xfId="27769" xr:uid="{00000000-0005-0000-0000-0000FE510000}"/>
    <cellStyle name="40% - Accent6 4 2 2 2 3 2 5" xfId="27770" xr:uid="{00000000-0005-0000-0000-0000FF510000}"/>
    <cellStyle name="40% - Accent6 4 2 2 2 3 2 6" xfId="27771" xr:uid="{00000000-0005-0000-0000-000000520000}"/>
    <cellStyle name="40% - Accent6 4 2 2 2 3 3" xfId="27772" xr:uid="{00000000-0005-0000-0000-000001520000}"/>
    <cellStyle name="40% - Accent6 4 2 2 2 3 3 2" xfId="27773" xr:uid="{00000000-0005-0000-0000-000002520000}"/>
    <cellStyle name="40% - Accent6 4 2 2 2 3 3 2 2" xfId="27774" xr:uid="{00000000-0005-0000-0000-000003520000}"/>
    <cellStyle name="40% - Accent6 4 2 2 2 3 3 2 3" xfId="27775" xr:uid="{00000000-0005-0000-0000-000004520000}"/>
    <cellStyle name="40% - Accent6 4 2 2 2 3 3 3" xfId="27776" xr:uid="{00000000-0005-0000-0000-000005520000}"/>
    <cellStyle name="40% - Accent6 4 2 2 2 3 3 3 2" xfId="27777" xr:uid="{00000000-0005-0000-0000-000006520000}"/>
    <cellStyle name="40% - Accent6 4 2 2 2 3 3 3 3" xfId="27778" xr:uid="{00000000-0005-0000-0000-000007520000}"/>
    <cellStyle name="40% - Accent6 4 2 2 2 3 3 4" xfId="27779" xr:uid="{00000000-0005-0000-0000-000008520000}"/>
    <cellStyle name="40% - Accent6 4 2 2 2 3 3 4 2" xfId="27780" xr:uid="{00000000-0005-0000-0000-000009520000}"/>
    <cellStyle name="40% - Accent6 4 2 2 2 3 3 5" xfId="27781" xr:uid="{00000000-0005-0000-0000-00000A520000}"/>
    <cellStyle name="40% - Accent6 4 2 2 2 3 3 6" xfId="27782" xr:uid="{00000000-0005-0000-0000-00000B520000}"/>
    <cellStyle name="40% - Accent6 4 2 2 2 3 4" xfId="27783" xr:uid="{00000000-0005-0000-0000-00000C520000}"/>
    <cellStyle name="40% - Accent6 4 2 2 2 3 4 2" xfId="27784" xr:uid="{00000000-0005-0000-0000-00000D520000}"/>
    <cellStyle name="40% - Accent6 4 2 2 2 3 4 2 2" xfId="27785" xr:uid="{00000000-0005-0000-0000-00000E520000}"/>
    <cellStyle name="40% - Accent6 4 2 2 2 3 4 2 3" xfId="27786" xr:uid="{00000000-0005-0000-0000-00000F520000}"/>
    <cellStyle name="40% - Accent6 4 2 2 2 3 4 3" xfId="27787" xr:uid="{00000000-0005-0000-0000-000010520000}"/>
    <cellStyle name="40% - Accent6 4 2 2 2 3 4 3 2" xfId="27788" xr:uid="{00000000-0005-0000-0000-000011520000}"/>
    <cellStyle name="40% - Accent6 4 2 2 2 3 4 4" xfId="27789" xr:uid="{00000000-0005-0000-0000-000012520000}"/>
    <cellStyle name="40% - Accent6 4 2 2 2 3 4 5" xfId="27790" xr:uid="{00000000-0005-0000-0000-000013520000}"/>
    <cellStyle name="40% - Accent6 4 2 2 2 3 5" xfId="27791" xr:uid="{00000000-0005-0000-0000-000014520000}"/>
    <cellStyle name="40% - Accent6 4 2 2 2 3 5 2" xfId="27792" xr:uid="{00000000-0005-0000-0000-000015520000}"/>
    <cellStyle name="40% - Accent6 4 2 2 2 3 5 3" xfId="27793" xr:uid="{00000000-0005-0000-0000-000016520000}"/>
    <cellStyle name="40% - Accent6 4 2 2 2 3 6" xfId="27794" xr:uid="{00000000-0005-0000-0000-000017520000}"/>
    <cellStyle name="40% - Accent6 4 2 2 2 3 6 2" xfId="27795" xr:uid="{00000000-0005-0000-0000-000018520000}"/>
    <cellStyle name="40% - Accent6 4 2 2 2 3 6 3" xfId="27796" xr:uid="{00000000-0005-0000-0000-000019520000}"/>
    <cellStyle name="40% - Accent6 4 2 2 2 3 7" xfId="27797" xr:uid="{00000000-0005-0000-0000-00001A520000}"/>
    <cellStyle name="40% - Accent6 4 2 2 2 3 7 2" xfId="27798" xr:uid="{00000000-0005-0000-0000-00001B520000}"/>
    <cellStyle name="40% - Accent6 4 2 2 2 3 8" xfId="27799" xr:uid="{00000000-0005-0000-0000-00001C520000}"/>
    <cellStyle name="40% - Accent6 4 2 2 2 3 9" xfId="27800" xr:uid="{00000000-0005-0000-0000-00001D520000}"/>
    <cellStyle name="40% - Accent6 4 2 2 2 4" xfId="27801" xr:uid="{00000000-0005-0000-0000-00001E520000}"/>
    <cellStyle name="40% - Accent6 4 2 2 2 4 2" xfId="27802" xr:uid="{00000000-0005-0000-0000-00001F520000}"/>
    <cellStyle name="40% - Accent6 4 2 2 2 4 2 2" xfId="27803" xr:uid="{00000000-0005-0000-0000-000020520000}"/>
    <cellStyle name="40% - Accent6 4 2 2 2 4 2 2 2" xfId="27804" xr:uid="{00000000-0005-0000-0000-000021520000}"/>
    <cellStyle name="40% - Accent6 4 2 2 2 4 2 2 3" xfId="27805" xr:uid="{00000000-0005-0000-0000-000022520000}"/>
    <cellStyle name="40% - Accent6 4 2 2 2 4 2 3" xfId="27806" xr:uid="{00000000-0005-0000-0000-000023520000}"/>
    <cellStyle name="40% - Accent6 4 2 2 2 4 2 3 2" xfId="27807" xr:uid="{00000000-0005-0000-0000-000024520000}"/>
    <cellStyle name="40% - Accent6 4 2 2 2 4 2 3 3" xfId="27808" xr:uid="{00000000-0005-0000-0000-000025520000}"/>
    <cellStyle name="40% - Accent6 4 2 2 2 4 2 4" xfId="27809" xr:uid="{00000000-0005-0000-0000-000026520000}"/>
    <cellStyle name="40% - Accent6 4 2 2 2 4 2 4 2" xfId="27810" xr:uid="{00000000-0005-0000-0000-000027520000}"/>
    <cellStyle name="40% - Accent6 4 2 2 2 4 2 5" xfId="27811" xr:uid="{00000000-0005-0000-0000-000028520000}"/>
    <cellStyle name="40% - Accent6 4 2 2 2 4 2 6" xfId="27812" xr:uid="{00000000-0005-0000-0000-000029520000}"/>
    <cellStyle name="40% - Accent6 4 2 2 2 4 3" xfId="27813" xr:uid="{00000000-0005-0000-0000-00002A520000}"/>
    <cellStyle name="40% - Accent6 4 2 2 2 4 3 2" xfId="27814" xr:uid="{00000000-0005-0000-0000-00002B520000}"/>
    <cellStyle name="40% - Accent6 4 2 2 2 4 3 2 2" xfId="27815" xr:uid="{00000000-0005-0000-0000-00002C520000}"/>
    <cellStyle name="40% - Accent6 4 2 2 2 4 3 2 3" xfId="27816" xr:uid="{00000000-0005-0000-0000-00002D520000}"/>
    <cellStyle name="40% - Accent6 4 2 2 2 4 3 3" xfId="27817" xr:uid="{00000000-0005-0000-0000-00002E520000}"/>
    <cellStyle name="40% - Accent6 4 2 2 2 4 3 3 2" xfId="27818" xr:uid="{00000000-0005-0000-0000-00002F520000}"/>
    <cellStyle name="40% - Accent6 4 2 2 2 4 3 3 3" xfId="27819" xr:uid="{00000000-0005-0000-0000-000030520000}"/>
    <cellStyle name="40% - Accent6 4 2 2 2 4 3 4" xfId="27820" xr:uid="{00000000-0005-0000-0000-000031520000}"/>
    <cellStyle name="40% - Accent6 4 2 2 2 4 3 4 2" xfId="27821" xr:uid="{00000000-0005-0000-0000-000032520000}"/>
    <cellStyle name="40% - Accent6 4 2 2 2 4 3 5" xfId="27822" xr:uid="{00000000-0005-0000-0000-000033520000}"/>
    <cellStyle name="40% - Accent6 4 2 2 2 4 3 6" xfId="27823" xr:uid="{00000000-0005-0000-0000-000034520000}"/>
    <cellStyle name="40% - Accent6 4 2 2 2 4 4" xfId="27824" xr:uid="{00000000-0005-0000-0000-000035520000}"/>
    <cellStyle name="40% - Accent6 4 2 2 2 4 4 2" xfId="27825" xr:uid="{00000000-0005-0000-0000-000036520000}"/>
    <cellStyle name="40% - Accent6 4 2 2 2 4 4 2 2" xfId="27826" xr:uid="{00000000-0005-0000-0000-000037520000}"/>
    <cellStyle name="40% - Accent6 4 2 2 2 4 4 2 3" xfId="27827" xr:uid="{00000000-0005-0000-0000-000038520000}"/>
    <cellStyle name="40% - Accent6 4 2 2 2 4 4 3" xfId="27828" xr:uid="{00000000-0005-0000-0000-000039520000}"/>
    <cellStyle name="40% - Accent6 4 2 2 2 4 4 3 2" xfId="27829" xr:uid="{00000000-0005-0000-0000-00003A520000}"/>
    <cellStyle name="40% - Accent6 4 2 2 2 4 4 4" xfId="27830" xr:uid="{00000000-0005-0000-0000-00003B520000}"/>
    <cellStyle name="40% - Accent6 4 2 2 2 4 4 5" xfId="27831" xr:uid="{00000000-0005-0000-0000-00003C520000}"/>
    <cellStyle name="40% - Accent6 4 2 2 2 4 5" xfId="27832" xr:uid="{00000000-0005-0000-0000-00003D520000}"/>
    <cellStyle name="40% - Accent6 4 2 2 2 4 5 2" xfId="27833" xr:uid="{00000000-0005-0000-0000-00003E520000}"/>
    <cellStyle name="40% - Accent6 4 2 2 2 4 5 3" xfId="27834" xr:uid="{00000000-0005-0000-0000-00003F520000}"/>
    <cellStyle name="40% - Accent6 4 2 2 2 4 6" xfId="27835" xr:uid="{00000000-0005-0000-0000-000040520000}"/>
    <cellStyle name="40% - Accent6 4 2 2 2 4 6 2" xfId="27836" xr:uid="{00000000-0005-0000-0000-000041520000}"/>
    <cellStyle name="40% - Accent6 4 2 2 2 4 6 3" xfId="27837" xr:uid="{00000000-0005-0000-0000-000042520000}"/>
    <cellStyle name="40% - Accent6 4 2 2 2 4 7" xfId="27838" xr:uid="{00000000-0005-0000-0000-000043520000}"/>
    <cellStyle name="40% - Accent6 4 2 2 2 4 7 2" xfId="27839" xr:uid="{00000000-0005-0000-0000-000044520000}"/>
    <cellStyle name="40% - Accent6 4 2 2 2 4 8" xfId="27840" xr:uid="{00000000-0005-0000-0000-000045520000}"/>
    <cellStyle name="40% - Accent6 4 2 2 2 4 9" xfId="27841" xr:uid="{00000000-0005-0000-0000-000046520000}"/>
    <cellStyle name="40% - Accent6 4 2 2 2 5" xfId="27842" xr:uid="{00000000-0005-0000-0000-000047520000}"/>
    <cellStyle name="40% - Accent6 4 2 2 2 5 2" xfId="27843" xr:uid="{00000000-0005-0000-0000-000048520000}"/>
    <cellStyle name="40% - Accent6 4 2 2 2 5 2 2" xfId="27844" xr:uid="{00000000-0005-0000-0000-000049520000}"/>
    <cellStyle name="40% - Accent6 4 2 2 2 5 2 3" xfId="27845" xr:uid="{00000000-0005-0000-0000-00004A520000}"/>
    <cellStyle name="40% - Accent6 4 2 2 2 5 3" xfId="27846" xr:uid="{00000000-0005-0000-0000-00004B520000}"/>
    <cellStyle name="40% - Accent6 4 2 2 2 5 3 2" xfId="27847" xr:uid="{00000000-0005-0000-0000-00004C520000}"/>
    <cellStyle name="40% - Accent6 4 2 2 2 5 3 3" xfId="27848" xr:uid="{00000000-0005-0000-0000-00004D520000}"/>
    <cellStyle name="40% - Accent6 4 2 2 2 5 4" xfId="27849" xr:uid="{00000000-0005-0000-0000-00004E520000}"/>
    <cellStyle name="40% - Accent6 4 2 2 2 5 4 2" xfId="27850" xr:uid="{00000000-0005-0000-0000-00004F520000}"/>
    <cellStyle name="40% - Accent6 4 2 2 2 5 5" xfId="27851" xr:uid="{00000000-0005-0000-0000-000050520000}"/>
    <cellStyle name="40% - Accent6 4 2 2 2 5 6" xfId="27852" xr:uid="{00000000-0005-0000-0000-000051520000}"/>
    <cellStyle name="40% - Accent6 4 2 2 2 6" xfId="27853" xr:uid="{00000000-0005-0000-0000-000052520000}"/>
    <cellStyle name="40% - Accent6 4 2 2 2 6 2" xfId="27854" xr:uid="{00000000-0005-0000-0000-000053520000}"/>
    <cellStyle name="40% - Accent6 4 2 2 2 6 2 2" xfId="27855" xr:uid="{00000000-0005-0000-0000-000054520000}"/>
    <cellStyle name="40% - Accent6 4 2 2 2 6 2 3" xfId="27856" xr:uid="{00000000-0005-0000-0000-000055520000}"/>
    <cellStyle name="40% - Accent6 4 2 2 2 6 3" xfId="27857" xr:uid="{00000000-0005-0000-0000-000056520000}"/>
    <cellStyle name="40% - Accent6 4 2 2 2 6 3 2" xfId="27858" xr:uid="{00000000-0005-0000-0000-000057520000}"/>
    <cellStyle name="40% - Accent6 4 2 2 2 6 3 3" xfId="27859" xr:uid="{00000000-0005-0000-0000-000058520000}"/>
    <cellStyle name="40% - Accent6 4 2 2 2 6 4" xfId="27860" xr:uid="{00000000-0005-0000-0000-000059520000}"/>
    <cellStyle name="40% - Accent6 4 2 2 2 6 4 2" xfId="27861" xr:uid="{00000000-0005-0000-0000-00005A520000}"/>
    <cellStyle name="40% - Accent6 4 2 2 2 6 5" xfId="27862" xr:uid="{00000000-0005-0000-0000-00005B520000}"/>
    <cellStyle name="40% - Accent6 4 2 2 2 6 6" xfId="27863" xr:uid="{00000000-0005-0000-0000-00005C520000}"/>
    <cellStyle name="40% - Accent6 4 2 2 2 7" xfId="27864" xr:uid="{00000000-0005-0000-0000-00005D520000}"/>
    <cellStyle name="40% - Accent6 4 2 2 2 7 2" xfId="27865" xr:uid="{00000000-0005-0000-0000-00005E520000}"/>
    <cellStyle name="40% - Accent6 4 2 2 2 7 2 2" xfId="27866" xr:uid="{00000000-0005-0000-0000-00005F520000}"/>
    <cellStyle name="40% - Accent6 4 2 2 2 7 2 3" xfId="27867" xr:uid="{00000000-0005-0000-0000-000060520000}"/>
    <cellStyle name="40% - Accent6 4 2 2 2 7 3" xfId="27868" xr:uid="{00000000-0005-0000-0000-000061520000}"/>
    <cellStyle name="40% - Accent6 4 2 2 2 7 3 2" xfId="27869" xr:uid="{00000000-0005-0000-0000-000062520000}"/>
    <cellStyle name="40% - Accent6 4 2 2 2 7 4" xfId="27870" xr:uid="{00000000-0005-0000-0000-000063520000}"/>
    <cellStyle name="40% - Accent6 4 2 2 2 7 5" xfId="27871" xr:uid="{00000000-0005-0000-0000-000064520000}"/>
    <cellStyle name="40% - Accent6 4 2 2 2 8" xfId="27872" xr:uid="{00000000-0005-0000-0000-000065520000}"/>
    <cellStyle name="40% - Accent6 4 2 2 2 8 2" xfId="27873" xr:uid="{00000000-0005-0000-0000-000066520000}"/>
    <cellStyle name="40% - Accent6 4 2 2 2 8 3" xfId="27874" xr:uid="{00000000-0005-0000-0000-000067520000}"/>
    <cellStyle name="40% - Accent6 4 2 2 2 9" xfId="27875" xr:uid="{00000000-0005-0000-0000-000068520000}"/>
    <cellStyle name="40% - Accent6 4 2 2 2 9 2" xfId="27876" xr:uid="{00000000-0005-0000-0000-000069520000}"/>
    <cellStyle name="40% - Accent6 4 2 2 2 9 3" xfId="27877" xr:uid="{00000000-0005-0000-0000-00006A520000}"/>
    <cellStyle name="40% - Accent6 4 2 2 3" xfId="2654" xr:uid="{00000000-0005-0000-0000-00006B520000}"/>
    <cellStyle name="40% - Accent6 4 2 2 3 10" xfId="27878" xr:uid="{00000000-0005-0000-0000-00006C520000}"/>
    <cellStyle name="40% - Accent6 4 2 2 3 2" xfId="2655" xr:uid="{00000000-0005-0000-0000-00006D520000}"/>
    <cellStyle name="40% - Accent6 4 2 2 3 2 2" xfId="27879" xr:uid="{00000000-0005-0000-0000-00006E520000}"/>
    <cellStyle name="40% - Accent6 4 2 2 3 2 2 2" xfId="27880" xr:uid="{00000000-0005-0000-0000-00006F520000}"/>
    <cellStyle name="40% - Accent6 4 2 2 3 2 2 2 2" xfId="27881" xr:uid="{00000000-0005-0000-0000-000070520000}"/>
    <cellStyle name="40% - Accent6 4 2 2 3 2 2 2 3" xfId="27882" xr:uid="{00000000-0005-0000-0000-000071520000}"/>
    <cellStyle name="40% - Accent6 4 2 2 3 2 2 3" xfId="27883" xr:uid="{00000000-0005-0000-0000-000072520000}"/>
    <cellStyle name="40% - Accent6 4 2 2 3 2 2 3 2" xfId="27884" xr:uid="{00000000-0005-0000-0000-000073520000}"/>
    <cellStyle name="40% - Accent6 4 2 2 3 2 2 3 3" xfId="27885" xr:uid="{00000000-0005-0000-0000-000074520000}"/>
    <cellStyle name="40% - Accent6 4 2 2 3 2 2 4" xfId="27886" xr:uid="{00000000-0005-0000-0000-000075520000}"/>
    <cellStyle name="40% - Accent6 4 2 2 3 2 2 4 2" xfId="27887" xr:uid="{00000000-0005-0000-0000-000076520000}"/>
    <cellStyle name="40% - Accent6 4 2 2 3 2 2 5" xfId="27888" xr:uid="{00000000-0005-0000-0000-000077520000}"/>
    <cellStyle name="40% - Accent6 4 2 2 3 2 2 6" xfId="27889" xr:uid="{00000000-0005-0000-0000-000078520000}"/>
    <cellStyle name="40% - Accent6 4 2 2 3 2 3" xfId="27890" xr:uid="{00000000-0005-0000-0000-000079520000}"/>
    <cellStyle name="40% - Accent6 4 2 2 3 2 3 2" xfId="27891" xr:uid="{00000000-0005-0000-0000-00007A520000}"/>
    <cellStyle name="40% - Accent6 4 2 2 3 2 3 2 2" xfId="27892" xr:uid="{00000000-0005-0000-0000-00007B520000}"/>
    <cellStyle name="40% - Accent6 4 2 2 3 2 3 2 3" xfId="27893" xr:uid="{00000000-0005-0000-0000-00007C520000}"/>
    <cellStyle name="40% - Accent6 4 2 2 3 2 3 3" xfId="27894" xr:uid="{00000000-0005-0000-0000-00007D520000}"/>
    <cellStyle name="40% - Accent6 4 2 2 3 2 3 3 2" xfId="27895" xr:uid="{00000000-0005-0000-0000-00007E520000}"/>
    <cellStyle name="40% - Accent6 4 2 2 3 2 3 3 3" xfId="27896" xr:uid="{00000000-0005-0000-0000-00007F520000}"/>
    <cellStyle name="40% - Accent6 4 2 2 3 2 3 4" xfId="27897" xr:uid="{00000000-0005-0000-0000-000080520000}"/>
    <cellStyle name="40% - Accent6 4 2 2 3 2 3 4 2" xfId="27898" xr:uid="{00000000-0005-0000-0000-000081520000}"/>
    <cellStyle name="40% - Accent6 4 2 2 3 2 3 5" xfId="27899" xr:uid="{00000000-0005-0000-0000-000082520000}"/>
    <cellStyle name="40% - Accent6 4 2 2 3 2 3 6" xfId="27900" xr:uid="{00000000-0005-0000-0000-000083520000}"/>
    <cellStyle name="40% - Accent6 4 2 2 3 2 4" xfId="27901" xr:uid="{00000000-0005-0000-0000-000084520000}"/>
    <cellStyle name="40% - Accent6 4 2 2 3 2 4 2" xfId="27902" xr:uid="{00000000-0005-0000-0000-000085520000}"/>
    <cellStyle name="40% - Accent6 4 2 2 3 2 4 2 2" xfId="27903" xr:uid="{00000000-0005-0000-0000-000086520000}"/>
    <cellStyle name="40% - Accent6 4 2 2 3 2 4 2 3" xfId="27904" xr:uid="{00000000-0005-0000-0000-000087520000}"/>
    <cellStyle name="40% - Accent6 4 2 2 3 2 4 3" xfId="27905" xr:uid="{00000000-0005-0000-0000-000088520000}"/>
    <cellStyle name="40% - Accent6 4 2 2 3 2 4 3 2" xfId="27906" xr:uid="{00000000-0005-0000-0000-000089520000}"/>
    <cellStyle name="40% - Accent6 4 2 2 3 2 4 4" xfId="27907" xr:uid="{00000000-0005-0000-0000-00008A520000}"/>
    <cellStyle name="40% - Accent6 4 2 2 3 2 4 5" xfId="27908" xr:uid="{00000000-0005-0000-0000-00008B520000}"/>
    <cellStyle name="40% - Accent6 4 2 2 3 2 5" xfId="27909" xr:uid="{00000000-0005-0000-0000-00008C520000}"/>
    <cellStyle name="40% - Accent6 4 2 2 3 2 5 2" xfId="27910" xr:uid="{00000000-0005-0000-0000-00008D520000}"/>
    <cellStyle name="40% - Accent6 4 2 2 3 2 5 3" xfId="27911" xr:uid="{00000000-0005-0000-0000-00008E520000}"/>
    <cellStyle name="40% - Accent6 4 2 2 3 2 6" xfId="27912" xr:uid="{00000000-0005-0000-0000-00008F520000}"/>
    <cellStyle name="40% - Accent6 4 2 2 3 2 6 2" xfId="27913" xr:uid="{00000000-0005-0000-0000-000090520000}"/>
    <cellStyle name="40% - Accent6 4 2 2 3 2 6 3" xfId="27914" xr:uid="{00000000-0005-0000-0000-000091520000}"/>
    <cellStyle name="40% - Accent6 4 2 2 3 2 7" xfId="27915" xr:uid="{00000000-0005-0000-0000-000092520000}"/>
    <cellStyle name="40% - Accent6 4 2 2 3 2 7 2" xfId="27916" xr:uid="{00000000-0005-0000-0000-000093520000}"/>
    <cellStyle name="40% - Accent6 4 2 2 3 2 8" xfId="27917" xr:uid="{00000000-0005-0000-0000-000094520000}"/>
    <cellStyle name="40% - Accent6 4 2 2 3 2 9" xfId="27918" xr:uid="{00000000-0005-0000-0000-000095520000}"/>
    <cellStyle name="40% - Accent6 4 2 2 3 3" xfId="27919" xr:uid="{00000000-0005-0000-0000-000096520000}"/>
    <cellStyle name="40% - Accent6 4 2 2 3 3 2" xfId="27920" xr:uid="{00000000-0005-0000-0000-000097520000}"/>
    <cellStyle name="40% - Accent6 4 2 2 3 3 2 2" xfId="27921" xr:uid="{00000000-0005-0000-0000-000098520000}"/>
    <cellStyle name="40% - Accent6 4 2 2 3 3 2 3" xfId="27922" xr:uid="{00000000-0005-0000-0000-000099520000}"/>
    <cellStyle name="40% - Accent6 4 2 2 3 3 3" xfId="27923" xr:uid="{00000000-0005-0000-0000-00009A520000}"/>
    <cellStyle name="40% - Accent6 4 2 2 3 3 3 2" xfId="27924" xr:uid="{00000000-0005-0000-0000-00009B520000}"/>
    <cellStyle name="40% - Accent6 4 2 2 3 3 3 3" xfId="27925" xr:uid="{00000000-0005-0000-0000-00009C520000}"/>
    <cellStyle name="40% - Accent6 4 2 2 3 3 4" xfId="27926" xr:uid="{00000000-0005-0000-0000-00009D520000}"/>
    <cellStyle name="40% - Accent6 4 2 2 3 3 4 2" xfId="27927" xr:uid="{00000000-0005-0000-0000-00009E520000}"/>
    <cellStyle name="40% - Accent6 4 2 2 3 3 5" xfId="27928" xr:uid="{00000000-0005-0000-0000-00009F520000}"/>
    <cellStyle name="40% - Accent6 4 2 2 3 3 6" xfId="27929" xr:uid="{00000000-0005-0000-0000-0000A0520000}"/>
    <cellStyle name="40% - Accent6 4 2 2 3 4" xfId="27930" xr:uid="{00000000-0005-0000-0000-0000A1520000}"/>
    <cellStyle name="40% - Accent6 4 2 2 3 4 2" xfId="27931" xr:uid="{00000000-0005-0000-0000-0000A2520000}"/>
    <cellStyle name="40% - Accent6 4 2 2 3 4 2 2" xfId="27932" xr:uid="{00000000-0005-0000-0000-0000A3520000}"/>
    <cellStyle name="40% - Accent6 4 2 2 3 4 2 3" xfId="27933" xr:uid="{00000000-0005-0000-0000-0000A4520000}"/>
    <cellStyle name="40% - Accent6 4 2 2 3 4 3" xfId="27934" xr:uid="{00000000-0005-0000-0000-0000A5520000}"/>
    <cellStyle name="40% - Accent6 4 2 2 3 4 3 2" xfId="27935" xr:uid="{00000000-0005-0000-0000-0000A6520000}"/>
    <cellStyle name="40% - Accent6 4 2 2 3 4 3 3" xfId="27936" xr:uid="{00000000-0005-0000-0000-0000A7520000}"/>
    <cellStyle name="40% - Accent6 4 2 2 3 4 4" xfId="27937" xr:uid="{00000000-0005-0000-0000-0000A8520000}"/>
    <cellStyle name="40% - Accent6 4 2 2 3 4 4 2" xfId="27938" xr:uid="{00000000-0005-0000-0000-0000A9520000}"/>
    <cellStyle name="40% - Accent6 4 2 2 3 4 5" xfId="27939" xr:uid="{00000000-0005-0000-0000-0000AA520000}"/>
    <cellStyle name="40% - Accent6 4 2 2 3 4 6" xfId="27940" xr:uid="{00000000-0005-0000-0000-0000AB520000}"/>
    <cellStyle name="40% - Accent6 4 2 2 3 5" xfId="27941" xr:uid="{00000000-0005-0000-0000-0000AC520000}"/>
    <cellStyle name="40% - Accent6 4 2 2 3 5 2" xfId="27942" xr:uid="{00000000-0005-0000-0000-0000AD520000}"/>
    <cellStyle name="40% - Accent6 4 2 2 3 5 2 2" xfId="27943" xr:uid="{00000000-0005-0000-0000-0000AE520000}"/>
    <cellStyle name="40% - Accent6 4 2 2 3 5 2 3" xfId="27944" xr:uid="{00000000-0005-0000-0000-0000AF520000}"/>
    <cellStyle name="40% - Accent6 4 2 2 3 5 3" xfId="27945" xr:uid="{00000000-0005-0000-0000-0000B0520000}"/>
    <cellStyle name="40% - Accent6 4 2 2 3 5 3 2" xfId="27946" xr:uid="{00000000-0005-0000-0000-0000B1520000}"/>
    <cellStyle name="40% - Accent6 4 2 2 3 5 4" xfId="27947" xr:uid="{00000000-0005-0000-0000-0000B2520000}"/>
    <cellStyle name="40% - Accent6 4 2 2 3 5 5" xfId="27948" xr:uid="{00000000-0005-0000-0000-0000B3520000}"/>
    <cellStyle name="40% - Accent6 4 2 2 3 6" xfId="27949" xr:uid="{00000000-0005-0000-0000-0000B4520000}"/>
    <cellStyle name="40% - Accent6 4 2 2 3 6 2" xfId="27950" xr:uid="{00000000-0005-0000-0000-0000B5520000}"/>
    <cellStyle name="40% - Accent6 4 2 2 3 6 3" xfId="27951" xr:uid="{00000000-0005-0000-0000-0000B6520000}"/>
    <cellStyle name="40% - Accent6 4 2 2 3 7" xfId="27952" xr:uid="{00000000-0005-0000-0000-0000B7520000}"/>
    <cellStyle name="40% - Accent6 4 2 2 3 7 2" xfId="27953" xr:uid="{00000000-0005-0000-0000-0000B8520000}"/>
    <cellStyle name="40% - Accent6 4 2 2 3 7 3" xfId="27954" xr:uid="{00000000-0005-0000-0000-0000B9520000}"/>
    <cellStyle name="40% - Accent6 4 2 2 3 8" xfId="27955" xr:uid="{00000000-0005-0000-0000-0000BA520000}"/>
    <cellStyle name="40% - Accent6 4 2 2 3 8 2" xfId="27956" xr:uid="{00000000-0005-0000-0000-0000BB520000}"/>
    <cellStyle name="40% - Accent6 4 2 2 3 9" xfId="27957" xr:uid="{00000000-0005-0000-0000-0000BC520000}"/>
    <cellStyle name="40% - Accent6 4 2 2 4" xfId="2656" xr:uid="{00000000-0005-0000-0000-0000BD520000}"/>
    <cellStyle name="40% - Accent6 4 2 2 4 2" xfId="27958" xr:uid="{00000000-0005-0000-0000-0000BE520000}"/>
    <cellStyle name="40% - Accent6 4 2 2 4 2 2" xfId="27959" xr:uid="{00000000-0005-0000-0000-0000BF520000}"/>
    <cellStyle name="40% - Accent6 4 2 2 4 2 2 2" xfId="27960" xr:uid="{00000000-0005-0000-0000-0000C0520000}"/>
    <cellStyle name="40% - Accent6 4 2 2 4 2 2 3" xfId="27961" xr:uid="{00000000-0005-0000-0000-0000C1520000}"/>
    <cellStyle name="40% - Accent6 4 2 2 4 2 3" xfId="27962" xr:uid="{00000000-0005-0000-0000-0000C2520000}"/>
    <cellStyle name="40% - Accent6 4 2 2 4 2 3 2" xfId="27963" xr:uid="{00000000-0005-0000-0000-0000C3520000}"/>
    <cellStyle name="40% - Accent6 4 2 2 4 2 3 3" xfId="27964" xr:uid="{00000000-0005-0000-0000-0000C4520000}"/>
    <cellStyle name="40% - Accent6 4 2 2 4 2 4" xfId="27965" xr:uid="{00000000-0005-0000-0000-0000C5520000}"/>
    <cellStyle name="40% - Accent6 4 2 2 4 2 4 2" xfId="27966" xr:uid="{00000000-0005-0000-0000-0000C6520000}"/>
    <cellStyle name="40% - Accent6 4 2 2 4 2 5" xfId="27967" xr:uid="{00000000-0005-0000-0000-0000C7520000}"/>
    <cellStyle name="40% - Accent6 4 2 2 4 2 6" xfId="27968" xr:uid="{00000000-0005-0000-0000-0000C8520000}"/>
    <cellStyle name="40% - Accent6 4 2 2 4 3" xfId="27969" xr:uid="{00000000-0005-0000-0000-0000C9520000}"/>
    <cellStyle name="40% - Accent6 4 2 2 4 3 2" xfId="27970" xr:uid="{00000000-0005-0000-0000-0000CA520000}"/>
    <cellStyle name="40% - Accent6 4 2 2 4 3 2 2" xfId="27971" xr:uid="{00000000-0005-0000-0000-0000CB520000}"/>
    <cellStyle name="40% - Accent6 4 2 2 4 3 2 3" xfId="27972" xr:uid="{00000000-0005-0000-0000-0000CC520000}"/>
    <cellStyle name="40% - Accent6 4 2 2 4 3 3" xfId="27973" xr:uid="{00000000-0005-0000-0000-0000CD520000}"/>
    <cellStyle name="40% - Accent6 4 2 2 4 3 3 2" xfId="27974" xr:uid="{00000000-0005-0000-0000-0000CE520000}"/>
    <cellStyle name="40% - Accent6 4 2 2 4 3 3 3" xfId="27975" xr:uid="{00000000-0005-0000-0000-0000CF520000}"/>
    <cellStyle name="40% - Accent6 4 2 2 4 3 4" xfId="27976" xr:uid="{00000000-0005-0000-0000-0000D0520000}"/>
    <cellStyle name="40% - Accent6 4 2 2 4 3 4 2" xfId="27977" xr:uid="{00000000-0005-0000-0000-0000D1520000}"/>
    <cellStyle name="40% - Accent6 4 2 2 4 3 5" xfId="27978" xr:uid="{00000000-0005-0000-0000-0000D2520000}"/>
    <cellStyle name="40% - Accent6 4 2 2 4 3 6" xfId="27979" xr:uid="{00000000-0005-0000-0000-0000D3520000}"/>
    <cellStyle name="40% - Accent6 4 2 2 4 4" xfId="27980" xr:uid="{00000000-0005-0000-0000-0000D4520000}"/>
    <cellStyle name="40% - Accent6 4 2 2 4 4 2" xfId="27981" xr:uid="{00000000-0005-0000-0000-0000D5520000}"/>
    <cellStyle name="40% - Accent6 4 2 2 4 4 2 2" xfId="27982" xr:uid="{00000000-0005-0000-0000-0000D6520000}"/>
    <cellStyle name="40% - Accent6 4 2 2 4 4 2 3" xfId="27983" xr:uid="{00000000-0005-0000-0000-0000D7520000}"/>
    <cellStyle name="40% - Accent6 4 2 2 4 4 3" xfId="27984" xr:uid="{00000000-0005-0000-0000-0000D8520000}"/>
    <cellStyle name="40% - Accent6 4 2 2 4 4 3 2" xfId="27985" xr:uid="{00000000-0005-0000-0000-0000D9520000}"/>
    <cellStyle name="40% - Accent6 4 2 2 4 4 4" xfId="27986" xr:uid="{00000000-0005-0000-0000-0000DA520000}"/>
    <cellStyle name="40% - Accent6 4 2 2 4 4 5" xfId="27987" xr:uid="{00000000-0005-0000-0000-0000DB520000}"/>
    <cellStyle name="40% - Accent6 4 2 2 4 5" xfId="27988" xr:uid="{00000000-0005-0000-0000-0000DC520000}"/>
    <cellStyle name="40% - Accent6 4 2 2 4 5 2" xfId="27989" xr:uid="{00000000-0005-0000-0000-0000DD520000}"/>
    <cellStyle name="40% - Accent6 4 2 2 4 5 3" xfId="27990" xr:uid="{00000000-0005-0000-0000-0000DE520000}"/>
    <cellStyle name="40% - Accent6 4 2 2 4 6" xfId="27991" xr:uid="{00000000-0005-0000-0000-0000DF520000}"/>
    <cellStyle name="40% - Accent6 4 2 2 4 6 2" xfId="27992" xr:uid="{00000000-0005-0000-0000-0000E0520000}"/>
    <cellStyle name="40% - Accent6 4 2 2 4 6 3" xfId="27993" xr:uid="{00000000-0005-0000-0000-0000E1520000}"/>
    <cellStyle name="40% - Accent6 4 2 2 4 7" xfId="27994" xr:uid="{00000000-0005-0000-0000-0000E2520000}"/>
    <cellStyle name="40% - Accent6 4 2 2 4 7 2" xfId="27995" xr:uid="{00000000-0005-0000-0000-0000E3520000}"/>
    <cellStyle name="40% - Accent6 4 2 2 4 8" xfId="27996" xr:uid="{00000000-0005-0000-0000-0000E4520000}"/>
    <cellStyle name="40% - Accent6 4 2 2 4 9" xfId="27997" xr:uid="{00000000-0005-0000-0000-0000E5520000}"/>
    <cellStyle name="40% - Accent6 4 2 2 5" xfId="27998" xr:uid="{00000000-0005-0000-0000-0000E6520000}"/>
    <cellStyle name="40% - Accent6 4 2 2 5 2" xfId="27999" xr:uid="{00000000-0005-0000-0000-0000E7520000}"/>
    <cellStyle name="40% - Accent6 4 2 2 5 2 2" xfId="28000" xr:uid="{00000000-0005-0000-0000-0000E8520000}"/>
    <cellStyle name="40% - Accent6 4 2 2 5 2 2 2" xfId="28001" xr:uid="{00000000-0005-0000-0000-0000E9520000}"/>
    <cellStyle name="40% - Accent6 4 2 2 5 2 2 3" xfId="28002" xr:uid="{00000000-0005-0000-0000-0000EA520000}"/>
    <cellStyle name="40% - Accent6 4 2 2 5 2 3" xfId="28003" xr:uid="{00000000-0005-0000-0000-0000EB520000}"/>
    <cellStyle name="40% - Accent6 4 2 2 5 2 3 2" xfId="28004" xr:uid="{00000000-0005-0000-0000-0000EC520000}"/>
    <cellStyle name="40% - Accent6 4 2 2 5 2 3 3" xfId="28005" xr:uid="{00000000-0005-0000-0000-0000ED520000}"/>
    <cellStyle name="40% - Accent6 4 2 2 5 2 4" xfId="28006" xr:uid="{00000000-0005-0000-0000-0000EE520000}"/>
    <cellStyle name="40% - Accent6 4 2 2 5 2 4 2" xfId="28007" xr:uid="{00000000-0005-0000-0000-0000EF520000}"/>
    <cellStyle name="40% - Accent6 4 2 2 5 2 5" xfId="28008" xr:uid="{00000000-0005-0000-0000-0000F0520000}"/>
    <cellStyle name="40% - Accent6 4 2 2 5 2 6" xfId="28009" xr:uid="{00000000-0005-0000-0000-0000F1520000}"/>
    <cellStyle name="40% - Accent6 4 2 2 5 3" xfId="28010" xr:uid="{00000000-0005-0000-0000-0000F2520000}"/>
    <cellStyle name="40% - Accent6 4 2 2 5 3 2" xfId="28011" xr:uid="{00000000-0005-0000-0000-0000F3520000}"/>
    <cellStyle name="40% - Accent6 4 2 2 5 3 2 2" xfId="28012" xr:uid="{00000000-0005-0000-0000-0000F4520000}"/>
    <cellStyle name="40% - Accent6 4 2 2 5 3 2 3" xfId="28013" xr:uid="{00000000-0005-0000-0000-0000F5520000}"/>
    <cellStyle name="40% - Accent6 4 2 2 5 3 3" xfId="28014" xr:uid="{00000000-0005-0000-0000-0000F6520000}"/>
    <cellStyle name="40% - Accent6 4 2 2 5 3 3 2" xfId="28015" xr:uid="{00000000-0005-0000-0000-0000F7520000}"/>
    <cellStyle name="40% - Accent6 4 2 2 5 3 3 3" xfId="28016" xr:uid="{00000000-0005-0000-0000-0000F8520000}"/>
    <cellStyle name="40% - Accent6 4 2 2 5 3 4" xfId="28017" xr:uid="{00000000-0005-0000-0000-0000F9520000}"/>
    <cellStyle name="40% - Accent6 4 2 2 5 3 4 2" xfId="28018" xr:uid="{00000000-0005-0000-0000-0000FA520000}"/>
    <cellStyle name="40% - Accent6 4 2 2 5 3 5" xfId="28019" xr:uid="{00000000-0005-0000-0000-0000FB520000}"/>
    <cellStyle name="40% - Accent6 4 2 2 5 3 6" xfId="28020" xr:uid="{00000000-0005-0000-0000-0000FC520000}"/>
    <cellStyle name="40% - Accent6 4 2 2 5 4" xfId="28021" xr:uid="{00000000-0005-0000-0000-0000FD520000}"/>
    <cellStyle name="40% - Accent6 4 2 2 5 4 2" xfId="28022" xr:uid="{00000000-0005-0000-0000-0000FE520000}"/>
    <cellStyle name="40% - Accent6 4 2 2 5 4 2 2" xfId="28023" xr:uid="{00000000-0005-0000-0000-0000FF520000}"/>
    <cellStyle name="40% - Accent6 4 2 2 5 4 2 3" xfId="28024" xr:uid="{00000000-0005-0000-0000-000000530000}"/>
    <cellStyle name="40% - Accent6 4 2 2 5 4 3" xfId="28025" xr:uid="{00000000-0005-0000-0000-000001530000}"/>
    <cellStyle name="40% - Accent6 4 2 2 5 4 3 2" xfId="28026" xr:uid="{00000000-0005-0000-0000-000002530000}"/>
    <cellStyle name="40% - Accent6 4 2 2 5 4 4" xfId="28027" xr:uid="{00000000-0005-0000-0000-000003530000}"/>
    <cellStyle name="40% - Accent6 4 2 2 5 4 5" xfId="28028" xr:uid="{00000000-0005-0000-0000-000004530000}"/>
    <cellStyle name="40% - Accent6 4 2 2 5 5" xfId="28029" xr:uid="{00000000-0005-0000-0000-000005530000}"/>
    <cellStyle name="40% - Accent6 4 2 2 5 5 2" xfId="28030" xr:uid="{00000000-0005-0000-0000-000006530000}"/>
    <cellStyle name="40% - Accent6 4 2 2 5 5 3" xfId="28031" xr:uid="{00000000-0005-0000-0000-000007530000}"/>
    <cellStyle name="40% - Accent6 4 2 2 5 6" xfId="28032" xr:uid="{00000000-0005-0000-0000-000008530000}"/>
    <cellStyle name="40% - Accent6 4 2 2 5 6 2" xfId="28033" xr:uid="{00000000-0005-0000-0000-000009530000}"/>
    <cellStyle name="40% - Accent6 4 2 2 5 6 3" xfId="28034" xr:uid="{00000000-0005-0000-0000-00000A530000}"/>
    <cellStyle name="40% - Accent6 4 2 2 5 7" xfId="28035" xr:uid="{00000000-0005-0000-0000-00000B530000}"/>
    <cellStyle name="40% - Accent6 4 2 2 5 7 2" xfId="28036" xr:uid="{00000000-0005-0000-0000-00000C530000}"/>
    <cellStyle name="40% - Accent6 4 2 2 5 8" xfId="28037" xr:uid="{00000000-0005-0000-0000-00000D530000}"/>
    <cellStyle name="40% - Accent6 4 2 2 5 9" xfId="28038" xr:uid="{00000000-0005-0000-0000-00000E530000}"/>
    <cellStyle name="40% - Accent6 4 2 2 6" xfId="28039" xr:uid="{00000000-0005-0000-0000-00000F530000}"/>
    <cellStyle name="40% - Accent6 4 2 2 6 2" xfId="28040" xr:uid="{00000000-0005-0000-0000-000010530000}"/>
    <cellStyle name="40% - Accent6 4 2 2 6 2 2" xfId="28041" xr:uid="{00000000-0005-0000-0000-000011530000}"/>
    <cellStyle name="40% - Accent6 4 2 2 6 2 3" xfId="28042" xr:uid="{00000000-0005-0000-0000-000012530000}"/>
    <cellStyle name="40% - Accent6 4 2 2 6 3" xfId="28043" xr:uid="{00000000-0005-0000-0000-000013530000}"/>
    <cellStyle name="40% - Accent6 4 2 2 6 3 2" xfId="28044" xr:uid="{00000000-0005-0000-0000-000014530000}"/>
    <cellStyle name="40% - Accent6 4 2 2 6 3 3" xfId="28045" xr:uid="{00000000-0005-0000-0000-000015530000}"/>
    <cellStyle name="40% - Accent6 4 2 2 6 4" xfId="28046" xr:uid="{00000000-0005-0000-0000-000016530000}"/>
    <cellStyle name="40% - Accent6 4 2 2 6 4 2" xfId="28047" xr:uid="{00000000-0005-0000-0000-000017530000}"/>
    <cellStyle name="40% - Accent6 4 2 2 6 5" xfId="28048" xr:uid="{00000000-0005-0000-0000-000018530000}"/>
    <cellStyle name="40% - Accent6 4 2 2 6 6" xfId="28049" xr:uid="{00000000-0005-0000-0000-000019530000}"/>
    <cellStyle name="40% - Accent6 4 2 2 7" xfId="28050" xr:uid="{00000000-0005-0000-0000-00001A530000}"/>
    <cellStyle name="40% - Accent6 4 2 2 7 2" xfId="28051" xr:uid="{00000000-0005-0000-0000-00001B530000}"/>
    <cellStyle name="40% - Accent6 4 2 2 7 2 2" xfId="28052" xr:uid="{00000000-0005-0000-0000-00001C530000}"/>
    <cellStyle name="40% - Accent6 4 2 2 7 2 3" xfId="28053" xr:uid="{00000000-0005-0000-0000-00001D530000}"/>
    <cellStyle name="40% - Accent6 4 2 2 7 3" xfId="28054" xr:uid="{00000000-0005-0000-0000-00001E530000}"/>
    <cellStyle name="40% - Accent6 4 2 2 7 3 2" xfId="28055" xr:uid="{00000000-0005-0000-0000-00001F530000}"/>
    <cellStyle name="40% - Accent6 4 2 2 7 3 3" xfId="28056" xr:uid="{00000000-0005-0000-0000-000020530000}"/>
    <cellStyle name="40% - Accent6 4 2 2 7 4" xfId="28057" xr:uid="{00000000-0005-0000-0000-000021530000}"/>
    <cellStyle name="40% - Accent6 4 2 2 7 4 2" xfId="28058" xr:uid="{00000000-0005-0000-0000-000022530000}"/>
    <cellStyle name="40% - Accent6 4 2 2 7 5" xfId="28059" xr:uid="{00000000-0005-0000-0000-000023530000}"/>
    <cellStyle name="40% - Accent6 4 2 2 7 6" xfId="28060" xr:uid="{00000000-0005-0000-0000-000024530000}"/>
    <cellStyle name="40% - Accent6 4 2 2 8" xfId="28061" xr:uid="{00000000-0005-0000-0000-000025530000}"/>
    <cellStyle name="40% - Accent6 4 2 2 8 2" xfId="28062" xr:uid="{00000000-0005-0000-0000-000026530000}"/>
    <cellStyle name="40% - Accent6 4 2 2 8 2 2" xfId="28063" xr:uid="{00000000-0005-0000-0000-000027530000}"/>
    <cellStyle name="40% - Accent6 4 2 2 8 2 3" xfId="28064" xr:uid="{00000000-0005-0000-0000-000028530000}"/>
    <cellStyle name="40% - Accent6 4 2 2 8 3" xfId="28065" xr:uid="{00000000-0005-0000-0000-000029530000}"/>
    <cellStyle name="40% - Accent6 4 2 2 8 3 2" xfId="28066" xr:uid="{00000000-0005-0000-0000-00002A530000}"/>
    <cellStyle name="40% - Accent6 4 2 2 8 4" xfId="28067" xr:uid="{00000000-0005-0000-0000-00002B530000}"/>
    <cellStyle name="40% - Accent6 4 2 2 8 5" xfId="28068" xr:uid="{00000000-0005-0000-0000-00002C530000}"/>
    <cellStyle name="40% - Accent6 4 2 2 9" xfId="28069" xr:uid="{00000000-0005-0000-0000-00002D530000}"/>
    <cellStyle name="40% - Accent6 4 2 2 9 2" xfId="28070" xr:uid="{00000000-0005-0000-0000-00002E530000}"/>
    <cellStyle name="40% - Accent6 4 2 2 9 3" xfId="28071" xr:uid="{00000000-0005-0000-0000-00002F530000}"/>
    <cellStyle name="40% - Accent6 4 2 3" xfId="2657" xr:uid="{00000000-0005-0000-0000-000030530000}"/>
    <cellStyle name="40% - Accent6 4 2 3 10" xfId="28072" xr:uid="{00000000-0005-0000-0000-000031530000}"/>
    <cellStyle name="40% - Accent6 4 2 3 10 2" xfId="28073" xr:uid="{00000000-0005-0000-0000-000032530000}"/>
    <cellStyle name="40% - Accent6 4 2 3 11" xfId="28074" xr:uid="{00000000-0005-0000-0000-000033530000}"/>
    <cellStyle name="40% - Accent6 4 2 3 12" xfId="28075" xr:uid="{00000000-0005-0000-0000-000034530000}"/>
    <cellStyle name="40% - Accent6 4 2 3 2" xfId="2658" xr:uid="{00000000-0005-0000-0000-000035530000}"/>
    <cellStyle name="40% - Accent6 4 2 3 2 10" xfId="28076" xr:uid="{00000000-0005-0000-0000-000036530000}"/>
    <cellStyle name="40% - Accent6 4 2 3 2 2" xfId="2659" xr:uid="{00000000-0005-0000-0000-000037530000}"/>
    <cellStyle name="40% - Accent6 4 2 3 2 2 2" xfId="28077" xr:uid="{00000000-0005-0000-0000-000038530000}"/>
    <cellStyle name="40% - Accent6 4 2 3 2 2 2 2" xfId="28078" xr:uid="{00000000-0005-0000-0000-000039530000}"/>
    <cellStyle name="40% - Accent6 4 2 3 2 2 2 2 2" xfId="28079" xr:uid="{00000000-0005-0000-0000-00003A530000}"/>
    <cellStyle name="40% - Accent6 4 2 3 2 2 2 2 3" xfId="28080" xr:uid="{00000000-0005-0000-0000-00003B530000}"/>
    <cellStyle name="40% - Accent6 4 2 3 2 2 2 3" xfId="28081" xr:uid="{00000000-0005-0000-0000-00003C530000}"/>
    <cellStyle name="40% - Accent6 4 2 3 2 2 2 3 2" xfId="28082" xr:uid="{00000000-0005-0000-0000-00003D530000}"/>
    <cellStyle name="40% - Accent6 4 2 3 2 2 2 3 3" xfId="28083" xr:uid="{00000000-0005-0000-0000-00003E530000}"/>
    <cellStyle name="40% - Accent6 4 2 3 2 2 2 4" xfId="28084" xr:uid="{00000000-0005-0000-0000-00003F530000}"/>
    <cellStyle name="40% - Accent6 4 2 3 2 2 2 4 2" xfId="28085" xr:uid="{00000000-0005-0000-0000-000040530000}"/>
    <cellStyle name="40% - Accent6 4 2 3 2 2 2 5" xfId="28086" xr:uid="{00000000-0005-0000-0000-000041530000}"/>
    <cellStyle name="40% - Accent6 4 2 3 2 2 2 6" xfId="28087" xr:uid="{00000000-0005-0000-0000-000042530000}"/>
    <cellStyle name="40% - Accent6 4 2 3 2 2 3" xfId="28088" xr:uid="{00000000-0005-0000-0000-000043530000}"/>
    <cellStyle name="40% - Accent6 4 2 3 2 2 3 2" xfId="28089" xr:uid="{00000000-0005-0000-0000-000044530000}"/>
    <cellStyle name="40% - Accent6 4 2 3 2 2 3 2 2" xfId="28090" xr:uid="{00000000-0005-0000-0000-000045530000}"/>
    <cellStyle name="40% - Accent6 4 2 3 2 2 3 2 3" xfId="28091" xr:uid="{00000000-0005-0000-0000-000046530000}"/>
    <cellStyle name="40% - Accent6 4 2 3 2 2 3 3" xfId="28092" xr:uid="{00000000-0005-0000-0000-000047530000}"/>
    <cellStyle name="40% - Accent6 4 2 3 2 2 3 3 2" xfId="28093" xr:uid="{00000000-0005-0000-0000-000048530000}"/>
    <cellStyle name="40% - Accent6 4 2 3 2 2 3 3 3" xfId="28094" xr:uid="{00000000-0005-0000-0000-000049530000}"/>
    <cellStyle name="40% - Accent6 4 2 3 2 2 3 4" xfId="28095" xr:uid="{00000000-0005-0000-0000-00004A530000}"/>
    <cellStyle name="40% - Accent6 4 2 3 2 2 3 4 2" xfId="28096" xr:uid="{00000000-0005-0000-0000-00004B530000}"/>
    <cellStyle name="40% - Accent6 4 2 3 2 2 3 5" xfId="28097" xr:uid="{00000000-0005-0000-0000-00004C530000}"/>
    <cellStyle name="40% - Accent6 4 2 3 2 2 3 6" xfId="28098" xr:uid="{00000000-0005-0000-0000-00004D530000}"/>
    <cellStyle name="40% - Accent6 4 2 3 2 2 4" xfId="28099" xr:uid="{00000000-0005-0000-0000-00004E530000}"/>
    <cellStyle name="40% - Accent6 4 2 3 2 2 4 2" xfId="28100" xr:uid="{00000000-0005-0000-0000-00004F530000}"/>
    <cellStyle name="40% - Accent6 4 2 3 2 2 4 2 2" xfId="28101" xr:uid="{00000000-0005-0000-0000-000050530000}"/>
    <cellStyle name="40% - Accent6 4 2 3 2 2 4 2 3" xfId="28102" xr:uid="{00000000-0005-0000-0000-000051530000}"/>
    <cellStyle name="40% - Accent6 4 2 3 2 2 4 3" xfId="28103" xr:uid="{00000000-0005-0000-0000-000052530000}"/>
    <cellStyle name="40% - Accent6 4 2 3 2 2 4 3 2" xfId="28104" xr:uid="{00000000-0005-0000-0000-000053530000}"/>
    <cellStyle name="40% - Accent6 4 2 3 2 2 4 4" xfId="28105" xr:uid="{00000000-0005-0000-0000-000054530000}"/>
    <cellStyle name="40% - Accent6 4 2 3 2 2 4 5" xfId="28106" xr:uid="{00000000-0005-0000-0000-000055530000}"/>
    <cellStyle name="40% - Accent6 4 2 3 2 2 5" xfId="28107" xr:uid="{00000000-0005-0000-0000-000056530000}"/>
    <cellStyle name="40% - Accent6 4 2 3 2 2 5 2" xfId="28108" xr:uid="{00000000-0005-0000-0000-000057530000}"/>
    <cellStyle name="40% - Accent6 4 2 3 2 2 5 3" xfId="28109" xr:uid="{00000000-0005-0000-0000-000058530000}"/>
    <cellStyle name="40% - Accent6 4 2 3 2 2 6" xfId="28110" xr:uid="{00000000-0005-0000-0000-000059530000}"/>
    <cellStyle name="40% - Accent6 4 2 3 2 2 6 2" xfId="28111" xr:uid="{00000000-0005-0000-0000-00005A530000}"/>
    <cellStyle name="40% - Accent6 4 2 3 2 2 6 3" xfId="28112" xr:uid="{00000000-0005-0000-0000-00005B530000}"/>
    <cellStyle name="40% - Accent6 4 2 3 2 2 7" xfId="28113" xr:uid="{00000000-0005-0000-0000-00005C530000}"/>
    <cellStyle name="40% - Accent6 4 2 3 2 2 7 2" xfId="28114" xr:uid="{00000000-0005-0000-0000-00005D530000}"/>
    <cellStyle name="40% - Accent6 4 2 3 2 2 8" xfId="28115" xr:uid="{00000000-0005-0000-0000-00005E530000}"/>
    <cellStyle name="40% - Accent6 4 2 3 2 2 9" xfId="28116" xr:uid="{00000000-0005-0000-0000-00005F530000}"/>
    <cellStyle name="40% - Accent6 4 2 3 2 3" xfId="28117" xr:uid="{00000000-0005-0000-0000-000060530000}"/>
    <cellStyle name="40% - Accent6 4 2 3 2 3 2" xfId="28118" xr:uid="{00000000-0005-0000-0000-000061530000}"/>
    <cellStyle name="40% - Accent6 4 2 3 2 3 2 2" xfId="28119" xr:uid="{00000000-0005-0000-0000-000062530000}"/>
    <cellStyle name="40% - Accent6 4 2 3 2 3 2 3" xfId="28120" xr:uid="{00000000-0005-0000-0000-000063530000}"/>
    <cellStyle name="40% - Accent6 4 2 3 2 3 3" xfId="28121" xr:uid="{00000000-0005-0000-0000-000064530000}"/>
    <cellStyle name="40% - Accent6 4 2 3 2 3 3 2" xfId="28122" xr:uid="{00000000-0005-0000-0000-000065530000}"/>
    <cellStyle name="40% - Accent6 4 2 3 2 3 3 3" xfId="28123" xr:uid="{00000000-0005-0000-0000-000066530000}"/>
    <cellStyle name="40% - Accent6 4 2 3 2 3 4" xfId="28124" xr:uid="{00000000-0005-0000-0000-000067530000}"/>
    <cellStyle name="40% - Accent6 4 2 3 2 3 4 2" xfId="28125" xr:uid="{00000000-0005-0000-0000-000068530000}"/>
    <cellStyle name="40% - Accent6 4 2 3 2 3 5" xfId="28126" xr:uid="{00000000-0005-0000-0000-000069530000}"/>
    <cellStyle name="40% - Accent6 4 2 3 2 3 6" xfId="28127" xr:uid="{00000000-0005-0000-0000-00006A530000}"/>
    <cellStyle name="40% - Accent6 4 2 3 2 4" xfId="28128" xr:uid="{00000000-0005-0000-0000-00006B530000}"/>
    <cellStyle name="40% - Accent6 4 2 3 2 4 2" xfId="28129" xr:uid="{00000000-0005-0000-0000-00006C530000}"/>
    <cellStyle name="40% - Accent6 4 2 3 2 4 2 2" xfId="28130" xr:uid="{00000000-0005-0000-0000-00006D530000}"/>
    <cellStyle name="40% - Accent6 4 2 3 2 4 2 3" xfId="28131" xr:uid="{00000000-0005-0000-0000-00006E530000}"/>
    <cellStyle name="40% - Accent6 4 2 3 2 4 3" xfId="28132" xr:uid="{00000000-0005-0000-0000-00006F530000}"/>
    <cellStyle name="40% - Accent6 4 2 3 2 4 3 2" xfId="28133" xr:uid="{00000000-0005-0000-0000-000070530000}"/>
    <cellStyle name="40% - Accent6 4 2 3 2 4 3 3" xfId="28134" xr:uid="{00000000-0005-0000-0000-000071530000}"/>
    <cellStyle name="40% - Accent6 4 2 3 2 4 4" xfId="28135" xr:uid="{00000000-0005-0000-0000-000072530000}"/>
    <cellStyle name="40% - Accent6 4 2 3 2 4 4 2" xfId="28136" xr:uid="{00000000-0005-0000-0000-000073530000}"/>
    <cellStyle name="40% - Accent6 4 2 3 2 4 5" xfId="28137" xr:uid="{00000000-0005-0000-0000-000074530000}"/>
    <cellStyle name="40% - Accent6 4 2 3 2 4 6" xfId="28138" xr:uid="{00000000-0005-0000-0000-000075530000}"/>
    <cellStyle name="40% - Accent6 4 2 3 2 5" xfId="28139" xr:uid="{00000000-0005-0000-0000-000076530000}"/>
    <cellStyle name="40% - Accent6 4 2 3 2 5 2" xfId="28140" xr:uid="{00000000-0005-0000-0000-000077530000}"/>
    <cellStyle name="40% - Accent6 4 2 3 2 5 2 2" xfId="28141" xr:uid="{00000000-0005-0000-0000-000078530000}"/>
    <cellStyle name="40% - Accent6 4 2 3 2 5 2 3" xfId="28142" xr:uid="{00000000-0005-0000-0000-000079530000}"/>
    <cellStyle name="40% - Accent6 4 2 3 2 5 3" xfId="28143" xr:uid="{00000000-0005-0000-0000-00007A530000}"/>
    <cellStyle name="40% - Accent6 4 2 3 2 5 3 2" xfId="28144" xr:uid="{00000000-0005-0000-0000-00007B530000}"/>
    <cellStyle name="40% - Accent6 4 2 3 2 5 4" xfId="28145" xr:uid="{00000000-0005-0000-0000-00007C530000}"/>
    <cellStyle name="40% - Accent6 4 2 3 2 5 5" xfId="28146" xr:uid="{00000000-0005-0000-0000-00007D530000}"/>
    <cellStyle name="40% - Accent6 4 2 3 2 6" xfId="28147" xr:uid="{00000000-0005-0000-0000-00007E530000}"/>
    <cellStyle name="40% - Accent6 4 2 3 2 6 2" xfId="28148" xr:uid="{00000000-0005-0000-0000-00007F530000}"/>
    <cellStyle name="40% - Accent6 4 2 3 2 6 3" xfId="28149" xr:uid="{00000000-0005-0000-0000-000080530000}"/>
    <cellStyle name="40% - Accent6 4 2 3 2 7" xfId="28150" xr:uid="{00000000-0005-0000-0000-000081530000}"/>
    <cellStyle name="40% - Accent6 4 2 3 2 7 2" xfId="28151" xr:uid="{00000000-0005-0000-0000-000082530000}"/>
    <cellStyle name="40% - Accent6 4 2 3 2 7 3" xfId="28152" xr:uid="{00000000-0005-0000-0000-000083530000}"/>
    <cellStyle name="40% - Accent6 4 2 3 2 8" xfId="28153" xr:uid="{00000000-0005-0000-0000-000084530000}"/>
    <cellStyle name="40% - Accent6 4 2 3 2 8 2" xfId="28154" xr:uid="{00000000-0005-0000-0000-000085530000}"/>
    <cellStyle name="40% - Accent6 4 2 3 2 9" xfId="28155" xr:uid="{00000000-0005-0000-0000-000086530000}"/>
    <cellStyle name="40% - Accent6 4 2 3 3" xfId="2660" xr:uid="{00000000-0005-0000-0000-000087530000}"/>
    <cellStyle name="40% - Accent6 4 2 3 3 2" xfId="28156" xr:uid="{00000000-0005-0000-0000-000088530000}"/>
    <cellStyle name="40% - Accent6 4 2 3 3 2 2" xfId="28157" xr:uid="{00000000-0005-0000-0000-000089530000}"/>
    <cellStyle name="40% - Accent6 4 2 3 3 2 2 2" xfId="28158" xr:uid="{00000000-0005-0000-0000-00008A530000}"/>
    <cellStyle name="40% - Accent6 4 2 3 3 2 2 3" xfId="28159" xr:uid="{00000000-0005-0000-0000-00008B530000}"/>
    <cellStyle name="40% - Accent6 4 2 3 3 2 3" xfId="28160" xr:uid="{00000000-0005-0000-0000-00008C530000}"/>
    <cellStyle name="40% - Accent6 4 2 3 3 2 3 2" xfId="28161" xr:uid="{00000000-0005-0000-0000-00008D530000}"/>
    <cellStyle name="40% - Accent6 4 2 3 3 2 3 3" xfId="28162" xr:uid="{00000000-0005-0000-0000-00008E530000}"/>
    <cellStyle name="40% - Accent6 4 2 3 3 2 4" xfId="28163" xr:uid="{00000000-0005-0000-0000-00008F530000}"/>
    <cellStyle name="40% - Accent6 4 2 3 3 2 4 2" xfId="28164" xr:uid="{00000000-0005-0000-0000-000090530000}"/>
    <cellStyle name="40% - Accent6 4 2 3 3 2 5" xfId="28165" xr:uid="{00000000-0005-0000-0000-000091530000}"/>
    <cellStyle name="40% - Accent6 4 2 3 3 2 6" xfId="28166" xr:uid="{00000000-0005-0000-0000-000092530000}"/>
    <cellStyle name="40% - Accent6 4 2 3 3 3" xfId="28167" xr:uid="{00000000-0005-0000-0000-000093530000}"/>
    <cellStyle name="40% - Accent6 4 2 3 3 3 2" xfId="28168" xr:uid="{00000000-0005-0000-0000-000094530000}"/>
    <cellStyle name="40% - Accent6 4 2 3 3 3 2 2" xfId="28169" xr:uid="{00000000-0005-0000-0000-000095530000}"/>
    <cellStyle name="40% - Accent6 4 2 3 3 3 2 3" xfId="28170" xr:uid="{00000000-0005-0000-0000-000096530000}"/>
    <cellStyle name="40% - Accent6 4 2 3 3 3 3" xfId="28171" xr:uid="{00000000-0005-0000-0000-000097530000}"/>
    <cellStyle name="40% - Accent6 4 2 3 3 3 3 2" xfId="28172" xr:uid="{00000000-0005-0000-0000-000098530000}"/>
    <cellStyle name="40% - Accent6 4 2 3 3 3 3 3" xfId="28173" xr:uid="{00000000-0005-0000-0000-000099530000}"/>
    <cellStyle name="40% - Accent6 4 2 3 3 3 4" xfId="28174" xr:uid="{00000000-0005-0000-0000-00009A530000}"/>
    <cellStyle name="40% - Accent6 4 2 3 3 3 4 2" xfId="28175" xr:uid="{00000000-0005-0000-0000-00009B530000}"/>
    <cellStyle name="40% - Accent6 4 2 3 3 3 5" xfId="28176" xr:uid="{00000000-0005-0000-0000-00009C530000}"/>
    <cellStyle name="40% - Accent6 4 2 3 3 3 6" xfId="28177" xr:uid="{00000000-0005-0000-0000-00009D530000}"/>
    <cellStyle name="40% - Accent6 4 2 3 3 4" xfId="28178" xr:uid="{00000000-0005-0000-0000-00009E530000}"/>
    <cellStyle name="40% - Accent6 4 2 3 3 4 2" xfId="28179" xr:uid="{00000000-0005-0000-0000-00009F530000}"/>
    <cellStyle name="40% - Accent6 4 2 3 3 4 2 2" xfId="28180" xr:uid="{00000000-0005-0000-0000-0000A0530000}"/>
    <cellStyle name="40% - Accent6 4 2 3 3 4 2 3" xfId="28181" xr:uid="{00000000-0005-0000-0000-0000A1530000}"/>
    <cellStyle name="40% - Accent6 4 2 3 3 4 3" xfId="28182" xr:uid="{00000000-0005-0000-0000-0000A2530000}"/>
    <cellStyle name="40% - Accent6 4 2 3 3 4 3 2" xfId="28183" xr:uid="{00000000-0005-0000-0000-0000A3530000}"/>
    <cellStyle name="40% - Accent6 4 2 3 3 4 4" xfId="28184" xr:uid="{00000000-0005-0000-0000-0000A4530000}"/>
    <cellStyle name="40% - Accent6 4 2 3 3 4 5" xfId="28185" xr:uid="{00000000-0005-0000-0000-0000A5530000}"/>
    <cellStyle name="40% - Accent6 4 2 3 3 5" xfId="28186" xr:uid="{00000000-0005-0000-0000-0000A6530000}"/>
    <cellStyle name="40% - Accent6 4 2 3 3 5 2" xfId="28187" xr:uid="{00000000-0005-0000-0000-0000A7530000}"/>
    <cellStyle name="40% - Accent6 4 2 3 3 5 3" xfId="28188" xr:uid="{00000000-0005-0000-0000-0000A8530000}"/>
    <cellStyle name="40% - Accent6 4 2 3 3 6" xfId="28189" xr:uid="{00000000-0005-0000-0000-0000A9530000}"/>
    <cellStyle name="40% - Accent6 4 2 3 3 6 2" xfId="28190" xr:uid="{00000000-0005-0000-0000-0000AA530000}"/>
    <cellStyle name="40% - Accent6 4 2 3 3 6 3" xfId="28191" xr:uid="{00000000-0005-0000-0000-0000AB530000}"/>
    <cellStyle name="40% - Accent6 4 2 3 3 7" xfId="28192" xr:uid="{00000000-0005-0000-0000-0000AC530000}"/>
    <cellStyle name="40% - Accent6 4 2 3 3 7 2" xfId="28193" xr:uid="{00000000-0005-0000-0000-0000AD530000}"/>
    <cellStyle name="40% - Accent6 4 2 3 3 8" xfId="28194" xr:uid="{00000000-0005-0000-0000-0000AE530000}"/>
    <cellStyle name="40% - Accent6 4 2 3 3 9" xfId="28195" xr:uid="{00000000-0005-0000-0000-0000AF530000}"/>
    <cellStyle name="40% - Accent6 4 2 3 4" xfId="28196" xr:uid="{00000000-0005-0000-0000-0000B0530000}"/>
    <cellStyle name="40% - Accent6 4 2 3 4 2" xfId="28197" xr:uid="{00000000-0005-0000-0000-0000B1530000}"/>
    <cellStyle name="40% - Accent6 4 2 3 4 2 2" xfId="28198" xr:uid="{00000000-0005-0000-0000-0000B2530000}"/>
    <cellStyle name="40% - Accent6 4 2 3 4 2 2 2" xfId="28199" xr:uid="{00000000-0005-0000-0000-0000B3530000}"/>
    <cellStyle name="40% - Accent6 4 2 3 4 2 2 3" xfId="28200" xr:uid="{00000000-0005-0000-0000-0000B4530000}"/>
    <cellStyle name="40% - Accent6 4 2 3 4 2 3" xfId="28201" xr:uid="{00000000-0005-0000-0000-0000B5530000}"/>
    <cellStyle name="40% - Accent6 4 2 3 4 2 3 2" xfId="28202" xr:uid="{00000000-0005-0000-0000-0000B6530000}"/>
    <cellStyle name="40% - Accent6 4 2 3 4 2 3 3" xfId="28203" xr:uid="{00000000-0005-0000-0000-0000B7530000}"/>
    <cellStyle name="40% - Accent6 4 2 3 4 2 4" xfId="28204" xr:uid="{00000000-0005-0000-0000-0000B8530000}"/>
    <cellStyle name="40% - Accent6 4 2 3 4 2 4 2" xfId="28205" xr:uid="{00000000-0005-0000-0000-0000B9530000}"/>
    <cellStyle name="40% - Accent6 4 2 3 4 2 5" xfId="28206" xr:uid="{00000000-0005-0000-0000-0000BA530000}"/>
    <cellStyle name="40% - Accent6 4 2 3 4 2 6" xfId="28207" xr:uid="{00000000-0005-0000-0000-0000BB530000}"/>
    <cellStyle name="40% - Accent6 4 2 3 4 3" xfId="28208" xr:uid="{00000000-0005-0000-0000-0000BC530000}"/>
    <cellStyle name="40% - Accent6 4 2 3 4 3 2" xfId="28209" xr:uid="{00000000-0005-0000-0000-0000BD530000}"/>
    <cellStyle name="40% - Accent6 4 2 3 4 3 2 2" xfId="28210" xr:uid="{00000000-0005-0000-0000-0000BE530000}"/>
    <cellStyle name="40% - Accent6 4 2 3 4 3 2 3" xfId="28211" xr:uid="{00000000-0005-0000-0000-0000BF530000}"/>
    <cellStyle name="40% - Accent6 4 2 3 4 3 3" xfId="28212" xr:uid="{00000000-0005-0000-0000-0000C0530000}"/>
    <cellStyle name="40% - Accent6 4 2 3 4 3 3 2" xfId="28213" xr:uid="{00000000-0005-0000-0000-0000C1530000}"/>
    <cellStyle name="40% - Accent6 4 2 3 4 3 3 3" xfId="28214" xr:uid="{00000000-0005-0000-0000-0000C2530000}"/>
    <cellStyle name="40% - Accent6 4 2 3 4 3 4" xfId="28215" xr:uid="{00000000-0005-0000-0000-0000C3530000}"/>
    <cellStyle name="40% - Accent6 4 2 3 4 3 4 2" xfId="28216" xr:uid="{00000000-0005-0000-0000-0000C4530000}"/>
    <cellStyle name="40% - Accent6 4 2 3 4 3 5" xfId="28217" xr:uid="{00000000-0005-0000-0000-0000C5530000}"/>
    <cellStyle name="40% - Accent6 4 2 3 4 3 6" xfId="28218" xr:uid="{00000000-0005-0000-0000-0000C6530000}"/>
    <cellStyle name="40% - Accent6 4 2 3 4 4" xfId="28219" xr:uid="{00000000-0005-0000-0000-0000C7530000}"/>
    <cellStyle name="40% - Accent6 4 2 3 4 4 2" xfId="28220" xr:uid="{00000000-0005-0000-0000-0000C8530000}"/>
    <cellStyle name="40% - Accent6 4 2 3 4 4 2 2" xfId="28221" xr:uid="{00000000-0005-0000-0000-0000C9530000}"/>
    <cellStyle name="40% - Accent6 4 2 3 4 4 2 3" xfId="28222" xr:uid="{00000000-0005-0000-0000-0000CA530000}"/>
    <cellStyle name="40% - Accent6 4 2 3 4 4 3" xfId="28223" xr:uid="{00000000-0005-0000-0000-0000CB530000}"/>
    <cellStyle name="40% - Accent6 4 2 3 4 4 3 2" xfId="28224" xr:uid="{00000000-0005-0000-0000-0000CC530000}"/>
    <cellStyle name="40% - Accent6 4 2 3 4 4 4" xfId="28225" xr:uid="{00000000-0005-0000-0000-0000CD530000}"/>
    <cellStyle name="40% - Accent6 4 2 3 4 4 5" xfId="28226" xr:uid="{00000000-0005-0000-0000-0000CE530000}"/>
    <cellStyle name="40% - Accent6 4 2 3 4 5" xfId="28227" xr:uid="{00000000-0005-0000-0000-0000CF530000}"/>
    <cellStyle name="40% - Accent6 4 2 3 4 5 2" xfId="28228" xr:uid="{00000000-0005-0000-0000-0000D0530000}"/>
    <cellStyle name="40% - Accent6 4 2 3 4 5 3" xfId="28229" xr:uid="{00000000-0005-0000-0000-0000D1530000}"/>
    <cellStyle name="40% - Accent6 4 2 3 4 6" xfId="28230" xr:uid="{00000000-0005-0000-0000-0000D2530000}"/>
    <cellStyle name="40% - Accent6 4 2 3 4 6 2" xfId="28231" xr:uid="{00000000-0005-0000-0000-0000D3530000}"/>
    <cellStyle name="40% - Accent6 4 2 3 4 6 3" xfId="28232" xr:uid="{00000000-0005-0000-0000-0000D4530000}"/>
    <cellStyle name="40% - Accent6 4 2 3 4 7" xfId="28233" xr:uid="{00000000-0005-0000-0000-0000D5530000}"/>
    <cellStyle name="40% - Accent6 4 2 3 4 7 2" xfId="28234" xr:uid="{00000000-0005-0000-0000-0000D6530000}"/>
    <cellStyle name="40% - Accent6 4 2 3 4 8" xfId="28235" xr:uid="{00000000-0005-0000-0000-0000D7530000}"/>
    <cellStyle name="40% - Accent6 4 2 3 4 9" xfId="28236" xr:uid="{00000000-0005-0000-0000-0000D8530000}"/>
    <cellStyle name="40% - Accent6 4 2 3 5" xfId="28237" xr:uid="{00000000-0005-0000-0000-0000D9530000}"/>
    <cellStyle name="40% - Accent6 4 2 3 5 2" xfId="28238" xr:uid="{00000000-0005-0000-0000-0000DA530000}"/>
    <cellStyle name="40% - Accent6 4 2 3 5 2 2" xfId="28239" xr:uid="{00000000-0005-0000-0000-0000DB530000}"/>
    <cellStyle name="40% - Accent6 4 2 3 5 2 3" xfId="28240" xr:uid="{00000000-0005-0000-0000-0000DC530000}"/>
    <cellStyle name="40% - Accent6 4 2 3 5 3" xfId="28241" xr:uid="{00000000-0005-0000-0000-0000DD530000}"/>
    <cellStyle name="40% - Accent6 4 2 3 5 3 2" xfId="28242" xr:uid="{00000000-0005-0000-0000-0000DE530000}"/>
    <cellStyle name="40% - Accent6 4 2 3 5 3 3" xfId="28243" xr:uid="{00000000-0005-0000-0000-0000DF530000}"/>
    <cellStyle name="40% - Accent6 4 2 3 5 4" xfId="28244" xr:uid="{00000000-0005-0000-0000-0000E0530000}"/>
    <cellStyle name="40% - Accent6 4 2 3 5 4 2" xfId="28245" xr:uid="{00000000-0005-0000-0000-0000E1530000}"/>
    <cellStyle name="40% - Accent6 4 2 3 5 5" xfId="28246" xr:uid="{00000000-0005-0000-0000-0000E2530000}"/>
    <cellStyle name="40% - Accent6 4 2 3 5 6" xfId="28247" xr:uid="{00000000-0005-0000-0000-0000E3530000}"/>
    <cellStyle name="40% - Accent6 4 2 3 6" xfId="28248" xr:uid="{00000000-0005-0000-0000-0000E4530000}"/>
    <cellStyle name="40% - Accent6 4 2 3 6 2" xfId="28249" xr:uid="{00000000-0005-0000-0000-0000E5530000}"/>
    <cellStyle name="40% - Accent6 4 2 3 6 2 2" xfId="28250" xr:uid="{00000000-0005-0000-0000-0000E6530000}"/>
    <cellStyle name="40% - Accent6 4 2 3 6 2 3" xfId="28251" xr:uid="{00000000-0005-0000-0000-0000E7530000}"/>
    <cellStyle name="40% - Accent6 4 2 3 6 3" xfId="28252" xr:uid="{00000000-0005-0000-0000-0000E8530000}"/>
    <cellStyle name="40% - Accent6 4 2 3 6 3 2" xfId="28253" xr:uid="{00000000-0005-0000-0000-0000E9530000}"/>
    <cellStyle name="40% - Accent6 4 2 3 6 3 3" xfId="28254" xr:uid="{00000000-0005-0000-0000-0000EA530000}"/>
    <cellStyle name="40% - Accent6 4 2 3 6 4" xfId="28255" xr:uid="{00000000-0005-0000-0000-0000EB530000}"/>
    <cellStyle name="40% - Accent6 4 2 3 6 4 2" xfId="28256" xr:uid="{00000000-0005-0000-0000-0000EC530000}"/>
    <cellStyle name="40% - Accent6 4 2 3 6 5" xfId="28257" xr:uid="{00000000-0005-0000-0000-0000ED530000}"/>
    <cellStyle name="40% - Accent6 4 2 3 6 6" xfId="28258" xr:uid="{00000000-0005-0000-0000-0000EE530000}"/>
    <cellStyle name="40% - Accent6 4 2 3 7" xfId="28259" xr:uid="{00000000-0005-0000-0000-0000EF530000}"/>
    <cellStyle name="40% - Accent6 4 2 3 7 2" xfId="28260" xr:uid="{00000000-0005-0000-0000-0000F0530000}"/>
    <cellStyle name="40% - Accent6 4 2 3 7 2 2" xfId="28261" xr:uid="{00000000-0005-0000-0000-0000F1530000}"/>
    <cellStyle name="40% - Accent6 4 2 3 7 2 3" xfId="28262" xr:uid="{00000000-0005-0000-0000-0000F2530000}"/>
    <cellStyle name="40% - Accent6 4 2 3 7 3" xfId="28263" xr:uid="{00000000-0005-0000-0000-0000F3530000}"/>
    <cellStyle name="40% - Accent6 4 2 3 7 3 2" xfId="28264" xr:uid="{00000000-0005-0000-0000-0000F4530000}"/>
    <cellStyle name="40% - Accent6 4 2 3 7 4" xfId="28265" xr:uid="{00000000-0005-0000-0000-0000F5530000}"/>
    <cellStyle name="40% - Accent6 4 2 3 7 5" xfId="28266" xr:uid="{00000000-0005-0000-0000-0000F6530000}"/>
    <cellStyle name="40% - Accent6 4 2 3 8" xfId="28267" xr:uid="{00000000-0005-0000-0000-0000F7530000}"/>
    <cellStyle name="40% - Accent6 4 2 3 8 2" xfId="28268" xr:uid="{00000000-0005-0000-0000-0000F8530000}"/>
    <cellStyle name="40% - Accent6 4 2 3 8 3" xfId="28269" xr:uid="{00000000-0005-0000-0000-0000F9530000}"/>
    <cellStyle name="40% - Accent6 4 2 3 9" xfId="28270" xr:uid="{00000000-0005-0000-0000-0000FA530000}"/>
    <cellStyle name="40% - Accent6 4 2 3 9 2" xfId="28271" xr:uid="{00000000-0005-0000-0000-0000FB530000}"/>
    <cellStyle name="40% - Accent6 4 2 3 9 3" xfId="28272" xr:uid="{00000000-0005-0000-0000-0000FC530000}"/>
    <cellStyle name="40% - Accent6 4 2 4" xfId="2661" xr:uid="{00000000-0005-0000-0000-0000FD530000}"/>
    <cellStyle name="40% - Accent6 4 2 4 10" xfId="28273" xr:uid="{00000000-0005-0000-0000-0000FE530000}"/>
    <cellStyle name="40% - Accent6 4 2 4 2" xfId="2662" xr:uid="{00000000-0005-0000-0000-0000FF530000}"/>
    <cellStyle name="40% - Accent6 4 2 4 2 2" xfId="28274" xr:uid="{00000000-0005-0000-0000-000000540000}"/>
    <cellStyle name="40% - Accent6 4 2 4 2 2 2" xfId="28275" xr:uid="{00000000-0005-0000-0000-000001540000}"/>
    <cellStyle name="40% - Accent6 4 2 4 2 2 2 2" xfId="28276" xr:uid="{00000000-0005-0000-0000-000002540000}"/>
    <cellStyle name="40% - Accent6 4 2 4 2 2 2 3" xfId="28277" xr:uid="{00000000-0005-0000-0000-000003540000}"/>
    <cellStyle name="40% - Accent6 4 2 4 2 2 3" xfId="28278" xr:uid="{00000000-0005-0000-0000-000004540000}"/>
    <cellStyle name="40% - Accent6 4 2 4 2 2 3 2" xfId="28279" xr:uid="{00000000-0005-0000-0000-000005540000}"/>
    <cellStyle name="40% - Accent6 4 2 4 2 2 3 3" xfId="28280" xr:uid="{00000000-0005-0000-0000-000006540000}"/>
    <cellStyle name="40% - Accent6 4 2 4 2 2 4" xfId="28281" xr:uid="{00000000-0005-0000-0000-000007540000}"/>
    <cellStyle name="40% - Accent6 4 2 4 2 2 4 2" xfId="28282" xr:uid="{00000000-0005-0000-0000-000008540000}"/>
    <cellStyle name="40% - Accent6 4 2 4 2 2 5" xfId="28283" xr:uid="{00000000-0005-0000-0000-000009540000}"/>
    <cellStyle name="40% - Accent6 4 2 4 2 2 6" xfId="28284" xr:uid="{00000000-0005-0000-0000-00000A540000}"/>
    <cellStyle name="40% - Accent6 4 2 4 2 3" xfId="28285" xr:uid="{00000000-0005-0000-0000-00000B540000}"/>
    <cellStyle name="40% - Accent6 4 2 4 2 3 2" xfId="28286" xr:uid="{00000000-0005-0000-0000-00000C540000}"/>
    <cellStyle name="40% - Accent6 4 2 4 2 3 2 2" xfId="28287" xr:uid="{00000000-0005-0000-0000-00000D540000}"/>
    <cellStyle name="40% - Accent6 4 2 4 2 3 2 3" xfId="28288" xr:uid="{00000000-0005-0000-0000-00000E540000}"/>
    <cellStyle name="40% - Accent6 4 2 4 2 3 3" xfId="28289" xr:uid="{00000000-0005-0000-0000-00000F540000}"/>
    <cellStyle name="40% - Accent6 4 2 4 2 3 3 2" xfId="28290" xr:uid="{00000000-0005-0000-0000-000010540000}"/>
    <cellStyle name="40% - Accent6 4 2 4 2 3 3 3" xfId="28291" xr:uid="{00000000-0005-0000-0000-000011540000}"/>
    <cellStyle name="40% - Accent6 4 2 4 2 3 4" xfId="28292" xr:uid="{00000000-0005-0000-0000-000012540000}"/>
    <cellStyle name="40% - Accent6 4 2 4 2 3 4 2" xfId="28293" xr:uid="{00000000-0005-0000-0000-000013540000}"/>
    <cellStyle name="40% - Accent6 4 2 4 2 3 5" xfId="28294" xr:uid="{00000000-0005-0000-0000-000014540000}"/>
    <cellStyle name="40% - Accent6 4 2 4 2 3 6" xfId="28295" xr:uid="{00000000-0005-0000-0000-000015540000}"/>
    <cellStyle name="40% - Accent6 4 2 4 2 4" xfId="28296" xr:uid="{00000000-0005-0000-0000-000016540000}"/>
    <cellStyle name="40% - Accent6 4 2 4 2 4 2" xfId="28297" xr:uid="{00000000-0005-0000-0000-000017540000}"/>
    <cellStyle name="40% - Accent6 4 2 4 2 4 2 2" xfId="28298" xr:uid="{00000000-0005-0000-0000-000018540000}"/>
    <cellStyle name="40% - Accent6 4 2 4 2 4 2 3" xfId="28299" xr:uid="{00000000-0005-0000-0000-000019540000}"/>
    <cellStyle name="40% - Accent6 4 2 4 2 4 3" xfId="28300" xr:uid="{00000000-0005-0000-0000-00001A540000}"/>
    <cellStyle name="40% - Accent6 4 2 4 2 4 3 2" xfId="28301" xr:uid="{00000000-0005-0000-0000-00001B540000}"/>
    <cellStyle name="40% - Accent6 4 2 4 2 4 4" xfId="28302" xr:uid="{00000000-0005-0000-0000-00001C540000}"/>
    <cellStyle name="40% - Accent6 4 2 4 2 4 5" xfId="28303" xr:uid="{00000000-0005-0000-0000-00001D540000}"/>
    <cellStyle name="40% - Accent6 4 2 4 2 5" xfId="28304" xr:uid="{00000000-0005-0000-0000-00001E540000}"/>
    <cellStyle name="40% - Accent6 4 2 4 2 5 2" xfId="28305" xr:uid="{00000000-0005-0000-0000-00001F540000}"/>
    <cellStyle name="40% - Accent6 4 2 4 2 5 3" xfId="28306" xr:uid="{00000000-0005-0000-0000-000020540000}"/>
    <cellStyle name="40% - Accent6 4 2 4 2 6" xfId="28307" xr:uid="{00000000-0005-0000-0000-000021540000}"/>
    <cellStyle name="40% - Accent6 4 2 4 2 6 2" xfId="28308" xr:uid="{00000000-0005-0000-0000-000022540000}"/>
    <cellStyle name="40% - Accent6 4 2 4 2 6 3" xfId="28309" xr:uid="{00000000-0005-0000-0000-000023540000}"/>
    <cellStyle name="40% - Accent6 4 2 4 2 7" xfId="28310" xr:uid="{00000000-0005-0000-0000-000024540000}"/>
    <cellStyle name="40% - Accent6 4 2 4 2 7 2" xfId="28311" xr:uid="{00000000-0005-0000-0000-000025540000}"/>
    <cellStyle name="40% - Accent6 4 2 4 2 8" xfId="28312" xr:uid="{00000000-0005-0000-0000-000026540000}"/>
    <cellStyle name="40% - Accent6 4 2 4 2 9" xfId="28313" xr:uid="{00000000-0005-0000-0000-000027540000}"/>
    <cellStyle name="40% - Accent6 4 2 4 3" xfId="28314" xr:uid="{00000000-0005-0000-0000-000028540000}"/>
    <cellStyle name="40% - Accent6 4 2 4 3 2" xfId="28315" xr:uid="{00000000-0005-0000-0000-000029540000}"/>
    <cellStyle name="40% - Accent6 4 2 4 3 2 2" xfId="28316" xr:uid="{00000000-0005-0000-0000-00002A540000}"/>
    <cellStyle name="40% - Accent6 4 2 4 3 2 3" xfId="28317" xr:uid="{00000000-0005-0000-0000-00002B540000}"/>
    <cellStyle name="40% - Accent6 4 2 4 3 3" xfId="28318" xr:uid="{00000000-0005-0000-0000-00002C540000}"/>
    <cellStyle name="40% - Accent6 4 2 4 3 3 2" xfId="28319" xr:uid="{00000000-0005-0000-0000-00002D540000}"/>
    <cellStyle name="40% - Accent6 4 2 4 3 3 3" xfId="28320" xr:uid="{00000000-0005-0000-0000-00002E540000}"/>
    <cellStyle name="40% - Accent6 4 2 4 3 4" xfId="28321" xr:uid="{00000000-0005-0000-0000-00002F540000}"/>
    <cellStyle name="40% - Accent6 4 2 4 3 4 2" xfId="28322" xr:uid="{00000000-0005-0000-0000-000030540000}"/>
    <cellStyle name="40% - Accent6 4 2 4 3 5" xfId="28323" xr:uid="{00000000-0005-0000-0000-000031540000}"/>
    <cellStyle name="40% - Accent6 4 2 4 3 6" xfId="28324" xr:uid="{00000000-0005-0000-0000-000032540000}"/>
    <cellStyle name="40% - Accent6 4 2 4 4" xfId="28325" xr:uid="{00000000-0005-0000-0000-000033540000}"/>
    <cellStyle name="40% - Accent6 4 2 4 4 2" xfId="28326" xr:uid="{00000000-0005-0000-0000-000034540000}"/>
    <cellStyle name="40% - Accent6 4 2 4 4 2 2" xfId="28327" xr:uid="{00000000-0005-0000-0000-000035540000}"/>
    <cellStyle name="40% - Accent6 4 2 4 4 2 3" xfId="28328" xr:uid="{00000000-0005-0000-0000-000036540000}"/>
    <cellStyle name="40% - Accent6 4 2 4 4 3" xfId="28329" xr:uid="{00000000-0005-0000-0000-000037540000}"/>
    <cellStyle name="40% - Accent6 4 2 4 4 3 2" xfId="28330" xr:uid="{00000000-0005-0000-0000-000038540000}"/>
    <cellStyle name="40% - Accent6 4 2 4 4 3 3" xfId="28331" xr:uid="{00000000-0005-0000-0000-000039540000}"/>
    <cellStyle name="40% - Accent6 4 2 4 4 4" xfId="28332" xr:uid="{00000000-0005-0000-0000-00003A540000}"/>
    <cellStyle name="40% - Accent6 4 2 4 4 4 2" xfId="28333" xr:uid="{00000000-0005-0000-0000-00003B540000}"/>
    <cellStyle name="40% - Accent6 4 2 4 4 5" xfId="28334" xr:uid="{00000000-0005-0000-0000-00003C540000}"/>
    <cellStyle name="40% - Accent6 4 2 4 4 6" xfId="28335" xr:uid="{00000000-0005-0000-0000-00003D540000}"/>
    <cellStyle name="40% - Accent6 4 2 4 5" xfId="28336" xr:uid="{00000000-0005-0000-0000-00003E540000}"/>
    <cellStyle name="40% - Accent6 4 2 4 5 2" xfId="28337" xr:uid="{00000000-0005-0000-0000-00003F540000}"/>
    <cellStyle name="40% - Accent6 4 2 4 5 2 2" xfId="28338" xr:uid="{00000000-0005-0000-0000-000040540000}"/>
    <cellStyle name="40% - Accent6 4 2 4 5 2 3" xfId="28339" xr:uid="{00000000-0005-0000-0000-000041540000}"/>
    <cellStyle name="40% - Accent6 4 2 4 5 3" xfId="28340" xr:uid="{00000000-0005-0000-0000-000042540000}"/>
    <cellStyle name="40% - Accent6 4 2 4 5 3 2" xfId="28341" xr:uid="{00000000-0005-0000-0000-000043540000}"/>
    <cellStyle name="40% - Accent6 4 2 4 5 4" xfId="28342" xr:uid="{00000000-0005-0000-0000-000044540000}"/>
    <cellStyle name="40% - Accent6 4 2 4 5 5" xfId="28343" xr:uid="{00000000-0005-0000-0000-000045540000}"/>
    <cellStyle name="40% - Accent6 4 2 4 6" xfId="28344" xr:uid="{00000000-0005-0000-0000-000046540000}"/>
    <cellStyle name="40% - Accent6 4 2 4 6 2" xfId="28345" xr:uid="{00000000-0005-0000-0000-000047540000}"/>
    <cellStyle name="40% - Accent6 4 2 4 6 3" xfId="28346" xr:uid="{00000000-0005-0000-0000-000048540000}"/>
    <cellStyle name="40% - Accent6 4 2 4 7" xfId="28347" xr:uid="{00000000-0005-0000-0000-000049540000}"/>
    <cellStyle name="40% - Accent6 4 2 4 7 2" xfId="28348" xr:uid="{00000000-0005-0000-0000-00004A540000}"/>
    <cellStyle name="40% - Accent6 4 2 4 7 3" xfId="28349" xr:uid="{00000000-0005-0000-0000-00004B540000}"/>
    <cellStyle name="40% - Accent6 4 2 4 8" xfId="28350" xr:uid="{00000000-0005-0000-0000-00004C540000}"/>
    <cellStyle name="40% - Accent6 4 2 4 8 2" xfId="28351" xr:uid="{00000000-0005-0000-0000-00004D540000}"/>
    <cellStyle name="40% - Accent6 4 2 4 9" xfId="28352" xr:uid="{00000000-0005-0000-0000-00004E540000}"/>
    <cellStyle name="40% - Accent6 4 2 5" xfId="2663" xr:uid="{00000000-0005-0000-0000-00004F540000}"/>
    <cellStyle name="40% - Accent6 4 2 5 2" xfId="28353" xr:uid="{00000000-0005-0000-0000-000050540000}"/>
    <cellStyle name="40% - Accent6 4 2 5 2 2" xfId="28354" xr:uid="{00000000-0005-0000-0000-000051540000}"/>
    <cellStyle name="40% - Accent6 4 2 5 2 2 2" xfId="28355" xr:uid="{00000000-0005-0000-0000-000052540000}"/>
    <cellStyle name="40% - Accent6 4 2 5 2 2 3" xfId="28356" xr:uid="{00000000-0005-0000-0000-000053540000}"/>
    <cellStyle name="40% - Accent6 4 2 5 2 3" xfId="28357" xr:uid="{00000000-0005-0000-0000-000054540000}"/>
    <cellStyle name="40% - Accent6 4 2 5 2 3 2" xfId="28358" xr:uid="{00000000-0005-0000-0000-000055540000}"/>
    <cellStyle name="40% - Accent6 4 2 5 2 3 3" xfId="28359" xr:uid="{00000000-0005-0000-0000-000056540000}"/>
    <cellStyle name="40% - Accent6 4 2 5 2 4" xfId="28360" xr:uid="{00000000-0005-0000-0000-000057540000}"/>
    <cellStyle name="40% - Accent6 4 2 5 2 4 2" xfId="28361" xr:uid="{00000000-0005-0000-0000-000058540000}"/>
    <cellStyle name="40% - Accent6 4 2 5 2 5" xfId="28362" xr:uid="{00000000-0005-0000-0000-000059540000}"/>
    <cellStyle name="40% - Accent6 4 2 5 2 6" xfId="28363" xr:uid="{00000000-0005-0000-0000-00005A540000}"/>
    <cellStyle name="40% - Accent6 4 2 5 3" xfId="28364" xr:uid="{00000000-0005-0000-0000-00005B540000}"/>
    <cellStyle name="40% - Accent6 4 2 5 3 2" xfId="28365" xr:uid="{00000000-0005-0000-0000-00005C540000}"/>
    <cellStyle name="40% - Accent6 4 2 5 3 2 2" xfId="28366" xr:uid="{00000000-0005-0000-0000-00005D540000}"/>
    <cellStyle name="40% - Accent6 4 2 5 3 2 3" xfId="28367" xr:uid="{00000000-0005-0000-0000-00005E540000}"/>
    <cellStyle name="40% - Accent6 4 2 5 3 3" xfId="28368" xr:uid="{00000000-0005-0000-0000-00005F540000}"/>
    <cellStyle name="40% - Accent6 4 2 5 3 3 2" xfId="28369" xr:uid="{00000000-0005-0000-0000-000060540000}"/>
    <cellStyle name="40% - Accent6 4 2 5 3 3 3" xfId="28370" xr:uid="{00000000-0005-0000-0000-000061540000}"/>
    <cellStyle name="40% - Accent6 4 2 5 3 4" xfId="28371" xr:uid="{00000000-0005-0000-0000-000062540000}"/>
    <cellStyle name="40% - Accent6 4 2 5 3 4 2" xfId="28372" xr:uid="{00000000-0005-0000-0000-000063540000}"/>
    <cellStyle name="40% - Accent6 4 2 5 3 5" xfId="28373" xr:uid="{00000000-0005-0000-0000-000064540000}"/>
    <cellStyle name="40% - Accent6 4 2 5 3 6" xfId="28374" xr:uid="{00000000-0005-0000-0000-000065540000}"/>
    <cellStyle name="40% - Accent6 4 2 5 4" xfId="28375" xr:uid="{00000000-0005-0000-0000-000066540000}"/>
    <cellStyle name="40% - Accent6 4 2 5 4 2" xfId="28376" xr:uid="{00000000-0005-0000-0000-000067540000}"/>
    <cellStyle name="40% - Accent6 4 2 5 4 2 2" xfId="28377" xr:uid="{00000000-0005-0000-0000-000068540000}"/>
    <cellStyle name="40% - Accent6 4 2 5 4 2 3" xfId="28378" xr:uid="{00000000-0005-0000-0000-000069540000}"/>
    <cellStyle name="40% - Accent6 4 2 5 4 3" xfId="28379" xr:uid="{00000000-0005-0000-0000-00006A540000}"/>
    <cellStyle name="40% - Accent6 4 2 5 4 3 2" xfId="28380" xr:uid="{00000000-0005-0000-0000-00006B540000}"/>
    <cellStyle name="40% - Accent6 4 2 5 4 4" xfId="28381" xr:uid="{00000000-0005-0000-0000-00006C540000}"/>
    <cellStyle name="40% - Accent6 4 2 5 4 5" xfId="28382" xr:uid="{00000000-0005-0000-0000-00006D540000}"/>
    <cellStyle name="40% - Accent6 4 2 5 5" xfId="28383" xr:uid="{00000000-0005-0000-0000-00006E540000}"/>
    <cellStyle name="40% - Accent6 4 2 5 5 2" xfId="28384" xr:uid="{00000000-0005-0000-0000-00006F540000}"/>
    <cellStyle name="40% - Accent6 4 2 5 5 3" xfId="28385" xr:uid="{00000000-0005-0000-0000-000070540000}"/>
    <cellStyle name="40% - Accent6 4 2 5 6" xfId="28386" xr:uid="{00000000-0005-0000-0000-000071540000}"/>
    <cellStyle name="40% - Accent6 4 2 5 6 2" xfId="28387" xr:uid="{00000000-0005-0000-0000-000072540000}"/>
    <cellStyle name="40% - Accent6 4 2 5 6 3" xfId="28388" xr:uid="{00000000-0005-0000-0000-000073540000}"/>
    <cellStyle name="40% - Accent6 4 2 5 7" xfId="28389" xr:uid="{00000000-0005-0000-0000-000074540000}"/>
    <cellStyle name="40% - Accent6 4 2 5 7 2" xfId="28390" xr:uid="{00000000-0005-0000-0000-000075540000}"/>
    <cellStyle name="40% - Accent6 4 2 5 8" xfId="28391" xr:uid="{00000000-0005-0000-0000-000076540000}"/>
    <cellStyle name="40% - Accent6 4 2 5 9" xfId="28392" xr:uid="{00000000-0005-0000-0000-000077540000}"/>
    <cellStyle name="40% - Accent6 4 2 6" xfId="28393" xr:uid="{00000000-0005-0000-0000-000078540000}"/>
    <cellStyle name="40% - Accent6 4 2 6 2" xfId="28394" xr:uid="{00000000-0005-0000-0000-000079540000}"/>
    <cellStyle name="40% - Accent6 4 2 6 2 2" xfId="28395" xr:uid="{00000000-0005-0000-0000-00007A540000}"/>
    <cellStyle name="40% - Accent6 4 2 6 2 2 2" xfId="28396" xr:uid="{00000000-0005-0000-0000-00007B540000}"/>
    <cellStyle name="40% - Accent6 4 2 6 2 2 3" xfId="28397" xr:uid="{00000000-0005-0000-0000-00007C540000}"/>
    <cellStyle name="40% - Accent6 4 2 6 2 3" xfId="28398" xr:uid="{00000000-0005-0000-0000-00007D540000}"/>
    <cellStyle name="40% - Accent6 4 2 6 2 3 2" xfId="28399" xr:uid="{00000000-0005-0000-0000-00007E540000}"/>
    <cellStyle name="40% - Accent6 4 2 6 2 3 3" xfId="28400" xr:uid="{00000000-0005-0000-0000-00007F540000}"/>
    <cellStyle name="40% - Accent6 4 2 6 2 4" xfId="28401" xr:uid="{00000000-0005-0000-0000-000080540000}"/>
    <cellStyle name="40% - Accent6 4 2 6 2 4 2" xfId="28402" xr:uid="{00000000-0005-0000-0000-000081540000}"/>
    <cellStyle name="40% - Accent6 4 2 6 2 5" xfId="28403" xr:uid="{00000000-0005-0000-0000-000082540000}"/>
    <cellStyle name="40% - Accent6 4 2 6 2 6" xfId="28404" xr:uid="{00000000-0005-0000-0000-000083540000}"/>
    <cellStyle name="40% - Accent6 4 2 6 3" xfId="28405" xr:uid="{00000000-0005-0000-0000-000084540000}"/>
    <cellStyle name="40% - Accent6 4 2 6 3 2" xfId="28406" xr:uid="{00000000-0005-0000-0000-000085540000}"/>
    <cellStyle name="40% - Accent6 4 2 6 3 2 2" xfId="28407" xr:uid="{00000000-0005-0000-0000-000086540000}"/>
    <cellStyle name="40% - Accent6 4 2 6 3 2 3" xfId="28408" xr:uid="{00000000-0005-0000-0000-000087540000}"/>
    <cellStyle name="40% - Accent6 4 2 6 3 3" xfId="28409" xr:uid="{00000000-0005-0000-0000-000088540000}"/>
    <cellStyle name="40% - Accent6 4 2 6 3 3 2" xfId="28410" xr:uid="{00000000-0005-0000-0000-000089540000}"/>
    <cellStyle name="40% - Accent6 4 2 6 3 3 3" xfId="28411" xr:uid="{00000000-0005-0000-0000-00008A540000}"/>
    <cellStyle name="40% - Accent6 4 2 6 3 4" xfId="28412" xr:uid="{00000000-0005-0000-0000-00008B540000}"/>
    <cellStyle name="40% - Accent6 4 2 6 3 4 2" xfId="28413" xr:uid="{00000000-0005-0000-0000-00008C540000}"/>
    <cellStyle name="40% - Accent6 4 2 6 3 5" xfId="28414" xr:uid="{00000000-0005-0000-0000-00008D540000}"/>
    <cellStyle name="40% - Accent6 4 2 6 3 6" xfId="28415" xr:uid="{00000000-0005-0000-0000-00008E540000}"/>
    <cellStyle name="40% - Accent6 4 2 6 4" xfId="28416" xr:uid="{00000000-0005-0000-0000-00008F540000}"/>
    <cellStyle name="40% - Accent6 4 2 6 4 2" xfId="28417" xr:uid="{00000000-0005-0000-0000-000090540000}"/>
    <cellStyle name="40% - Accent6 4 2 6 4 2 2" xfId="28418" xr:uid="{00000000-0005-0000-0000-000091540000}"/>
    <cellStyle name="40% - Accent6 4 2 6 4 2 3" xfId="28419" xr:uid="{00000000-0005-0000-0000-000092540000}"/>
    <cellStyle name="40% - Accent6 4 2 6 4 3" xfId="28420" xr:uid="{00000000-0005-0000-0000-000093540000}"/>
    <cellStyle name="40% - Accent6 4 2 6 4 3 2" xfId="28421" xr:uid="{00000000-0005-0000-0000-000094540000}"/>
    <cellStyle name="40% - Accent6 4 2 6 4 4" xfId="28422" xr:uid="{00000000-0005-0000-0000-000095540000}"/>
    <cellStyle name="40% - Accent6 4 2 6 4 5" xfId="28423" xr:uid="{00000000-0005-0000-0000-000096540000}"/>
    <cellStyle name="40% - Accent6 4 2 6 5" xfId="28424" xr:uid="{00000000-0005-0000-0000-000097540000}"/>
    <cellStyle name="40% - Accent6 4 2 6 5 2" xfId="28425" xr:uid="{00000000-0005-0000-0000-000098540000}"/>
    <cellStyle name="40% - Accent6 4 2 6 5 3" xfId="28426" xr:uid="{00000000-0005-0000-0000-000099540000}"/>
    <cellStyle name="40% - Accent6 4 2 6 6" xfId="28427" xr:uid="{00000000-0005-0000-0000-00009A540000}"/>
    <cellStyle name="40% - Accent6 4 2 6 6 2" xfId="28428" xr:uid="{00000000-0005-0000-0000-00009B540000}"/>
    <cellStyle name="40% - Accent6 4 2 6 6 3" xfId="28429" xr:uid="{00000000-0005-0000-0000-00009C540000}"/>
    <cellStyle name="40% - Accent6 4 2 6 7" xfId="28430" xr:uid="{00000000-0005-0000-0000-00009D540000}"/>
    <cellStyle name="40% - Accent6 4 2 6 7 2" xfId="28431" xr:uid="{00000000-0005-0000-0000-00009E540000}"/>
    <cellStyle name="40% - Accent6 4 2 6 8" xfId="28432" xr:uid="{00000000-0005-0000-0000-00009F540000}"/>
    <cellStyle name="40% - Accent6 4 2 6 9" xfId="28433" xr:uid="{00000000-0005-0000-0000-0000A0540000}"/>
    <cellStyle name="40% - Accent6 4 2 7" xfId="28434" xr:uid="{00000000-0005-0000-0000-0000A1540000}"/>
    <cellStyle name="40% - Accent6 4 2 7 2" xfId="28435" xr:uid="{00000000-0005-0000-0000-0000A2540000}"/>
    <cellStyle name="40% - Accent6 4 2 7 2 2" xfId="28436" xr:uid="{00000000-0005-0000-0000-0000A3540000}"/>
    <cellStyle name="40% - Accent6 4 2 7 2 3" xfId="28437" xr:uid="{00000000-0005-0000-0000-0000A4540000}"/>
    <cellStyle name="40% - Accent6 4 2 7 3" xfId="28438" xr:uid="{00000000-0005-0000-0000-0000A5540000}"/>
    <cellStyle name="40% - Accent6 4 2 7 3 2" xfId="28439" xr:uid="{00000000-0005-0000-0000-0000A6540000}"/>
    <cellStyle name="40% - Accent6 4 2 7 3 3" xfId="28440" xr:uid="{00000000-0005-0000-0000-0000A7540000}"/>
    <cellStyle name="40% - Accent6 4 2 7 4" xfId="28441" xr:uid="{00000000-0005-0000-0000-0000A8540000}"/>
    <cellStyle name="40% - Accent6 4 2 7 4 2" xfId="28442" xr:uid="{00000000-0005-0000-0000-0000A9540000}"/>
    <cellStyle name="40% - Accent6 4 2 7 5" xfId="28443" xr:uid="{00000000-0005-0000-0000-0000AA540000}"/>
    <cellStyle name="40% - Accent6 4 2 7 6" xfId="28444" xr:uid="{00000000-0005-0000-0000-0000AB540000}"/>
    <cellStyle name="40% - Accent6 4 2 8" xfId="28445" xr:uid="{00000000-0005-0000-0000-0000AC540000}"/>
    <cellStyle name="40% - Accent6 4 2 8 2" xfId="28446" xr:uid="{00000000-0005-0000-0000-0000AD540000}"/>
    <cellStyle name="40% - Accent6 4 2 8 2 2" xfId="28447" xr:uid="{00000000-0005-0000-0000-0000AE540000}"/>
    <cellStyle name="40% - Accent6 4 2 8 2 3" xfId="28448" xr:uid="{00000000-0005-0000-0000-0000AF540000}"/>
    <cellStyle name="40% - Accent6 4 2 8 3" xfId="28449" xr:uid="{00000000-0005-0000-0000-0000B0540000}"/>
    <cellStyle name="40% - Accent6 4 2 8 3 2" xfId="28450" xr:uid="{00000000-0005-0000-0000-0000B1540000}"/>
    <cellStyle name="40% - Accent6 4 2 8 3 3" xfId="28451" xr:uid="{00000000-0005-0000-0000-0000B2540000}"/>
    <cellStyle name="40% - Accent6 4 2 8 4" xfId="28452" xr:uid="{00000000-0005-0000-0000-0000B3540000}"/>
    <cellStyle name="40% - Accent6 4 2 8 4 2" xfId="28453" xr:uid="{00000000-0005-0000-0000-0000B4540000}"/>
    <cellStyle name="40% - Accent6 4 2 8 5" xfId="28454" xr:uid="{00000000-0005-0000-0000-0000B5540000}"/>
    <cellStyle name="40% - Accent6 4 2 8 6" xfId="28455" xr:uid="{00000000-0005-0000-0000-0000B6540000}"/>
    <cellStyle name="40% - Accent6 4 2 9" xfId="28456" xr:uid="{00000000-0005-0000-0000-0000B7540000}"/>
    <cellStyle name="40% - Accent6 4 2 9 2" xfId="28457" xr:uid="{00000000-0005-0000-0000-0000B8540000}"/>
    <cellStyle name="40% - Accent6 4 2 9 2 2" xfId="28458" xr:uid="{00000000-0005-0000-0000-0000B9540000}"/>
    <cellStyle name="40% - Accent6 4 2 9 2 3" xfId="28459" xr:uid="{00000000-0005-0000-0000-0000BA540000}"/>
    <cellStyle name="40% - Accent6 4 2 9 3" xfId="28460" xr:uid="{00000000-0005-0000-0000-0000BB540000}"/>
    <cellStyle name="40% - Accent6 4 2 9 3 2" xfId="28461" xr:uid="{00000000-0005-0000-0000-0000BC540000}"/>
    <cellStyle name="40% - Accent6 4 2 9 4" xfId="28462" xr:uid="{00000000-0005-0000-0000-0000BD540000}"/>
    <cellStyle name="40% - Accent6 4 2 9 5" xfId="28463" xr:uid="{00000000-0005-0000-0000-0000BE540000}"/>
    <cellStyle name="40% - Accent6 4 3" xfId="2664" xr:uid="{00000000-0005-0000-0000-0000BF540000}"/>
    <cellStyle name="40% - Accent6 4 3 10" xfId="28464" xr:uid="{00000000-0005-0000-0000-0000C0540000}"/>
    <cellStyle name="40% - Accent6 4 3 10 2" xfId="28465" xr:uid="{00000000-0005-0000-0000-0000C1540000}"/>
    <cellStyle name="40% - Accent6 4 3 10 3" xfId="28466" xr:uid="{00000000-0005-0000-0000-0000C2540000}"/>
    <cellStyle name="40% - Accent6 4 3 11" xfId="28467" xr:uid="{00000000-0005-0000-0000-0000C3540000}"/>
    <cellStyle name="40% - Accent6 4 3 11 2" xfId="28468" xr:uid="{00000000-0005-0000-0000-0000C4540000}"/>
    <cellStyle name="40% - Accent6 4 3 12" xfId="28469" xr:uid="{00000000-0005-0000-0000-0000C5540000}"/>
    <cellStyle name="40% - Accent6 4 3 13" xfId="28470" xr:uid="{00000000-0005-0000-0000-0000C6540000}"/>
    <cellStyle name="40% - Accent6 4 3 14" xfId="28471" xr:uid="{00000000-0005-0000-0000-0000C7540000}"/>
    <cellStyle name="40% - Accent6 4 3 2" xfId="2665" xr:uid="{00000000-0005-0000-0000-0000C8540000}"/>
    <cellStyle name="40% - Accent6 4 3 2 10" xfId="28472" xr:uid="{00000000-0005-0000-0000-0000C9540000}"/>
    <cellStyle name="40% - Accent6 4 3 2 10 2" xfId="28473" xr:uid="{00000000-0005-0000-0000-0000CA540000}"/>
    <cellStyle name="40% - Accent6 4 3 2 11" xfId="28474" xr:uid="{00000000-0005-0000-0000-0000CB540000}"/>
    <cellStyle name="40% - Accent6 4 3 2 12" xfId="28475" xr:uid="{00000000-0005-0000-0000-0000CC540000}"/>
    <cellStyle name="40% - Accent6 4 3 2 2" xfId="2666" xr:uid="{00000000-0005-0000-0000-0000CD540000}"/>
    <cellStyle name="40% - Accent6 4 3 2 2 10" xfId="28476" xr:uid="{00000000-0005-0000-0000-0000CE540000}"/>
    <cellStyle name="40% - Accent6 4 3 2 2 2" xfId="2667" xr:uid="{00000000-0005-0000-0000-0000CF540000}"/>
    <cellStyle name="40% - Accent6 4 3 2 2 2 2" xfId="28477" xr:uid="{00000000-0005-0000-0000-0000D0540000}"/>
    <cellStyle name="40% - Accent6 4 3 2 2 2 2 2" xfId="28478" xr:uid="{00000000-0005-0000-0000-0000D1540000}"/>
    <cellStyle name="40% - Accent6 4 3 2 2 2 2 2 2" xfId="28479" xr:uid="{00000000-0005-0000-0000-0000D2540000}"/>
    <cellStyle name="40% - Accent6 4 3 2 2 2 2 2 3" xfId="28480" xr:uid="{00000000-0005-0000-0000-0000D3540000}"/>
    <cellStyle name="40% - Accent6 4 3 2 2 2 2 3" xfId="28481" xr:uid="{00000000-0005-0000-0000-0000D4540000}"/>
    <cellStyle name="40% - Accent6 4 3 2 2 2 2 3 2" xfId="28482" xr:uid="{00000000-0005-0000-0000-0000D5540000}"/>
    <cellStyle name="40% - Accent6 4 3 2 2 2 2 3 3" xfId="28483" xr:uid="{00000000-0005-0000-0000-0000D6540000}"/>
    <cellStyle name="40% - Accent6 4 3 2 2 2 2 4" xfId="28484" xr:uid="{00000000-0005-0000-0000-0000D7540000}"/>
    <cellStyle name="40% - Accent6 4 3 2 2 2 2 4 2" xfId="28485" xr:uid="{00000000-0005-0000-0000-0000D8540000}"/>
    <cellStyle name="40% - Accent6 4 3 2 2 2 2 5" xfId="28486" xr:uid="{00000000-0005-0000-0000-0000D9540000}"/>
    <cellStyle name="40% - Accent6 4 3 2 2 2 2 6" xfId="28487" xr:uid="{00000000-0005-0000-0000-0000DA540000}"/>
    <cellStyle name="40% - Accent6 4 3 2 2 2 3" xfId="28488" xr:uid="{00000000-0005-0000-0000-0000DB540000}"/>
    <cellStyle name="40% - Accent6 4 3 2 2 2 3 2" xfId="28489" xr:uid="{00000000-0005-0000-0000-0000DC540000}"/>
    <cellStyle name="40% - Accent6 4 3 2 2 2 3 2 2" xfId="28490" xr:uid="{00000000-0005-0000-0000-0000DD540000}"/>
    <cellStyle name="40% - Accent6 4 3 2 2 2 3 2 3" xfId="28491" xr:uid="{00000000-0005-0000-0000-0000DE540000}"/>
    <cellStyle name="40% - Accent6 4 3 2 2 2 3 3" xfId="28492" xr:uid="{00000000-0005-0000-0000-0000DF540000}"/>
    <cellStyle name="40% - Accent6 4 3 2 2 2 3 3 2" xfId="28493" xr:uid="{00000000-0005-0000-0000-0000E0540000}"/>
    <cellStyle name="40% - Accent6 4 3 2 2 2 3 3 3" xfId="28494" xr:uid="{00000000-0005-0000-0000-0000E1540000}"/>
    <cellStyle name="40% - Accent6 4 3 2 2 2 3 4" xfId="28495" xr:uid="{00000000-0005-0000-0000-0000E2540000}"/>
    <cellStyle name="40% - Accent6 4 3 2 2 2 3 4 2" xfId="28496" xr:uid="{00000000-0005-0000-0000-0000E3540000}"/>
    <cellStyle name="40% - Accent6 4 3 2 2 2 3 5" xfId="28497" xr:uid="{00000000-0005-0000-0000-0000E4540000}"/>
    <cellStyle name="40% - Accent6 4 3 2 2 2 3 6" xfId="28498" xr:uid="{00000000-0005-0000-0000-0000E5540000}"/>
    <cellStyle name="40% - Accent6 4 3 2 2 2 4" xfId="28499" xr:uid="{00000000-0005-0000-0000-0000E6540000}"/>
    <cellStyle name="40% - Accent6 4 3 2 2 2 4 2" xfId="28500" xr:uid="{00000000-0005-0000-0000-0000E7540000}"/>
    <cellStyle name="40% - Accent6 4 3 2 2 2 4 2 2" xfId="28501" xr:uid="{00000000-0005-0000-0000-0000E8540000}"/>
    <cellStyle name="40% - Accent6 4 3 2 2 2 4 2 3" xfId="28502" xr:uid="{00000000-0005-0000-0000-0000E9540000}"/>
    <cellStyle name="40% - Accent6 4 3 2 2 2 4 3" xfId="28503" xr:uid="{00000000-0005-0000-0000-0000EA540000}"/>
    <cellStyle name="40% - Accent6 4 3 2 2 2 4 3 2" xfId="28504" xr:uid="{00000000-0005-0000-0000-0000EB540000}"/>
    <cellStyle name="40% - Accent6 4 3 2 2 2 4 4" xfId="28505" xr:uid="{00000000-0005-0000-0000-0000EC540000}"/>
    <cellStyle name="40% - Accent6 4 3 2 2 2 4 5" xfId="28506" xr:uid="{00000000-0005-0000-0000-0000ED540000}"/>
    <cellStyle name="40% - Accent6 4 3 2 2 2 5" xfId="28507" xr:uid="{00000000-0005-0000-0000-0000EE540000}"/>
    <cellStyle name="40% - Accent6 4 3 2 2 2 5 2" xfId="28508" xr:uid="{00000000-0005-0000-0000-0000EF540000}"/>
    <cellStyle name="40% - Accent6 4 3 2 2 2 5 3" xfId="28509" xr:uid="{00000000-0005-0000-0000-0000F0540000}"/>
    <cellStyle name="40% - Accent6 4 3 2 2 2 6" xfId="28510" xr:uid="{00000000-0005-0000-0000-0000F1540000}"/>
    <cellStyle name="40% - Accent6 4 3 2 2 2 6 2" xfId="28511" xr:uid="{00000000-0005-0000-0000-0000F2540000}"/>
    <cellStyle name="40% - Accent6 4 3 2 2 2 6 3" xfId="28512" xr:uid="{00000000-0005-0000-0000-0000F3540000}"/>
    <cellStyle name="40% - Accent6 4 3 2 2 2 7" xfId="28513" xr:uid="{00000000-0005-0000-0000-0000F4540000}"/>
    <cellStyle name="40% - Accent6 4 3 2 2 2 7 2" xfId="28514" xr:uid="{00000000-0005-0000-0000-0000F5540000}"/>
    <cellStyle name="40% - Accent6 4 3 2 2 2 8" xfId="28515" xr:uid="{00000000-0005-0000-0000-0000F6540000}"/>
    <cellStyle name="40% - Accent6 4 3 2 2 2 9" xfId="28516" xr:uid="{00000000-0005-0000-0000-0000F7540000}"/>
    <cellStyle name="40% - Accent6 4 3 2 2 3" xfId="28517" xr:uid="{00000000-0005-0000-0000-0000F8540000}"/>
    <cellStyle name="40% - Accent6 4 3 2 2 3 2" xfId="28518" xr:uid="{00000000-0005-0000-0000-0000F9540000}"/>
    <cellStyle name="40% - Accent6 4 3 2 2 3 2 2" xfId="28519" xr:uid="{00000000-0005-0000-0000-0000FA540000}"/>
    <cellStyle name="40% - Accent6 4 3 2 2 3 2 3" xfId="28520" xr:uid="{00000000-0005-0000-0000-0000FB540000}"/>
    <cellStyle name="40% - Accent6 4 3 2 2 3 3" xfId="28521" xr:uid="{00000000-0005-0000-0000-0000FC540000}"/>
    <cellStyle name="40% - Accent6 4 3 2 2 3 3 2" xfId="28522" xr:uid="{00000000-0005-0000-0000-0000FD540000}"/>
    <cellStyle name="40% - Accent6 4 3 2 2 3 3 3" xfId="28523" xr:uid="{00000000-0005-0000-0000-0000FE540000}"/>
    <cellStyle name="40% - Accent6 4 3 2 2 3 4" xfId="28524" xr:uid="{00000000-0005-0000-0000-0000FF540000}"/>
    <cellStyle name="40% - Accent6 4 3 2 2 3 4 2" xfId="28525" xr:uid="{00000000-0005-0000-0000-000000550000}"/>
    <cellStyle name="40% - Accent6 4 3 2 2 3 5" xfId="28526" xr:uid="{00000000-0005-0000-0000-000001550000}"/>
    <cellStyle name="40% - Accent6 4 3 2 2 3 6" xfId="28527" xr:uid="{00000000-0005-0000-0000-000002550000}"/>
    <cellStyle name="40% - Accent6 4 3 2 2 4" xfId="28528" xr:uid="{00000000-0005-0000-0000-000003550000}"/>
    <cellStyle name="40% - Accent6 4 3 2 2 4 2" xfId="28529" xr:uid="{00000000-0005-0000-0000-000004550000}"/>
    <cellStyle name="40% - Accent6 4 3 2 2 4 2 2" xfId="28530" xr:uid="{00000000-0005-0000-0000-000005550000}"/>
    <cellStyle name="40% - Accent6 4 3 2 2 4 2 3" xfId="28531" xr:uid="{00000000-0005-0000-0000-000006550000}"/>
    <cellStyle name="40% - Accent6 4 3 2 2 4 3" xfId="28532" xr:uid="{00000000-0005-0000-0000-000007550000}"/>
    <cellStyle name="40% - Accent6 4 3 2 2 4 3 2" xfId="28533" xr:uid="{00000000-0005-0000-0000-000008550000}"/>
    <cellStyle name="40% - Accent6 4 3 2 2 4 3 3" xfId="28534" xr:uid="{00000000-0005-0000-0000-000009550000}"/>
    <cellStyle name="40% - Accent6 4 3 2 2 4 4" xfId="28535" xr:uid="{00000000-0005-0000-0000-00000A550000}"/>
    <cellStyle name="40% - Accent6 4 3 2 2 4 4 2" xfId="28536" xr:uid="{00000000-0005-0000-0000-00000B550000}"/>
    <cellStyle name="40% - Accent6 4 3 2 2 4 5" xfId="28537" xr:uid="{00000000-0005-0000-0000-00000C550000}"/>
    <cellStyle name="40% - Accent6 4 3 2 2 4 6" xfId="28538" xr:uid="{00000000-0005-0000-0000-00000D550000}"/>
    <cellStyle name="40% - Accent6 4 3 2 2 5" xfId="28539" xr:uid="{00000000-0005-0000-0000-00000E550000}"/>
    <cellStyle name="40% - Accent6 4 3 2 2 5 2" xfId="28540" xr:uid="{00000000-0005-0000-0000-00000F550000}"/>
    <cellStyle name="40% - Accent6 4 3 2 2 5 2 2" xfId="28541" xr:uid="{00000000-0005-0000-0000-000010550000}"/>
    <cellStyle name="40% - Accent6 4 3 2 2 5 2 3" xfId="28542" xr:uid="{00000000-0005-0000-0000-000011550000}"/>
    <cellStyle name="40% - Accent6 4 3 2 2 5 3" xfId="28543" xr:uid="{00000000-0005-0000-0000-000012550000}"/>
    <cellStyle name="40% - Accent6 4 3 2 2 5 3 2" xfId="28544" xr:uid="{00000000-0005-0000-0000-000013550000}"/>
    <cellStyle name="40% - Accent6 4 3 2 2 5 4" xfId="28545" xr:uid="{00000000-0005-0000-0000-000014550000}"/>
    <cellStyle name="40% - Accent6 4 3 2 2 5 5" xfId="28546" xr:uid="{00000000-0005-0000-0000-000015550000}"/>
    <cellStyle name="40% - Accent6 4 3 2 2 6" xfId="28547" xr:uid="{00000000-0005-0000-0000-000016550000}"/>
    <cellStyle name="40% - Accent6 4 3 2 2 6 2" xfId="28548" xr:uid="{00000000-0005-0000-0000-000017550000}"/>
    <cellStyle name="40% - Accent6 4 3 2 2 6 3" xfId="28549" xr:uid="{00000000-0005-0000-0000-000018550000}"/>
    <cellStyle name="40% - Accent6 4 3 2 2 7" xfId="28550" xr:uid="{00000000-0005-0000-0000-000019550000}"/>
    <cellStyle name="40% - Accent6 4 3 2 2 7 2" xfId="28551" xr:uid="{00000000-0005-0000-0000-00001A550000}"/>
    <cellStyle name="40% - Accent6 4 3 2 2 7 3" xfId="28552" xr:uid="{00000000-0005-0000-0000-00001B550000}"/>
    <cellStyle name="40% - Accent6 4 3 2 2 8" xfId="28553" xr:uid="{00000000-0005-0000-0000-00001C550000}"/>
    <cellStyle name="40% - Accent6 4 3 2 2 8 2" xfId="28554" xr:uid="{00000000-0005-0000-0000-00001D550000}"/>
    <cellStyle name="40% - Accent6 4 3 2 2 9" xfId="28555" xr:uid="{00000000-0005-0000-0000-00001E550000}"/>
    <cellStyle name="40% - Accent6 4 3 2 3" xfId="2668" xr:uid="{00000000-0005-0000-0000-00001F550000}"/>
    <cellStyle name="40% - Accent6 4 3 2 3 2" xfId="28556" xr:uid="{00000000-0005-0000-0000-000020550000}"/>
    <cellStyle name="40% - Accent6 4 3 2 3 2 2" xfId="28557" xr:uid="{00000000-0005-0000-0000-000021550000}"/>
    <cellStyle name="40% - Accent6 4 3 2 3 2 2 2" xfId="28558" xr:uid="{00000000-0005-0000-0000-000022550000}"/>
    <cellStyle name="40% - Accent6 4 3 2 3 2 2 3" xfId="28559" xr:uid="{00000000-0005-0000-0000-000023550000}"/>
    <cellStyle name="40% - Accent6 4 3 2 3 2 3" xfId="28560" xr:uid="{00000000-0005-0000-0000-000024550000}"/>
    <cellStyle name="40% - Accent6 4 3 2 3 2 3 2" xfId="28561" xr:uid="{00000000-0005-0000-0000-000025550000}"/>
    <cellStyle name="40% - Accent6 4 3 2 3 2 3 3" xfId="28562" xr:uid="{00000000-0005-0000-0000-000026550000}"/>
    <cellStyle name="40% - Accent6 4 3 2 3 2 4" xfId="28563" xr:uid="{00000000-0005-0000-0000-000027550000}"/>
    <cellStyle name="40% - Accent6 4 3 2 3 2 4 2" xfId="28564" xr:uid="{00000000-0005-0000-0000-000028550000}"/>
    <cellStyle name="40% - Accent6 4 3 2 3 2 5" xfId="28565" xr:uid="{00000000-0005-0000-0000-000029550000}"/>
    <cellStyle name="40% - Accent6 4 3 2 3 2 6" xfId="28566" xr:uid="{00000000-0005-0000-0000-00002A550000}"/>
    <cellStyle name="40% - Accent6 4 3 2 3 3" xfId="28567" xr:uid="{00000000-0005-0000-0000-00002B550000}"/>
    <cellStyle name="40% - Accent6 4 3 2 3 3 2" xfId="28568" xr:uid="{00000000-0005-0000-0000-00002C550000}"/>
    <cellStyle name="40% - Accent6 4 3 2 3 3 2 2" xfId="28569" xr:uid="{00000000-0005-0000-0000-00002D550000}"/>
    <cellStyle name="40% - Accent6 4 3 2 3 3 2 3" xfId="28570" xr:uid="{00000000-0005-0000-0000-00002E550000}"/>
    <cellStyle name="40% - Accent6 4 3 2 3 3 3" xfId="28571" xr:uid="{00000000-0005-0000-0000-00002F550000}"/>
    <cellStyle name="40% - Accent6 4 3 2 3 3 3 2" xfId="28572" xr:uid="{00000000-0005-0000-0000-000030550000}"/>
    <cellStyle name="40% - Accent6 4 3 2 3 3 3 3" xfId="28573" xr:uid="{00000000-0005-0000-0000-000031550000}"/>
    <cellStyle name="40% - Accent6 4 3 2 3 3 4" xfId="28574" xr:uid="{00000000-0005-0000-0000-000032550000}"/>
    <cellStyle name="40% - Accent6 4 3 2 3 3 4 2" xfId="28575" xr:uid="{00000000-0005-0000-0000-000033550000}"/>
    <cellStyle name="40% - Accent6 4 3 2 3 3 5" xfId="28576" xr:uid="{00000000-0005-0000-0000-000034550000}"/>
    <cellStyle name="40% - Accent6 4 3 2 3 3 6" xfId="28577" xr:uid="{00000000-0005-0000-0000-000035550000}"/>
    <cellStyle name="40% - Accent6 4 3 2 3 4" xfId="28578" xr:uid="{00000000-0005-0000-0000-000036550000}"/>
    <cellStyle name="40% - Accent6 4 3 2 3 4 2" xfId="28579" xr:uid="{00000000-0005-0000-0000-000037550000}"/>
    <cellStyle name="40% - Accent6 4 3 2 3 4 2 2" xfId="28580" xr:uid="{00000000-0005-0000-0000-000038550000}"/>
    <cellStyle name="40% - Accent6 4 3 2 3 4 2 3" xfId="28581" xr:uid="{00000000-0005-0000-0000-000039550000}"/>
    <cellStyle name="40% - Accent6 4 3 2 3 4 3" xfId="28582" xr:uid="{00000000-0005-0000-0000-00003A550000}"/>
    <cellStyle name="40% - Accent6 4 3 2 3 4 3 2" xfId="28583" xr:uid="{00000000-0005-0000-0000-00003B550000}"/>
    <cellStyle name="40% - Accent6 4 3 2 3 4 4" xfId="28584" xr:uid="{00000000-0005-0000-0000-00003C550000}"/>
    <cellStyle name="40% - Accent6 4 3 2 3 4 5" xfId="28585" xr:uid="{00000000-0005-0000-0000-00003D550000}"/>
    <cellStyle name="40% - Accent6 4 3 2 3 5" xfId="28586" xr:uid="{00000000-0005-0000-0000-00003E550000}"/>
    <cellStyle name="40% - Accent6 4 3 2 3 5 2" xfId="28587" xr:uid="{00000000-0005-0000-0000-00003F550000}"/>
    <cellStyle name="40% - Accent6 4 3 2 3 5 3" xfId="28588" xr:uid="{00000000-0005-0000-0000-000040550000}"/>
    <cellStyle name="40% - Accent6 4 3 2 3 6" xfId="28589" xr:uid="{00000000-0005-0000-0000-000041550000}"/>
    <cellStyle name="40% - Accent6 4 3 2 3 6 2" xfId="28590" xr:uid="{00000000-0005-0000-0000-000042550000}"/>
    <cellStyle name="40% - Accent6 4 3 2 3 6 3" xfId="28591" xr:uid="{00000000-0005-0000-0000-000043550000}"/>
    <cellStyle name="40% - Accent6 4 3 2 3 7" xfId="28592" xr:uid="{00000000-0005-0000-0000-000044550000}"/>
    <cellStyle name="40% - Accent6 4 3 2 3 7 2" xfId="28593" xr:uid="{00000000-0005-0000-0000-000045550000}"/>
    <cellStyle name="40% - Accent6 4 3 2 3 8" xfId="28594" xr:uid="{00000000-0005-0000-0000-000046550000}"/>
    <cellStyle name="40% - Accent6 4 3 2 3 9" xfId="28595" xr:uid="{00000000-0005-0000-0000-000047550000}"/>
    <cellStyle name="40% - Accent6 4 3 2 4" xfId="28596" xr:uid="{00000000-0005-0000-0000-000048550000}"/>
    <cellStyle name="40% - Accent6 4 3 2 4 2" xfId="28597" xr:uid="{00000000-0005-0000-0000-000049550000}"/>
    <cellStyle name="40% - Accent6 4 3 2 4 2 2" xfId="28598" xr:uid="{00000000-0005-0000-0000-00004A550000}"/>
    <cellStyle name="40% - Accent6 4 3 2 4 2 2 2" xfId="28599" xr:uid="{00000000-0005-0000-0000-00004B550000}"/>
    <cellStyle name="40% - Accent6 4 3 2 4 2 2 3" xfId="28600" xr:uid="{00000000-0005-0000-0000-00004C550000}"/>
    <cellStyle name="40% - Accent6 4 3 2 4 2 3" xfId="28601" xr:uid="{00000000-0005-0000-0000-00004D550000}"/>
    <cellStyle name="40% - Accent6 4 3 2 4 2 3 2" xfId="28602" xr:uid="{00000000-0005-0000-0000-00004E550000}"/>
    <cellStyle name="40% - Accent6 4 3 2 4 2 3 3" xfId="28603" xr:uid="{00000000-0005-0000-0000-00004F550000}"/>
    <cellStyle name="40% - Accent6 4 3 2 4 2 4" xfId="28604" xr:uid="{00000000-0005-0000-0000-000050550000}"/>
    <cellStyle name="40% - Accent6 4 3 2 4 2 4 2" xfId="28605" xr:uid="{00000000-0005-0000-0000-000051550000}"/>
    <cellStyle name="40% - Accent6 4 3 2 4 2 5" xfId="28606" xr:uid="{00000000-0005-0000-0000-000052550000}"/>
    <cellStyle name="40% - Accent6 4 3 2 4 2 6" xfId="28607" xr:uid="{00000000-0005-0000-0000-000053550000}"/>
    <cellStyle name="40% - Accent6 4 3 2 4 3" xfId="28608" xr:uid="{00000000-0005-0000-0000-000054550000}"/>
    <cellStyle name="40% - Accent6 4 3 2 4 3 2" xfId="28609" xr:uid="{00000000-0005-0000-0000-000055550000}"/>
    <cellStyle name="40% - Accent6 4 3 2 4 3 2 2" xfId="28610" xr:uid="{00000000-0005-0000-0000-000056550000}"/>
    <cellStyle name="40% - Accent6 4 3 2 4 3 2 3" xfId="28611" xr:uid="{00000000-0005-0000-0000-000057550000}"/>
    <cellStyle name="40% - Accent6 4 3 2 4 3 3" xfId="28612" xr:uid="{00000000-0005-0000-0000-000058550000}"/>
    <cellStyle name="40% - Accent6 4 3 2 4 3 3 2" xfId="28613" xr:uid="{00000000-0005-0000-0000-000059550000}"/>
    <cellStyle name="40% - Accent6 4 3 2 4 3 3 3" xfId="28614" xr:uid="{00000000-0005-0000-0000-00005A550000}"/>
    <cellStyle name="40% - Accent6 4 3 2 4 3 4" xfId="28615" xr:uid="{00000000-0005-0000-0000-00005B550000}"/>
    <cellStyle name="40% - Accent6 4 3 2 4 3 4 2" xfId="28616" xr:uid="{00000000-0005-0000-0000-00005C550000}"/>
    <cellStyle name="40% - Accent6 4 3 2 4 3 5" xfId="28617" xr:uid="{00000000-0005-0000-0000-00005D550000}"/>
    <cellStyle name="40% - Accent6 4 3 2 4 3 6" xfId="28618" xr:uid="{00000000-0005-0000-0000-00005E550000}"/>
    <cellStyle name="40% - Accent6 4 3 2 4 4" xfId="28619" xr:uid="{00000000-0005-0000-0000-00005F550000}"/>
    <cellStyle name="40% - Accent6 4 3 2 4 4 2" xfId="28620" xr:uid="{00000000-0005-0000-0000-000060550000}"/>
    <cellStyle name="40% - Accent6 4 3 2 4 4 2 2" xfId="28621" xr:uid="{00000000-0005-0000-0000-000061550000}"/>
    <cellStyle name="40% - Accent6 4 3 2 4 4 2 3" xfId="28622" xr:uid="{00000000-0005-0000-0000-000062550000}"/>
    <cellStyle name="40% - Accent6 4 3 2 4 4 3" xfId="28623" xr:uid="{00000000-0005-0000-0000-000063550000}"/>
    <cellStyle name="40% - Accent6 4 3 2 4 4 3 2" xfId="28624" xr:uid="{00000000-0005-0000-0000-000064550000}"/>
    <cellStyle name="40% - Accent6 4 3 2 4 4 4" xfId="28625" xr:uid="{00000000-0005-0000-0000-000065550000}"/>
    <cellStyle name="40% - Accent6 4 3 2 4 4 5" xfId="28626" xr:uid="{00000000-0005-0000-0000-000066550000}"/>
    <cellStyle name="40% - Accent6 4 3 2 4 5" xfId="28627" xr:uid="{00000000-0005-0000-0000-000067550000}"/>
    <cellStyle name="40% - Accent6 4 3 2 4 5 2" xfId="28628" xr:uid="{00000000-0005-0000-0000-000068550000}"/>
    <cellStyle name="40% - Accent6 4 3 2 4 5 3" xfId="28629" xr:uid="{00000000-0005-0000-0000-000069550000}"/>
    <cellStyle name="40% - Accent6 4 3 2 4 6" xfId="28630" xr:uid="{00000000-0005-0000-0000-00006A550000}"/>
    <cellStyle name="40% - Accent6 4 3 2 4 6 2" xfId="28631" xr:uid="{00000000-0005-0000-0000-00006B550000}"/>
    <cellStyle name="40% - Accent6 4 3 2 4 6 3" xfId="28632" xr:uid="{00000000-0005-0000-0000-00006C550000}"/>
    <cellStyle name="40% - Accent6 4 3 2 4 7" xfId="28633" xr:uid="{00000000-0005-0000-0000-00006D550000}"/>
    <cellStyle name="40% - Accent6 4 3 2 4 7 2" xfId="28634" xr:uid="{00000000-0005-0000-0000-00006E550000}"/>
    <cellStyle name="40% - Accent6 4 3 2 4 8" xfId="28635" xr:uid="{00000000-0005-0000-0000-00006F550000}"/>
    <cellStyle name="40% - Accent6 4 3 2 4 9" xfId="28636" xr:uid="{00000000-0005-0000-0000-000070550000}"/>
    <cellStyle name="40% - Accent6 4 3 2 5" xfId="28637" xr:uid="{00000000-0005-0000-0000-000071550000}"/>
    <cellStyle name="40% - Accent6 4 3 2 5 2" xfId="28638" xr:uid="{00000000-0005-0000-0000-000072550000}"/>
    <cellStyle name="40% - Accent6 4 3 2 5 2 2" xfId="28639" xr:uid="{00000000-0005-0000-0000-000073550000}"/>
    <cellStyle name="40% - Accent6 4 3 2 5 2 3" xfId="28640" xr:uid="{00000000-0005-0000-0000-000074550000}"/>
    <cellStyle name="40% - Accent6 4 3 2 5 3" xfId="28641" xr:uid="{00000000-0005-0000-0000-000075550000}"/>
    <cellStyle name="40% - Accent6 4 3 2 5 3 2" xfId="28642" xr:uid="{00000000-0005-0000-0000-000076550000}"/>
    <cellStyle name="40% - Accent6 4 3 2 5 3 3" xfId="28643" xr:uid="{00000000-0005-0000-0000-000077550000}"/>
    <cellStyle name="40% - Accent6 4 3 2 5 4" xfId="28644" xr:uid="{00000000-0005-0000-0000-000078550000}"/>
    <cellStyle name="40% - Accent6 4 3 2 5 4 2" xfId="28645" xr:uid="{00000000-0005-0000-0000-000079550000}"/>
    <cellStyle name="40% - Accent6 4 3 2 5 5" xfId="28646" xr:uid="{00000000-0005-0000-0000-00007A550000}"/>
    <cellStyle name="40% - Accent6 4 3 2 5 6" xfId="28647" xr:uid="{00000000-0005-0000-0000-00007B550000}"/>
    <cellStyle name="40% - Accent6 4 3 2 6" xfId="28648" xr:uid="{00000000-0005-0000-0000-00007C550000}"/>
    <cellStyle name="40% - Accent6 4 3 2 6 2" xfId="28649" xr:uid="{00000000-0005-0000-0000-00007D550000}"/>
    <cellStyle name="40% - Accent6 4 3 2 6 2 2" xfId="28650" xr:uid="{00000000-0005-0000-0000-00007E550000}"/>
    <cellStyle name="40% - Accent6 4 3 2 6 2 3" xfId="28651" xr:uid="{00000000-0005-0000-0000-00007F550000}"/>
    <cellStyle name="40% - Accent6 4 3 2 6 3" xfId="28652" xr:uid="{00000000-0005-0000-0000-000080550000}"/>
    <cellStyle name="40% - Accent6 4 3 2 6 3 2" xfId="28653" xr:uid="{00000000-0005-0000-0000-000081550000}"/>
    <cellStyle name="40% - Accent6 4 3 2 6 3 3" xfId="28654" xr:uid="{00000000-0005-0000-0000-000082550000}"/>
    <cellStyle name="40% - Accent6 4 3 2 6 4" xfId="28655" xr:uid="{00000000-0005-0000-0000-000083550000}"/>
    <cellStyle name="40% - Accent6 4 3 2 6 4 2" xfId="28656" xr:uid="{00000000-0005-0000-0000-000084550000}"/>
    <cellStyle name="40% - Accent6 4 3 2 6 5" xfId="28657" xr:uid="{00000000-0005-0000-0000-000085550000}"/>
    <cellStyle name="40% - Accent6 4 3 2 6 6" xfId="28658" xr:uid="{00000000-0005-0000-0000-000086550000}"/>
    <cellStyle name="40% - Accent6 4 3 2 7" xfId="28659" xr:uid="{00000000-0005-0000-0000-000087550000}"/>
    <cellStyle name="40% - Accent6 4 3 2 7 2" xfId="28660" xr:uid="{00000000-0005-0000-0000-000088550000}"/>
    <cellStyle name="40% - Accent6 4 3 2 7 2 2" xfId="28661" xr:uid="{00000000-0005-0000-0000-000089550000}"/>
    <cellStyle name="40% - Accent6 4 3 2 7 2 3" xfId="28662" xr:uid="{00000000-0005-0000-0000-00008A550000}"/>
    <cellStyle name="40% - Accent6 4 3 2 7 3" xfId="28663" xr:uid="{00000000-0005-0000-0000-00008B550000}"/>
    <cellStyle name="40% - Accent6 4 3 2 7 3 2" xfId="28664" xr:uid="{00000000-0005-0000-0000-00008C550000}"/>
    <cellStyle name="40% - Accent6 4 3 2 7 4" xfId="28665" xr:uid="{00000000-0005-0000-0000-00008D550000}"/>
    <cellStyle name="40% - Accent6 4 3 2 7 5" xfId="28666" xr:uid="{00000000-0005-0000-0000-00008E550000}"/>
    <cellStyle name="40% - Accent6 4 3 2 8" xfId="28667" xr:uid="{00000000-0005-0000-0000-00008F550000}"/>
    <cellStyle name="40% - Accent6 4 3 2 8 2" xfId="28668" xr:uid="{00000000-0005-0000-0000-000090550000}"/>
    <cellStyle name="40% - Accent6 4 3 2 8 3" xfId="28669" xr:uid="{00000000-0005-0000-0000-000091550000}"/>
    <cellStyle name="40% - Accent6 4 3 2 9" xfId="28670" xr:uid="{00000000-0005-0000-0000-000092550000}"/>
    <cellStyle name="40% - Accent6 4 3 2 9 2" xfId="28671" xr:uid="{00000000-0005-0000-0000-000093550000}"/>
    <cellStyle name="40% - Accent6 4 3 2 9 3" xfId="28672" xr:uid="{00000000-0005-0000-0000-000094550000}"/>
    <cellStyle name="40% - Accent6 4 3 3" xfId="2669" xr:uid="{00000000-0005-0000-0000-000095550000}"/>
    <cellStyle name="40% - Accent6 4 3 3 10" xfId="28673" xr:uid="{00000000-0005-0000-0000-000096550000}"/>
    <cellStyle name="40% - Accent6 4 3 3 2" xfId="2670" xr:uid="{00000000-0005-0000-0000-000097550000}"/>
    <cellStyle name="40% - Accent6 4 3 3 2 2" xfId="28674" xr:uid="{00000000-0005-0000-0000-000098550000}"/>
    <cellStyle name="40% - Accent6 4 3 3 2 2 2" xfId="28675" xr:uid="{00000000-0005-0000-0000-000099550000}"/>
    <cellStyle name="40% - Accent6 4 3 3 2 2 2 2" xfId="28676" xr:uid="{00000000-0005-0000-0000-00009A550000}"/>
    <cellStyle name="40% - Accent6 4 3 3 2 2 2 3" xfId="28677" xr:uid="{00000000-0005-0000-0000-00009B550000}"/>
    <cellStyle name="40% - Accent6 4 3 3 2 2 3" xfId="28678" xr:uid="{00000000-0005-0000-0000-00009C550000}"/>
    <cellStyle name="40% - Accent6 4 3 3 2 2 3 2" xfId="28679" xr:uid="{00000000-0005-0000-0000-00009D550000}"/>
    <cellStyle name="40% - Accent6 4 3 3 2 2 3 3" xfId="28680" xr:uid="{00000000-0005-0000-0000-00009E550000}"/>
    <cellStyle name="40% - Accent6 4 3 3 2 2 4" xfId="28681" xr:uid="{00000000-0005-0000-0000-00009F550000}"/>
    <cellStyle name="40% - Accent6 4 3 3 2 2 4 2" xfId="28682" xr:uid="{00000000-0005-0000-0000-0000A0550000}"/>
    <cellStyle name="40% - Accent6 4 3 3 2 2 5" xfId="28683" xr:uid="{00000000-0005-0000-0000-0000A1550000}"/>
    <cellStyle name="40% - Accent6 4 3 3 2 2 6" xfId="28684" xr:uid="{00000000-0005-0000-0000-0000A2550000}"/>
    <cellStyle name="40% - Accent6 4 3 3 2 3" xfId="28685" xr:uid="{00000000-0005-0000-0000-0000A3550000}"/>
    <cellStyle name="40% - Accent6 4 3 3 2 3 2" xfId="28686" xr:uid="{00000000-0005-0000-0000-0000A4550000}"/>
    <cellStyle name="40% - Accent6 4 3 3 2 3 2 2" xfId="28687" xr:uid="{00000000-0005-0000-0000-0000A5550000}"/>
    <cellStyle name="40% - Accent6 4 3 3 2 3 2 3" xfId="28688" xr:uid="{00000000-0005-0000-0000-0000A6550000}"/>
    <cellStyle name="40% - Accent6 4 3 3 2 3 3" xfId="28689" xr:uid="{00000000-0005-0000-0000-0000A7550000}"/>
    <cellStyle name="40% - Accent6 4 3 3 2 3 3 2" xfId="28690" xr:uid="{00000000-0005-0000-0000-0000A8550000}"/>
    <cellStyle name="40% - Accent6 4 3 3 2 3 3 3" xfId="28691" xr:uid="{00000000-0005-0000-0000-0000A9550000}"/>
    <cellStyle name="40% - Accent6 4 3 3 2 3 4" xfId="28692" xr:uid="{00000000-0005-0000-0000-0000AA550000}"/>
    <cellStyle name="40% - Accent6 4 3 3 2 3 4 2" xfId="28693" xr:uid="{00000000-0005-0000-0000-0000AB550000}"/>
    <cellStyle name="40% - Accent6 4 3 3 2 3 5" xfId="28694" xr:uid="{00000000-0005-0000-0000-0000AC550000}"/>
    <cellStyle name="40% - Accent6 4 3 3 2 3 6" xfId="28695" xr:uid="{00000000-0005-0000-0000-0000AD550000}"/>
    <cellStyle name="40% - Accent6 4 3 3 2 4" xfId="28696" xr:uid="{00000000-0005-0000-0000-0000AE550000}"/>
    <cellStyle name="40% - Accent6 4 3 3 2 4 2" xfId="28697" xr:uid="{00000000-0005-0000-0000-0000AF550000}"/>
    <cellStyle name="40% - Accent6 4 3 3 2 4 2 2" xfId="28698" xr:uid="{00000000-0005-0000-0000-0000B0550000}"/>
    <cellStyle name="40% - Accent6 4 3 3 2 4 2 3" xfId="28699" xr:uid="{00000000-0005-0000-0000-0000B1550000}"/>
    <cellStyle name="40% - Accent6 4 3 3 2 4 3" xfId="28700" xr:uid="{00000000-0005-0000-0000-0000B2550000}"/>
    <cellStyle name="40% - Accent6 4 3 3 2 4 3 2" xfId="28701" xr:uid="{00000000-0005-0000-0000-0000B3550000}"/>
    <cellStyle name="40% - Accent6 4 3 3 2 4 4" xfId="28702" xr:uid="{00000000-0005-0000-0000-0000B4550000}"/>
    <cellStyle name="40% - Accent6 4 3 3 2 4 5" xfId="28703" xr:uid="{00000000-0005-0000-0000-0000B5550000}"/>
    <cellStyle name="40% - Accent6 4 3 3 2 5" xfId="28704" xr:uid="{00000000-0005-0000-0000-0000B6550000}"/>
    <cellStyle name="40% - Accent6 4 3 3 2 5 2" xfId="28705" xr:uid="{00000000-0005-0000-0000-0000B7550000}"/>
    <cellStyle name="40% - Accent6 4 3 3 2 5 3" xfId="28706" xr:uid="{00000000-0005-0000-0000-0000B8550000}"/>
    <cellStyle name="40% - Accent6 4 3 3 2 6" xfId="28707" xr:uid="{00000000-0005-0000-0000-0000B9550000}"/>
    <cellStyle name="40% - Accent6 4 3 3 2 6 2" xfId="28708" xr:uid="{00000000-0005-0000-0000-0000BA550000}"/>
    <cellStyle name="40% - Accent6 4 3 3 2 6 3" xfId="28709" xr:uid="{00000000-0005-0000-0000-0000BB550000}"/>
    <cellStyle name="40% - Accent6 4 3 3 2 7" xfId="28710" xr:uid="{00000000-0005-0000-0000-0000BC550000}"/>
    <cellStyle name="40% - Accent6 4 3 3 2 7 2" xfId="28711" xr:uid="{00000000-0005-0000-0000-0000BD550000}"/>
    <cellStyle name="40% - Accent6 4 3 3 2 8" xfId="28712" xr:uid="{00000000-0005-0000-0000-0000BE550000}"/>
    <cellStyle name="40% - Accent6 4 3 3 2 9" xfId="28713" xr:uid="{00000000-0005-0000-0000-0000BF550000}"/>
    <cellStyle name="40% - Accent6 4 3 3 3" xfId="28714" xr:uid="{00000000-0005-0000-0000-0000C0550000}"/>
    <cellStyle name="40% - Accent6 4 3 3 3 2" xfId="28715" xr:uid="{00000000-0005-0000-0000-0000C1550000}"/>
    <cellStyle name="40% - Accent6 4 3 3 3 2 2" xfId="28716" xr:uid="{00000000-0005-0000-0000-0000C2550000}"/>
    <cellStyle name="40% - Accent6 4 3 3 3 2 3" xfId="28717" xr:uid="{00000000-0005-0000-0000-0000C3550000}"/>
    <cellStyle name="40% - Accent6 4 3 3 3 3" xfId="28718" xr:uid="{00000000-0005-0000-0000-0000C4550000}"/>
    <cellStyle name="40% - Accent6 4 3 3 3 3 2" xfId="28719" xr:uid="{00000000-0005-0000-0000-0000C5550000}"/>
    <cellStyle name="40% - Accent6 4 3 3 3 3 3" xfId="28720" xr:uid="{00000000-0005-0000-0000-0000C6550000}"/>
    <cellStyle name="40% - Accent6 4 3 3 3 4" xfId="28721" xr:uid="{00000000-0005-0000-0000-0000C7550000}"/>
    <cellStyle name="40% - Accent6 4 3 3 3 4 2" xfId="28722" xr:uid="{00000000-0005-0000-0000-0000C8550000}"/>
    <cellStyle name="40% - Accent6 4 3 3 3 5" xfId="28723" xr:uid="{00000000-0005-0000-0000-0000C9550000}"/>
    <cellStyle name="40% - Accent6 4 3 3 3 6" xfId="28724" xr:uid="{00000000-0005-0000-0000-0000CA550000}"/>
    <cellStyle name="40% - Accent6 4 3 3 4" xfId="28725" xr:uid="{00000000-0005-0000-0000-0000CB550000}"/>
    <cellStyle name="40% - Accent6 4 3 3 4 2" xfId="28726" xr:uid="{00000000-0005-0000-0000-0000CC550000}"/>
    <cellStyle name="40% - Accent6 4 3 3 4 2 2" xfId="28727" xr:uid="{00000000-0005-0000-0000-0000CD550000}"/>
    <cellStyle name="40% - Accent6 4 3 3 4 2 3" xfId="28728" xr:uid="{00000000-0005-0000-0000-0000CE550000}"/>
    <cellStyle name="40% - Accent6 4 3 3 4 3" xfId="28729" xr:uid="{00000000-0005-0000-0000-0000CF550000}"/>
    <cellStyle name="40% - Accent6 4 3 3 4 3 2" xfId="28730" xr:uid="{00000000-0005-0000-0000-0000D0550000}"/>
    <cellStyle name="40% - Accent6 4 3 3 4 3 3" xfId="28731" xr:uid="{00000000-0005-0000-0000-0000D1550000}"/>
    <cellStyle name="40% - Accent6 4 3 3 4 4" xfId="28732" xr:uid="{00000000-0005-0000-0000-0000D2550000}"/>
    <cellStyle name="40% - Accent6 4 3 3 4 4 2" xfId="28733" xr:uid="{00000000-0005-0000-0000-0000D3550000}"/>
    <cellStyle name="40% - Accent6 4 3 3 4 5" xfId="28734" xr:uid="{00000000-0005-0000-0000-0000D4550000}"/>
    <cellStyle name="40% - Accent6 4 3 3 4 6" xfId="28735" xr:uid="{00000000-0005-0000-0000-0000D5550000}"/>
    <cellStyle name="40% - Accent6 4 3 3 5" xfId="28736" xr:uid="{00000000-0005-0000-0000-0000D6550000}"/>
    <cellStyle name="40% - Accent6 4 3 3 5 2" xfId="28737" xr:uid="{00000000-0005-0000-0000-0000D7550000}"/>
    <cellStyle name="40% - Accent6 4 3 3 5 2 2" xfId="28738" xr:uid="{00000000-0005-0000-0000-0000D8550000}"/>
    <cellStyle name="40% - Accent6 4 3 3 5 2 3" xfId="28739" xr:uid="{00000000-0005-0000-0000-0000D9550000}"/>
    <cellStyle name="40% - Accent6 4 3 3 5 3" xfId="28740" xr:uid="{00000000-0005-0000-0000-0000DA550000}"/>
    <cellStyle name="40% - Accent6 4 3 3 5 3 2" xfId="28741" xr:uid="{00000000-0005-0000-0000-0000DB550000}"/>
    <cellStyle name="40% - Accent6 4 3 3 5 4" xfId="28742" xr:uid="{00000000-0005-0000-0000-0000DC550000}"/>
    <cellStyle name="40% - Accent6 4 3 3 5 5" xfId="28743" xr:uid="{00000000-0005-0000-0000-0000DD550000}"/>
    <cellStyle name="40% - Accent6 4 3 3 6" xfId="28744" xr:uid="{00000000-0005-0000-0000-0000DE550000}"/>
    <cellStyle name="40% - Accent6 4 3 3 6 2" xfId="28745" xr:uid="{00000000-0005-0000-0000-0000DF550000}"/>
    <cellStyle name="40% - Accent6 4 3 3 6 3" xfId="28746" xr:uid="{00000000-0005-0000-0000-0000E0550000}"/>
    <cellStyle name="40% - Accent6 4 3 3 7" xfId="28747" xr:uid="{00000000-0005-0000-0000-0000E1550000}"/>
    <cellStyle name="40% - Accent6 4 3 3 7 2" xfId="28748" xr:uid="{00000000-0005-0000-0000-0000E2550000}"/>
    <cellStyle name="40% - Accent6 4 3 3 7 3" xfId="28749" xr:uid="{00000000-0005-0000-0000-0000E3550000}"/>
    <cellStyle name="40% - Accent6 4 3 3 8" xfId="28750" xr:uid="{00000000-0005-0000-0000-0000E4550000}"/>
    <cellStyle name="40% - Accent6 4 3 3 8 2" xfId="28751" xr:uid="{00000000-0005-0000-0000-0000E5550000}"/>
    <cellStyle name="40% - Accent6 4 3 3 9" xfId="28752" xr:uid="{00000000-0005-0000-0000-0000E6550000}"/>
    <cellStyle name="40% - Accent6 4 3 4" xfId="2671" xr:uid="{00000000-0005-0000-0000-0000E7550000}"/>
    <cellStyle name="40% - Accent6 4 3 4 2" xfId="28753" xr:uid="{00000000-0005-0000-0000-0000E8550000}"/>
    <cellStyle name="40% - Accent6 4 3 4 2 2" xfId="28754" xr:uid="{00000000-0005-0000-0000-0000E9550000}"/>
    <cellStyle name="40% - Accent6 4 3 4 2 2 2" xfId="28755" xr:uid="{00000000-0005-0000-0000-0000EA550000}"/>
    <cellStyle name="40% - Accent6 4 3 4 2 2 3" xfId="28756" xr:uid="{00000000-0005-0000-0000-0000EB550000}"/>
    <cellStyle name="40% - Accent6 4 3 4 2 3" xfId="28757" xr:uid="{00000000-0005-0000-0000-0000EC550000}"/>
    <cellStyle name="40% - Accent6 4 3 4 2 3 2" xfId="28758" xr:uid="{00000000-0005-0000-0000-0000ED550000}"/>
    <cellStyle name="40% - Accent6 4 3 4 2 3 3" xfId="28759" xr:uid="{00000000-0005-0000-0000-0000EE550000}"/>
    <cellStyle name="40% - Accent6 4 3 4 2 4" xfId="28760" xr:uid="{00000000-0005-0000-0000-0000EF550000}"/>
    <cellStyle name="40% - Accent6 4 3 4 2 4 2" xfId="28761" xr:uid="{00000000-0005-0000-0000-0000F0550000}"/>
    <cellStyle name="40% - Accent6 4 3 4 2 5" xfId="28762" xr:uid="{00000000-0005-0000-0000-0000F1550000}"/>
    <cellStyle name="40% - Accent6 4 3 4 2 6" xfId="28763" xr:uid="{00000000-0005-0000-0000-0000F2550000}"/>
    <cellStyle name="40% - Accent6 4 3 4 3" xfId="28764" xr:uid="{00000000-0005-0000-0000-0000F3550000}"/>
    <cellStyle name="40% - Accent6 4 3 4 3 2" xfId="28765" xr:uid="{00000000-0005-0000-0000-0000F4550000}"/>
    <cellStyle name="40% - Accent6 4 3 4 3 2 2" xfId="28766" xr:uid="{00000000-0005-0000-0000-0000F5550000}"/>
    <cellStyle name="40% - Accent6 4 3 4 3 2 3" xfId="28767" xr:uid="{00000000-0005-0000-0000-0000F6550000}"/>
    <cellStyle name="40% - Accent6 4 3 4 3 3" xfId="28768" xr:uid="{00000000-0005-0000-0000-0000F7550000}"/>
    <cellStyle name="40% - Accent6 4 3 4 3 3 2" xfId="28769" xr:uid="{00000000-0005-0000-0000-0000F8550000}"/>
    <cellStyle name="40% - Accent6 4 3 4 3 3 3" xfId="28770" xr:uid="{00000000-0005-0000-0000-0000F9550000}"/>
    <cellStyle name="40% - Accent6 4 3 4 3 4" xfId="28771" xr:uid="{00000000-0005-0000-0000-0000FA550000}"/>
    <cellStyle name="40% - Accent6 4 3 4 3 4 2" xfId="28772" xr:uid="{00000000-0005-0000-0000-0000FB550000}"/>
    <cellStyle name="40% - Accent6 4 3 4 3 5" xfId="28773" xr:uid="{00000000-0005-0000-0000-0000FC550000}"/>
    <cellStyle name="40% - Accent6 4 3 4 3 6" xfId="28774" xr:uid="{00000000-0005-0000-0000-0000FD550000}"/>
    <cellStyle name="40% - Accent6 4 3 4 4" xfId="28775" xr:uid="{00000000-0005-0000-0000-0000FE550000}"/>
    <cellStyle name="40% - Accent6 4 3 4 4 2" xfId="28776" xr:uid="{00000000-0005-0000-0000-0000FF550000}"/>
    <cellStyle name="40% - Accent6 4 3 4 4 2 2" xfId="28777" xr:uid="{00000000-0005-0000-0000-000000560000}"/>
    <cellStyle name="40% - Accent6 4 3 4 4 2 3" xfId="28778" xr:uid="{00000000-0005-0000-0000-000001560000}"/>
    <cellStyle name="40% - Accent6 4 3 4 4 3" xfId="28779" xr:uid="{00000000-0005-0000-0000-000002560000}"/>
    <cellStyle name="40% - Accent6 4 3 4 4 3 2" xfId="28780" xr:uid="{00000000-0005-0000-0000-000003560000}"/>
    <cellStyle name="40% - Accent6 4 3 4 4 4" xfId="28781" xr:uid="{00000000-0005-0000-0000-000004560000}"/>
    <cellStyle name="40% - Accent6 4 3 4 4 5" xfId="28782" xr:uid="{00000000-0005-0000-0000-000005560000}"/>
    <cellStyle name="40% - Accent6 4 3 4 5" xfId="28783" xr:uid="{00000000-0005-0000-0000-000006560000}"/>
    <cellStyle name="40% - Accent6 4 3 4 5 2" xfId="28784" xr:uid="{00000000-0005-0000-0000-000007560000}"/>
    <cellStyle name="40% - Accent6 4 3 4 5 3" xfId="28785" xr:uid="{00000000-0005-0000-0000-000008560000}"/>
    <cellStyle name="40% - Accent6 4 3 4 6" xfId="28786" xr:uid="{00000000-0005-0000-0000-000009560000}"/>
    <cellStyle name="40% - Accent6 4 3 4 6 2" xfId="28787" xr:uid="{00000000-0005-0000-0000-00000A560000}"/>
    <cellStyle name="40% - Accent6 4 3 4 6 3" xfId="28788" xr:uid="{00000000-0005-0000-0000-00000B560000}"/>
    <cellStyle name="40% - Accent6 4 3 4 7" xfId="28789" xr:uid="{00000000-0005-0000-0000-00000C560000}"/>
    <cellStyle name="40% - Accent6 4 3 4 7 2" xfId="28790" xr:uid="{00000000-0005-0000-0000-00000D560000}"/>
    <cellStyle name="40% - Accent6 4 3 4 8" xfId="28791" xr:uid="{00000000-0005-0000-0000-00000E560000}"/>
    <cellStyle name="40% - Accent6 4 3 4 9" xfId="28792" xr:uid="{00000000-0005-0000-0000-00000F560000}"/>
    <cellStyle name="40% - Accent6 4 3 5" xfId="28793" xr:uid="{00000000-0005-0000-0000-000010560000}"/>
    <cellStyle name="40% - Accent6 4 3 5 2" xfId="28794" xr:uid="{00000000-0005-0000-0000-000011560000}"/>
    <cellStyle name="40% - Accent6 4 3 5 2 2" xfId="28795" xr:uid="{00000000-0005-0000-0000-000012560000}"/>
    <cellStyle name="40% - Accent6 4 3 5 2 2 2" xfId="28796" xr:uid="{00000000-0005-0000-0000-000013560000}"/>
    <cellStyle name="40% - Accent6 4 3 5 2 2 3" xfId="28797" xr:uid="{00000000-0005-0000-0000-000014560000}"/>
    <cellStyle name="40% - Accent6 4 3 5 2 3" xfId="28798" xr:uid="{00000000-0005-0000-0000-000015560000}"/>
    <cellStyle name="40% - Accent6 4 3 5 2 3 2" xfId="28799" xr:uid="{00000000-0005-0000-0000-000016560000}"/>
    <cellStyle name="40% - Accent6 4 3 5 2 3 3" xfId="28800" xr:uid="{00000000-0005-0000-0000-000017560000}"/>
    <cellStyle name="40% - Accent6 4 3 5 2 4" xfId="28801" xr:uid="{00000000-0005-0000-0000-000018560000}"/>
    <cellStyle name="40% - Accent6 4 3 5 2 4 2" xfId="28802" xr:uid="{00000000-0005-0000-0000-000019560000}"/>
    <cellStyle name="40% - Accent6 4 3 5 2 5" xfId="28803" xr:uid="{00000000-0005-0000-0000-00001A560000}"/>
    <cellStyle name="40% - Accent6 4 3 5 2 6" xfId="28804" xr:uid="{00000000-0005-0000-0000-00001B560000}"/>
    <cellStyle name="40% - Accent6 4 3 5 3" xfId="28805" xr:uid="{00000000-0005-0000-0000-00001C560000}"/>
    <cellStyle name="40% - Accent6 4 3 5 3 2" xfId="28806" xr:uid="{00000000-0005-0000-0000-00001D560000}"/>
    <cellStyle name="40% - Accent6 4 3 5 3 2 2" xfId="28807" xr:uid="{00000000-0005-0000-0000-00001E560000}"/>
    <cellStyle name="40% - Accent6 4 3 5 3 2 3" xfId="28808" xr:uid="{00000000-0005-0000-0000-00001F560000}"/>
    <cellStyle name="40% - Accent6 4 3 5 3 3" xfId="28809" xr:uid="{00000000-0005-0000-0000-000020560000}"/>
    <cellStyle name="40% - Accent6 4 3 5 3 3 2" xfId="28810" xr:uid="{00000000-0005-0000-0000-000021560000}"/>
    <cellStyle name="40% - Accent6 4 3 5 3 3 3" xfId="28811" xr:uid="{00000000-0005-0000-0000-000022560000}"/>
    <cellStyle name="40% - Accent6 4 3 5 3 4" xfId="28812" xr:uid="{00000000-0005-0000-0000-000023560000}"/>
    <cellStyle name="40% - Accent6 4 3 5 3 4 2" xfId="28813" xr:uid="{00000000-0005-0000-0000-000024560000}"/>
    <cellStyle name="40% - Accent6 4 3 5 3 5" xfId="28814" xr:uid="{00000000-0005-0000-0000-000025560000}"/>
    <cellStyle name="40% - Accent6 4 3 5 3 6" xfId="28815" xr:uid="{00000000-0005-0000-0000-000026560000}"/>
    <cellStyle name="40% - Accent6 4 3 5 4" xfId="28816" xr:uid="{00000000-0005-0000-0000-000027560000}"/>
    <cellStyle name="40% - Accent6 4 3 5 4 2" xfId="28817" xr:uid="{00000000-0005-0000-0000-000028560000}"/>
    <cellStyle name="40% - Accent6 4 3 5 4 2 2" xfId="28818" xr:uid="{00000000-0005-0000-0000-000029560000}"/>
    <cellStyle name="40% - Accent6 4 3 5 4 2 3" xfId="28819" xr:uid="{00000000-0005-0000-0000-00002A560000}"/>
    <cellStyle name="40% - Accent6 4 3 5 4 3" xfId="28820" xr:uid="{00000000-0005-0000-0000-00002B560000}"/>
    <cellStyle name="40% - Accent6 4 3 5 4 3 2" xfId="28821" xr:uid="{00000000-0005-0000-0000-00002C560000}"/>
    <cellStyle name="40% - Accent6 4 3 5 4 4" xfId="28822" xr:uid="{00000000-0005-0000-0000-00002D560000}"/>
    <cellStyle name="40% - Accent6 4 3 5 4 5" xfId="28823" xr:uid="{00000000-0005-0000-0000-00002E560000}"/>
    <cellStyle name="40% - Accent6 4 3 5 5" xfId="28824" xr:uid="{00000000-0005-0000-0000-00002F560000}"/>
    <cellStyle name="40% - Accent6 4 3 5 5 2" xfId="28825" xr:uid="{00000000-0005-0000-0000-000030560000}"/>
    <cellStyle name="40% - Accent6 4 3 5 5 3" xfId="28826" xr:uid="{00000000-0005-0000-0000-000031560000}"/>
    <cellStyle name="40% - Accent6 4 3 5 6" xfId="28827" xr:uid="{00000000-0005-0000-0000-000032560000}"/>
    <cellStyle name="40% - Accent6 4 3 5 6 2" xfId="28828" xr:uid="{00000000-0005-0000-0000-000033560000}"/>
    <cellStyle name="40% - Accent6 4 3 5 6 3" xfId="28829" xr:uid="{00000000-0005-0000-0000-000034560000}"/>
    <cellStyle name="40% - Accent6 4 3 5 7" xfId="28830" xr:uid="{00000000-0005-0000-0000-000035560000}"/>
    <cellStyle name="40% - Accent6 4 3 5 7 2" xfId="28831" xr:uid="{00000000-0005-0000-0000-000036560000}"/>
    <cellStyle name="40% - Accent6 4 3 5 8" xfId="28832" xr:uid="{00000000-0005-0000-0000-000037560000}"/>
    <cellStyle name="40% - Accent6 4 3 5 9" xfId="28833" xr:uid="{00000000-0005-0000-0000-000038560000}"/>
    <cellStyle name="40% - Accent6 4 3 6" xfId="28834" xr:uid="{00000000-0005-0000-0000-000039560000}"/>
    <cellStyle name="40% - Accent6 4 3 6 2" xfId="28835" xr:uid="{00000000-0005-0000-0000-00003A560000}"/>
    <cellStyle name="40% - Accent6 4 3 6 2 2" xfId="28836" xr:uid="{00000000-0005-0000-0000-00003B560000}"/>
    <cellStyle name="40% - Accent6 4 3 6 2 3" xfId="28837" xr:uid="{00000000-0005-0000-0000-00003C560000}"/>
    <cellStyle name="40% - Accent6 4 3 6 3" xfId="28838" xr:uid="{00000000-0005-0000-0000-00003D560000}"/>
    <cellStyle name="40% - Accent6 4 3 6 3 2" xfId="28839" xr:uid="{00000000-0005-0000-0000-00003E560000}"/>
    <cellStyle name="40% - Accent6 4 3 6 3 3" xfId="28840" xr:uid="{00000000-0005-0000-0000-00003F560000}"/>
    <cellStyle name="40% - Accent6 4 3 6 4" xfId="28841" xr:uid="{00000000-0005-0000-0000-000040560000}"/>
    <cellStyle name="40% - Accent6 4 3 6 4 2" xfId="28842" xr:uid="{00000000-0005-0000-0000-000041560000}"/>
    <cellStyle name="40% - Accent6 4 3 6 5" xfId="28843" xr:uid="{00000000-0005-0000-0000-000042560000}"/>
    <cellStyle name="40% - Accent6 4 3 6 6" xfId="28844" xr:uid="{00000000-0005-0000-0000-000043560000}"/>
    <cellStyle name="40% - Accent6 4 3 7" xfId="28845" xr:uid="{00000000-0005-0000-0000-000044560000}"/>
    <cellStyle name="40% - Accent6 4 3 7 2" xfId="28846" xr:uid="{00000000-0005-0000-0000-000045560000}"/>
    <cellStyle name="40% - Accent6 4 3 7 2 2" xfId="28847" xr:uid="{00000000-0005-0000-0000-000046560000}"/>
    <cellStyle name="40% - Accent6 4 3 7 2 3" xfId="28848" xr:uid="{00000000-0005-0000-0000-000047560000}"/>
    <cellStyle name="40% - Accent6 4 3 7 3" xfId="28849" xr:uid="{00000000-0005-0000-0000-000048560000}"/>
    <cellStyle name="40% - Accent6 4 3 7 3 2" xfId="28850" xr:uid="{00000000-0005-0000-0000-000049560000}"/>
    <cellStyle name="40% - Accent6 4 3 7 3 3" xfId="28851" xr:uid="{00000000-0005-0000-0000-00004A560000}"/>
    <cellStyle name="40% - Accent6 4 3 7 4" xfId="28852" xr:uid="{00000000-0005-0000-0000-00004B560000}"/>
    <cellStyle name="40% - Accent6 4 3 7 4 2" xfId="28853" xr:uid="{00000000-0005-0000-0000-00004C560000}"/>
    <cellStyle name="40% - Accent6 4 3 7 5" xfId="28854" xr:uid="{00000000-0005-0000-0000-00004D560000}"/>
    <cellStyle name="40% - Accent6 4 3 7 6" xfId="28855" xr:uid="{00000000-0005-0000-0000-00004E560000}"/>
    <cellStyle name="40% - Accent6 4 3 8" xfId="28856" xr:uid="{00000000-0005-0000-0000-00004F560000}"/>
    <cellStyle name="40% - Accent6 4 3 8 2" xfId="28857" xr:uid="{00000000-0005-0000-0000-000050560000}"/>
    <cellStyle name="40% - Accent6 4 3 8 2 2" xfId="28858" xr:uid="{00000000-0005-0000-0000-000051560000}"/>
    <cellStyle name="40% - Accent6 4 3 8 2 3" xfId="28859" xr:uid="{00000000-0005-0000-0000-000052560000}"/>
    <cellStyle name="40% - Accent6 4 3 8 3" xfId="28860" xr:uid="{00000000-0005-0000-0000-000053560000}"/>
    <cellStyle name="40% - Accent6 4 3 8 3 2" xfId="28861" xr:uid="{00000000-0005-0000-0000-000054560000}"/>
    <cellStyle name="40% - Accent6 4 3 8 4" xfId="28862" xr:uid="{00000000-0005-0000-0000-000055560000}"/>
    <cellStyle name="40% - Accent6 4 3 8 5" xfId="28863" xr:uid="{00000000-0005-0000-0000-000056560000}"/>
    <cellStyle name="40% - Accent6 4 3 9" xfId="28864" xr:uid="{00000000-0005-0000-0000-000057560000}"/>
    <cellStyle name="40% - Accent6 4 3 9 2" xfId="28865" xr:uid="{00000000-0005-0000-0000-000058560000}"/>
    <cellStyle name="40% - Accent6 4 3 9 3" xfId="28866" xr:uid="{00000000-0005-0000-0000-000059560000}"/>
    <cellStyle name="40% - Accent6 4 4" xfId="2672" xr:uid="{00000000-0005-0000-0000-00005A560000}"/>
    <cellStyle name="40% - Accent6 4 4 10" xfId="28867" xr:uid="{00000000-0005-0000-0000-00005B560000}"/>
    <cellStyle name="40% - Accent6 4 4 10 2" xfId="28868" xr:uid="{00000000-0005-0000-0000-00005C560000}"/>
    <cellStyle name="40% - Accent6 4 4 11" xfId="28869" xr:uid="{00000000-0005-0000-0000-00005D560000}"/>
    <cellStyle name="40% - Accent6 4 4 12" xfId="28870" xr:uid="{00000000-0005-0000-0000-00005E560000}"/>
    <cellStyle name="40% - Accent6 4 4 2" xfId="2673" xr:uid="{00000000-0005-0000-0000-00005F560000}"/>
    <cellStyle name="40% - Accent6 4 4 2 10" xfId="28871" xr:uid="{00000000-0005-0000-0000-000060560000}"/>
    <cellStyle name="40% - Accent6 4 4 2 2" xfId="2674" xr:uid="{00000000-0005-0000-0000-000061560000}"/>
    <cellStyle name="40% - Accent6 4 4 2 2 2" xfId="28872" xr:uid="{00000000-0005-0000-0000-000062560000}"/>
    <cellStyle name="40% - Accent6 4 4 2 2 2 2" xfId="28873" xr:uid="{00000000-0005-0000-0000-000063560000}"/>
    <cellStyle name="40% - Accent6 4 4 2 2 2 2 2" xfId="28874" xr:uid="{00000000-0005-0000-0000-000064560000}"/>
    <cellStyle name="40% - Accent6 4 4 2 2 2 2 3" xfId="28875" xr:uid="{00000000-0005-0000-0000-000065560000}"/>
    <cellStyle name="40% - Accent6 4 4 2 2 2 3" xfId="28876" xr:uid="{00000000-0005-0000-0000-000066560000}"/>
    <cellStyle name="40% - Accent6 4 4 2 2 2 3 2" xfId="28877" xr:uid="{00000000-0005-0000-0000-000067560000}"/>
    <cellStyle name="40% - Accent6 4 4 2 2 2 3 3" xfId="28878" xr:uid="{00000000-0005-0000-0000-000068560000}"/>
    <cellStyle name="40% - Accent6 4 4 2 2 2 4" xfId="28879" xr:uid="{00000000-0005-0000-0000-000069560000}"/>
    <cellStyle name="40% - Accent6 4 4 2 2 2 4 2" xfId="28880" xr:uid="{00000000-0005-0000-0000-00006A560000}"/>
    <cellStyle name="40% - Accent6 4 4 2 2 2 5" xfId="28881" xr:uid="{00000000-0005-0000-0000-00006B560000}"/>
    <cellStyle name="40% - Accent6 4 4 2 2 2 6" xfId="28882" xr:uid="{00000000-0005-0000-0000-00006C560000}"/>
    <cellStyle name="40% - Accent6 4 4 2 2 3" xfId="28883" xr:uid="{00000000-0005-0000-0000-00006D560000}"/>
    <cellStyle name="40% - Accent6 4 4 2 2 3 2" xfId="28884" xr:uid="{00000000-0005-0000-0000-00006E560000}"/>
    <cellStyle name="40% - Accent6 4 4 2 2 3 2 2" xfId="28885" xr:uid="{00000000-0005-0000-0000-00006F560000}"/>
    <cellStyle name="40% - Accent6 4 4 2 2 3 2 3" xfId="28886" xr:uid="{00000000-0005-0000-0000-000070560000}"/>
    <cellStyle name="40% - Accent6 4 4 2 2 3 3" xfId="28887" xr:uid="{00000000-0005-0000-0000-000071560000}"/>
    <cellStyle name="40% - Accent6 4 4 2 2 3 3 2" xfId="28888" xr:uid="{00000000-0005-0000-0000-000072560000}"/>
    <cellStyle name="40% - Accent6 4 4 2 2 3 3 3" xfId="28889" xr:uid="{00000000-0005-0000-0000-000073560000}"/>
    <cellStyle name="40% - Accent6 4 4 2 2 3 4" xfId="28890" xr:uid="{00000000-0005-0000-0000-000074560000}"/>
    <cellStyle name="40% - Accent6 4 4 2 2 3 4 2" xfId="28891" xr:uid="{00000000-0005-0000-0000-000075560000}"/>
    <cellStyle name="40% - Accent6 4 4 2 2 3 5" xfId="28892" xr:uid="{00000000-0005-0000-0000-000076560000}"/>
    <cellStyle name="40% - Accent6 4 4 2 2 3 6" xfId="28893" xr:uid="{00000000-0005-0000-0000-000077560000}"/>
    <cellStyle name="40% - Accent6 4 4 2 2 4" xfId="28894" xr:uid="{00000000-0005-0000-0000-000078560000}"/>
    <cellStyle name="40% - Accent6 4 4 2 2 4 2" xfId="28895" xr:uid="{00000000-0005-0000-0000-000079560000}"/>
    <cellStyle name="40% - Accent6 4 4 2 2 4 2 2" xfId="28896" xr:uid="{00000000-0005-0000-0000-00007A560000}"/>
    <cellStyle name="40% - Accent6 4 4 2 2 4 2 3" xfId="28897" xr:uid="{00000000-0005-0000-0000-00007B560000}"/>
    <cellStyle name="40% - Accent6 4 4 2 2 4 3" xfId="28898" xr:uid="{00000000-0005-0000-0000-00007C560000}"/>
    <cellStyle name="40% - Accent6 4 4 2 2 4 3 2" xfId="28899" xr:uid="{00000000-0005-0000-0000-00007D560000}"/>
    <cellStyle name="40% - Accent6 4 4 2 2 4 4" xfId="28900" xr:uid="{00000000-0005-0000-0000-00007E560000}"/>
    <cellStyle name="40% - Accent6 4 4 2 2 4 5" xfId="28901" xr:uid="{00000000-0005-0000-0000-00007F560000}"/>
    <cellStyle name="40% - Accent6 4 4 2 2 5" xfId="28902" xr:uid="{00000000-0005-0000-0000-000080560000}"/>
    <cellStyle name="40% - Accent6 4 4 2 2 5 2" xfId="28903" xr:uid="{00000000-0005-0000-0000-000081560000}"/>
    <cellStyle name="40% - Accent6 4 4 2 2 5 3" xfId="28904" xr:uid="{00000000-0005-0000-0000-000082560000}"/>
    <cellStyle name="40% - Accent6 4 4 2 2 6" xfId="28905" xr:uid="{00000000-0005-0000-0000-000083560000}"/>
    <cellStyle name="40% - Accent6 4 4 2 2 6 2" xfId="28906" xr:uid="{00000000-0005-0000-0000-000084560000}"/>
    <cellStyle name="40% - Accent6 4 4 2 2 6 3" xfId="28907" xr:uid="{00000000-0005-0000-0000-000085560000}"/>
    <cellStyle name="40% - Accent6 4 4 2 2 7" xfId="28908" xr:uid="{00000000-0005-0000-0000-000086560000}"/>
    <cellStyle name="40% - Accent6 4 4 2 2 7 2" xfId="28909" xr:uid="{00000000-0005-0000-0000-000087560000}"/>
    <cellStyle name="40% - Accent6 4 4 2 2 8" xfId="28910" xr:uid="{00000000-0005-0000-0000-000088560000}"/>
    <cellStyle name="40% - Accent6 4 4 2 2 9" xfId="28911" xr:uid="{00000000-0005-0000-0000-000089560000}"/>
    <cellStyle name="40% - Accent6 4 4 2 3" xfId="28912" xr:uid="{00000000-0005-0000-0000-00008A560000}"/>
    <cellStyle name="40% - Accent6 4 4 2 3 2" xfId="28913" xr:uid="{00000000-0005-0000-0000-00008B560000}"/>
    <cellStyle name="40% - Accent6 4 4 2 3 2 2" xfId="28914" xr:uid="{00000000-0005-0000-0000-00008C560000}"/>
    <cellStyle name="40% - Accent6 4 4 2 3 2 3" xfId="28915" xr:uid="{00000000-0005-0000-0000-00008D560000}"/>
    <cellStyle name="40% - Accent6 4 4 2 3 3" xfId="28916" xr:uid="{00000000-0005-0000-0000-00008E560000}"/>
    <cellStyle name="40% - Accent6 4 4 2 3 3 2" xfId="28917" xr:uid="{00000000-0005-0000-0000-00008F560000}"/>
    <cellStyle name="40% - Accent6 4 4 2 3 3 3" xfId="28918" xr:uid="{00000000-0005-0000-0000-000090560000}"/>
    <cellStyle name="40% - Accent6 4 4 2 3 4" xfId="28919" xr:uid="{00000000-0005-0000-0000-000091560000}"/>
    <cellStyle name="40% - Accent6 4 4 2 3 4 2" xfId="28920" xr:uid="{00000000-0005-0000-0000-000092560000}"/>
    <cellStyle name="40% - Accent6 4 4 2 3 5" xfId="28921" xr:uid="{00000000-0005-0000-0000-000093560000}"/>
    <cellStyle name="40% - Accent6 4 4 2 3 6" xfId="28922" xr:uid="{00000000-0005-0000-0000-000094560000}"/>
    <cellStyle name="40% - Accent6 4 4 2 4" xfId="28923" xr:uid="{00000000-0005-0000-0000-000095560000}"/>
    <cellStyle name="40% - Accent6 4 4 2 4 2" xfId="28924" xr:uid="{00000000-0005-0000-0000-000096560000}"/>
    <cellStyle name="40% - Accent6 4 4 2 4 2 2" xfId="28925" xr:uid="{00000000-0005-0000-0000-000097560000}"/>
    <cellStyle name="40% - Accent6 4 4 2 4 2 3" xfId="28926" xr:uid="{00000000-0005-0000-0000-000098560000}"/>
    <cellStyle name="40% - Accent6 4 4 2 4 3" xfId="28927" xr:uid="{00000000-0005-0000-0000-000099560000}"/>
    <cellStyle name="40% - Accent6 4 4 2 4 3 2" xfId="28928" xr:uid="{00000000-0005-0000-0000-00009A560000}"/>
    <cellStyle name="40% - Accent6 4 4 2 4 3 3" xfId="28929" xr:uid="{00000000-0005-0000-0000-00009B560000}"/>
    <cellStyle name="40% - Accent6 4 4 2 4 4" xfId="28930" xr:uid="{00000000-0005-0000-0000-00009C560000}"/>
    <cellStyle name="40% - Accent6 4 4 2 4 4 2" xfId="28931" xr:uid="{00000000-0005-0000-0000-00009D560000}"/>
    <cellStyle name="40% - Accent6 4 4 2 4 5" xfId="28932" xr:uid="{00000000-0005-0000-0000-00009E560000}"/>
    <cellStyle name="40% - Accent6 4 4 2 4 6" xfId="28933" xr:uid="{00000000-0005-0000-0000-00009F560000}"/>
    <cellStyle name="40% - Accent6 4 4 2 5" xfId="28934" xr:uid="{00000000-0005-0000-0000-0000A0560000}"/>
    <cellStyle name="40% - Accent6 4 4 2 5 2" xfId="28935" xr:uid="{00000000-0005-0000-0000-0000A1560000}"/>
    <cellStyle name="40% - Accent6 4 4 2 5 2 2" xfId="28936" xr:uid="{00000000-0005-0000-0000-0000A2560000}"/>
    <cellStyle name="40% - Accent6 4 4 2 5 2 3" xfId="28937" xr:uid="{00000000-0005-0000-0000-0000A3560000}"/>
    <cellStyle name="40% - Accent6 4 4 2 5 3" xfId="28938" xr:uid="{00000000-0005-0000-0000-0000A4560000}"/>
    <cellStyle name="40% - Accent6 4 4 2 5 3 2" xfId="28939" xr:uid="{00000000-0005-0000-0000-0000A5560000}"/>
    <cellStyle name="40% - Accent6 4 4 2 5 4" xfId="28940" xr:uid="{00000000-0005-0000-0000-0000A6560000}"/>
    <cellStyle name="40% - Accent6 4 4 2 5 5" xfId="28941" xr:uid="{00000000-0005-0000-0000-0000A7560000}"/>
    <cellStyle name="40% - Accent6 4 4 2 6" xfId="28942" xr:uid="{00000000-0005-0000-0000-0000A8560000}"/>
    <cellStyle name="40% - Accent6 4 4 2 6 2" xfId="28943" xr:uid="{00000000-0005-0000-0000-0000A9560000}"/>
    <cellStyle name="40% - Accent6 4 4 2 6 3" xfId="28944" xr:uid="{00000000-0005-0000-0000-0000AA560000}"/>
    <cellStyle name="40% - Accent6 4 4 2 7" xfId="28945" xr:uid="{00000000-0005-0000-0000-0000AB560000}"/>
    <cellStyle name="40% - Accent6 4 4 2 7 2" xfId="28946" xr:uid="{00000000-0005-0000-0000-0000AC560000}"/>
    <cellStyle name="40% - Accent6 4 4 2 7 3" xfId="28947" xr:uid="{00000000-0005-0000-0000-0000AD560000}"/>
    <cellStyle name="40% - Accent6 4 4 2 8" xfId="28948" xr:uid="{00000000-0005-0000-0000-0000AE560000}"/>
    <cellStyle name="40% - Accent6 4 4 2 8 2" xfId="28949" xr:uid="{00000000-0005-0000-0000-0000AF560000}"/>
    <cellStyle name="40% - Accent6 4 4 2 9" xfId="28950" xr:uid="{00000000-0005-0000-0000-0000B0560000}"/>
    <cellStyle name="40% - Accent6 4 4 3" xfId="2675" xr:uid="{00000000-0005-0000-0000-0000B1560000}"/>
    <cellStyle name="40% - Accent6 4 4 3 2" xfId="28951" xr:uid="{00000000-0005-0000-0000-0000B2560000}"/>
    <cellStyle name="40% - Accent6 4 4 3 2 2" xfId="28952" xr:uid="{00000000-0005-0000-0000-0000B3560000}"/>
    <cellStyle name="40% - Accent6 4 4 3 2 2 2" xfId="28953" xr:uid="{00000000-0005-0000-0000-0000B4560000}"/>
    <cellStyle name="40% - Accent6 4 4 3 2 2 3" xfId="28954" xr:uid="{00000000-0005-0000-0000-0000B5560000}"/>
    <cellStyle name="40% - Accent6 4 4 3 2 3" xfId="28955" xr:uid="{00000000-0005-0000-0000-0000B6560000}"/>
    <cellStyle name="40% - Accent6 4 4 3 2 3 2" xfId="28956" xr:uid="{00000000-0005-0000-0000-0000B7560000}"/>
    <cellStyle name="40% - Accent6 4 4 3 2 3 3" xfId="28957" xr:uid="{00000000-0005-0000-0000-0000B8560000}"/>
    <cellStyle name="40% - Accent6 4 4 3 2 4" xfId="28958" xr:uid="{00000000-0005-0000-0000-0000B9560000}"/>
    <cellStyle name="40% - Accent6 4 4 3 2 4 2" xfId="28959" xr:uid="{00000000-0005-0000-0000-0000BA560000}"/>
    <cellStyle name="40% - Accent6 4 4 3 2 5" xfId="28960" xr:uid="{00000000-0005-0000-0000-0000BB560000}"/>
    <cellStyle name="40% - Accent6 4 4 3 2 6" xfId="28961" xr:uid="{00000000-0005-0000-0000-0000BC560000}"/>
    <cellStyle name="40% - Accent6 4 4 3 3" xfId="28962" xr:uid="{00000000-0005-0000-0000-0000BD560000}"/>
    <cellStyle name="40% - Accent6 4 4 3 3 2" xfId="28963" xr:uid="{00000000-0005-0000-0000-0000BE560000}"/>
    <cellStyle name="40% - Accent6 4 4 3 3 2 2" xfId="28964" xr:uid="{00000000-0005-0000-0000-0000BF560000}"/>
    <cellStyle name="40% - Accent6 4 4 3 3 2 3" xfId="28965" xr:uid="{00000000-0005-0000-0000-0000C0560000}"/>
    <cellStyle name="40% - Accent6 4 4 3 3 3" xfId="28966" xr:uid="{00000000-0005-0000-0000-0000C1560000}"/>
    <cellStyle name="40% - Accent6 4 4 3 3 3 2" xfId="28967" xr:uid="{00000000-0005-0000-0000-0000C2560000}"/>
    <cellStyle name="40% - Accent6 4 4 3 3 3 3" xfId="28968" xr:uid="{00000000-0005-0000-0000-0000C3560000}"/>
    <cellStyle name="40% - Accent6 4 4 3 3 4" xfId="28969" xr:uid="{00000000-0005-0000-0000-0000C4560000}"/>
    <cellStyle name="40% - Accent6 4 4 3 3 4 2" xfId="28970" xr:uid="{00000000-0005-0000-0000-0000C5560000}"/>
    <cellStyle name="40% - Accent6 4 4 3 3 5" xfId="28971" xr:uid="{00000000-0005-0000-0000-0000C6560000}"/>
    <cellStyle name="40% - Accent6 4 4 3 3 6" xfId="28972" xr:uid="{00000000-0005-0000-0000-0000C7560000}"/>
    <cellStyle name="40% - Accent6 4 4 3 4" xfId="28973" xr:uid="{00000000-0005-0000-0000-0000C8560000}"/>
    <cellStyle name="40% - Accent6 4 4 3 4 2" xfId="28974" xr:uid="{00000000-0005-0000-0000-0000C9560000}"/>
    <cellStyle name="40% - Accent6 4 4 3 4 2 2" xfId="28975" xr:uid="{00000000-0005-0000-0000-0000CA560000}"/>
    <cellStyle name="40% - Accent6 4 4 3 4 2 3" xfId="28976" xr:uid="{00000000-0005-0000-0000-0000CB560000}"/>
    <cellStyle name="40% - Accent6 4 4 3 4 3" xfId="28977" xr:uid="{00000000-0005-0000-0000-0000CC560000}"/>
    <cellStyle name="40% - Accent6 4 4 3 4 3 2" xfId="28978" xr:uid="{00000000-0005-0000-0000-0000CD560000}"/>
    <cellStyle name="40% - Accent6 4 4 3 4 4" xfId="28979" xr:uid="{00000000-0005-0000-0000-0000CE560000}"/>
    <cellStyle name="40% - Accent6 4 4 3 4 5" xfId="28980" xr:uid="{00000000-0005-0000-0000-0000CF560000}"/>
    <cellStyle name="40% - Accent6 4 4 3 5" xfId="28981" xr:uid="{00000000-0005-0000-0000-0000D0560000}"/>
    <cellStyle name="40% - Accent6 4 4 3 5 2" xfId="28982" xr:uid="{00000000-0005-0000-0000-0000D1560000}"/>
    <cellStyle name="40% - Accent6 4 4 3 5 3" xfId="28983" xr:uid="{00000000-0005-0000-0000-0000D2560000}"/>
    <cellStyle name="40% - Accent6 4 4 3 6" xfId="28984" xr:uid="{00000000-0005-0000-0000-0000D3560000}"/>
    <cellStyle name="40% - Accent6 4 4 3 6 2" xfId="28985" xr:uid="{00000000-0005-0000-0000-0000D4560000}"/>
    <cellStyle name="40% - Accent6 4 4 3 6 3" xfId="28986" xr:uid="{00000000-0005-0000-0000-0000D5560000}"/>
    <cellStyle name="40% - Accent6 4 4 3 7" xfId="28987" xr:uid="{00000000-0005-0000-0000-0000D6560000}"/>
    <cellStyle name="40% - Accent6 4 4 3 7 2" xfId="28988" xr:uid="{00000000-0005-0000-0000-0000D7560000}"/>
    <cellStyle name="40% - Accent6 4 4 3 8" xfId="28989" xr:uid="{00000000-0005-0000-0000-0000D8560000}"/>
    <cellStyle name="40% - Accent6 4 4 3 9" xfId="28990" xr:uid="{00000000-0005-0000-0000-0000D9560000}"/>
    <cellStyle name="40% - Accent6 4 4 4" xfId="28991" xr:uid="{00000000-0005-0000-0000-0000DA560000}"/>
    <cellStyle name="40% - Accent6 4 4 4 2" xfId="28992" xr:uid="{00000000-0005-0000-0000-0000DB560000}"/>
    <cellStyle name="40% - Accent6 4 4 4 2 2" xfId="28993" xr:uid="{00000000-0005-0000-0000-0000DC560000}"/>
    <cellStyle name="40% - Accent6 4 4 4 2 2 2" xfId="28994" xr:uid="{00000000-0005-0000-0000-0000DD560000}"/>
    <cellStyle name="40% - Accent6 4 4 4 2 2 3" xfId="28995" xr:uid="{00000000-0005-0000-0000-0000DE560000}"/>
    <cellStyle name="40% - Accent6 4 4 4 2 3" xfId="28996" xr:uid="{00000000-0005-0000-0000-0000DF560000}"/>
    <cellStyle name="40% - Accent6 4 4 4 2 3 2" xfId="28997" xr:uid="{00000000-0005-0000-0000-0000E0560000}"/>
    <cellStyle name="40% - Accent6 4 4 4 2 3 3" xfId="28998" xr:uid="{00000000-0005-0000-0000-0000E1560000}"/>
    <cellStyle name="40% - Accent6 4 4 4 2 4" xfId="28999" xr:uid="{00000000-0005-0000-0000-0000E2560000}"/>
    <cellStyle name="40% - Accent6 4 4 4 2 4 2" xfId="29000" xr:uid="{00000000-0005-0000-0000-0000E3560000}"/>
    <cellStyle name="40% - Accent6 4 4 4 2 5" xfId="29001" xr:uid="{00000000-0005-0000-0000-0000E4560000}"/>
    <cellStyle name="40% - Accent6 4 4 4 2 6" xfId="29002" xr:uid="{00000000-0005-0000-0000-0000E5560000}"/>
    <cellStyle name="40% - Accent6 4 4 4 3" xfId="29003" xr:uid="{00000000-0005-0000-0000-0000E6560000}"/>
    <cellStyle name="40% - Accent6 4 4 4 3 2" xfId="29004" xr:uid="{00000000-0005-0000-0000-0000E7560000}"/>
    <cellStyle name="40% - Accent6 4 4 4 3 2 2" xfId="29005" xr:uid="{00000000-0005-0000-0000-0000E8560000}"/>
    <cellStyle name="40% - Accent6 4 4 4 3 2 3" xfId="29006" xr:uid="{00000000-0005-0000-0000-0000E9560000}"/>
    <cellStyle name="40% - Accent6 4 4 4 3 3" xfId="29007" xr:uid="{00000000-0005-0000-0000-0000EA560000}"/>
    <cellStyle name="40% - Accent6 4 4 4 3 3 2" xfId="29008" xr:uid="{00000000-0005-0000-0000-0000EB560000}"/>
    <cellStyle name="40% - Accent6 4 4 4 3 3 3" xfId="29009" xr:uid="{00000000-0005-0000-0000-0000EC560000}"/>
    <cellStyle name="40% - Accent6 4 4 4 3 4" xfId="29010" xr:uid="{00000000-0005-0000-0000-0000ED560000}"/>
    <cellStyle name="40% - Accent6 4 4 4 3 4 2" xfId="29011" xr:uid="{00000000-0005-0000-0000-0000EE560000}"/>
    <cellStyle name="40% - Accent6 4 4 4 3 5" xfId="29012" xr:uid="{00000000-0005-0000-0000-0000EF560000}"/>
    <cellStyle name="40% - Accent6 4 4 4 3 6" xfId="29013" xr:uid="{00000000-0005-0000-0000-0000F0560000}"/>
    <cellStyle name="40% - Accent6 4 4 4 4" xfId="29014" xr:uid="{00000000-0005-0000-0000-0000F1560000}"/>
    <cellStyle name="40% - Accent6 4 4 4 4 2" xfId="29015" xr:uid="{00000000-0005-0000-0000-0000F2560000}"/>
    <cellStyle name="40% - Accent6 4 4 4 4 2 2" xfId="29016" xr:uid="{00000000-0005-0000-0000-0000F3560000}"/>
    <cellStyle name="40% - Accent6 4 4 4 4 2 3" xfId="29017" xr:uid="{00000000-0005-0000-0000-0000F4560000}"/>
    <cellStyle name="40% - Accent6 4 4 4 4 3" xfId="29018" xr:uid="{00000000-0005-0000-0000-0000F5560000}"/>
    <cellStyle name="40% - Accent6 4 4 4 4 3 2" xfId="29019" xr:uid="{00000000-0005-0000-0000-0000F6560000}"/>
    <cellStyle name="40% - Accent6 4 4 4 4 4" xfId="29020" xr:uid="{00000000-0005-0000-0000-0000F7560000}"/>
    <cellStyle name="40% - Accent6 4 4 4 4 5" xfId="29021" xr:uid="{00000000-0005-0000-0000-0000F8560000}"/>
    <cellStyle name="40% - Accent6 4 4 4 5" xfId="29022" xr:uid="{00000000-0005-0000-0000-0000F9560000}"/>
    <cellStyle name="40% - Accent6 4 4 4 5 2" xfId="29023" xr:uid="{00000000-0005-0000-0000-0000FA560000}"/>
    <cellStyle name="40% - Accent6 4 4 4 5 3" xfId="29024" xr:uid="{00000000-0005-0000-0000-0000FB560000}"/>
    <cellStyle name="40% - Accent6 4 4 4 6" xfId="29025" xr:uid="{00000000-0005-0000-0000-0000FC560000}"/>
    <cellStyle name="40% - Accent6 4 4 4 6 2" xfId="29026" xr:uid="{00000000-0005-0000-0000-0000FD560000}"/>
    <cellStyle name="40% - Accent6 4 4 4 6 3" xfId="29027" xr:uid="{00000000-0005-0000-0000-0000FE560000}"/>
    <cellStyle name="40% - Accent6 4 4 4 7" xfId="29028" xr:uid="{00000000-0005-0000-0000-0000FF560000}"/>
    <cellStyle name="40% - Accent6 4 4 4 7 2" xfId="29029" xr:uid="{00000000-0005-0000-0000-000000570000}"/>
    <cellStyle name="40% - Accent6 4 4 4 8" xfId="29030" xr:uid="{00000000-0005-0000-0000-000001570000}"/>
    <cellStyle name="40% - Accent6 4 4 4 9" xfId="29031" xr:uid="{00000000-0005-0000-0000-000002570000}"/>
    <cellStyle name="40% - Accent6 4 4 5" xfId="29032" xr:uid="{00000000-0005-0000-0000-000003570000}"/>
    <cellStyle name="40% - Accent6 4 4 5 2" xfId="29033" xr:uid="{00000000-0005-0000-0000-000004570000}"/>
    <cellStyle name="40% - Accent6 4 4 5 2 2" xfId="29034" xr:uid="{00000000-0005-0000-0000-000005570000}"/>
    <cellStyle name="40% - Accent6 4 4 5 2 3" xfId="29035" xr:uid="{00000000-0005-0000-0000-000006570000}"/>
    <cellStyle name="40% - Accent6 4 4 5 3" xfId="29036" xr:uid="{00000000-0005-0000-0000-000007570000}"/>
    <cellStyle name="40% - Accent6 4 4 5 3 2" xfId="29037" xr:uid="{00000000-0005-0000-0000-000008570000}"/>
    <cellStyle name="40% - Accent6 4 4 5 3 3" xfId="29038" xr:uid="{00000000-0005-0000-0000-000009570000}"/>
    <cellStyle name="40% - Accent6 4 4 5 4" xfId="29039" xr:uid="{00000000-0005-0000-0000-00000A570000}"/>
    <cellStyle name="40% - Accent6 4 4 5 4 2" xfId="29040" xr:uid="{00000000-0005-0000-0000-00000B570000}"/>
    <cellStyle name="40% - Accent6 4 4 5 5" xfId="29041" xr:uid="{00000000-0005-0000-0000-00000C570000}"/>
    <cellStyle name="40% - Accent6 4 4 5 6" xfId="29042" xr:uid="{00000000-0005-0000-0000-00000D570000}"/>
    <cellStyle name="40% - Accent6 4 4 6" xfId="29043" xr:uid="{00000000-0005-0000-0000-00000E570000}"/>
    <cellStyle name="40% - Accent6 4 4 6 2" xfId="29044" xr:uid="{00000000-0005-0000-0000-00000F570000}"/>
    <cellStyle name="40% - Accent6 4 4 6 2 2" xfId="29045" xr:uid="{00000000-0005-0000-0000-000010570000}"/>
    <cellStyle name="40% - Accent6 4 4 6 2 3" xfId="29046" xr:uid="{00000000-0005-0000-0000-000011570000}"/>
    <cellStyle name="40% - Accent6 4 4 6 3" xfId="29047" xr:uid="{00000000-0005-0000-0000-000012570000}"/>
    <cellStyle name="40% - Accent6 4 4 6 3 2" xfId="29048" xr:uid="{00000000-0005-0000-0000-000013570000}"/>
    <cellStyle name="40% - Accent6 4 4 6 3 3" xfId="29049" xr:uid="{00000000-0005-0000-0000-000014570000}"/>
    <cellStyle name="40% - Accent6 4 4 6 4" xfId="29050" xr:uid="{00000000-0005-0000-0000-000015570000}"/>
    <cellStyle name="40% - Accent6 4 4 6 4 2" xfId="29051" xr:uid="{00000000-0005-0000-0000-000016570000}"/>
    <cellStyle name="40% - Accent6 4 4 6 5" xfId="29052" xr:uid="{00000000-0005-0000-0000-000017570000}"/>
    <cellStyle name="40% - Accent6 4 4 6 6" xfId="29053" xr:uid="{00000000-0005-0000-0000-000018570000}"/>
    <cellStyle name="40% - Accent6 4 4 7" xfId="29054" xr:uid="{00000000-0005-0000-0000-000019570000}"/>
    <cellStyle name="40% - Accent6 4 4 7 2" xfId="29055" xr:uid="{00000000-0005-0000-0000-00001A570000}"/>
    <cellStyle name="40% - Accent6 4 4 7 2 2" xfId="29056" xr:uid="{00000000-0005-0000-0000-00001B570000}"/>
    <cellStyle name="40% - Accent6 4 4 7 2 3" xfId="29057" xr:uid="{00000000-0005-0000-0000-00001C570000}"/>
    <cellStyle name="40% - Accent6 4 4 7 3" xfId="29058" xr:uid="{00000000-0005-0000-0000-00001D570000}"/>
    <cellStyle name="40% - Accent6 4 4 7 3 2" xfId="29059" xr:uid="{00000000-0005-0000-0000-00001E570000}"/>
    <cellStyle name="40% - Accent6 4 4 7 4" xfId="29060" xr:uid="{00000000-0005-0000-0000-00001F570000}"/>
    <cellStyle name="40% - Accent6 4 4 7 5" xfId="29061" xr:uid="{00000000-0005-0000-0000-000020570000}"/>
    <cellStyle name="40% - Accent6 4 4 8" xfId="29062" xr:uid="{00000000-0005-0000-0000-000021570000}"/>
    <cellStyle name="40% - Accent6 4 4 8 2" xfId="29063" xr:uid="{00000000-0005-0000-0000-000022570000}"/>
    <cellStyle name="40% - Accent6 4 4 8 3" xfId="29064" xr:uid="{00000000-0005-0000-0000-000023570000}"/>
    <cellStyle name="40% - Accent6 4 4 9" xfId="29065" xr:uid="{00000000-0005-0000-0000-000024570000}"/>
    <cellStyle name="40% - Accent6 4 4 9 2" xfId="29066" xr:uid="{00000000-0005-0000-0000-000025570000}"/>
    <cellStyle name="40% - Accent6 4 4 9 3" xfId="29067" xr:uid="{00000000-0005-0000-0000-000026570000}"/>
    <cellStyle name="40% - Accent6 4 5" xfId="2676" xr:uid="{00000000-0005-0000-0000-000027570000}"/>
    <cellStyle name="40% - Accent6 4 5 10" xfId="29068" xr:uid="{00000000-0005-0000-0000-000028570000}"/>
    <cellStyle name="40% - Accent6 4 5 2" xfId="2677" xr:uid="{00000000-0005-0000-0000-000029570000}"/>
    <cellStyle name="40% - Accent6 4 5 2 2" xfId="29069" xr:uid="{00000000-0005-0000-0000-00002A570000}"/>
    <cellStyle name="40% - Accent6 4 5 2 2 2" xfId="29070" xr:uid="{00000000-0005-0000-0000-00002B570000}"/>
    <cellStyle name="40% - Accent6 4 5 2 2 2 2" xfId="29071" xr:uid="{00000000-0005-0000-0000-00002C570000}"/>
    <cellStyle name="40% - Accent6 4 5 2 2 2 3" xfId="29072" xr:uid="{00000000-0005-0000-0000-00002D570000}"/>
    <cellStyle name="40% - Accent6 4 5 2 2 3" xfId="29073" xr:uid="{00000000-0005-0000-0000-00002E570000}"/>
    <cellStyle name="40% - Accent6 4 5 2 2 3 2" xfId="29074" xr:uid="{00000000-0005-0000-0000-00002F570000}"/>
    <cellStyle name="40% - Accent6 4 5 2 2 3 3" xfId="29075" xr:uid="{00000000-0005-0000-0000-000030570000}"/>
    <cellStyle name="40% - Accent6 4 5 2 2 4" xfId="29076" xr:uid="{00000000-0005-0000-0000-000031570000}"/>
    <cellStyle name="40% - Accent6 4 5 2 2 4 2" xfId="29077" xr:uid="{00000000-0005-0000-0000-000032570000}"/>
    <cellStyle name="40% - Accent6 4 5 2 2 5" xfId="29078" xr:uid="{00000000-0005-0000-0000-000033570000}"/>
    <cellStyle name="40% - Accent6 4 5 2 2 6" xfId="29079" xr:uid="{00000000-0005-0000-0000-000034570000}"/>
    <cellStyle name="40% - Accent6 4 5 2 3" xfId="29080" xr:uid="{00000000-0005-0000-0000-000035570000}"/>
    <cellStyle name="40% - Accent6 4 5 2 3 2" xfId="29081" xr:uid="{00000000-0005-0000-0000-000036570000}"/>
    <cellStyle name="40% - Accent6 4 5 2 3 2 2" xfId="29082" xr:uid="{00000000-0005-0000-0000-000037570000}"/>
    <cellStyle name="40% - Accent6 4 5 2 3 2 3" xfId="29083" xr:uid="{00000000-0005-0000-0000-000038570000}"/>
    <cellStyle name="40% - Accent6 4 5 2 3 3" xfId="29084" xr:uid="{00000000-0005-0000-0000-000039570000}"/>
    <cellStyle name="40% - Accent6 4 5 2 3 3 2" xfId="29085" xr:uid="{00000000-0005-0000-0000-00003A570000}"/>
    <cellStyle name="40% - Accent6 4 5 2 3 3 3" xfId="29086" xr:uid="{00000000-0005-0000-0000-00003B570000}"/>
    <cellStyle name="40% - Accent6 4 5 2 3 4" xfId="29087" xr:uid="{00000000-0005-0000-0000-00003C570000}"/>
    <cellStyle name="40% - Accent6 4 5 2 3 4 2" xfId="29088" xr:uid="{00000000-0005-0000-0000-00003D570000}"/>
    <cellStyle name="40% - Accent6 4 5 2 3 5" xfId="29089" xr:uid="{00000000-0005-0000-0000-00003E570000}"/>
    <cellStyle name="40% - Accent6 4 5 2 3 6" xfId="29090" xr:uid="{00000000-0005-0000-0000-00003F570000}"/>
    <cellStyle name="40% - Accent6 4 5 2 4" xfId="29091" xr:uid="{00000000-0005-0000-0000-000040570000}"/>
    <cellStyle name="40% - Accent6 4 5 2 4 2" xfId="29092" xr:uid="{00000000-0005-0000-0000-000041570000}"/>
    <cellStyle name="40% - Accent6 4 5 2 4 2 2" xfId="29093" xr:uid="{00000000-0005-0000-0000-000042570000}"/>
    <cellStyle name="40% - Accent6 4 5 2 4 2 3" xfId="29094" xr:uid="{00000000-0005-0000-0000-000043570000}"/>
    <cellStyle name="40% - Accent6 4 5 2 4 3" xfId="29095" xr:uid="{00000000-0005-0000-0000-000044570000}"/>
    <cellStyle name="40% - Accent6 4 5 2 4 3 2" xfId="29096" xr:uid="{00000000-0005-0000-0000-000045570000}"/>
    <cellStyle name="40% - Accent6 4 5 2 4 4" xfId="29097" xr:uid="{00000000-0005-0000-0000-000046570000}"/>
    <cellStyle name="40% - Accent6 4 5 2 4 5" xfId="29098" xr:uid="{00000000-0005-0000-0000-000047570000}"/>
    <cellStyle name="40% - Accent6 4 5 2 5" xfId="29099" xr:uid="{00000000-0005-0000-0000-000048570000}"/>
    <cellStyle name="40% - Accent6 4 5 2 5 2" xfId="29100" xr:uid="{00000000-0005-0000-0000-000049570000}"/>
    <cellStyle name="40% - Accent6 4 5 2 5 3" xfId="29101" xr:uid="{00000000-0005-0000-0000-00004A570000}"/>
    <cellStyle name="40% - Accent6 4 5 2 6" xfId="29102" xr:uid="{00000000-0005-0000-0000-00004B570000}"/>
    <cellStyle name="40% - Accent6 4 5 2 6 2" xfId="29103" xr:uid="{00000000-0005-0000-0000-00004C570000}"/>
    <cellStyle name="40% - Accent6 4 5 2 6 3" xfId="29104" xr:uid="{00000000-0005-0000-0000-00004D570000}"/>
    <cellStyle name="40% - Accent6 4 5 2 7" xfId="29105" xr:uid="{00000000-0005-0000-0000-00004E570000}"/>
    <cellStyle name="40% - Accent6 4 5 2 7 2" xfId="29106" xr:uid="{00000000-0005-0000-0000-00004F570000}"/>
    <cellStyle name="40% - Accent6 4 5 2 8" xfId="29107" xr:uid="{00000000-0005-0000-0000-000050570000}"/>
    <cellStyle name="40% - Accent6 4 5 2 9" xfId="29108" xr:uid="{00000000-0005-0000-0000-000051570000}"/>
    <cellStyle name="40% - Accent6 4 5 3" xfId="29109" xr:uid="{00000000-0005-0000-0000-000052570000}"/>
    <cellStyle name="40% - Accent6 4 5 3 2" xfId="29110" xr:uid="{00000000-0005-0000-0000-000053570000}"/>
    <cellStyle name="40% - Accent6 4 5 3 2 2" xfId="29111" xr:uid="{00000000-0005-0000-0000-000054570000}"/>
    <cellStyle name="40% - Accent6 4 5 3 2 3" xfId="29112" xr:uid="{00000000-0005-0000-0000-000055570000}"/>
    <cellStyle name="40% - Accent6 4 5 3 3" xfId="29113" xr:uid="{00000000-0005-0000-0000-000056570000}"/>
    <cellStyle name="40% - Accent6 4 5 3 3 2" xfId="29114" xr:uid="{00000000-0005-0000-0000-000057570000}"/>
    <cellStyle name="40% - Accent6 4 5 3 3 3" xfId="29115" xr:uid="{00000000-0005-0000-0000-000058570000}"/>
    <cellStyle name="40% - Accent6 4 5 3 4" xfId="29116" xr:uid="{00000000-0005-0000-0000-000059570000}"/>
    <cellStyle name="40% - Accent6 4 5 3 4 2" xfId="29117" xr:uid="{00000000-0005-0000-0000-00005A570000}"/>
    <cellStyle name="40% - Accent6 4 5 3 5" xfId="29118" xr:uid="{00000000-0005-0000-0000-00005B570000}"/>
    <cellStyle name="40% - Accent6 4 5 3 6" xfId="29119" xr:uid="{00000000-0005-0000-0000-00005C570000}"/>
    <cellStyle name="40% - Accent6 4 5 4" xfId="29120" xr:uid="{00000000-0005-0000-0000-00005D570000}"/>
    <cellStyle name="40% - Accent6 4 5 4 2" xfId="29121" xr:uid="{00000000-0005-0000-0000-00005E570000}"/>
    <cellStyle name="40% - Accent6 4 5 4 2 2" xfId="29122" xr:uid="{00000000-0005-0000-0000-00005F570000}"/>
    <cellStyle name="40% - Accent6 4 5 4 2 3" xfId="29123" xr:uid="{00000000-0005-0000-0000-000060570000}"/>
    <cellStyle name="40% - Accent6 4 5 4 3" xfId="29124" xr:uid="{00000000-0005-0000-0000-000061570000}"/>
    <cellStyle name="40% - Accent6 4 5 4 3 2" xfId="29125" xr:uid="{00000000-0005-0000-0000-000062570000}"/>
    <cellStyle name="40% - Accent6 4 5 4 3 3" xfId="29126" xr:uid="{00000000-0005-0000-0000-000063570000}"/>
    <cellStyle name="40% - Accent6 4 5 4 4" xfId="29127" xr:uid="{00000000-0005-0000-0000-000064570000}"/>
    <cellStyle name="40% - Accent6 4 5 4 4 2" xfId="29128" xr:uid="{00000000-0005-0000-0000-000065570000}"/>
    <cellStyle name="40% - Accent6 4 5 4 5" xfId="29129" xr:uid="{00000000-0005-0000-0000-000066570000}"/>
    <cellStyle name="40% - Accent6 4 5 4 6" xfId="29130" xr:uid="{00000000-0005-0000-0000-000067570000}"/>
    <cellStyle name="40% - Accent6 4 5 5" xfId="29131" xr:uid="{00000000-0005-0000-0000-000068570000}"/>
    <cellStyle name="40% - Accent6 4 5 5 2" xfId="29132" xr:uid="{00000000-0005-0000-0000-000069570000}"/>
    <cellStyle name="40% - Accent6 4 5 5 2 2" xfId="29133" xr:uid="{00000000-0005-0000-0000-00006A570000}"/>
    <cellStyle name="40% - Accent6 4 5 5 2 3" xfId="29134" xr:uid="{00000000-0005-0000-0000-00006B570000}"/>
    <cellStyle name="40% - Accent6 4 5 5 3" xfId="29135" xr:uid="{00000000-0005-0000-0000-00006C570000}"/>
    <cellStyle name="40% - Accent6 4 5 5 3 2" xfId="29136" xr:uid="{00000000-0005-0000-0000-00006D570000}"/>
    <cellStyle name="40% - Accent6 4 5 5 4" xfId="29137" xr:uid="{00000000-0005-0000-0000-00006E570000}"/>
    <cellStyle name="40% - Accent6 4 5 5 5" xfId="29138" xr:uid="{00000000-0005-0000-0000-00006F570000}"/>
    <cellStyle name="40% - Accent6 4 5 6" xfId="29139" xr:uid="{00000000-0005-0000-0000-000070570000}"/>
    <cellStyle name="40% - Accent6 4 5 6 2" xfId="29140" xr:uid="{00000000-0005-0000-0000-000071570000}"/>
    <cellStyle name="40% - Accent6 4 5 6 3" xfId="29141" xr:uid="{00000000-0005-0000-0000-000072570000}"/>
    <cellStyle name="40% - Accent6 4 5 7" xfId="29142" xr:uid="{00000000-0005-0000-0000-000073570000}"/>
    <cellStyle name="40% - Accent6 4 5 7 2" xfId="29143" xr:uid="{00000000-0005-0000-0000-000074570000}"/>
    <cellStyle name="40% - Accent6 4 5 7 3" xfId="29144" xr:uid="{00000000-0005-0000-0000-000075570000}"/>
    <cellStyle name="40% - Accent6 4 5 8" xfId="29145" xr:uid="{00000000-0005-0000-0000-000076570000}"/>
    <cellStyle name="40% - Accent6 4 5 8 2" xfId="29146" xr:uid="{00000000-0005-0000-0000-000077570000}"/>
    <cellStyle name="40% - Accent6 4 5 9" xfId="29147" xr:uid="{00000000-0005-0000-0000-000078570000}"/>
    <cellStyle name="40% - Accent6 4 6" xfId="2678" xr:uid="{00000000-0005-0000-0000-000079570000}"/>
    <cellStyle name="40% - Accent6 4 6 2" xfId="29148" xr:uid="{00000000-0005-0000-0000-00007A570000}"/>
    <cellStyle name="40% - Accent6 4 6 2 2" xfId="29149" xr:uid="{00000000-0005-0000-0000-00007B570000}"/>
    <cellStyle name="40% - Accent6 4 6 2 2 2" xfId="29150" xr:uid="{00000000-0005-0000-0000-00007C570000}"/>
    <cellStyle name="40% - Accent6 4 6 2 2 3" xfId="29151" xr:uid="{00000000-0005-0000-0000-00007D570000}"/>
    <cellStyle name="40% - Accent6 4 6 2 3" xfId="29152" xr:uid="{00000000-0005-0000-0000-00007E570000}"/>
    <cellStyle name="40% - Accent6 4 6 2 3 2" xfId="29153" xr:uid="{00000000-0005-0000-0000-00007F570000}"/>
    <cellStyle name="40% - Accent6 4 6 2 3 3" xfId="29154" xr:uid="{00000000-0005-0000-0000-000080570000}"/>
    <cellStyle name="40% - Accent6 4 6 2 4" xfId="29155" xr:uid="{00000000-0005-0000-0000-000081570000}"/>
    <cellStyle name="40% - Accent6 4 6 2 4 2" xfId="29156" xr:uid="{00000000-0005-0000-0000-000082570000}"/>
    <cellStyle name="40% - Accent6 4 6 2 5" xfId="29157" xr:uid="{00000000-0005-0000-0000-000083570000}"/>
    <cellStyle name="40% - Accent6 4 6 2 6" xfId="29158" xr:uid="{00000000-0005-0000-0000-000084570000}"/>
    <cellStyle name="40% - Accent6 4 6 3" xfId="29159" xr:uid="{00000000-0005-0000-0000-000085570000}"/>
    <cellStyle name="40% - Accent6 4 6 3 2" xfId="29160" xr:uid="{00000000-0005-0000-0000-000086570000}"/>
    <cellStyle name="40% - Accent6 4 6 3 2 2" xfId="29161" xr:uid="{00000000-0005-0000-0000-000087570000}"/>
    <cellStyle name="40% - Accent6 4 6 3 2 3" xfId="29162" xr:uid="{00000000-0005-0000-0000-000088570000}"/>
    <cellStyle name="40% - Accent6 4 6 3 3" xfId="29163" xr:uid="{00000000-0005-0000-0000-000089570000}"/>
    <cellStyle name="40% - Accent6 4 6 3 3 2" xfId="29164" xr:uid="{00000000-0005-0000-0000-00008A570000}"/>
    <cellStyle name="40% - Accent6 4 6 3 3 3" xfId="29165" xr:uid="{00000000-0005-0000-0000-00008B570000}"/>
    <cellStyle name="40% - Accent6 4 6 3 4" xfId="29166" xr:uid="{00000000-0005-0000-0000-00008C570000}"/>
    <cellStyle name="40% - Accent6 4 6 3 4 2" xfId="29167" xr:uid="{00000000-0005-0000-0000-00008D570000}"/>
    <cellStyle name="40% - Accent6 4 6 3 5" xfId="29168" xr:uid="{00000000-0005-0000-0000-00008E570000}"/>
    <cellStyle name="40% - Accent6 4 6 3 6" xfId="29169" xr:uid="{00000000-0005-0000-0000-00008F570000}"/>
    <cellStyle name="40% - Accent6 4 6 4" xfId="29170" xr:uid="{00000000-0005-0000-0000-000090570000}"/>
    <cellStyle name="40% - Accent6 4 6 4 2" xfId="29171" xr:uid="{00000000-0005-0000-0000-000091570000}"/>
    <cellStyle name="40% - Accent6 4 6 4 2 2" xfId="29172" xr:uid="{00000000-0005-0000-0000-000092570000}"/>
    <cellStyle name="40% - Accent6 4 6 4 2 3" xfId="29173" xr:uid="{00000000-0005-0000-0000-000093570000}"/>
    <cellStyle name="40% - Accent6 4 6 4 3" xfId="29174" xr:uid="{00000000-0005-0000-0000-000094570000}"/>
    <cellStyle name="40% - Accent6 4 6 4 3 2" xfId="29175" xr:uid="{00000000-0005-0000-0000-000095570000}"/>
    <cellStyle name="40% - Accent6 4 6 4 4" xfId="29176" xr:uid="{00000000-0005-0000-0000-000096570000}"/>
    <cellStyle name="40% - Accent6 4 6 4 5" xfId="29177" xr:uid="{00000000-0005-0000-0000-000097570000}"/>
    <cellStyle name="40% - Accent6 4 6 5" xfId="29178" xr:uid="{00000000-0005-0000-0000-000098570000}"/>
    <cellStyle name="40% - Accent6 4 6 5 2" xfId="29179" xr:uid="{00000000-0005-0000-0000-000099570000}"/>
    <cellStyle name="40% - Accent6 4 6 5 3" xfId="29180" xr:uid="{00000000-0005-0000-0000-00009A570000}"/>
    <cellStyle name="40% - Accent6 4 6 6" xfId="29181" xr:uid="{00000000-0005-0000-0000-00009B570000}"/>
    <cellStyle name="40% - Accent6 4 6 6 2" xfId="29182" xr:uid="{00000000-0005-0000-0000-00009C570000}"/>
    <cellStyle name="40% - Accent6 4 6 6 3" xfId="29183" xr:uid="{00000000-0005-0000-0000-00009D570000}"/>
    <cellStyle name="40% - Accent6 4 6 7" xfId="29184" xr:uid="{00000000-0005-0000-0000-00009E570000}"/>
    <cellStyle name="40% - Accent6 4 6 7 2" xfId="29185" xr:uid="{00000000-0005-0000-0000-00009F570000}"/>
    <cellStyle name="40% - Accent6 4 6 8" xfId="29186" xr:uid="{00000000-0005-0000-0000-0000A0570000}"/>
    <cellStyle name="40% - Accent6 4 6 9" xfId="29187" xr:uid="{00000000-0005-0000-0000-0000A1570000}"/>
    <cellStyle name="40% - Accent6 4 7" xfId="9009" xr:uid="{00000000-0005-0000-0000-0000A2570000}"/>
    <cellStyle name="40% - Accent6 4 7 2" xfId="29188" xr:uid="{00000000-0005-0000-0000-0000A3570000}"/>
    <cellStyle name="40% - Accent6 4 7 2 2" xfId="29189" xr:uid="{00000000-0005-0000-0000-0000A4570000}"/>
    <cellStyle name="40% - Accent6 4 7 2 2 2" xfId="29190" xr:uid="{00000000-0005-0000-0000-0000A5570000}"/>
    <cellStyle name="40% - Accent6 4 7 2 2 3" xfId="29191" xr:uid="{00000000-0005-0000-0000-0000A6570000}"/>
    <cellStyle name="40% - Accent6 4 7 2 3" xfId="29192" xr:uid="{00000000-0005-0000-0000-0000A7570000}"/>
    <cellStyle name="40% - Accent6 4 7 2 3 2" xfId="29193" xr:uid="{00000000-0005-0000-0000-0000A8570000}"/>
    <cellStyle name="40% - Accent6 4 7 2 3 3" xfId="29194" xr:uid="{00000000-0005-0000-0000-0000A9570000}"/>
    <cellStyle name="40% - Accent6 4 7 2 4" xfId="29195" xr:uid="{00000000-0005-0000-0000-0000AA570000}"/>
    <cellStyle name="40% - Accent6 4 7 2 4 2" xfId="29196" xr:uid="{00000000-0005-0000-0000-0000AB570000}"/>
    <cellStyle name="40% - Accent6 4 7 2 5" xfId="29197" xr:uid="{00000000-0005-0000-0000-0000AC570000}"/>
    <cellStyle name="40% - Accent6 4 7 2 6" xfId="29198" xr:uid="{00000000-0005-0000-0000-0000AD570000}"/>
    <cellStyle name="40% - Accent6 4 7 3" xfId="29199" xr:uid="{00000000-0005-0000-0000-0000AE570000}"/>
    <cellStyle name="40% - Accent6 4 7 3 2" xfId="29200" xr:uid="{00000000-0005-0000-0000-0000AF570000}"/>
    <cellStyle name="40% - Accent6 4 7 3 2 2" xfId="29201" xr:uid="{00000000-0005-0000-0000-0000B0570000}"/>
    <cellStyle name="40% - Accent6 4 7 3 2 3" xfId="29202" xr:uid="{00000000-0005-0000-0000-0000B1570000}"/>
    <cellStyle name="40% - Accent6 4 7 3 3" xfId="29203" xr:uid="{00000000-0005-0000-0000-0000B2570000}"/>
    <cellStyle name="40% - Accent6 4 7 3 3 2" xfId="29204" xr:uid="{00000000-0005-0000-0000-0000B3570000}"/>
    <cellStyle name="40% - Accent6 4 7 3 3 3" xfId="29205" xr:uid="{00000000-0005-0000-0000-0000B4570000}"/>
    <cellStyle name="40% - Accent6 4 7 3 4" xfId="29206" xr:uid="{00000000-0005-0000-0000-0000B5570000}"/>
    <cellStyle name="40% - Accent6 4 7 3 4 2" xfId="29207" xr:uid="{00000000-0005-0000-0000-0000B6570000}"/>
    <cellStyle name="40% - Accent6 4 7 3 5" xfId="29208" xr:uid="{00000000-0005-0000-0000-0000B7570000}"/>
    <cellStyle name="40% - Accent6 4 7 3 6" xfId="29209" xr:uid="{00000000-0005-0000-0000-0000B8570000}"/>
    <cellStyle name="40% - Accent6 4 7 4" xfId="29210" xr:uid="{00000000-0005-0000-0000-0000B9570000}"/>
    <cellStyle name="40% - Accent6 4 7 4 2" xfId="29211" xr:uid="{00000000-0005-0000-0000-0000BA570000}"/>
    <cellStyle name="40% - Accent6 4 7 4 2 2" xfId="29212" xr:uid="{00000000-0005-0000-0000-0000BB570000}"/>
    <cellStyle name="40% - Accent6 4 7 4 2 3" xfId="29213" xr:uid="{00000000-0005-0000-0000-0000BC570000}"/>
    <cellStyle name="40% - Accent6 4 7 4 3" xfId="29214" xr:uid="{00000000-0005-0000-0000-0000BD570000}"/>
    <cellStyle name="40% - Accent6 4 7 4 3 2" xfId="29215" xr:uid="{00000000-0005-0000-0000-0000BE570000}"/>
    <cellStyle name="40% - Accent6 4 7 4 4" xfId="29216" xr:uid="{00000000-0005-0000-0000-0000BF570000}"/>
    <cellStyle name="40% - Accent6 4 7 4 5" xfId="29217" xr:uid="{00000000-0005-0000-0000-0000C0570000}"/>
    <cellStyle name="40% - Accent6 4 7 5" xfId="29218" xr:uid="{00000000-0005-0000-0000-0000C1570000}"/>
    <cellStyle name="40% - Accent6 4 7 5 2" xfId="29219" xr:uid="{00000000-0005-0000-0000-0000C2570000}"/>
    <cellStyle name="40% - Accent6 4 7 5 3" xfId="29220" xr:uid="{00000000-0005-0000-0000-0000C3570000}"/>
    <cellStyle name="40% - Accent6 4 7 6" xfId="29221" xr:uid="{00000000-0005-0000-0000-0000C4570000}"/>
    <cellStyle name="40% - Accent6 4 7 6 2" xfId="29222" xr:uid="{00000000-0005-0000-0000-0000C5570000}"/>
    <cellStyle name="40% - Accent6 4 7 6 3" xfId="29223" xr:uid="{00000000-0005-0000-0000-0000C6570000}"/>
    <cellStyle name="40% - Accent6 4 7 7" xfId="29224" xr:uid="{00000000-0005-0000-0000-0000C7570000}"/>
    <cellStyle name="40% - Accent6 4 7 7 2" xfId="29225" xr:uid="{00000000-0005-0000-0000-0000C8570000}"/>
    <cellStyle name="40% - Accent6 4 7 8" xfId="29226" xr:uid="{00000000-0005-0000-0000-0000C9570000}"/>
    <cellStyle name="40% - Accent6 4 7 9" xfId="29227" xr:uid="{00000000-0005-0000-0000-0000CA570000}"/>
    <cellStyle name="40% - Accent6 4 8" xfId="29228" xr:uid="{00000000-0005-0000-0000-0000CB570000}"/>
    <cellStyle name="40% - Accent6 4 8 2" xfId="29229" xr:uid="{00000000-0005-0000-0000-0000CC570000}"/>
    <cellStyle name="40% - Accent6 4 8 2 2" xfId="29230" xr:uid="{00000000-0005-0000-0000-0000CD570000}"/>
    <cellStyle name="40% - Accent6 4 8 2 3" xfId="29231" xr:uid="{00000000-0005-0000-0000-0000CE570000}"/>
    <cellStyle name="40% - Accent6 4 8 3" xfId="29232" xr:uid="{00000000-0005-0000-0000-0000CF570000}"/>
    <cellStyle name="40% - Accent6 4 8 3 2" xfId="29233" xr:uid="{00000000-0005-0000-0000-0000D0570000}"/>
    <cellStyle name="40% - Accent6 4 8 3 3" xfId="29234" xr:uid="{00000000-0005-0000-0000-0000D1570000}"/>
    <cellStyle name="40% - Accent6 4 8 4" xfId="29235" xr:uid="{00000000-0005-0000-0000-0000D2570000}"/>
    <cellStyle name="40% - Accent6 4 8 4 2" xfId="29236" xr:uid="{00000000-0005-0000-0000-0000D3570000}"/>
    <cellStyle name="40% - Accent6 4 8 5" xfId="29237" xr:uid="{00000000-0005-0000-0000-0000D4570000}"/>
    <cellStyle name="40% - Accent6 4 8 6" xfId="29238" xr:uid="{00000000-0005-0000-0000-0000D5570000}"/>
    <cellStyle name="40% - Accent6 4 9" xfId="29239" xr:uid="{00000000-0005-0000-0000-0000D6570000}"/>
    <cellStyle name="40% - Accent6 4 9 2" xfId="29240" xr:uid="{00000000-0005-0000-0000-0000D7570000}"/>
    <cellStyle name="40% - Accent6 4 9 2 2" xfId="29241" xr:uid="{00000000-0005-0000-0000-0000D8570000}"/>
    <cellStyle name="40% - Accent6 4 9 2 3" xfId="29242" xr:uid="{00000000-0005-0000-0000-0000D9570000}"/>
    <cellStyle name="40% - Accent6 4 9 3" xfId="29243" xr:uid="{00000000-0005-0000-0000-0000DA570000}"/>
    <cellStyle name="40% - Accent6 4 9 3 2" xfId="29244" xr:uid="{00000000-0005-0000-0000-0000DB570000}"/>
    <cellStyle name="40% - Accent6 4 9 3 3" xfId="29245" xr:uid="{00000000-0005-0000-0000-0000DC570000}"/>
    <cellStyle name="40% - Accent6 4 9 4" xfId="29246" xr:uid="{00000000-0005-0000-0000-0000DD570000}"/>
    <cellStyle name="40% - Accent6 4 9 4 2" xfId="29247" xr:uid="{00000000-0005-0000-0000-0000DE570000}"/>
    <cellStyle name="40% - Accent6 4 9 5" xfId="29248" xr:uid="{00000000-0005-0000-0000-0000DF570000}"/>
    <cellStyle name="40% - Accent6 4 9 6" xfId="29249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126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10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127" xr:uid="{00000000-0005-0000-0000-0000F8570000}"/>
    <cellStyle name="40% - Accent6 6 2 5" xfId="58128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129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130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131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132" xr:uid="{00000000-0005-0000-0000-000014580000}"/>
    <cellStyle name="60% - Accent1 10" xfId="9414" xr:uid="{00000000-0005-0000-0000-000015580000}"/>
    <cellStyle name="60% - Accent1 11" xfId="9415" xr:uid="{00000000-0005-0000-0000-000016580000}"/>
    <cellStyle name="60% - Accent1 12" xfId="9416" xr:uid="{00000000-0005-0000-0000-000017580000}"/>
    <cellStyle name="60% - Accent1 13" xfId="9417" xr:uid="{00000000-0005-0000-0000-000018580000}"/>
    <cellStyle name="60% - Accent1 14" xfId="9418" xr:uid="{00000000-0005-0000-0000-000019580000}"/>
    <cellStyle name="60% - Accent1 15" xfId="9419" xr:uid="{00000000-0005-0000-0000-00001A580000}"/>
    <cellStyle name="60% - Accent1 16" xfId="9420" xr:uid="{00000000-0005-0000-0000-00001B580000}"/>
    <cellStyle name="60% - Accent1 17" xfId="9421" xr:uid="{00000000-0005-0000-0000-00001C580000}"/>
    <cellStyle name="60% - Accent1 17 2" xfId="58133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29250" xr:uid="{00000000-0005-0000-0000-000020580000}"/>
    <cellStyle name="60% - Accent1 2 3" xfId="29251" xr:uid="{00000000-0005-0000-0000-000021580000}"/>
    <cellStyle name="60% - Accent1 2 4" xfId="29252" xr:uid="{00000000-0005-0000-0000-000022580000}"/>
    <cellStyle name="60% - Accent1 2 5" xfId="29253" xr:uid="{00000000-0005-0000-0000-000023580000}"/>
    <cellStyle name="60% - Accent1 2 6" xfId="29254" xr:uid="{00000000-0005-0000-0000-000024580000}"/>
    <cellStyle name="60% - Accent1 3" xfId="2725" xr:uid="{00000000-0005-0000-0000-000025580000}"/>
    <cellStyle name="60% - Accent1 3 2" xfId="9011" xr:uid="{00000000-0005-0000-0000-000026580000}"/>
    <cellStyle name="60% - Accent1 3 3" xfId="29255" xr:uid="{00000000-0005-0000-0000-000027580000}"/>
    <cellStyle name="60% - Accent1 4" xfId="2726" xr:uid="{00000000-0005-0000-0000-000028580000}"/>
    <cellStyle name="60% - Accent1 4 2" xfId="29256" xr:uid="{00000000-0005-0000-0000-000029580000}"/>
    <cellStyle name="60% - Accent1 4 3" xfId="29257" xr:uid="{00000000-0005-0000-0000-00002A580000}"/>
    <cellStyle name="60% - Accent1 5" xfId="9012" xr:uid="{00000000-0005-0000-0000-00002B580000}"/>
    <cellStyle name="60% - Accent1 5 2" xfId="29258" xr:uid="{00000000-0005-0000-0000-00002C580000}"/>
    <cellStyle name="60% - Accent1 6" xfId="9422" xr:uid="{00000000-0005-0000-0000-00002D580000}"/>
    <cellStyle name="60% - Accent1 6 2" xfId="29259" xr:uid="{00000000-0005-0000-0000-00002E580000}"/>
    <cellStyle name="60% - Accent1 7" xfId="9423" xr:uid="{00000000-0005-0000-0000-00002F580000}"/>
    <cellStyle name="60% - Accent1 7 2" xfId="29260" xr:uid="{00000000-0005-0000-0000-000030580000}"/>
    <cellStyle name="60% - Accent1 8" xfId="9424" xr:uid="{00000000-0005-0000-0000-000031580000}"/>
    <cellStyle name="60% - Accent1 8 2" xfId="29261" xr:uid="{00000000-0005-0000-0000-000032580000}"/>
    <cellStyle name="60% - Accent1 9" xfId="9425" xr:uid="{00000000-0005-0000-0000-000033580000}"/>
    <cellStyle name="60% - Accent2 10" xfId="9426" xr:uid="{00000000-0005-0000-0000-000034580000}"/>
    <cellStyle name="60% - Accent2 11" xfId="9427" xr:uid="{00000000-0005-0000-0000-000035580000}"/>
    <cellStyle name="60% - Accent2 12" xfId="9428" xr:uid="{00000000-0005-0000-0000-000036580000}"/>
    <cellStyle name="60% - Accent2 13" xfId="9429" xr:uid="{00000000-0005-0000-0000-000037580000}"/>
    <cellStyle name="60% - Accent2 14" xfId="9430" xr:uid="{00000000-0005-0000-0000-000038580000}"/>
    <cellStyle name="60% - Accent2 15" xfId="9431" xr:uid="{00000000-0005-0000-0000-000039580000}"/>
    <cellStyle name="60% - Accent2 16" xfId="9432" xr:uid="{00000000-0005-0000-0000-00003A580000}"/>
    <cellStyle name="60% - Accent2 17" xfId="9433" xr:uid="{00000000-0005-0000-0000-00003B580000}"/>
    <cellStyle name="60% - Accent2 17 2" xfId="58134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29262" xr:uid="{00000000-0005-0000-0000-00003F580000}"/>
    <cellStyle name="60% - Accent2 2 3" xfId="29263" xr:uid="{00000000-0005-0000-0000-000040580000}"/>
    <cellStyle name="60% - Accent2 2 4" xfId="29264" xr:uid="{00000000-0005-0000-0000-000041580000}"/>
    <cellStyle name="60% - Accent2 2 5" xfId="29265" xr:uid="{00000000-0005-0000-0000-000042580000}"/>
    <cellStyle name="60% - Accent2 2 6" xfId="29266" xr:uid="{00000000-0005-0000-0000-000043580000}"/>
    <cellStyle name="60% - Accent2 3" xfId="2729" xr:uid="{00000000-0005-0000-0000-000044580000}"/>
    <cellStyle name="60% - Accent2 3 2" xfId="9013" xr:uid="{00000000-0005-0000-0000-000045580000}"/>
    <cellStyle name="60% - Accent2 3 3" xfId="29267" xr:uid="{00000000-0005-0000-0000-000046580000}"/>
    <cellStyle name="60% - Accent2 4" xfId="2730" xr:uid="{00000000-0005-0000-0000-000047580000}"/>
    <cellStyle name="60% - Accent2 4 2" xfId="29268" xr:uid="{00000000-0005-0000-0000-000048580000}"/>
    <cellStyle name="60% - Accent2 4 3" xfId="29269" xr:uid="{00000000-0005-0000-0000-000049580000}"/>
    <cellStyle name="60% - Accent2 5" xfId="9014" xr:uid="{00000000-0005-0000-0000-00004A580000}"/>
    <cellStyle name="60% - Accent2 5 2" xfId="29270" xr:uid="{00000000-0005-0000-0000-00004B580000}"/>
    <cellStyle name="60% - Accent2 6" xfId="9434" xr:uid="{00000000-0005-0000-0000-00004C580000}"/>
    <cellStyle name="60% - Accent2 6 2" xfId="29271" xr:uid="{00000000-0005-0000-0000-00004D580000}"/>
    <cellStyle name="60% - Accent2 7" xfId="9435" xr:uid="{00000000-0005-0000-0000-00004E580000}"/>
    <cellStyle name="60% - Accent2 7 2" xfId="29272" xr:uid="{00000000-0005-0000-0000-00004F580000}"/>
    <cellStyle name="60% - Accent2 8" xfId="9436" xr:uid="{00000000-0005-0000-0000-000050580000}"/>
    <cellStyle name="60% - Accent2 8 2" xfId="29273" xr:uid="{00000000-0005-0000-0000-000051580000}"/>
    <cellStyle name="60% - Accent2 9" xfId="9437" xr:uid="{00000000-0005-0000-0000-000052580000}"/>
    <cellStyle name="60% - Accent3 10" xfId="9438" xr:uid="{00000000-0005-0000-0000-000053580000}"/>
    <cellStyle name="60% - Accent3 11" xfId="9439" xr:uid="{00000000-0005-0000-0000-000054580000}"/>
    <cellStyle name="60% - Accent3 12" xfId="9440" xr:uid="{00000000-0005-0000-0000-000055580000}"/>
    <cellStyle name="60% - Accent3 13" xfId="9441" xr:uid="{00000000-0005-0000-0000-000056580000}"/>
    <cellStyle name="60% - Accent3 14" xfId="9442" xr:uid="{00000000-0005-0000-0000-000057580000}"/>
    <cellStyle name="60% - Accent3 15" xfId="9443" xr:uid="{00000000-0005-0000-0000-000058580000}"/>
    <cellStyle name="60% - Accent3 16" xfId="9444" xr:uid="{00000000-0005-0000-0000-000059580000}"/>
    <cellStyle name="60% - Accent3 17" xfId="9445" xr:uid="{00000000-0005-0000-0000-00005A580000}"/>
    <cellStyle name="60% - Accent3 17 2" xfId="58135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29274" xr:uid="{00000000-0005-0000-0000-00005E580000}"/>
    <cellStyle name="60% - Accent3 2 3" xfId="29275" xr:uid="{00000000-0005-0000-0000-00005F580000}"/>
    <cellStyle name="60% - Accent3 2 4" xfId="29276" xr:uid="{00000000-0005-0000-0000-000060580000}"/>
    <cellStyle name="60% - Accent3 2 5" xfId="29277" xr:uid="{00000000-0005-0000-0000-000061580000}"/>
    <cellStyle name="60% - Accent3 2 6" xfId="29278" xr:uid="{00000000-0005-0000-0000-000062580000}"/>
    <cellStyle name="60% - Accent3 3" xfId="2733" xr:uid="{00000000-0005-0000-0000-000063580000}"/>
    <cellStyle name="60% - Accent3 3 2" xfId="9015" xr:uid="{00000000-0005-0000-0000-000064580000}"/>
    <cellStyle name="60% - Accent3 3 3" xfId="29279" xr:uid="{00000000-0005-0000-0000-000065580000}"/>
    <cellStyle name="60% - Accent3 4" xfId="2734" xr:uid="{00000000-0005-0000-0000-000066580000}"/>
    <cellStyle name="60% - Accent3 4 2" xfId="29280" xr:uid="{00000000-0005-0000-0000-000067580000}"/>
    <cellStyle name="60% - Accent3 5" xfId="9016" xr:uid="{00000000-0005-0000-0000-000068580000}"/>
    <cellStyle name="60% - Accent3 5 2" xfId="29281" xr:uid="{00000000-0005-0000-0000-000069580000}"/>
    <cellStyle name="60% - Accent3 6" xfId="9446" xr:uid="{00000000-0005-0000-0000-00006A580000}"/>
    <cellStyle name="60% - Accent3 6 2" xfId="29282" xr:uid="{00000000-0005-0000-0000-00006B580000}"/>
    <cellStyle name="60% - Accent3 7" xfId="9447" xr:uid="{00000000-0005-0000-0000-00006C580000}"/>
    <cellStyle name="60% - Accent3 7 2" xfId="29283" xr:uid="{00000000-0005-0000-0000-00006D580000}"/>
    <cellStyle name="60% - Accent3 8" xfId="9448" xr:uid="{00000000-0005-0000-0000-00006E580000}"/>
    <cellStyle name="60% - Accent3 8 2" xfId="29284" xr:uid="{00000000-0005-0000-0000-00006F580000}"/>
    <cellStyle name="60% - Accent3 9" xfId="9449" xr:uid="{00000000-0005-0000-0000-000070580000}"/>
    <cellStyle name="60% - Accent4 10" xfId="9450" xr:uid="{00000000-0005-0000-0000-000071580000}"/>
    <cellStyle name="60% - Accent4 11" xfId="9451" xr:uid="{00000000-0005-0000-0000-000072580000}"/>
    <cellStyle name="60% - Accent4 12" xfId="9452" xr:uid="{00000000-0005-0000-0000-000073580000}"/>
    <cellStyle name="60% - Accent4 13" xfId="9453" xr:uid="{00000000-0005-0000-0000-000074580000}"/>
    <cellStyle name="60% - Accent4 14" xfId="9454" xr:uid="{00000000-0005-0000-0000-000075580000}"/>
    <cellStyle name="60% - Accent4 15" xfId="9455" xr:uid="{00000000-0005-0000-0000-000076580000}"/>
    <cellStyle name="60% - Accent4 16" xfId="9456" xr:uid="{00000000-0005-0000-0000-000077580000}"/>
    <cellStyle name="60% - Accent4 17" xfId="9457" xr:uid="{00000000-0005-0000-0000-000078580000}"/>
    <cellStyle name="60% - Accent4 17 2" xfId="58136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29285" xr:uid="{00000000-0005-0000-0000-00007C580000}"/>
    <cellStyle name="60% - Accent4 2 3" xfId="29286" xr:uid="{00000000-0005-0000-0000-00007D580000}"/>
    <cellStyle name="60% - Accent4 2 4" xfId="29287" xr:uid="{00000000-0005-0000-0000-00007E580000}"/>
    <cellStyle name="60% - Accent4 2 5" xfId="29288" xr:uid="{00000000-0005-0000-0000-00007F580000}"/>
    <cellStyle name="60% - Accent4 2 6" xfId="29289" xr:uid="{00000000-0005-0000-0000-000080580000}"/>
    <cellStyle name="60% - Accent4 3" xfId="2737" xr:uid="{00000000-0005-0000-0000-000081580000}"/>
    <cellStyle name="60% - Accent4 3 2" xfId="9017" xr:uid="{00000000-0005-0000-0000-000082580000}"/>
    <cellStyle name="60% - Accent4 3 3" xfId="29290" xr:uid="{00000000-0005-0000-0000-000083580000}"/>
    <cellStyle name="60% - Accent4 4" xfId="2738" xr:uid="{00000000-0005-0000-0000-000084580000}"/>
    <cellStyle name="60% - Accent4 4 2" xfId="29291" xr:uid="{00000000-0005-0000-0000-000085580000}"/>
    <cellStyle name="60% - Accent4 5" xfId="9018" xr:uid="{00000000-0005-0000-0000-000086580000}"/>
    <cellStyle name="60% - Accent4 5 2" xfId="29292" xr:uid="{00000000-0005-0000-0000-000087580000}"/>
    <cellStyle name="60% - Accent4 6" xfId="9458" xr:uid="{00000000-0005-0000-0000-000088580000}"/>
    <cellStyle name="60% - Accent4 6 2" xfId="29293" xr:uid="{00000000-0005-0000-0000-000089580000}"/>
    <cellStyle name="60% - Accent4 7" xfId="9459" xr:uid="{00000000-0005-0000-0000-00008A580000}"/>
    <cellStyle name="60% - Accent4 7 2" xfId="29294" xr:uid="{00000000-0005-0000-0000-00008B580000}"/>
    <cellStyle name="60% - Accent4 8" xfId="9460" xr:uid="{00000000-0005-0000-0000-00008C580000}"/>
    <cellStyle name="60% - Accent4 8 2" xfId="29295" xr:uid="{00000000-0005-0000-0000-00008D580000}"/>
    <cellStyle name="60% - Accent4 9" xfId="9461" xr:uid="{00000000-0005-0000-0000-00008E580000}"/>
    <cellStyle name="60% - Accent5 10" xfId="9462" xr:uid="{00000000-0005-0000-0000-00008F580000}"/>
    <cellStyle name="60% - Accent5 11" xfId="9463" xr:uid="{00000000-0005-0000-0000-000090580000}"/>
    <cellStyle name="60% - Accent5 12" xfId="9464" xr:uid="{00000000-0005-0000-0000-000091580000}"/>
    <cellStyle name="60% - Accent5 13" xfId="9465" xr:uid="{00000000-0005-0000-0000-000092580000}"/>
    <cellStyle name="60% - Accent5 14" xfId="9466" xr:uid="{00000000-0005-0000-0000-000093580000}"/>
    <cellStyle name="60% - Accent5 15" xfId="9467" xr:uid="{00000000-0005-0000-0000-000094580000}"/>
    <cellStyle name="60% - Accent5 16" xfId="9468" xr:uid="{00000000-0005-0000-0000-000095580000}"/>
    <cellStyle name="60% - Accent5 17" xfId="9469" xr:uid="{00000000-0005-0000-0000-000096580000}"/>
    <cellStyle name="60% - Accent5 17 2" xfId="58137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29296" xr:uid="{00000000-0005-0000-0000-00009A580000}"/>
    <cellStyle name="60% - Accent5 2 3" xfId="29297" xr:uid="{00000000-0005-0000-0000-00009B580000}"/>
    <cellStyle name="60% - Accent5 2 4" xfId="29298" xr:uid="{00000000-0005-0000-0000-00009C580000}"/>
    <cellStyle name="60% - Accent5 2 5" xfId="29299" xr:uid="{00000000-0005-0000-0000-00009D580000}"/>
    <cellStyle name="60% - Accent5 2 6" xfId="29300" xr:uid="{00000000-0005-0000-0000-00009E580000}"/>
    <cellStyle name="60% - Accent5 3" xfId="2741" xr:uid="{00000000-0005-0000-0000-00009F580000}"/>
    <cellStyle name="60% - Accent5 3 2" xfId="9019" xr:uid="{00000000-0005-0000-0000-0000A0580000}"/>
    <cellStyle name="60% - Accent5 3 3" xfId="29301" xr:uid="{00000000-0005-0000-0000-0000A1580000}"/>
    <cellStyle name="60% - Accent5 4" xfId="2742" xr:uid="{00000000-0005-0000-0000-0000A2580000}"/>
    <cellStyle name="60% - Accent5 4 2" xfId="29302" xr:uid="{00000000-0005-0000-0000-0000A3580000}"/>
    <cellStyle name="60% - Accent5 4 3" xfId="29303" xr:uid="{00000000-0005-0000-0000-0000A4580000}"/>
    <cellStyle name="60% - Accent5 5" xfId="9020" xr:uid="{00000000-0005-0000-0000-0000A5580000}"/>
    <cellStyle name="60% - Accent5 5 2" xfId="29304" xr:uid="{00000000-0005-0000-0000-0000A6580000}"/>
    <cellStyle name="60% - Accent5 6" xfId="9470" xr:uid="{00000000-0005-0000-0000-0000A7580000}"/>
    <cellStyle name="60% - Accent5 6 2" xfId="29305" xr:uid="{00000000-0005-0000-0000-0000A8580000}"/>
    <cellStyle name="60% - Accent5 7" xfId="9471" xr:uid="{00000000-0005-0000-0000-0000A9580000}"/>
    <cellStyle name="60% - Accent5 7 2" xfId="29306" xr:uid="{00000000-0005-0000-0000-0000AA580000}"/>
    <cellStyle name="60% - Accent5 8" xfId="9472" xr:uid="{00000000-0005-0000-0000-0000AB580000}"/>
    <cellStyle name="60% - Accent5 8 2" xfId="29307" xr:uid="{00000000-0005-0000-0000-0000AC580000}"/>
    <cellStyle name="60% - Accent5 9" xfId="9473" xr:uid="{00000000-0005-0000-0000-0000AD580000}"/>
    <cellStyle name="60% - Accent6 10" xfId="9474" xr:uid="{00000000-0005-0000-0000-0000AE580000}"/>
    <cellStyle name="60% - Accent6 11" xfId="9475" xr:uid="{00000000-0005-0000-0000-0000AF580000}"/>
    <cellStyle name="60% - Accent6 12" xfId="9476" xr:uid="{00000000-0005-0000-0000-0000B0580000}"/>
    <cellStyle name="60% - Accent6 13" xfId="9477" xr:uid="{00000000-0005-0000-0000-0000B1580000}"/>
    <cellStyle name="60% - Accent6 14" xfId="9478" xr:uid="{00000000-0005-0000-0000-0000B2580000}"/>
    <cellStyle name="60% - Accent6 15" xfId="9479" xr:uid="{00000000-0005-0000-0000-0000B3580000}"/>
    <cellStyle name="60% - Accent6 16" xfId="9480" xr:uid="{00000000-0005-0000-0000-0000B4580000}"/>
    <cellStyle name="60% - Accent6 17" xfId="9481" xr:uid="{00000000-0005-0000-0000-0000B5580000}"/>
    <cellStyle name="60% - Accent6 17 2" xfId="58138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29308" xr:uid="{00000000-0005-0000-0000-0000B9580000}"/>
    <cellStyle name="60% - Accent6 2 3" xfId="29309" xr:uid="{00000000-0005-0000-0000-0000BA580000}"/>
    <cellStyle name="60% - Accent6 2 4" xfId="29310" xr:uid="{00000000-0005-0000-0000-0000BB580000}"/>
    <cellStyle name="60% - Accent6 2 5" xfId="29311" xr:uid="{00000000-0005-0000-0000-0000BC580000}"/>
    <cellStyle name="60% - Accent6 2 6" xfId="29312" xr:uid="{00000000-0005-0000-0000-0000BD580000}"/>
    <cellStyle name="60% - Accent6 3" xfId="2745" xr:uid="{00000000-0005-0000-0000-0000BE580000}"/>
    <cellStyle name="60% - Accent6 3 2" xfId="9021" xr:uid="{00000000-0005-0000-0000-0000BF580000}"/>
    <cellStyle name="60% - Accent6 3 3" xfId="29313" xr:uid="{00000000-0005-0000-0000-0000C0580000}"/>
    <cellStyle name="60% - Accent6 4" xfId="2746" xr:uid="{00000000-0005-0000-0000-0000C1580000}"/>
    <cellStyle name="60% - Accent6 4 2" xfId="29314" xr:uid="{00000000-0005-0000-0000-0000C2580000}"/>
    <cellStyle name="60% - Accent6 5" xfId="9022" xr:uid="{00000000-0005-0000-0000-0000C3580000}"/>
    <cellStyle name="60% - Accent6 5 2" xfId="29315" xr:uid="{00000000-0005-0000-0000-0000C4580000}"/>
    <cellStyle name="60% - Accent6 6" xfId="9482" xr:uid="{00000000-0005-0000-0000-0000C5580000}"/>
    <cellStyle name="60% - Accent6 6 2" xfId="29316" xr:uid="{00000000-0005-0000-0000-0000C6580000}"/>
    <cellStyle name="60% - Accent6 7" xfId="9483" xr:uid="{00000000-0005-0000-0000-0000C7580000}"/>
    <cellStyle name="60% - Accent6 7 2" xfId="29317" xr:uid="{00000000-0005-0000-0000-0000C8580000}"/>
    <cellStyle name="60% - Accent6 8" xfId="9484" xr:uid="{00000000-0005-0000-0000-0000C9580000}"/>
    <cellStyle name="60% - Accent6 8 2" xfId="29318" xr:uid="{00000000-0005-0000-0000-0000CA580000}"/>
    <cellStyle name="60% - Accent6 9" xfId="9485" xr:uid="{00000000-0005-0000-0000-0000CB580000}"/>
    <cellStyle name="ac" xfId="29319" xr:uid="{00000000-0005-0000-0000-0000CC580000}"/>
    <cellStyle name="ac 2" xfId="29320" xr:uid="{00000000-0005-0000-0000-0000CD580000}"/>
    <cellStyle name="Accent1 10" xfId="9486" xr:uid="{00000000-0005-0000-0000-0000CE580000}"/>
    <cellStyle name="Accent1 11" xfId="9487" xr:uid="{00000000-0005-0000-0000-0000CF580000}"/>
    <cellStyle name="Accent1 12" xfId="9488" xr:uid="{00000000-0005-0000-0000-0000D0580000}"/>
    <cellStyle name="Accent1 13" xfId="9489" xr:uid="{00000000-0005-0000-0000-0000D1580000}"/>
    <cellStyle name="Accent1 14" xfId="9490" xr:uid="{00000000-0005-0000-0000-0000D2580000}"/>
    <cellStyle name="Accent1 15" xfId="9491" xr:uid="{00000000-0005-0000-0000-0000D3580000}"/>
    <cellStyle name="Accent1 16" xfId="9492" xr:uid="{00000000-0005-0000-0000-0000D4580000}"/>
    <cellStyle name="Accent1 17" xfId="9493" xr:uid="{00000000-0005-0000-0000-0000D5580000}"/>
    <cellStyle name="Accent1 17 2" xfId="58139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29321" xr:uid="{00000000-0005-0000-0000-0000D9580000}"/>
    <cellStyle name="Accent1 2 3" xfId="29322" xr:uid="{00000000-0005-0000-0000-0000DA580000}"/>
    <cellStyle name="Accent1 2 4" xfId="29323" xr:uid="{00000000-0005-0000-0000-0000DB580000}"/>
    <cellStyle name="Accent1 2 5" xfId="29324" xr:uid="{00000000-0005-0000-0000-0000DC580000}"/>
    <cellStyle name="Accent1 2 6" xfId="29325" xr:uid="{00000000-0005-0000-0000-0000DD580000}"/>
    <cellStyle name="Accent1 3" xfId="2749" xr:uid="{00000000-0005-0000-0000-0000DE580000}"/>
    <cellStyle name="Accent1 3 2" xfId="9023" xr:uid="{00000000-0005-0000-0000-0000DF580000}"/>
    <cellStyle name="Accent1 3 3" xfId="29326" xr:uid="{00000000-0005-0000-0000-0000E0580000}"/>
    <cellStyle name="Accent1 4" xfId="2750" xr:uid="{00000000-0005-0000-0000-0000E1580000}"/>
    <cellStyle name="Accent1 4 2" xfId="29327" xr:uid="{00000000-0005-0000-0000-0000E2580000}"/>
    <cellStyle name="Accent1 5" xfId="9024" xr:uid="{00000000-0005-0000-0000-0000E3580000}"/>
    <cellStyle name="Accent1 5 2" xfId="29328" xr:uid="{00000000-0005-0000-0000-0000E4580000}"/>
    <cellStyle name="Accent1 6" xfId="9494" xr:uid="{00000000-0005-0000-0000-0000E5580000}"/>
    <cellStyle name="Accent1 6 2" xfId="29329" xr:uid="{00000000-0005-0000-0000-0000E6580000}"/>
    <cellStyle name="Accent1 7" xfId="9495" xr:uid="{00000000-0005-0000-0000-0000E7580000}"/>
    <cellStyle name="Accent1 7 2" xfId="29330" xr:uid="{00000000-0005-0000-0000-0000E8580000}"/>
    <cellStyle name="Accent1 8" xfId="9496" xr:uid="{00000000-0005-0000-0000-0000E9580000}"/>
    <cellStyle name="Accent1 8 2" xfId="29331" xr:uid="{00000000-0005-0000-0000-0000EA580000}"/>
    <cellStyle name="Accent1 9" xfId="9497" xr:uid="{00000000-0005-0000-0000-0000EB580000}"/>
    <cellStyle name="Accent2 10" xfId="9498" xr:uid="{00000000-0005-0000-0000-0000EC580000}"/>
    <cellStyle name="Accent2 11" xfId="9499" xr:uid="{00000000-0005-0000-0000-0000ED580000}"/>
    <cellStyle name="Accent2 12" xfId="9500" xr:uid="{00000000-0005-0000-0000-0000EE580000}"/>
    <cellStyle name="Accent2 13" xfId="9501" xr:uid="{00000000-0005-0000-0000-0000EF580000}"/>
    <cellStyle name="Accent2 14" xfId="9502" xr:uid="{00000000-0005-0000-0000-0000F0580000}"/>
    <cellStyle name="Accent2 15" xfId="9503" xr:uid="{00000000-0005-0000-0000-0000F1580000}"/>
    <cellStyle name="Accent2 16" xfId="9504" xr:uid="{00000000-0005-0000-0000-0000F2580000}"/>
    <cellStyle name="Accent2 17" xfId="9505" xr:uid="{00000000-0005-0000-0000-0000F3580000}"/>
    <cellStyle name="Accent2 17 2" xfId="58140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29332" xr:uid="{00000000-0005-0000-0000-0000F7580000}"/>
    <cellStyle name="Accent2 2 3" xfId="29333" xr:uid="{00000000-0005-0000-0000-0000F8580000}"/>
    <cellStyle name="Accent2 2 4" xfId="29334" xr:uid="{00000000-0005-0000-0000-0000F9580000}"/>
    <cellStyle name="Accent2 2 5" xfId="29335" xr:uid="{00000000-0005-0000-0000-0000FA580000}"/>
    <cellStyle name="Accent2 2 6" xfId="29336" xr:uid="{00000000-0005-0000-0000-0000FB580000}"/>
    <cellStyle name="Accent2 3" xfId="2753" xr:uid="{00000000-0005-0000-0000-0000FC580000}"/>
    <cellStyle name="Accent2 3 2" xfId="9025" xr:uid="{00000000-0005-0000-0000-0000FD580000}"/>
    <cellStyle name="Accent2 3 3" xfId="29337" xr:uid="{00000000-0005-0000-0000-0000FE580000}"/>
    <cellStyle name="Accent2 4" xfId="2754" xr:uid="{00000000-0005-0000-0000-0000FF580000}"/>
    <cellStyle name="Accent2 4 2" xfId="29338" xr:uid="{00000000-0005-0000-0000-000000590000}"/>
    <cellStyle name="Accent2 5" xfId="9026" xr:uid="{00000000-0005-0000-0000-000001590000}"/>
    <cellStyle name="Accent2 5 2" xfId="29339" xr:uid="{00000000-0005-0000-0000-000002590000}"/>
    <cellStyle name="Accent2 6" xfId="9506" xr:uid="{00000000-0005-0000-0000-000003590000}"/>
    <cellStyle name="Accent2 6 2" xfId="29340" xr:uid="{00000000-0005-0000-0000-000004590000}"/>
    <cellStyle name="Accent2 7" xfId="9507" xr:uid="{00000000-0005-0000-0000-000005590000}"/>
    <cellStyle name="Accent2 7 2" xfId="29341" xr:uid="{00000000-0005-0000-0000-000006590000}"/>
    <cellStyle name="Accent2 8" xfId="9508" xr:uid="{00000000-0005-0000-0000-000007590000}"/>
    <cellStyle name="Accent2 8 2" xfId="29342" xr:uid="{00000000-0005-0000-0000-000008590000}"/>
    <cellStyle name="Accent2 9" xfId="9509" xr:uid="{00000000-0005-0000-0000-000009590000}"/>
    <cellStyle name="Accent3 10" xfId="9510" xr:uid="{00000000-0005-0000-0000-00000A590000}"/>
    <cellStyle name="Accent3 11" xfId="9511" xr:uid="{00000000-0005-0000-0000-00000B590000}"/>
    <cellStyle name="Accent3 12" xfId="9512" xr:uid="{00000000-0005-0000-0000-00000C590000}"/>
    <cellStyle name="Accent3 13" xfId="9513" xr:uid="{00000000-0005-0000-0000-00000D590000}"/>
    <cellStyle name="Accent3 14" xfId="9514" xr:uid="{00000000-0005-0000-0000-00000E590000}"/>
    <cellStyle name="Accent3 15" xfId="9515" xr:uid="{00000000-0005-0000-0000-00000F590000}"/>
    <cellStyle name="Accent3 16" xfId="9516" xr:uid="{00000000-0005-0000-0000-000010590000}"/>
    <cellStyle name="Accent3 17" xfId="9517" xr:uid="{00000000-0005-0000-0000-000011590000}"/>
    <cellStyle name="Accent3 17 2" xfId="58141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29343" xr:uid="{00000000-0005-0000-0000-000015590000}"/>
    <cellStyle name="Accent3 2 3" xfId="29344" xr:uid="{00000000-0005-0000-0000-000016590000}"/>
    <cellStyle name="Accent3 2 4" xfId="29345" xr:uid="{00000000-0005-0000-0000-000017590000}"/>
    <cellStyle name="Accent3 2 5" xfId="29346" xr:uid="{00000000-0005-0000-0000-000018590000}"/>
    <cellStyle name="Accent3 2 6" xfId="29347" xr:uid="{00000000-0005-0000-0000-000019590000}"/>
    <cellStyle name="Accent3 3" xfId="2757" xr:uid="{00000000-0005-0000-0000-00001A590000}"/>
    <cellStyle name="Accent3 3 2" xfId="9027" xr:uid="{00000000-0005-0000-0000-00001B590000}"/>
    <cellStyle name="Accent3 3 3" xfId="29348" xr:uid="{00000000-0005-0000-0000-00001C590000}"/>
    <cellStyle name="Accent3 4" xfId="2758" xr:uid="{00000000-0005-0000-0000-00001D590000}"/>
    <cellStyle name="Accent3 4 2" xfId="29349" xr:uid="{00000000-0005-0000-0000-00001E590000}"/>
    <cellStyle name="Accent3 5" xfId="9028" xr:uid="{00000000-0005-0000-0000-00001F590000}"/>
    <cellStyle name="Accent3 5 2" xfId="29350" xr:uid="{00000000-0005-0000-0000-000020590000}"/>
    <cellStyle name="Accent3 6" xfId="9518" xr:uid="{00000000-0005-0000-0000-000021590000}"/>
    <cellStyle name="Accent3 6 2" xfId="29351" xr:uid="{00000000-0005-0000-0000-000022590000}"/>
    <cellStyle name="Accent3 7" xfId="9519" xr:uid="{00000000-0005-0000-0000-000023590000}"/>
    <cellStyle name="Accent3 7 2" xfId="29352" xr:uid="{00000000-0005-0000-0000-000024590000}"/>
    <cellStyle name="Accent3 8" xfId="9520" xr:uid="{00000000-0005-0000-0000-000025590000}"/>
    <cellStyle name="Accent3 8 2" xfId="29353" xr:uid="{00000000-0005-0000-0000-000026590000}"/>
    <cellStyle name="Accent3 9" xfId="9521" xr:uid="{00000000-0005-0000-0000-000027590000}"/>
    <cellStyle name="Accent4 10" xfId="9522" xr:uid="{00000000-0005-0000-0000-000028590000}"/>
    <cellStyle name="Accent4 11" xfId="9523" xr:uid="{00000000-0005-0000-0000-000029590000}"/>
    <cellStyle name="Accent4 12" xfId="9524" xr:uid="{00000000-0005-0000-0000-00002A590000}"/>
    <cellStyle name="Accent4 13" xfId="9525" xr:uid="{00000000-0005-0000-0000-00002B590000}"/>
    <cellStyle name="Accent4 14" xfId="9526" xr:uid="{00000000-0005-0000-0000-00002C590000}"/>
    <cellStyle name="Accent4 15" xfId="9527" xr:uid="{00000000-0005-0000-0000-00002D590000}"/>
    <cellStyle name="Accent4 16" xfId="9528" xr:uid="{00000000-0005-0000-0000-00002E590000}"/>
    <cellStyle name="Accent4 17" xfId="9529" xr:uid="{00000000-0005-0000-0000-00002F590000}"/>
    <cellStyle name="Accent4 17 2" xfId="58142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29354" xr:uid="{00000000-0005-0000-0000-000033590000}"/>
    <cellStyle name="Accent4 2 3" xfId="29355" xr:uid="{00000000-0005-0000-0000-000034590000}"/>
    <cellStyle name="Accent4 2 4" xfId="29356" xr:uid="{00000000-0005-0000-0000-000035590000}"/>
    <cellStyle name="Accent4 2 5" xfId="29357" xr:uid="{00000000-0005-0000-0000-000036590000}"/>
    <cellStyle name="Accent4 2 6" xfId="29358" xr:uid="{00000000-0005-0000-0000-000037590000}"/>
    <cellStyle name="Accent4 3" xfId="2761" xr:uid="{00000000-0005-0000-0000-000038590000}"/>
    <cellStyle name="Accent4 3 2" xfId="9029" xr:uid="{00000000-0005-0000-0000-000039590000}"/>
    <cellStyle name="Accent4 3 3" xfId="29359" xr:uid="{00000000-0005-0000-0000-00003A590000}"/>
    <cellStyle name="Accent4 4" xfId="2762" xr:uid="{00000000-0005-0000-0000-00003B590000}"/>
    <cellStyle name="Accent4 4 2" xfId="29360" xr:uid="{00000000-0005-0000-0000-00003C590000}"/>
    <cellStyle name="Accent4 5" xfId="9030" xr:uid="{00000000-0005-0000-0000-00003D590000}"/>
    <cellStyle name="Accent4 5 2" xfId="29361" xr:uid="{00000000-0005-0000-0000-00003E590000}"/>
    <cellStyle name="Accent4 6" xfId="9530" xr:uid="{00000000-0005-0000-0000-00003F590000}"/>
    <cellStyle name="Accent4 6 2" xfId="29362" xr:uid="{00000000-0005-0000-0000-000040590000}"/>
    <cellStyle name="Accent4 7" xfId="9531" xr:uid="{00000000-0005-0000-0000-000041590000}"/>
    <cellStyle name="Accent4 7 2" xfId="29363" xr:uid="{00000000-0005-0000-0000-000042590000}"/>
    <cellStyle name="Accent4 8" xfId="9532" xr:uid="{00000000-0005-0000-0000-000043590000}"/>
    <cellStyle name="Accent4 8 2" xfId="29364" xr:uid="{00000000-0005-0000-0000-000044590000}"/>
    <cellStyle name="Accent4 9" xfId="9533" xr:uid="{00000000-0005-0000-0000-000045590000}"/>
    <cellStyle name="Accent5 10" xfId="9534" xr:uid="{00000000-0005-0000-0000-000046590000}"/>
    <cellStyle name="Accent5 11" xfId="9535" xr:uid="{00000000-0005-0000-0000-000047590000}"/>
    <cellStyle name="Accent5 12" xfId="9536" xr:uid="{00000000-0005-0000-0000-000048590000}"/>
    <cellStyle name="Accent5 13" xfId="9537" xr:uid="{00000000-0005-0000-0000-000049590000}"/>
    <cellStyle name="Accent5 14" xfId="9538" xr:uid="{00000000-0005-0000-0000-00004A590000}"/>
    <cellStyle name="Accent5 15" xfId="9539" xr:uid="{00000000-0005-0000-0000-00004B590000}"/>
    <cellStyle name="Accent5 16" xfId="9540" xr:uid="{00000000-0005-0000-0000-00004C590000}"/>
    <cellStyle name="Accent5 17" xfId="9541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143" xr:uid="{00000000-0005-0000-0000-000050590000}"/>
    <cellStyle name="Accent5 2 3" xfId="29365" xr:uid="{00000000-0005-0000-0000-000051590000}"/>
    <cellStyle name="Accent5 2 4" xfId="29366" xr:uid="{00000000-0005-0000-0000-000052590000}"/>
    <cellStyle name="Accent5 2 5" xfId="29367" xr:uid="{00000000-0005-0000-0000-000053590000}"/>
    <cellStyle name="Accent5 2 6" xfId="29368" xr:uid="{00000000-0005-0000-0000-000054590000}"/>
    <cellStyle name="Accent5 3" xfId="2765" xr:uid="{00000000-0005-0000-0000-000055590000}"/>
    <cellStyle name="Accent5 3 2" xfId="9031" xr:uid="{00000000-0005-0000-0000-000056590000}"/>
    <cellStyle name="Accent5 3 3" xfId="29369" xr:uid="{00000000-0005-0000-0000-000057590000}"/>
    <cellStyle name="Accent5 4" xfId="2766" xr:uid="{00000000-0005-0000-0000-000058590000}"/>
    <cellStyle name="Accent5 4 2" xfId="29370" xr:uid="{00000000-0005-0000-0000-000059590000}"/>
    <cellStyle name="Accent5 5" xfId="9032" xr:uid="{00000000-0005-0000-0000-00005A590000}"/>
    <cellStyle name="Accent5 5 2" xfId="29371" xr:uid="{00000000-0005-0000-0000-00005B590000}"/>
    <cellStyle name="Accent5 6" xfId="9542" xr:uid="{00000000-0005-0000-0000-00005C590000}"/>
    <cellStyle name="Accent5 6 2" xfId="29372" xr:uid="{00000000-0005-0000-0000-00005D590000}"/>
    <cellStyle name="Accent5 7" xfId="9543" xr:uid="{00000000-0005-0000-0000-00005E590000}"/>
    <cellStyle name="Accent5 7 2" xfId="29373" xr:uid="{00000000-0005-0000-0000-00005F590000}"/>
    <cellStyle name="Accent5 8" xfId="9544" xr:uid="{00000000-0005-0000-0000-000060590000}"/>
    <cellStyle name="Accent5 8 2" xfId="29374" xr:uid="{00000000-0005-0000-0000-000061590000}"/>
    <cellStyle name="Accent5 9" xfId="9545" xr:uid="{00000000-0005-0000-0000-000062590000}"/>
    <cellStyle name="Accent6 10" xfId="9546" xr:uid="{00000000-0005-0000-0000-000063590000}"/>
    <cellStyle name="Accent6 11" xfId="9547" xr:uid="{00000000-0005-0000-0000-000064590000}"/>
    <cellStyle name="Accent6 12" xfId="9548" xr:uid="{00000000-0005-0000-0000-000065590000}"/>
    <cellStyle name="Accent6 13" xfId="9549" xr:uid="{00000000-0005-0000-0000-000066590000}"/>
    <cellStyle name="Accent6 14" xfId="9550" xr:uid="{00000000-0005-0000-0000-000067590000}"/>
    <cellStyle name="Accent6 15" xfId="9551" xr:uid="{00000000-0005-0000-0000-000068590000}"/>
    <cellStyle name="Accent6 16" xfId="9552" xr:uid="{00000000-0005-0000-0000-000069590000}"/>
    <cellStyle name="Accent6 17" xfId="9553" xr:uid="{00000000-0005-0000-0000-00006A590000}"/>
    <cellStyle name="Accent6 17 2" xfId="58144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29375" xr:uid="{00000000-0005-0000-0000-00006E590000}"/>
    <cellStyle name="Accent6 2 3" xfId="29376" xr:uid="{00000000-0005-0000-0000-00006F590000}"/>
    <cellStyle name="Accent6 2 4" xfId="29377" xr:uid="{00000000-0005-0000-0000-000070590000}"/>
    <cellStyle name="Accent6 2 5" xfId="29378" xr:uid="{00000000-0005-0000-0000-000071590000}"/>
    <cellStyle name="Accent6 2 6" xfId="29379" xr:uid="{00000000-0005-0000-0000-000072590000}"/>
    <cellStyle name="Accent6 3" xfId="2769" xr:uid="{00000000-0005-0000-0000-000073590000}"/>
    <cellStyle name="Accent6 3 2" xfId="9033" xr:uid="{00000000-0005-0000-0000-000074590000}"/>
    <cellStyle name="Accent6 3 3" xfId="29380" xr:uid="{00000000-0005-0000-0000-000075590000}"/>
    <cellStyle name="Accent6 4" xfId="2770" xr:uid="{00000000-0005-0000-0000-000076590000}"/>
    <cellStyle name="Accent6 4 2" xfId="29381" xr:uid="{00000000-0005-0000-0000-000077590000}"/>
    <cellStyle name="Accent6 5" xfId="9034" xr:uid="{00000000-0005-0000-0000-000078590000}"/>
    <cellStyle name="Accent6 5 2" xfId="29382" xr:uid="{00000000-0005-0000-0000-000079590000}"/>
    <cellStyle name="Accent6 6" xfId="9554" xr:uid="{00000000-0005-0000-0000-00007A590000}"/>
    <cellStyle name="Accent6 6 2" xfId="29383" xr:uid="{00000000-0005-0000-0000-00007B590000}"/>
    <cellStyle name="Accent6 7" xfId="9555" xr:uid="{00000000-0005-0000-0000-00007C590000}"/>
    <cellStyle name="Accent6 7 2" xfId="29384" xr:uid="{00000000-0005-0000-0000-00007D590000}"/>
    <cellStyle name="Accent6 8" xfId="9556" xr:uid="{00000000-0005-0000-0000-00007E590000}"/>
    <cellStyle name="Accent6 8 2" xfId="29385" xr:uid="{00000000-0005-0000-0000-00007F590000}"/>
    <cellStyle name="Accent6 9" xfId="9557" xr:uid="{00000000-0005-0000-0000-000080590000}"/>
    <cellStyle name="Bad 10" xfId="9558" xr:uid="{00000000-0005-0000-0000-000081590000}"/>
    <cellStyle name="Bad 11" xfId="9559" xr:uid="{00000000-0005-0000-0000-000082590000}"/>
    <cellStyle name="Bad 12" xfId="9560" xr:uid="{00000000-0005-0000-0000-000083590000}"/>
    <cellStyle name="Bad 13" xfId="9561" xr:uid="{00000000-0005-0000-0000-000084590000}"/>
    <cellStyle name="Bad 14" xfId="9562" xr:uid="{00000000-0005-0000-0000-000085590000}"/>
    <cellStyle name="Bad 15" xfId="9563" xr:uid="{00000000-0005-0000-0000-000086590000}"/>
    <cellStyle name="Bad 16" xfId="9564" xr:uid="{00000000-0005-0000-0000-000087590000}"/>
    <cellStyle name="Bad 17" xfId="9565" xr:uid="{00000000-0005-0000-0000-000088590000}"/>
    <cellStyle name="Bad 17 2" xfId="58145" xr:uid="{00000000-0005-0000-0000-000089590000}"/>
    <cellStyle name="Bad 2" xfId="2771" xr:uid="{00000000-0005-0000-0000-00008A590000}"/>
    <cellStyle name="Bad 2 2" xfId="2772" xr:uid="{00000000-0005-0000-0000-00008B590000}"/>
    <cellStyle name="Bad 2 2 2" xfId="29386" xr:uid="{00000000-0005-0000-0000-00008C590000}"/>
    <cellStyle name="Bad 2 3" xfId="29387" xr:uid="{00000000-0005-0000-0000-00008D590000}"/>
    <cellStyle name="Bad 2 4" xfId="29388" xr:uid="{00000000-0005-0000-0000-00008E590000}"/>
    <cellStyle name="Bad 2 5" xfId="29389" xr:uid="{00000000-0005-0000-0000-00008F590000}"/>
    <cellStyle name="Bad 3" xfId="2773" xr:uid="{00000000-0005-0000-0000-000090590000}"/>
    <cellStyle name="Bad 3 2" xfId="9035" xr:uid="{00000000-0005-0000-0000-000091590000}"/>
    <cellStyle name="Bad 4" xfId="9036" xr:uid="{00000000-0005-0000-0000-000092590000}"/>
    <cellStyle name="Bad 4 2" xfId="29390" xr:uid="{00000000-0005-0000-0000-000093590000}"/>
    <cellStyle name="Bad 5" xfId="9566" xr:uid="{00000000-0005-0000-0000-000094590000}"/>
    <cellStyle name="Bad 5 2" xfId="29391" xr:uid="{00000000-0005-0000-0000-000095590000}"/>
    <cellStyle name="Bad 6" xfId="9567" xr:uid="{00000000-0005-0000-0000-000096590000}"/>
    <cellStyle name="Bad 6 2" xfId="29392" xr:uid="{00000000-0005-0000-0000-000097590000}"/>
    <cellStyle name="Bad 7" xfId="9568" xr:uid="{00000000-0005-0000-0000-000098590000}"/>
    <cellStyle name="Bad 7 2" xfId="29393" xr:uid="{00000000-0005-0000-0000-000099590000}"/>
    <cellStyle name="Bad 8" xfId="9569" xr:uid="{00000000-0005-0000-0000-00009A590000}"/>
    <cellStyle name="Bad 9" xfId="9570" xr:uid="{00000000-0005-0000-0000-00009B590000}"/>
    <cellStyle name="c" xfId="9571" xr:uid="{00000000-0005-0000-0000-00009C590000}"/>
    <cellStyle name="C00A" xfId="8684" xr:uid="{00000000-0005-0000-0000-00009D590000}"/>
    <cellStyle name="C00B" xfId="8685" xr:uid="{00000000-0005-0000-0000-00009E590000}"/>
    <cellStyle name="C00L" xfId="8686" xr:uid="{00000000-0005-0000-0000-00009F590000}"/>
    <cellStyle name="C01A" xfId="8687" xr:uid="{00000000-0005-0000-0000-0000A0590000}"/>
    <cellStyle name="C01B" xfId="8688" xr:uid="{00000000-0005-0000-0000-0000A1590000}"/>
    <cellStyle name="C01H" xfId="8689" xr:uid="{00000000-0005-0000-0000-0000A2590000}"/>
    <cellStyle name="C01L" xfId="8690" xr:uid="{00000000-0005-0000-0000-0000A3590000}"/>
    <cellStyle name="C02A" xfId="8691" xr:uid="{00000000-0005-0000-0000-0000A4590000}"/>
    <cellStyle name="C02B" xfId="8692" xr:uid="{00000000-0005-0000-0000-0000A5590000}"/>
    <cellStyle name="C02H" xfId="8693" xr:uid="{00000000-0005-0000-0000-0000A6590000}"/>
    <cellStyle name="C02L" xfId="8694" xr:uid="{00000000-0005-0000-0000-0000A7590000}"/>
    <cellStyle name="C03A" xfId="8695" xr:uid="{00000000-0005-0000-0000-0000A8590000}"/>
    <cellStyle name="C03B" xfId="8696" xr:uid="{00000000-0005-0000-0000-0000A9590000}"/>
    <cellStyle name="C03H" xfId="8697" xr:uid="{00000000-0005-0000-0000-0000AA590000}"/>
    <cellStyle name="C03L" xfId="8698" xr:uid="{00000000-0005-0000-0000-0000AB590000}"/>
    <cellStyle name="C04A" xfId="8699" xr:uid="{00000000-0005-0000-0000-0000AC590000}"/>
    <cellStyle name="C04B" xfId="8700" xr:uid="{00000000-0005-0000-0000-0000AD590000}"/>
    <cellStyle name="C04H" xfId="8701" xr:uid="{00000000-0005-0000-0000-0000AE590000}"/>
    <cellStyle name="C04L" xfId="8702" xr:uid="{00000000-0005-0000-0000-0000AF590000}"/>
    <cellStyle name="C05A" xfId="8703" xr:uid="{00000000-0005-0000-0000-0000B0590000}"/>
    <cellStyle name="C05B" xfId="8704" xr:uid="{00000000-0005-0000-0000-0000B1590000}"/>
    <cellStyle name="C05H" xfId="8705" xr:uid="{00000000-0005-0000-0000-0000B2590000}"/>
    <cellStyle name="C05L" xfId="8706" xr:uid="{00000000-0005-0000-0000-0000B3590000}"/>
    <cellStyle name="C06A" xfId="8707" xr:uid="{00000000-0005-0000-0000-0000B4590000}"/>
    <cellStyle name="C06B" xfId="8708" xr:uid="{00000000-0005-0000-0000-0000B5590000}"/>
    <cellStyle name="C06H" xfId="8709" xr:uid="{00000000-0005-0000-0000-0000B6590000}"/>
    <cellStyle name="C06L" xfId="8710" xr:uid="{00000000-0005-0000-0000-0000B7590000}"/>
    <cellStyle name="C07A" xfId="8711" xr:uid="{00000000-0005-0000-0000-0000B8590000}"/>
    <cellStyle name="C07B" xfId="8712" xr:uid="{00000000-0005-0000-0000-0000B9590000}"/>
    <cellStyle name="C07H" xfId="8713" xr:uid="{00000000-0005-0000-0000-0000BA590000}"/>
    <cellStyle name="C07L" xfId="8714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8146" xr:uid="{00000000-0005-0000-0000-0000BE590000}"/>
    <cellStyle name="Calculation 10 12" xfId="58147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148" xr:uid="{00000000-0005-0000-0000-0000C2590000}"/>
    <cellStyle name="Calculation 10 2 3" xfId="2778" xr:uid="{00000000-0005-0000-0000-0000C3590000}"/>
    <cellStyle name="Calculation 10 2 3 2" xfId="58149" xr:uid="{00000000-0005-0000-0000-0000C4590000}"/>
    <cellStyle name="Calculation 10 2 4" xfId="2779" xr:uid="{00000000-0005-0000-0000-0000C5590000}"/>
    <cellStyle name="Calculation 10 2 4 2" xfId="58150" xr:uid="{00000000-0005-0000-0000-0000C6590000}"/>
    <cellStyle name="Calculation 10 2 5" xfId="2780" xr:uid="{00000000-0005-0000-0000-0000C7590000}"/>
    <cellStyle name="Calculation 10 2 5 2" xfId="58151" xr:uid="{00000000-0005-0000-0000-0000C8590000}"/>
    <cellStyle name="Calculation 10 2 6" xfId="2781" xr:uid="{00000000-0005-0000-0000-0000C9590000}"/>
    <cellStyle name="Calculation 10 2 6 2" xfId="58152" xr:uid="{00000000-0005-0000-0000-0000CA590000}"/>
    <cellStyle name="Calculation 10 2 7" xfId="2782" xr:uid="{00000000-0005-0000-0000-0000CB590000}"/>
    <cellStyle name="Calculation 10 2 7 2" xfId="58153" xr:uid="{00000000-0005-0000-0000-0000CC590000}"/>
    <cellStyle name="Calculation 10 2 8" xfId="2783" xr:uid="{00000000-0005-0000-0000-0000CD590000}"/>
    <cellStyle name="Calculation 10 2 8 2" xfId="58154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155" xr:uid="{00000000-0005-0000-0000-0000D1590000}"/>
    <cellStyle name="Calculation 10 4" xfId="2786" xr:uid="{00000000-0005-0000-0000-0000D2590000}"/>
    <cellStyle name="Calculation 10 4 2" xfId="58156" xr:uid="{00000000-0005-0000-0000-0000D3590000}"/>
    <cellStyle name="Calculation 10 5" xfId="2787" xr:uid="{00000000-0005-0000-0000-0000D4590000}"/>
    <cellStyle name="Calculation 10 5 2" xfId="58157" xr:uid="{00000000-0005-0000-0000-0000D5590000}"/>
    <cellStyle name="Calculation 10 6" xfId="2788" xr:uid="{00000000-0005-0000-0000-0000D6590000}"/>
    <cellStyle name="Calculation 10 6 2" xfId="58158" xr:uid="{00000000-0005-0000-0000-0000D7590000}"/>
    <cellStyle name="Calculation 10 7" xfId="2789" xr:uid="{00000000-0005-0000-0000-0000D8590000}"/>
    <cellStyle name="Calculation 10 7 2" xfId="58159" xr:uid="{00000000-0005-0000-0000-0000D9590000}"/>
    <cellStyle name="Calculation 10 8" xfId="2790" xr:uid="{00000000-0005-0000-0000-0000DA590000}"/>
    <cellStyle name="Calculation 10 8 2" xfId="58160" xr:uid="{00000000-0005-0000-0000-0000DB590000}"/>
    <cellStyle name="Calculation 10 9" xfId="2791" xr:uid="{00000000-0005-0000-0000-0000DC590000}"/>
    <cellStyle name="Calculation 10 9 2" xfId="58161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8162" xr:uid="{00000000-0005-0000-0000-0000E0590000}"/>
    <cellStyle name="Calculation 11 12" xfId="58163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164" xr:uid="{00000000-0005-0000-0000-0000E4590000}"/>
    <cellStyle name="Calculation 11 2 3" xfId="2796" xr:uid="{00000000-0005-0000-0000-0000E5590000}"/>
    <cellStyle name="Calculation 11 2 3 2" xfId="58165" xr:uid="{00000000-0005-0000-0000-0000E6590000}"/>
    <cellStyle name="Calculation 11 2 4" xfId="2797" xr:uid="{00000000-0005-0000-0000-0000E7590000}"/>
    <cellStyle name="Calculation 11 2 4 2" xfId="58166" xr:uid="{00000000-0005-0000-0000-0000E8590000}"/>
    <cellStyle name="Calculation 11 2 5" xfId="2798" xr:uid="{00000000-0005-0000-0000-0000E9590000}"/>
    <cellStyle name="Calculation 11 2 5 2" xfId="58167" xr:uid="{00000000-0005-0000-0000-0000EA590000}"/>
    <cellStyle name="Calculation 11 2 6" xfId="2799" xr:uid="{00000000-0005-0000-0000-0000EB590000}"/>
    <cellStyle name="Calculation 11 2 6 2" xfId="58168" xr:uid="{00000000-0005-0000-0000-0000EC590000}"/>
    <cellStyle name="Calculation 11 2 7" xfId="2800" xr:uid="{00000000-0005-0000-0000-0000ED590000}"/>
    <cellStyle name="Calculation 11 2 7 2" xfId="58169" xr:uid="{00000000-0005-0000-0000-0000EE590000}"/>
    <cellStyle name="Calculation 11 2 8" xfId="2801" xr:uid="{00000000-0005-0000-0000-0000EF590000}"/>
    <cellStyle name="Calculation 11 2 8 2" xfId="58170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171" xr:uid="{00000000-0005-0000-0000-0000F3590000}"/>
    <cellStyle name="Calculation 11 4" xfId="2804" xr:uid="{00000000-0005-0000-0000-0000F4590000}"/>
    <cellStyle name="Calculation 11 4 2" xfId="58172" xr:uid="{00000000-0005-0000-0000-0000F5590000}"/>
    <cellStyle name="Calculation 11 5" xfId="2805" xr:uid="{00000000-0005-0000-0000-0000F6590000}"/>
    <cellStyle name="Calculation 11 5 2" xfId="58173" xr:uid="{00000000-0005-0000-0000-0000F7590000}"/>
    <cellStyle name="Calculation 11 6" xfId="2806" xr:uid="{00000000-0005-0000-0000-0000F8590000}"/>
    <cellStyle name="Calculation 11 6 2" xfId="58174" xr:uid="{00000000-0005-0000-0000-0000F9590000}"/>
    <cellStyle name="Calculation 11 7" xfId="2807" xr:uid="{00000000-0005-0000-0000-0000FA590000}"/>
    <cellStyle name="Calculation 11 7 2" xfId="58175" xr:uid="{00000000-0005-0000-0000-0000FB590000}"/>
    <cellStyle name="Calculation 11 8" xfId="2808" xr:uid="{00000000-0005-0000-0000-0000FC590000}"/>
    <cellStyle name="Calculation 11 8 2" xfId="58176" xr:uid="{00000000-0005-0000-0000-0000FD590000}"/>
    <cellStyle name="Calculation 11 9" xfId="2809" xr:uid="{00000000-0005-0000-0000-0000FE590000}"/>
    <cellStyle name="Calculation 11 9 2" xfId="58177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8178" xr:uid="{00000000-0005-0000-0000-0000025A0000}"/>
    <cellStyle name="Calculation 12 12" xfId="58179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180" xr:uid="{00000000-0005-0000-0000-0000065A0000}"/>
    <cellStyle name="Calculation 12 2 3" xfId="2814" xr:uid="{00000000-0005-0000-0000-0000075A0000}"/>
    <cellStyle name="Calculation 12 2 3 2" xfId="58181" xr:uid="{00000000-0005-0000-0000-0000085A0000}"/>
    <cellStyle name="Calculation 12 2 4" xfId="2815" xr:uid="{00000000-0005-0000-0000-0000095A0000}"/>
    <cellStyle name="Calculation 12 2 4 2" xfId="58182" xr:uid="{00000000-0005-0000-0000-00000A5A0000}"/>
    <cellStyle name="Calculation 12 2 5" xfId="2816" xr:uid="{00000000-0005-0000-0000-00000B5A0000}"/>
    <cellStyle name="Calculation 12 2 5 2" xfId="58183" xr:uid="{00000000-0005-0000-0000-00000C5A0000}"/>
    <cellStyle name="Calculation 12 2 6" xfId="2817" xr:uid="{00000000-0005-0000-0000-00000D5A0000}"/>
    <cellStyle name="Calculation 12 2 6 2" xfId="58184" xr:uid="{00000000-0005-0000-0000-00000E5A0000}"/>
    <cellStyle name="Calculation 12 2 7" xfId="2818" xr:uid="{00000000-0005-0000-0000-00000F5A0000}"/>
    <cellStyle name="Calculation 12 2 7 2" xfId="58185" xr:uid="{00000000-0005-0000-0000-0000105A0000}"/>
    <cellStyle name="Calculation 12 2 8" xfId="2819" xr:uid="{00000000-0005-0000-0000-0000115A0000}"/>
    <cellStyle name="Calculation 12 2 8 2" xfId="58186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187" xr:uid="{00000000-0005-0000-0000-0000155A0000}"/>
    <cellStyle name="Calculation 12 4" xfId="2822" xr:uid="{00000000-0005-0000-0000-0000165A0000}"/>
    <cellStyle name="Calculation 12 4 2" xfId="58188" xr:uid="{00000000-0005-0000-0000-0000175A0000}"/>
    <cellStyle name="Calculation 12 5" xfId="2823" xr:uid="{00000000-0005-0000-0000-0000185A0000}"/>
    <cellStyle name="Calculation 12 5 2" xfId="58189" xr:uid="{00000000-0005-0000-0000-0000195A0000}"/>
    <cellStyle name="Calculation 12 6" xfId="2824" xr:uid="{00000000-0005-0000-0000-00001A5A0000}"/>
    <cellStyle name="Calculation 12 6 2" xfId="58190" xr:uid="{00000000-0005-0000-0000-00001B5A0000}"/>
    <cellStyle name="Calculation 12 7" xfId="2825" xr:uid="{00000000-0005-0000-0000-00001C5A0000}"/>
    <cellStyle name="Calculation 12 7 2" xfId="58191" xr:uid="{00000000-0005-0000-0000-00001D5A0000}"/>
    <cellStyle name="Calculation 12 8" xfId="2826" xr:uid="{00000000-0005-0000-0000-00001E5A0000}"/>
    <cellStyle name="Calculation 12 8 2" xfId="58192" xr:uid="{00000000-0005-0000-0000-00001F5A0000}"/>
    <cellStyle name="Calculation 12 9" xfId="2827" xr:uid="{00000000-0005-0000-0000-0000205A0000}"/>
    <cellStyle name="Calculation 12 9 2" xfId="58193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8194" xr:uid="{00000000-0005-0000-0000-0000245A0000}"/>
    <cellStyle name="Calculation 13 12" xfId="58195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196" xr:uid="{00000000-0005-0000-0000-0000285A0000}"/>
    <cellStyle name="Calculation 13 2 3" xfId="2832" xr:uid="{00000000-0005-0000-0000-0000295A0000}"/>
    <cellStyle name="Calculation 13 2 3 2" xfId="58197" xr:uid="{00000000-0005-0000-0000-00002A5A0000}"/>
    <cellStyle name="Calculation 13 2 4" xfId="2833" xr:uid="{00000000-0005-0000-0000-00002B5A0000}"/>
    <cellStyle name="Calculation 13 2 4 2" xfId="58198" xr:uid="{00000000-0005-0000-0000-00002C5A0000}"/>
    <cellStyle name="Calculation 13 2 5" xfId="2834" xr:uid="{00000000-0005-0000-0000-00002D5A0000}"/>
    <cellStyle name="Calculation 13 2 5 2" xfId="58199" xr:uid="{00000000-0005-0000-0000-00002E5A0000}"/>
    <cellStyle name="Calculation 13 2 6" xfId="2835" xr:uid="{00000000-0005-0000-0000-00002F5A0000}"/>
    <cellStyle name="Calculation 13 2 6 2" xfId="58200" xr:uid="{00000000-0005-0000-0000-0000305A0000}"/>
    <cellStyle name="Calculation 13 2 7" xfId="2836" xr:uid="{00000000-0005-0000-0000-0000315A0000}"/>
    <cellStyle name="Calculation 13 2 7 2" xfId="58201" xr:uid="{00000000-0005-0000-0000-0000325A0000}"/>
    <cellStyle name="Calculation 13 2 8" xfId="2837" xr:uid="{00000000-0005-0000-0000-0000335A0000}"/>
    <cellStyle name="Calculation 13 2 8 2" xfId="58202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203" xr:uid="{00000000-0005-0000-0000-0000375A0000}"/>
    <cellStyle name="Calculation 13 4" xfId="2840" xr:uid="{00000000-0005-0000-0000-0000385A0000}"/>
    <cellStyle name="Calculation 13 4 2" xfId="58204" xr:uid="{00000000-0005-0000-0000-0000395A0000}"/>
    <cellStyle name="Calculation 13 5" xfId="2841" xr:uid="{00000000-0005-0000-0000-00003A5A0000}"/>
    <cellStyle name="Calculation 13 5 2" xfId="58205" xr:uid="{00000000-0005-0000-0000-00003B5A0000}"/>
    <cellStyle name="Calculation 13 6" xfId="2842" xr:uid="{00000000-0005-0000-0000-00003C5A0000}"/>
    <cellStyle name="Calculation 13 6 2" xfId="58206" xr:uid="{00000000-0005-0000-0000-00003D5A0000}"/>
    <cellStyle name="Calculation 13 7" xfId="2843" xr:uid="{00000000-0005-0000-0000-00003E5A0000}"/>
    <cellStyle name="Calculation 13 7 2" xfId="58207" xr:uid="{00000000-0005-0000-0000-00003F5A0000}"/>
    <cellStyle name="Calculation 13 8" xfId="2844" xr:uid="{00000000-0005-0000-0000-0000405A0000}"/>
    <cellStyle name="Calculation 13 8 2" xfId="58208" xr:uid="{00000000-0005-0000-0000-0000415A0000}"/>
    <cellStyle name="Calculation 13 9" xfId="2845" xr:uid="{00000000-0005-0000-0000-0000425A0000}"/>
    <cellStyle name="Calculation 13 9 2" xfId="58209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8210" xr:uid="{00000000-0005-0000-0000-0000465A0000}"/>
    <cellStyle name="Calculation 14 12" xfId="58211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212" xr:uid="{00000000-0005-0000-0000-00004A5A0000}"/>
    <cellStyle name="Calculation 14 2 3" xfId="2850" xr:uid="{00000000-0005-0000-0000-00004B5A0000}"/>
    <cellStyle name="Calculation 14 2 3 2" xfId="58213" xr:uid="{00000000-0005-0000-0000-00004C5A0000}"/>
    <cellStyle name="Calculation 14 2 4" xfId="2851" xr:uid="{00000000-0005-0000-0000-00004D5A0000}"/>
    <cellStyle name="Calculation 14 2 4 2" xfId="58214" xr:uid="{00000000-0005-0000-0000-00004E5A0000}"/>
    <cellStyle name="Calculation 14 2 5" xfId="2852" xr:uid="{00000000-0005-0000-0000-00004F5A0000}"/>
    <cellStyle name="Calculation 14 2 5 2" xfId="58215" xr:uid="{00000000-0005-0000-0000-0000505A0000}"/>
    <cellStyle name="Calculation 14 2 6" xfId="2853" xr:uid="{00000000-0005-0000-0000-0000515A0000}"/>
    <cellStyle name="Calculation 14 2 6 2" xfId="58216" xr:uid="{00000000-0005-0000-0000-0000525A0000}"/>
    <cellStyle name="Calculation 14 2 7" xfId="2854" xr:uid="{00000000-0005-0000-0000-0000535A0000}"/>
    <cellStyle name="Calculation 14 2 7 2" xfId="58217" xr:uid="{00000000-0005-0000-0000-0000545A0000}"/>
    <cellStyle name="Calculation 14 2 8" xfId="2855" xr:uid="{00000000-0005-0000-0000-0000555A0000}"/>
    <cellStyle name="Calculation 14 2 8 2" xfId="58218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219" xr:uid="{00000000-0005-0000-0000-0000595A0000}"/>
    <cellStyle name="Calculation 14 4" xfId="2858" xr:uid="{00000000-0005-0000-0000-00005A5A0000}"/>
    <cellStyle name="Calculation 14 4 2" xfId="58220" xr:uid="{00000000-0005-0000-0000-00005B5A0000}"/>
    <cellStyle name="Calculation 14 5" xfId="2859" xr:uid="{00000000-0005-0000-0000-00005C5A0000}"/>
    <cellStyle name="Calculation 14 5 2" xfId="58221" xr:uid="{00000000-0005-0000-0000-00005D5A0000}"/>
    <cellStyle name="Calculation 14 6" xfId="2860" xr:uid="{00000000-0005-0000-0000-00005E5A0000}"/>
    <cellStyle name="Calculation 14 6 2" xfId="58222" xr:uid="{00000000-0005-0000-0000-00005F5A0000}"/>
    <cellStyle name="Calculation 14 7" xfId="2861" xr:uid="{00000000-0005-0000-0000-0000605A0000}"/>
    <cellStyle name="Calculation 14 7 2" xfId="58223" xr:uid="{00000000-0005-0000-0000-0000615A0000}"/>
    <cellStyle name="Calculation 14 8" xfId="2862" xr:uid="{00000000-0005-0000-0000-0000625A0000}"/>
    <cellStyle name="Calculation 14 8 2" xfId="58224" xr:uid="{00000000-0005-0000-0000-0000635A0000}"/>
    <cellStyle name="Calculation 14 9" xfId="2863" xr:uid="{00000000-0005-0000-0000-0000645A0000}"/>
    <cellStyle name="Calculation 14 9 2" xfId="58225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8226" xr:uid="{00000000-0005-0000-0000-0000685A0000}"/>
    <cellStyle name="Calculation 15 12" xfId="58227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228" xr:uid="{00000000-0005-0000-0000-00006C5A0000}"/>
    <cellStyle name="Calculation 15 2 3" xfId="2868" xr:uid="{00000000-0005-0000-0000-00006D5A0000}"/>
    <cellStyle name="Calculation 15 2 3 2" xfId="58229" xr:uid="{00000000-0005-0000-0000-00006E5A0000}"/>
    <cellStyle name="Calculation 15 2 4" xfId="2869" xr:uid="{00000000-0005-0000-0000-00006F5A0000}"/>
    <cellStyle name="Calculation 15 2 4 2" xfId="58230" xr:uid="{00000000-0005-0000-0000-0000705A0000}"/>
    <cellStyle name="Calculation 15 2 5" xfId="2870" xr:uid="{00000000-0005-0000-0000-0000715A0000}"/>
    <cellStyle name="Calculation 15 2 5 2" xfId="58231" xr:uid="{00000000-0005-0000-0000-0000725A0000}"/>
    <cellStyle name="Calculation 15 2 6" xfId="2871" xr:uid="{00000000-0005-0000-0000-0000735A0000}"/>
    <cellStyle name="Calculation 15 2 6 2" xfId="58232" xr:uid="{00000000-0005-0000-0000-0000745A0000}"/>
    <cellStyle name="Calculation 15 2 7" xfId="2872" xr:uid="{00000000-0005-0000-0000-0000755A0000}"/>
    <cellStyle name="Calculation 15 2 7 2" xfId="58233" xr:uid="{00000000-0005-0000-0000-0000765A0000}"/>
    <cellStyle name="Calculation 15 2 8" xfId="2873" xr:uid="{00000000-0005-0000-0000-0000775A0000}"/>
    <cellStyle name="Calculation 15 2 8 2" xfId="58234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235" xr:uid="{00000000-0005-0000-0000-00007B5A0000}"/>
    <cellStyle name="Calculation 15 4" xfId="2876" xr:uid="{00000000-0005-0000-0000-00007C5A0000}"/>
    <cellStyle name="Calculation 15 4 2" xfId="58236" xr:uid="{00000000-0005-0000-0000-00007D5A0000}"/>
    <cellStyle name="Calculation 15 5" xfId="2877" xr:uid="{00000000-0005-0000-0000-00007E5A0000}"/>
    <cellStyle name="Calculation 15 5 2" xfId="58237" xr:uid="{00000000-0005-0000-0000-00007F5A0000}"/>
    <cellStyle name="Calculation 15 6" xfId="2878" xr:uid="{00000000-0005-0000-0000-0000805A0000}"/>
    <cellStyle name="Calculation 15 6 2" xfId="58238" xr:uid="{00000000-0005-0000-0000-0000815A0000}"/>
    <cellStyle name="Calculation 15 7" xfId="2879" xr:uid="{00000000-0005-0000-0000-0000825A0000}"/>
    <cellStyle name="Calculation 15 7 2" xfId="58239" xr:uid="{00000000-0005-0000-0000-0000835A0000}"/>
    <cellStyle name="Calculation 15 8" xfId="2880" xr:uid="{00000000-0005-0000-0000-0000845A0000}"/>
    <cellStyle name="Calculation 15 8 2" xfId="58240" xr:uid="{00000000-0005-0000-0000-0000855A0000}"/>
    <cellStyle name="Calculation 15 9" xfId="2881" xr:uid="{00000000-0005-0000-0000-0000865A0000}"/>
    <cellStyle name="Calculation 15 9 2" xfId="58241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8242" xr:uid="{00000000-0005-0000-0000-00008A5A0000}"/>
    <cellStyle name="Calculation 16 12" xfId="58243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244" xr:uid="{00000000-0005-0000-0000-00008E5A0000}"/>
    <cellStyle name="Calculation 16 2 3" xfId="2886" xr:uid="{00000000-0005-0000-0000-00008F5A0000}"/>
    <cellStyle name="Calculation 16 2 3 2" xfId="58245" xr:uid="{00000000-0005-0000-0000-0000905A0000}"/>
    <cellStyle name="Calculation 16 2 4" xfId="2887" xr:uid="{00000000-0005-0000-0000-0000915A0000}"/>
    <cellStyle name="Calculation 16 2 4 2" xfId="58246" xr:uid="{00000000-0005-0000-0000-0000925A0000}"/>
    <cellStyle name="Calculation 16 2 5" xfId="2888" xr:uid="{00000000-0005-0000-0000-0000935A0000}"/>
    <cellStyle name="Calculation 16 2 5 2" xfId="58247" xr:uid="{00000000-0005-0000-0000-0000945A0000}"/>
    <cellStyle name="Calculation 16 2 6" xfId="2889" xr:uid="{00000000-0005-0000-0000-0000955A0000}"/>
    <cellStyle name="Calculation 16 2 6 2" xfId="58248" xr:uid="{00000000-0005-0000-0000-0000965A0000}"/>
    <cellStyle name="Calculation 16 2 7" xfId="2890" xr:uid="{00000000-0005-0000-0000-0000975A0000}"/>
    <cellStyle name="Calculation 16 2 7 2" xfId="58249" xr:uid="{00000000-0005-0000-0000-0000985A0000}"/>
    <cellStyle name="Calculation 16 2 8" xfId="2891" xr:uid="{00000000-0005-0000-0000-0000995A0000}"/>
    <cellStyle name="Calculation 16 2 8 2" xfId="58250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251" xr:uid="{00000000-0005-0000-0000-00009D5A0000}"/>
    <cellStyle name="Calculation 16 4" xfId="2894" xr:uid="{00000000-0005-0000-0000-00009E5A0000}"/>
    <cellStyle name="Calculation 16 4 2" xfId="58252" xr:uid="{00000000-0005-0000-0000-00009F5A0000}"/>
    <cellStyle name="Calculation 16 5" xfId="2895" xr:uid="{00000000-0005-0000-0000-0000A05A0000}"/>
    <cellStyle name="Calculation 16 5 2" xfId="58253" xr:uid="{00000000-0005-0000-0000-0000A15A0000}"/>
    <cellStyle name="Calculation 16 6" xfId="2896" xr:uid="{00000000-0005-0000-0000-0000A25A0000}"/>
    <cellStyle name="Calculation 16 6 2" xfId="58254" xr:uid="{00000000-0005-0000-0000-0000A35A0000}"/>
    <cellStyle name="Calculation 16 7" xfId="2897" xr:uid="{00000000-0005-0000-0000-0000A45A0000}"/>
    <cellStyle name="Calculation 16 7 2" xfId="58255" xr:uid="{00000000-0005-0000-0000-0000A55A0000}"/>
    <cellStyle name="Calculation 16 8" xfId="2898" xr:uid="{00000000-0005-0000-0000-0000A65A0000}"/>
    <cellStyle name="Calculation 16 8 2" xfId="58256" xr:uid="{00000000-0005-0000-0000-0000A75A0000}"/>
    <cellStyle name="Calculation 16 9" xfId="2899" xr:uid="{00000000-0005-0000-0000-0000A85A0000}"/>
    <cellStyle name="Calculation 16 9 2" xfId="58257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258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259" xr:uid="{00000000-0005-0000-0000-0000AF5A0000}"/>
    <cellStyle name="Calculation 17 2 3" xfId="2904" xr:uid="{00000000-0005-0000-0000-0000B05A0000}"/>
    <cellStyle name="Calculation 17 2 3 2" xfId="58260" xr:uid="{00000000-0005-0000-0000-0000B15A0000}"/>
    <cellStyle name="Calculation 17 2 4" xfId="2905" xr:uid="{00000000-0005-0000-0000-0000B25A0000}"/>
    <cellStyle name="Calculation 17 2 4 2" xfId="58261" xr:uid="{00000000-0005-0000-0000-0000B35A0000}"/>
    <cellStyle name="Calculation 17 2 5" xfId="2906" xr:uid="{00000000-0005-0000-0000-0000B45A0000}"/>
    <cellStyle name="Calculation 17 2 5 2" xfId="58262" xr:uid="{00000000-0005-0000-0000-0000B55A0000}"/>
    <cellStyle name="Calculation 17 2 6" xfId="2907" xr:uid="{00000000-0005-0000-0000-0000B65A0000}"/>
    <cellStyle name="Calculation 17 2 6 2" xfId="58263" xr:uid="{00000000-0005-0000-0000-0000B75A0000}"/>
    <cellStyle name="Calculation 17 2 7" xfId="2908" xr:uid="{00000000-0005-0000-0000-0000B85A0000}"/>
    <cellStyle name="Calculation 17 2 7 2" xfId="58264" xr:uid="{00000000-0005-0000-0000-0000B95A0000}"/>
    <cellStyle name="Calculation 17 2 8" xfId="2909" xr:uid="{00000000-0005-0000-0000-0000BA5A0000}"/>
    <cellStyle name="Calculation 17 2 8 2" xfId="58265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266" xr:uid="{00000000-0005-0000-0000-0000BE5A0000}"/>
    <cellStyle name="Calculation 17 4" xfId="2912" xr:uid="{00000000-0005-0000-0000-0000BF5A0000}"/>
    <cellStyle name="Calculation 17 4 2" xfId="58267" xr:uid="{00000000-0005-0000-0000-0000C05A0000}"/>
    <cellStyle name="Calculation 17 5" xfId="2913" xr:uid="{00000000-0005-0000-0000-0000C15A0000}"/>
    <cellStyle name="Calculation 17 5 2" xfId="58268" xr:uid="{00000000-0005-0000-0000-0000C25A0000}"/>
    <cellStyle name="Calculation 17 6" xfId="2914" xr:uid="{00000000-0005-0000-0000-0000C35A0000}"/>
    <cellStyle name="Calculation 17 6 2" xfId="58269" xr:uid="{00000000-0005-0000-0000-0000C45A0000}"/>
    <cellStyle name="Calculation 17 7" xfId="2915" xr:uid="{00000000-0005-0000-0000-0000C55A0000}"/>
    <cellStyle name="Calculation 17 7 2" xfId="58270" xr:uid="{00000000-0005-0000-0000-0000C65A0000}"/>
    <cellStyle name="Calculation 17 8" xfId="2916" xr:uid="{00000000-0005-0000-0000-0000C75A0000}"/>
    <cellStyle name="Calculation 17 8 2" xfId="58271" xr:uid="{00000000-0005-0000-0000-0000C85A0000}"/>
    <cellStyle name="Calculation 17 9" xfId="2917" xr:uid="{00000000-0005-0000-0000-0000C95A0000}"/>
    <cellStyle name="Calculation 17 9 2" xfId="58272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273" xr:uid="{00000000-0005-0000-0000-0000CF5A0000}"/>
    <cellStyle name="Calculation 18 2 3" xfId="2922" xr:uid="{00000000-0005-0000-0000-0000D05A0000}"/>
    <cellStyle name="Calculation 18 2 3 2" xfId="58274" xr:uid="{00000000-0005-0000-0000-0000D15A0000}"/>
    <cellStyle name="Calculation 18 2 4" xfId="2923" xr:uid="{00000000-0005-0000-0000-0000D25A0000}"/>
    <cellStyle name="Calculation 18 2 4 2" xfId="58275" xr:uid="{00000000-0005-0000-0000-0000D35A0000}"/>
    <cellStyle name="Calculation 18 2 5" xfId="2924" xr:uid="{00000000-0005-0000-0000-0000D45A0000}"/>
    <cellStyle name="Calculation 18 2 5 2" xfId="58276" xr:uid="{00000000-0005-0000-0000-0000D55A0000}"/>
    <cellStyle name="Calculation 18 2 6" xfId="2925" xr:uid="{00000000-0005-0000-0000-0000D65A0000}"/>
    <cellStyle name="Calculation 18 2 6 2" xfId="58277" xr:uid="{00000000-0005-0000-0000-0000D75A0000}"/>
    <cellStyle name="Calculation 18 2 7" xfId="2926" xr:uid="{00000000-0005-0000-0000-0000D85A0000}"/>
    <cellStyle name="Calculation 18 2 7 2" xfId="58278" xr:uid="{00000000-0005-0000-0000-0000D95A0000}"/>
    <cellStyle name="Calculation 18 2 8" xfId="2927" xr:uid="{00000000-0005-0000-0000-0000DA5A0000}"/>
    <cellStyle name="Calculation 18 2 8 2" xfId="58279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280" xr:uid="{00000000-0005-0000-0000-0000DE5A0000}"/>
    <cellStyle name="Calculation 18 4" xfId="2930" xr:uid="{00000000-0005-0000-0000-0000DF5A0000}"/>
    <cellStyle name="Calculation 18 4 2" xfId="58281" xr:uid="{00000000-0005-0000-0000-0000E05A0000}"/>
    <cellStyle name="Calculation 18 5" xfId="2931" xr:uid="{00000000-0005-0000-0000-0000E15A0000}"/>
    <cellStyle name="Calculation 18 5 2" xfId="58282" xr:uid="{00000000-0005-0000-0000-0000E25A0000}"/>
    <cellStyle name="Calculation 18 6" xfId="2932" xr:uid="{00000000-0005-0000-0000-0000E35A0000}"/>
    <cellStyle name="Calculation 18 6 2" xfId="58283" xr:uid="{00000000-0005-0000-0000-0000E45A0000}"/>
    <cellStyle name="Calculation 18 7" xfId="2933" xr:uid="{00000000-0005-0000-0000-0000E55A0000}"/>
    <cellStyle name="Calculation 18 7 2" xfId="58284" xr:uid="{00000000-0005-0000-0000-0000E65A0000}"/>
    <cellStyle name="Calculation 18 8" xfId="2934" xr:uid="{00000000-0005-0000-0000-0000E75A0000}"/>
    <cellStyle name="Calculation 18 8 2" xfId="58285" xr:uid="{00000000-0005-0000-0000-0000E85A0000}"/>
    <cellStyle name="Calculation 18 9" xfId="2935" xr:uid="{00000000-0005-0000-0000-0000E95A0000}"/>
    <cellStyle name="Calculation 18 9 2" xfId="58286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287" xr:uid="{00000000-0005-0000-0000-0000EF5A0000}"/>
    <cellStyle name="Calculation 19 2 3" xfId="2940" xr:uid="{00000000-0005-0000-0000-0000F05A0000}"/>
    <cellStyle name="Calculation 19 2 3 2" xfId="58288" xr:uid="{00000000-0005-0000-0000-0000F15A0000}"/>
    <cellStyle name="Calculation 19 2 4" xfId="2941" xr:uid="{00000000-0005-0000-0000-0000F25A0000}"/>
    <cellStyle name="Calculation 19 2 4 2" xfId="58289" xr:uid="{00000000-0005-0000-0000-0000F35A0000}"/>
    <cellStyle name="Calculation 19 2 5" xfId="2942" xr:uid="{00000000-0005-0000-0000-0000F45A0000}"/>
    <cellStyle name="Calculation 19 2 5 2" xfId="58290" xr:uid="{00000000-0005-0000-0000-0000F55A0000}"/>
    <cellStyle name="Calculation 19 2 6" xfId="2943" xr:uid="{00000000-0005-0000-0000-0000F65A0000}"/>
    <cellStyle name="Calculation 19 2 6 2" xfId="58291" xr:uid="{00000000-0005-0000-0000-0000F75A0000}"/>
    <cellStyle name="Calculation 19 2 7" xfId="2944" xr:uid="{00000000-0005-0000-0000-0000F85A0000}"/>
    <cellStyle name="Calculation 19 2 7 2" xfId="58292" xr:uid="{00000000-0005-0000-0000-0000F95A0000}"/>
    <cellStyle name="Calculation 19 2 8" xfId="2945" xr:uid="{00000000-0005-0000-0000-0000FA5A0000}"/>
    <cellStyle name="Calculation 19 2 8 2" xfId="58293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294" xr:uid="{00000000-0005-0000-0000-0000FE5A0000}"/>
    <cellStyle name="Calculation 19 4" xfId="2948" xr:uid="{00000000-0005-0000-0000-0000FF5A0000}"/>
    <cellStyle name="Calculation 19 4 2" xfId="58295" xr:uid="{00000000-0005-0000-0000-0000005B0000}"/>
    <cellStyle name="Calculation 19 5" xfId="2949" xr:uid="{00000000-0005-0000-0000-0000015B0000}"/>
    <cellStyle name="Calculation 19 5 2" xfId="58296" xr:uid="{00000000-0005-0000-0000-0000025B0000}"/>
    <cellStyle name="Calculation 19 6" xfId="2950" xr:uid="{00000000-0005-0000-0000-0000035B0000}"/>
    <cellStyle name="Calculation 19 6 2" xfId="58297" xr:uid="{00000000-0005-0000-0000-0000045B0000}"/>
    <cellStyle name="Calculation 19 7" xfId="2951" xr:uid="{00000000-0005-0000-0000-0000055B0000}"/>
    <cellStyle name="Calculation 19 7 2" xfId="58298" xr:uid="{00000000-0005-0000-0000-0000065B0000}"/>
    <cellStyle name="Calculation 19 8" xfId="2952" xr:uid="{00000000-0005-0000-0000-0000075B0000}"/>
    <cellStyle name="Calculation 19 8 2" xfId="58299" xr:uid="{00000000-0005-0000-0000-0000085B0000}"/>
    <cellStyle name="Calculation 19 9" xfId="2953" xr:uid="{00000000-0005-0000-0000-0000095B0000}"/>
    <cellStyle name="Calculation 19 9 2" xfId="58300" xr:uid="{00000000-0005-0000-0000-00000A5B0000}"/>
    <cellStyle name="Calculation 2" xfId="2954" xr:uid="{00000000-0005-0000-0000-00000B5B0000}"/>
    <cellStyle name="Calculation 2 10" xfId="58301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302" xr:uid="{00000000-0005-0000-0000-00000F5B0000}"/>
    <cellStyle name="Calculation 2 2 2" xfId="2957" xr:uid="{00000000-0005-0000-0000-0000105B0000}"/>
    <cellStyle name="Calculation 2 2 2 2" xfId="58303" xr:uid="{00000000-0005-0000-0000-0000115B0000}"/>
    <cellStyle name="Calculation 2 2 3" xfId="2958" xr:uid="{00000000-0005-0000-0000-0000125B0000}"/>
    <cellStyle name="Calculation 2 2 3 2" xfId="58304" xr:uid="{00000000-0005-0000-0000-0000135B0000}"/>
    <cellStyle name="Calculation 2 2 4" xfId="2959" xr:uid="{00000000-0005-0000-0000-0000145B0000}"/>
    <cellStyle name="Calculation 2 2 4 2" xfId="58305" xr:uid="{00000000-0005-0000-0000-0000155B0000}"/>
    <cellStyle name="Calculation 2 2 5" xfId="2960" xr:uid="{00000000-0005-0000-0000-0000165B0000}"/>
    <cellStyle name="Calculation 2 2 5 2" xfId="58306" xr:uid="{00000000-0005-0000-0000-0000175B0000}"/>
    <cellStyle name="Calculation 2 2 6" xfId="2961" xr:uid="{00000000-0005-0000-0000-0000185B0000}"/>
    <cellStyle name="Calculation 2 2 6 2" xfId="58307" xr:uid="{00000000-0005-0000-0000-0000195B0000}"/>
    <cellStyle name="Calculation 2 2 7" xfId="2962" xr:uid="{00000000-0005-0000-0000-00001A5B0000}"/>
    <cellStyle name="Calculation 2 2 7 2" xfId="58308" xr:uid="{00000000-0005-0000-0000-00001B5B0000}"/>
    <cellStyle name="Calculation 2 2 8" xfId="2963" xr:uid="{00000000-0005-0000-0000-00001C5B0000}"/>
    <cellStyle name="Calculation 2 2 8 2" xfId="58309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310" xr:uid="{00000000-0005-0000-0000-0000205B0000}"/>
    <cellStyle name="Calculation 2 4" xfId="2966" xr:uid="{00000000-0005-0000-0000-0000215B0000}"/>
    <cellStyle name="Calculation 2 4 2" xfId="58311" xr:uid="{00000000-0005-0000-0000-0000225B0000}"/>
    <cellStyle name="Calculation 2 5" xfId="2967" xr:uid="{00000000-0005-0000-0000-0000235B0000}"/>
    <cellStyle name="Calculation 2 5 2" xfId="58312" xr:uid="{00000000-0005-0000-0000-0000245B0000}"/>
    <cellStyle name="Calculation 2 6" xfId="2968" xr:uid="{00000000-0005-0000-0000-0000255B0000}"/>
    <cellStyle name="Calculation 2 6 2" xfId="58313" xr:uid="{00000000-0005-0000-0000-0000265B0000}"/>
    <cellStyle name="Calculation 2 7" xfId="2969" xr:uid="{00000000-0005-0000-0000-0000275B0000}"/>
    <cellStyle name="Calculation 2 7 2" xfId="58314" xr:uid="{00000000-0005-0000-0000-0000285B0000}"/>
    <cellStyle name="Calculation 2 8" xfId="2970" xr:uid="{00000000-0005-0000-0000-0000295B0000}"/>
    <cellStyle name="Calculation 2 8 2" xfId="58315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316" xr:uid="{00000000-0005-0000-0000-0000305B0000}"/>
    <cellStyle name="Calculation 20 2 3" xfId="2976" xr:uid="{00000000-0005-0000-0000-0000315B0000}"/>
    <cellStyle name="Calculation 20 2 3 2" xfId="58317" xr:uid="{00000000-0005-0000-0000-0000325B0000}"/>
    <cellStyle name="Calculation 20 2 4" xfId="2977" xr:uid="{00000000-0005-0000-0000-0000335B0000}"/>
    <cellStyle name="Calculation 20 2 4 2" xfId="58318" xr:uid="{00000000-0005-0000-0000-0000345B0000}"/>
    <cellStyle name="Calculation 20 2 5" xfId="2978" xr:uid="{00000000-0005-0000-0000-0000355B0000}"/>
    <cellStyle name="Calculation 20 2 5 2" xfId="58319" xr:uid="{00000000-0005-0000-0000-0000365B0000}"/>
    <cellStyle name="Calculation 20 2 6" xfId="2979" xr:uid="{00000000-0005-0000-0000-0000375B0000}"/>
    <cellStyle name="Calculation 20 2 6 2" xfId="58320" xr:uid="{00000000-0005-0000-0000-0000385B0000}"/>
    <cellStyle name="Calculation 20 2 7" xfId="2980" xr:uid="{00000000-0005-0000-0000-0000395B0000}"/>
    <cellStyle name="Calculation 20 2 7 2" xfId="58321" xr:uid="{00000000-0005-0000-0000-00003A5B0000}"/>
    <cellStyle name="Calculation 20 2 8" xfId="2981" xr:uid="{00000000-0005-0000-0000-00003B5B0000}"/>
    <cellStyle name="Calculation 20 2 8 2" xfId="58322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323" xr:uid="{00000000-0005-0000-0000-00003F5B0000}"/>
    <cellStyle name="Calculation 20 4" xfId="2984" xr:uid="{00000000-0005-0000-0000-0000405B0000}"/>
    <cellStyle name="Calculation 20 4 2" xfId="58324" xr:uid="{00000000-0005-0000-0000-0000415B0000}"/>
    <cellStyle name="Calculation 20 5" xfId="2985" xr:uid="{00000000-0005-0000-0000-0000425B0000}"/>
    <cellStyle name="Calculation 20 5 2" xfId="58325" xr:uid="{00000000-0005-0000-0000-0000435B0000}"/>
    <cellStyle name="Calculation 20 6" xfId="2986" xr:uid="{00000000-0005-0000-0000-0000445B0000}"/>
    <cellStyle name="Calculation 20 6 2" xfId="58326" xr:uid="{00000000-0005-0000-0000-0000455B0000}"/>
    <cellStyle name="Calculation 20 7" xfId="2987" xr:uid="{00000000-0005-0000-0000-0000465B0000}"/>
    <cellStyle name="Calculation 20 7 2" xfId="58327" xr:uid="{00000000-0005-0000-0000-0000475B0000}"/>
    <cellStyle name="Calculation 20 8" xfId="2988" xr:uid="{00000000-0005-0000-0000-0000485B0000}"/>
    <cellStyle name="Calculation 20 8 2" xfId="58328" xr:uid="{00000000-0005-0000-0000-0000495B0000}"/>
    <cellStyle name="Calculation 20 9" xfId="2989" xr:uid="{00000000-0005-0000-0000-00004A5B0000}"/>
    <cellStyle name="Calculation 20 9 2" xfId="58329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330" xr:uid="{00000000-0005-0000-0000-0000505B0000}"/>
    <cellStyle name="Calculation 21 2 3" xfId="2994" xr:uid="{00000000-0005-0000-0000-0000515B0000}"/>
    <cellStyle name="Calculation 21 2 3 2" xfId="58331" xr:uid="{00000000-0005-0000-0000-0000525B0000}"/>
    <cellStyle name="Calculation 21 2 4" xfId="2995" xr:uid="{00000000-0005-0000-0000-0000535B0000}"/>
    <cellStyle name="Calculation 21 2 4 2" xfId="58332" xr:uid="{00000000-0005-0000-0000-0000545B0000}"/>
    <cellStyle name="Calculation 21 2 5" xfId="2996" xr:uid="{00000000-0005-0000-0000-0000555B0000}"/>
    <cellStyle name="Calculation 21 2 5 2" xfId="58333" xr:uid="{00000000-0005-0000-0000-0000565B0000}"/>
    <cellStyle name="Calculation 21 2 6" xfId="2997" xr:uid="{00000000-0005-0000-0000-0000575B0000}"/>
    <cellStyle name="Calculation 21 2 6 2" xfId="58334" xr:uid="{00000000-0005-0000-0000-0000585B0000}"/>
    <cellStyle name="Calculation 21 2 7" xfId="2998" xr:uid="{00000000-0005-0000-0000-0000595B0000}"/>
    <cellStyle name="Calculation 21 2 7 2" xfId="58335" xr:uid="{00000000-0005-0000-0000-00005A5B0000}"/>
    <cellStyle name="Calculation 21 2 8" xfId="2999" xr:uid="{00000000-0005-0000-0000-00005B5B0000}"/>
    <cellStyle name="Calculation 21 2 8 2" xfId="58336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337" xr:uid="{00000000-0005-0000-0000-00005F5B0000}"/>
    <cellStyle name="Calculation 21 4" xfId="3002" xr:uid="{00000000-0005-0000-0000-0000605B0000}"/>
    <cellStyle name="Calculation 21 4 2" xfId="58338" xr:uid="{00000000-0005-0000-0000-0000615B0000}"/>
    <cellStyle name="Calculation 21 5" xfId="3003" xr:uid="{00000000-0005-0000-0000-0000625B0000}"/>
    <cellStyle name="Calculation 21 5 2" xfId="58339" xr:uid="{00000000-0005-0000-0000-0000635B0000}"/>
    <cellStyle name="Calculation 21 6" xfId="3004" xr:uid="{00000000-0005-0000-0000-0000645B0000}"/>
    <cellStyle name="Calculation 21 6 2" xfId="58340" xr:uid="{00000000-0005-0000-0000-0000655B0000}"/>
    <cellStyle name="Calculation 21 7" xfId="3005" xr:uid="{00000000-0005-0000-0000-0000665B0000}"/>
    <cellStyle name="Calculation 21 7 2" xfId="58341" xr:uid="{00000000-0005-0000-0000-0000675B0000}"/>
    <cellStyle name="Calculation 21 8" xfId="3006" xr:uid="{00000000-0005-0000-0000-0000685B0000}"/>
    <cellStyle name="Calculation 21 8 2" xfId="58342" xr:uid="{00000000-0005-0000-0000-0000695B0000}"/>
    <cellStyle name="Calculation 21 9" xfId="3007" xr:uid="{00000000-0005-0000-0000-00006A5B0000}"/>
    <cellStyle name="Calculation 21 9 2" xfId="58343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344" xr:uid="{00000000-0005-0000-0000-00006E5B0000}"/>
    <cellStyle name="Calculation 22 3" xfId="3010" xr:uid="{00000000-0005-0000-0000-00006F5B0000}"/>
    <cellStyle name="Calculation 22 3 2" xfId="58345" xr:uid="{00000000-0005-0000-0000-0000705B0000}"/>
    <cellStyle name="Calculation 22 4" xfId="3011" xr:uid="{00000000-0005-0000-0000-0000715B0000}"/>
    <cellStyle name="Calculation 22 4 2" xfId="58346" xr:uid="{00000000-0005-0000-0000-0000725B0000}"/>
    <cellStyle name="Calculation 22 5" xfId="3012" xr:uid="{00000000-0005-0000-0000-0000735B0000}"/>
    <cellStyle name="Calculation 22 5 2" xfId="58347" xr:uid="{00000000-0005-0000-0000-0000745B0000}"/>
    <cellStyle name="Calculation 22 6" xfId="3013" xr:uid="{00000000-0005-0000-0000-0000755B0000}"/>
    <cellStyle name="Calculation 22 6 2" xfId="58348" xr:uid="{00000000-0005-0000-0000-0000765B0000}"/>
    <cellStyle name="Calculation 22 7" xfId="3014" xr:uid="{00000000-0005-0000-0000-0000775B0000}"/>
    <cellStyle name="Calculation 22 7 2" xfId="58349" xr:uid="{00000000-0005-0000-0000-0000785B0000}"/>
    <cellStyle name="Calculation 22 8" xfId="3015" xr:uid="{00000000-0005-0000-0000-0000795B0000}"/>
    <cellStyle name="Calculation 22 8 2" xfId="58350" xr:uid="{00000000-0005-0000-0000-00007A5B0000}"/>
    <cellStyle name="Calculation 22 9" xfId="3016" xr:uid="{00000000-0005-0000-0000-00007B5B0000}"/>
    <cellStyle name="Calculation 23" xfId="9037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38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351" xr:uid="{00000000-0005-0000-0000-0000835B0000}"/>
    <cellStyle name="Calculation 3 2 3" xfId="3022" xr:uid="{00000000-0005-0000-0000-0000845B0000}"/>
    <cellStyle name="Calculation 3 2 3 2" xfId="58352" xr:uid="{00000000-0005-0000-0000-0000855B0000}"/>
    <cellStyle name="Calculation 3 2 4" xfId="3023" xr:uid="{00000000-0005-0000-0000-0000865B0000}"/>
    <cellStyle name="Calculation 3 2 4 2" xfId="58353" xr:uid="{00000000-0005-0000-0000-0000875B0000}"/>
    <cellStyle name="Calculation 3 2 5" xfId="3024" xr:uid="{00000000-0005-0000-0000-0000885B0000}"/>
    <cellStyle name="Calculation 3 2 5 2" xfId="58354" xr:uid="{00000000-0005-0000-0000-0000895B0000}"/>
    <cellStyle name="Calculation 3 2 6" xfId="3025" xr:uid="{00000000-0005-0000-0000-00008A5B0000}"/>
    <cellStyle name="Calculation 3 2 6 2" xfId="58355" xr:uid="{00000000-0005-0000-0000-00008B5B0000}"/>
    <cellStyle name="Calculation 3 2 7" xfId="3026" xr:uid="{00000000-0005-0000-0000-00008C5B0000}"/>
    <cellStyle name="Calculation 3 2 7 2" xfId="58356" xr:uid="{00000000-0005-0000-0000-00008D5B0000}"/>
    <cellStyle name="Calculation 3 2 8" xfId="3027" xr:uid="{00000000-0005-0000-0000-00008E5B0000}"/>
    <cellStyle name="Calculation 3 2 8 2" xfId="58357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358" xr:uid="{00000000-0005-0000-0000-0000925B0000}"/>
    <cellStyle name="Calculation 3 4" xfId="3030" xr:uid="{00000000-0005-0000-0000-0000935B0000}"/>
    <cellStyle name="Calculation 3 4 2" xfId="58359" xr:uid="{00000000-0005-0000-0000-0000945B0000}"/>
    <cellStyle name="Calculation 3 5" xfId="3031" xr:uid="{00000000-0005-0000-0000-0000955B0000}"/>
    <cellStyle name="Calculation 3 5 2" xfId="58360" xr:uid="{00000000-0005-0000-0000-0000965B0000}"/>
    <cellStyle name="Calculation 3 6" xfId="3032" xr:uid="{00000000-0005-0000-0000-0000975B0000}"/>
    <cellStyle name="Calculation 3 6 2" xfId="58361" xr:uid="{00000000-0005-0000-0000-0000985B0000}"/>
    <cellStyle name="Calculation 3 7" xfId="3033" xr:uid="{00000000-0005-0000-0000-0000995B0000}"/>
    <cellStyle name="Calculation 3 7 2" xfId="58362" xr:uid="{00000000-0005-0000-0000-00009A5B0000}"/>
    <cellStyle name="Calculation 3 8" xfId="3034" xr:uid="{00000000-0005-0000-0000-00009B5B0000}"/>
    <cellStyle name="Calculation 3 8 2" xfId="58363" xr:uid="{00000000-0005-0000-0000-00009C5B0000}"/>
    <cellStyle name="Calculation 3 9" xfId="3035" xr:uid="{00000000-0005-0000-0000-00009D5B0000}"/>
    <cellStyle name="Calculation 3 9 2" xfId="58364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8365" xr:uid="{00000000-0005-0000-0000-0000A15B0000}"/>
    <cellStyle name="Calculation 4 12" xfId="58366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367" xr:uid="{00000000-0005-0000-0000-0000A55B0000}"/>
    <cellStyle name="Calculation 4 2 3" xfId="3040" xr:uid="{00000000-0005-0000-0000-0000A65B0000}"/>
    <cellStyle name="Calculation 4 2 3 2" xfId="58368" xr:uid="{00000000-0005-0000-0000-0000A75B0000}"/>
    <cellStyle name="Calculation 4 2 4" xfId="3041" xr:uid="{00000000-0005-0000-0000-0000A85B0000}"/>
    <cellStyle name="Calculation 4 2 4 2" xfId="58369" xr:uid="{00000000-0005-0000-0000-0000A95B0000}"/>
    <cellStyle name="Calculation 4 2 5" xfId="3042" xr:uid="{00000000-0005-0000-0000-0000AA5B0000}"/>
    <cellStyle name="Calculation 4 2 5 2" xfId="58370" xr:uid="{00000000-0005-0000-0000-0000AB5B0000}"/>
    <cellStyle name="Calculation 4 2 6" xfId="3043" xr:uid="{00000000-0005-0000-0000-0000AC5B0000}"/>
    <cellStyle name="Calculation 4 2 6 2" xfId="58371" xr:uid="{00000000-0005-0000-0000-0000AD5B0000}"/>
    <cellStyle name="Calculation 4 2 7" xfId="3044" xr:uid="{00000000-0005-0000-0000-0000AE5B0000}"/>
    <cellStyle name="Calculation 4 2 7 2" xfId="58372" xr:uid="{00000000-0005-0000-0000-0000AF5B0000}"/>
    <cellStyle name="Calculation 4 2 8" xfId="3045" xr:uid="{00000000-0005-0000-0000-0000B05B0000}"/>
    <cellStyle name="Calculation 4 2 8 2" xfId="58373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374" xr:uid="{00000000-0005-0000-0000-0000B45B0000}"/>
    <cellStyle name="Calculation 4 4" xfId="3048" xr:uid="{00000000-0005-0000-0000-0000B55B0000}"/>
    <cellStyle name="Calculation 4 4 2" xfId="58375" xr:uid="{00000000-0005-0000-0000-0000B65B0000}"/>
    <cellStyle name="Calculation 4 5" xfId="3049" xr:uid="{00000000-0005-0000-0000-0000B75B0000}"/>
    <cellStyle name="Calculation 4 5 2" xfId="58376" xr:uid="{00000000-0005-0000-0000-0000B85B0000}"/>
    <cellStyle name="Calculation 4 6" xfId="3050" xr:uid="{00000000-0005-0000-0000-0000B95B0000}"/>
    <cellStyle name="Calculation 4 6 2" xfId="58377" xr:uid="{00000000-0005-0000-0000-0000BA5B0000}"/>
    <cellStyle name="Calculation 4 7" xfId="3051" xr:uid="{00000000-0005-0000-0000-0000BB5B0000}"/>
    <cellStyle name="Calculation 4 7 2" xfId="58378" xr:uid="{00000000-0005-0000-0000-0000BC5B0000}"/>
    <cellStyle name="Calculation 4 8" xfId="3052" xr:uid="{00000000-0005-0000-0000-0000BD5B0000}"/>
    <cellStyle name="Calculation 4 8 2" xfId="58379" xr:uid="{00000000-0005-0000-0000-0000BE5B0000}"/>
    <cellStyle name="Calculation 4 9" xfId="3053" xr:uid="{00000000-0005-0000-0000-0000BF5B0000}"/>
    <cellStyle name="Calculation 4 9 2" xfId="58380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8381" xr:uid="{00000000-0005-0000-0000-0000C35B0000}"/>
    <cellStyle name="Calculation 5 12" xfId="58382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383" xr:uid="{00000000-0005-0000-0000-0000C75B0000}"/>
    <cellStyle name="Calculation 5 2 3" xfId="3058" xr:uid="{00000000-0005-0000-0000-0000C85B0000}"/>
    <cellStyle name="Calculation 5 2 3 2" xfId="58384" xr:uid="{00000000-0005-0000-0000-0000C95B0000}"/>
    <cellStyle name="Calculation 5 2 4" xfId="3059" xr:uid="{00000000-0005-0000-0000-0000CA5B0000}"/>
    <cellStyle name="Calculation 5 2 4 2" xfId="58385" xr:uid="{00000000-0005-0000-0000-0000CB5B0000}"/>
    <cellStyle name="Calculation 5 2 5" xfId="3060" xr:uid="{00000000-0005-0000-0000-0000CC5B0000}"/>
    <cellStyle name="Calculation 5 2 5 2" xfId="58386" xr:uid="{00000000-0005-0000-0000-0000CD5B0000}"/>
    <cellStyle name="Calculation 5 2 6" xfId="3061" xr:uid="{00000000-0005-0000-0000-0000CE5B0000}"/>
    <cellStyle name="Calculation 5 2 6 2" xfId="58387" xr:uid="{00000000-0005-0000-0000-0000CF5B0000}"/>
    <cellStyle name="Calculation 5 2 7" xfId="3062" xr:uid="{00000000-0005-0000-0000-0000D05B0000}"/>
    <cellStyle name="Calculation 5 2 7 2" xfId="58388" xr:uid="{00000000-0005-0000-0000-0000D15B0000}"/>
    <cellStyle name="Calculation 5 2 8" xfId="3063" xr:uid="{00000000-0005-0000-0000-0000D25B0000}"/>
    <cellStyle name="Calculation 5 2 8 2" xfId="58389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390" xr:uid="{00000000-0005-0000-0000-0000D65B0000}"/>
    <cellStyle name="Calculation 5 4" xfId="3066" xr:uid="{00000000-0005-0000-0000-0000D75B0000}"/>
    <cellStyle name="Calculation 5 4 2" xfId="58391" xr:uid="{00000000-0005-0000-0000-0000D85B0000}"/>
    <cellStyle name="Calculation 5 5" xfId="3067" xr:uid="{00000000-0005-0000-0000-0000D95B0000}"/>
    <cellStyle name="Calculation 5 5 2" xfId="58392" xr:uid="{00000000-0005-0000-0000-0000DA5B0000}"/>
    <cellStyle name="Calculation 5 6" xfId="3068" xr:uid="{00000000-0005-0000-0000-0000DB5B0000}"/>
    <cellStyle name="Calculation 5 6 2" xfId="58393" xr:uid="{00000000-0005-0000-0000-0000DC5B0000}"/>
    <cellStyle name="Calculation 5 7" xfId="3069" xr:uid="{00000000-0005-0000-0000-0000DD5B0000}"/>
    <cellStyle name="Calculation 5 7 2" xfId="58394" xr:uid="{00000000-0005-0000-0000-0000DE5B0000}"/>
    <cellStyle name="Calculation 5 8" xfId="3070" xr:uid="{00000000-0005-0000-0000-0000DF5B0000}"/>
    <cellStyle name="Calculation 5 8 2" xfId="58395" xr:uid="{00000000-0005-0000-0000-0000E05B0000}"/>
    <cellStyle name="Calculation 5 9" xfId="3071" xr:uid="{00000000-0005-0000-0000-0000E15B0000}"/>
    <cellStyle name="Calculation 5 9 2" xfId="58396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8397" xr:uid="{00000000-0005-0000-0000-0000E55B0000}"/>
    <cellStyle name="Calculation 6 12" xfId="58398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399" xr:uid="{00000000-0005-0000-0000-0000E95B0000}"/>
    <cellStyle name="Calculation 6 2 3" xfId="3076" xr:uid="{00000000-0005-0000-0000-0000EA5B0000}"/>
    <cellStyle name="Calculation 6 2 3 2" xfId="58400" xr:uid="{00000000-0005-0000-0000-0000EB5B0000}"/>
    <cellStyle name="Calculation 6 2 4" xfId="3077" xr:uid="{00000000-0005-0000-0000-0000EC5B0000}"/>
    <cellStyle name="Calculation 6 2 4 2" xfId="58401" xr:uid="{00000000-0005-0000-0000-0000ED5B0000}"/>
    <cellStyle name="Calculation 6 2 5" xfId="3078" xr:uid="{00000000-0005-0000-0000-0000EE5B0000}"/>
    <cellStyle name="Calculation 6 2 5 2" xfId="58402" xr:uid="{00000000-0005-0000-0000-0000EF5B0000}"/>
    <cellStyle name="Calculation 6 2 6" xfId="3079" xr:uid="{00000000-0005-0000-0000-0000F05B0000}"/>
    <cellStyle name="Calculation 6 2 6 2" xfId="58403" xr:uid="{00000000-0005-0000-0000-0000F15B0000}"/>
    <cellStyle name="Calculation 6 2 7" xfId="3080" xr:uid="{00000000-0005-0000-0000-0000F25B0000}"/>
    <cellStyle name="Calculation 6 2 7 2" xfId="58404" xr:uid="{00000000-0005-0000-0000-0000F35B0000}"/>
    <cellStyle name="Calculation 6 2 8" xfId="3081" xr:uid="{00000000-0005-0000-0000-0000F45B0000}"/>
    <cellStyle name="Calculation 6 2 8 2" xfId="58405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406" xr:uid="{00000000-0005-0000-0000-0000F85B0000}"/>
    <cellStyle name="Calculation 6 4" xfId="3084" xr:uid="{00000000-0005-0000-0000-0000F95B0000}"/>
    <cellStyle name="Calculation 6 4 2" xfId="58407" xr:uid="{00000000-0005-0000-0000-0000FA5B0000}"/>
    <cellStyle name="Calculation 6 5" xfId="3085" xr:uid="{00000000-0005-0000-0000-0000FB5B0000}"/>
    <cellStyle name="Calculation 6 5 2" xfId="58408" xr:uid="{00000000-0005-0000-0000-0000FC5B0000}"/>
    <cellStyle name="Calculation 6 6" xfId="3086" xr:uid="{00000000-0005-0000-0000-0000FD5B0000}"/>
    <cellStyle name="Calculation 6 6 2" xfId="58409" xr:uid="{00000000-0005-0000-0000-0000FE5B0000}"/>
    <cellStyle name="Calculation 6 7" xfId="3087" xr:uid="{00000000-0005-0000-0000-0000FF5B0000}"/>
    <cellStyle name="Calculation 6 7 2" xfId="58410" xr:uid="{00000000-0005-0000-0000-0000005C0000}"/>
    <cellStyle name="Calculation 6 8" xfId="3088" xr:uid="{00000000-0005-0000-0000-0000015C0000}"/>
    <cellStyle name="Calculation 6 8 2" xfId="58411" xr:uid="{00000000-0005-0000-0000-0000025C0000}"/>
    <cellStyle name="Calculation 6 9" xfId="3089" xr:uid="{00000000-0005-0000-0000-0000035C0000}"/>
    <cellStyle name="Calculation 6 9 2" xfId="58412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8413" xr:uid="{00000000-0005-0000-0000-0000075C0000}"/>
    <cellStyle name="Calculation 7 12" xfId="58414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415" xr:uid="{00000000-0005-0000-0000-00000B5C0000}"/>
    <cellStyle name="Calculation 7 2 3" xfId="3094" xr:uid="{00000000-0005-0000-0000-00000C5C0000}"/>
    <cellStyle name="Calculation 7 2 3 2" xfId="58416" xr:uid="{00000000-0005-0000-0000-00000D5C0000}"/>
    <cellStyle name="Calculation 7 2 4" xfId="3095" xr:uid="{00000000-0005-0000-0000-00000E5C0000}"/>
    <cellStyle name="Calculation 7 2 4 2" xfId="58417" xr:uid="{00000000-0005-0000-0000-00000F5C0000}"/>
    <cellStyle name="Calculation 7 2 5" xfId="3096" xr:uid="{00000000-0005-0000-0000-0000105C0000}"/>
    <cellStyle name="Calculation 7 2 5 2" xfId="58418" xr:uid="{00000000-0005-0000-0000-0000115C0000}"/>
    <cellStyle name="Calculation 7 2 6" xfId="3097" xr:uid="{00000000-0005-0000-0000-0000125C0000}"/>
    <cellStyle name="Calculation 7 2 6 2" xfId="58419" xr:uid="{00000000-0005-0000-0000-0000135C0000}"/>
    <cellStyle name="Calculation 7 2 7" xfId="3098" xr:uid="{00000000-0005-0000-0000-0000145C0000}"/>
    <cellStyle name="Calculation 7 2 7 2" xfId="58420" xr:uid="{00000000-0005-0000-0000-0000155C0000}"/>
    <cellStyle name="Calculation 7 2 8" xfId="3099" xr:uid="{00000000-0005-0000-0000-0000165C0000}"/>
    <cellStyle name="Calculation 7 2 8 2" xfId="58421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422" xr:uid="{00000000-0005-0000-0000-00001A5C0000}"/>
    <cellStyle name="Calculation 7 4" xfId="3102" xr:uid="{00000000-0005-0000-0000-00001B5C0000}"/>
    <cellStyle name="Calculation 7 4 2" xfId="58423" xr:uid="{00000000-0005-0000-0000-00001C5C0000}"/>
    <cellStyle name="Calculation 7 5" xfId="3103" xr:uid="{00000000-0005-0000-0000-00001D5C0000}"/>
    <cellStyle name="Calculation 7 5 2" xfId="58424" xr:uid="{00000000-0005-0000-0000-00001E5C0000}"/>
    <cellStyle name="Calculation 7 6" xfId="3104" xr:uid="{00000000-0005-0000-0000-00001F5C0000}"/>
    <cellStyle name="Calculation 7 6 2" xfId="58425" xr:uid="{00000000-0005-0000-0000-0000205C0000}"/>
    <cellStyle name="Calculation 7 7" xfId="3105" xr:uid="{00000000-0005-0000-0000-0000215C0000}"/>
    <cellStyle name="Calculation 7 7 2" xfId="58426" xr:uid="{00000000-0005-0000-0000-0000225C0000}"/>
    <cellStyle name="Calculation 7 8" xfId="3106" xr:uid="{00000000-0005-0000-0000-0000235C0000}"/>
    <cellStyle name="Calculation 7 8 2" xfId="58427" xr:uid="{00000000-0005-0000-0000-0000245C0000}"/>
    <cellStyle name="Calculation 7 9" xfId="3107" xr:uid="{00000000-0005-0000-0000-0000255C0000}"/>
    <cellStyle name="Calculation 7 9 2" xfId="58428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8429" xr:uid="{00000000-0005-0000-0000-0000295C0000}"/>
    <cellStyle name="Calculation 8 12" xfId="58430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431" xr:uid="{00000000-0005-0000-0000-00002D5C0000}"/>
    <cellStyle name="Calculation 8 2 3" xfId="3112" xr:uid="{00000000-0005-0000-0000-00002E5C0000}"/>
    <cellStyle name="Calculation 8 2 3 2" xfId="58432" xr:uid="{00000000-0005-0000-0000-00002F5C0000}"/>
    <cellStyle name="Calculation 8 2 4" xfId="3113" xr:uid="{00000000-0005-0000-0000-0000305C0000}"/>
    <cellStyle name="Calculation 8 2 4 2" xfId="58433" xr:uid="{00000000-0005-0000-0000-0000315C0000}"/>
    <cellStyle name="Calculation 8 2 5" xfId="3114" xr:uid="{00000000-0005-0000-0000-0000325C0000}"/>
    <cellStyle name="Calculation 8 2 5 2" xfId="58434" xr:uid="{00000000-0005-0000-0000-0000335C0000}"/>
    <cellStyle name="Calculation 8 2 6" xfId="3115" xr:uid="{00000000-0005-0000-0000-0000345C0000}"/>
    <cellStyle name="Calculation 8 2 6 2" xfId="58435" xr:uid="{00000000-0005-0000-0000-0000355C0000}"/>
    <cellStyle name="Calculation 8 2 7" xfId="3116" xr:uid="{00000000-0005-0000-0000-0000365C0000}"/>
    <cellStyle name="Calculation 8 2 7 2" xfId="58436" xr:uid="{00000000-0005-0000-0000-0000375C0000}"/>
    <cellStyle name="Calculation 8 2 8" xfId="3117" xr:uid="{00000000-0005-0000-0000-0000385C0000}"/>
    <cellStyle name="Calculation 8 2 8 2" xfId="58437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438" xr:uid="{00000000-0005-0000-0000-00003C5C0000}"/>
    <cellStyle name="Calculation 8 4" xfId="3120" xr:uid="{00000000-0005-0000-0000-00003D5C0000}"/>
    <cellStyle name="Calculation 8 4 2" xfId="58439" xr:uid="{00000000-0005-0000-0000-00003E5C0000}"/>
    <cellStyle name="Calculation 8 5" xfId="3121" xr:uid="{00000000-0005-0000-0000-00003F5C0000}"/>
    <cellStyle name="Calculation 8 5 2" xfId="58440" xr:uid="{00000000-0005-0000-0000-0000405C0000}"/>
    <cellStyle name="Calculation 8 6" xfId="3122" xr:uid="{00000000-0005-0000-0000-0000415C0000}"/>
    <cellStyle name="Calculation 8 6 2" xfId="58441" xr:uid="{00000000-0005-0000-0000-0000425C0000}"/>
    <cellStyle name="Calculation 8 7" xfId="3123" xr:uid="{00000000-0005-0000-0000-0000435C0000}"/>
    <cellStyle name="Calculation 8 7 2" xfId="58442" xr:uid="{00000000-0005-0000-0000-0000445C0000}"/>
    <cellStyle name="Calculation 8 8" xfId="3124" xr:uid="{00000000-0005-0000-0000-0000455C0000}"/>
    <cellStyle name="Calculation 8 8 2" xfId="58443" xr:uid="{00000000-0005-0000-0000-0000465C0000}"/>
    <cellStyle name="Calculation 8 9" xfId="3125" xr:uid="{00000000-0005-0000-0000-0000475C0000}"/>
    <cellStyle name="Calculation 8 9 2" xfId="58444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8445" xr:uid="{00000000-0005-0000-0000-00004B5C0000}"/>
    <cellStyle name="Calculation 9 12" xfId="58446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447" xr:uid="{00000000-0005-0000-0000-00004F5C0000}"/>
    <cellStyle name="Calculation 9 2 3" xfId="3130" xr:uid="{00000000-0005-0000-0000-0000505C0000}"/>
    <cellStyle name="Calculation 9 2 3 2" xfId="58448" xr:uid="{00000000-0005-0000-0000-0000515C0000}"/>
    <cellStyle name="Calculation 9 2 4" xfId="3131" xr:uid="{00000000-0005-0000-0000-0000525C0000}"/>
    <cellStyle name="Calculation 9 2 4 2" xfId="58449" xr:uid="{00000000-0005-0000-0000-0000535C0000}"/>
    <cellStyle name="Calculation 9 2 5" xfId="3132" xr:uid="{00000000-0005-0000-0000-0000545C0000}"/>
    <cellStyle name="Calculation 9 2 5 2" xfId="58450" xr:uid="{00000000-0005-0000-0000-0000555C0000}"/>
    <cellStyle name="Calculation 9 2 6" xfId="3133" xr:uid="{00000000-0005-0000-0000-0000565C0000}"/>
    <cellStyle name="Calculation 9 2 6 2" xfId="58451" xr:uid="{00000000-0005-0000-0000-0000575C0000}"/>
    <cellStyle name="Calculation 9 2 7" xfId="3134" xr:uid="{00000000-0005-0000-0000-0000585C0000}"/>
    <cellStyle name="Calculation 9 2 7 2" xfId="58452" xr:uid="{00000000-0005-0000-0000-0000595C0000}"/>
    <cellStyle name="Calculation 9 2 8" xfId="3135" xr:uid="{00000000-0005-0000-0000-00005A5C0000}"/>
    <cellStyle name="Calculation 9 2 8 2" xfId="58453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454" xr:uid="{00000000-0005-0000-0000-00005E5C0000}"/>
    <cellStyle name="Calculation 9 4" xfId="3138" xr:uid="{00000000-0005-0000-0000-00005F5C0000}"/>
    <cellStyle name="Calculation 9 4 2" xfId="58455" xr:uid="{00000000-0005-0000-0000-0000605C0000}"/>
    <cellStyle name="Calculation 9 5" xfId="3139" xr:uid="{00000000-0005-0000-0000-0000615C0000}"/>
    <cellStyle name="Calculation 9 5 2" xfId="58456" xr:uid="{00000000-0005-0000-0000-0000625C0000}"/>
    <cellStyle name="Calculation 9 6" xfId="3140" xr:uid="{00000000-0005-0000-0000-0000635C0000}"/>
    <cellStyle name="Calculation 9 6 2" xfId="58457" xr:uid="{00000000-0005-0000-0000-0000645C0000}"/>
    <cellStyle name="Calculation 9 7" xfId="3141" xr:uid="{00000000-0005-0000-0000-0000655C0000}"/>
    <cellStyle name="Calculation 9 7 2" xfId="58458" xr:uid="{00000000-0005-0000-0000-0000665C0000}"/>
    <cellStyle name="Calculation 9 8" xfId="3142" xr:uid="{00000000-0005-0000-0000-0000675C0000}"/>
    <cellStyle name="Calculation 9 8 2" xfId="58459" xr:uid="{00000000-0005-0000-0000-0000685C0000}"/>
    <cellStyle name="Calculation 9 9" xfId="3143" xr:uid="{00000000-0005-0000-0000-0000695C0000}"/>
    <cellStyle name="Calculation 9 9 2" xfId="58460" xr:uid="{00000000-0005-0000-0000-00006A5C0000}"/>
    <cellStyle name="Check Cell 10" xfId="9572" xr:uid="{00000000-0005-0000-0000-00006B5C0000}"/>
    <cellStyle name="Check Cell 11" xfId="9573" xr:uid="{00000000-0005-0000-0000-00006C5C0000}"/>
    <cellStyle name="Check Cell 12" xfId="9574" xr:uid="{00000000-0005-0000-0000-00006D5C0000}"/>
    <cellStyle name="Check Cell 13" xfId="9575" xr:uid="{00000000-0005-0000-0000-00006E5C0000}"/>
    <cellStyle name="Check Cell 14" xfId="9576" xr:uid="{00000000-0005-0000-0000-00006F5C0000}"/>
    <cellStyle name="Check Cell 15" xfId="9577" xr:uid="{00000000-0005-0000-0000-0000705C0000}"/>
    <cellStyle name="Check Cell 16" xfId="9578" xr:uid="{00000000-0005-0000-0000-0000715C0000}"/>
    <cellStyle name="Check Cell 17" xfId="9579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461" xr:uid="{00000000-0005-0000-0000-0000755C0000}"/>
    <cellStyle name="Check Cell 2 3" xfId="29394" xr:uid="{00000000-0005-0000-0000-0000765C0000}"/>
    <cellStyle name="Check Cell 2 4" xfId="29395" xr:uid="{00000000-0005-0000-0000-0000775C0000}"/>
    <cellStyle name="Check Cell 2 5" xfId="29396" xr:uid="{00000000-0005-0000-0000-0000785C0000}"/>
    <cellStyle name="Check Cell 3" xfId="3146" xr:uid="{00000000-0005-0000-0000-0000795C0000}"/>
    <cellStyle name="Check Cell 3 2" xfId="9039" xr:uid="{00000000-0005-0000-0000-00007A5C0000}"/>
    <cellStyle name="Check Cell 4" xfId="9040" xr:uid="{00000000-0005-0000-0000-00007B5C0000}"/>
    <cellStyle name="Check Cell 4 2" xfId="29397" xr:uid="{00000000-0005-0000-0000-00007C5C0000}"/>
    <cellStyle name="Check Cell 5" xfId="9580" xr:uid="{00000000-0005-0000-0000-00007D5C0000}"/>
    <cellStyle name="Check Cell 5 2" xfId="29398" xr:uid="{00000000-0005-0000-0000-00007E5C0000}"/>
    <cellStyle name="Check Cell 6" xfId="9581" xr:uid="{00000000-0005-0000-0000-00007F5C0000}"/>
    <cellStyle name="Check Cell 6 2" xfId="29399" xr:uid="{00000000-0005-0000-0000-0000805C0000}"/>
    <cellStyle name="Check Cell 7" xfId="9582" xr:uid="{00000000-0005-0000-0000-0000815C0000}"/>
    <cellStyle name="Check Cell 7 2" xfId="29400" xr:uid="{00000000-0005-0000-0000-0000825C0000}"/>
    <cellStyle name="Check Cell 8" xfId="9583" xr:uid="{00000000-0005-0000-0000-0000835C0000}"/>
    <cellStyle name="Check Cell 9" xfId="9584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9585" xr:uid="{00000000-0005-0000-0000-0000885C0000}"/>
    <cellStyle name="ColumnAttributeAbovePrompt 2 3" xfId="9586" xr:uid="{00000000-0005-0000-0000-0000895C0000}"/>
    <cellStyle name="ColumnAttributeAbovePrompt 3" xfId="3150" xr:uid="{00000000-0005-0000-0000-00008A5C0000}"/>
    <cellStyle name="ColumnAttributeAbovePrompt 4" xfId="9041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9587" xr:uid="{00000000-0005-0000-0000-00008E5C0000}"/>
    <cellStyle name="ColumnAttributePrompt 2 3" xfId="9588" xr:uid="{00000000-0005-0000-0000-00008F5C0000}"/>
    <cellStyle name="ColumnAttributePrompt 3" xfId="3153" xr:uid="{00000000-0005-0000-0000-0000905C0000}"/>
    <cellStyle name="ColumnAttributePrompt 4" xfId="9042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9589" xr:uid="{00000000-0005-0000-0000-0000945C0000}"/>
    <cellStyle name="ColumnAttributeValue 2 3" xfId="9590" xr:uid="{00000000-0005-0000-0000-0000955C0000}"/>
    <cellStyle name="ColumnAttributeValue 3" xfId="3156" xr:uid="{00000000-0005-0000-0000-0000965C0000}"/>
    <cellStyle name="ColumnAttributeValue 4" xfId="9043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9591" xr:uid="{00000000-0005-0000-0000-00009A5C0000}"/>
    <cellStyle name="ColumnHeadingPrompt 2 3" xfId="9592" xr:uid="{00000000-0005-0000-0000-00009B5C0000}"/>
    <cellStyle name="ColumnHeadingPrompt 3" xfId="3159" xr:uid="{00000000-0005-0000-0000-00009C5C0000}"/>
    <cellStyle name="ColumnHeadingPrompt 4" xfId="9044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9401" xr:uid="{00000000-0005-0000-0000-0000A05C0000}"/>
    <cellStyle name="ColumnHeadingValue 3" xfId="3162" xr:uid="{00000000-0005-0000-0000-0000A15C0000}"/>
    <cellStyle name="ColumnHeadingValue 4" xfId="9045" xr:uid="{00000000-0005-0000-0000-0000A25C0000}"/>
    <cellStyle name="Comma" xfId="8782" builtinId="3"/>
    <cellStyle name="Comma [0] 2" xfId="3163" xr:uid="{00000000-0005-0000-0000-0000A45C0000}"/>
    <cellStyle name="Comma [0] 2 2" xfId="3164" xr:uid="{00000000-0005-0000-0000-0000A55C0000}"/>
    <cellStyle name="Comma [0] 2 3" xfId="29402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9593" xr:uid="{00000000-0005-0000-0000-0000A95C0000}"/>
    <cellStyle name="Comma [0] 3 2 2 2" xfId="9594" xr:uid="{00000000-0005-0000-0000-0000AA5C0000}"/>
    <cellStyle name="Comma [0] 3 2 3" xfId="9595" xr:uid="{00000000-0005-0000-0000-0000AB5C0000}"/>
    <cellStyle name="Comma [0] 3 2 4" xfId="58462" xr:uid="{00000000-0005-0000-0000-0000AC5C0000}"/>
    <cellStyle name="Comma [0] 3 3" xfId="9596" xr:uid="{00000000-0005-0000-0000-0000AD5C0000}"/>
    <cellStyle name="Comma [0] 3 4" xfId="9597" xr:uid="{00000000-0005-0000-0000-0000AE5C0000}"/>
    <cellStyle name="Comma [0] 3 4 2" xfId="9598" xr:uid="{00000000-0005-0000-0000-0000AF5C0000}"/>
    <cellStyle name="Comma [0] 3 5" xfId="9599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9600" xr:uid="{00000000-0005-0000-0000-0000B55C0000}"/>
    <cellStyle name="Comma [0] 5 2 3" xfId="58463" xr:uid="{00000000-0005-0000-0000-0000B65C0000}"/>
    <cellStyle name="Comma [0] 5 3" xfId="9601" xr:uid="{00000000-0005-0000-0000-0000B75C0000}"/>
    <cellStyle name="Comma [0] 5 3 2" xfId="29403" xr:uid="{00000000-0005-0000-0000-0000B85C0000}"/>
    <cellStyle name="Comma [0] 5 4" xfId="29404" xr:uid="{00000000-0005-0000-0000-0000B95C0000}"/>
    <cellStyle name="Comma [0] 6" xfId="9602" xr:uid="{00000000-0005-0000-0000-0000BA5C0000}"/>
    <cellStyle name="Comma [0] 6 2" xfId="9603" xr:uid="{00000000-0005-0000-0000-0000BB5C0000}"/>
    <cellStyle name="Comma [0] 6 2 2" xfId="9604" xr:uid="{00000000-0005-0000-0000-0000BC5C0000}"/>
    <cellStyle name="Comma [0] 6 3" xfId="9605" xr:uid="{00000000-0005-0000-0000-0000BD5C0000}"/>
    <cellStyle name="Comma 10" xfId="3171" xr:uid="{00000000-0005-0000-0000-0000BE5C0000}"/>
    <cellStyle name="Comma 10 10" xfId="9046" xr:uid="{00000000-0005-0000-0000-0000BF5C0000}"/>
    <cellStyle name="Comma 10 10 2" xfId="29405" xr:uid="{00000000-0005-0000-0000-0000C05C0000}"/>
    <cellStyle name="Comma 10 10 2 2" xfId="29406" xr:uid="{00000000-0005-0000-0000-0000C15C0000}"/>
    <cellStyle name="Comma 10 10 2 3" xfId="29407" xr:uid="{00000000-0005-0000-0000-0000C25C0000}"/>
    <cellStyle name="Comma 10 10 3" xfId="29408" xr:uid="{00000000-0005-0000-0000-0000C35C0000}"/>
    <cellStyle name="Comma 10 10 3 2" xfId="29409" xr:uid="{00000000-0005-0000-0000-0000C45C0000}"/>
    <cellStyle name="Comma 10 10 4" xfId="29410" xr:uid="{00000000-0005-0000-0000-0000C55C0000}"/>
    <cellStyle name="Comma 10 10 5" xfId="29411" xr:uid="{00000000-0005-0000-0000-0000C65C0000}"/>
    <cellStyle name="Comma 10 11" xfId="29412" xr:uid="{00000000-0005-0000-0000-0000C75C0000}"/>
    <cellStyle name="Comma 10 11 2" xfId="29413" xr:uid="{00000000-0005-0000-0000-0000C85C0000}"/>
    <cellStyle name="Comma 10 11 3" xfId="29414" xr:uid="{00000000-0005-0000-0000-0000C95C0000}"/>
    <cellStyle name="Comma 10 12" xfId="29415" xr:uid="{00000000-0005-0000-0000-0000CA5C0000}"/>
    <cellStyle name="Comma 10 12 2" xfId="29416" xr:uid="{00000000-0005-0000-0000-0000CB5C0000}"/>
    <cellStyle name="Comma 10 12 3" xfId="29417" xr:uid="{00000000-0005-0000-0000-0000CC5C0000}"/>
    <cellStyle name="Comma 10 13" xfId="29418" xr:uid="{00000000-0005-0000-0000-0000CD5C0000}"/>
    <cellStyle name="Comma 10 13 2" xfId="29419" xr:uid="{00000000-0005-0000-0000-0000CE5C0000}"/>
    <cellStyle name="Comma 10 14" xfId="29420" xr:uid="{00000000-0005-0000-0000-0000CF5C0000}"/>
    <cellStyle name="Comma 10 15" xfId="29421" xr:uid="{00000000-0005-0000-0000-0000D05C0000}"/>
    <cellStyle name="Comma 10 16" xfId="29422" xr:uid="{00000000-0005-0000-0000-0000D15C0000}"/>
    <cellStyle name="Comma 10 2" xfId="3172" xr:uid="{00000000-0005-0000-0000-0000D25C0000}"/>
    <cellStyle name="Comma 10 2 10" xfId="29423" xr:uid="{00000000-0005-0000-0000-0000D35C0000}"/>
    <cellStyle name="Comma 10 2 10 2" xfId="29424" xr:uid="{00000000-0005-0000-0000-0000D45C0000}"/>
    <cellStyle name="Comma 10 2 10 3" xfId="29425" xr:uid="{00000000-0005-0000-0000-0000D55C0000}"/>
    <cellStyle name="Comma 10 2 11" xfId="29426" xr:uid="{00000000-0005-0000-0000-0000D65C0000}"/>
    <cellStyle name="Comma 10 2 11 2" xfId="29427" xr:uid="{00000000-0005-0000-0000-0000D75C0000}"/>
    <cellStyle name="Comma 10 2 11 3" xfId="29428" xr:uid="{00000000-0005-0000-0000-0000D85C0000}"/>
    <cellStyle name="Comma 10 2 12" xfId="29429" xr:uid="{00000000-0005-0000-0000-0000D95C0000}"/>
    <cellStyle name="Comma 10 2 12 2" xfId="29430" xr:uid="{00000000-0005-0000-0000-0000DA5C0000}"/>
    <cellStyle name="Comma 10 2 13" xfId="29431" xr:uid="{00000000-0005-0000-0000-0000DB5C0000}"/>
    <cellStyle name="Comma 10 2 14" xfId="29432" xr:uid="{00000000-0005-0000-0000-0000DC5C0000}"/>
    <cellStyle name="Comma 10 2 15" xfId="29433" xr:uid="{00000000-0005-0000-0000-0000DD5C0000}"/>
    <cellStyle name="Comma 10 2 2" xfId="3173" xr:uid="{00000000-0005-0000-0000-0000DE5C0000}"/>
    <cellStyle name="Comma 10 2 2 10" xfId="29434" xr:uid="{00000000-0005-0000-0000-0000DF5C0000}"/>
    <cellStyle name="Comma 10 2 2 10 2" xfId="29435" xr:uid="{00000000-0005-0000-0000-0000E05C0000}"/>
    <cellStyle name="Comma 10 2 2 10 3" xfId="29436" xr:uid="{00000000-0005-0000-0000-0000E15C0000}"/>
    <cellStyle name="Comma 10 2 2 11" xfId="29437" xr:uid="{00000000-0005-0000-0000-0000E25C0000}"/>
    <cellStyle name="Comma 10 2 2 11 2" xfId="29438" xr:uid="{00000000-0005-0000-0000-0000E35C0000}"/>
    <cellStyle name="Comma 10 2 2 12" xfId="29439" xr:uid="{00000000-0005-0000-0000-0000E45C0000}"/>
    <cellStyle name="Comma 10 2 2 13" xfId="29440" xr:uid="{00000000-0005-0000-0000-0000E55C0000}"/>
    <cellStyle name="Comma 10 2 2 14" xfId="29441" xr:uid="{00000000-0005-0000-0000-0000E65C0000}"/>
    <cellStyle name="Comma 10 2 2 2" xfId="3174" xr:uid="{00000000-0005-0000-0000-0000E75C0000}"/>
    <cellStyle name="Comma 10 2 2 2 10" xfId="29442" xr:uid="{00000000-0005-0000-0000-0000E85C0000}"/>
    <cellStyle name="Comma 10 2 2 2 10 2" xfId="29443" xr:uid="{00000000-0005-0000-0000-0000E95C0000}"/>
    <cellStyle name="Comma 10 2 2 2 11" xfId="29444" xr:uid="{00000000-0005-0000-0000-0000EA5C0000}"/>
    <cellStyle name="Comma 10 2 2 2 12" xfId="29445" xr:uid="{00000000-0005-0000-0000-0000EB5C0000}"/>
    <cellStyle name="Comma 10 2 2 2 2" xfId="3175" xr:uid="{00000000-0005-0000-0000-0000EC5C0000}"/>
    <cellStyle name="Comma 10 2 2 2 2 10" xfId="29446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447" xr:uid="{00000000-0005-0000-0000-0000F05C0000}"/>
    <cellStyle name="Comma 10 2 2 2 2 2 2 2 2" xfId="29448" xr:uid="{00000000-0005-0000-0000-0000F15C0000}"/>
    <cellStyle name="Comma 10 2 2 2 2 2 2 2 3" xfId="29449" xr:uid="{00000000-0005-0000-0000-0000F25C0000}"/>
    <cellStyle name="Comma 10 2 2 2 2 2 2 3" xfId="29450" xr:uid="{00000000-0005-0000-0000-0000F35C0000}"/>
    <cellStyle name="Comma 10 2 2 2 2 2 2 3 2" xfId="29451" xr:uid="{00000000-0005-0000-0000-0000F45C0000}"/>
    <cellStyle name="Comma 10 2 2 2 2 2 2 3 3" xfId="29452" xr:uid="{00000000-0005-0000-0000-0000F55C0000}"/>
    <cellStyle name="Comma 10 2 2 2 2 2 2 4" xfId="29453" xr:uid="{00000000-0005-0000-0000-0000F65C0000}"/>
    <cellStyle name="Comma 10 2 2 2 2 2 2 4 2" xfId="29454" xr:uid="{00000000-0005-0000-0000-0000F75C0000}"/>
    <cellStyle name="Comma 10 2 2 2 2 2 2 5" xfId="29455" xr:uid="{00000000-0005-0000-0000-0000F85C0000}"/>
    <cellStyle name="Comma 10 2 2 2 2 2 2 6" xfId="29456" xr:uid="{00000000-0005-0000-0000-0000F95C0000}"/>
    <cellStyle name="Comma 10 2 2 2 2 2 3" xfId="29457" xr:uid="{00000000-0005-0000-0000-0000FA5C0000}"/>
    <cellStyle name="Comma 10 2 2 2 2 2 3 2" xfId="29458" xr:uid="{00000000-0005-0000-0000-0000FB5C0000}"/>
    <cellStyle name="Comma 10 2 2 2 2 2 3 2 2" xfId="29459" xr:uid="{00000000-0005-0000-0000-0000FC5C0000}"/>
    <cellStyle name="Comma 10 2 2 2 2 2 3 2 3" xfId="29460" xr:uid="{00000000-0005-0000-0000-0000FD5C0000}"/>
    <cellStyle name="Comma 10 2 2 2 2 2 3 3" xfId="29461" xr:uid="{00000000-0005-0000-0000-0000FE5C0000}"/>
    <cellStyle name="Comma 10 2 2 2 2 2 3 3 2" xfId="29462" xr:uid="{00000000-0005-0000-0000-0000FF5C0000}"/>
    <cellStyle name="Comma 10 2 2 2 2 2 3 3 3" xfId="29463" xr:uid="{00000000-0005-0000-0000-0000005D0000}"/>
    <cellStyle name="Comma 10 2 2 2 2 2 3 4" xfId="29464" xr:uid="{00000000-0005-0000-0000-0000015D0000}"/>
    <cellStyle name="Comma 10 2 2 2 2 2 3 4 2" xfId="29465" xr:uid="{00000000-0005-0000-0000-0000025D0000}"/>
    <cellStyle name="Comma 10 2 2 2 2 2 3 5" xfId="29466" xr:uid="{00000000-0005-0000-0000-0000035D0000}"/>
    <cellStyle name="Comma 10 2 2 2 2 2 3 6" xfId="29467" xr:uid="{00000000-0005-0000-0000-0000045D0000}"/>
    <cellStyle name="Comma 10 2 2 2 2 2 4" xfId="29468" xr:uid="{00000000-0005-0000-0000-0000055D0000}"/>
    <cellStyle name="Comma 10 2 2 2 2 2 4 2" xfId="29469" xr:uid="{00000000-0005-0000-0000-0000065D0000}"/>
    <cellStyle name="Comma 10 2 2 2 2 2 4 2 2" xfId="29470" xr:uid="{00000000-0005-0000-0000-0000075D0000}"/>
    <cellStyle name="Comma 10 2 2 2 2 2 4 2 3" xfId="29471" xr:uid="{00000000-0005-0000-0000-0000085D0000}"/>
    <cellStyle name="Comma 10 2 2 2 2 2 4 3" xfId="29472" xr:uid="{00000000-0005-0000-0000-0000095D0000}"/>
    <cellStyle name="Comma 10 2 2 2 2 2 4 3 2" xfId="29473" xr:uid="{00000000-0005-0000-0000-00000A5D0000}"/>
    <cellStyle name="Comma 10 2 2 2 2 2 4 4" xfId="29474" xr:uid="{00000000-0005-0000-0000-00000B5D0000}"/>
    <cellStyle name="Comma 10 2 2 2 2 2 4 5" xfId="29475" xr:uid="{00000000-0005-0000-0000-00000C5D0000}"/>
    <cellStyle name="Comma 10 2 2 2 2 2 5" xfId="29476" xr:uid="{00000000-0005-0000-0000-00000D5D0000}"/>
    <cellStyle name="Comma 10 2 2 2 2 2 5 2" xfId="29477" xr:uid="{00000000-0005-0000-0000-00000E5D0000}"/>
    <cellStyle name="Comma 10 2 2 2 2 2 5 3" xfId="29478" xr:uid="{00000000-0005-0000-0000-00000F5D0000}"/>
    <cellStyle name="Comma 10 2 2 2 2 2 6" xfId="29479" xr:uid="{00000000-0005-0000-0000-0000105D0000}"/>
    <cellStyle name="Comma 10 2 2 2 2 2 6 2" xfId="29480" xr:uid="{00000000-0005-0000-0000-0000115D0000}"/>
    <cellStyle name="Comma 10 2 2 2 2 2 6 3" xfId="29481" xr:uid="{00000000-0005-0000-0000-0000125D0000}"/>
    <cellStyle name="Comma 10 2 2 2 2 2 7" xfId="29482" xr:uid="{00000000-0005-0000-0000-0000135D0000}"/>
    <cellStyle name="Comma 10 2 2 2 2 2 7 2" xfId="29483" xr:uid="{00000000-0005-0000-0000-0000145D0000}"/>
    <cellStyle name="Comma 10 2 2 2 2 2 8" xfId="29484" xr:uid="{00000000-0005-0000-0000-0000155D0000}"/>
    <cellStyle name="Comma 10 2 2 2 2 2 9" xfId="29485" xr:uid="{00000000-0005-0000-0000-0000165D0000}"/>
    <cellStyle name="Comma 10 2 2 2 2 3" xfId="3178" xr:uid="{00000000-0005-0000-0000-0000175D0000}"/>
    <cellStyle name="Comma 10 2 2 2 2 3 2" xfId="29486" xr:uid="{00000000-0005-0000-0000-0000185D0000}"/>
    <cellStyle name="Comma 10 2 2 2 2 3 2 2" xfId="29487" xr:uid="{00000000-0005-0000-0000-0000195D0000}"/>
    <cellStyle name="Comma 10 2 2 2 2 3 2 3" xfId="29488" xr:uid="{00000000-0005-0000-0000-00001A5D0000}"/>
    <cellStyle name="Comma 10 2 2 2 2 3 3" xfId="29489" xr:uid="{00000000-0005-0000-0000-00001B5D0000}"/>
    <cellStyle name="Comma 10 2 2 2 2 3 3 2" xfId="29490" xr:uid="{00000000-0005-0000-0000-00001C5D0000}"/>
    <cellStyle name="Comma 10 2 2 2 2 3 3 3" xfId="29491" xr:uid="{00000000-0005-0000-0000-00001D5D0000}"/>
    <cellStyle name="Comma 10 2 2 2 2 3 4" xfId="29492" xr:uid="{00000000-0005-0000-0000-00001E5D0000}"/>
    <cellStyle name="Comma 10 2 2 2 2 3 4 2" xfId="29493" xr:uid="{00000000-0005-0000-0000-00001F5D0000}"/>
    <cellStyle name="Comma 10 2 2 2 2 3 5" xfId="29494" xr:uid="{00000000-0005-0000-0000-0000205D0000}"/>
    <cellStyle name="Comma 10 2 2 2 2 3 6" xfId="29495" xr:uid="{00000000-0005-0000-0000-0000215D0000}"/>
    <cellStyle name="Comma 10 2 2 2 2 4" xfId="29496" xr:uid="{00000000-0005-0000-0000-0000225D0000}"/>
    <cellStyle name="Comma 10 2 2 2 2 4 2" xfId="29497" xr:uid="{00000000-0005-0000-0000-0000235D0000}"/>
    <cellStyle name="Comma 10 2 2 2 2 4 2 2" xfId="29498" xr:uid="{00000000-0005-0000-0000-0000245D0000}"/>
    <cellStyle name="Comma 10 2 2 2 2 4 2 3" xfId="29499" xr:uid="{00000000-0005-0000-0000-0000255D0000}"/>
    <cellStyle name="Comma 10 2 2 2 2 4 3" xfId="29500" xr:uid="{00000000-0005-0000-0000-0000265D0000}"/>
    <cellStyle name="Comma 10 2 2 2 2 4 3 2" xfId="29501" xr:uid="{00000000-0005-0000-0000-0000275D0000}"/>
    <cellStyle name="Comma 10 2 2 2 2 4 3 3" xfId="29502" xr:uid="{00000000-0005-0000-0000-0000285D0000}"/>
    <cellStyle name="Comma 10 2 2 2 2 4 4" xfId="29503" xr:uid="{00000000-0005-0000-0000-0000295D0000}"/>
    <cellStyle name="Comma 10 2 2 2 2 4 4 2" xfId="29504" xr:uid="{00000000-0005-0000-0000-00002A5D0000}"/>
    <cellStyle name="Comma 10 2 2 2 2 4 5" xfId="29505" xr:uid="{00000000-0005-0000-0000-00002B5D0000}"/>
    <cellStyle name="Comma 10 2 2 2 2 4 6" xfId="29506" xr:uid="{00000000-0005-0000-0000-00002C5D0000}"/>
    <cellStyle name="Comma 10 2 2 2 2 5" xfId="29507" xr:uid="{00000000-0005-0000-0000-00002D5D0000}"/>
    <cellStyle name="Comma 10 2 2 2 2 5 2" xfId="29508" xr:uid="{00000000-0005-0000-0000-00002E5D0000}"/>
    <cellStyle name="Comma 10 2 2 2 2 5 2 2" xfId="29509" xr:uid="{00000000-0005-0000-0000-00002F5D0000}"/>
    <cellStyle name="Comma 10 2 2 2 2 5 2 3" xfId="29510" xr:uid="{00000000-0005-0000-0000-0000305D0000}"/>
    <cellStyle name="Comma 10 2 2 2 2 5 3" xfId="29511" xr:uid="{00000000-0005-0000-0000-0000315D0000}"/>
    <cellStyle name="Comma 10 2 2 2 2 5 3 2" xfId="29512" xr:uid="{00000000-0005-0000-0000-0000325D0000}"/>
    <cellStyle name="Comma 10 2 2 2 2 5 4" xfId="29513" xr:uid="{00000000-0005-0000-0000-0000335D0000}"/>
    <cellStyle name="Comma 10 2 2 2 2 5 5" xfId="29514" xr:uid="{00000000-0005-0000-0000-0000345D0000}"/>
    <cellStyle name="Comma 10 2 2 2 2 6" xfId="29515" xr:uid="{00000000-0005-0000-0000-0000355D0000}"/>
    <cellStyle name="Comma 10 2 2 2 2 6 2" xfId="29516" xr:uid="{00000000-0005-0000-0000-0000365D0000}"/>
    <cellStyle name="Comma 10 2 2 2 2 6 3" xfId="29517" xr:uid="{00000000-0005-0000-0000-0000375D0000}"/>
    <cellStyle name="Comma 10 2 2 2 2 7" xfId="29518" xr:uid="{00000000-0005-0000-0000-0000385D0000}"/>
    <cellStyle name="Comma 10 2 2 2 2 7 2" xfId="29519" xr:uid="{00000000-0005-0000-0000-0000395D0000}"/>
    <cellStyle name="Comma 10 2 2 2 2 7 3" xfId="29520" xr:uid="{00000000-0005-0000-0000-00003A5D0000}"/>
    <cellStyle name="Comma 10 2 2 2 2 8" xfId="29521" xr:uid="{00000000-0005-0000-0000-00003B5D0000}"/>
    <cellStyle name="Comma 10 2 2 2 2 8 2" xfId="29522" xr:uid="{00000000-0005-0000-0000-00003C5D0000}"/>
    <cellStyle name="Comma 10 2 2 2 2 9" xfId="29523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524" xr:uid="{00000000-0005-0000-0000-0000405D0000}"/>
    <cellStyle name="Comma 10 2 2 2 3 2 2 2" xfId="29525" xr:uid="{00000000-0005-0000-0000-0000415D0000}"/>
    <cellStyle name="Comma 10 2 2 2 3 2 2 3" xfId="29526" xr:uid="{00000000-0005-0000-0000-0000425D0000}"/>
    <cellStyle name="Comma 10 2 2 2 3 2 3" xfId="29527" xr:uid="{00000000-0005-0000-0000-0000435D0000}"/>
    <cellStyle name="Comma 10 2 2 2 3 2 3 2" xfId="29528" xr:uid="{00000000-0005-0000-0000-0000445D0000}"/>
    <cellStyle name="Comma 10 2 2 2 3 2 3 3" xfId="29529" xr:uid="{00000000-0005-0000-0000-0000455D0000}"/>
    <cellStyle name="Comma 10 2 2 2 3 2 4" xfId="29530" xr:uid="{00000000-0005-0000-0000-0000465D0000}"/>
    <cellStyle name="Comma 10 2 2 2 3 2 4 2" xfId="29531" xr:uid="{00000000-0005-0000-0000-0000475D0000}"/>
    <cellStyle name="Comma 10 2 2 2 3 2 5" xfId="29532" xr:uid="{00000000-0005-0000-0000-0000485D0000}"/>
    <cellStyle name="Comma 10 2 2 2 3 2 6" xfId="29533" xr:uid="{00000000-0005-0000-0000-0000495D0000}"/>
    <cellStyle name="Comma 10 2 2 2 3 3" xfId="29534" xr:uid="{00000000-0005-0000-0000-00004A5D0000}"/>
    <cellStyle name="Comma 10 2 2 2 3 3 2" xfId="29535" xr:uid="{00000000-0005-0000-0000-00004B5D0000}"/>
    <cellStyle name="Comma 10 2 2 2 3 3 2 2" xfId="29536" xr:uid="{00000000-0005-0000-0000-00004C5D0000}"/>
    <cellStyle name="Comma 10 2 2 2 3 3 2 3" xfId="29537" xr:uid="{00000000-0005-0000-0000-00004D5D0000}"/>
    <cellStyle name="Comma 10 2 2 2 3 3 3" xfId="29538" xr:uid="{00000000-0005-0000-0000-00004E5D0000}"/>
    <cellStyle name="Comma 10 2 2 2 3 3 3 2" xfId="29539" xr:uid="{00000000-0005-0000-0000-00004F5D0000}"/>
    <cellStyle name="Comma 10 2 2 2 3 3 3 3" xfId="29540" xr:uid="{00000000-0005-0000-0000-0000505D0000}"/>
    <cellStyle name="Comma 10 2 2 2 3 3 4" xfId="29541" xr:uid="{00000000-0005-0000-0000-0000515D0000}"/>
    <cellStyle name="Comma 10 2 2 2 3 3 4 2" xfId="29542" xr:uid="{00000000-0005-0000-0000-0000525D0000}"/>
    <cellStyle name="Comma 10 2 2 2 3 3 5" xfId="29543" xr:uid="{00000000-0005-0000-0000-0000535D0000}"/>
    <cellStyle name="Comma 10 2 2 2 3 3 6" xfId="29544" xr:uid="{00000000-0005-0000-0000-0000545D0000}"/>
    <cellStyle name="Comma 10 2 2 2 3 4" xfId="29545" xr:uid="{00000000-0005-0000-0000-0000555D0000}"/>
    <cellStyle name="Comma 10 2 2 2 3 4 2" xfId="29546" xr:uid="{00000000-0005-0000-0000-0000565D0000}"/>
    <cellStyle name="Comma 10 2 2 2 3 4 2 2" xfId="29547" xr:uid="{00000000-0005-0000-0000-0000575D0000}"/>
    <cellStyle name="Comma 10 2 2 2 3 4 2 3" xfId="29548" xr:uid="{00000000-0005-0000-0000-0000585D0000}"/>
    <cellStyle name="Comma 10 2 2 2 3 4 3" xfId="29549" xr:uid="{00000000-0005-0000-0000-0000595D0000}"/>
    <cellStyle name="Comma 10 2 2 2 3 4 3 2" xfId="29550" xr:uid="{00000000-0005-0000-0000-00005A5D0000}"/>
    <cellStyle name="Comma 10 2 2 2 3 4 4" xfId="29551" xr:uid="{00000000-0005-0000-0000-00005B5D0000}"/>
    <cellStyle name="Comma 10 2 2 2 3 4 5" xfId="29552" xr:uid="{00000000-0005-0000-0000-00005C5D0000}"/>
    <cellStyle name="Comma 10 2 2 2 3 5" xfId="29553" xr:uid="{00000000-0005-0000-0000-00005D5D0000}"/>
    <cellStyle name="Comma 10 2 2 2 3 5 2" xfId="29554" xr:uid="{00000000-0005-0000-0000-00005E5D0000}"/>
    <cellStyle name="Comma 10 2 2 2 3 5 3" xfId="29555" xr:uid="{00000000-0005-0000-0000-00005F5D0000}"/>
    <cellStyle name="Comma 10 2 2 2 3 6" xfId="29556" xr:uid="{00000000-0005-0000-0000-0000605D0000}"/>
    <cellStyle name="Comma 10 2 2 2 3 6 2" xfId="29557" xr:uid="{00000000-0005-0000-0000-0000615D0000}"/>
    <cellStyle name="Comma 10 2 2 2 3 6 3" xfId="29558" xr:uid="{00000000-0005-0000-0000-0000625D0000}"/>
    <cellStyle name="Comma 10 2 2 2 3 7" xfId="29559" xr:uid="{00000000-0005-0000-0000-0000635D0000}"/>
    <cellStyle name="Comma 10 2 2 2 3 7 2" xfId="29560" xr:uid="{00000000-0005-0000-0000-0000645D0000}"/>
    <cellStyle name="Comma 10 2 2 2 3 8" xfId="29561" xr:uid="{00000000-0005-0000-0000-0000655D0000}"/>
    <cellStyle name="Comma 10 2 2 2 3 9" xfId="29562" xr:uid="{00000000-0005-0000-0000-0000665D0000}"/>
    <cellStyle name="Comma 10 2 2 2 4" xfId="3181" xr:uid="{00000000-0005-0000-0000-0000675D0000}"/>
    <cellStyle name="Comma 10 2 2 2 4 2" xfId="29563" xr:uid="{00000000-0005-0000-0000-0000685D0000}"/>
    <cellStyle name="Comma 10 2 2 2 4 2 2" xfId="29564" xr:uid="{00000000-0005-0000-0000-0000695D0000}"/>
    <cellStyle name="Comma 10 2 2 2 4 2 2 2" xfId="29565" xr:uid="{00000000-0005-0000-0000-00006A5D0000}"/>
    <cellStyle name="Comma 10 2 2 2 4 2 2 3" xfId="29566" xr:uid="{00000000-0005-0000-0000-00006B5D0000}"/>
    <cellStyle name="Comma 10 2 2 2 4 2 3" xfId="29567" xr:uid="{00000000-0005-0000-0000-00006C5D0000}"/>
    <cellStyle name="Comma 10 2 2 2 4 2 3 2" xfId="29568" xr:uid="{00000000-0005-0000-0000-00006D5D0000}"/>
    <cellStyle name="Comma 10 2 2 2 4 2 3 3" xfId="29569" xr:uid="{00000000-0005-0000-0000-00006E5D0000}"/>
    <cellStyle name="Comma 10 2 2 2 4 2 4" xfId="29570" xr:uid="{00000000-0005-0000-0000-00006F5D0000}"/>
    <cellStyle name="Comma 10 2 2 2 4 2 4 2" xfId="29571" xr:uid="{00000000-0005-0000-0000-0000705D0000}"/>
    <cellStyle name="Comma 10 2 2 2 4 2 5" xfId="29572" xr:uid="{00000000-0005-0000-0000-0000715D0000}"/>
    <cellStyle name="Comma 10 2 2 2 4 2 6" xfId="29573" xr:uid="{00000000-0005-0000-0000-0000725D0000}"/>
    <cellStyle name="Comma 10 2 2 2 4 3" xfId="29574" xr:uid="{00000000-0005-0000-0000-0000735D0000}"/>
    <cellStyle name="Comma 10 2 2 2 4 3 2" xfId="29575" xr:uid="{00000000-0005-0000-0000-0000745D0000}"/>
    <cellStyle name="Comma 10 2 2 2 4 3 2 2" xfId="29576" xr:uid="{00000000-0005-0000-0000-0000755D0000}"/>
    <cellStyle name="Comma 10 2 2 2 4 3 2 3" xfId="29577" xr:uid="{00000000-0005-0000-0000-0000765D0000}"/>
    <cellStyle name="Comma 10 2 2 2 4 3 3" xfId="29578" xr:uid="{00000000-0005-0000-0000-0000775D0000}"/>
    <cellStyle name="Comma 10 2 2 2 4 3 3 2" xfId="29579" xr:uid="{00000000-0005-0000-0000-0000785D0000}"/>
    <cellStyle name="Comma 10 2 2 2 4 3 3 3" xfId="29580" xr:uid="{00000000-0005-0000-0000-0000795D0000}"/>
    <cellStyle name="Comma 10 2 2 2 4 3 4" xfId="29581" xr:uid="{00000000-0005-0000-0000-00007A5D0000}"/>
    <cellStyle name="Comma 10 2 2 2 4 3 4 2" xfId="29582" xr:uid="{00000000-0005-0000-0000-00007B5D0000}"/>
    <cellStyle name="Comma 10 2 2 2 4 3 5" xfId="29583" xr:uid="{00000000-0005-0000-0000-00007C5D0000}"/>
    <cellStyle name="Comma 10 2 2 2 4 3 6" xfId="29584" xr:uid="{00000000-0005-0000-0000-00007D5D0000}"/>
    <cellStyle name="Comma 10 2 2 2 4 4" xfId="29585" xr:uid="{00000000-0005-0000-0000-00007E5D0000}"/>
    <cellStyle name="Comma 10 2 2 2 4 4 2" xfId="29586" xr:uid="{00000000-0005-0000-0000-00007F5D0000}"/>
    <cellStyle name="Comma 10 2 2 2 4 4 2 2" xfId="29587" xr:uid="{00000000-0005-0000-0000-0000805D0000}"/>
    <cellStyle name="Comma 10 2 2 2 4 4 2 3" xfId="29588" xr:uid="{00000000-0005-0000-0000-0000815D0000}"/>
    <cellStyle name="Comma 10 2 2 2 4 4 3" xfId="29589" xr:uid="{00000000-0005-0000-0000-0000825D0000}"/>
    <cellStyle name="Comma 10 2 2 2 4 4 3 2" xfId="29590" xr:uid="{00000000-0005-0000-0000-0000835D0000}"/>
    <cellStyle name="Comma 10 2 2 2 4 4 4" xfId="29591" xr:uid="{00000000-0005-0000-0000-0000845D0000}"/>
    <cellStyle name="Comma 10 2 2 2 4 4 5" xfId="29592" xr:uid="{00000000-0005-0000-0000-0000855D0000}"/>
    <cellStyle name="Comma 10 2 2 2 4 5" xfId="29593" xr:uid="{00000000-0005-0000-0000-0000865D0000}"/>
    <cellStyle name="Comma 10 2 2 2 4 5 2" xfId="29594" xr:uid="{00000000-0005-0000-0000-0000875D0000}"/>
    <cellStyle name="Comma 10 2 2 2 4 5 3" xfId="29595" xr:uid="{00000000-0005-0000-0000-0000885D0000}"/>
    <cellStyle name="Comma 10 2 2 2 4 6" xfId="29596" xr:uid="{00000000-0005-0000-0000-0000895D0000}"/>
    <cellStyle name="Comma 10 2 2 2 4 6 2" xfId="29597" xr:uid="{00000000-0005-0000-0000-00008A5D0000}"/>
    <cellStyle name="Comma 10 2 2 2 4 6 3" xfId="29598" xr:uid="{00000000-0005-0000-0000-00008B5D0000}"/>
    <cellStyle name="Comma 10 2 2 2 4 7" xfId="29599" xr:uid="{00000000-0005-0000-0000-00008C5D0000}"/>
    <cellStyle name="Comma 10 2 2 2 4 7 2" xfId="29600" xr:uid="{00000000-0005-0000-0000-00008D5D0000}"/>
    <cellStyle name="Comma 10 2 2 2 4 8" xfId="29601" xr:uid="{00000000-0005-0000-0000-00008E5D0000}"/>
    <cellStyle name="Comma 10 2 2 2 4 9" xfId="29602" xr:uid="{00000000-0005-0000-0000-00008F5D0000}"/>
    <cellStyle name="Comma 10 2 2 2 5" xfId="29603" xr:uid="{00000000-0005-0000-0000-0000905D0000}"/>
    <cellStyle name="Comma 10 2 2 2 5 2" xfId="29604" xr:uid="{00000000-0005-0000-0000-0000915D0000}"/>
    <cellStyle name="Comma 10 2 2 2 5 2 2" xfId="29605" xr:uid="{00000000-0005-0000-0000-0000925D0000}"/>
    <cellStyle name="Comma 10 2 2 2 5 2 3" xfId="29606" xr:uid="{00000000-0005-0000-0000-0000935D0000}"/>
    <cellStyle name="Comma 10 2 2 2 5 3" xfId="29607" xr:uid="{00000000-0005-0000-0000-0000945D0000}"/>
    <cellStyle name="Comma 10 2 2 2 5 3 2" xfId="29608" xr:uid="{00000000-0005-0000-0000-0000955D0000}"/>
    <cellStyle name="Comma 10 2 2 2 5 3 3" xfId="29609" xr:uid="{00000000-0005-0000-0000-0000965D0000}"/>
    <cellStyle name="Comma 10 2 2 2 5 4" xfId="29610" xr:uid="{00000000-0005-0000-0000-0000975D0000}"/>
    <cellStyle name="Comma 10 2 2 2 5 4 2" xfId="29611" xr:uid="{00000000-0005-0000-0000-0000985D0000}"/>
    <cellStyle name="Comma 10 2 2 2 5 5" xfId="29612" xr:uid="{00000000-0005-0000-0000-0000995D0000}"/>
    <cellStyle name="Comma 10 2 2 2 5 6" xfId="29613" xr:uid="{00000000-0005-0000-0000-00009A5D0000}"/>
    <cellStyle name="Comma 10 2 2 2 6" xfId="29614" xr:uid="{00000000-0005-0000-0000-00009B5D0000}"/>
    <cellStyle name="Comma 10 2 2 2 6 2" xfId="29615" xr:uid="{00000000-0005-0000-0000-00009C5D0000}"/>
    <cellStyle name="Comma 10 2 2 2 6 2 2" xfId="29616" xr:uid="{00000000-0005-0000-0000-00009D5D0000}"/>
    <cellStyle name="Comma 10 2 2 2 6 2 3" xfId="29617" xr:uid="{00000000-0005-0000-0000-00009E5D0000}"/>
    <cellStyle name="Comma 10 2 2 2 6 3" xfId="29618" xr:uid="{00000000-0005-0000-0000-00009F5D0000}"/>
    <cellStyle name="Comma 10 2 2 2 6 3 2" xfId="29619" xr:uid="{00000000-0005-0000-0000-0000A05D0000}"/>
    <cellStyle name="Comma 10 2 2 2 6 3 3" xfId="29620" xr:uid="{00000000-0005-0000-0000-0000A15D0000}"/>
    <cellStyle name="Comma 10 2 2 2 6 4" xfId="29621" xr:uid="{00000000-0005-0000-0000-0000A25D0000}"/>
    <cellStyle name="Comma 10 2 2 2 6 4 2" xfId="29622" xr:uid="{00000000-0005-0000-0000-0000A35D0000}"/>
    <cellStyle name="Comma 10 2 2 2 6 5" xfId="29623" xr:uid="{00000000-0005-0000-0000-0000A45D0000}"/>
    <cellStyle name="Comma 10 2 2 2 6 6" xfId="29624" xr:uid="{00000000-0005-0000-0000-0000A55D0000}"/>
    <cellStyle name="Comma 10 2 2 2 7" xfId="29625" xr:uid="{00000000-0005-0000-0000-0000A65D0000}"/>
    <cellStyle name="Comma 10 2 2 2 7 2" xfId="29626" xr:uid="{00000000-0005-0000-0000-0000A75D0000}"/>
    <cellStyle name="Comma 10 2 2 2 7 2 2" xfId="29627" xr:uid="{00000000-0005-0000-0000-0000A85D0000}"/>
    <cellStyle name="Comma 10 2 2 2 7 2 3" xfId="29628" xr:uid="{00000000-0005-0000-0000-0000A95D0000}"/>
    <cellStyle name="Comma 10 2 2 2 7 3" xfId="29629" xr:uid="{00000000-0005-0000-0000-0000AA5D0000}"/>
    <cellStyle name="Comma 10 2 2 2 7 3 2" xfId="29630" xr:uid="{00000000-0005-0000-0000-0000AB5D0000}"/>
    <cellStyle name="Comma 10 2 2 2 7 4" xfId="29631" xr:uid="{00000000-0005-0000-0000-0000AC5D0000}"/>
    <cellStyle name="Comma 10 2 2 2 7 5" xfId="29632" xr:uid="{00000000-0005-0000-0000-0000AD5D0000}"/>
    <cellStyle name="Comma 10 2 2 2 8" xfId="29633" xr:uid="{00000000-0005-0000-0000-0000AE5D0000}"/>
    <cellStyle name="Comma 10 2 2 2 8 2" xfId="29634" xr:uid="{00000000-0005-0000-0000-0000AF5D0000}"/>
    <cellStyle name="Comma 10 2 2 2 8 3" xfId="29635" xr:uid="{00000000-0005-0000-0000-0000B05D0000}"/>
    <cellStyle name="Comma 10 2 2 2 9" xfId="29636" xr:uid="{00000000-0005-0000-0000-0000B15D0000}"/>
    <cellStyle name="Comma 10 2 2 2 9 2" xfId="29637" xr:uid="{00000000-0005-0000-0000-0000B25D0000}"/>
    <cellStyle name="Comma 10 2 2 2 9 3" xfId="29638" xr:uid="{00000000-0005-0000-0000-0000B35D0000}"/>
    <cellStyle name="Comma 10 2 2 3" xfId="3182" xr:uid="{00000000-0005-0000-0000-0000B45D0000}"/>
    <cellStyle name="Comma 10 2 2 3 10" xfId="29639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640" xr:uid="{00000000-0005-0000-0000-0000B85D0000}"/>
    <cellStyle name="Comma 10 2 2 3 2 2 2 2" xfId="29641" xr:uid="{00000000-0005-0000-0000-0000B95D0000}"/>
    <cellStyle name="Comma 10 2 2 3 2 2 2 3" xfId="29642" xr:uid="{00000000-0005-0000-0000-0000BA5D0000}"/>
    <cellStyle name="Comma 10 2 2 3 2 2 3" xfId="29643" xr:uid="{00000000-0005-0000-0000-0000BB5D0000}"/>
    <cellStyle name="Comma 10 2 2 3 2 2 3 2" xfId="29644" xr:uid="{00000000-0005-0000-0000-0000BC5D0000}"/>
    <cellStyle name="Comma 10 2 2 3 2 2 3 3" xfId="29645" xr:uid="{00000000-0005-0000-0000-0000BD5D0000}"/>
    <cellStyle name="Comma 10 2 2 3 2 2 4" xfId="29646" xr:uid="{00000000-0005-0000-0000-0000BE5D0000}"/>
    <cellStyle name="Comma 10 2 2 3 2 2 4 2" xfId="29647" xr:uid="{00000000-0005-0000-0000-0000BF5D0000}"/>
    <cellStyle name="Comma 10 2 2 3 2 2 5" xfId="29648" xr:uid="{00000000-0005-0000-0000-0000C05D0000}"/>
    <cellStyle name="Comma 10 2 2 3 2 2 6" xfId="29649" xr:uid="{00000000-0005-0000-0000-0000C15D0000}"/>
    <cellStyle name="Comma 10 2 2 3 2 3" xfId="29650" xr:uid="{00000000-0005-0000-0000-0000C25D0000}"/>
    <cellStyle name="Comma 10 2 2 3 2 3 2" xfId="29651" xr:uid="{00000000-0005-0000-0000-0000C35D0000}"/>
    <cellStyle name="Comma 10 2 2 3 2 3 2 2" xfId="29652" xr:uid="{00000000-0005-0000-0000-0000C45D0000}"/>
    <cellStyle name="Comma 10 2 2 3 2 3 2 3" xfId="29653" xr:uid="{00000000-0005-0000-0000-0000C55D0000}"/>
    <cellStyle name="Comma 10 2 2 3 2 3 3" xfId="29654" xr:uid="{00000000-0005-0000-0000-0000C65D0000}"/>
    <cellStyle name="Comma 10 2 2 3 2 3 3 2" xfId="29655" xr:uid="{00000000-0005-0000-0000-0000C75D0000}"/>
    <cellStyle name="Comma 10 2 2 3 2 3 3 3" xfId="29656" xr:uid="{00000000-0005-0000-0000-0000C85D0000}"/>
    <cellStyle name="Comma 10 2 2 3 2 3 4" xfId="29657" xr:uid="{00000000-0005-0000-0000-0000C95D0000}"/>
    <cellStyle name="Comma 10 2 2 3 2 3 4 2" xfId="29658" xr:uid="{00000000-0005-0000-0000-0000CA5D0000}"/>
    <cellStyle name="Comma 10 2 2 3 2 3 5" xfId="29659" xr:uid="{00000000-0005-0000-0000-0000CB5D0000}"/>
    <cellStyle name="Comma 10 2 2 3 2 3 6" xfId="29660" xr:uid="{00000000-0005-0000-0000-0000CC5D0000}"/>
    <cellStyle name="Comma 10 2 2 3 2 4" xfId="29661" xr:uid="{00000000-0005-0000-0000-0000CD5D0000}"/>
    <cellStyle name="Comma 10 2 2 3 2 4 2" xfId="29662" xr:uid="{00000000-0005-0000-0000-0000CE5D0000}"/>
    <cellStyle name="Comma 10 2 2 3 2 4 2 2" xfId="29663" xr:uid="{00000000-0005-0000-0000-0000CF5D0000}"/>
    <cellStyle name="Comma 10 2 2 3 2 4 2 3" xfId="29664" xr:uid="{00000000-0005-0000-0000-0000D05D0000}"/>
    <cellStyle name="Comma 10 2 2 3 2 4 3" xfId="29665" xr:uid="{00000000-0005-0000-0000-0000D15D0000}"/>
    <cellStyle name="Comma 10 2 2 3 2 4 3 2" xfId="29666" xr:uid="{00000000-0005-0000-0000-0000D25D0000}"/>
    <cellStyle name="Comma 10 2 2 3 2 4 4" xfId="29667" xr:uid="{00000000-0005-0000-0000-0000D35D0000}"/>
    <cellStyle name="Comma 10 2 2 3 2 4 5" xfId="29668" xr:uid="{00000000-0005-0000-0000-0000D45D0000}"/>
    <cellStyle name="Comma 10 2 2 3 2 5" xfId="29669" xr:uid="{00000000-0005-0000-0000-0000D55D0000}"/>
    <cellStyle name="Comma 10 2 2 3 2 5 2" xfId="29670" xr:uid="{00000000-0005-0000-0000-0000D65D0000}"/>
    <cellStyle name="Comma 10 2 2 3 2 5 3" xfId="29671" xr:uid="{00000000-0005-0000-0000-0000D75D0000}"/>
    <cellStyle name="Comma 10 2 2 3 2 6" xfId="29672" xr:uid="{00000000-0005-0000-0000-0000D85D0000}"/>
    <cellStyle name="Comma 10 2 2 3 2 6 2" xfId="29673" xr:uid="{00000000-0005-0000-0000-0000D95D0000}"/>
    <cellStyle name="Comma 10 2 2 3 2 6 3" xfId="29674" xr:uid="{00000000-0005-0000-0000-0000DA5D0000}"/>
    <cellStyle name="Comma 10 2 2 3 2 7" xfId="29675" xr:uid="{00000000-0005-0000-0000-0000DB5D0000}"/>
    <cellStyle name="Comma 10 2 2 3 2 7 2" xfId="29676" xr:uid="{00000000-0005-0000-0000-0000DC5D0000}"/>
    <cellStyle name="Comma 10 2 2 3 2 8" xfId="29677" xr:uid="{00000000-0005-0000-0000-0000DD5D0000}"/>
    <cellStyle name="Comma 10 2 2 3 2 9" xfId="29678" xr:uid="{00000000-0005-0000-0000-0000DE5D0000}"/>
    <cellStyle name="Comma 10 2 2 3 3" xfId="3185" xr:uid="{00000000-0005-0000-0000-0000DF5D0000}"/>
    <cellStyle name="Comma 10 2 2 3 3 2" xfId="29679" xr:uid="{00000000-0005-0000-0000-0000E05D0000}"/>
    <cellStyle name="Comma 10 2 2 3 3 2 2" xfId="29680" xr:uid="{00000000-0005-0000-0000-0000E15D0000}"/>
    <cellStyle name="Comma 10 2 2 3 3 2 3" xfId="29681" xr:uid="{00000000-0005-0000-0000-0000E25D0000}"/>
    <cellStyle name="Comma 10 2 2 3 3 3" xfId="29682" xr:uid="{00000000-0005-0000-0000-0000E35D0000}"/>
    <cellStyle name="Comma 10 2 2 3 3 3 2" xfId="29683" xr:uid="{00000000-0005-0000-0000-0000E45D0000}"/>
    <cellStyle name="Comma 10 2 2 3 3 3 3" xfId="29684" xr:uid="{00000000-0005-0000-0000-0000E55D0000}"/>
    <cellStyle name="Comma 10 2 2 3 3 4" xfId="29685" xr:uid="{00000000-0005-0000-0000-0000E65D0000}"/>
    <cellStyle name="Comma 10 2 2 3 3 4 2" xfId="29686" xr:uid="{00000000-0005-0000-0000-0000E75D0000}"/>
    <cellStyle name="Comma 10 2 2 3 3 5" xfId="29687" xr:uid="{00000000-0005-0000-0000-0000E85D0000}"/>
    <cellStyle name="Comma 10 2 2 3 3 6" xfId="29688" xr:uid="{00000000-0005-0000-0000-0000E95D0000}"/>
    <cellStyle name="Comma 10 2 2 3 4" xfId="29689" xr:uid="{00000000-0005-0000-0000-0000EA5D0000}"/>
    <cellStyle name="Comma 10 2 2 3 4 2" xfId="29690" xr:uid="{00000000-0005-0000-0000-0000EB5D0000}"/>
    <cellStyle name="Comma 10 2 2 3 4 2 2" xfId="29691" xr:uid="{00000000-0005-0000-0000-0000EC5D0000}"/>
    <cellStyle name="Comma 10 2 2 3 4 2 3" xfId="29692" xr:uid="{00000000-0005-0000-0000-0000ED5D0000}"/>
    <cellStyle name="Comma 10 2 2 3 4 3" xfId="29693" xr:uid="{00000000-0005-0000-0000-0000EE5D0000}"/>
    <cellStyle name="Comma 10 2 2 3 4 3 2" xfId="29694" xr:uid="{00000000-0005-0000-0000-0000EF5D0000}"/>
    <cellStyle name="Comma 10 2 2 3 4 3 3" xfId="29695" xr:uid="{00000000-0005-0000-0000-0000F05D0000}"/>
    <cellStyle name="Comma 10 2 2 3 4 4" xfId="29696" xr:uid="{00000000-0005-0000-0000-0000F15D0000}"/>
    <cellStyle name="Comma 10 2 2 3 4 4 2" xfId="29697" xr:uid="{00000000-0005-0000-0000-0000F25D0000}"/>
    <cellStyle name="Comma 10 2 2 3 4 5" xfId="29698" xr:uid="{00000000-0005-0000-0000-0000F35D0000}"/>
    <cellStyle name="Comma 10 2 2 3 4 6" xfId="29699" xr:uid="{00000000-0005-0000-0000-0000F45D0000}"/>
    <cellStyle name="Comma 10 2 2 3 5" xfId="29700" xr:uid="{00000000-0005-0000-0000-0000F55D0000}"/>
    <cellStyle name="Comma 10 2 2 3 5 2" xfId="29701" xr:uid="{00000000-0005-0000-0000-0000F65D0000}"/>
    <cellStyle name="Comma 10 2 2 3 5 2 2" xfId="29702" xr:uid="{00000000-0005-0000-0000-0000F75D0000}"/>
    <cellStyle name="Comma 10 2 2 3 5 2 3" xfId="29703" xr:uid="{00000000-0005-0000-0000-0000F85D0000}"/>
    <cellStyle name="Comma 10 2 2 3 5 3" xfId="29704" xr:uid="{00000000-0005-0000-0000-0000F95D0000}"/>
    <cellStyle name="Comma 10 2 2 3 5 3 2" xfId="29705" xr:uid="{00000000-0005-0000-0000-0000FA5D0000}"/>
    <cellStyle name="Comma 10 2 2 3 5 4" xfId="29706" xr:uid="{00000000-0005-0000-0000-0000FB5D0000}"/>
    <cellStyle name="Comma 10 2 2 3 5 5" xfId="29707" xr:uid="{00000000-0005-0000-0000-0000FC5D0000}"/>
    <cellStyle name="Comma 10 2 2 3 6" xfId="29708" xr:uid="{00000000-0005-0000-0000-0000FD5D0000}"/>
    <cellStyle name="Comma 10 2 2 3 6 2" xfId="29709" xr:uid="{00000000-0005-0000-0000-0000FE5D0000}"/>
    <cellStyle name="Comma 10 2 2 3 6 3" xfId="29710" xr:uid="{00000000-0005-0000-0000-0000FF5D0000}"/>
    <cellStyle name="Comma 10 2 2 3 7" xfId="29711" xr:uid="{00000000-0005-0000-0000-0000005E0000}"/>
    <cellStyle name="Comma 10 2 2 3 7 2" xfId="29712" xr:uid="{00000000-0005-0000-0000-0000015E0000}"/>
    <cellStyle name="Comma 10 2 2 3 7 3" xfId="29713" xr:uid="{00000000-0005-0000-0000-0000025E0000}"/>
    <cellStyle name="Comma 10 2 2 3 8" xfId="29714" xr:uid="{00000000-0005-0000-0000-0000035E0000}"/>
    <cellStyle name="Comma 10 2 2 3 8 2" xfId="29715" xr:uid="{00000000-0005-0000-0000-0000045E0000}"/>
    <cellStyle name="Comma 10 2 2 3 9" xfId="29716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717" xr:uid="{00000000-0005-0000-0000-0000085E0000}"/>
    <cellStyle name="Comma 10 2 2 4 2 2 2" xfId="29718" xr:uid="{00000000-0005-0000-0000-0000095E0000}"/>
    <cellStyle name="Comma 10 2 2 4 2 2 3" xfId="29719" xr:uid="{00000000-0005-0000-0000-00000A5E0000}"/>
    <cellStyle name="Comma 10 2 2 4 2 3" xfId="29720" xr:uid="{00000000-0005-0000-0000-00000B5E0000}"/>
    <cellStyle name="Comma 10 2 2 4 2 3 2" xfId="29721" xr:uid="{00000000-0005-0000-0000-00000C5E0000}"/>
    <cellStyle name="Comma 10 2 2 4 2 3 3" xfId="29722" xr:uid="{00000000-0005-0000-0000-00000D5E0000}"/>
    <cellStyle name="Comma 10 2 2 4 2 4" xfId="29723" xr:uid="{00000000-0005-0000-0000-00000E5E0000}"/>
    <cellStyle name="Comma 10 2 2 4 2 4 2" xfId="29724" xr:uid="{00000000-0005-0000-0000-00000F5E0000}"/>
    <cellStyle name="Comma 10 2 2 4 2 5" xfId="29725" xr:uid="{00000000-0005-0000-0000-0000105E0000}"/>
    <cellStyle name="Comma 10 2 2 4 2 6" xfId="29726" xr:uid="{00000000-0005-0000-0000-0000115E0000}"/>
    <cellStyle name="Comma 10 2 2 4 3" xfId="29727" xr:uid="{00000000-0005-0000-0000-0000125E0000}"/>
    <cellStyle name="Comma 10 2 2 4 3 2" xfId="29728" xr:uid="{00000000-0005-0000-0000-0000135E0000}"/>
    <cellStyle name="Comma 10 2 2 4 3 2 2" xfId="29729" xr:uid="{00000000-0005-0000-0000-0000145E0000}"/>
    <cellStyle name="Comma 10 2 2 4 3 2 3" xfId="29730" xr:uid="{00000000-0005-0000-0000-0000155E0000}"/>
    <cellStyle name="Comma 10 2 2 4 3 3" xfId="29731" xr:uid="{00000000-0005-0000-0000-0000165E0000}"/>
    <cellStyle name="Comma 10 2 2 4 3 3 2" xfId="29732" xr:uid="{00000000-0005-0000-0000-0000175E0000}"/>
    <cellStyle name="Comma 10 2 2 4 3 3 3" xfId="29733" xr:uid="{00000000-0005-0000-0000-0000185E0000}"/>
    <cellStyle name="Comma 10 2 2 4 3 4" xfId="29734" xr:uid="{00000000-0005-0000-0000-0000195E0000}"/>
    <cellStyle name="Comma 10 2 2 4 3 4 2" xfId="29735" xr:uid="{00000000-0005-0000-0000-00001A5E0000}"/>
    <cellStyle name="Comma 10 2 2 4 3 5" xfId="29736" xr:uid="{00000000-0005-0000-0000-00001B5E0000}"/>
    <cellStyle name="Comma 10 2 2 4 3 6" xfId="29737" xr:uid="{00000000-0005-0000-0000-00001C5E0000}"/>
    <cellStyle name="Comma 10 2 2 4 4" xfId="29738" xr:uid="{00000000-0005-0000-0000-00001D5E0000}"/>
    <cellStyle name="Comma 10 2 2 4 4 2" xfId="29739" xr:uid="{00000000-0005-0000-0000-00001E5E0000}"/>
    <cellStyle name="Comma 10 2 2 4 4 2 2" xfId="29740" xr:uid="{00000000-0005-0000-0000-00001F5E0000}"/>
    <cellStyle name="Comma 10 2 2 4 4 2 3" xfId="29741" xr:uid="{00000000-0005-0000-0000-0000205E0000}"/>
    <cellStyle name="Comma 10 2 2 4 4 3" xfId="29742" xr:uid="{00000000-0005-0000-0000-0000215E0000}"/>
    <cellStyle name="Comma 10 2 2 4 4 3 2" xfId="29743" xr:uid="{00000000-0005-0000-0000-0000225E0000}"/>
    <cellStyle name="Comma 10 2 2 4 4 4" xfId="29744" xr:uid="{00000000-0005-0000-0000-0000235E0000}"/>
    <cellStyle name="Comma 10 2 2 4 4 5" xfId="29745" xr:uid="{00000000-0005-0000-0000-0000245E0000}"/>
    <cellStyle name="Comma 10 2 2 4 5" xfId="29746" xr:uid="{00000000-0005-0000-0000-0000255E0000}"/>
    <cellStyle name="Comma 10 2 2 4 5 2" xfId="29747" xr:uid="{00000000-0005-0000-0000-0000265E0000}"/>
    <cellStyle name="Comma 10 2 2 4 5 3" xfId="29748" xr:uid="{00000000-0005-0000-0000-0000275E0000}"/>
    <cellStyle name="Comma 10 2 2 4 6" xfId="29749" xr:uid="{00000000-0005-0000-0000-0000285E0000}"/>
    <cellStyle name="Comma 10 2 2 4 6 2" xfId="29750" xr:uid="{00000000-0005-0000-0000-0000295E0000}"/>
    <cellStyle name="Comma 10 2 2 4 6 3" xfId="29751" xr:uid="{00000000-0005-0000-0000-00002A5E0000}"/>
    <cellStyle name="Comma 10 2 2 4 7" xfId="29752" xr:uid="{00000000-0005-0000-0000-00002B5E0000}"/>
    <cellStyle name="Comma 10 2 2 4 7 2" xfId="29753" xr:uid="{00000000-0005-0000-0000-00002C5E0000}"/>
    <cellStyle name="Comma 10 2 2 4 8" xfId="29754" xr:uid="{00000000-0005-0000-0000-00002D5E0000}"/>
    <cellStyle name="Comma 10 2 2 4 9" xfId="29755" xr:uid="{00000000-0005-0000-0000-00002E5E0000}"/>
    <cellStyle name="Comma 10 2 2 5" xfId="3188" xr:uid="{00000000-0005-0000-0000-00002F5E0000}"/>
    <cellStyle name="Comma 10 2 2 5 2" xfId="29756" xr:uid="{00000000-0005-0000-0000-0000305E0000}"/>
    <cellStyle name="Comma 10 2 2 5 2 2" xfId="29757" xr:uid="{00000000-0005-0000-0000-0000315E0000}"/>
    <cellStyle name="Comma 10 2 2 5 2 2 2" xfId="29758" xr:uid="{00000000-0005-0000-0000-0000325E0000}"/>
    <cellStyle name="Comma 10 2 2 5 2 2 3" xfId="29759" xr:uid="{00000000-0005-0000-0000-0000335E0000}"/>
    <cellStyle name="Comma 10 2 2 5 2 3" xfId="29760" xr:uid="{00000000-0005-0000-0000-0000345E0000}"/>
    <cellStyle name="Comma 10 2 2 5 2 3 2" xfId="29761" xr:uid="{00000000-0005-0000-0000-0000355E0000}"/>
    <cellStyle name="Comma 10 2 2 5 2 3 3" xfId="29762" xr:uid="{00000000-0005-0000-0000-0000365E0000}"/>
    <cellStyle name="Comma 10 2 2 5 2 4" xfId="29763" xr:uid="{00000000-0005-0000-0000-0000375E0000}"/>
    <cellStyle name="Comma 10 2 2 5 2 4 2" xfId="29764" xr:uid="{00000000-0005-0000-0000-0000385E0000}"/>
    <cellStyle name="Comma 10 2 2 5 2 5" xfId="29765" xr:uid="{00000000-0005-0000-0000-0000395E0000}"/>
    <cellStyle name="Comma 10 2 2 5 2 6" xfId="29766" xr:uid="{00000000-0005-0000-0000-00003A5E0000}"/>
    <cellStyle name="Comma 10 2 2 5 3" xfId="29767" xr:uid="{00000000-0005-0000-0000-00003B5E0000}"/>
    <cellStyle name="Comma 10 2 2 5 3 2" xfId="29768" xr:uid="{00000000-0005-0000-0000-00003C5E0000}"/>
    <cellStyle name="Comma 10 2 2 5 3 2 2" xfId="29769" xr:uid="{00000000-0005-0000-0000-00003D5E0000}"/>
    <cellStyle name="Comma 10 2 2 5 3 2 3" xfId="29770" xr:uid="{00000000-0005-0000-0000-00003E5E0000}"/>
    <cellStyle name="Comma 10 2 2 5 3 3" xfId="29771" xr:uid="{00000000-0005-0000-0000-00003F5E0000}"/>
    <cellStyle name="Comma 10 2 2 5 3 3 2" xfId="29772" xr:uid="{00000000-0005-0000-0000-0000405E0000}"/>
    <cellStyle name="Comma 10 2 2 5 3 3 3" xfId="29773" xr:uid="{00000000-0005-0000-0000-0000415E0000}"/>
    <cellStyle name="Comma 10 2 2 5 3 4" xfId="29774" xr:uid="{00000000-0005-0000-0000-0000425E0000}"/>
    <cellStyle name="Comma 10 2 2 5 3 4 2" xfId="29775" xr:uid="{00000000-0005-0000-0000-0000435E0000}"/>
    <cellStyle name="Comma 10 2 2 5 3 5" xfId="29776" xr:uid="{00000000-0005-0000-0000-0000445E0000}"/>
    <cellStyle name="Comma 10 2 2 5 3 6" xfId="29777" xr:uid="{00000000-0005-0000-0000-0000455E0000}"/>
    <cellStyle name="Comma 10 2 2 5 4" xfId="29778" xr:uid="{00000000-0005-0000-0000-0000465E0000}"/>
    <cellStyle name="Comma 10 2 2 5 4 2" xfId="29779" xr:uid="{00000000-0005-0000-0000-0000475E0000}"/>
    <cellStyle name="Comma 10 2 2 5 4 2 2" xfId="29780" xr:uid="{00000000-0005-0000-0000-0000485E0000}"/>
    <cellStyle name="Comma 10 2 2 5 4 2 3" xfId="29781" xr:uid="{00000000-0005-0000-0000-0000495E0000}"/>
    <cellStyle name="Comma 10 2 2 5 4 3" xfId="29782" xr:uid="{00000000-0005-0000-0000-00004A5E0000}"/>
    <cellStyle name="Comma 10 2 2 5 4 3 2" xfId="29783" xr:uid="{00000000-0005-0000-0000-00004B5E0000}"/>
    <cellStyle name="Comma 10 2 2 5 4 4" xfId="29784" xr:uid="{00000000-0005-0000-0000-00004C5E0000}"/>
    <cellStyle name="Comma 10 2 2 5 4 5" xfId="29785" xr:uid="{00000000-0005-0000-0000-00004D5E0000}"/>
    <cellStyle name="Comma 10 2 2 5 5" xfId="29786" xr:uid="{00000000-0005-0000-0000-00004E5E0000}"/>
    <cellStyle name="Comma 10 2 2 5 5 2" xfId="29787" xr:uid="{00000000-0005-0000-0000-00004F5E0000}"/>
    <cellStyle name="Comma 10 2 2 5 5 3" xfId="29788" xr:uid="{00000000-0005-0000-0000-0000505E0000}"/>
    <cellStyle name="Comma 10 2 2 5 6" xfId="29789" xr:uid="{00000000-0005-0000-0000-0000515E0000}"/>
    <cellStyle name="Comma 10 2 2 5 6 2" xfId="29790" xr:uid="{00000000-0005-0000-0000-0000525E0000}"/>
    <cellStyle name="Comma 10 2 2 5 6 3" xfId="29791" xr:uid="{00000000-0005-0000-0000-0000535E0000}"/>
    <cellStyle name="Comma 10 2 2 5 7" xfId="29792" xr:uid="{00000000-0005-0000-0000-0000545E0000}"/>
    <cellStyle name="Comma 10 2 2 5 7 2" xfId="29793" xr:uid="{00000000-0005-0000-0000-0000555E0000}"/>
    <cellStyle name="Comma 10 2 2 5 8" xfId="29794" xr:uid="{00000000-0005-0000-0000-0000565E0000}"/>
    <cellStyle name="Comma 10 2 2 5 9" xfId="29795" xr:uid="{00000000-0005-0000-0000-0000575E0000}"/>
    <cellStyle name="Comma 10 2 2 6" xfId="29796" xr:uid="{00000000-0005-0000-0000-0000585E0000}"/>
    <cellStyle name="Comma 10 2 2 6 2" xfId="29797" xr:uid="{00000000-0005-0000-0000-0000595E0000}"/>
    <cellStyle name="Comma 10 2 2 6 2 2" xfId="29798" xr:uid="{00000000-0005-0000-0000-00005A5E0000}"/>
    <cellStyle name="Comma 10 2 2 6 2 3" xfId="29799" xr:uid="{00000000-0005-0000-0000-00005B5E0000}"/>
    <cellStyle name="Comma 10 2 2 6 3" xfId="29800" xr:uid="{00000000-0005-0000-0000-00005C5E0000}"/>
    <cellStyle name="Comma 10 2 2 6 3 2" xfId="29801" xr:uid="{00000000-0005-0000-0000-00005D5E0000}"/>
    <cellStyle name="Comma 10 2 2 6 3 3" xfId="29802" xr:uid="{00000000-0005-0000-0000-00005E5E0000}"/>
    <cellStyle name="Comma 10 2 2 6 4" xfId="29803" xr:uid="{00000000-0005-0000-0000-00005F5E0000}"/>
    <cellStyle name="Comma 10 2 2 6 4 2" xfId="29804" xr:uid="{00000000-0005-0000-0000-0000605E0000}"/>
    <cellStyle name="Comma 10 2 2 6 5" xfId="29805" xr:uid="{00000000-0005-0000-0000-0000615E0000}"/>
    <cellStyle name="Comma 10 2 2 6 6" xfId="29806" xr:uid="{00000000-0005-0000-0000-0000625E0000}"/>
    <cellStyle name="Comma 10 2 2 7" xfId="29807" xr:uid="{00000000-0005-0000-0000-0000635E0000}"/>
    <cellStyle name="Comma 10 2 2 7 2" xfId="29808" xr:uid="{00000000-0005-0000-0000-0000645E0000}"/>
    <cellStyle name="Comma 10 2 2 7 2 2" xfId="29809" xr:uid="{00000000-0005-0000-0000-0000655E0000}"/>
    <cellStyle name="Comma 10 2 2 7 2 3" xfId="29810" xr:uid="{00000000-0005-0000-0000-0000665E0000}"/>
    <cellStyle name="Comma 10 2 2 7 3" xfId="29811" xr:uid="{00000000-0005-0000-0000-0000675E0000}"/>
    <cellStyle name="Comma 10 2 2 7 3 2" xfId="29812" xr:uid="{00000000-0005-0000-0000-0000685E0000}"/>
    <cellStyle name="Comma 10 2 2 7 3 3" xfId="29813" xr:uid="{00000000-0005-0000-0000-0000695E0000}"/>
    <cellStyle name="Comma 10 2 2 7 4" xfId="29814" xr:uid="{00000000-0005-0000-0000-00006A5E0000}"/>
    <cellStyle name="Comma 10 2 2 7 4 2" xfId="29815" xr:uid="{00000000-0005-0000-0000-00006B5E0000}"/>
    <cellStyle name="Comma 10 2 2 7 5" xfId="29816" xr:uid="{00000000-0005-0000-0000-00006C5E0000}"/>
    <cellStyle name="Comma 10 2 2 7 6" xfId="29817" xr:uid="{00000000-0005-0000-0000-00006D5E0000}"/>
    <cellStyle name="Comma 10 2 2 8" xfId="29818" xr:uid="{00000000-0005-0000-0000-00006E5E0000}"/>
    <cellStyle name="Comma 10 2 2 8 2" xfId="29819" xr:uid="{00000000-0005-0000-0000-00006F5E0000}"/>
    <cellStyle name="Comma 10 2 2 8 2 2" xfId="29820" xr:uid="{00000000-0005-0000-0000-0000705E0000}"/>
    <cellStyle name="Comma 10 2 2 8 2 3" xfId="29821" xr:uid="{00000000-0005-0000-0000-0000715E0000}"/>
    <cellStyle name="Comma 10 2 2 8 3" xfId="29822" xr:uid="{00000000-0005-0000-0000-0000725E0000}"/>
    <cellStyle name="Comma 10 2 2 8 3 2" xfId="29823" xr:uid="{00000000-0005-0000-0000-0000735E0000}"/>
    <cellStyle name="Comma 10 2 2 8 4" xfId="29824" xr:uid="{00000000-0005-0000-0000-0000745E0000}"/>
    <cellStyle name="Comma 10 2 2 8 5" xfId="29825" xr:uid="{00000000-0005-0000-0000-0000755E0000}"/>
    <cellStyle name="Comma 10 2 2 9" xfId="29826" xr:uid="{00000000-0005-0000-0000-0000765E0000}"/>
    <cellStyle name="Comma 10 2 2 9 2" xfId="29827" xr:uid="{00000000-0005-0000-0000-0000775E0000}"/>
    <cellStyle name="Comma 10 2 2 9 3" xfId="29828" xr:uid="{00000000-0005-0000-0000-0000785E0000}"/>
    <cellStyle name="Comma 10 2 3" xfId="3189" xr:uid="{00000000-0005-0000-0000-0000795E0000}"/>
    <cellStyle name="Comma 10 2 3 10" xfId="29829" xr:uid="{00000000-0005-0000-0000-00007A5E0000}"/>
    <cellStyle name="Comma 10 2 3 10 2" xfId="29830" xr:uid="{00000000-0005-0000-0000-00007B5E0000}"/>
    <cellStyle name="Comma 10 2 3 11" xfId="29831" xr:uid="{00000000-0005-0000-0000-00007C5E0000}"/>
    <cellStyle name="Comma 10 2 3 12" xfId="29832" xr:uid="{00000000-0005-0000-0000-00007D5E0000}"/>
    <cellStyle name="Comma 10 2 3 2" xfId="3190" xr:uid="{00000000-0005-0000-0000-00007E5E0000}"/>
    <cellStyle name="Comma 10 2 3 2 10" xfId="29833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834" xr:uid="{00000000-0005-0000-0000-0000825E0000}"/>
    <cellStyle name="Comma 10 2 3 2 2 2 2 2" xfId="29835" xr:uid="{00000000-0005-0000-0000-0000835E0000}"/>
    <cellStyle name="Comma 10 2 3 2 2 2 2 3" xfId="29836" xr:uid="{00000000-0005-0000-0000-0000845E0000}"/>
    <cellStyle name="Comma 10 2 3 2 2 2 3" xfId="29837" xr:uid="{00000000-0005-0000-0000-0000855E0000}"/>
    <cellStyle name="Comma 10 2 3 2 2 2 3 2" xfId="29838" xr:uid="{00000000-0005-0000-0000-0000865E0000}"/>
    <cellStyle name="Comma 10 2 3 2 2 2 3 3" xfId="29839" xr:uid="{00000000-0005-0000-0000-0000875E0000}"/>
    <cellStyle name="Comma 10 2 3 2 2 2 4" xfId="29840" xr:uid="{00000000-0005-0000-0000-0000885E0000}"/>
    <cellStyle name="Comma 10 2 3 2 2 2 4 2" xfId="29841" xr:uid="{00000000-0005-0000-0000-0000895E0000}"/>
    <cellStyle name="Comma 10 2 3 2 2 2 5" xfId="29842" xr:uid="{00000000-0005-0000-0000-00008A5E0000}"/>
    <cellStyle name="Comma 10 2 3 2 2 2 6" xfId="29843" xr:uid="{00000000-0005-0000-0000-00008B5E0000}"/>
    <cellStyle name="Comma 10 2 3 2 2 3" xfId="29844" xr:uid="{00000000-0005-0000-0000-00008C5E0000}"/>
    <cellStyle name="Comma 10 2 3 2 2 3 2" xfId="29845" xr:uid="{00000000-0005-0000-0000-00008D5E0000}"/>
    <cellStyle name="Comma 10 2 3 2 2 3 2 2" xfId="29846" xr:uid="{00000000-0005-0000-0000-00008E5E0000}"/>
    <cellStyle name="Comma 10 2 3 2 2 3 2 3" xfId="29847" xr:uid="{00000000-0005-0000-0000-00008F5E0000}"/>
    <cellStyle name="Comma 10 2 3 2 2 3 3" xfId="29848" xr:uid="{00000000-0005-0000-0000-0000905E0000}"/>
    <cellStyle name="Comma 10 2 3 2 2 3 3 2" xfId="29849" xr:uid="{00000000-0005-0000-0000-0000915E0000}"/>
    <cellStyle name="Comma 10 2 3 2 2 3 3 3" xfId="29850" xr:uid="{00000000-0005-0000-0000-0000925E0000}"/>
    <cellStyle name="Comma 10 2 3 2 2 3 4" xfId="29851" xr:uid="{00000000-0005-0000-0000-0000935E0000}"/>
    <cellStyle name="Comma 10 2 3 2 2 3 4 2" xfId="29852" xr:uid="{00000000-0005-0000-0000-0000945E0000}"/>
    <cellStyle name="Comma 10 2 3 2 2 3 5" xfId="29853" xr:uid="{00000000-0005-0000-0000-0000955E0000}"/>
    <cellStyle name="Comma 10 2 3 2 2 3 6" xfId="29854" xr:uid="{00000000-0005-0000-0000-0000965E0000}"/>
    <cellStyle name="Comma 10 2 3 2 2 4" xfId="29855" xr:uid="{00000000-0005-0000-0000-0000975E0000}"/>
    <cellStyle name="Comma 10 2 3 2 2 4 2" xfId="29856" xr:uid="{00000000-0005-0000-0000-0000985E0000}"/>
    <cellStyle name="Comma 10 2 3 2 2 4 2 2" xfId="29857" xr:uid="{00000000-0005-0000-0000-0000995E0000}"/>
    <cellStyle name="Comma 10 2 3 2 2 4 2 3" xfId="29858" xr:uid="{00000000-0005-0000-0000-00009A5E0000}"/>
    <cellStyle name="Comma 10 2 3 2 2 4 3" xfId="29859" xr:uid="{00000000-0005-0000-0000-00009B5E0000}"/>
    <cellStyle name="Comma 10 2 3 2 2 4 3 2" xfId="29860" xr:uid="{00000000-0005-0000-0000-00009C5E0000}"/>
    <cellStyle name="Comma 10 2 3 2 2 4 4" xfId="29861" xr:uid="{00000000-0005-0000-0000-00009D5E0000}"/>
    <cellStyle name="Comma 10 2 3 2 2 4 5" xfId="29862" xr:uid="{00000000-0005-0000-0000-00009E5E0000}"/>
    <cellStyle name="Comma 10 2 3 2 2 5" xfId="29863" xr:uid="{00000000-0005-0000-0000-00009F5E0000}"/>
    <cellStyle name="Comma 10 2 3 2 2 5 2" xfId="29864" xr:uid="{00000000-0005-0000-0000-0000A05E0000}"/>
    <cellStyle name="Comma 10 2 3 2 2 5 3" xfId="29865" xr:uid="{00000000-0005-0000-0000-0000A15E0000}"/>
    <cellStyle name="Comma 10 2 3 2 2 6" xfId="29866" xr:uid="{00000000-0005-0000-0000-0000A25E0000}"/>
    <cellStyle name="Comma 10 2 3 2 2 6 2" xfId="29867" xr:uid="{00000000-0005-0000-0000-0000A35E0000}"/>
    <cellStyle name="Comma 10 2 3 2 2 6 3" xfId="29868" xr:uid="{00000000-0005-0000-0000-0000A45E0000}"/>
    <cellStyle name="Comma 10 2 3 2 2 7" xfId="29869" xr:uid="{00000000-0005-0000-0000-0000A55E0000}"/>
    <cellStyle name="Comma 10 2 3 2 2 7 2" xfId="29870" xr:uid="{00000000-0005-0000-0000-0000A65E0000}"/>
    <cellStyle name="Comma 10 2 3 2 2 8" xfId="29871" xr:uid="{00000000-0005-0000-0000-0000A75E0000}"/>
    <cellStyle name="Comma 10 2 3 2 2 9" xfId="29872" xr:uid="{00000000-0005-0000-0000-0000A85E0000}"/>
    <cellStyle name="Comma 10 2 3 2 3" xfId="3193" xr:uid="{00000000-0005-0000-0000-0000A95E0000}"/>
    <cellStyle name="Comma 10 2 3 2 3 2" xfId="29873" xr:uid="{00000000-0005-0000-0000-0000AA5E0000}"/>
    <cellStyle name="Comma 10 2 3 2 3 2 2" xfId="29874" xr:uid="{00000000-0005-0000-0000-0000AB5E0000}"/>
    <cellStyle name="Comma 10 2 3 2 3 2 3" xfId="29875" xr:uid="{00000000-0005-0000-0000-0000AC5E0000}"/>
    <cellStyle name="Comma 10 2 3 2 3 3" xfId="29876" xr:uid="{00000000-0005-0000-0000-0000AD5E0000}"/>
    <cellStyle name="Comma 10 2 3 2 3 3 2" xfId="29877" xr:uid="{00000000-0005-0000-0000-0000AE5E0000}"/>
    <cellStyle name="Comma 10 2 3 2 3 3 3" xfId="29878" xr:uid="{00000000-0005-0000-0000-0000AF5E0000}"/>
    <cellStyle name="Comma 10 2 3 2 3 4" xfId="29879" xr:uid="{00000000-0005-0000-0000-0000B05E0000}"/>
    <cellStyle name="Comma 10 2 3 2 3 4 2" xfId="29880" xr:uid="{00000000-0005-0000-0000-0000B15E0000}"/>
    <cellStyle name="Comma 10 2 3 2 3 5" xfId="29881" xr:uid="{00000000-0005-0000-0000-0000B25E0000}"/>
    <cellStyle name="Comma 10 2 3 2 3 6" xfId="29882" xr:uid="{00000000-0005-0000-0000-0000B35E0000}"/>
    <cellStyle name="Comma 10 2 3 2 4" xfId="29883" xr:uid="{00000000-0005-0000-0000-0000B45E0000}"/>
    <cellStyle name="Comma 10 2 3 2 4 2" xfId="29884" xr:uid="{00000000-0005-0000-0000-0000B55E0000}"/>
    <cellStyle name="Comma 10 2 3 2 4 2 2" xfId="29885" xr:uid="{00000000-0005-0000-0000-0000B65E0000}"/>
    <cellStyle name="Comma 10 2 3 2 4 2 3" xfId="29886" xr:uid="{00000000-0005-0000-0000-0000B75E0000}"/>
    <cellStyle name="Comma 10 2 3 2 4 3" xfId="29887" xr:uid="{00000000-0005-0000-0000-0000B85E0000}"/>
    <cellStyle name="Comma 10 2 3 2 4 3 2" xfId="29888" xr:uid="{00000000-0005-0000-0000-0000B95E0000}"/>
    <cellStyle name="Comma 10 2 3 2 4 3 3" xfId="29889" xr:uid="{00000000-0005-0000-0000-0000BA5E0000}"/>
    <cellStyle name="Comma 10 2 3 2 4 4" xfId="29890" xr:uid="{00000000-0005-0000-0000-0000BB5E0000}"/>
    <cellStyle name="Comma 10 2 3 2 4 4 2" xfId="29891" xr:uid="{00000000-0005-0000-0000-0000BC5E0000}"/>
    <cellStyle name="Comma 10 2 3 2 4 5" xfId="29892" xr:uid="{00000000-0005-0000-0000-0000BD5E0000}"/>
    <cellStyle name="Comma 10 2 3 2 4 6" xfId="29893" xr:uid="{00000000-0005-0000-0000-0000BE5E0000}"/>
    <cellStyle name="Comma 10 2 3 2 5" xfId="29894" xr:uid="{00000000-0005-0000-0000-0000BF5E0000}"/>
    <cellStyle name="Comma 10 2 3 2 5 2" xfId="29895" xr:uid="{00000000-0005-0000-0000-0000C05E0000}"/>
    <cellStyle name="Comma 10 2 3 2 5 2 2" xfId="29896" xr:uid="{00000000-0005-0000-0000-0000C15E0000}"/>
    <cellStyle name="Comma 10 2 3 2 5 2 3" xfId="29897" xr:uid="{00000000-0005-0000-0000-0000C25E0000}"/>
    <cellStyle name="Comma 10 2 3 2 5 3" xfId="29898" xr:uid="{00000000-0005-0000-0000-0000C35E0000}"/>
    <cellStyle name="Comma 10 2 3 2 5 3 2" xfId="29899" xr:uid="{00000000-0005-0000-0000-0000C45E0000}"/>
    <cellStyle name="Comma 10 2 3 2 5 4" xfId="29900" xr:uid="{00000000-0005-0000-0000-0000C55E0000}"/>
    <cellStyle name="Comma 10 2 3 2 5 5" xfId="29901" xr:uid="{00000000-0005-0000-0000-0000C65E0000}"/>
    <cellStyle name="Comma 10 2 3 2 6" xfId="29902" xr:uid="{00000000-0005-0000-0000-0000C75E0000}"/>
    <cellStyle name="Comma 10 2 3 2 6 2" xfId="29903" xr:uid="{00000000-0005-0000-0000-0000C85E0000}"/>
    <cellStyle name="Comma 10 2 3 2 6 3" xfId="29904" xr:uid="{00000000-0005-0000-0000-0000C95E0000}"/>
    <cellStyle name="Comma 10 2 3 2 7" xfId="29905" xr:uid="{00000000-0005-0000-0000-0000CA5E0000}"/>
    <cellStyle name="Comma 10 2 3 2 7 2" xfId="29906" xr:uid="{00000000-0005-0000-0000-0000CB5E0000}"/>
    <cellStyle name="Comma 10 2 3 2 7 3" xfId="29907" xr:uid="{00000000-0005-0000-0000-0000CC5E0000}"/>
    <cellStyle name="Comma 10 2 3 2 8" xfId="29908" xr:uid="{00000000-0005-0000-0000-0000CD5E0000}"/>
    <cellStyle name="Comma 10 2 3 2 8 2" xfId="29909" xr:uid="{00000000-0005-0000-0000-0000CE5E0000}"/>
    <cellStyle name="Comma 10 2 3 2 9" xfId="29910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911" xr:uid="{00000000-0005-0000-0000-0000D25E0000}"/>
    <cellStyle name="Comma 10 2 3 3 2 2 2" xfId="29912" xr:uid="{00000000-0005-0000-0000-0000D35E0000}"/>
    <cellStyle name="Comma 10 2 3 3 2 2 3" xfId="29913" xr:uid="{00000000-0005-0000-0000-0000D45E0000}"/>
    <cellStyle name="Comma 10 2 3 3 2 3" xfId="29914" xr:uid="{00000000-0005-0000-0000-0000D55E0000}"/>
    <cellStyle name="Comma 10 2 3 3 2 3 2" xfId="29915" xr:uid="{00000000-0005-0000-0000-0000D65E0000}"/>
    <cellStyle name="Comma 10 2 3 3 2 3 3" xfId="29916" xr:uid="{00000000-0005-0000-0000-0000D75E0000}"/>
    <cellStyle name="Comma 10 2 3 3 2 4" xfId="29917" xr:uid="{00000000-0005-0000-0000-0000D85E0000}"/>
    <cellStyle name="Comma 10 2 3 3 2 4 2" xfId="29918" xr:uid="{00000000-0005-0000-0000-0000D95E0000}"/>
    <cellStyle name="Comma 10 2 3 3 2 5" xfId="29919" xr:uid="{00000000-0005-0000-0000-0000DA5E0000}"/>
    <cellStyle name="Comma 10 2 3 3 2 6" xfId="29920" xr:uid="{00000000-0005-0000-0000-0000DB5E0000}"/>
    <cellStyle name="Comma 10 2 3 3 3" xfId="29921" xr:uid="{00000000-0005-0000-0000-0000DC5E0000}"/>
    <cellStyle name="Comma 10 2 3 3 3 2" xfId="29922" xr:uid="{00000000-0005-0000-0000-0000DD5E0000}"/>
    <cellStyle name="Comma 10 2 3 3 3 2 2" xfId="29923" xr:uid="{00000000-0005-0000-0000-0000DE5E0000}"/>
    <cellStyle name="Comma 10 2 3 3 3 2 3" xfId="29924" xr:uid="{00000000-0005-0000-0000-0000DF5E0000}"/>
    <cellStyle name="Comma 10 2 3 3 3 3" xfId="29925" xr:uid="{00000000-0005-0000-0000-0000E05E0000}"/>
    <cellStyle name="Comma 10 2 3 3 3 3 2" xfId="29926" xr:uid="{00000000-0005-0000-0000-0000E15E0000}"/>
    <cellStyle name="Comma 10 2 3 3 3 3 3" xfId="29927" xr:uid="{00000000-0005-0000-0000-0000E25E0000}"/>
    <cellStyle name="Comma 10 2 3 3 3 4" xfId="29928" xr:uid="{00000000-0005-0000-0000-0000E35E0000}"/>
    <cellStyle name="Comma 10 2 3 3 3 4 2" xfId="29929" xr:uid="{00000000-0005-0000-0000-0000E45E0000}"/>
    <cellStyle name="Comma 10 2 3 3 3 5" xfId="29930" xr:uid="{00000000-0005-0000-0000-0000E55E0000}"/>
    <cellStyle name="Comma 10 2 3 3 3 6" xfId="29931" xr:uid="{00000000-0005-0000-0000-0000E65E0000}"/>
    <cellStyle name="Comma 10 2 3 3 4" xfId="29932" xr:uid="{00000000-0005-0000-0000-0000E75E0000}"/>
    <cellStyle name="Comma 10 2 3 3 4 2" xfId="29933" xr:uid="{00000000-0005-0000-0000-0000E85E0000}"/>
    <cellStyle name="Comma 10 2 3 3 4 2 2" xfId="29934" xr:uid="{00000000-0005-0000-0000-0000E95E0000}"/>
    <cellStyle name="Comma 10 2 3 3 4 2 3" xfId="29935" xr:uid="{00000000-0005-0000-0000-0000EA5E0000}"/>
    <cellStyle name="Comma 10 2 3 3 4 3" xfId="29936" xr:uid="{00000000-0005-0000-0000-0000EB5E0000}"/>
    <cellStyle name="Comma 10 2 3 3 4 3 2" xfId="29937" xr:uid="{00000000-0005-0000-0000-0000EC5E0000}"/>
    <cellStyle name="Comma 10 2 3 3 4 4" xfId="29938" xr:uid="{00000000-0005-0000-0000-0000ED5E0000}"/>
    <cellStyle name="Comma 10 2 3 3 4 5" xfId="29939" xr:uid="{00000000-0005-0000-0000-0000EE5E0000}"/>
    <cellStyle name="Comma 10 2 3 3 5" xfId="29940" xr:uid="{00000000-0005-0000-0000-0000EF5E0000}"/>
    <cellStyle name="Comma 10 2 3 3 5 2" xfId="29941" xr:uid="{00000000-0005-0000-0000-0000F05E0000}"/>
    <cellStyle name="Comma 10 2 3 3 5 3" xfId="29942" xr:uid="{00000000-0005-0000-0000-0000F15E0000}"/>
    <cellStyle name="Comma 10 2 3 3 6" xfId="29943" xr:uid="{00000000-0005-0000-0000-0000F25E0000}"/>
    <cellStyle name="Comma 10 2 3 3 6 2" xfId="29944" xr:uid="{00000000-0005-0000-0000-0000F35E0000}"/>
    <cellStyle name="Comma 10 2 3 3 6 3" xfId="29945" xr:uid="{00000000-0005-0000-0000-0000F45E0000}"/>
    <cellStyle name="Comma 10 2 3 3 7" xfId="29946" xr:uid="{00000000-0005-0000-0000-0000F55E0000}"/>
    <cellStyle name="Comma 10 2 3 3 7 2" xfId="29947" xr:uid="{00000000-0005-0000-0000-0000F65E0000}"/>
    <cellStyle name="Comma 10 2 3 3 8" xfId="29948" xr:uid="{00000000-0005-0000-0000-0000F75E0000}"/>
    <cellStyle name="Comma 10 2 3 3 9" xfId="29949" xr:uid="{00000000-0005-0000-0000-0000F85E0000}"/>
    <cellStyle name="Comma 10 2 3 4" xfId="3196" xr:uid="{00000000-0005-0000-0000-0000F95E0000}"/>
    <cellStyle name="Comma 10 2 3 4 2" xfId="29950" xr:uid="{00000000-0005-0000-0000-0000FA5E0000}"/>
    <cellStyle name="Comma 10 2 3 4 2 2" xfId="29951" xr:uid="{00000000-0005-0000-0000-0000FB5E0000}"/>
    <cellStyle name="Comma 10 2 3 4 2 2 2" xfId="29952" xr:uid="{00000000-0005-0000-0000-0000FC5E0000}"/>
    <cellStyle name="Comma 10 2 3 4 2 2 3" xfId="29953" xr:uid="{00000000-0005-0000-0000-0000FD5E0000}"/>
    <cellStyle name="Comma 10 2 3 4 2 3" xfId="29954" xr:uid="{00000000-0005-0000-0000-0000FE5E0000}"/>
    <cellStyle name="Comma 10 2 3 4 2 3 2" xfId="29955" xr:uid="{00000000-0005-0000-0000-0000FF5E0000}"/>
    <cellStyle name="Comma 10 2 3 4 2 3 3" xfId="29956" xr:uid="{00000000-0005-0000-0000-0000005F0000}"/>
    <cellStyle name="Comma 10 2 3 4 2 4" xfId="29957" xr:uid="{00000000-0005-0000-0000-0000015F0000}"/>
    <cellStyle name="Comma 10 2 3 4 2 4 2" xfId="29958" xr:uid="{00000000-0005-0000-0000-0000025F0000}"/>
    <cellStyle name="Comma 10 2 3 4 2 5" xfId="29959" xr:uid="{00000000-0005-0000-0000-0000035F0000}"/>
    <cellStyle name="Comma 10 2 3 4 2 6" xfId="29960" xr:uid="{00000000-0005-0000-0000-0000045F0000}"/>
    <cellStyle name="Comma 10 2 3 4 3" xfId="29961" xr:uid="{00000000-0005-0000-0000-0000055F0000}"/>
    <cellStyle name="Comma 10 2 3 4 3 2" xfId="29962" xr:uid="{00000000-0005-0000-0000-0000065F0000}"/>
    <cellStyle name="Comma 10 2 3 4 3 2 2" xfId="29963" xr:uid="{00000000-0005-0000-0000-0000075F0000}"/>
    <cellStyle name="Comma 10 2 3 4 3 2 3" xfId="29964" xr:uid="{00000000-0005-0000-0000-0000085F0000}"/>
    <cellStyle name="Comma 10 2 3 4 3 3" xfId="29965" xr:uid="{00000000-0005-0000-0000-0000095F0000}"/>
    <cellStyle name="Comma 10 2 3 4 3 3 2" xfId="29966" xr:uid="{00000000-0005-0000-0000-00000A5F0000}"/>
    <cellStyle name="Comma 10 2 3 4 3 3 3" xfId="29967" xr:uid="{00000000-0005-0000-0000-00000B5F0000}"/>
    <cellStyle name="Comma 10 2 3 4 3 4" xfId="29968" xr:uid="{00000000-0005-0000-0000-00000C5F0000}"/>
    <cellStyle name="Comma 10 2 3 4 3 4 2" xfId="29969" xr:uid="{00000000-0005-0000-0000-00000D5F0000}"/>
    <cellStyle name="Comma 10 2 3 4 3 5" xfId="29970" xr:uid="{00000000-0005-0000-0000-00000E5F0000}"/>
    <cellStyle name="Comma 10 2 3 4 3 6" xfId="29971" xr:uid="{00000000-0005-0000-0000-00000F5F0000}"/>
    <cellStyle name="Comma 10 2 3 4 4" xfId="29972" xr:uid="{00000000-0005-0000-0000-0000105F0000}"/>
    <cellStyle name="Comma 10 2 3 4 4 2" xfId="29973" xr:uid="{00000000-0005-0000-0000-0000115F0000}"/>
    <cellStyle name="Comma 10 2 3 4 4 2 2" xfId="29974" xr:uid="{00000000-0005-0000-0000-0000125F0000}"/>
    <cellStyle name="Comma 10 2 3 4 4 2 3" xfId="29975" xr:uid="{00000000-0005-0000-0000-0000135F0000}"/>
    <cellStyle name="Comma 10 2 3 4 4 3" xfId="29976" xr:uid="{00000000-0005-0000-0000-0000145F0000}"/>
    <cellStyle name="Comma 10 2 3 4 4 3 2" xfId="29977" xr:uid="{00000000-0005-0000-0000-0000155F0000}"/>
    <cellStyle name="Comma 10 2 3 4 4 4" xfId="29978" xr:uid="{00000000-0005-0000-0000-0000165F0000}"/>
    <cellStyle name="Comma 10 2 3 4 4 5" xfId="29979" xr:uid="{00000000-0005-0000-0000-0000175F0000}"/>
    <cellStyle name="Comma 10 2 3 4 5" xfId="29980" xr:uid="{00000000-0005-0000-0000-0000185F0000}"/>
    <cellStyle name="Comma 10 2 3 4 5 2" xfId="29981" xr:uid="{00000000-0005-0000-0000-0000195F0000}"/>
    <cellStyle name="Comma 10 2 3 4 5 3" xfId="29982" xr:uid="{00000000-0005-0000-0000-00001A5F0000}"/>
    <cellStyle name="Comma 10 2 3 4 6" xfId="29983" xr:uid="{00000000-0005-0000-0000-00001B5F0000}"/>
    <cellStyle name="Comma 10 2 3 4 6 2" xfId="29984" xr:uid="{00000000-0005-0000-0000-00001C5F0000}"/>
    <cellStyle name="Comma 10 2 3 4 6 3" xfId="29985" xr:uid="{00000000-0005-0000-0000-00001D5F0000}"/>
    <cellStyle name="Comma 10 2 3 4 7" xfId="29986" xr:uid="{00000000-0005-0000-0000-00001E5F0000}"/>
    <cellStyle name="Comma 10 2 3 4 7 2" xfId="29987" xr:uid="{00000000-0005-0000-0000-00001F5F0000}"/>
    <cellStyle name="Comma 10 2 3 4 8" xfId="29988" xr:uid="{00000000-0005-0000-0000-0000205F0000}"/>
    <cellStyle name="Comma 10 2 3 4 9" xfId="29989" xr:uid="{00000000-0005-0000-0000-0000215F0000}"/>
    <cellStyle name="Comma 10 2 3 5" xfId="29990" xr:uid="{00000000-0005-0000-0000-0000225F0000}"/>
    <cellStyle name="Comma 10 2 3 5 2" xfId="29991" xr:uid="{00000000-0005-0000-0000-0000235F0000}"/>
    <cellStyle name="Comma 10 2 3 5 2 2" xfId="29992" xr:uid="{00000000-0005-0000-0000-0000245F0000}"/>
    <cellStyle name="Comma 10 2 3 5 2 3" xfId="29993" xr:uid="{00000000-0005-0000-0000-0000255F0000}"/>
    <cellStyle name="Comma 10 2 3 5 3" xfId="29994" xr:uid="{00000000-0005-0000-0000-0000265F0000}"/>
    <cellStyle name="Comma 10 2 3 5 3 2" xfId="29995" xr:uid="{00000000-0005-0000-0000-0000275F0000}"/>
    <cellStyle name="Comma 10 2 3 5 3 3" xfId="29996" xr:uid="{00000000-0005-0000-0000-0000285F0000}"/>
    <cellStyle name="Comma 10 2 3 5 4" xfId="29997" xr:uid="{00000000-0005-0000-0000-0000295F0000}"/>
    <cellStyle name="Comma 10 2 3 5 4 2" xfId="29998" xr:uid="{00000000-0005-0000-0000-00002A5F0000}"/>
    <cellStyle name="Comma 10 2 3 5 5" xfId="29999" xr:uid="{00000000-0005-0000-0000-00002B5F0000}"/>
    <cellStyle name="Comma 10 2 3 5 6" xfId="30000" xr:uid="{00000000-0005-0000-0000-00002C5F0000}"/>
    <cellStyle name="Comma 10 2 3 6" xfId="30001" xr:uid="{00000000-0005-0000-0000-00002D5F0000}"/>
    <cellStyle name="Comma 10 2 3 6 2" xfId="30002" xr:uid="{00000000-0005-0000-0000-00002E5F0000}"/>
    <cellStyle name="Comma 10 2 3 6 2 2" xfId="30003" xr:uid="{00000000-0005-0000-0000-00002F5F0000}"/>
    <cellStyle name="Comma 10 2 3 6 2 3" xfId="30004" xr:uid="{00000000-0005-0000-0000-0000305F0000}"/>
    <cellStyle name="Comma 10 2 3 6 3" xfId="30005" xr:uid="{00000000-0005-0000-0000-0000315F0000}"/>
    <cellStyle name="Comma 10 2 3 6 3 2" xfId="30006" xr:uid="{00000000-0005-0000-0000-0000325F0000}"/>
    <cellStyle name="Comma 10 2 3 6 3 3" xfId="30007" xr:uid="{00000000-0005-0000-0000-0000335F0000}"/>
    <cellStyle name="Comma 10 2 3 6 4" xfId="30008" xr:uid="{00000000-0005-0000-0000-0000345F0000}"/>
    <cellStyle name="Comma 10 2 3 6 4 2" xfId="30009" xr:uid="{00000000-0005-0000-0000-0000355F0000}"/>
    <cellStyle name="Comma 10 2 3 6 5" xfId="30010" xr:uid="{00000000-0005-0000-0000-0000365F0000}"/>
    <cellStyle name="Comma 10 2 3 6 6" xfId="30011" xr:uid="{00000000-0005-0000-0000-0000375F0000}"/>
    <cellStyle name="Comma 10 2 3 7" xfId="30012" xr:uid="{00000000-0005-0000-0000-0000385F0000}"/>
    <cellStyle name="Comma 10 2 3 7 2" xfId="30013" xr:uid="{00000000-0005-0000-0000-0000395F0000}"/>
    <cellStyle name="Comma 10 2 3 7 2 2" xfId="30014" xr:uid="{00000000-0005-0000-0000-00003A5F0000}"/>
    <cellStyle name="Comma 10 2 3 7 2 3" xfId="30015" xr:uid="{00000000-0005-0000-0000-00003B5F0000}"/>
    <cellStyle name="Comma 10 2 3 7 3" xfId="30016" xr:uid="{00000000-0005-0000-0000-00003C5F0000}"/>
    <cellStyle name="Comma 10 2 3 7 3 2" xfId="30017" xr:uid="{00000000-0005-0000-0000-00003D5F0000}"/>
    <cellStyle name="Comma 10 2 3 7 4" xfId="30018" xr:uid="{00000000-0005-0000-0000-00003E5F0000}"/>
    <cellStyle name="Comma 10 2 3 7 5" xfId="30019" xr:uid="{00000000-0005-0000-0000-00003F5F0000}"/>
    <cellStyle name="Comma 10 2 3 8" xfId="30020" xr:uid="{00000000-0005-0000-0000-0000405F0000}"/>
    <cellStyle name="Comma 10 2 3 8 2" xfId="30021" xr:uid="{00000000-0005-0000-0000-0000415F0000}"/>
    <cellStyle name="Comma 10 2 3 8 3" xfId="30022" xr:uid="{00000000-0005-0000-0000-0000425F0000}"/>
    <cellStyle name="Comma 10 2 3 9" xfId="30023" xr:uid="{00000000-0005-0000-0000-0000435F0000}"/>
    <cellStyle name="Comma 10 2 3 9 2" xfId="30024" xr:uid="{00000000-0005-0000-0000-0000445F0000}"/>
    <cellStyle name="Comma 10 2 3 9 3" xfId="30025" xr:uid="{00000000-0005-0000-0000-0000455F0000}"/>
    <cellStyle name="Comma 10 2 4" xfId="3197" xr:uid="{00000000-0005-0000-0000-0000465F0000}"/>
    <cellStyle name="Comma 10 2 4 10" xfId="30026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30027" xr:uid="{00000000-0005-0000-0000-00004A5F0000}"/>
    <cellStyle name="Comma 10 2 4 2 2 2 2" xfId="30028" xr:uid="{00000000-0005-0000-0000-00004B5F0000}"/>
    <cellStyle name="Comma 10 2 4 2 2 2 3" xfId="30029" xr:uid="{00000000-0005-0000-0000-00004C5F0000}"/>
    <cellStyle name="Comma 10 2 4 2 2 3" xfId="30030" xr:uid="{00000000-0005-0000-0000-00004D5F0000}"/>
    <cellStyle name="Comma 10 2 4 2 2 3 2" xfId="30031" xr:uid="{00000000-0005-0000-0000-00004E5F0000}"/>
    <cellStyle name="Comma 10 2 4 2 2 3 3" xfId="30032" xr:uid="{00000000-0005-0000-0000-00004F5F0000}"/>
    <cellStyle name="Comma 10 2 4 2 2 4" xfId="30033" xr:uid="{00000000-0005-0000-0000-0000505F0000}"/>
    <cellStyle name="Comma 10 2 4 2 2 4 2" xfId="30034" xr:uid="{00000000-0005-0000-0000-0000515F0000}"/>
    <cellStyle name="Comma 10 2 4 2 2 5" xfId="30035" xr:uid="{00000000-0005-0000-0000-0000525F0000}"/>
    <cellStyle name="Comma 10 2 4 2 2 6" xfId="30036" xr:uid="{00000000-0005-0000-0000-0000535F0000}"/>
    <cellStyle name="Comma 10 2 4 2 3" xfId="30037" xr:uid="{00000000-0005-0000-0000-0000545F0000}"/>
    <cellStyle name="Comma 10 2 4 2 3 2" xfId="30038" xr:uid="{00000000-0005-0000-0000-0000555F0000}"/>
    <cellStyle name="Comma 10 2 4 2 3 2 2" xfId="30039" xr:uid="{00000000-0005-0000-0000-0000565F0000}"/>
    <cellStyle name="Comma 10 2 4 2 3 2 3" xfId="30040" xr:uid="{00000000-0005-0000-0000-0000575F0000}"/>
    <cellStyle name="Comma 10 2 4 2 3 3" xfId="30041" xr:uid="{00000000-0005-0000-0000-0000585F0000}"/>
    <cellStyle name="Comma 10 2 4 2 3 3 2" xfId="30042" xr:uid="{00000000-0005-0000-0000-0000595F0000}"/>
    <cellStyle name="Comma 10 2 4 2 3 3 3" xfId="30043" xr:uid="{00000000-0005-0000-0000-00005A5F0000}"/>
    <cellStyle name="Comma 10 2 4 2 3 4" xfId="30044" xr:uid="{00000000-0005-0000-0000-00005B5F0000}"/>
    <cellStyle name="Comma 10 2 4 2 3 4 2" xfId="30045" xr:uid="{00000000-0005-0000-0000-00005C5F0000}"/>
    <cellStyle name="Comma 10 2 4 2 3 5" xfId="30046" xr:uid="{00000000-0005-0000-0000-00005D5F0000}"/>
    <cellStyle name="Comma 10 2 4 2 3 6" xfId="30047" xr:uid="{00000000-0005-0000-0000-00005E5F0000}"/>
    <cellStyle name="Comma 10 2 4 2 4" xfId="30048" xr:uid="{00000000-0005-0000-0000-00005F5F0000}"/>
    <cellStyle name="Comma 10 2 4 2 4 2" xfId="30049" xr:uid="{00000000-0005-0000-0000-0000605F0000}"/>
    <cellStyle name="Comma 10 2 4 2 4 2 2" xfId="30050" xr:uid="{00000000-0005-0000-0000-0000615F0000}"/>
    <cellStyle name="Comma 10 2 4 2 4 2 3" xfId="30051" xr:uid="{00000000-0005-0000-0000-0000625F0000}"/>
    <cellStyle name="Comma 10 2 4 2 4 3" xfId="30052" xr:uid="{00000000-0005-0000-0000-0000635F0000}"/>
    <cellStyle name="Comma 10 2 4 2 4 3 2" xfId="30053" xr:uid="{00000000-0005-0000-0000-0000645F0000}"/>
    <cellStyle name="Comma 10 2 4 2 4 4" xfId="30054" xr:uid="{00000000-0005-0000-0000-0000655F0000}"/>
    <cellStyle name="Comma 10 2 4 2 4 5" xfId="30055" xr:uid="{00000000-0005-0000-0000-0000665F0000}"/>
    <cellStyle name="Comma 10 2 4 2 5" xfId="30056" xr:uid="{00000000-0005-0000-0000-0000675F0000}"/>
    <cellStyle name="Comma 10 2 4 2 5 2" xfId="30057" xr:uid="{00000000-0005-0000-0000-0000685F0000}"/>
    <cellStyle name="Comma 10 2 4 2 5 3" xfId="30058" xr:uid="{00000000-0005-0000-0000-0000695F0000}"/>
    <cellStyle name="Comma 10 2 4 2 6" xfId="30059" xr:uid="{00000000-0005-0000-0000-00006A5F0000}"/>
    <cellStyle name="Comma 10 2 4 2 6 2" xfId="30060" xr:uid="{00000000-0005-0000-0000-00006B5F0000}"/>
    <cellStyle name="Comma 10 2 4 2 6 3" xfId="30061" xr:uid="{00000000-0005-0000-0000-00006C5F0000}"/>
    <cellStyle name="Comma 10 2 4 2 7" xfId="30062" xr:uid="{00000000-0005-0000-0000-00006D5F0000}"/>
    <cellStyle name="Comma 10 2 4 2 7 2" xfId="30063" xr:uid="{00000000-0005-0000-0000-00006E5F0000}"/>
    <cellStyle name="Comma 10 2 4 2 8" xfId="30064" xr:uid="{00000000-0005-0000-0000-00006F5F0000}"/>
    <cellStyle name="Comma 10 2 4 2 9" xfId="30065" xr:uid="{00000000-0005-0000-0000-0000705F0000}"/>
    <cellStyle name="Comma 10 2 4 3" xfId="3200" xr:uid="{00000000-0005-0000-0000-0000715F0000}"/>
    <cellStyle name="Comma 10 2 4 3 2" xfId="30066" xr:uid="{00000000-0005-0000-0000-0000725F0000}"/>
    <cellStyle name="Comma 10 2 4 3 2 2" xfId="30067" xr:uid="{00000000-0005-0000-0000-0000735F0000}"/>
    <cellStyle name="Comma 10 2 4 3 2 3" xfId="30068" xr:uid="{00000000-0005-0000-0000-0000745F0000}"/>
    <cellStyle name="Comma 10 2 4 3 3" xfId="30069" xr:uid="{00000000-0005-0000-0000-0000755F0000}"/>
    <cellStyle name="Comma 10 2 4 3 3 2" xfId="30070" xr:uid="{00000000-0005-0000-0000-0000765F0000}"/>
    <cellStyle name="Comma 10 2 4 3 3 3" xfId="30071" xr:uid="{00000000-0005-0000-0000-0000775F0000}"/>
    <cellStyle name="Comma 10 2 4 3 4" xfId="30072" xr:uid="{00000000-0005-0000-0000-0000785F0000}"/>
    <cellStyle name="Comma 10 2 4 3 4 2" xfId="30073" xr:uid="{00000000-0005-0000-0000-0000795F0000}"/>
    <cellStyle name="Comma 10 2 4 3 5" xfId="30074" xr:uid="{00000000-0005-0000-0000-00007A5F0000}"/>
    <cellStyle name="Comma 10 2 4 3 6" xfId="30075" xr:uid="{00000000-0005-0000-0000-00007B5F0000}"/>
    <cellStyle name="Comma 10 2 4 4" xfId="30076" xr:uid="{00000000-0005-0000-0000-00007C5F0000}"/>
    <cellStyle name="Comma 10 2 4 4 2" xfId="30077" xr:uid="{00000000-0005-0000-0000-00007D5F0000}"/>
    <cellStyle name="Comma 10 2 4 4 2 2" xfId="30078" xr:uid="{00000000-0005-0000-0000-00007E5F0000}"/>
    <cellStyle name="Comma 10 2 4 4 2 3" xfId="30079" xr:uid="{00000000-0005-0000-0000-00007F5F0000}"/>
    <cellStyle name="Comma 10 2 4 4 3" xfId="30080" xr:uid="{00000000-0005-0000-0000-0000805F0000}"/>
    <cellStyle name="Comma 10 2 4 4 3 2" xfId="30081" xr:uid="{00000000-0005-0000-0000-0000815F0000}"/>
    <cellStyle name="Comma 10 2 4 4 3 3" xfId="30082" xr:uid="{00000000-0005-0000-0000-0000825F0000}"/>
    <cellStyle name="Comma 10 2 4 4 4" xfId="30083" xr:uid="{00000000-0005-0000-0000-0000835F0000}"/>
    <cellStyle name="Comma 10 2 4 4 4 2" xfId="30084" xr:uid="{00000000-0005-0000-0000-0000845F0000}"/>
    <cellStyle name="Comma 10 2 4 4 5" xfId="30085" xr:uid="{00000000-0005-0000-0000-0000855F0000}"/>
    <cellStyle name="Comma 10 2 4 4 6" xfId="30086" xr:uid="{00000000-0005-0000-0000-0000865F0000}"/>
    <cellStyle name="Comma 10 2 4 5" xfId="30087" xr:uid="{00000000-0005-0000-0000-0000875F0000}"/>
    <cellStyle name="Comma 10 2 4 5 2" xfId="30088" xr:uid="{00000000-0005-0000-0000-0000885F0000}"/>
    <cellStyle name="Comma 10 2 4 5 2 2" xfId="30089" xr:uid="{00000000-0005-0000-0000-0000895F0000}"/>
    <cellStyle name="Comma 10 2 4 5 2 3" xfId="30090" xr:uid="{00000000-0005-0000-0000-00008A5F0000}"/>
    <cellStyle name="Comma 10 2 4 5 3" xfId="30091" xr:uid="{00000000-0005-0000-0000-00008B5F0000}"/>
    <cellStyle name="Comma 10 2 4 5 3 2" xfId="30092" xr:uid="{00000000-0005-0000-0000-00008C5F0000}"/>
    <cellStyle name="Comma 10 2 4 5 4" xfId="30093" xr:uid="{00000000-0005-0000-0000-00008D5F0000}"/>
    <cellStyle name="Comma 10 2 4 5 5" xfId="30094" xr:uid="{00000000-0005-0000-0000-00008E5F0000}"/>
    <cellStyle name="Comma 10 2 4 6" xfId="30095" xr:uid="{00000000-0005-0000-0000-00008F5F0000}"/>
    <cellStyle name="Comma 10 2 4 6 2" xfId="30096" xr:uid="{00000000-0005-0000-0000-0000905F0000}"/>
    <cellStyle name="Comma 10 2 4 6 3" xfId="30097" xr:uid="{00000000-0005-0000-0000-0000915F0000}"/>
    <cellStyle name="Comma 10 2 4 7" xfId="30098" xr:uid="{00000000-0005-0000-0000-0000925F0000}"/>
    <cellStyle name="Comma 10 2 4 7 2" xfId="30099" xr:uid="{00000000-0005-0000-0000-0000935F0000}"/>
    <cellStyle name="Comma 10 2 4 7 3" xfId="30100" xr:uid="{00000000-0005-0000-0000-0000945F0000}"/>
    <cellStyle name="Comma 10 2 4 8" xfId="30101" xr:uid="{00000000-0005-0000-0000-0000955F0000}"/>
    <cellStyle name="Comma 10 2 4 8 2" xfId="30102" xr:uid="{00000000-0005-0000-0000-0000965F0000}"/>
    <cellStyle name="Comma 10 2 4 9" xfId="30103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30104" xr:uid="{00000000-0005-0000-0000-00009A5F0000}"/>
    <cellStyle name="Comma 10 2 5 2 2 2" xfId="30105" xr:uid="{00000000-0005-0000-0000-00009B5F0000}"/>
    <cellStyle name="Comma 10 2 5 2 2 3" xfId="30106" xr:uid="{00000000-0005-0000-0000-00009C5F0000}"/>
    <cellStyle name="Comma 10 2 5 2 3" xfId="30107" xr:uid="{00000000-0005-0000-0000-00009D5F0000}"/>
    <cellStyle name="Comma 10 2 5 2 3 2" xfId="30108" xr:uid="{00000000-0005-0000-0000-00009E5F0000}"/>
    <cellStyle name="Comma 10 2 5 2 3 3" xfId="30109" xr:uid="{00000000-0005-0000-0000-00009F5F0000}"/>
    <cellStyle name="Comma 10 2 5 2 4" xfId="30110" xr:uid="{00000000-0005-0000-0000-0000A05F0000}"/>
    <cellStyle name="Comma 10 2 5 2 4 2" xfId="30111" xr:uid="{00000000-0005-0000-0000-0000A15F0000}"/>
    <cellStyle name="Comma 10 2 5 2 5" xfId="30112" xr:uid="{00000000-0005-0000-0000-0000A25F0000}"/>
    <cellStyle name="Comma 10 2 5 2 6" xfId="30113" xr:uid="{00000000-0005-0000-0000-0000A35F0000}"/>
    <cellStyle name="Comma 10 2 5 3" xfId="30114" xr:uid="{00000000-0005-0000-0000-0000A45F0000}"/>
    <cellStyle name="Comma 10 2 5 3 2" xfId="30115" xr:uid="{00000000-0005-0000-0000-0000A55F0000}"/>
    <cellStyle name="Comma 10 2 5 3 2 2" xfId="30116" xr:uid="{00000000-0005-0000-0000-0000A65F0000}"/>
    <cellStyle name="Comma 10 2 5 3 2 3" xfId="30117" xr:uid="{00000000-0005-0000-0000-0000A75F0000}"/>
    <cellStyle name="Comma 10 2 5 3 3" xfId="30118" xr:uid="{00000000-0005-0000-0000-0000A85F0000}"/>
    <cellStyle name="Comma 10 2 5 3 3 2" xfId="30119" xr:uid="{00000000-0005-0000-0000-0000A95F0000}"/>
    <cellStyle name="Comma 10 2 5 3 3 3" xfId="30120" xr:uid="{00000000-0005-0000-0000-0000AA5F0000}"/>
    <cellStyle name="Comma 10 2 5 3 4" xfId="30121" xr:uid="{00000000-0005-0000-0000-0000AB5F0000}"/>
    <cellStyle name="Comma 10 2 5 3 4 2" xfId="30122" xr:uid="{00000000-0005-0000-0000-0000AC5F0000}"/>
    <cellStyle name="Comma 10 2 5 3 5" xfId="30123" xr:uid="{00000000-0005-0000-0000-0000AD5F0000}"/>
    <cellStyle name="Comma 10 2 5 3 6" xfId="30124" xr:uid="{00000000-0005-0000-0000-0000AE5F0000}"/>
    <cellStyle name="Comma 10 2 5 4" xfId="30125" xr:uid="{00000000-0005-0000-0000-0000AF5F0000}"/>
    <cellStyle name="Comma 10 2 5 4 2" xfId="30126" xr:uid="{00000000-0005-0000-0000-0000B05F0000}"/>
    <cellStyle name="Comma 10 2 5 4 2 2" xfId="30127" xr:uid="{00000000-0005-0000-0000-0000B15F0000}"/>
    <cellStyle name="Comma 10 2 5 4 2 3" xfId="30128" xr:uid="{00000000-0005-0000-0000-0000B25F0000}"/>
    <cellStyle name="Comma 10 2 5 4 3" xfId="30129" xr:uid="{00000000-0005-0000-0000-0000B35F0000}"/>
    <cellStyle name="Comma 10 2 5 4 3 2" xfId="30130" xr:uid="{00000000-0005-0000-0000-0000B45F0000}"/>
    <cellStyle name="Comma 10 2 5 4 4" xfId="30131" xr:uid="{00000000-0005-0000-0000-0000B55F0000}"/>
    <cellStyle name="Comma 10 2 5 4 5" xfId="30132" xr:uid="{00000000-0005-0000-0000-0000B65F0000}"/>
    <cellStyle name="Comma 10 2 5 5" xfId="30133" xr:uid="{00000000-0005-0000-0000-0000B75F0000}"/>
    <cellStyle name="Comma 10 2 5 5 2" xfId="30134" xr:uid="{00000000-0005-0000-0000-0000B85F0000}"/>
    <cellStyle name="Comma 10 2 5 5 3" xfId="30135" xr:uid="{00000000-0005-0000-0000-0000B95F0000}"/>
    <cellStyle name="Comma 10 2 5 6" xfId="30136" xr:uid="{00000000-0005-0000-0000-0000BA5F0000}"/>
    <cellStyle name="Comma 10 2 5 6 2" xfId="30137" xr:uid="{00000000-0005-0000-0000-0000BB5F0000}"/>
    <cellStyle name="Comma 10 2 5 6 3" xfId="30138" xr:uid="{00000000-0005-0000-0000-0000BC5F0000}"/>
    <cellStyle name="Comma 10 2 5 7" xfId="30139" xr:uid="{00000000-0005-0000-0000-0000BD5F0000}"/>
    <cellStyle name="Comma 10 2 5 7 2" xfId="30140" xr:uid="{00000000-0005-0000-0000-0000BE5F0000}"/>
    <cellStyle name="Comma 10 2 5 8" xfId="30141" xr:uid="{00000000-0005-0000-0000-0000BF5F0000}"/>
    <cellStyle name="Comma 10 2 5 9" xfId="30142" xr:uid="{00000000-0005-0000-0000-0000C05F0000}"/>
    <cellStyle name="Comma 10 2 6" xfId="3203" xr:uid="{00000000-0005-0000-0000-0000C15F0000}"/>
    <cellStyle name="Comma 10 2 6 2" xfId="30143" xr:uid="{00000000-0005-0000-0000-0000C25F0000}"/>
    <cellStyle name="Comma 10 2 6 2 2" xfId="30144" xr:uid="{00000000-0005-0000-0000-0000C35F0000}"/>
    <cellStyle name="Comma 10 2 6 2 2 2" xfId="30145" xr:uid="{00000000-0005-0000-0000-0000C45F0000}"/>
    <cellStyle name="Comma 10 2 6 2 2 3" xfId="30146" xr:uid="{00000000-0005-0000-0000-0000C55F0000}"/>
    <cellStyle name="Comma 10 2 6 2 3" xfId="30147" xr:uid="{00000000-0005-0000-0000-0000C65F0000}"/>
    <cellStyle name="Comma 10 2 6 2 3 2" xfId="30148" xr:uid="{00000000-0005-0000-0000-0000C75F0000}"/>
    <cellStyle name="Comma 10 2 6 2 3 3" xfId="30149" xr:uid="{00000000-0005-0000-0000-0000C85F0000}"/>
    <cellStyle name="Comma 10 2 6 2 4" xfId="30150" xr:uid="{00000000-0005-0000-0000-0000C95F0000}"/>
    <cellStyle name="Comma 10 2 6 2 4 2" xfId="30151" xr:uid="{00000000-0005-0000-0000-0000CA5F0000}"/>
    <cellStyle name="Comma 10 2 6 2 5" xfId="30152" xr:uid="{00000000-0005-0000-0000-0000CB5F0000}"/>
    <cellStyle name="Comma 10 2 6 2 6" xfId="30153" xr:uid="{00000000-0005-0000-0000-0000CC5F0000}"/>
    <cellStyle name="Comma 10 2 6 3" xfId="30154" xr:uid="{00000000-0005-0000-0000-0000CD5F0000}"/>
    <cellStyle name="Comma 10 2 6 3 2" xfId="30155" xr:uid="{00000000-0005-0000-0000-0000CE5F0000}"/>
    <cellStyle name="Comma 10 2 6 3 2 2" xfId="30156" xr:uid="{00000000-0005-0000-0000-0000CF5F0000}"/>
    <cellStyle name="Comma 10 2 6 3 2 3" xfId="30157" xr:uid="{00000000-0005-0000-0000-0000D05F0000}"/>
    <cellStyle name="Comma 10 2 6 3 3" xfId="30158" xr:uid="{00000000-0005-0000-0000-0000D15F0000}"/>
    <cellStyle name="Comma 10 2 6 3 3 2" xfId="30159" xr:uid="{00000000-0005-0000-0000-0000D25F0000}"/>
    <cellStyle name="Comma 10 2 6 3 3 3" xfId="30160" xr:uid="{00000000-0005-0000-0000-0000D35F0000}"/>
    <cellStyle name="Comma 10 2 6 3 4" xfId="30161" xr:uid="{00000000-0005-0000-0000-0000D45F0000}"/>
    <cellStyle name="Comma 10 2 6 3 4 2" xfId="30162" xr:uid="{00000000-0005-0000-0000-0000D55F0000}"/>
    <cellStyle name="Comma 10 2 6 3 5" xfId="30163" xr:uid="{00000000-0005-0000-0000-0000D65F0000}"/>
    <cellStyle name="Comma 10 2 6 3 6" xfId="30164" xr:uid="{00000000-0005-0000-0000-0000D75F0000}"/>
    <cellStyle name="Comma 10 2 6 4" xfId="30165" xr:uid="{00000000-0005-0000-0000-0000D85F0000}"/>
    <cellStyle name="Comma 10 2 6 4 2" xfId="30166" xr:uid="{00000000-0005-0000-0000-0000D95F0000}"/>
    <cellStyle name="Comma 10 2 6 4 2 2" xfId="30167" xr:uid="{00000000-0005-0000-0000-0000DA5F0000}"/>
    <cellStyle name="Comma 10 2 6 4 2 3" xfId="30168" xr:uid="{00000000-0005-0000-0000-0000DB5F0000}"/>
    <cellStyle name="Comma 10 2 6 4 3" xfId="30169" xr:uid="{00000000-0005-0000-0000-0000DC5F0000}"/>
    <cellStyle name="Comma 10 2 6 4 3 2" xfId="30170" xr:uid="{00000000-0005-0000-0000-0000DD5F0000}"/>
    <cellStyle name="Comma 10 2 6 4 4" xfId="30171" xr:uid="{00000000-0005-0000-0000-0000DE5F0000}"/>
    <cellStyle name="Comma 10 2 6 4 5" xfId="30172" xr:uid="{00000000-0005-0000-0000-0000DF5F0000}"/>
    <cellStyle name="Comma 10 2 6 5" xfId="30173" xr:uid="{00000000-0005-0000-0000-0000E05F0000}"/>
    <cellStyle name="Comma 10 2 6 5 2" xfId="30174" xr:uid="{00000000-0005-0000-0000-0000E15F0000}"/>
    <cellStyle name="Comma 10 2 6 5 3" xfId="30175" xr:uid="{00000000-0005-0000-0000-0000E25F0000}"/>
    <cellStyle name="Comma 10 2 6 6" xfId="30176" xr:uid="{00000000-0005-0000-0000-0000E35F0000}"/>
    <cellStyle name="Comma 10 2 6 6 2" xfId="30177" xr:uid="{00000000-0005-0000-0000-0000E45F0000}"/>
    <cellStyle name="Comma 10 2 6 6 3" xfId="30178" xr:uid="{00000000-0005-0000-0000-0000E55F0000}"/>
    <cellStyle name="Comma 10 2 6 7" xfId="30179" xr:uid="{00000000-0005-0000-0000-0000E65F0000}"/>
    <cellStyle name="Comma 10 2 6 7 2" xfId="30180" xr:uid="{00000000-0005-0000-0000-0000E75F0000}"/>
    <cellStyle name="Comma 10 2 6 8" xfId="30181" xr:uid="{00000000-0005-0000-0000-0000E85F0000}"/>
    <cellStyle name="Comma 10 2 6 9" xfId="30182" xr:uid="{00000000-0005-0000-0000-0000E95F0000}"/>
    <cellStyle name="Comma 10 2 7" xfId="30183" xr:uid="{00000000-0005-0000-0000-0000EA5F0000}"/>
    <cellStyle name="Comma 10 2 7 2" xfId="30184" xr:uid="{00000000-0005-0000-0000-0000EB5F0000}"/>
    <cellStyle name="Comma 10 2 7 2 2" xfId="30185" xr:uid="{00000000-0005-0000-0000-0000EC5F0000}"/>
    <cellStyle name="Comma 10 2 7 2 3" xfId="30186" xr:uid="{00000000-0005-0000-0000-0000ED5F0000}"/>
    <cellStyle name="Comma 10 2 7 3" xfId="30187" xr:uid="{00000000-0005-0000-0000-0000EE5F0000}"/>
    <cellStyle name="Comma 10 2 7 3 2" xfId="30188" xr:uid="{00000000-0005-0000-0000-0000EF5F0000}"/>
    <cellStyle name="Comma 10 2 7 3 3" xfId="30189" xr:uid="{00000000-0005-0000-0000-0000F05F0000}"/>
    <cellStyle name="Comma 10 2 7 4" xfId="30190" xr:uid="{00000000-0005-0000-0000-0000F15F0000}"/>
    <cellStyle name="Comma 10 2 7 4 2" xfId="30191" xr:uid="{00000000-0005-0000-0000-0000F25F0000}"/>
    <cellStyle name="Comma 10 2 7 5" xfId="30192" xr:uid="{00000000-0005-0000-0000-0000F35F0000}"/>
    <cellStyle name="Comma 10 2 7 6" xfId="30193" xr:uid="{00000000-0005-0000-0000-0000F45F0000}"/>
    <cellStyle name="Comma 10 2 8" xfId="30194" xr:uid="{00000000-0005-0000-0000-0000F55F0000}"/>
    <cellStyle name="Comma 10 2 8 2" xfId="30195" xr:uid="{00000000-0005-0000-0000-0000F65F0000}"/>
    <cellStyle name="Comma 10 2 8 2 2" xfId="30196" xr:uid="{00000000-0005-0000-0000-0000F75F0000}"/>
    <cellStyle name="Comma 10 2 8 2 3" xfId="30197" xr:uid="{00000000-0005-0000-0000-0000F85F0000}"/>
    <cellStyle name="Comma 10 2 8 3" xfId="30198" xr:uid="{00000000-0005-0000-0000-0000F95F0000}"/>
    <cellStyle name="Comma 10 2 8 3 2" xfId="30199" xr:uid="{00000000-0005-0000-0000-0000FA5F0000}"/>
    <cellStyle name="Comma 10 2 8 3 3" xfId="30200" xr:uid="{00000000-0005-0000-0000-0000FB5F0000}"/>
    <cellStyle name="Comma 10 2 8 4" xfId="30201" xr:uid="{00000000-0005-0000-0000-0000FC5F0000}"/>
    <cellStyle name="Comma 10 2 8 4 2" xfId="30202" xr:uid="{00000000-0005-0000-0000-0000FD5F0000}"/>
    <cellStyle name="Comma 10 2 8 5" xfId="30203" xr:uid="{00000000-0005-0000-0000-0000FE5F0000}"/>
    <cellStyle name="Comma 10 2 8 6" xfId="30204" xr:uid="{00000000-0005-0000-0000-0000FF5F0000}"/>
    <cellStyle name="Comma 10 2 9" xfId="30205" xr:uid="{00000000-0005-0000-0000-000000600000}"/>
    <cellStyle name="Comma 10 2 9 2" xfId="30206" xr:uid="{00000000-0005-0000-0000-000001600000}"/>
    <cellStyle name="Comma 10 2 9 2 2" xfId="30207" xr:uid="{00000000-0005-0000-0000-000002600000}"/>
    <cellStyle name="Comma 10 2 9 2 3" xfId="30208" xr:uid="{00000000-0005-0000-0000-000003600000}"/>
    <cellStyle name="Comma 10 2 9 3" xfId="30209" xr:uid="{00000000-0005-0000-0000-000004600000}"/>
    <cellStyle name="Comma 10 2 9 3 2" xfId="30210" xr:uid="{00000000-0005-0000-0000-000005600000}"/>
    <cellStyle name="Comma 10 2 9 4" xfId="30211" xr:uid="{00000000-0005-0000-0000-000006600000}"/>
    <cellStyle name="Comma 10 2 9 5" xfId="30212" xr:uid="{00000000-0005-0000-0000-000007600000}"/>
    <cellStyle name="Comma 10 3" xfId="3204" xr:uid="{00000000-0005-0000-0000-000008600000}"/>
    <cellStyle name="Comma 10 3 10" xfId="30213" xr:uid="{00000000-0005-0000-0000-000009600000}"/>
    <cellStyle name="Comma 10 3 10 2" xfId="30214" xr:uid="{00000000-0005-0000-0000-00000A600000}"/>
    <cellStyle name="Comma 10 3 10 3" xfId="30215" xr:uid="{00000000-0005-0000-0000-00000B600000}"/>
    <cellStyle name="Comma 10 3 11" xfId="30216" xr:uid="{00000000-0005-0000-0000-00000C600000}"/>
    <cellStyle name="Comma 10 3 11 2" xfId="30217" xr:uid="{00000000-0005-0000-0000-00000D600000}"/>
    <cellStyle name="Comma 10 3 12" xfId="30218" xr:uid="{00000000-0005-0000-0000-00000E600000}"/>
    <cellStyle name="Comma 10 3 13" xfId="30219" xr:uid="{00000000-0005-0000-0000-00000F600000}"/>
    <cellStyle name="Comma 10 3 14" xfId="30220" xr:uid="{00000000-0005-0000-0000-000010600000}"/>
    <cellStyle name="Comma 10 3 2" xfId="3205" xr:uid="{00000000-0005-0000-0000-000011600000}"/>
    <cellStyle name="Comma 10 3 2 10" xfId="30221" xr:uid="{00000000-0005-0000-0000-000012600000}"/>
    <cellStyle name="Comma 10 3 2 10 2" xfId="30222" xr:uid="{00000000-0005-0000-0000-000013600000}"/>
    <cellStyle name="Comma 10 3 2 11" xfId="30223" xr:uid="{00000000-0005-0000-0000-000014600000}"/>
    <cellStyle name="Comma 10 3 2 12" xfId="30224" xr:uid="{00000000-0005-0000-0000-000015600000}"/>
    <cellStyle name="Comma 10 3 2 2" xfId="3206" xr:uid="{00000000-0005-0000-0000-000016600000}"/>
    <cellStyle name="Comma 10 3 2 2 10" xfId="30225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30226" xr:uid="{00000000-0005-0000-0000-00001A600000}"/>
    <cellStyle name="Comma 10 3 2 2 2 2 2 2" xfId="30227" xr:uid="{00000000-0005-0000-0000-00001B600000}"/>
    <cellStyle name="Comma 10 3 2 2 2 2 2 3" xfId="30228" xr:uid="{00000000-0005-0000-0000-00001C600000}"/>
    <cellStyle name="Comma 10 3 2 2 2 2 3" xfId="30229" xr:uid="{00000000-0005-0000-0000-00001D600000}"/>
    <cellStyle name="Comma 10 3 2 2 2 2 3 2" xfId="30230" xr:uid="{00000000-0005-0000-0000-00001E600000}"/>
    <cellStyle name="Comma 10 3 2 2 2 2 3 3" xfId="30231" xr:uid="{00000000-0005-0000-0000-00001F600000}"/>
    <cellStyle name="Comma 10 3 2 2 2 2 4" xfId="30232" xr:uid="{00000000-0005-0000-0000-000020600000}"/>
    <cellStyle name="Comma 10 3 2 2 2 2 4 2" xfId="30233" xr:uid="{00000000-0005-0000-0000-000021600000}"/>
    <cellStyle name="Comma 10 3 2 2 2 2 5" xfId="30234" xr:uid="{00000000-0005-0000-0000-000022600000}"/>
    <cellStyle name="Comma 10 3 2 2 2 2 6" xfId="30235" xr:uid="{00000000-0005-0000-0000-000023600000}"/>
    <cellStyle name="Comma 10 3 2 2 2 3" xfId="30236" xr:uid="{00000000-0005-0000-0000-000024600000}"/>
    <cellStyle name="Comma 10 3 2 2 2 3 2" xfId="30237" xr:uid="{00000000-0005-0000-0000-000025600000}"/>
    <cellStyle name="Comma 10 3 2 2 2 3 2 2" xfId="30238" xr:uid="{00000000-0005-0000-0000-000026600000}"/>
    <cellStyle name="Comma 10 3 2 2 2 3 2 3" xfId="30239" xr:uid="{00000000-0005-0000-0000-000027600000}"/>
    <cellStyle name="Comma 10 3 2 2 2 3 3" xfId="30240" xr:uid="{00000000-0005-0000-0000-000028600000}"/>
    <cellStyle name="Comma 10 3 2 2 2 3 3 2" xfId="30241" xr:uid="{00000000-0005-0000-0000-000029600000}"/>
    <cellStyle name="Comma 10 3 2 2 2 3 3 3" xfId="30242" xr:uid="{00000000-0005-0000-0000-00002A600000}"/>
    <cellStyle name="Comma 10 3 2 2 2 3 4" xfId="30243" xr:uid="{00000000-0005-0000-0000-00002B600000}"/>
    <cellStyle name="Comma 10 3 2 2 2 3 4 2" xfId="30244" xr:uid="{00000000-0005-0000-0000-00002C600000}"/>
    <cellStyle name="Comma 10 3 2 2 2 3 5" xfId="30245" xr:uid="{00000000-0005-0000-0000-00002D600000}"/>
    <cellStyle name="Comma 10 3 2 2 2 3 6" xfId="30246" xr:uid="{00000000-0005-0000-0000-00002E600000}"/>
    <cellStyle name="Comma 10 3 2 2 2 4" xfId="30247" xr:uid="{00000000-0005-0000-0000-00002F600000}"/>
    <cellStyle name="Comma 10 3 2 2 2 4 2" xfId="30248" xr:uid="{00000000-0005-0000-0000-000030600000}"/>
    <cellStyle name="Comma 10 3 2 2 2 4 2 2" xfId="30249" xr:uid="{00000000-0005-0000-0000-000031600000}"/>
    <cellStyle name="Comma 10 3 2 2 2 4 2 3" xfId="30250" xr:uid="{00000000-0005-0000-0000-000032600000}"/>
    <cellStyle name="Comma 10 3 2 2 2 4 3" xfId="30251" xr:uid="{00000000-0005-0000-0000-000033600000}"/>
    <cellStyle name="Comma 10 3 2 2 2 4 3 2" xfId="30252" xr:uid="{00000000-0005-0000-0000-000034600000}"/>
    <cellStyle name="Comma 10 3 2 2 2 4 4" xfId="30253" xr:uid="{00000000-0005-0000-0000-000035600000}"/>
    <cellStyle name="Comma 10 3 2 2 2 4 5" xfId="30254" xr:uid="{00000000-0005-0000-0000-000036600000}"/>
    <cellStyle name="Comma 10 3 2 2 2 5" xfId="30255" xr:uid="{00000000-0005-0000-0000-000037600000}"/>
    <cellStyle name="Comma 10 3 2 2 2 5 2" xfId="30256" xr:uid="{00000000-0005-0000-0000-000038600000}"/>
    <cellStyle name="Comma 10 3 2 2 2 5 3" xfId="30257" xr:uid="{00000000-0005-0000-0000-000039600000}"/>
    <cellStyle name="Comma 10 3 2 2 2 6" xfId="30258" xr:uid="{00000000-0005-0000-0000-00003A600000}"/>
    <cellStyle name="Comma 10 3 2 2 2 6 2" xfId="30259" xr:uid="{00000000-0005-0000-0000-00003B600000}"/>
    <cellStyle name="Comma 10 3 2 2 2 6 3" xfId="30260" xr:uid="{00000000-0005-0000-0000-00003C600000}"/>
    <cellStyle name="Comma 10 3 2 2 2 7" xfId="30261" xr:uid="{00000000-0005-0000-0000-00003D600000}"/>
    <cellStyle name="Comma 10 3 2 2 2 7 2" xfId="30262" xr:uid="{00000000-0005-0000-0000-00003E600000}"/>
    <cellStyle name="Comma 10 3 2 2 2 8" xfId="30263" xr:uid="{00000000-0005-0000-0000-00003F600000}"/>
    <cellStyle name="Comma 10 3 2 2 2 9" xfId="30264" xr:uid="{00000000-0005-0000-0000-000040600000}"/>
    <cellStyle name="Comma 10 3 2 2 3" xfId="3209" xr:uid="{00000000-0005-0000-0000-000041600000}"/>
    <cellStyle name="Comma 10 3 2 2 3 2" xfId="30265" xr:uid="{00000000-0005-0000-0000-000042600000}"/>
    <cellStyle name="Comma 10 3 2 2 3 2 2" xfId="30266" xr:uid="{00000000-0005-0000-0000-000043600000}"/>
    <cellStyle name="Comma 10 3 2 2 3 2 3" xfId="30267" xr:uid="{00000000-0005-0000-0000-000044600000}"/>
    <cellStyle name="Comma 10 3 2 2 3 3" xfId="30268" xr:uid="{00000000-0005-0000-0000-000045600000}"/>
    <cellStyle name="Comma 10 3 2 2 3 3 2" xfId="30269" xr:uid="{00000000-0005-0000-0000-000046600000}"/>
    <cellStyle name="Comma 10 3 2 2 3 3 3" xfId="30270" xr:uid="{00000000-0005-0000-0000-000047600000}"/>
    <cellStyle name="Comma 10 3 2 2 3 4" xfId="30271" xr:uid="{00000000-0005-0000-0000-000048600000}"/>
    <cellStyle name="Comma 10 3 2 2 3 4 2" xfId="30272" xr:uid="{00000000-0005-0000-0000-000049600000}"/>
    <cellStyle name="Comma 10 3 2 2 3 5" xfId="30273" xr:uid="{00000000-0005-0000-0000-00004A600000}"/>
    <cellStyle name="Comma 10 3 2 2 3 6" xfId="30274" xr:uid="{00000000-0005-0000-0000-00004B600000}"/>
    <cellStyle name="Comma 10 3 2 2 4" xfId="30275" xr:uid="{00000000-0005-0000-0000-00004C600000}"/>
    <cellStyle name="Comma 10 3 2 2 4 2" xfId="30276" xr:uid="{00000000-0005-0000-0000-00004D600000}"/>
    <cellStyle name="Comma 10 3 2 2 4 2 2" xfId="30277" xr:uid="{00000000-0005-0000-0000-00004E600000}"/>
    <cellStyle name="Comma 10 3 2 2 4 2 3" xfId="30278" xr:uid="{00000000-0005-0000-0000-00004F600000}"/>
    <cellStyle name="Comma 10 3 2 2 4 3" xfId="30279" xr:uid="{00000000-0005-0000-0000-000050600000}"/>
    <cellStyle name="Comma 10 3 2 2 4 3 2" xfId="30280" xr:uid="{00000000-0005-0000-0000-000051600000}"/>
    <cellStyle name="Comma 10 3 2 2 4 3 3" xfId="30281" xr:uid="{00000000-0005-0000-0000-000052600000}"/>
    <cellStyle name="Comma 10 3 2 2 4 4" xfId="30282" xr:uid="{00000000-0005-0000-0000-000053600000}"/>
    <cellStyle name="Comma 10 3 2 2 4 4 2" xfId="30283" xr:uid="{00000000-0005-0000-0000-000054600000}"/>
    <cellStyle name="Comma 10 3 2 2 4 5" xfId="30284" xr:uid="{00000000-0005-0000-0000-000055600000}"/>
    <cellStyle name="Comma 10 3 2 2 4 6" xfId="30285" xr:uid="{00000000-0005-0000-0000-000056600000}"/>
    <cellStyle name="Comma 10 3 2 2 5" xfId="30286" xr:uid="{00000000-0005-0000-0000-000057600000}"/>
    <cellStyle name="Comma 10 3 2 2 5 2" xfId="30287" xr:uid="{00000000-0005-0000-0000-000058600000}"/>
    <cellStyle name="Comma 10 3 2 2 5 2 2" xfId="30288" xr:uid="{00000000-0005-0000-0000-000059600000}"/>
    <cellStyle name="Comma 10 3 2 2 5 2 3" xfId="30289" xr:uid="{00000000-0005-0000-0000-00005A600000}"/>
    <cellStyle name="Comma 10 3 2 2 5 3" xfId="30290" xr:uid="{00000000-0005-0000-0000-00005B600000}"/>
    <cellStyle name="Comma 10 3 2 2 5 3 2" xfId="30291" xr:uid="{00000000-0005-0000-0000-00005C600000}"/>
    <cellStyle name="Comma 10 3 2 2 5 4" xfId="30292" xr:uid="{00000000-0005-0000-0000-00005D600000}"/>
    <cellStyle name="Comma 10 3 2 2 5 5" xfId="30293" xr:uid="{00000000-0005-0000-0000-00005E600000}"/>
    <cellStyle name="Comma 10 3 2 2 6" xfId="30294" xr:uid="{00000000-0005-0000-0000-00005F600000}"/>
    <cellStyle name="Comma 10 3 2 2 6 2" xfId="30295" xr:uid="{00000000-0005-0000-0000-000060600000}"/>
    <cellStyle name="Comma 10 3 2 2 6 3" xfId="30296" xr:uid="{00000000-0005-0000-0000-000061600000}"/>
    <cellStyle name="Comma 10 3 2 2 7" xfId="30297" xr:uid="{00000000-0005-0000-0000-000062600000}"/>
    <cellStyle name="Comma 10 3 2 2 7 2" xfId="30298" xr:uid="{00000000-0005-0000-0000-000063600000}"/>
    <cellStyle name="Comma 10 3 2 2 7 3" xfId="30299" xr:uid="{00000000-0005-0000-0000-000064600000}"/>
    <cellStyle name="Comma 10 3 2 2 8" xfId="30300" xr:uid="{00000000-0005-0000-0000-000065600000}"/>
    <cellStyle name="Comma 10 3 2 2 8 2" xfId="30301" xr:uid="{00000000-0005-0000-0000-000066600000}"/>
    <cellStyle name="Comma 10 3 2 2 9" xfId="30302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30303" xr:uid="{00000000-0005-0000-0000-00006A600000}"/>
    <cellStyle name="Comma 10 3 2 3 2 2 2" xfId="30304" xr:uid="{00000000-0005-0000-0000-00006B600000}"/>
    <cellStyle name="Comma 10 3 2 3 2 2 3" xfId="30305" xr:uid="{00000000-0005-0000-0000-00006C600000}"/>
    <cellStyle name="Comma 10 3 2 3 2 3" xfId="30306" xr:uid="{00000000-0005-0000-0000-00006D600000}"/>
    <cellStyle name="Comma 10 3 2 3 2 3 2" xfId="30307" xr:uid="{00000000-0005-0000-0000-00006E600000}"/>
    <cellStyle name="Comma 10 3 2 3 2 3 3" xfId="30308" xr:uid="{00000000-0005-0000-0000-00006F600000}"/>
    <cellStyle name="Comma 10 3 2 3 2 4" xfId="30309" xr:uid="{00000000-0005-0000-0000-000070600000}"/>
    <cellStyle name="Comma 10 3 2 3 2 4 2" xfId="30310" xr:uid="{00000000-0005-0000-0000-000071600000}"/>
    <cellStyle name="Comma 10 3 2 3 2 5" xfId="30311" xr:uid="{00000000-0005-0000-0000-000072600000}"/>
    <cellStyle name="Comma 10 3 2 3 2 6" xfId="30312" xr:uid="{00000000-0005-0000-0000-000073600000}"/>
    <cellStyle name="Comma 10 3 2 3 3" xfId="30313" xr:uid="{00000000-0005-0000-0000-000074600000}"/>
    <cellStyle name="Comma 10 3 2 3 3 2" xfId="30314" xr:uid="{00000000-0005-0000-0000-000075600000}"/>
    <cellStyle name="Comma 10 3 2 3 3 2 2" xfId="30315" xr:uid="{00000000-0005-0000-0000-000076600000}"/>
    <cellStyle name="Comma 10 3 2 3 3 2 3" xfId="30316" xr:uid="{00000000-0005-0000-0000-000077600000}"/>
    <cellStyle name="Comma 10 3 2 3 3 3" xfId="30317" xr:uid="{00000000-0005-0000-0000-000078600000}"/>
    <cellStyle name="Comma 10 3 2 3 3 3 2" xfId="30318" xr:uid="{00000000-0005-0000-0000-000079600000}"/>
    <cellStyle name="Comma 10 3 2 3 3 3 3" xfId="30319" xr:uid="{00000000-0005-0000-0000-00007A600000}"/>
    <cellStyle name="Comma 10 3 2 3 3 4" xfId="30320" xr:uid="{00000000-0005-0000-0000-00007B600000}"/>
    <cellStyle name="Comma 10 3 2 3 3 4 2" xfId="30321" xr:uid="{00000000-0005-0000-0000-00007C600000}"/>
    <cellStyle name="Comma 10 3 2 3 3 5" xfId="30322" xr:uid="{00000000-0005-0000-0000-00007D600000}"/>
    <cellStyle name="Comma 10 3 2 3 3 6" xfId="30323" xr:uid="{00000000-0005-0000-0000-00007E600000}"/>
    <cellStyle name="Comma 10 3 2 3 4" xfId="30324" xr:uid="{00000000-0005-0000-0000-00007F600000}"/>
    <cellStyle name="Comma 10 3 2 3 4 2" xfId="30325" xr:uid="{00000000-0005-0000-0000-000080600000}"/>
    <cellStyle name="Comma 10 3 2 3 4 2 2" xfId="30326" xr:uid="{00000000-0005-0000-0000-000081600000}"/>
    <cellStyle name="Comma 10 3 2 3 4 2 3" xfId="30327" xr:uid="{00000000-0005-0000-0000-000082600000}"/>
    <cellStyle name="Comma 10 3 2 3 4 3" xfId="30328" xr:uid="{00000000-0005-0000-0000-000083600000}"/>
    <cellStyle name="Comma 10 3 2 3 4 3 2" xfId="30329" xr:uid="{00000000-0005-0000-0000-000084600000}"/>
    <cellStyle name="Comma 10 3 2 3 4 4" xfId="30330" xr:uid="{00000000-0005-0000-0000-000085600000}"/>
    <cellStyle name="Comma 10 3 2 3 4 5" xfId="30331" xr:uid="{00000000-0005-0000-0000-000086600000}"/>
    <cellStyle name="Comma 10 3 2 3 5" xfId="30332" xr:uid="{00000000-0005-0000-0000-000087600000}"/>
    <cellStyle name="Comma 10 3 2 3 5 2" xfId="30333" xr:uid="{00000000-0005-0000-0000-000088600000}"/>
    <cellStyle name="Comma 10 3 2 3 5 3" xfId="30334" xr:uid="{00000000-0005-0000-0000-000089600000}"/>
    <cellStyle name="Comma 10 3 2 3 6" xfId="30335" xr:uid="{00000000-0005-0000-0000-00008A600000}"/>
    <cellStyle name="Comma 10 3 2 3 6 2" xfId="30336" xr:uid="{00000000-0005-0000-0000-00008B600000}"/>
    <cellStyle name="Comma 10 3 2 3 6 3" xfId="30337" xr:uid="{00000000-0005-0000-0000-00008C600000}"/>
    <cellStyle name="Comma 10 3 2 3 7" xfId="30338" xr:uid="{00000000-0005-0000-0000-00008D600000}"/>
    <cellStyle name="Comma 10 3 2 3 7 2" xfId="30339" xr:uid="{00000000-0005-0000-0000-00008E600000}"/>
    <cellStyle name="Comma 10 3 2 3 8" xfId="30340" xr:uid="{00000000-0005-0000-0000-00008F600000}"/>
    <cellStyle name="Comma 10 3 2 3 9" xfId="30341" xr:uid="{00000000-0005-0000-0000-000090600000}"/>
    <cellStyle name="Comma 10 3 2 4" xfId="3212" xr:uid="{00000000-0005-0000-0000-000091600000}"/>
    <cellStyle name="Comma 10 3 2 4 2" xfId="30342" xr:uid="{00000000-0005-0000-0000-000092600000}"/>
    <cellStyle name="Comma 10 3 2 4 2 2" xfId="30343" xr:uid="{00000000-0005-0000-0000-000093600000}"/>
    <cellStyle name="Comma 10 3 2 4 2 2 2" xfId="30344" xr:uid="{00000000-0005-0000-0000-000094600000}"/>
    <cellStyle name="Comma 10 3 2 4 2 2 3" xfId="30345" xr:uid="{00000000-0005-0000-0000-000095600000}"/>
    <cellStyle name="Comma 10 3 2 4 2 3" xfId="30346" xr:uid="{00000000-0005-0000-0000-000096600000}"/>
    <cellStyle name="Comma 10 3 2 4 2 3 2" xfId="30347" xr:uid="{00000000-0005-0000-0000-000097600000}"/>
    <cellStyle name="Comma 10 3 2 4 2 3 3" xfId="30348" xr:uid="{00000000-0005-0000-0000-000098600000}"/>
    <cellStyle name="Comma 10 3 2 4 2 4" xfId="30349" xr:uid="{00000000-0005-0000-0000-000099600000}"/>
    <cellStyle name="Comma 10 3 2 4 2 4 2" xfId="30350" xr:uid="{00000000-0005-0000-0000-00009A600000}"/>
    <cellStyle name="Comma 10 3 2 4 2 5" xfId="30351" xr:uid="{00000000-0005-0000-0000-00009B600000}"/>
    <cellStyle name="Comma 10 3 2 4 2 6" xfId="30352" xr:uid="{00000000-0005-0000-0000-00009C600000}"/>
    <cellStyle name="Comma 10 3 2 4 3" xfId="30353" xr:uid="{00000000-0005-0000-0000-00009D600000}"/>
    <cellStyle name="Comma 10 3 2 4 3 2" xfId="30354" xr:uid="{00000000-0005-0000-0000-00009E600000}"/>
    <cellStyle name="Comma 10 3 2 4 3 2 2" xfId="30355" xr:uid="{00000000-0005-0000-0000-00009F600000}"/>
    <cellStyle name="Comma 10 3 2 4 3 2 3" xfId="30356" xr:uid="{00000000-0005-0000-0000-0000A0600000}"/>
    <cellStyle name="Comma 10 3 2 4 3 3" xfId="30357" xr:uid="{00000000-0005-0000-0000-0000A1600000}"/>
    <cellStyle name="Comma 10 3 2 4 3 3 2" xfId="30358" xr:uid="{00000000-0005-0000-0000-0000A2600000}"/>
    <cellStyle name="Comma 10 3 2 4 3 3 3" xfId="30359" xr:uid="{00000000-0005-0000-0000-0000A3600000}"/>
    <cellStyle name="Comma 10 3 2 4 3 4" xfId="30360" xr:uid="{00000000-0005-0000-0000-0000A4600000}"/>
    <cellStyle name="Comma 10 3 2 4 3 4 2" xfId="30361" xr:uid="{00000000-0005-0000-0000-0000A5600000}"/>
    <cellStyle name="Comma 10 3 2 4 3 5" xfId="30362" xr:uid="{00000000-0005-0000-0000-0000A6600000}"/>
    <cellStyle name="Comma 10 3 2 4 3 6" xfId="30363" xr:uid="{00000000-0005-0000-0000-0000A7600000}"/>
    <cellStyle name="Comma 10 3 2 4 4" xfId="30364" xr:uid="{00000000-0005-0000-0000-0000A8600000}"/>
    <cellStyle name="Comma 10 3 2 4 4 2" xfId="30365" xr:uid="{00000000-0005-0000-0000-0000A9600000}"/>
    <cellStyle name="Comma 10 3 2 4 4 2 2" xfId="30366" xr:uid="{00000000-0005-0000-0000-0000AA600000}"/>
    <cellStyle name="Comma 10 3 2 4 4 2 3" xfId="30367" xr:uid="{00000000-0005-0000-0000-0000AB600000}"/>
    <cellStyle name="Comma 10 3 2 4 4 3" xfId="30368" xr:uid="{00000000-0005-0000-0000-0000AC600000}"/>
    <cellStyle name="Comma 10 3 2 4 4 3 2" xfId="30369" xr:uid="{00000000-0005-0000-0000-0000AD600000}"/>
    <cellStyle name="Comma 10 3 2 4 4 4" xfId="30370" xr:uid="{00000000-0005-0000-0000-0000AE600000}"/>
    <cellStyle name="Comma 10 3 2 4 4 5" xfId="30371" xr:uid="{00000000-0005-0000-0000-0000AF600000}"/>
    <cellStyle name="Comma 10 3 2 4 5" xfId="30372" xr:uid="{00000000-0005-0000-0000-0000B0600000}"/>
    <cellStyle name="Comma 10 3 2 4 5 2" xfId="30373" xr:uid="{00000000-0005-0000-0000-0000B1600000}"/>
    <cellStyle name="Comma 10 3 2 4 5 3" xfId="30374" xr:uid="{00000000-0005-0000-0000-0000B2600000}"/>
    <cellStyle name="Comma 10 3 2 4 6" xfId="30375" xr:uid="{00000000-0005-0000-0000-0000B3600000}"/>
    <cellStyle name="Comma 10 3 2 4 6 2" xfId="30376" xr:uid="{00000000-0005-0000-0000-0000B4600000}"/>
    <cellStyle name="Comma 10 3 2 4 6 3" xfId="30377" xr:uid="{00000000-0005-0000-0000-0000B5600000}"/>
    <cellStyle name="Comma 10 3 2 4 7" xfId="30378" xr:uid="{00000000-0005-0000-0000-0000B6600000}"/>
    <cellStyle name="Comma 10 3 2 4 7 2" xfId="30379" xr:uid="{00000000-0005-0000-0000-0000B7600000}"/>
    <cellStyle name="Comma 10 3 2 4 8" xfId="30380" xr:uid="{00000000-0005-0000-0000-0000B8600000}"/>
    <cellStyle name="Comma 10 3 2 4 9" xfId="30381" xr:uid="{00000000-0005-0000-0000-0000B9600000}"/>
    <cellStyle name="Comma 10 3 2 5" xfId="30382" xr:uid="{00000000-0005-0000-0000-0000BA600000}"/>
    <cellStyle name="Comma 10 3 2 5 2" xfId="30383" xr:uid="{00000000-0005-0000-0000-0000BB600000}"/>
    <cellStyle name="Comma 10 3 2 5 2 2" xfId="30384" xr:uid="{00000000-0005-0000-0000-0000BC600000}"/>
    <cellStyle name="Comma 10 3 2 5 2 3" xfId="30385" xr:uid="{00000000-0005-0000-0000-0000BD600000}"/>
    <cellStyle name="Comma 10 3 2 5 3" xfId="30386" xr:uid="{00000000-0005-0000-0000-0000BE600000}"/>
    <cellStyle name="Comma 10 3 2 5 3 2" xfId="30387" xr:uid="{00000000-0005-0000-0000-0000BF600000}"/>
    <cellStyle name="Comma 10 3 2 5 3 3" xfId="30388" xr:uid="{00000000-0005-0000-0000-0000C0600000}"/>
    <cellStyle name="Comma 10 3 2 5 4" xfId="30389" xr:uid="{00000000-0005-0000-0000-0000C1600000}"/>
    <cellStyle name="Comma 10 3 2 5 4 2" xfId="30390" xr:uid="{00000000-0005-0000-0000-0000C2600000}"/>
    <cellStyle name="Comma 10 3 2 5 5" xfId="30391" xr:uid="{00000000-0005-0000-0000-0000C3600000}"/>
    <cellStyle name="Comma 10 3 2 5 6" xfId="30392" xr:uid="{00000000-0005-0000-0000-0000C4600000}"/>
    <cellStyle name="Comma 10 3 2 6" xfId="30393" xr:uid="{00000000-0005-0000-0000-0000C5600000}"/>
    <cellStyle name="Comma 10 3 2 6 2" xfId="30394" xr:uid="{00000000-0005-0000-0000-0000C6600000}"/>
    <cellStyle name="Comma 10 3 2 6 2 2" xfId="30395" xr:uid="{00000000-0005-0000-0000-0000C7600000}"/>
    <cellStyle name="Comma 10 3 2 6 2 3" xfId="30396" xr:uid="{00000000-0005-0000-0000-0000C8600000}"/>
    <cellStyle name="Comma 10 3 2 6 3" xfId="30397" xr:uid="{00000000-0005-0000-0000-0000C9600000}"/>
    <cellStyle name="Comma 10 3 2 6 3 2" xfId="30398" xr:uid="{00000000-0005-0000-0000-0000CA600000}"/>
    <cellStyle name="Comma 10 3 2 6 3 3" xfId="30399" xr:uid="{00000000-0005-0000-0000-0000CB600000}"/>
    <cellStyle name="Comma 10 3 2 6 4" xfId="30400" xr:uid="{00000000-0005-0000-0000-0000CC600000}"/>
    <cellStyle name="Comma 10 3 2 6 4 2" xfId="30401" xr:uid="{00000000-0005-0000-0000-0000CD600000}"/>
    <cellStyle name="Comma 10 3 2 6 5" xfId="30402" xr:uid="{00000000-0005-0000-0000-0000CE600000}"/>
    <cellStyle name="Comma 10 3 2 6 6" xfId="30403" xr:uid="{00000000-0005-0000-0000-0000CF600000}"/>
    <cellStyle name="Comma 10 3 2 7" xfId="30404" xr:uid="{00000000-0005-0000-0000-0000D0600000}"/>
    <cellStyle name="Comma 10 3 2 7 2" xfId="30405" xr:uid="{00000000-0005-0000-0000-0000D1600000}"/>
    <cellStyle name="Comma 10 3 2 7 2 2" xfId="30406" xr:uid="{00000000-0005-0000-0000-0000D2600000}"/>
    <cellStyle name="Comma 10 3 2 7 2 3" xfId="30407" xr:uid="{00000000-0005-0000-0000-0000D3600000}"/>
    <cellStyle name="Comma 10 3 2 7 3" xfId="30408" xr:uid="{00000000-0005-0000-0000-0000D4600000}"/>
    <cellStyle name="Comma 10 3 2 7 3 2" xfId="30409" xr:uid="{00000000-0005-0000-0000-0000D5600000}"/>
    <cellStyle name="Comma 10 3 2 7 4" xfId="30410" xr:uid="{00000000-0005-0000-0000-0000D6600000}"/>
    <cellStyle name="Comma 10 3 2 7 5" xfId="30411" xr:uid="{00000000-0005-0000-0000-0000D7600000}"/>
    <cellStyle name="Comma 10 3 2 8" xfId="30412" xr:uid="{00000000-0005-0000-0000-0000D8600000}"/>
    <cellStyle name="Comma 10 3 2 8 2" xfId="30413" xr:uid="{00000000-0005-0000-0000-0000D9600000}"/>
    <cellStyle name="Comma 10 3 2 8 3" xfId="30414" xr:uid="{00000000-0005-0000-0000-0000DA600000}"/>
    <cellStyle name="Comma 10 3 2 9" xfId="30415" xr:uid="{00000000-0005-0000-0000-0000DB600000}"/>
    <cellStyle name="Comma 10 3 2 9 2" xfId="30416" xr:uid="{00000000-0005-0000-0000-0000DC600000}"/>
    <cellStyle name="Comma 10 3 2 9 3" xfId="30417" xr:uid="{00000000-0005-0000-0000-0000DD600000}"/>
    <cellStyle name="Comma 10 3 3" xfId="3213" xr:uid="{00000000-0005-0000-0000-0000DE600000}"/>
    <cellStyle name="Comma 10 3 3 10" xfId="30418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419" xr:uid="{00000000-0005-0000-0000-0000E2600000}"/>
    <cellStyle name="Comma 10 3 3 2 2 2 2" xfId="30420" xr:uid="{00000000-0005-0000-0000-0000E3600000}"/>
    <cellStyle name="Comma 10 3 3 2 2 2 3" xfId="30421" xr:uid="{00000000-0005-0000-0000-0000E4600000}"/>
    <cellStyle name="Comma 10 3 3 2 2 3" xfId="30422" xr:uid="{00000000-0005-0000-0000-0000E5600000}"/>
    <cellStyle name="Comma 10 3 3 2 2 3 2" xfId="30423" xr:uid="{00000000-0005-0000-0000-0000E6600000}"/>
    <cellStyle name="Comma 10 3 3 2 2 3 3" xfId="30424" xr:uid="{00000000-0005-0000-0000-0000E7600000}"/>
    <cellStyle name="Comma 10 3 3 2 2 4" xfId="30425" xr:uid="{00000000-0005-0000-0000-0000E8600000}"/>
    <cellStyle name="Comma 10 3 3 2 2 4 2" xfId="30426" xr:uid="{00000000-0005-0000-0000-0000E9600000}"/>
    <cellStyle name="Comma 10 3 3 2 2 5" xfId="30427" xr:uid="{00000000-0005-0000-0000-0000EA600000}"/>
    <cellStyle name="Comma 10 3 3 2 2 6" xfId="30428" xr:uid="{00000000-0005-0000-0000-0000EB600000}"/>
    <cellStyle name="Comma 10 3 3 2 3" xfId="30429" xr:uid="{00000000-0005-0000-0000-0000EC600000}"/>
    <cellStyle name="Comma 10 3 3 2 3 2" xfId="30430" xr:uid="{00000000-0005-0000-0000-0000ED600000}"/>
    <cellStyle name="Comma 10 3 3 2 3 2 2" xfId="30431" xr:uid="{00000000-0005-0000-0000-0000EE600000}"/>
    <cellStyle name="Comma 10 3 3 2 3 2 3" xfId="30432" xr:uid="{00000000-0005-0000-0000-0000EF600000}"/>
    <cellStyle name="Comma 10 3 3 2 3 3" xfId="30433" xr:uid="{00000000-0005-0000-0000-0000F0600000}"/>
    <cellStyle name="Comma 10 3 3 2 3 3 2" xfId="30434" xr:uid="{00000000-0005-0000-0000-0000F1600000}"/>
    <cellStyle name="Comma 10 3 3 2 3 3 3" xfId="30435" xr:uid="{00000000-0005-0000-0000-0000F2600000}"/>
    <cellStyle name="Comma 10 3 3 2 3 4" xfId="30436" xr:uid="{00000000-0005-0000-0000-0000F3600000}"/>
    <cellStyle name="Comma 10 3 3 2 3 4 2" xfId="30437" xr:uid="{00000000-0005-0000-0000-0000F4600000}"/>
    <cellStyle name="Comma 10 3 3 2 3 5" xfId="30438" xr:uid="{00000000-0005-0000-0000-0000F5600000}"/>
    <cellStyle name="Comma 10 3 3 2 3 6" xfId="30439" xr:uid="{00000000-0005-0000-0000-0000F6600000}"/>
    <cellStyle name="Comma 10 3 3 2 4" xfId="30440" xr:uid="{00000000-0005-0000-0000-0000F7600000}"/>
    <cellStyle name="Comma 10 3 3 2 4 2" xfId="30441" xr:uid="{00000000-0005-0000-0000-0000F8600000}"/>
    <cellStyle name="Comma 10 3 3 2 4 2 2" xfId="30442" xr:uid="{00000000-0005-0000-0000-0000F9600000}"/>
    <cellStyle name="Comma 10 3 3 2 4 2 3" xfId="30443" xr:uid="{00000000-0005-0000-0000-0000FA600000}"/>
    <cellStyle name="Comma 10 3 3 2 4 3" xfId="30444" xr:uid="{00000000-0005-0000-0000-0000FB600000}"/>
    <cellStyle name="Comma 10 3 3 2 4 3 2" xfId="30445" xr:uid="{00000000-0005-0000-0000-0000FC600000}"/>
    <cellStyle name="Comma 10 3 3 2 4 4" xfId="30446" xr:uid="{00000000-0005-0000-0000-0000FD600000}"/>
    <cellStyle name="Comma 10 3 3 2 4 5" xfId="30447" xr:uid="{00000000-0005-0000-0000-0000FE600000}"/>
    <cellStyle name="Comma 10 3 3 2 5" xfId="30448" xr:uid="{00000000-0005-0000-0000-0000FF600000}"/>
    <cellStyle name="Comma 10 3 3 2 5 2" xfId="30449" xr:uid="{00000000-0005-0000-0000-000000610000}"/>
    <cellStyle name="Comma 10 3 3 2 5 3" xfId="30450" xr:uid="{00000000-0005-0000-0000-000001610000}"/>
    <cellStyle name="Comma 10 3 3 2 6" xfId="30451" xr:uid="{00000000-0005-0000-0000-000002610000}"/>
    <cellStyle name="Comma 10 3 3 2 6 2" xfId="30452" xr:uid="{00000000-0005-0000-0000-000003610000}"/>
    <cellStyle name="Comma 10 3 3 2 6 3" xfId="30453" xr:uid="{00000000-0005-0000-0000-000004610000}"/>
    <cellStyle name="Comma 10 3 3 2 7" xfId="30454" xr:uid="{00000000-0005-0000-0000-000005610000}"/>
    <cellStyle name="Comma 10 3 3 2 7 2" xfId="30455" xr:uid="{00000000-0005-0000-0000-000006610000}"/>
    <cellStyle name="Comma 10 3 3 2 8" xfId="30456" xr:uid="{00000000-0005-0000-0000-000007610000}"/>
    <cellStyle name="Comma 10 3 3 2 9" xfId="30457" xr:uid="{00000000-0005-0000-0000-000008610000}"/>
    <cellStyle name="Comma 10 3 3 3" xfId="3216" xr:uid="{00000000-0005-0000-0000-000009610000}"/>
    <cellStyle name="Comma 10 3 3 3 2" xfId="30458" xr:uid="{00000000-0005-0000-0000-00000A610000}"/>
    <cellStyle name="Comma 10 3 3 3 2 2" xfId="30459" xr:uid="{00000000-0005-0000-0000-00000B610000}"/>
    <cellStyle name="Comma 10 3 3 3 2 3" xfId="30460" xr:uid="{00000000-0005-0000-0000-00000C610000}"/>
    <cellStyle name="Comma 10 3 3 3 3" xfId="30461" xr:uid="{00000000-0005-0000-0000-00000D610000}"/>
    <cellStyle name="Comma 10 3 3 3 3 2" xfId="30462" xr:uid="{00000000-0005-0000-0000-00000E610000}"/>
    <cellStyle name="Comma 10 3 3 3 3 3" xfId="30463" xr:uid="{00000000-0005-0000-0000-00000F610000}"/>
    <cellStyle name="Comma 10 3 3 3 4" xfId="30464" xr:uid="{00000000-0005-0000-0000-000010610000}"/>
    <cellStyle name="Comma 10 3 3 3 4 2" xfId="30465" xr:uid="{00000000-0005-0000-0000-000011610000}"/>
    <cellStyle name="Comma 10 3 3 3 5" xfId="30466" xr:uid="{00000000-0005-0000-0000-000012610000}"/>
    <cellStyle name="Comma 10 3 3 3 6" xfId="30467" xr:uid="{00000000-0005-0000-0000-000013610000}"/>
    <cellStyle name="Comma 10 3 3 4" xfId="30468" xr:uid="{00000000-0005-0000-0000-000014610000}"/>
    <cellStyle name="Comma 10 3 3 4 2" xfId="30469" xr:uid="{00000000-0005-0000-0000-000015610000}"/>
    <cellStyle name="Comma 10 3 3 4 2 2" xfId="30470" xr:uid="{00000000-0005-0000-0000-000016610000}"/>
    <cellStyle name="Comma 10 3 3 4 2 3" xfId="30471" xr:uid="{00000000-0005-0000-0000-000017610000}"/>
    <cellStyle name="Comma 10 3 3 4 3" xfId="30472" xr:uid="{00000000-0005-0000-0000-000018610000}"/>
    <cellStyle name="Comma 10 3 3 4 3 2" xfId="30473" xr:uid="{00000000-0005-0000-0000-000019610000}"/>
    <cellStyle name="Comma 10 3 3 4 3 3" xfId="30474" xr:uid="{00000000-0005-0000-0000-00001A610000}"/>
    <cellStyle name="Comma 10 3 3 4 4" xfId="30475" xr:uid="{00000000-0005-0000-0000-00001B610000}"/>
    <cellStyle name="Comma 10 3 3 4 4 2" xfId="30476" xr:uid="{00000000-0005-0000-0000-00001C610000}"/>
    <cellStyle name="Comma 10 3 3 4 5" xfId="30477" xr:uid="{00000000-0005-0000-0000-00001D610000}"/>
    <cellStyle name="Comma 10 3 3 4 6" xfId="30478" xr:uid="{00000000-0005-0000-0000-00001E610000}"/>
    <cellStyle name="Comma 10 3 3 5" xfId="30479" xr:uid="{00000000-0005-0000-0000-00001F610000}"/>
    <cellStyle name="Comma 10 3 3 5 2" xfId="30480" xr:uid="{00000000-0005-0000-0000-000020610000}"/>
    <cellStyle name="Comma 10 3 3 5 2 2" xfId="30481" xr:uid="{00000000-0005-0000-0000-000021610000}"/>
    <cellStyle name="Comma 10 3 3 5 2 3" xfId="30482" xr:uid="{00000000-0005-0000-0000-000022610000}"/>
    <cellStyle name="Comma 10 3 3 5 3" xfId="30483" xr:uid="{00000000-0005-0000-0000-000023610000}"/>
    <cellStyle name="Comma 10 3 3 5 3 2" xfId="30484" xr:uid="{00000000-0005-0000-0000-000024610000}"/>
    <cellStyle name="Comma 10 3 3 5 4" xfId="30485" xr:uid="{00000000-0005-0000-0000-000025610000}"/>
    <cellStyle name="Comma 10 3 3 5 5" xfId="30486" xr:uid="{00000000-0005-0000-0000-000026610000}"/>
    <cellStyle name="Comma 10 3 3 6" xfId="30487" xr:uid="{00000000-0005-0000-0000-000027610000}"/>
    <cellStyle name="Comma 10 3 3 6 2" xfId="30488" xr:uid="{00000000-0005-0000-0000-000028610000}"/>
    <cellStyle name="Comma 10 3 3 6 3" xfId="30489" xr:uid="{00000000-0005-0000-0000-000029610000}"/>
    <cellStyle name="Comma 10 3 3 7" xfId="30490" xr:uid="{00000000-0005-0000-0000-00002A610000}"/>
    <cellStyle name="Comma 10 3 3 7 2" xfId="30491" xr:uid="{00000000-0005-0000-0000-00002B610000}"/>
    <cellStyle name="Comma 10 3 3 7 3" xfId="30492" xr:uid="{00000000-0005-0000-0000-00002C610000}"/>
    <cellStyle name="Comma 10 3 3 8" xfId="30493" xr:uid="{00000000-0005-0000-0000-00002D610000}"/>
    <cellStyle name="Comma 10 3 3 8 2" xfId="30494" xr:uid="{00000000-0005-0000-0000-00002E610000}"/>
    <cellStyle name="Comma 10 3 3 9" xfId="30495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496" xr:uid="{00000000-0005-0000-0000-000032610000}"/>
    <cellStyle name="Comma 10 3 4 2 2 2" xfId="30497" xr:uid="{00000000-0005-0000-0000-000033610000}"/>
    <cellStyle name="Comma 10 3 4 2 2 3" xfId="30498" xr:uid="{00000000-0005-0000-0000-000034610000}"/>
    <cellStyle name="Comma 10 3 4 2 3" xfId="30499" xr:uid="{00000000-0005-0000-0000-000035610000}"/>
    <cellStyle name="Comma 10 3 4 2 3 2" xfId="30500" xr:uid="{00000000-0005-0000-0000-000036610000}"/>
    <cellStyle name="Comma 10 3 4 2 3 3" xfId="30501" xr:uid="{00000000-0005-0000-0000-000037610000}"/>
    <cellStyle name="Comma 10 3 4 2 4" xfId="30502" xr:uid="{00000000-0005-0000-0000-000038610000}"/>
    <cellStyle name="Comma 10 3 4 2 4 2" xfId="30503" xr:uid="{00000000-0005-0000-0000-000039610000}"/>
    <cellStyle name="Comma 10 3 4 2 5" xfId="30504" xr:uid="{00000000-0005-0000-0000-00003A610000}"/>
    <cellStyle name="Comma 10 3 4 2 6" xfId="30505" xr:uid="{00000000-0005-0000-0000-00003B610000}"/>
    <cellStyle name="Comma 10 3 4 3" xfId="30506" xr:uid="{00000000-0005-0000-0000-00003C610000}"/>
    <cellStyle name="Comma 10 3 4 3 2" xfId="30507" xr:uid="{00000000-0005-0000-0000-00003D610000}"/>
    <cellStyle name="Comma 10 3 4 3 2 2" xfId="30508" xr:uid="{00000000-0005-0000-0000-00003E610000}"/>
    <cellStyle name="Comma 10 3 4 3 2 3" xfId="30509" xr:uid="{00000000-0005-0000-0000-00003F610000}"/>
    <cellStyle name="Comma 10 3 4 3 3" xfId="30510" xr:uid="{00000000-0005-0000-0000-000040610000}"/>
    <cellStyle name="Comma 10 3 4 3 3 2" xfId="30511" xr:uid="{00000000-0005-0000-0000-000041610000}"/>
    <cellStyle name="Comma 10 3 4 3 3 3" xfId="30512" xr:uid="{00000000-0005-0000-0000-000042610000}"/>
    <cellStyle name="Comma 10 3 4 3 4" xfId="30513" xr:uid="{00000000-0005-0000-0000-000043610000}"/>
    <cellStyle name="Comma 10 3 4 3 4 2" xfId="30514" xr:uid="{00000000-0005-0000-0000-000044610000}"/>
    <cellStyle name="Comma 10 3 4 3 5" xfId="30515" xr:uid="{00000000-0005-0000-0000-000045610000}"/>
    <cellStyle name="Comma 10 3 4 3 6" xfId="30516" xr:uid="{00000000-0005-0000-0000-000046610000}"/>
    <cellStyle name="Comma 10 3 4 4" xfId="30517" xr:uid="{00000000-0005-0000-0000-000047610000}"/>
    <cellStyle name="Comma 10 3 4 4 2" xfId="30518" xr:uid="{00000000-0005-0000-0000-000048610000}"/>
    <cellStyle name="Comma 10 3 4 4 2 2" xfId="30519" xr:uid="{00000000-0005-0000-0000-000049610000}"/>
    <cellStyle name="Comma 10 3 4 4 2 3" xfId="30520" xr:uid="{00000000-0005-0000-0000-00004A610000}"/>
    <cellStyle name="Comma 10 3 4 4 3" xfId="30521" xr:uid="{00000000-0005-0000-0000-00004B610000}"/>
    <cellStyle name="Comma 10 3 4 4 3 2" xfId="30522" xr:uid="{00000000-0005-0000-0000-00004C610000}"/>
    <cellStyle name="Comma 10 3 4 4 4" xfId="30523" xr:uid="{00000000-0005-0000-0000-00004D610000}"/>
    <cellStyle name="Comma 10 3 4 4 5" xfId="30524" xr:uid="{00000000-0005-0000-0000-00004E610000}"/>
    <cellStyle name="Comma 10 3 4 5" xfId="30525" xr:uid="{00000000-0005-0000-0000-00004F610000}"/>
    <cellStyle name="Comma 10 3 4 5 2" xfId="30526" xr:uid="{00000000-0005-0000-0000-000050610000}"/>
    <cellStyle name="Comma 10 3 4 5 3" xfId="30527" xr:uid="{00000000-0005-0000-0000-000051610000}"/>
    <cellStyle name="Comma 10 3 4 6" xfId="30528" xr:uid="{00000000-0005-0000-0000-000052610000}"/>
    <cellStyle name="Comma 10 3 4 6 2" xfId="30529" xr:uid="{00000000-0005-0000-0000-000053610000}"/>
    <cellStyle name="Comma 10 3 4 6 3" xfId="30530" xr:uid="{00000000-0005-0000-0000-000054610000}"/>
    <cellStyle name="Comma 10 3 4 7" xfId="30531" xr:uid="{00000000-0005-0000-0000-000055610000}"/>
    <cellStyle name="Comma 10 3 4 7 2" xfId="30532" xr:uid="{00000000-0005-0000-0000-000056610000}"/>
    <cellStyle name="Comma 10 3 4 8" xfId="30533" xr:uid="{00000000-0005-0000-0000-000057610000}"/>
    <cellStyle name="Comma 10 3 4 9" xfId="30534" xr:uid="{00000000-0005-0000-0000-000058610000}"/>
    <cellStyle name="Comma 10 3 5" xfId="3219" xr:uid="{00000000-0005-0000-0000-000059610000}"/>
    <cellStyle name="Comma 10 3 5 2" xfId="30535" xr:uid="{00000000-0005-0000-0000-00005A610000}"/>
    <cellStyle name="Comma 10 3 5 2 2" xfId="30536" xr:uid="{00000000-0005-0000-0000-00005B610000}"/>
    <cellStyle name="Comma 10 3 5 2 2 2" xfId="30537" xr:uid="{00000000-0005-0000-0000-00005C610000}"/>
    <cellStyle name="Comma 10 3 5 2 2 3" xfId="30538" xr:uid="{00000000-0005-0000-0000-00005D610000}"/>
    <cellStyle name="Comma 10 3 5 2 3" xfId="30539" xr:uid="{00000000-0005-0000-0000-00005E610000}"/>
    <cellStyle name="Comma 10 3 5 2 3 2" xfId="30540" xr:uid="{00000000-0005-0000-0000-00005F610000}"/>
    <cellStyle name="Comma 10 3 5 2 3 3" xfId="30541" xr:uid="{00000000-0005-0000-0000-000060610000}"/>
    <cellStyle name="Comma 10 3 5 2 4" xfId="30542" xr:uid="{00000000-0005-0000-0000-000061610000}"/>
    <cellStyle name="Comma 10 3 5 2 4 2" xfId="30543" xr:uid="{00000000-0005-0000-0000-000062610000}"/>
    <cellStyle name="Comma 10 3 5 2 5" xfId="30544" xr:uid="{00000000-0005-0000-0000-000063610000}"/>
    <cellStyle name="Comma 10 3 5 2 6" xfId="30545" xr:uid="{00000000-0005-0000-0000-000064610000}"/>
    <cellStyle name="Comma 10 3 5 3" xfId="30546" xr:uid="{00000000-0005-0000-0000-000065610000}"/>
    <cellStyle name="Comma 10 3 5 3 2" xfId="30547" xr:uid="{00000000-0005-0000-0000-000066610000}"/>
    <cellStyle name="Comma 10 3 5 3 2 2" xfId="30548" xr:uid="{00000000-0005-0000-0000-000067610000}"/>
    <cellStyle name="Comma 10 3 5 3 2 3" xfId="30549" xr:uid="{00000000-0005-0000-0000-000068610000}"/>
    <cellStyle name="Comma 10 3 5 3 3" xfId="30550" xr:uid="{00000000-0005-0000-0000-000069610000}"/>
    <cellStyle name="Comma 10 3 5 3 3 2" xfId="30551" xr:uid="{00000000-0005-0000-0000-00006A610000}"/>
    <cellStyle name="Comma 10 3 5 3 3 3" xfId="30552" xr:uid="{00000000-0005-0000-0000-00006B610000}"/>
    <cellStyle name="Comma 10 3 5 3 4" xfId="30553" xr:uid="{00000000-0005-0000-0000-00006C610000}"/>
    <cellStyle name="Comma 10 3 5 3 4 2" xfId="30554" xr:uid="{00000000-0005-0000-0000-00006D610000}"/>
    <cellStyle name="Comma 10 3 5 3 5" xfId="30555" xr:uid="{00000000-0005-0000-0000-00006E610000}"/>
    <cellStyle name="Comma 10 3 5 3 6" xfId="30556" xr:uid="{00000000-0005-0000-0000-00006F610000}"/>
    <cellStyle name="Comma 10 3 5 4" xfId="30557" xr:uid="{00000000-0005-0000-0000-000070610000}"/>
    <cellStyle name="Comma 10 3 5 4 2" xfId="30558" xr:uid="{00000000-0005-0000-0000-000071610000}"/>
    <cellStyle name="Comma 10 3 5 4 2 2" xfId="30559" xr:uid="{00000000-0005-0000-0000-000072610000}"/>
    <cellStyle name="Comma 10 3 5 4 2 3" xfId="30560" xr:uid="{00000000-0005-0000-0000-000073610000}"/>
    <cellStyle name="Comma 10 3 5 4 3" xfId="30561" xr:uid="{00000000-0005-0000-0000-000074610000}"/>
    <cellStyle name="Comma 10 3 5 4 3 2" xfId="30562" xr:uid="{00000000-0005-0000-0000-000075610000}"/>
    <cellStyle name="Comma 10 3 5 4 4" xfId="30563" xr:uid="{00000000-0005-0000-0000-000076610000}"/>
    <cellStyle name="Comma 10 3 5 4 5" xfId="30564" xr:uid="{00000000-0005-0000-0000-000077610000}"/>
    <cellStyle name="Comma 10 3 5 5" xfId="30565" xr:uid="{00000000-0005-0000-0000-000078610000}"/>
    <cellStyle name="Comma 10 3 5 5 2" xfId="30566" xr:uid="{00000000-0005-0000-0000-000079610000}"/>
    <cellStyle name="Comma 10 3 5 5 3" xfId="30567" xr:uid="{00000000-0005-0000-0000-00007A610000}"/>
    <cellStyle name="Comma 10 3 5 6" xfId="30568" xr:uid="{00000000-0005-0000-0000-00007B610000}"/>
    <cellStyle name="Comma 10 3 5 6 2" xfId="30569" xr:uid="{00000000-0005-0000-0000-00007C610000}"/>
    <cellStyle name="Comma 10 3 5 6 3" xfId="30570" xr:uid="{00000000-0005-0000-0000-00007D610000}"/>
    <cellStyle name="Comma 10 3 5 7" xfId="30571" xr:uid="{00000000-0005-0000-0000-00007E610000}"/>
    <cellStyle name="Comma 10 3 5 7 2" xfId="30572" xr:uid="{00000000-0005-0000-0000-00007F610000}"/>
    <cellStyle name="Comma 10 3 5 8" xfId="30573" xr:uid="{00000000-0005-0000-0000-000080610000}"/>
    <cellStyle name="Comma 10 3 5 9" xfId="30574" xr:uid="{00000000-0005-0000-0000-000081610000}"/>
    <cellStyle name="Comma 10 3 6" xfId="30575" xr:uid="{00000000-0005-0000-0000-000082610000}"/>
    <cellStyle name="Comma 10 3 6 2" xfId="30576" xr:uid="{00000000-0005-0000-0000-000083610000}"/>
    <cellStyle name="Comma 10 3 6 2 2" xfId="30577" xr:uid="{00000000-0005-0000-0000-000084610000}"/>
    <cellStyle name="Comma 10 3 6 2 3" xfId="30578" xr:uid="{00000000-0005-0000-0000-000085610000}"/>
    <cellStyle name="Comma 10 3 6 3" xfId="30579" xr:uid="{00000000-0005-0000-0000-000086610000}"/>
    <cellStyle name="Comma 10 3 6 3 2" xfId="30580" xr:uid="{00000000-0005-0000-0000-000087610000}"/>
    <cellStyle name="Comma 10 3 6 3 3" xfId="30581" xr:uid="{00000000-0005-0000-0000-000088610000}"/>
    <cellStyle name="Comma 10 3 6 4" xfId="30582" xr:uid="{00000000-0005-0000-0000-000089610000}"/>
    <cellStyle name="Comma 10 3 6 4 2" xfId="30583" xr:uid="{00000000-0005-0000-0000-00008A610000}"/>
    <cellStyle name="Comma 10 3 6 5" xfId="30584" xr:uid="{00000000-0005-0000-0000-00008B610000}"/>
    <cellStyle name="Comma 10 3 6 6" xfId="30585" xr:uid="{00000000-0005-0000-0000-00008C610000}"/>
    <cellStyle name="Comma 10 3 7" xfId="30586" xr:uid="{00000000-0005-0000-0000-00008D610000}"/>
    <cellStyle name="Comma 10 3 7 2" xfId="30587" xr:uid="{00000000-0005-0000-0000-00008E610000}"/>
    <cellStyle name="Comma 10 3 7 2 2" xfId="30588" xr:uid="{00000000-0005-0000-0000-00008F610000}"/>
    <cellStyle name="Comma 10 3 7 2 3" xfId="30589" xr:uid="{00000000-0005-0000-0000-000090610000}"/>
    <cellStyle name="Comma 10 3 7 3" xfId="30590" xr:uid="{00000000-0005-0000-0000-000091610000}"/>
    <cellStyle name="Comma 10 3 7 3 2" xfId="30591" xr:uid="{00000000-0005-0000-0000-000092610000}"/>
    <cellStyle name="Comma 10 3 7 3 3" xfId="30592" xr:uid="{00000000-0005-0000-0000-000093610000}"/>
    <cellStyle name="Comma 10 3 7 4" xfId="30593" xr:uid="{00000000-0005-0000-0000-000094610000}"/>
    <cellStyle name="Comma 10 3 7 4 2" xfId="30594" xr:uid="{00000000-0005-0000-0000-000095610000}"/>
    <cellStyle name="Comma 10 3 7 5" xfId="30595" xr:uid="{00000000-0005-0000-0000-000096610000}"/>
    <cellStyle name="Comma 10 3 7 6" xfId="30596" xr:uid="{00000000-0005-0000-0000-000097610000}"/>
    <cellStyle name="Comma 10 3 8" xfId="30597" xr:uid="{00000000-0005-0000-0000-000098610000}"/>
    <cellStyle name="Comma 10 3 8 2" xfId="30598" xr:uid="{00000000-0005-0000-0000-000099610000}"/>
    <cellStyle name="Comma 10 3 8 2 2" xfId="30599" xr:uid="{00000000-0005-0000-0000-00009A610000}"/>
    <cellStyle name="Comma 10 3 8 2 3" xfId="30600" xr:uid="{00000000-0005-0000-0000-00009B610000}"/>
    <cellStyle name="Comma 10 3 8 3" xfId="30601" xr:uid="{00000000-0005-0000-0000-00009C610000}"/>
    <cellStyle name="Comma 10 3 8 3 2" xfId="30602" xr:uid="{00000000-0005-0000-0000-00009D610000}"/>
    <cellStyle name="Comma 10 3 8 4" xfId="30603" xr:uid="{00000000-0005-0000-0000-00009E610000}"/>
    <cellStyle name="Comma 10 3 8 5" xfId="30604" xr:uid="{00000000-0005-0000-0000-00009F610000}"/>
    <cellStyle name="Comma 10 3 9" xfId="30605" xr:uid="{00000000-0005-0000-0000-0000A0610000}"/>
    <cellStyle name="Comma 10 3 9 2" xfId="30606" xr:uid="{00000000-0005-0000-0000-0000A1610000}"/>
    <cellStyle name="Comma 10 3 9 3" xfId="30607" xr:uid="{00000000-0005-0000-0000-0000A2610000}"/>
    <cellStyle name="Comma 10 4" xfId="3220" xr:uid="{00000000-0005-0000-0000-0000A3610000}"/>
    <cellStyle name="Comma 10 4 10" xfId="30608" xr:uid="{00000000-0005-0000-0000-0000A4610000}"/>
    <cellStyle name="Comma 10 4 10 2" xfId="30609" xr:uid="{00000000-0005-0000-0000-0000A5610000}"/>
    <cellStyle name="Comma 10 4 11" xfId="30610" xr:uid="{00000000-0005-0000-0000-0000A6610000}"/>
    <cellStyle name="Comma 10 4 12" xfId="30611" xr:uid="{00000000-0005-0000-0000-0000A7610000}"/>
    <cellStyle name="Comma 10 4 2" xfId="3221" xr:uid="{00000000-0005-0000-0000-0000A8610000}"/>
    <cellStyle name="Comma 10 4 2 10" xfId="30612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613" xr:uid="{00000000-0005-0000-0000-0000AC610000}"/>
    <cellStyle name="Comma 10 4 2 2 2 2 2" xfId="30614" xr:uid="{00000000-0005-0000-0000-0000AD610000}"/>
    <cellStyle name="Comma 10 4 2 2 2 2 3" xfId="30615" xr:uid="{00000000-0005-0000-0000-0000AE610000}"/>
    <cellStyle name="Comma 10 4 2 2 2 3" xfId="30616" xr:uid="{00000000-0005-0000-0000-0000AF610000}"/>
    <cellStyle name="Comma 10 4 2 2 2 3 2" xfId="30617" xr:uid="{00000000-0005-0000-0000-0000B0610000}"/>
    <cellStyle name="Comma 10 4 2 2 2 3 3" xfId="30618" xr:uid="{00000000-0005-0000-0000-0000B1610000}"/>
    <cellStyle name="Comma 10 4 2 2 2 4" xfId="30619" xr:uid="{00000000-0005-0000-0000-0000B2610000}"/>
    <cellStyle name="Comma 10 4 2 2 2 4 2" xfId="30620" xr:uid="{00000000-0005-0000-0000-0000B3610000}"/>
    <cellStyle name="Comma 10 4 2 2 2 5" xfId="30621" xr:uid="{00000000-0005-0000-0000-0000B4610000}"/>
    <cellStyle name="Comma 10 4 2 2 2 6" xfId="30622" xr:uid="{00000000-0005-0000-0000-0000B5610000}"/>
    <cellStyle name="Comma 10 4 2 2 3" xfId="30623" xr:uid="{00000000-0005-0000-0000-0000B6610000}"/>
    <cellStyle name="Comma 10 4 2 2 3 2" xfId="30624" xr:uid="{00000000-0005-0000-0000-0000B7610000}"/>
    <cellStyle name="Comma 10 4 2 2 3 2 2" xfId="30625" xr:uid="{00000000-0005-0000-0000-0000B8610000}"/>
    <cellStyle name="Comma 10 4 2 2 3 2 3" xfId="30626" xr:uid="{00000000-0005-0000-0000-0000B9610000}"/>
    <cellStyle name="Comma 10 4 2 2 3 3" xfId="30627" xr:uid="{00000000-0005-0000-0000-0000BA610000}"/>
    <cellStyle name="Comma 10 4 2 2 3 3 2" xfId="30628" xr:uid="{00000000-0005-0000-0000-0000BB610000}"/>
    <cellStyle name="Comma 10 4 2 2 3 3 3" xfId="30629" xr:uid="{00000000-0005-0000-0000-0000BC610000}"/>
    <cellStyle name="Comma 10 4 2 2 3 4" xfId="30630" xr:uid="{00000000-0005-0000-0000-0000BD610000}"/>
    <cellStyle name="Comma 10 4 2 2 3 4 2" xfId="30631" xr:uid="{00000000-0005-0000-0000-0000BE610000}"/>
    <cellStyle name="Comma 10 4 2 2 3 5" xfId="30632" xr:uid="{00000000-0005-0000-0000-0000BF610000}"/>
    <cellStyle name="Comma 10 4 2 2 3 6" xfId="30633" xr:uid="{00000000-0005-0000-0000-0000C0610000}"/>
    <cellStyle name="Comma 10 4 2 2 4" xfId="30634" xr:uid="{00000000-0005-0000-0000-0000C1610000}"/>
    <cellStyle name="Comma 10 4 2 2 4 2" xfId="30635" xr:uid="{00000000-0005-0000-0000-0000C2610000}"/>
    <cellStyle name="Comma 10 4 2 2 4 2 2" xfId="30636" xr:uid="{00000000-0005-0000-0000-0000C3610000}"/>
    <cellStyle name="Comma 10 4 2 2 4 2 3" xfId="30637" xr:uid="{00000000-0005-0000-0000-0000C4610000}"/>
    <cellStyle name="Comma 10 4 2 2 4 3" xfId="30638" xr:uid="{00000000-0005-0000-0000-0000C5610000}"/>
    <cellStyle name="Comma 10 4 2 2 4 3 2" xfId="30639" xr:uid="{00000000-0005-0000-0000-0000C6610000}"/>
    <cellStyle name="Comma 10 4 2 2 4 4" xfId="30640" xr:uid="{00000000-0005-0000-0000-0000C7610000}"/>
    <cellStyle name="Comma 10 4 2 2 4 5" xfId="30641" xr:uid="{00000000-0005-0000-0000-0000C8610000}"/>
    <cellStyle name="Comma 10 4 2 2 5" xfId="30642" xr:uid="{00000000-0005-0000-0000-0000C9610000}"/>
    <cellStyle name="Comma 10 4 2 2 5 2" xfId="30643" xr:uid="{00000000-0005-0000-0000-0000CA610000}"/>
    <cellStyle name="Comma 10 4 2 2 5 3" xfId="30644" xr:uid="{00000000-0005-0000-0000-0000CB610000}"/>
    <cellStyle name="Comma 10 4 2 2 6" xfId="30645" xr:uid="{00000000-0005-0000-0000-0000CC610000}"/>
    <cellStyle name="Comma 10 4 2 2 6 2" xfId="30646" xr:uid="{00000000-0005-0000-0000-0000CD610000}"/>
    <cellStyle name="Comma 10 4 2 2 6 3" xfId="30647" xr:uid="{00000000-0005-0000-0000-0000CE610000}"/>
    <cellStyle name="Comma 10 4 2 2 7" xfId="30648" xr:uid="{00000000-0005-0000-0000-0000CF610000}"/>
    <cellStyle name="Comma 10 4 2 2 7 2" xfId="30649" xr:uid="{00000000-0005-0000-0000-0000D0610000}"/>
    <cellStyle name="Comma 10 4 2 2 8" xfId="30650" xr:uid="{00000000-0005-0000-0000-0000D1610000}"/>
    <cellStyle name="Comma 10 4 2 2 9" xfId="30651" xr:uid="{00000000-0005-0000-0000-0000D2610000}"/>
    <cellStyle name="Comma 10 4 2 3" xfId="3224" xr:uid="{00000000-0005-0000-0000-0000D3610000}"/>
    <cellStyle name="Comma 10 4 2 3 2" xfId="30652" xr:uid="{00000000-0005-0000-0000-0000D4610000}"/>
    <cellStyle name="Comma 10 4 2 3 2 2" xfId="30653" xr:uid="{00000000-0005-0000-0000-0000D5610000}"/>
    <cellStyle name="Comma 10 4 2 3 2 3" xfId="30654" xr:uid="{00000000-0005-0000-0000-0000D6610000}"/>
    <cellStyle name="Comma 10 4 2 3 3" xfId="30655" xr:uid="{00000000-0005-0000-0000-0000D7610000}"/>
    <cellStyle name="Comma 10 4 2 3 3 2" xfId="30656" xr:uid="{00000000-0005-0000-0000-0000D8610000}"/>
    <cellStyle name="Comma 10 4 2 3 3 3" xfId="30657" xr:uid="{00000000-0005-0000-0000-0000D9610000}"/>
    <cellStyle name="Comma 10 4 2 3 4" xfId="30658" xr:uid="{00000000-0005-0000-0000-0000DA610000}"/>
    <cellStyle name="Comma 10 4 2 3 4 2" xfId="30659" xr:uid="{00000000-0005-0000-0000-0000DB610000}"/>
    <cellStyle name="Comma 10 4 2 3 5" xfId="30660" xr:uid="{00000000-0005-0000-0000-0000DC610000}"/>
    <cellStyle name="Comma 10 4 2 3 6" xfId="30661" xr:uid="{00000000-0005-0000-0000-0000DD610000}"/>
    <cellStyle name="Comma 10 4 2 4" xfId="30662" xr:uid="{00000000-0005-0000-0000-0000DE610000}"/>
    <cellStyle name="Comma 10 4 2 4 2" xfId="30663" xr:uid="{00000000-0005-0000-0000-0000DF610000}"/>
    <cellStyle name="Comma 10 4 2 4 2 2" xfId="30664" xr:uid="{00000000-0005-0000-0000-0000E0610000}"/>
    <cellStyle name="Comma 10 4 2 4 2 3" xfId="30665" xr:uid="{00000000-0005-0000-0000-0000E1610000}"/>
    <cellStyle name="Comma 10 4 2 4 3" xfId="30666" xr:uid="{00000000-0005-0000-0000-0000E2610000}"/>
    <cellStyle name="Comma 10 4 2 4 3 2" xfId="30667" xr:uid="{00000000-0005-0000-0000-0000E3610000}"/>
    <cellStyle name="Comma 10 4 2 4 3 3" xfId="30668" xr:uid="{00000000-0005-0000-0000-0000E4610000}"/>
    <cellStyle name="Comma 10 4 2 4 4" xfId="30669" xr:uid="{00000000-0005-0000-0000-0000E5610000}"/>
    <cellStyle name="Comma 10 4 2 4 4 2" xfId="30670" xr:uid="{00000000-0005-0000-0000-0000E6610000}"/>
    <cellStyle name="Comma 10 4 2 4 5" xfId="30671" xr:uid="{00000000-0005-0000-0000-0000E7610000}"/>
    <cellStyle name="Comma 10 4 2 4 6" xfId="30672" xr:uid="{00000000-0005-0000-0000-0000E8610000}"/>
    <cellStyle name="Comma 10 4 2 5" xfId="30673" xr:uid="{00000000-0005-0000-0000-0000E9610000}"/>
    <cellStyle name="Comma 10 4 2 5 2" xfId="30674" xr:uid="{00000000-0005-0000-0000-0000EA610000}"/>
    <cellStyle name="Comma 10 4 2 5 2 2" xfId="30675" xr:uid="{00000000-0005-0000-0000-0000EB610000}"/>
    <cellStyle name="Comma 10 4 2 5 2 3" xfId="30676" xr:uid="{00000000-0005-0000-0000-0000EC610000}"/>
    <cellStyle name="Comma 10 4 2 5 3" xfId="30677" xr:uid="{00000000-0005-0000-0000-0000ED610000}"/>
    <cellStyle name="Comma 10 4 2 5 3 2" xfId="30678" xr:uid="{00000000-0005-0000-0000-0000EE610000}"/>
    <cellStyle name="Comma 10 4 2 5 4" xfId="30679" xr:uid="{00000000-0005-0000-0000-0000EF610000}"/>
    <cellStyle name="Comma 10 4 2 5 5" xfId="30680" xr:uid="{00000000-0005-0000-0000-0000F0610000}"/>
    <cellStyle name="Comma 10 4 2 6" xfId="30681" xr:uid="{00000000-0005-0000-0000-0000F1610000}"/>
    <cellStyle name="Comma 10 4 2 6 2" xfId="30682" xr:uid="{00000000-0005-0000-0000-0000F2610000}"/>
    <cellStyle name="Comma 10 4 2 6 3" xfId="30683" xr:uid="{00000000-0005-0000-0000-0000F3610000}"/>
    <cellStyle name="Comma 10 4 2 7" xfId="30684" xr:uid="{00000000-0005-0000-0000-0000F4610000}"/>
    <cellStyle name="Comma 10 4 2 7 2" xfId="30685" xr:uid="{00000000-0005-0000-0000-0000F5610000}"/>
    <cellStyle name="Comma 10 4 2 7 3" xfId="30686" xr:uid="{00000000-0005-0000-0000-0000F6610000}"/>
    <cellStyle name="Comma 10 4 2 8" xfId="30687" xr:uid="{00000000-0005-0000-0000-0000F7610000}"/>
    <cellStyle name="Comma 10 4 2 8 2" xfId="30688" xr:uid="{00000000-0005-0000-0000-0000F8610000}"/>
    <cellStyle name="Comma 10 4 2 9" xfId="30689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690" xr:uid="{00000000-0005-0000-0000-0000FC610000}"/>
    <cellStyle name="Comma 10 4 3 2 2 2" xfId="30691" xr:uid="{00000000-0005-0000-0000-0000FD610000}"/>
    <cellStyle name="Comma 10 4 3 2 2 3" xfId="30692" xr:uid="{00000000-0005-0000-0000-0000FE610000}"/>
    <cellStyle name="Comma 10 4 3 2 3" xfId="30693" xr:uid="{00000000-0005-0000-0000-0000FF610000}"/>
    <cellStyle name="Comma 10 4 3 2 3 2" xfId="30694" xr:uid="{00000000-0005-0000-0000-000000620000}"/>
    <cellStyle name="Comma 10 4 3 2 3 3" xfId="30695" xr:uid="{00000000-0005-0000-0000-000001620000}"/>
    <cellStyle name="Comma 10 4 3 2 4" xfId="30696" xr:uid="{00000000-0005-0000-0000-000002620000}"/>
    <cellStyle name="Comma 10 4 3 2 4 2" xfId="30697" xr:uid="{00000000-0005-0000-0000-000003620000}"/>
    <cellStyle name="Comma 10 4 3 2 5" xfId="30698" xr:uid="{00000000-0005-0000-0000-000004620000}"/>
    <cellStyle name="Comma 10 4 3 2 6" xfId="30699" xr:uid="{00000000-0005-0000-0000-000005620000}"/>
    <cellStyle name="Comma 10 4 3 3" xfId="30700" xr:uid="{00000000-0005-0000-0000-000006620000}"/>
    <cellStyle name="Comma 10 4 3 3 2" xfId="30701" xr:uid="{00000000-0005-0000-0000-000007620000}"/>
    <cellStyle name="Comma 10 4 3 3 2 2" xfId="30702" xr:uid="{00000000-0005-0000-0000-000008620000}"/>
    <cellStyle name="Comma 10 4 3 3 2 3" xfId="30703" xr:uid="{00000000-0005-0000-0000-000009620000}"/>
    <cellStyle name="Comma 10 4 3 3 3" xfId="30704" xr:uid="{00000000-0005-0000-0000-00000A620000}"/>
    <cellStyle name="Comma 10 4 3 3 3 2" xfId="30705" xr:uid="{00000000-0005-0000-0000-00000B620000}"/>
    <cellStyle name="Comma 10 4 3 3 3 3" xfId="30706" xr:uid="{00000000-0005-0000-0000-00000C620000}"/>
    <cellStyle name="Comma 10 4 3 3 4" xfId="30707" xr:uid="{00000000-0005-0000-0000-00000D620000}"/>
    <cellStyle name="Comma 10 4 3 3 4 2" xfId="30708" xr:uid="{00000000-0005-0000-0000-00000E620000}"/>
    <cellStyle name="Comma 10 4 3 3 5" xfId="30709" xr:uid="{00000000-0005-0000-0000-00000F620000}"/>
    <cellStyle name="Comma 10 4 3 3 6" xfId="30710" xr:uid="{00000000-0005-0000-0000-000010620000}"/>
    <cellStyle name="Comma 10 4 3 4" xfId="30711" xr:uid="{00000000-0005-0000-0000-000011620000}"/>
    <cellStyle name="Comma 10 4 3 4 2" xfId="30712" xr:uid="{00000000-0005-0000-0000-000012620000}"/>
    <cellStyle name="Comma 10 4 3 4 2 2" xfId="30713" xr:uid="{00000000-0005-0000-0000-000013620000}"/>
    <cellStyle name="Comma 10 4 3 4 2 3" xfId="30714" xr:uid="{00000000-0005-0000-0000-000014620000}"/>
    <cellStyle name="Comma 10 4 3 4 3" xfId="30715" xr:uid="{00000000-0005-0000-0000-000015620000}"/>
    <cellStyle name="Comma 10 4 3 4 3 2" xfId="30716" xr:uid="{00000000-0005-0000-0000-000016620000}"/>
    <cellStyle name="Comma 10 4 3 4 4" xfId="30717" xr:uid="{00000000-0005-0000-0000-000017620000}"/>
    <cellStyle name="Comma 10 4 3 4 5" xfId="30718" xr:uid="{00000000-0005-0000-0000-000018620000}"/>
    <cellStyle name="Comma 10 4 3 5" xfId="30719" xr:uid="{00000000-0005-0000-0000-000019620000}"/>
    <cellStyle name="Comma 10 4 3 5 2" xfId="30720" xr:uid="{00000000-0005-0000-0000-00001A620000}"/>
    <cellStyle name="Comma 10 4 3 5 3" xfId="30721" xr:uid="{00000000-0005-0000-0000-00001B620000}"/>
    <cellStyle name="Comma 10 4 3 6" xfId="30722" xr:uid="{00000000-0005-0000-0000-00001C620000}"/>
    <cellStyle name="Comma 10 4 3 6 2" xfId="30723" xr:uid="{00000000-0005-0000-0000-00001D620000}"/>
    <cellStyle name="Comma 10 4 3 6 3" xfId="30724" xr:uid="{00000000-0005-0000-0000-00001E620000}"/>
    <cellStyle name="Comma 10 4 3 7" xfId="30725" xr:uid="{00000000-0005-0000-0000-00001F620000}"/>
    <cellStyle name="Comma 10 4 3 7 2" xfId="30726" xr:uid="{00000000-0005-0000-0000-000020620000}"/>
    <cellStyle name="Comma 10 4 3 8" xfId="30727" xr:uid="{00000000-0005-0000-0000-000021620000}"/>
    <cellStyle name="Comma 10 4 3 9" xfId="30728" xr:uid="{00000000-0005-0000-0000-000022620000}"/>
    <cellStyle name="Comma 10 4 4" xfId="3227" xr:uid="{00000000-0005-0000-0000-000023620000}"/>
    <cellStyle name="Comma 10 4 4 2" xfId="30729" xr:uid="{00000000-0005-0000-0000-000024620000}"/>
    <cellStyle name="Comma 10 4 4 2 2" xfId="30730" xr:uid="{00000000-0005-0000-0000-000025620000}"/>
    <cellStyle name="Comma 10 4 4 2 2 2" xfId="30731" xr:uid="{00000000-0005-0000-0000-000026620000}"/>
    <cellStyle name="Comma 10 4 4 2 2 3" xfId="30732" xr:uid="{00000000-0005-0000-0000-000027620000}"/>
    <cellStyle name="Comma 10 4 4 2 3" xfId="30733" xr:uid="{00000000-0005-0000-0000-000028620000}"/>
    <cellStyle name="Comma 10 4 4 2 3 2" xfId="30734" xr:uid="{00000000-0005-0000-0000-000029620000}"/>
    <cellStyle name="Comma 10 4 4 2 3 3" xfId="30735" xr:uid="{00000000-0005-0000-0000-00002A620000}"/>
    <cellStyle name="Comma 10 4 4 2 4" xfId="30736" xr:uid="{00000000-0005-0000-0000-00002B620000}"/>
    <cellStyle name="Comma 10 4 4 2 4 2" xfId="30737" xr:uid="{00000000-0005-0000-0000-00002C620000}"/>
    <cellStyle name="Comma 10 4 4 2 5" xfId="30738" xr:uid="{00000000-0005-0000-0000-00002D620000}"/>
    <cellStyle name="Comma 10 4 4 2 6" xfId="30739" xr:uid="{00000000-0005-0000-0000-00002E620000}"/>
    <cellStyle name="Comma 10 4 4 3" xfId="30740" xr:uid="{00000000-0005-0000-0000-00002F620000}"/>
    <cellStyle name="Comma 10 4 4 3 2" xfId="30741" xr:uid="{00000000-0005-0000-0000-000030620000}"/>
    <cellStyle name="Comma 10 4 4 3 2 2" xfId="30742" xr:uid="{00000000-0005-0000-0000-000031620000}"/>
    <cellStyle name="Comma 10 4 4 3 2 3" xfId="30743" xr:uid="{00000000-0005-0000-0000-000032620000}"/>
    <cellStyle name="Comma 10 4 4 3 3" xfId="30744" xr:uid="{00000000-0005-0000-0000-000033620000}"/>
    <cellStyle name="Comma 10 4 4 3 3 2" xfId="30745" xr:uid="{00000000-0005-0000-0000-000034620000}"/>
    <cellStyle name="Comma 10 4 4 3 3 3" xfId="30746" xr:uid="{00000000-0005-0000-0000-000035620000}"/>
    <cellStyle name="Comma 10 4 4 3 4" xfId="30747" xr:uid="{00000000-0005-0000-0000-000036620000}"/>
    <cellStyle name="Comma 10 4 4 3 4 2" xfId="30748" xr:uid="{00000000-0005-0000-0000-000037620000}"/>
    <cellStyle name="Comma 10 4 4 3 5" xfId="30749" xr:uid="{00000000-0005-0000-0000-000038620000}"/>
    <cellStyle name="Comma 10 4 4 3 6" xfId="30750" xr:uid="{00000000-0005-0000-0000-000039620000}"/>
    <cellStyle name="Comma 10 4 4 4" xfId="30751" xr:uid="{00000000-0005-0000-0000-00003A620000}"/>
    <cellStyle name="Comma 10 4 4 4 2" xfId="30752" xr:uid="{00000000-0005-0000-0000-00003B620000}"/>
    <cellStyle name="Comma 10 4 4 4 2 2" xfId="30753" xr:uid="{00000000-0005-0000-0000-00003C620000}"/>
    <cellStyle name="Comma 10 4 4 4 2 3" xfId="30754" xr:uid="{00000000-0005-0000-0000-00003D620000}"/>
    <cellStyle name="Comma 10 4 4 4 3" xfId="30755" xr:uid="{00000000-0005-0000-0000-00003E620000}"/>
    <cellStyle name="Comma 10 4 4 4 3 2" xfId="30756" xr:uid="{00000000-0005-0000-0000-00003F620000}"/>
    <cellStyle name="Comma 10 4 4 4 4" xfId="30757" xr:uid="{00000000-0005-0000-0000-000040620000}"/>
    <cellStyle name="Comma 10 4 4 4 5" xfId="30758" xr:uid="{00000000-0005-0000-0000-000041620000}"/>
    <cellStyle name="Comma 10 4 4 5" xfId="30759" xr:uid="{00000000-0005-0000-0000-000042620000}"/>
    <cellStyle name="Comma 10 4 4 5 2" xfId="30760" xr:uid="{00000000-0005-0000-0000-000043620000}"/>
    <cellStyle name="Comma 10 4 4 5 3" xfId="30761" xr:uid="{00000000-0005-0000-0000-000044620000}"/>
    <cellStyle name="Comma 10 4 4 6" xfId="30762" xr:uid="{00000000-0005-0000-0000-000045620000}"/>
    <cellStyle name="Comma 10 4 4 6 2" xfId="30763" xr:uid="{00000000-0005-0000-0000-000046620000}"/>
    <cellStyle name="Comma 10 4 4 6 3" xfId="30764" xr:uid="{00000000-0005-0000-0000-000047620000}"/>
    <cellStyle name="Comma 10 4 4 7" xfId="30765" xr:uid="{00000000-0005-0000-0000-000048620000}"/>
    <cellStyle name="Comma 10 4 4 7 2" xfId="30766" xr:uid="{00000000-0005-0000-0000-000049620000}"/>
    <cellStyle name="Comma 10 4 4 8" xfId="30767" xr:uid="{00000000-0005-0000-0000-00004A620000}"/>
    <cellStyle name="Comma 10 4 4 9" xfId="30768" xr:uid="{00000000-0005-0000-0000-00004B620000}"/>
    <cellStyle name="Comma 10 4 5" xfId="30769" xr:uid="{00000000-0005-0000-0000-00004C620000}"/>
    <cellStyle name="Comma 10 4 5 2" xfId="30770" xr:uid="{00000000-0005-0000-0000-00004D620000}"/>
    <cellStyle name="Comma 10 4 5 2 2" xfId="30771" xr:uid="{00000000-0005-0000-0000-00004E620000}"/>
    <cellStyle name="Comma 10 4 5 2 3" xfId="30772" xr:uid="{00000000-0005-0000-0000-00004F620000}"/>
    <cellStyle name="Comma 10 4 5 3" xfId="30773" xr:uid="{00000000-0005-0000-0000-000050620000}"/>
    <cellStyle name="Comma 10 4 5 3 2" xfId="30774" xr:uid="{00000000-0005-0000-0000-000051620000}"/>
    <cellStyle name="Comma 10 4 5 3 3" xfId="30775" xr:uid="{00000000-0005-0000-0000-000052620000}"/>
    <cellStyle name="Comma 10 4 5 4" xfId="30776" xr:uid="{00000000-0005-0000-0000-000053620000}"/>
    <cellStyle name="Comma 10 4 5 4 2" xfId="30777" xr:uid="{00000000-0005-0000-0000-000054620000}"/>
    <cellStyle name="Comma 10 4 5 5" xfId="30778" xr:uid="{00000000-0005-0000-0000-000055620000}"/>
    <cellStyle name="Comma 10 4 5 6" xfId="30779" xr:uid="{00000000-0005-0000-0000-000056620000}"/>
    <cellStyle name="Comma 10 4 6" xfId="30780" xr:uid="{00000000-0005-0000-0000-000057620000}"/>
    <cellStyle name="Comma 10 4 6 2" xfId="30781" xr:uid="{00000000-0005-0000-0000-000058620000}"/>
    <cellStyle name="Comma 10 4 6 2 2" xfId="30782" xr:uid="{00000000-0005-0000-0000-000059620000}"/>
    <cellStyle name="Comma 10 4 6 2 3" xfId="30783" xr:uid="{00000000-0005-0000-0000-00005A620000}"/>
    <cellStyle name="Comma 10 4 6 3" xfId="30784" xr:uid="{00000000-0005-0000-0000-00005B620000}"/>
    <cellStyle name="Comma 10 4 6 3 2" xfId="30785" xr:uid="{00000000-0005-0000-0000-00005C620000}"/>
    <cellStyle name="Comma 10 4 6 3 3" xfId="30786" xr:uid="{00000000-0005-0000-0000-00005D620000}"/>
    <cellStyle name="Comma 10 4 6 4" xfId="30787" xr:uid="{00000000-0005-0000-0000-00005E620000}"/>
    <cellStyle name="Comma 10 4 6 4 2" xfId="30788" xr:uid="{00000000-0005-0000-0000-00005F620000}"/>
    <cellStyle name="Comma 10 4 6 5" xfId="30789" xr:uid="{00000000-0005-0000-0000-000060620000}"/>
    <cellStyle name="Comma 10 4 6 6" xfId="30790" xr:uid="{00000000-0005-0000-0000-000061620000}"/>
    <cellStyle name="Comma 10 4 7" xfId="30791" xr:uid="{00000000-0005-0000-0000-000062620000}"/>
    <cellStyle name="Comma 10 4 7 2" xfId="30792" xr:uid="{00000000-0005-0000-0000-000063620000}"/>
    <cellStyle name="Comma 10 4 7 2 2" xfId="30793" xr:uid="{00000000-0005-0000-0000-000064620000}"/>
    <cellStyle name="Comma 10 4 7 2 3" xfId="30794" xr:uid="{00000000-0005-0000-0000-000065620000}"/>
    <cellStyle name="Comma 10 4 7 3" xfId="30795" xr:uid="{00000000-0005-0000-0000-000066620000}"/>
    <cellStyle name="Comma 10 4 7 3 2" xfId="30796" xr:uid="{00000000-0005-0000-0000-000067620000}"/>
    <cellStyle name="Comma 10 4 7 4" xfId="30797" xr:uid="{00000000-0005-0000-0000-000068620000}"/>
    <cellStyle name="Comma 10 4 7 5" xfId="30798" xr:uid="{00000000-0005-0000-0000-000069620000}"/>
    <cellStyle name="Comma 10 4 8" xfId="30799" xr:uid="{00000000-0005-0000-0000-00006A620000}"/>
    <cellStyle name="Comma 10 4 8 2" xfId="30800" xr:uid="{00000000-0005-0000-0000-00006B620000}"/>
    <cellStyle name="Comma 10 4 8 3" xfId="30801" xr:uid="{00000000-0005-0000-0000-00006C620000}"/>
    <cellStyle name="Comma 10 4 9" xfId="30802" xr:uid="{00000000-0005-0000-0000-00006D620000}"/>
    <cellStyle name="Comma 10 4 9 2" xfId="30803" xr:uid="{00000000-0005-0000-0000-00006E620000}"/>
    <cellStyle name="Comma 10 4 9 3" xfId="30804" xr:uid="{00000000-0005-0000-0000-00006F620000}"/>
    <cellStyle name="Comma 10 5" xfId="3228" xr:uid="{00000000-0005-0000-0000-000070620000}"/>
    <cellStyle name="Comma 10 5 10" xfId="30805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806" xr:uid="{00000000-0005-0000-0000-000074620000}"/>
    <cellStyle name="Comma 10 5 2 2 2 2" xfId="30807" xr:uid="{00000000-0005-0000-0000-000075620000}"/>
    <cellStyle name="Comma 10 5 2 2 2 3" xfId="30808" xr:uid="{00000000-0005-0000-0000-000076620000}"/>
    <cellStyle name="Comma 10 5 2 2 3" xfId="30809" xr:uid="{00000000-0005-0000-0000-000077620000}"/>
    <cellStyle name="Comma 10 5 2 2 3 2" xfId="30810" xr:uid="{00000000-0005-0000-0000-000078620000}"/>
    <cellStyle name="Comma 10 5 2 2 3 3" xfId="30811" xr:uid="{00000000-0005-0000-0000-000079620000}"/>
    <cellStyle name="Comma 10 5 2 2 4" xfId="30812" xr:uid="{00000000-0005-0000-0000-00007A620000}"/>
    <cellStyle name="Comma 10 5 2 2 4 2" xfId="30813" xr:uid="{00000000-0005-0000-0000-00007B620000}"/>
    <cellStyle name="Comma 10 5 2 2 5" xfId="30814" xr:uid="{00000000-0005-0000-0000-00007C620000}"/>
    <cellStyle name="Comma 10 5 2 2 6" xfId="30815" xr:uid="{00000000-0005-0000-0000-00007D620000}"/>
    <cellStyle name="Comma 10 5 2 3" xfId="30816" xr:uid="{00000000-0005-0000-0000-00007E620000}"/>
    <cellStyle name="Comma 10 5 2 3 2" xfId="30817" xr:uid="{00000000-0005-0000-0000-00007F620000}"/>
    <cellStyle name="Comma 10 5 2 3 2 2" xfId="30818" xr:uid="{00000000-0005-0000-0000-000080620000}"/>
    <cellStyle name="Comma 10 5 2 3 2 3" xfId="30819" xr:uid="{00000000-0005-0000-0000-000081620000}"/>
    <cellStyle name="Comma 10 5 2 3 3" xfId="30820" xr:uid="{00000000-0005-0000-0000-000082620000}"/>
    <cellStyle name="Comma 10 5 2 3 3 2" xfId="30821" xr:uid="{00000000-0005-0000-0000-000083620000}"/>
    <cellStyle name="Comma 10 5 2 3 3 3" xfId="30822" xr:uid="{00000000-0005-0000-0000-000084620000}"/>
    <cellStyle name="Comma 10 5 2 3 4" xfId="30823" xr:uid="{00000000-0005-0000-0000-000085620000}"/>
    <cellStyle name="Comma 10 5 2 3 4 2" xfId="30824" xr:uid="{00000000-0005-0000-0000-000086620000}"/>
    <cellStyle name="Comma 10 5 2 3 5" xfId="30825" xr:uid="{00000000-0005-0000-0000-000087620000}"/>
    <cellStyle name="Comma 10 5 2 3 6" xfId="30826" xr:uid="{00000000-0005-0000-0000-000088620000}"/>
    <cellStyle name="Comma 10 5 2 4" xfId="30827" xr:uid="{00000000-0005-0000-0000-000089620000}"/>
    <cellStyle name="Comma 10 5 2 4 2" xfId="30828" xr:uid="{00000000-0005-0000-0000-00008A620000}"/>
    <cellStyle name="Comma 10 5 2 4 2 2" xfId="30829" xr:uid="{00000000-0005-0000-0000-00008B620000}"/>
    <cellStyle name="Comma 10 5 2 4 2 3" xfId="30830" xr:uid="{00000000-0005-0000-0000-00008C620000}"/>
    <cellStyle name="Comma 10 5 2 4 3" xfId="30831" xr:uid="{00000000-0005-0000-0000-00008D620000}"/>
    <cellStyle name="Comma 10 5 2 4 3 2" xfId="30832" xr:uid="{00000000-0005-0000-0000-00008E620000}"/>
    <cellStyle name="Comma 10 5 2 4 4" xfId="30833" xr:uid="{00000000-0005-0000-0000-00008F620000}"/>
    <cellStyle name="Comma 10 5 2 4 5" xfId="30834" xr:uid="{00000000-0005-0000-0000-000090620000}"/>
    <cellStyle name="Comma 10 5 2 5" xfId="30835" xr:uid="{00000000-0005-0000-0000-000091620000}"/>
    <cellStyle name="Comma 10 5 2 5 2" xfId="30836" xr:uid="{00000000-0005-0000-0000-000092620000}"/>
    <cellStyle name="Comma 10 5 2 5 3" xfId="30837" xr:uid="{00000000-0005-0000-0000-000093620000}"/>
    <cellStyle name="Comma 10 5 2 6" xfId="30838" xr:uid="{00000000-0005-0000-0000-000094620000}"/>
    <cellStyle name="Comma 10 5 2 6 2" xfId="30839" xr:uid="{00000000-0005-0000-0000-000095620000}"/>
    <cellStyle name="Comma 10 5 2 6 3" xfId="30840" xr:uid="{00000000-0005-0000-0000-000096620000}"/>
    <cellStyle name="Comma 10 5 2 7" xfId="30841" xr:uid="{00000000-0005-0000-0000-000097620000}"/>
    <cellStyle name="Comma 10 5 2 7 2" xfId="30842" xr:uid="{00000000-0005-0000-0000-000098620000}"/>
    <cellStyle name="Comma 10 5 2 8" xfId="30843" xr:uid="{00000000-0005-0000-0000-000099620000}"/>
    <cellStyle name="Comma 10 5 2 9" xfId="30844" xr:uid="{00000000-0005-0000-0000-00009A620000}"/>
    <cellStyle name="Comma 10 5 3" xfId="3231" xr:uid="{00000000-0005-0000-0000-00009B620000}"/>
    <cellStyle name="Comma 10 5 3 2" xfId="30845" xr:uid="{00000000-0005-0000-0000-00009C620000}"/>
    <cellStyle name="Comma 10 5 3 2 2" xfId="30846" xr:uid="{00000000-0005-0000-0000-00009D620000}"/>
    <cellStyle name="Comma 10 5 3 2 3" xfId="30847" xr:uid="{00000000-0005-0000-0000-00009E620000}"/>
    <cellStyle name="Comma 10 5 3 3" xfId="30848" xr:uid="{00000000-0005-0000-0000-00009F620000}"/>
    <cellStyle name="Comma 10 5 3 3 2" xfId="30849" xr:uid="{00000000-0005-0000-0000-0000A0620000}"/>
    <cellStyle name="Comma 10 5 3 3 3" xfId="30850" xr:uid="{00000000-0005-0000-0000-0000A1620000}"/>
    <cellStyle name="Comma 10 5 3 4" xfId="30851" xr:uid="{00000000-0005-0000-0000-0000A2620000}"/>
    <cellStyle name="Comma 10 5 3 4 2" xfId="30852" xr:uid="{00000000-0005-0000-0000-0000A3620000}"/>
    <cellStyle name="Comma 10 5 3 5" xfId="30853" xr:uid="{00000000-0005-0000-0000-0000A4620000}"/>
    <cellStyle name="Comma 10 5 3 6" xfId="30854" xr:uid="{00000000-0005-0000-0000-0000A5620000}"/>
    <cellStyle name="Comma 10 5 4" xfId="30855" xr:uid="{00000000-0005-0000-0000-0000A6620000}"/>
    <cellStyle name="Comma 10 5 4 2" xfId="30856" xr:uid="{00000000-0005-0000-0000-0000A7620000}"/>
    <cellStyle name="Comma 10 5 4 2 2" xfId="30857" xr:uid="{00000000-0005-0000-0000-0000A8620000}"/>
    <cellStyle name="Comma 10 5 4 2 3" xfId="30858" xr:uid="{00000000-0005-0000-0000-0000A9620000}"/>
    <cellStyle name="Comma 10 5 4 3" xfId="30859" xr:uid="{00000000-0005-0000-0000-0000AA620000}"/>
    <cellStyle name="Comma 10 5 4 3 2" xfId="30860" xr:uid="{00000000-0005-0000-0000-0000AB620000}"/>
    <cellStyle name="Comma 10 5 4 3 3" xfId="30861" xr:uid="{00000000-0005-0000-0000-0000AC620000}"/>
    <cellStyle name="Comma 10 5 4 4" xfId="30862" xr:uid="{00000000-0005-0000-0000-0000AD620000}"/>
    <cellStyle name="Comma 10 5 4 4 2" xfId="30863" xr:uid="{00000000-0005-0000-0000-0000AE620000}"/>
    <cellStyle name="Comma 10 5 4 5" xfId="30864" xr:uid="{00000000-0005-0000-0000-0000AF620000}"/>
    <cellStyle name="Comma 10 5 4 6" xfId="30865" xr:uid="{00000000-0005-0000-0000-0000B0620000}"/>
    <cellStyle name="Comma 10 5 5" xfId="30866" xr:uid="{00000000-0005-0000-0000-0000B1620000}"/>
    <cellStyle name="Comma 10 5 5 2" xfId="30867" xr:uid="{00000000-0005-0000-0000-0000B2620000}"/>
    <cellStyle name="Comma 10 5 5 2 2" xfId="30868" xr:uid="{00000000-0005-0000-0000-0000B3620000}"/>
    <cellStyle name="Comma 10 5 5 2 3" xfId="30869" xr:uid="{00000000-0005-0000-0000-0000B4620000}"/>
    <cellStyle name="Comma 10 5 5 3" xfId="30870" xr:uid="{00000000-0005-0000-0000-0000B5620000}"/>
    <cellStyle name="Comma 10 5 5 3 2" xfId="30871" xr:uid="{00000000-0005-0000-0000-0000B6620000}"/>
    <cellStyle name="Comma 10 5 5 4" xfId="30872" xr:uid="{00000000-0005-0000-0000-0000B7620000}"/>
    <cellStyle name="Comma 10 5 5 5" xfId="30873" xr:uid="{00000000-0005-0000-0000-0000B8620000}"/>
    <cellStyle name="Comma 10 5 6" xfId="30874" xr:uid="{00000000-0005-0000-0000-0000B9620000}"/>
    <cellStyle name="Comma 10 5 6 2" xfId="30875" xr:uid="{00000000-0005-0000-0000-0000BA620000}"/>
    <cellStyle name="Comma 10 5 6 3" xfId="30876" xr:uid="{00000000-0005-0000-0000-0000BB620000}"/>
    <cellStyle name="Comma 10 5 7" xfId="30877" xr:uid="{00000000-0005-0000-0000-0000BC620000}"/>
    <cellStyle name="Comma 10 5 7 2" xfId="30878" xr:uid="{00000000-0005-0000-0000-0000BD620000}"/>
    <cellStyle name="Comma 10 5 7 3" xfId="30879" xr:uid="{00000000-0005-0000-0000-0000BE620000}"/>
    <cellStyle name="Comma 10 5 8" xfId="30880" xr:uid="{00000000-0005-0000-0000-0000BF620000}"/>
    <cellStyle name="Comma 10 5 8 2" xfId="30881" xr:uid="{00000000-0005-0000-0000-0000C0620000}"/>
    <cellStyle name="Comma 10 5 9" xfId="30882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883" xr:uid="{00000000-0005-0000-0000-0000C4620000}"/>
    <cellStyle name="Comma 10 6 2 2 2" xfId="30884" xr:uid="{00000000-0005-0000-0000-0000C5620000}"/>
    <cellStyle name="Comma 10 6 2 2 3" xfId="30885" xr:uid="{00000000-0005-0000-0000-0000C6620000}"/>
    <cellStyle name="Comma 10 6 2 3" xfId="30886" xr:uid="{00000000-0005-0000-0000-0000C7620000}"/>
    <cellStyle name="Comma 10 6 2 3 2" xfId="30887" xr:uid="{00000000-0005-0000-0000-0000C8620000}"/>
    <cellStyle name="Comma 10 6 2 3 3" xfId="30888" xr:uid="{00000000-0005-0000-0000-0000C9620000}"/>
    <cellStyle name="Comma 10 6 2 4" xfId="30889" xr:uid="{00000000-0005-0000-0000-0000CA620000}"/>
    <cellStyle name="Comma 10 6 2 4 2" xfId="30890" xr:uid="{00000000-0005-0000-0000-0000CB620000}"/>
    <cellStyle name="Comma 10 6 2 5" xfId="30891" xr:uid="{00000000-0005-0000-0000-0000CC620000}"/>
    <cellStyle name="Comma 10 6 2 6" xfId="30892" xr:uid="{00000000-0005-0000-0000-0000CD620000}"/>
    <cellStyle name="Comma 10 6 3" xfId="30893" xr:uid="{00000000-0005-0000-0000-0000CE620000}"/>
    <cellStyle name="Comma 10 6 3 2" xfId="30894" xr:uid="{00000000-0005-0000-0000-0000CF620000}"/>
    <cellStyle name="Comma 10 6 3 2 2" xfId="30895" xr:uid="{00000000-0005-0000-0000-0000D0620000}"/>
    <cellStyle name="Comma 10 6 3 2 3" xfId="30896" xr:uid="{00000000-0005-0000-0000-0000D1620000}"/>
    <cellStyle name="Comma 10 6 3 3" xfId="30897" xr:uid="{00000000-0005-0000-0000-0000D2620000}"/>
    <cellStyle name="Comma 10 6 3 3 2" xfId="30898" xr:uid="{00000000-0005-0000-0000-0000D3620000}"/>
    <cellStyle name="Comma 10 6 3 3 3" xfId="30899" xr:uid="{00000000-0005-0000-0000-0000D4620000}"/>
    <cellStyle name="Comma 10 6 3 4" xfId="30900" xr:uid="{00000000-0005-0000-0000-0000D5620000}"/>
    <cellStyle name="Comma 10 6 3 4 2" xfId="30901" xr:uid="{00000000-0005-0000-0000-0000D6620000}"/>
    <cellStyle name="Comma 10 6 3 5" xfId="30902" xr:uid="{00000000-0005-0000-0000-0000D7620000}"/>
    <cellStyle name="Comma 10 6 3 6" xfId="30903" xr:uid="{00000000-0005-0000-0000-0000D8620000}"/>
    <cellStyle name="Comma 10 6 4" xfId="30904" xr:uid="{00000000-0005-0000-0000-0000D9620000}"/>
    <cellStyle name="Comma 10 6 4 2" xfId="30905" xr:uid="{00000000-0005-0000-0000-0000DA620000}"/>
    <cellStyle name="Comma 10 6 4 2 2" xfId="30906" xr:uid="{00000000-0005-0000-0000-0000DB620000}"/>
    <cellStyle name="Comma 10 6 4 2 3" xfId="30907" xr:uid="{00000000-0005-0000-0000-0000DC620000}"/>
    <cellStyle name="Comma 10 6 4 3" xfId="30908" xr:uid="{00000000-0005-0000-0000-0000DD620000}"/>
    <cellStyle name="Comma 10 6 4 3 2" xfId="30909" xr:uid="{00000000-0005-0000-0000-0000DE620000}"/>
    <cellStyle name="Comma 10 6 4 4" xfId="30910" xr:uid="{00000000-0005-0000-0000-0000DF620000}"/>
    <cellStyle name="Comma 10 6 4 5" xfId="30911" xr:uid="{00000000-0005-0000-0000-0000E0620000}"/>
    <cellStyle name="Comma 10 6 5" xfId="30912" xr:uid="{00000000-0005-0000-0000-0000E1620000}"/>
    <cellStyle name="Comma 10 6 5 2" xfId="30913" xr:uid="{00000000-0005-0000-0000-0000E2620000}"/>
    <cellStyle name="Comma 10 6 5 3" xfId="30914" xr:uid="{00000000-0005-0000-0000-0000E3620000}"/>
    <cellStyle name="Comma 10 6 6" xfId="30915" xr:uid="{00000000-0005-0000-0000-0000E4620000}"/>
    <cellStyle name="Comma 10 6 6 2" xfId="30916" xr:uid="{00000000-0005-0000-0000-0000E5620000}"/>
    <cellStyle name="Comma 10 6 6 3" xfId="30917" xr:uid="{00000000-0005-0000-0000-0000E6620000}"/>
    <cellStyle name="Comma 10 6 7" xfId="30918" xr:uid="{00000000-0005-0000-0000-0000E7620000}"/>
    <cellStyle name="Comma 10 6 7 2" xfId="30919" xr:uid="{00000000-0005-0000-0000-0000E8620000}"/>
    <cellStyle name="Comma 10 6 8" xfId="30920" xr:uid="{00000000-0005-0000-0000-0000E9620000}"/>
    <cellStyle name="Comma 10 6 9" xfId="30921" xr:uid="{00000000-0005-0000-0000-0000EA620000}"/>
    <cellStyle name="Comma 10 7" xfId="3234" xr:uid="{00000000-0005-0000-0000-0000EB620000}"/>
    <cellStyle name="Comma 10 7 2" xfId="30922" xr:uid="{00000000-0005-0000-0000-0000EC620000}"/>
    <cellStyle name="Comma 10 7 2 2" xfId="30923" xr:uid="{00000000-0005-0000-0000-0000ED620000}"/>
    <cellStyle name="Comma 10 7 2 2 2" xfId="30924" xr:uid="{00000000-0005-0000-0000-0000EE620000}"/>
    <cellStyle name="Comma 10 7 2 2 3" xfId="30925" xr:uid="{00000000-0005-0000-0000-0000EF620000}"/>
    <cellStyle name="Comma 10 7 2 3" xfId="30926" xr:uid="{00000000-0005-0000-0000-0000F0620000}"/>
    <cellStyle name="Comma 10 7 2 3 2" xfId="30927" xr:uid="{00000000-0005-0000-0000-0000F1620000}"/>
    <cellStyle name="Comma 10 7 2 3 3" xfId="30928" xr:uid="{00000000-0005-0000-0000-0000F2620000}"/>
    <cellStyle name="Comma 10 7 2 4" xfId="30929" xr:uid="{00000000-0005-0000-0000-0000F3620000}"/>
    <cellStyle name="Comma 10 7 2 4 2" xfId="30930" xr:uid="{00000000-0005-0000-0000-0000F4620000}"/>
    <cellStyle name="Comma 10 7 2 5" xfId="30931" xr:uid="{00000000-0005-0000-0000-0000F5620000}"/>
    <cellStyle name="Comma 10 7 2 6" xfId="30932" xr:uid="{00000000-0005-0000-0000-0000F6620000}"/>
    <cellStyle name="Comma 10 7 3" xfId="30933" xr:uid="{00000000-0005-0000-0000-0000F7620000}"/>
    <cellStyle name="Comma 10 7 3 2" xfId="30934" xr:uid="{00000000-0005-0000-0000-0000F8620000}"/>
    <cellStyle name="Comma 10 7 3 2 2" xfId="30935" xr:uid="{00000000-0005-0000-0000-0000F9620000}"/>
    <cellStyle name="Comma 10 7 3 2 3" xfId="30936" xr:uid="{00000000-0005-0000-0000-0000FA620000}"/>
    <cellStyle name="Comma 10 7 3 3" xfId="30937" xr:uid="{00000000-0005-0000-0000-0000FB620000}"/>
    <cellStyle name="Comma 10 7 3 3 2" xfId="30938" xr:uid="{00000000-0005-0000-0000-0000FC620000}"/>
    <cellStyle name="Comma 10 7 3 3 3" xfId="30939" xr:uid="{00000000-0005-0000-0000-0000FD620000}"/>
    <cellStyle name="Comma 10 7 3 4" xfId="30940" xr:uid="{00000000-0005-0000-0000-0000FE620000}"/>
    <cellStyle name="Comma 10 7 3 4 2" xfId="30941" xr:uid="{00000000-0005-0000-0000-0000FF620000}"/>
    <cellStyle name="Comma 10 7 3 5" xfId="30942" xr:uid="{00000000-0005-0000-0000-000000630000}"/>
    <cellStyle name="Comma 10 7 3 6" xfId="30943" xr:uid="{00000000-0005-0000-0000-000001630000}"/>
    <cellStyle name="Comma 10 7 4" xfId="30944" xr:uid="{00000000-0005-0000-0000-000002630000}"/>
    <cellStyle name="Comma 10 7 4 2" xfId="30945" xr:uid="{00000000-0005-0000-0000-000003630000}"/>
    <cellStyle name="Comma 10 7 4 2 2" xfId="30946" xr:uid="{00000000-0005-0000-0000-000004630000}"/>
    <cellStyle name="Comma 10 7 4 2 3" xfId="30947" xr:uid="{00000000-0005-0000-0000-000005630000}"/>
    <cellStyle name="Comma 10 7 4 3" xfId="30948" xr:uid="{00000000-0005-0000-0000-000006630000}"/>
    <cellStyle name="Comma 10 7 4 3 2" xfId="30949" xr:uid="{00000000-0005-0000-0000-000007630000}"/>
    <cellStyle name="Comma 10 7 4 4" xfId="30950" xr:uid="{00000000-0005-0000-0000-000008630000}"/>
    <cellStyle name="Comma 10 7 4 5" xfId="30951" xr:uid="{00000000-0005-0000-0000-000009630000}"/>
    <cellStyle name="Comma 10 7 5" xfId="30952" xr:uid="{00000000-0005-0000-0000-00000A630000}"/>
    <cellStyle name="Comma 10 7 5 2" xfId="30953" xr:uid="{00000000-0005-0000-0000-00000B630000}"/>
    <cellStyle name="Comma 10 7 5 3" xfId="30954" xr:uid="{00000000-0005-0000-0000-00000C630000}"/>
    <cellStyle name="Comma 10 7 6" xfId="30955" xr:uid="{00000000-0005-0000-0000-00000D630000}"/>
    <cellStyle name="Comma 10 7 6 2" xfId="30956" xr:uid="{00000000-0005-0000-0000-00000E630000}"/>
    <cellStyle name="Comma 10 7 6 3" xfId="30957" xr:uid="{00000000-0005-0000-0000-00000F630000}"/>
    <cellStyle name="Comma 10 7 7" xfId="30958" xr:uid="{00000000-0005-0000-0000-000010630000}"/>
    <cellStyle name="Comma 10 7 7 2" xfId="30959" xr:uid="{00000000-0005-0000-0000-000011630000}"/>
    <cellStyle name="Comma 10 7 8" xfId="30960" xr:uid="{00000000-0005-0000-0000-000012630000}"/>
    <cellStyle name="Comma 10 7 9" xfId="30961" xr:uid="{00000000-0005-0000-0000-000013630000}"/>
    <cellStyle name="Comma 10 8" xfId="3235" xr:uid="{00000000-0005-0000-0000-000014630000}"/>
    <cellStyle name="Comma 10 8 2" xfId="30962" xr:uid="{00000000-0005-0000-0000-000015630000}"/>
    <cellStyle name="Comma 10 8 2 2" xfId="30963" xr:uid="{00000000-0005-0000-0000-000016630000}"/>
    <cellStyle name="Comma 10 8 2 3" xfId="30964" xr:uid="{00000000-0005-0000-0000-000017630000}"/>
    <cellStyle name="Comma 10 8 3" xfId="30965" xr:uid="{00000000-0005-0000-0000-000018630000}"/>
    <cellStyle name="Comma 10 8 3 2" xfId="30966" xr:uid="{00000000-0005-0000-0000-000019630000}"/>
    <cellStyle name="Comma 10 8 3 3" xfId="30967" xr:uid="{00000000-0005-0000-0000-00001A630000}"/>
    <cellStyle name="Comma 10 8 4" xfId="30968" xr:uid="{00000000-0005-0000-0000-00001B630000}"/>
    <cellStyle name="Comma 10 8 4 2" xfId="30969" xr:uid="{00000000-0005-0000-0000-00001C630000}"/>
    <cellStyle name="Comma 10 8 5" xfId="30970" xr:uid="{00000000-0005-0000-0000-00001D630000}"/>
    <cellStyle name="Comma 10 8 6" xfId="30971" xr:uid="{00000000-0005-0000-0000-00001E630000}"/>
    <cellStyle name="Comma 10 9" xfId="3236" xr:uid="{00000000-0005-0000-0000-00001F630000}"/>
    <cellStyle name="Comma 10 9 2" xfId="30972" xr:uid="{00000000-0005-0000-0000-000020630000}"/>
    <cellStyle name="Comma 10 9 2 2" xfId="30973" xr:uid="{00000000-0005-0000-0000-000021630000}"/>
    <cellStyle name="Comma 10 9 2 3" xfId="30974" xr:uid="{00000000-0005-0000-0000-000022630000}"/>
    <cellStyle name="Comma 10 9 3" xfId="30975" xr:uid="{00000000-0005-0000-0000-000023630000}"/>
    <cellStyle name="Comma 10 9 3 2" xfId="30976" xr:uid="{00000000-0005-0000-0000-000024630000}"/>
    <cellStyle name="Comma 10 9 3 3" xfId="30977" xr:uid="{00000000-0005-0000-0000-000025630000}"/>
    <cellStyle name="Comma 10 9 4" xfId="30978" xr:uid="{00000000-0005-0000-0000-000026630000}"/>
    <cellStyle name="Comma 10 9 4 2" xfId="30979" xr:uid="{00000000-0005-0000-0000-000027630000}"/>
    <cellStyle name="Comma 10 9 5" xfId="30980" xr:uid="{00000000-0005-0000-0000-000028630000}"/>
    <cellStyle name="Comma 10 9 6" xfId="30981" xr:uid="{00000000-0005-0000-0000-000029630000}"/>
    <cellStyle name="Comma 100" xfId="8715" xr:uid="{00000000-0005-0000-0000-00002A630000}"/>
    <cellStyle name="Comma 101" xfId="8716" xr:uid="{00000000-0005-0000-0000-00002B630000}"/>
    <cellStyle name="Comma 102" xfId="8717" xr:uid="{00000000-0005-0000-0000-00002C630000}"/>
    <cellStyle name="Comma 103" xfId="8718" xr:uid="{00000000-0005-0000-0000-00002D630000}"/>
    <cellStyle name="Comma 104" xfId="8719" xr:uid="{00000000-0005-0000-0000-00002E630000}"/>
    <cellStyle name="Comma 105" xfId="8720" xr:uid="{00000000-0005-0000-0000-00002F630000}"/>
    <cellStyle name="Comma 106" xfId="8721" xr:uid="{00000000-0005-0000-0000-000030630000}"/>
    <cellStyle name="Comma 107" xfId="30982" xr:uid="{00000000-0005-0000-0000-000031630000}"/>
    <cellStyle name="Comma 108" xfId="30983" xr:uid="{00000000-0005-0000-0000-000032630000}"/>
    <cellStyle name="Comma 109" xfId="57815" xr:uid="{00000000-0005-0000-0000-000033630000}"/>
    <cellStyle name="Comma 11" xfId="3237" xr:uid="{00000000-0005-0000-0000-000034630000}"/>
    <cellStyle name="Comma 11 10" xfId="30984" xr:uid="{00000000-0005-0000-0000-000035630000}"/>
    <cellStyle name="Comma 11 10 2" xfId="30985" xr:uid="{00000000-0005-0000-0000-000036630000}"/>
    <cellStyle name="Comma 11 10 2 2" xfId="30986" xr:uid="{00000000-0005-0000-0000-000037630000}"/>
    <cellStyle name="Comma 11 10 2 3" xfId="30987" xr:uid="{00000000-0005-0000-0000-000038630000}"/>
    <cellStyle name="Comma 11 10 3" xfId="30988" xr:uid="{00000000-0005-0000-0000-000039630000}"/>
    <cellStyle name="Comma 11 10 3 2" xfId="30989" xr:uid="{00000000-0005-0000-0000-00003A630000}"/>
    <cellStyle name="Comma 11 10 4" xfId="30990" xr:uid="{00000000-0005-0000-0000-00003B630000}"/>
    <cellStyle name="Comma 11 10 5" xfId="30991" xr:uid="{00000000-0005-0000-0000-00003C630000}"/>
    <cellStyle name="Comma 11 11" xfId="30992" xr:uid="{00000000-0005-0000-0000-00003D630000}"/>
    <cellStyle name="Comma 11 11 2" xfId="30993" xr:uid="{00000000-0005-0000-0000-00003E630000}"/>
    <cellStyle name="Comma 11 11 3" xfId="30994" xr:uid="{00000000-0005-0000-0000-00003F630000}"/>
    <cellStyle name="Comma 11 12" xfId="30995" xr:uid="{00000000-0005-0000-0000-000040630000}"/>
    <cellStyle name="Comma 11 12 2" xfId="30996" xr:uid="{00000000-0005-0000-0000-000041630000}"/>
    <cellStyle name="Comma 11 12 3" xfId="30997" xr:uid="{00000000-0005-0000-0000-000042630000}"/>
    <cellStyle name="Comma 11 13" xfId="30998" xr:uid="{00000000-0005-0000-0000-000043630000}"/>
    <cellStyle name="Comma 11 13 2" xfId="30999" xr:uid="{00000000-0005-0000-0000-000044630000}"/>
    <cellStyle name="Comma 11 14" xfId="31000" xr:uid="{00000000-0005-0000-0000-000045630000}"/>
    <cellStyle name="Comma 11 15" xfId="31001" xr:uid="{00000000-0005-0000-0000-000046630000}"/>
    <cellStyle name="Comma 11 16" xfId="31002" xr:uid="{00000000-0005-0000-0000-000047630000}"/>
    <cellStyle name="Comma 11 2" xfId="8210" xr:uid="{00000000-0005-0000-0000-000048630000}"/>
    <cellStyle name="Comma 11 2 10" xfId="31003" xr:uid="{00000000-0005-0000-0000-000049630000}"/>
    <cellStyle name="Comma 11 2 10 2" xfId="31004" xr:uid="{00000000-0005-0000-0000-00004A630000}"/>
    <cellStyle name="Comma 11 2 10 3" xfId="31005" xr:uid="{00000000-0005-0000-0000-00004B630000}"/>
    <cellStyle name="Comma 11 2 11" xfId="31006" xr:uid="{00000000-0005-0000-0000-00004C630000}"/>
    <cellStyle name="Comma 11 2 11 2" xfId="31007" xr:uid="{00000000-0005-0000-0000-00004D630000}"/>
    <cellStyle name="Comma 11 2 11 3" xfId="31008" xr:uid="{00000000-0005-0000-0000-00004E630000}"/>
    <cellStyle name="Comma 11 2 12" xfId="31009" xr:uid="{00000000-0005-0000-0000-00004F630000}"/>
    <cellStyle name="Comma 11 2 12 2" xfId="31010" xr:uid="{00000000-0005-0000-0000-000050630000}"/>
    <cellStyle name="Comma 11 2 13" xfId="31011" xr:uid="{00000000-0005-0000-0000-000051630000}"/>
    <cellStyle name="Comma 11 2 14" xfId="31012" xr:uid="{00000000-0005-0000-0000-000052630000}"/>
    <cellStyle name="Comma 11 2 15" xfId="31013" xr:uid="{00000000-0005-0000-0000-000053630000}"/>
    <cellStyle name="Comma 11 2 2" xfId="8211" xr:uid="{00000000-0005-0000-0000-000054630000}"/>
    <cellStyle name="Comma 11 2 2 10" xfId="31014" xr:uid="{00000000-0005-0000-0000-000055630000}"/>
    <cellStyle name="Comma 11 2 2 10 2" xfId="31015" xr:uid="{00000000-0005-0000-0000-000056630000}"/>
    <cellStyle name="Comma 11 2 2 10 3" xfId="31016" xr:uid="{00000000-0005-0000-0000-000057630000}"/>
    <cellStyle name="Comma 11 2 2 11" xfId="31017" xr:uid="{00000000-0005-0000-0000-000058630000}"/>
    <cellStyle name="Comma 11 2 2 11 2" xfId="31018" xr:uid="{00000000-0005-0000-0000-000059630000}"/>
    <cellStyle name="Comma 11 2 2 12" xfId="31019" xr:uid="{00000000-0005-0000-0000-00005A630000}"/>
    <cellStyle name="Comma 11 2 2 13" xfId="31020" xr:uid="{00000000-0005-0000-0000-00005B630000}"/>
    <cellStyle name="Comma 11 2 2 14" xfId="31021" xr:uid="{00000000-0005-0000-0000-00005C630000}"/>
    <cellStyle name="Comma 11 2 2 2" xfId="8212" xr:uid="{00000000-0005-0000-0000-00005D630000}"/>
    <cellStyle name="Comma 11 2 2 2 10" xfId="31022" xr:uid="{00000000-0005-0000-0000-00005E630000}"/>
    <cellStyle name="Comma 11 2 2 2 10 2" xfId="31023" xr:uid="{00000000-0005-0000-0000-00005F630000}"/>
    <cellStyle name="Comma 11 2 2 2 11" xfId="31024" xr:uid="{00000000-0005-0000-0000-000060630000}"/>
    <cellStyle name="Comma 11 2 2 2 12" xfId="31025" xr:uid="{00000000-0005-0000-0000-000061630000}"/>
    <cellStyle name="Comma 11 2 2 2 13" xfId="31026" xr:uid="{00000000-0005-0000-0000-000062630000}"/>
    <cellStyle name="Comma 11 2 2 2 2" xfId="8213" xr:uid="{00000000-0005-0000-0000-000063630000}"/>
    <cellStyle name="Comma 11 2 2 2 2 10" xfId="31027" xr:uid="{00000000-0005-0000-0000-000064630000}"/>
    <cellStyle name="Comma 11 2 2 2 2 2" xfId="31028" xr:uid="{00000000-0005-0000-0000-000065630000}"/>
    <cellStyle name="Comma 11 2 2 2 2 2 2" xfId="31029" xr:uid="{00000000-0005-0000-0000-000066630000}"/>
    <cellStyle name="Comma 11 2 2 2 2 2 2 2" xfId="31030" xr:uid="{00000000-0005-0000-0000-000067630000}"/>
    <cellStyle name="Comma 11 2 2 2 2 2 2 2 2" xfId="31031" xr:uid="{00000000-0005-0000-0000-000068630000}"/>
    <cellStyle name="Comma 11 2 2 2 2 2 2 2 3" xfId="31032" xr:uid="{00000000-0005-0000-0000-000069630000}"/>
    <cellStyle name="Comma 11 2 2 2 2 2 2 3" xfId="31033" xr:uid="{00000000-0005-0000-0000-00006A630000}"/>
    <cellStyle name="Comma 11 2 2 2 2 2 2 3 2" xfId="31034" xr:uid="{00000000-0005-0000-0000-00006B630000}"/>
    <cellStyle name="Comma 11 2 2 2 2 2 2 3 3" xfId="31035" xr:uid="{00000000-0005-0000-0000-00006C630000}"/>
    <cellStyle name="Comma 11 2 2 2 2 2 2 4" xfId="31036" xr:uid="{00000000-0005-0000-0000-00006D630000}"/>
    <cellStyle name="Comma 11 2 2 2 2 2 2 4 2" xfId="31037" xr:uid="{00000000-0005-0000-0000-00006E630000}"/>
    <cellStyle name="Comma 11 2 2 2 2 2 2 5" xfId="31038" xr:uid="{00000000-0005-0000-0000-00006F630000}"/>
    <cellStyle name="Comma 11 2 2 2 2 2 2 6" xfId="31039" xr:uid="{00000000-0005-0000-0000-000070630000}"/>
    <cellStyle name="Comma 11 2 2 2 2 2 3" xfId="31040" xr:uid="{00000000-0005-0000-0000-000071630000}"/>
    <cellStyle name="Comma 11 2 2 2 2 2 3 2" xfId="31041" xr:uid="{00000000-0005-0000-0000-000072630000}"/>
    <cellStyle name="Comma 11 2 2 2 2 2 3 2 2" xfId="31042" xr:uid="{00000000-0005-0000-0000-000073630000}"/>
    <cellStyle name="Comma 11 2 2 2 2 2 3 2 3" xfId="31043" xr:uid="{00000000-0005-0000-0000-000074630000}"/>
    <cellStyle name="Comma 11 2 2 2 2 2 3 3" xfId="31044" xr:uid="{00000000-0005-0000-0000-000075630000}"/>
    <cellStyle name="Comma 11 2 2 2 2 2 3 3 2" xfId="31045" xr:uid="{00000000-0005-0000-0000-000076630000}"/>
    <cellStyle name="Comma 11 2 2 2 2 2 3 3 3" xfId="31046" xr:uid="{00000000-0005-0000-0000-000077630000}"/>
    <cellStyle name="Comma 11 2 2 2 2 2 3 4" xfId="31047" xr:uid="{00000000-0005-0000-0000-000078630000}"/>
    <cellStyle name="Comma 11 2 2 2 2 2 3 4 2" xfId="31048" xr:uid="{00000000-0005-0000-0000-000079630000}"/>
    <cellStyle name="Comma 11 2 2 2 2 2 3 5" xfId="31049" xr:uid="{00000000-0005-0000-0000-00007A630000}"/>
    <cellStyle name="Comma 11 2 2 2 2 2 3 6" xfId="31050" xr:uid="{00000000-0005-0000-0000-00007B630000}"/>
    <cellStyle name="Comma 11 2 2 2 2 2 4" xfId="31051" xr:uid="{00000000-0005-0000-0000-00007C630000}"/>
    <cellStyle name="Comma 11 2 2 2 2 2 4 2" xfId="31052" xr:uid="{00000000-0005-0000-0000-00007D630000}"/>
    <cellStyle name="Comma 11 2 2 2 2 2 4 2 2" xfId="31053" xr:uid="{00000000-0005-0000-0000-00007E630000}"/>
    <cellStyle name="Comma 11 2 2 2 2 2 4 2 3" xfId="31054" xr:uid="{00000000-0005-0000-0000-00007F630000}"/>
    <cellStyle name="Comma 11 2 2 2 2 2 4 3" xfId="31055" xr:uid="{00000000-0005-0000-0000-000080630000}"/>
    <cellStyle name="Comma 11 2 2 2 2 2 4 3 2" xfId="31056" xr:uid="{00000000-0005-0000-0000-000081630000}"/>
    <cellStyle name="Comma 11 2 2 2 2 2 4 4" xfId="31057" xr:uid="{00000000-0005-0000-0000-000082630000}"/>
    <cellStyle name="Comma 11 2 2 2 2 2 4 5" xfId="31058" xr:uid="{00000000-0005-0000-0000-000083630000}"/>
    <cellStyle name="Comma 11 2 2 2 2 2 5" xfId="31059" xr:uid="{00000000-0005-0000-0000-000084630000}"/>
    <cellStyle name="Comma 11 2 2 2 2 2 5 2" xfId="31060" xr:uid="{00000000-0005-0000-0000-000085630000}"/>
    <cellStyle name="Comma 11 2 2 2 2 2 5 3" xfId="31061" xr:uid="{00000000-0005-0000-0000-000086630000}"/>
    <cellStyle name="Comma 11 2 2 2 2 2 6" xfId="31062" xr:uid="{00000000-0005-0000-0000-000087630000}"/>
    <cellStyle name="Comma 11 2 2 2 2 2 6 2" xfId="31063" xr:uid="{00000000-0005-0000-0000-000088630000}"/>
    <cellStyle name="Comma 11 2 2 2 2 2 6 3" xfId="31064" xr:uid="{00000000-0005-0000-0000-000089630000}"/>
    <cellStyle name="Comma 11 2 2 2 2 2 7" xfId="31065" xr:uid="{00000000-0005-0000-0000-00008A630000}"/>
    <cellStyle name="Comma 11 2 2 2 2 2 7 2" xfId="31066" xr:uid="{00000000-0005-0000-0000-00008B630000}"/>
    <cellStyle name="Comma 11 2 2 2 2 2 8" xfId="31067" xr:uid="{00000000-0005-0000-0000-00008C630000}"/>
    <cellStyle name="Comma 11 2 2 2 2 2 9" xfId="31068" xr:uid="{00000000-0005-0000-0000-00008D630000}"/>
    <cellStyle name="Comma 11 2 2 2 2 3" xfId="31069" xr:uid="{00000000-0005-0000-0000-00008E630000}"/>
    <cellStyle name="Comma 11 2 2 2 2 3 2" xfId="31070" xr:uid="{00000000-0005-0000-0000-00008F630000}"/>
    <cellStyle name="Comma 11 2 2 2 2 3 2 2" xfId="31071" xr:uid="{00000000-0005-0000-0000-000090630000}"/>
    <cellStyle name="Comma 11 2 2 2 2 3 2 3" xfId="31072" xr:uid="{00000000-0005-0000-0000-000091630000}"/>
    <cellStyle name="Comma 11 2 2 2 2 3 3" xfId="31073" xr:uid="{00000000-0005-0000-0000-000092630000}"/>
    <cellStyle name="Comma 11 2 2 2 2 3 3 2" xfId="31074" xr:uid="{00000000-0005-0000-0000-000093630000}"/>
    <cellStyle name="Comma 11 2 2 2 2 3 3 3" xfId="31075" xr:uid="{00000000-0005-0000-0000-000094630000}"/>
    <cellStyle name="Comma 11 2 2 2 2 3 4" xfId="31076" xr:uid="{00000000-0005-0000-0000-000095630000}"/>
    <cellStyle name="Comma 11 2 2 2 2 3 4 2" xfId="31077" xr:uid="{00000000-0005-0000-0000-000096630000}"/>
    <cellStyle name="Comma 11 2 2 2 2 3 5" xfId="31078" xr:uid="{00000000-0005-0000-0000-000097630000}"/>
    <cellStyle name="Comma 11 2 2 2 2 3 6" xfId="31079" xr:uid="{00000000-0005-0000-0000-000098630000}"/>
    <cellStyle name="Comma 11 2 2 2 2 4" xfId="31080" xr:uid="{00000000-0005-0000-0000-000099630000}"/>
    <cellStyle name="Comma 11 2 2 2 2 4 2" xfId="31081" xr:uid="{00000000-0005-0000-0000-00009A630000}"/>
    <cellStyle name="Comma 11 2 2 2 2 4 2 2" xfId="31082" xr:uid="{00000000-0005-0000-0000-00009B630000}"/>
    <cellStyle name="Comma 11 2 2 2 2 4 2 3" xfId="31083" xr:uid="{00000000-0005-0000-0000-00009C630000}"/>
    <cellStyle name="Comma 11 2 2 2 2 4 3" xfId="31084" xr:uid="{00000000-0005-0000-0000-00009D630000}"/>
    <cellStyle name="Comma 11 2 2 2 2 4 3 2" xfId="31085" xr:uid="{00000000-0005-0000-0000-00009E630000}"/>
    <cellStyle name="Comma 11 2 2 2 2 4 3 3" xfId="31086" xr:uid="{00000000-0005-0000-0000-00009F630000}"/>
    <cellStyle name="Comma 11 2 2 2 2 4 4" xfId="31087" xr:uid="{00000000-0005-0000-0000-0000A0630000}"/>
    <cellStyle name="Comma 11 2 2 2 2 4 4 2" xfId="31088" xr:uid="{00000000-0005-0000-0000-0000A1630000}"/>
    <cellStyle name="Comma 11 2 2 2 2 4 5" xfId="31089" xr:uid="{00000000-0005-0000-0000-0000A2630000}"/>
    <cellStyle name="Comma 11 2 2 2 2 4 6" xfId="31090" xr:uid="{00000000-0005-0000-0000-0000A3630000}"/>
    <cellStyle name="Comma 11 2 2 2 2 5" xfId="31091" xr:uid="{00000000-0005-0000-0000-0000A4630000}"/>
    <cellStyle name="Comma 11 2 2 2 2 5 2" xfId="31092" xr:uid="{00000000-0005-0000-0000-0000A5630000}"/>
    <cellStyle name="Comma 11 2 2 2 2 5 2 2" xfId="31093" xr:uid="{00000000-0005-0000-0000-0000A6630000}"/>
    <cellStyle name="Comma 11 2 2 2 2 5 2 3" xfId="31094" xr:uid="{00000000-0005-0000-0000-0000A7630000}"/>
    <cellStyle name="Comma 11 2 2 2 2 5 3" xfId="31095" xr:uid="{00000000-0005-0000-0000-0000A8630000}"/>
    <cellStyle name="Comma 11 2 2 2 2 5 3 2" xfId="31096" xr:uid="{00000000-0005-0000-0000-0000A9630000}"/>
    <cellStyle name="Comma 11 2 2 2 2 5 4" xfId="31097" xr:uid="{00000000-0005-0000-0000-0000AA630000}"/>
    <cellStyle name="Comma 11 2 2 2 2 5 5" xfId="31098" xr:uid="{00000000-0005-0000-0000-0000AB630000}"/>
    <cellStyle name="Comma 11 2 2 2 2 6" xfId="31099" xr:uid="{00000000-0005-0000-0000-0000AC630000}"/>
    <cellStyle name="Comma 11 2 2 2 2 6 2" xfId="31100" xr:uid="{00000000-0005-0000-0000-0000AD630000}"/>
    <cellStyle name="Comma 11 2 2 2 2 6 3" xfId="31101" xr:uid="{00000000-0005-0000-0000-0000AE630000}"/>
    <cellStyle name="Comma 11 2 2 2 2 7" xfId="31102" xr:uid="{00000000-0005-0000-0000-0000AF630000}"/>
    <cellStyle name="Comma 11 2 2 2 2 7 2" xfId="31103" xr:uid="{00000000-0005-0000-0000-0000B0630000}"/>
    <cellStyle name="Comma 11 2 2 2 2 7 3" xfId="31104" xr:uid="{00000000-0005-0000-0000-0000B1630000}"/>
    <cellStyle name="Comma 11 2 2 2 2 8" xfId="31105" xr:uid="{00000000-0005-0000-0000-0000B2630000}"/>
    <cellStyle name="Comma 11 2 2 2 2 8 2" xfId="31106" xr:uid="{00000000-0005-0000-0000-0000B3630000}"/>
    <cellStyle name="Comma 11 2 2 2 2 9" xfId="31107" xr:uid="{00000000-0005-0000-0000-0000B4630000}"/>
    <cellStyle name="Comma 11 2 2 2 3" xfId="31108" xr:uid="{00000000-0005-0000-0000-0000B5630000}"/>
    <cellStyle name="Comma 11 2 2 2 3 2" xfId="31109" xr:uid="{00000000-0005-0000-0000-0000B6630000}"/>
    <cellStyle name="Comma 11 2 2 2 3 2 2" xfId="31110" xr:uid="{00000000-0005-0000-0000-0000B7630000}"/>
    <cellStyle name="Comma 11 2 2 2 3 2 2 2" xfId="31111" xr:uid="{00000000-0005-0000-0000-0000B8630000}"/>
    <cellStyle name="Comma 11 2 2 2 3 2 2 3" xfId="31112" xr:uid="{00000000-0005-0000-0000-0000B9630000}"/>
    <cellStyle name="Comma 11 2 2 2 3 2 3" xfId="31113" xr:uid="{00000000-0005-0000-0000-0000BA630000}"/>
    <cellStyle name="Comma 11 2 2 2 3 2 3 2" xfId="31114" xr:uid="{00000000-0005-0000-0000-0000BB630000}"/>
    <cellStyle name="Comma 11 2 2 2 3 2 3 3" xfId="31115" xr:uid="{00000000-0005-0000-0000-0000BC630000}"/>
    <cellStyle name="Comma 11 2 2 2 3 2 4" xfId="31116" xr:uid="{00000000-0005-0000-0000-0000BD630000}"/>
    <cellStyle name="Comma 11 2 2 2 3 2 4 2" xfId="31117" xr:uid="{00000000-0005-0000-0000-0000BE630000}"/>
    <cellStyle name="Comma 11 2 2 2 3 2 5" xfId="31118" xr:uid="{00000000-0005-0000-0000-0000BF630000}"/>
    <cellStyle name="Comma 11 2 2 2 3 2 6" xfId="31119" xr:uid="{00000000-0005-0000-0000-0000C0630000}"/>
    <cellStyle name="Comma 11 2 2 2 3 3" xfId="31120" xr:uid="{00000000-0005-0000-0000-0000C1630000}"/>
    <cellStyle name="Comma 11 2 2 2 3 3 2" xfId="31121" xr:uid="{00000000-0005-0000-0000-0000C2630000}"/>
    <cellStyle name="Comma 11 2 2 2 3 3 2 2" xfId="31122" xr:uid="{00000000-0005-0000-0000-0000C3630000}"/>
    <cellStyle name="Comma 11 2 2 2 3 3 2 3" xfId="31123" xr:uid="{00000000-0005-0000-0000-0000C4630000}"/>
    <cellStyle name="Comma 11 2 2 2 3 3 3" xfId="31124" xr:uid="{00000000-0005-0000-0000-0000C5630000}"/>
    <cellStyle name="Comma 11 2 2 2 3 3 3 2" xfId="31125" xr:uid="{00000000-0005-0000-0000-0000C6630000}"/>
    <cellStyle name="Comma 11 2 2 2 3 3 3 3" xfId="31126" xr:uid="{00000000-0005-0000-0000-0000C7630000}"/>
    <cellStyle name="Comma 11 2 2 2 3 3 4" xfId="31127" xr:uid="{00000000-0005-0000-0000-0000C8630000}"/>
    <cellStyle name="Comma 11 2 2 2 3 3 4 2" xfId="31128" xr:uid="{00000000-0005-0000-0000-0000C9630000}"/>
    <cellStyle name="Comma 11 2 2 2 3 3 5" xfId="31129" xr:uid="{00000000-0005-0000-0000-0000CA630000}"/>
    <cellStyle name="Comma 11 2 2 2 3 3 6" xfId="31130" xr:uid="{00000000-0005-0000-0000-0000CB630000}"/>
    <cellStyle name="Comma 11 2 2 2 3 4" xfId="31131" xr:uid="{00000000-0005-0000-0000-0000CC630000}"/>
    <cellStyle name="Comma 11 2 2 2 3 4 2" xfId="31132" xr:uid="{00000000-0005-0000-0000-0000CD630000}"/>
    <cellStyle name="Comma 11 2 2 2 3 4 2 2" xfId="31133" xr:uid="{00000000-0005-0000-0000-0000CE630000}"/>
    <cellStyle name="Comma 11 2 2 2 3 4 2 3" xfId="31134" xr:uid="{00000000-0005-0000-0000-0000CF630000}"/>
    <cellStyle name="Comma 11 2 2 2 3 4 3" xfId="31135" xr:uid="{00000000-0005-0000-0000-0000D0630000}"/>
    <cellStyle name="Comma 11 2 2 2 3 4 3 2" xfId="31136" xr:uid="{00000000-0005-0000-0000-0000D1630000}"/>
    <cellStyle name="Comma 11 2 2 2 3 4 4" xfId="31137" xr:uid="{00000000-0005-0000-0000-0000D2630000}"/>
    <cellStyle name="Comma 11 2 2 2 3 4 5" xfId="31138" xr:uid="{00000000-0005-0000-0000-0000D3630000}"/>
    <cellStyle name="Comma 11 2 2 2 3 5" xfId="31139" xr:uid="{00000000-0005-0000-0000-0000D4630000}"/>
    <cellStyle name="Comma 11 2 2 2 3 5 2" xfId="31140" xr:uid="{00000000-0005-0000-0000-0000D5630000}"/>
    <cellStyle name="Comma 11 2 2 2 3 5 3" xfId="31141" xr:uid="{00000000-0005-0000-0000-0000D6630000}"/>
    <cellStyle name="Comma 11 2 2 2 3 6" xfId="31142" xr:uid="{00000000-0005-0000-0000-0000D7630000}"/>
    <cellStyle name="Comma 11 2 2 2 3 6 2" xfId="31143" xr:uid="{00000000-0005-0000-0000-0000D8630000}"/>
    <cellStyle name="Comma 11 2 2 2 3 6 3" xfId="31144" xr:uid="{00000000-0005-0000-0000-0000D9630000}"/>
    <cellStyle name="Comma 11 2 2 2 3 7" xfId="31145" xr:uid="{00000000-0005-0000-0000-0000DA630000}"/>
    <cellStyle name="Comma 11 2 2 2 3 7 2" xfId="31146" xr:uid="{00000000-0005-0000-0000-0000DB630000}"/>
    <cellStyle name="Comma 11 2 2 2 3 8" xfId="31147" xr:uid="{00000000-0005-0000-0000-0000DC630000}"/>
    <cellStyle name="Comma 11 2 2 2 3 9" xfId="31148" xr:uid="{00000000-0005-0000-0000-0000DD630000}"/>
    <cellStyle name="Comma 11 2 2 2 4" xfId="31149" xr:uid="{00000000-0005-0000-0000-0000DE630000}"/>
    <cellStyle name="Comma 11 2 2 2 4 2" xfId="31150" xr:uid="{00000000-0005-0000-0000-0000DF630000}"/>
    <cellStyle name="Comma 11 2 2 2 4 2 2" xfId="31151" xr:uid="{00000000-0005-0000-0000-0000E0630000}"/>
    <cellStyle name="Comma 11 2 2 2 4 2 2 2" xfId="31152" xr:uid="{00000000-0005-0000-0000-0000E1630000}"/>
    <cellStyle name="Comma 11 2 2 2 4 2 2 3" xfId="31153" xr:uid="{00000000-0005-0000-0000-0000E2630000}"/>
    <cellStyle name="Comma 11 2 2 2 4 2 3" xfId="31154" xr:uid="{00000000-0005-0000-0000-0000E3630000}"/>
    <cellStyle name="Comma 11 2 2 2 4 2 3 2" xfId="31155" xr:uid="{00000000-0005-0000-0000-0000E4630000}"/>
    <cellStyle name="Comma 11 2 2 2 4 2 3 3" xfId="31156" xr:uid="{00000000-0005-0000-0000-0000E5630000}"/>
    <cellStyle name="Comma 11 2 2 2 4 2 4" xfId="31157" xr:uid="{00000000-0005-0000-0000-0000E6630000}"/>
    <cellStyle name="Comma 11 2 2 2 4 2 4 2" xfId="31158" xr:uid="{00000000-0005-0000-0000-0000E7630000}"/>
    <cellStyle name="Comma 11 2 2 2 4 2 5" xfId="31159" xr:uid="{00000000-0005-0000-0000-0000E8630000}"/>
    <cellStyle name="Comma 11 2 2 2 4 2 6" xfId="31160" xr:uid="{00000000-0005-0000-0000-0000E9630000}"/>
    <cellStyle name="Comma 11 2 2 2 4 3" xfId="31161" xr:uid="{00000000-0005-0000-0000-0000EA630000}"/>
    <cellStyle name="Comma 11 2 2 2 4 3 2" xfId="31162" xr:uid="{00000000-0005-0000-0000-0000EB630000}"/>
    <cellStyle name="Comma 11 2 2 2 4 3 2 2" xfId="31163" xr:uid="{00000000-0005-0000-0000-0000EC630000}"/>
    <cellStyle name="Comma 11 2 2 2 4 3 2 3" xfId="31164" xr:uid="{00000000-0005-0000-0000-0000ED630000}"/>
    <cellStyle name="Comma 11 2 2 2 4 3 3" xfId="31165" xr:uid="{00000000-0005-0000-0000-0000EE630000}"/>
    <cellStyle name="Comma 11 2 2 2 4 3 3 2" xfId="31166" xr:uid="{00000000-0005-0000-0000-0000EF630000}"/>
    <cellStyle name="Comma 11 2 2 2 4 3 3 3" xfId="31167" xr:uid="{00000000-0005-0000-0000-0000F0630000}"/>
    <cellStyle name="Comma 11 2 2 2 4 3 4" xfId="31168" xr:uid="{00000000-0005-0000-0000-0000F1630000}"/>
    <cellStyle name="Comma 11 2 2 2 4 3 4 2" xfId="31169" xr:uid="{00000000-0005-0000-0000-0000F2630000}"/>
    <cellStyle name="Comma 11 2 2 2 4 3 5" xfId="31170" xr:uid="{00000000-0005-0000-0000-0000F3630000}"/>
    <cellStyle name="Comma 11 2 2 2 4 3 6" xfId="31171" xr:uid="{00000000-0005-0000-0000-0000F4630000}"/>
    <cellStyle name="Comma 11 2 2 2 4 4" xfId="31172" xr:uid="{00000000-0005-0000-0000-0000F5630000}"/>
    <cellStyle name="Comma 11 2 2 2 4 4 2" xfId="31173" xr:uid="{00000000-0005-0000-0000-0000F6630000}"/>
    <cellStyle name="Comma 11 2 2 2 4 4 2 2" xfId="31174" xr:uid="{00000000-0005-0000-0000-0000F7630000}"/>
    <cellStyle name="Comma 11 2 2 2 4 4 2 3" xfId="31175" xr:uid="{00000000-0005-0000-0000-0000F8630000}"/>
    <cellStyle name="Comma 11 2 2 2 4 4 3" xfId="31176" xr:uid="{00000000-0005-0000-0000-0000F9630000}"/>
    <cellStyle name="Comma 11 2 2 2 4 4 3 2" xfId="31177" xr:uid="{00000000-0005-0000-0000-0000FA630000}"/>
    <cellStyle name="Comma 11 2 2 2 4 4 4" xfId="31178" xr:uid="{00000000-0005-0000-0000-0000FB630000}"/>
    <cellStyle name="Comma 11 2 2 2 4 4 5" xfId="31179" xr:uid="{00000000-0005-0000-0000-0000FC630000}"/>
    <cellStyle name="Comma 11 2 2 2 4 5" xfId="31180" xr:uid="{00000000-0005-0000-0000-0000FD630000}"/>
    <cellStyle name="Comma 11 2 2 2 4 5 2" xfId="31181" xr:uid="{00000000-0005-0000-0000-0000FE630000}"/>
    <cellStyle name="Comma 11 2 2 2 4 5 3" xfId="31182" xr:uid="{00000000-0005-0000-0000-0000FF630000}"/>
    <cellStyle name="Comma 11 2 2 2 4 6" xfId="31183" xr:uid="{00000000-0005-0000-0000-000000640000}"/>
    <cellStyle name="Comma 11 2 2 2 4 6 2" xfId="31184" xr:uid="{00000000-0005-0000-0000-000001640000}"/>
    <cellStyle name="Comma 11 2 2 2 4 6 3" xfId="31185" xr:uid="{00000000-0005-0000-0000-000002640000}"/>
    <cellStyle name="Comma 11 2 2 2 4 7" xfId="31186" xr:uid="{00000000-0005-0000-0000-000003640000}"/>
    <cellStyle name="Comma 11 2 2 2 4 7 2" xfId="31187" xr:uid="{00000000-0005-0000-0000-000004640000}"/>
    <cellStyle name="Comma 11 2 2 2 4 8" xfId="31188" xr:uid="{00000000-0005-0000-0000-000005640000}"/>
    <cellStyle name="Comma 11 2 2 2 4 9" xfId="31189" xr:uid="{00000000-0005-0000-0000-000006640000}"/>
    <cellStyle name="Comma 11 2 2 2 5" xfId="31190" xr:uid="{00000000-0005-0000-0000-000007640000}"/>
    <cellStyle name="Comma 11 2 2 2 5 2" xfId="31191" xr:uid="{00000000-0005-0000-0000-000008640000}"/>
    <cellStyle name="Comma 11 2 2 2 5 2 2" xfId="31192" xr:uid="{00000000-0005-0000-0000-000009640000}"/>
    <cellStyle name="Comma 11 2 2 2 5 2 3" xfId="31193" xr:uid="{00000000-0005-0000-0000-00000A640000}"/>
    <cellStyle name="Comma 11 2 2 2 5 3" xfId="31194" xr:uid="{00000000-0005-0000-0000-00000B640000}"/>
    <cellStyle name="Comma 11 2 2 2 5 3 2" xfId="31195" xr:uid="{00000000-0005-0000-0000-00000C640000}"/>
    <cellStyle name="Comma 11 2 2 2 5 3 3" xfId="31196" xr:uid="{00000000-0005-0000-0000-00000D640000}"/>
    <cellStyle name="Comma 11 2 2 2 5 4" xfId="31197" xr:uid="{00000000-0005-0000-0000-00000E640000}"/>
    <cellStyle name="Comma 11 2 2 2 5 4 2" xfId="31198" xr:uid="{00000000-0005-0000-0000-00000F640000}"/>
    <cellStyle name="Comma 11 2 2 2 5 5" xfId="31199" xr:uid="{00000000-0005-0000-0000-000010640000}"/>
    <cellStyle name="Comma 11 2 2 2 5 6" xfId="31200" xr:uid="{00000000-0005-0000-0000-000011640000}"/>
    <cellStyle name="Comma 11 2 2 2 6" xfId="31201" xr:uid="{00000000-0005-0000-0000-000012640000}"/>
    <cellStyle name="Comma 11 2 2 2 6 2" xfId="31202" xr:uid="{00000000-0005-0000-0000-000013640000}"/>
    <cellStyle name="Comma 11 2 2 2 6 2 2" xfId="31203" xr:uid="{00000000-0005-0000-0000-000014640000}"/>
    <cellStyle name="Comma 11 2 2 2 6 2 3" xfId="31204" xr:uid="{00000000-0005-0000-0000-000015640000}"/>
    <cellStyle name="Comma 11 2 2 2 6 3" xfId="31205" xr:uid="{00000000-0005-0000-0000-000016640000}"/>
    <cellStyle name="Comma 11 2 2 2 6 3 2" xfId="31206" xr:uid="{00000000-0005-0000-0000-000017640000}"/>
    <cellStyle name="Comma 11 2 2 2 6 3 3" xfId="31207" xr:uid="{00000000-0005-0000-0000-000018640000}"/>
    <cellStyle name="Comma 11 2 2 2 6 4" xfId="31208" xr:uid="{00000000-0005-0000-0000-000019640000}"/>
    <cellStyle name="Comma 11 2 2 2 6 4 2" xfId="31209" xr:uid="{00000000-0005-0000-0000-00001A640000}"/>
    <cellStyle name="Comma 11 2 2 2 6 5" xfId="31210" xr:uid="{00000000-0005-0000-0000-00001B640000}"/>
    <cellStyle name="Comma 11 2 2 2 6 6" xfId="31211" xr:uid="{00000000-0005-0000-0000-00001C640000}"/>
    <cellStyle name="Comma 11 2 2 2 7" xfId="31212" xr:uid="{00000000-0005-0000-0000-00001D640000}"/>
    <cellStyle name="Comma 11 2 2 2 7 2" xfId="31213" xr:uid="{00000000-0005-0000-0000-00001E640000}"/>
    <cellStyle name="Comma 11 2 2 2 7 2 2" xfId="31214" xr:uid="{00000000-0005-0000-0000-00001F640000}"/>
    <cellStyle name="Comma 11 2 2 2 7 2 3" xfId="31215" xr:uid="{00000000-0005-0000-0000-000020640000}"/>
    <cellStyle name="Comma 11 2 2 2 7 3" xfId="31216" xr:uid="{00000000-0005-0000-0000-000021640000}"/>
    <cellStyle name="Comma 11 2 2 2 7 3 2" xfId="31217" xr:uid="{00000000-0005-0000-0000-000022640000}"/>
    <cellStyle name="Comma 11 2 2 2 7 4" xfId="31218" xr:uid="{00000000-0005-0000-0000-000023640000}"/>
    <cellStyle name="Comma 11 2 2 2 7 5" xfId="31219" xr:uid="{00000000-0005-0000-0000-000024640000}"/>
    <cellStyle name="Comma 11 2 2 2 8" xfId="31220" xr:uid="{00000000-0005-0000-0000-000025640000}"/>
    <cellStyle name="Comma 11 2 2 2 8 2" xfId="31221" xr:uid="{00000000-0005-0000-0000-000026640000}"/>
    <cellStyle name="Comma 11 2 2 2 8 3" xfId="31222" xr:uid="{00000000-0005-0000-0000-000027640000}"/>
    <cellStyle name="Comma 11 2 2 2 9" xfId="31223" xr:uid="{00000000-0005-0000-0000-000028640000}"/>
    <cellStyle name="Comma 11 2 2 2 9 2" xfId="31224" xr:uid="{00000000-0005-0000-0000-000029640000}"/>
    <cellStyle name="Comma 11 2 2 2 9 3" xfId="31225" xr:uid="{00000000-0005-0000-0000-00002A640000}"/>
    <cellStyle name="Comma 11 2 2 3" xfId="8214" xr:uid="{00000000-0005-0000-0000-00002B640000}"/>
    <cellStyle name="Comma 11 2 2 3 10" xfId="31226" xr:uid="{00000000-0005-0000-0000-00002C640000}"/>
    <cellStyle name="Comma 11 2 2 3 11" xfId="31227" xr:uid="{00000000-0005-0000-0000-00002D640000}"/>
    <cellStyle name="Comma 11 2 2 3 2" xfId="31228" xr:uid="{00000000-0005-0000-0000-00002E640000}"/>
    <cellStyle name="Comma 11 2 2 3 2 2" xfId="31229" xr:uid="{00000000-0005-0000-0000-00002F640000}"/>
    <cellStyle name="Comma 11 2 2 3 2 2 2" xfId="31230" xr:uid="{00000000-0005-0000-0000-000030640000}"/>
    <cellStyle name="Comma 11 2 2 3 2 2 2 2" xfId="31231" xr:uid="{00000000-0005-0000-0000-000031640000}"/>
    <cellStyle name="Comma 11 2 2 3 2 2 2 3" xfId="31232" xr:uid="{00000000-0005-0000-0000-000032640000}"/>
    <cellStyle name="Comma 11 2 2 3 2 2 3" xfId="31233" xr:uid="{00000000-0005-0000-0000-000033640000}"/>
    <cellStyle name="Comma 11 2 2 3 2 2 3 2" xfId="31234" xr:uid="{00000000-0005-0000-0000-000034640000}"/>
    <cellStyle name="Comma 11 2 2 3 2 2 3 3" xfId="31235" xr:uid="{00000000-0005-0000-0000-000035640000}"/>
    <cellStyle name="Comma 11 2 2 3 2 2 4" xfId="31236" xr:uid="{00000000-0005-0000-0000-000036640000}"/>
    <cellStyle name="Comma 11 2 2 3 2 2 4 2" xfId="31237" xr:uid="{00000000-0005-0000-0000-000037640000}"/>
    <cellStyle name="Comma 11 2 2 3 2 2 5" xfId="31238" xr:uid="{00000000-0005-0000-0000-000038640000}"/>
    <cellStyle name="Comma 11 2 2 3 2 2 6" xfId="31239" xr:uid="{00000000-0005-0000-0000-000039640000}"/>
    <cellStyle name="Comma 11 2 2 3 2 3" xfId="31240" xr:uid="{00000000-0005-0000-0000-00003A640000}"/>
    <cellStyle name="Comma 11 2 2 3 2 3 2" xfId="31241" xr:uid="{00000000-0005-0000-0000-00003B640000}"/>
    <cellStyle name="Comma 11 2 2 3 2 3 2 2" xfId="31242" xr:uid="{00000000-0005-0000-0000-00003C640000}"/>
    <cellStyle name="Comma 11 2 2 3 2 3 2 3" xfId="31243" xr:uid="{00000000-0005-0000-0000-00003D640000}"/>
    <cellStyle name="Comma 11 2 2 3 2 3 3" xfId="31244" xr:uid="{00000000-0005-0000-0000-00003E640000}"/>
    <cellStyle name="Comma 11 2 2 3 2 3 3 2" xfId="31245" xr:uid="{00000000-0005-0000-0000-00003F640000}"/>
    <cellStyle name="Comma 11 2 2 3 2 3 3 3" xfId="31246" xr:uid="{00000000-0005-0000-0000-000040640000}"/>
    <cellStyle name="Comma 11 2 2 3 2 3 4" xfId="31247" xr:uid="{00000000-0005-0000-0000-000041640000}"/>
    <cellStyle name="Comma 11 2 2 3 2 3 4 2" xfId="31248" xr:uid="{00000000-0005-0000-0000-000042640000}"/>
    <cellStyle name="Comma 11 2 2 3 2 3 5" xfId="31249" xr:uid="{00000000-0005-0000-0000-000043640000}"/>
    <cellStyle name="Comma 11 2 2 3 2 3 6" xfId="31250" xr:uid="{00000000-0005-0000-0000-000044640000}"/>
    <cellStyle name="Comma 11 2 2 3 2 4" xfId="31251" xr:uid="{00000000-0005-0000-0000-000045640000}"/>
    <cellStyle name="Comma 11 2 2 3 2 4 2" xfId="31252" xr:uid="{00000000-0005-0000-0000-000046640000}"/>
    <cellStyle name="Comma 11 2 2 3 2 4 2 2" xfId="31253" xr:uid="{00000000-0005-0000-0000-000047640000}"/>
    <cellStyle name="Comma 11 2 2 3 2 4 2 3" xfId="31254" xr:uid="{00000000-0005-0000-0000-000048640000}"/>
    <cellStyle name="Comma 11 2 2 3 2 4 3" xfId="31255" xr:uid="{00000000-0005-0000-0000-000049640000}"/>
    <cellStyle name="Comma 11 2 2 3 2 4 3 2" xfId="31256" xr:uid="{00000000-0005-0000-0000-00004A640000}"/>
    <cellStyle name="Comma 11 2 2 3 2 4 4" xfId="31257" xr:uid="{00000000-0005-0000-0000-00004B640000}"/>
    <cellStyle name="Comma 11 2 2 3 2 4 5" xfId="31258" xr:uid="{00000000-0005-0000-0000-00004C640000}"/>
    <cellStyle name="Comma 11 2 2 3 2 5" xfId="31259" xr:uid="{00000000-0005-0000-0000-00004D640000}"/>
    <cellStyle name="Comma 11 2 2 3 2 5 2" xfId="31260" xr:uid="{00000000-0005-0000-0000-00004E640000}"/>
    <cellStyle name="Comma 11 2 2 3 2 5 3" xfId="31261" xr:uid="{00000000-0005-0000-0000-00004F640000}"/>
    <cellStyle name="Comma 11 2 2 3 2 6" xfId="31262" xr:uid="{00000000-0005-0000-0000-000050640000}"/>
    <cellStyle name="Comma 11 2 2 3 2 6 2" xfId="31263" xr:uid="{00000000-0005-0000-0000-000051640000}"/>
    <cellStyle name="Comma 11 2 2 3 2 6 3" xfId="31264" xr:uid="{00000000-0005-0000-0000-000052640000}"/>
    <cellStyle name="Comma 11 2 2 3 2 7" xfId="31265" xr:uid="{00000000-0005-0000-0000-000053640000}"/>
    <cellStyle name="Comma 11 2 2 3 2 7 2" xfId="31266" xr:uid="{00000000-0005-0000-0000-000054640000}"/>
    <cellStyle name="Comma 11 2 2 3 2 8" xfId="31267" xr:uid="{00000000-0005-0000-0000-000055640000}"/>
    <cellStyle name="Comma 11 2 2 3 2 9" xfId="31268" xr:uid="{00000000-0005-0000-0000-000056640000}"/>
    <cellStyle name="Comma 11 2 2 3 3" xfId="31269" xr:uid="{00000000-0005-0000-0000-000057640000}"/>
    <cellStyle name="Comma 11 2 2 3 3 2" xfId="31270" xr:uid="{00000000-0005-0000-0000-000058640000}"/>
    <cellStyle name="Comma 11 2 2 3 3 2 2" xfId="31271" xr:uid="{00000000-0005-0000-0000-000059640000}"/>
    <cellStyle name="Comma 11 2 2 3 3 2 3" xfId="31272" xr:uid="{00000000-0005-0000-0000-00005A640000}"/>
    <cellStyle name="Comma 11 2 2 3 3 3" xfId="31273" xr:uid="{00000000-0005-0000-0000-00005B640000}"/>
    <cellStyle name="Comma 11 2 2 3 3 3 2" xfId="31274" xr:uid="{00000000-0005-0000-0000-00005C640000}"/>
    <cellStyle name="Comma 11 2 2 3 3 3 3" xfId="31275" xr:uid="{00000000-0005-0000-0000-00005D640000}"/>
    <cellStyle name="Comma 11 2 2 3 3 4" xfId="31276" xr:uid="{00000000-0005-0000-0000-00005E640000}"/>
    <cellStyle name="Comma 11 2 2 3 3 4 2" xfId="31277" xr:uid="{00000000-0005-0000-0000-00005F640000}"/>
    <cellStyle name="Comma 11 2 2 3 3 5" xfId="31278" xr:uid="{00000000-0005-0000-0000-000060640000}"/>
    <cellStyle name="Comma 11 2 2 3 3 6" xfId="31279" xr:uid="{00000000-0005-0000-0000-000061640000}"/>
    <cellStyle name="Comma 11 2 2 3 4" xfId="31280" xr:uid="{00000000-0005-0000-0000-000062640000}"/>
    <cellStyle name="Comma 11 2 2 3 4 2" xfId="31281" xr:uid="{00000000-0005-0000-0000-000063640000}"/>
    <cellStyle name="Comma 11 2 2 3 4 2 2" xfId="31282" xr:uid="{00000000-0005-0000-0000-000064640000}"/>
    <cellStyle name="Comma 11 2 2 3 4 2 3" xfId="31283" xr:uid="{00000000-0005-0000-0000-000065640000}"/>
    <cellStyle name="Comma 11 2 2 3 4 3" xfId="31284" xr:uid="{00000000-0005-0000-0000-000066640000}"/>
    <cellStyle name="Comma 11 2 2 3 4 3 2" xfId="31285" xr:uid="{00000000-0005-0000-0000-000067640000}"/>
    <cellStyle name="Comma 11 2 2 3 4 3 3" xfId="31286" xr:uid="{00000000-0005-0000-0000-000068640000}"/>
    <cellStyle name="Comma 11 2 2 3 4 4" xfId="31287" xr:uid="{00000000-0005-0000-0000-000069640000}"/>
    <cellStyle name="Comma 11 2 2 3 4 4 2" xfId="31288" xr:uid="{00000000-0005-0000-0000-00006A640000}"/>
    <cellStyle name="Comma 11 2 2 3 4 5" xfId="31289" xr:uid="{00000000-0005-0000-0000-00006B640000}"/>
    <cellStyle name="Comma 11 2 2 3 4 6" xfId="31290" xr:uid="{00000000-0005-0000-0000-00006C640000}"/>
    <cellStyle name="Comma 11 2 2 3 5" xfId="31291" xr:uid="{00000000-0005-0000-0000-00006D640000}"/>
    <cellStyle name="Comma 11 2 2 3 5 2" xfId="31292" xr:uid="{00000000-0005-0000-0000-00006E640000}"/>
    <cellStyle name="Comma 11 2 2 3 5 2 2" xfId="31293" xr:uid="{00000000-0005-0000-0000-00006F640000}"/>
    <cellStyle name="Comma 11 2 2 3 5 2 3" xfId="31294" xr:uid="{00000000-0005-0000-0000-000070640000}"/>
    <cellStyle name="Comma 11 2 2 3 5 3" xfId="31295" xr:uid="{00000000-0005-0000-0000-000071640000}"/>
    <cellStyle name="Comma 11 2 2 3 5 3 2" xfId="31296" xr:uid="{00000000-0005-0000-0000-000072640000}"/>
    <cellStyle name="Comma 11 2 2 3 5 4" xfId="31297" xr:uid="{00000000-0005-0000-0000-000073640000}"/>
    <cellStyle name="Comma 11 2 2 3 5 5" xfId="31298" xr:uid="{00000000-0005-0000-0000-000074640000}"/>
    <cellStyle name="Comma 11 2 2 3 6" xfId="31299" xr:uid="{00000000-0005-0000-0000-000075640000}"/>
    <cellStyle name="Comma 11 2 2 3 6 2" xfId="31300" xr:uid="{00000000-0005-0000-0000-000076640000}"/>
    <cellStyle name="Comma 11 2 2 3 6 3" xfId="31301" xr:uid="{00000000-0005-0000-0000-000077640000}"/>
    <cellStyle name="Comma 11 2 2 3 7" xfId="31302" xr:uid="{00000000-0005-0000-0000-000078640000}"/>
    <cellStyle name="Comma 11 2 2 3 7 2" xfId="31303" xr:uid="{00000000-0005-0000-0000-000079640000}"/>
    <cellStyle name="Comma 11 2 2 3 7 3" xfId="31304" xr:uid="{00000000-0005-0000-0000-00007A640000}"/>
    <cellStyle name="Comma 11 2 2 3 8" xfId="31305" xr:uid="{00000000-0005-0000-0000-00007B640000}"/>
    <cellStyle name="Comma 11 2 2 3 8 2" xfId="31306" xr:uid="{00000000-0005-0000-0000-00007C640000}"/>
    <cellStyle name="Comma 11 2 2 3 9" xfId="31307" xr:uid="{00000000-0005-0000-0000-00007D640000}"/>
    <cellStyle name="Comma 11 2 2 4" xfId="31308" xr:uid="{00000000-0005-0000-0000-00007E640000}"/>
    <cellStyle name="Comma 11 2 2 4 2" xfId="31309" xr:uid="{00000000-0005-0000-0000-00007F640000}"/>
    <cellStyle name="Comma 11 2 2 4 2 2" xfId="31310" xr:uid="{00000000-0005-0000-0000-000080640000}"/>
    <cellStyle name="Comma 11 2 2 4 2 2 2" xfId="31311" xr:uid="{00000000-0005-0000-0000-000081640000}"/>
    <cellStyle name="Comma 11 2 2 4 2 2 3" xfId="31312" xr:uid="{00000000-0005-0000-0000-000082640000}"/>
    <cellStyle name="Comma 11 2 2 4 2 3" xfId="31313" xr:uid="{00000000-0005-0000-0000-000083640000}"/>
    <cellStyle name="Comma 11 2 2 4 2 3 2" xfId="31314" xr:uid="{00000000-0005-0000-0000-000084640000}"/>
    <cellStyle name="Comma 11 2 2 4 2 3 3" xfId="31315" xr:uid="{00000000-0005-0000-0000-000085640000}"/>
    <cellStyle name="Comma 11 2 2 4 2 4" xfId="31316" xr:uid="{00000000-0005-0000-0000-000086640000}"/>
    <cellStyle name="Comma 11 2 2 4 2 4 2" xfId="31317" xr:uid="{00000000-0005-0000-0000-000087640000}"/>
    <cellStyle name="Comma 11 2 2 4 2 5" xfId="31318" xr:uid="{00000000-0005-0000-0000-000088640000}"/>
    <cellStyle name="Comma 11 2 2 4 2 6" xfId="31319" xr:uid="{00000000-0005-0000-0000-000089640000}"/>
    <cellStyle name="Comma 11 2 2 4 3" xfId="31320" xr:uid="{00000000-0005-0000-0000-00008A640000}"/>
    <cellStyle name="Comma 11 2 2 4 3 2" xfId="31321" xr:uid="{00000000-0005-0000-0000-00008B640000}"/>
    <cellStyle name="Comma 11 2 2 4 3 2 2" xfId="31322" xr:uid="{00000000-0005-0000-0000-00008C640000}"/>
    <cellStyle name="Comma 11 2 2 4 3 2 3" xfId="31323" xr:uid="{00000000-0005-0000-0000-00008D640000}"/>
    <cellStyle name="Comma 11 2 2 4 3 3" xfId="31324" xr:uid="{00000000-0005-0000-0000-00008E640000}"/>
    <cellStyle name="Comma 11 2 2 4 3 3 2" xfId="31325" xr:uid="{00000000-0005-0000-0000-00008F640000}"/>
    <cellStyle name="Comma 11 2 2 4 3 3 3" xfId="31326" xr:uid="{00000000-0005-0000-0000-000090640000}"/>
    <cellStyle name="Comma 11 2 2 4 3 4" xfId="31327" xr:uid="{00000000-0005-0000-0000-000091640000}"/>
    <cellStyle name="Comma 11 2 2 4 3 4 2" xfId="31328" xr:uid="{00000000-0005-0000-0000-000092640000}"/>
    <cellStyle name="Comma 11 2 2 4 3 5" xfId="31329" xr:uid="{00000000-0005-0000-0000-000093640000}"/>
    <cellStyle name="Comma 11 2 2 4 3 6" xfId="31330" xr:uid="{00000000-0005-0000-0000-000094640000}"/>
    <cellStyle name="Comma 11 2 2 4 4" xfId="31331" xr:uid="{00000000-0005-0000-0000-000095640000}"/>
    <cellStyle name="Comma 11 2 2 4 4 2" xfId="31332" xr:uid="{00000000-0005-0000-0000-000096640000}"/>
    <cellStyle name="Comma 11 2 2 4 4 2 2" xfId="31333" xr:uid="{00000000-0005-0000-0000-000097640000}"/>
    <cellStyle name="Comma 11 2 2 4 4 2 3" xfId="31334" xr:uid="{00000000-0005-0000-0000-000098640000}"/>
    <cellStyle name="Comma 11 2 2 4 4 3" xfId="31335" xr:uid="{00000000-0005-0000-0000-000099640000}"/>
    <cellStyle name="Comma 11 2 2 4 4 3 2" xfId="31336" xr:uid="{00000000-0005-0000-0000-00009A640000}"/>
    <cellStyle name="Comma 11 2 2 4 4 4" xfId="31337" xr:uid="{00000000-0005-0000-0000-00009B640000}"/>
    <cellStyle name="Comma 11 2 2 4 4 5" xfId="31338" xr:uid="{00000000-0005-0000-0000-00009C640000}"/>
    <cellStyle name="Comma 11 2 2 4 5" xfId="31339" xr:uid="{00000000-0005-0000-0000-00009D640000}"/>
    <cellStyle name="Comma 11 2 2 4 5 2" xfId="31340" xr:uid="{00000000-0005-0000-0000-00009E640000}"/>
    <cellStyle name="Comma 11 2 2 4 5 3" xfId="31341" xr:uid="{00000000-0005-0000-0000-00009F640000}"/>
    <cellStyle name="Comma 11 2 2 4 6" xfId="31342" xr:uid="{00000000-0005-0000-0000-0000A0640000}"/>
    <cellStyle name="Comma 11 2 2 4 6 2" xfId="31343" xr:uid="{00000000-0005-0000-0000-0000A1640000}"/>
    <cellStyle name="Comma 11 2 2 4 6 3" xfId="31344" xr:uid="{00000000-0005-0000-0000-0000A2640000}"/>
    <cellStyle name="Comma 11 2 2 4 7" xfId="31345" xr:uid="{00000000-0005-0000-0000-0000A3640000}"/>
    <cellStyle name="Comma 11 2 2 4 7 2" xfId="31346" xr:uid="{00000000-0005-0000-0000-0000A4640000}"/>
    <cellStyle name="Comma 11 2 2 4 8" xfId="31347" xr:uid="{00000000-0005-0000-0000-0000A5640000}"/>
    <cellStyle name="Comma 11 2 2 4 9" xfId="31348" xr:uid="{00000000-0005-0000-0000-0000A6640000}"/>
    <cellStyle name="Comma 11 2 2 5" xfId="31349" xr:uid="{00000000-0005-0000-0000-0000A7640000}"/>
    <cellStyle name="Comma 11 2 2 5 2" xfId="31350" xr:uid="{00000000-0005-0000-0000-0000A8640000}"/>
    <cellStyle name="Comma 11 2 2 5 2 2" xfId="31351" xr:uid="{00000000-0005-0000-0000-0000A9640000}"/>
    <cellStyle name="Comma 11 2 2 5 2 2 2" xfId="31352" xr:uid="{00000000-0005-0000-0000-0000AA640000}"/>
    <cellStyle name="Comma 11 2 2 5 2 2 3" xfId="31353" xr:uid="{00000000-0005-0000-0000-0000AB640000}"/>
    <cellStyle name="Comma 11 2 2 5 2 3" xfId="31354" xr:uid="{00000000-0005-0000-0000-0000AC640000}"/>
    <cellStyle name="Comma 11 2 2 5 2 3 2" xfId="31355" xr:uid="{00000000-0005-0000-0000-0000AD640000}"/>
    <cellStyle name="Comma 11 2 2 5 2 3 3" xfId="31356" xr:uid="{00000000-0005-0000-0000-0000AE640000}"/>
    <cellStyle name="Comma 11 2 2 5 2 4" xfId="31357" xr:uid="{00000000-0005-0000-0000-0000AF640000}"/>
    <cellStyle name="Comma 11 2 2 5 2 4 2" xfId="31358" xr:uid="{00000000-0005-0000-0000-0000B0640000}"/>
    <cellStyle name="Comma 11 2 2 5 2 5" xfId="31359" xr:uid="{00000000-0005-0000-0000-0000B1640000}"/>
    <cellStyle name="Comma 11 2 2 5 2 6" xfId="31360" xr:uid="{00000000-0005-0000-0000-0000B2640000}"/>
    <cellStyle name="Comma 11 2 2 5 3" xfId="31361" xr:uid="{00000000-0005-0000-0000-0000B3640000}"/>
    <cellStyle name="Comma 11 2 2 5 3 2" xfId="31362" xr:uid="{00000000-0005-0000-0000-0000B4640000}"/>
    <cellStyle name="Comma 11 2 2 5 3 2 2" xfId="31363" xr:uid="{00000000-0005-0000-0000-0000B5640000}"/>
    <cellStyle name="Comma 11 2 2 5 3 2 3" xfId="31364" xr:uid="{00000000-0005-0000-0000-0000B6640000}"/>
    <cellStyle name="Comma 11 2 2 5 3 3" xfId="31365" xr:uid="{00000000-0005-0000-0000-0000B7640000}"/>
    <cellStyle name="Comma 11 2 2 5 3 3 2" xfId="31366" xr:uid="{00000000-0005-0000-0000-0000B8640000}"/>
    <cellStyle name="Comma 11 2 2 5 3 3 3" xfId="31367" xr:uid="{00000000-0005-0000-0000-0000B9640000}"/>
    <cellStyle name="Comma 11 2 2 5 3 4" xfId="31368" xr:uid="{00000000-0005-0000-0000-0000BA640000}"/>
    <cellStyle name="Comma 11 2 2 5 3 4 2" xfId="31369" xr:uid="{00000000-0005-0000-0000-0000BB640000}"/>
    <cellStyle name="Comma 11 2 2 5 3 5" xfId="31370" xr:uid="{00000000-0005-0000-0000-0000BC640000}"/>
    <cellStyle name="Comma 11 2 2 5 3 6" xfId="31371" xr:uid="{00000000-0005-0000-0000-0000BD640000}"/>
    <cellStyle name="Comma 11 2 2 5 4" xfId="31372" xr:uid="{00000000-0005-0000-0000-0000BE640000}"/>
    <cellStyle name="Comma 11 2 2 5 4 2" xfId="31373" xr:uid="{00000000-0005-0000-0000-0000BF640000}"/>
    <cellStyle name="Comma 11 2 2 5 4 2 2" xfId="31374" xr:uid="{00000000-0005-0000-0000-0000C0640000}"/>
    <cellStyle name="Comma 11 2 2 5 4 2 3" xfId="31375" xr:uid="{00000000-0005-0000-0000-0000C1640000}"/>
    <cellStyle name="Comma 11 2 2 5 4 3" xfId="31376" xr:uid="{00000000-0005-0000-0000-0000C2640000}"/>
    <cellStyle name="Comma 11 2 2 5 4 3 2" xfId="31377" xr:uid="{00000000-0005-0000-0000-0000C3640000}"/>
    <cellStyle name="Comma 11 2 2 5 4 4" xfId="31378" xr:uid="{00000000-0005-0000-0000-0000C4640000}"/>
    <cellStyle name="Comma 11 2 2 5 4 5" xfId="31379" xr:uid="{00000000-0005-0000-0000-0000C5640000}"/>
    <cellStyle name="Comma 11 2 2 5 5" xfId="31380" xr:uid="{00000000-0005-0000-0000-0000C6640000}"/>
    <cellStyle name="Comma 11 2 2 5 5 2" xfId="31381" xr:uid="{00000000-0005-0000-0000-0000C7640000}"/>
    <cellStyle name="Comma 11 2 2 5 5 3" xfId="31382" xr:uid="{00000000-0005-0000-0000-0000C8640000}"/>
    <cellStyle name="Comma 11 2 2 5 6" xfId="31383" xr:uid="{00000000-0005-0000-0000-0000C9640000}"/>
    <cellStyle name="Comma 11 2 2 5 6 2" xfId="31384" xr:uid="{00000000-0005-0000-0000-0000CA640000}"/>
    <cellStyle name="Comma 11 2 2 5 6 3" xfId="31385" xr:uid="{00000000-0005-0000-0000-0000CB640000}"/>
    <cellStyle name="Comma 11 2 2 5 7" xfId="31386" xr:uid="{00000000-0005-0000-0000-0000CC640000}"/>
    <cellStyle name="Comma 11 2 2 5 7 2" xfId="31387" xr:uid="{00000000-0005-0000-0000-0000CD640000}"/>
    <cellStyle name="Comma 11 2 2 5 8" xfId="31388" xr:uid="{00000000-0005-0000-0000-0000CE640000}"/>
    <cellStyle name="Comma 11 2 2 5 9" xfId="31389" xr:uid="{00000000-0005-0000-0000-0000CF640000}"/>
    <cellStyle name="Comma 11 2 2 6" xfId="31390" xr:uid="{00000000-0005-0000-0000-0000D0640000}"/>
    <cellStyle name="Comma 11 2 2 6 2" xfId="31391" xr:uid="{00000000-0005-0000-0000-0000D1640000}"/>
    <cellStyle name="Comma 11 2 2 6 2 2" xfId="31392" xr:uid="{00000000-0005-0000-0000-0000D2640000}"/>
    <cellStyle name="Comma 11 2 2 6 2 3" xfId="31393" xr:uid="{00000000-0005-0000-0000-0000D3640000}"/>
    <cellStyle name="Comma 11 2 2 6 3" xfId="31394" xr:uid="{00000000-0005-0000-0000-0000D4640000}"/>
    <cellStyle name="Comma 11 2 2 6 3 2" xfId="31395" xr:uid="{00000000-0005-0000-0000-0000D5640000}"/>
    <cellStyle name="Comma 11 2 2 6 3 3" xfId="31396" xr:uid="{00000000-0005-0000-0000-0000D6640000}"/>
    <cellStyle name="Comma 11 2 2 6 4" xfId="31397" xr:uid="{00000000-0005-0000-0000-0000D7640000}"/>
    <cellStyle name="Comma 11 2 2 6 4 2" xfId="31398" xr:uid="{00000000-0005-0000-0000-0000D8640000}"/>
    <cellStyle name="Comma 11 2 2 6 5" xfId="31399" xr:uid="{00000000-0005-0000-0000-0000D9640000}"/>
    <cellStyle name="Comma 11 2 2 6 6" xfId="31400" xr:uid="{00000000-0005-0000-0000-0000DA640000}"/>
    <cellStyle name="Comma 11 2 2 7" xfId="31401" xr:uid="{00000000-0005-0000-0000-0000DB640000}"/>
    <cellStyle name="Comma 11 2 2 7 2" xfId="31402" xr:uid="{00000000-0005-0000-0000-0000DC640000}"/>
    <cellStyle name="Comma 11 2 2 7 2 2" xfId="31403" xr:uid="{00000000-0005-0000-0000-0000DD640000}"/>
    <cellStyle name="Comma 11 2 2 7 2 3" xfId="31404" xr:uid="{00000000-0005-0000-0000-0000DE640000}"/>
    <cellStyle name="Comma 11 2 2 7 3" xfId="31405" xr:uid="{00000000-0005-0000-0000-0000DF640000}"/>
    <cellStyle name="Comma 11 2 2 7 3 2" xfId="31406" xr:uid="{00000000-0005-0000-0000-0000E0640000}"/>
    <cellStyle name="Comma 11 2 2 7 3 3" xfId="31407" xr:uid="{00000000-0005-0000-0000-0000E1640000}"/>
    <cellStyle name="Comma 11 2 2 7 4" xfId="31408" xr:uid="{00000000-0005-0000-0000-0000E2640000}"/>
    <cellStyle name="Comma 11 2 2 7 4 2" xfId="31409" xr:uid="{00000000-0005-0000-0000-0000E3640000}"/>
    <cellStyle name="Comma 11 2 2 7 5" xfId="31410" xr:uid="{00000000-0005-0000-0000-0000E4640000}"/>
    <cellStyle name="Comma 11 2 2 7 6" xfId="31411" xr:uid="{00000000-0005-0000-0000-0000E5640000}"/>
    <cellStyle name="Comma 11 2 2 8" xfId="31412" xr:uid="{00000000-0005-0000-0000-0000E6640000}"/>
    <cellStyle name="Comma 11 2 2 8 2" xfId="31413" xr:uid="{00000000-0005-0000-0000-0000E7640000}"/>
    <cellStyle name="Comma 11 2 2 8 2 2" xfId="31414" xr:uid="{00000000-0005-0000-0000-0000E8640000}"/>
    <cellStyle name="Comma 11 2 2 8 2 3" xfId="31415" xr:uid="{00000000-0005-0000-0000-0000E9640000}"/>
    <cellStyle name="Comma 11 2 2 8 3" xfId="31416" xr:uid="{00000000-0005-0000-0000-0000EA640000}"/>
    <cellStyle name="Comma 11 2 2 8 3 2" xfId="31417" xr:uid="{00000000-0005-0000-0000-0000EB640000}"/>
    <cellStyle name="Comma 11 2 2 8 4" xfId="31418" xr:uid="{00000000-0005-0000-0000-0000EC640000}"/>
    <cellStyle name="Comma 11 2 2 8 5" xfId="31419" xr:uid="{00000000-0005-0000-0000-0000ED640000}"/>
    <cellStyle name="Comma 11 2 2 9" xfId="31420" xr:uid="{00000000-0005-0000-0000-0000EE640000}"/>
    <cellStyle name="Comma 11 2 2 9 2" xfId="31421" xr:uid="{00000000-0005-0000-0000-0000EF640000}"/>
    <cellStyle name="Comma 11 2 2 9 3" xfId="31422" xr:uid="{00000000-0005-0000-0000-0000F0640000}"/>
    <cellStyle name="Comma 11 2 3" xfId="8215" xr:uid="{00000000-0005-0000-0000-0000F1640000}"/>
    <cellStyle name="Comma 11 2 3 10" xfId="31423" xr:uid="{00000000-0005-0000-0000-0000F2640000}"/>
    <cellStyle name="Comma 11 2 3 10 2" xfId="31424" xr:uid="{00000000-0005-0000-0000-0000F3640000}"/>
    <cellStyle name="Comma 11 2 3 11" xfId="31425" xr:uid="{00000000-0005-0000-0000-0000F4640000}"/>
    <cellStyle name="Comma 11 2 3 12" xfId="31426" xr:uid="{00000000-0005-0000-0000-0000F5640000}"/>
    <cellStyle name="Comma 11 2 3 13" xfId="31427" xr:uid="{00000000-0005-0000-0000-0000F6640000}"/>
    <cellStyle name="Comma 11 2 3 2" xfId="8216" xr:uid="{00000000-0005-0000-0000-0000F7640000}"/>
    <cellStyle name="Comma 11 2 3 2 10" xfId="31428" xr:uid="{00000000-0005-0000-0000-0000F8640000}"/>
    <cellStyle name="Comma 11 2 3 2 2" xfId="31429" xr:uid="{00000000-0005-0000-0000-0000F9640000}"/>
    <cellStyle name="Comma 11 2 3 2 2 2" xfId="31430" xr:uid="{00000000-0005-0000-0000-0000FA640000}"/>
    <cellStyle name="Comma 11 2 3 2 2 2 2" xfId="31431" xr:uid="{00000000-0005-0000-0000-0000FB640000}"/>
    <cellStyle name="Comma 11 2 3 2 2 2 2 2" xfId="31432" xr:uid="{00000000-0005-0000-0000-0000FC640000}"/>
    <cellStyle name="Comma 11 2 3 2 2 2 2 3" xfId="31433" xr:uid="{00000000-0005-0000-0000-0000FD640000}"/>
    <cellStyle name="Comma 11 2 3 2 2 2 3" xfId="31434" xr:uid="{00000000-0005-0000-0000-0000FE640000}"/>
    <cellStyle name="Comma 11 2 3 2 2 2 3 2" xfId="31435" xr:uid="{00000000-0005-0000-0000-0000FF640000}"/>
    <cellStyle name="Comma 11 2 3 2 2 2 3 3" xfId="31436" xr:uid="{00000000-0005-0000-0000-000000650000}"/>
    <cellStyle name="Comma 11 2 3 2 2 2 4" xfId="31437" xr:uid="{00000000-0005-0000-0000-000001650000}"/>
    <cellStyle name="Comma 11 2 3 2 2 2 4 2" xfId="31438" xr:uid="{00000000-0005-0000-0000-000002650000}"/>
    <cellStyle name="Comma 11 2 3 2 2 2 5" xfId="31439" xr:uid="{00000000-0005-0000-0000-000003650000}"/>
    <cellStyle name="Comma 11 2 3 2 2 2 6" xfId="31440" xr:uid="{00000000-0005-0000-0000-000004650000}"/>
    <cellStyle name="Comma 11 2 3 2 2 3" xfId="31441" xr:uid="{00000000-0005-0000-0000-000005650000}"/>
    <cellStyle name="Comma 11 2 3 2 2 3 2" xfId="31442" xr:uid="{00000000-0005-0000-0000-000006650000}"/>
    <cellStyle name="Comma 11 2 3 2 2 3 2 2" xfId="31443" xr:uid="{00000000-0005-0000-0000-000007650000}"/>
    <cellStyle name="Comma 11 2 3 2 2 3 2 3" xfId="31444" xr:uid="{00000000-0005-0000-0000-000008650000}"/>
    <cellStyle name="Comma 11 2 3 2 2 3 3" xfId="31445" xr:uid="{00000000-0005-0000-0000-000009650000}"/>
    <cellStyle name="Comma 11 2 3 2 2 3 3 2" xfId="31446" xr:uid="{00000000-0005-0000-0000-00000A650000}"/>
    <cellStyle name="Comma 11 2 3 2 2 3 3 3" xfId="31447" xr:uid="{00000000-0005-0000-0000-00000B650000}"/>
    <cellStyle name="Comma 11 2 3 2 2 3 4" xfId="31448" xr:uid="{00000000-0005-0000-0000-00000C650000}"/>
    <cellStyle name="Comma 11 2 3 2 2 3 4 2" xfId="31449" xr:uid="{00000000-0005-0000-0000-00000D650000}"/>
    <cellStyle name="Comma 11 2 3 2 2 3 5" xfId="31450" xr:uid="{00000000-0005-0000-0000-00000E650000}"/>
    <cellStyle name="Comma 11 2 3 2 2 3 6" xfId="31451" xr:uid="{00000000-0005-0000-0000-00000F650000}"/>
    <cellStyle name="Comma 11 2 3 2 2 4" xfId="31452" xr:uid="{00000000-0005-0000-0000-000010650000}"/>
    <cellStyle name="Comma 11 2 3 2 2 4 2" xfId="31453" xr:uid="{00000000-0005-0000-0000-000011650000}"/>
    <cellStyle name="Comma 11 2 3 2 2 4 2 2" xfId="31454" xr:uid="{00000000-0005-0000-0000-000012650000}"/>
    <cellStyle name="Comma 11 2 3 2 2 4 2 3" xfId="31455" xr:uid="{00000000-0005-0000-0000-000013650000}"/>
    <cellStyle name="Comma 11 2 3 2 2 4 3" xfId="31456" xr:uid="{00000000-0005-0000-0000-000014650000}"/>
    <cellStyle name="Comma 11 2 3 2 2 4 3 2" xfId="31457" xr:uid="{00000000-0005-0000-0000-000015650000}"/>
    <cellStyle name="Comma 11 2 3 2 2 4 4" xfId="31458" xr:uid="{00000000-0005-0000-0000-000016650000}"/>
    <cellStyle name="Comma 11 2 3 2 2 4 5" xfId="31459" xr:uid="{00000000-0005-0000-0000-000017650000}"/>
    <cellStyle name="Comma 11 2 3 2 2 5" xfId="31460" xr:uid="{00000000-0005-0000-0000-000018650000}"/>
    <cellStyle name="Comma 11 2 3 2 2 5 2" xfId="31461" xr:uid="{00000000-0005-0000-0000-000019650000}"/>
    <cellStyle name="Comma 11 2 3 2 2 5 3" xfId="31462" xr:uid="{00000000-0005-0000-0000-00001A650000}"/>
    <cellStyle name="Comma 11 2 3 2 2 6" xfId="31463" xr:uid="{00000000-0005-0000-0000-00001B650000}"/>
    <cellStyle name="Comma 11 2 3 2 2 6 2" xfId="31464" xr:uid="{00000000-0005-0000-0000-00001C650000}"/>
    <cellStyle name="Comma 11 2 3 2 2 6 3" xfId="31465" xr:uid="{00000000-0005-0000-0000-00001D650000}"/>
    <cellStyle name="Comma 11 2 3 2 2 7" xfId="31466" xr:uid="{00000000-0005-0000-0000-00001E650000}"/>
    <cellStyle name="Comma 11 2 3 2 2 7 2" xfId="31467" xr:uid="{00000000-0005-0000-0000-00001F650000}"/>
    <cellStyle name="Comma 11 2 3 2 2 8" xfId="31468" xr:uid="{00000000-0005-0000-0000-000020650000}"/>
    <cellStyle name="Comma 11 2 3 2 2 9" xfId="31469" xr:uid="{00000000-0005-0000-0000-000021650000}"/>
    <cellStyle name="Comma 11 2 3 2 3" xfId="31470" xr:uid="{00000000-0005-0000-0000-000022650000}"/>
    <cellStyle name="Comma 11 2 3 2 3 2" xfId="31471" xr:uid="{00000000-0005-0000-0000-000023650000}"/>
    <cellStyle name="Comma 11 2 3 2 3 2 2" xfId="31472" xr:uid="{00000000-0005-0000-0000-000024650000}"/>
    <cellStyle name="Comma 11 2 3 2 3 2 3" xfId="31473" xr:uid="{00000000-0005-0000-0000-000025650000}"/>
    <cellStyle name="Comma 11 2 3 2 3 3" xfId="31474" xr:uid="{00000000-0005-0000-0000-000026650000}"/>
    <cellStyle name="Comma 11 2 3 2 3 3 2" xfId="31475" xr:uid="{00000000-0005-0000-0000-000027650000}"/>
    <cellStyle name="Comma 11 2 3 2 3 3 3" xfId="31476" xr:uid="{00000000-0005-0000-0000-000028650000}"/>
    <cellStyle name="Comma 11 2 3 2 3 4" xfId="31477" xr:uid="{00000000-0005-0000-0000-000029650000}"/>
    <cellStyle name="Comma 11 2 3 2 3 4 2" xfId="31478" xr:uid="{00000000-0005-0000-0000-00002A650000}"/>
    <cellStyle name="Comma 11 2 3 2 3 5" xfId="31479" xr:uid="{00000000-0005-0000-0000-00002B650000}"/>
    <cellStyle name="Comma 11 2 3 2 3 6" xfId="31480" xr:uid="{00000000-0005-0000-0000-00002C650000}"/>
    <cellStyle name="Comma 11 2 3 2 4" xfId="31481" xr:uid="{00000000-0005-0000-0000-00002D650000}"/>
    <cellStyle name="Comma 11 2 3 2 4 2" xfId="31482" xr:uid="{00000000-0005-0000-0000-00002E650000}"/>
    <cellStyle name="Comma 11 2 3 2 4 2 2" xfId="31483" xr:uid="{00000000-0005-0000-0000-00002F650000}"/>
    <cellStyle name="Comma 11 2 3 2 4 2 3" xfId="31484" xr:uid="{00000000-0005-0000-0000-000030650000}"/>
    <cellStyle name="Comma 11 2 3 2 4 3" xfId="31485" xr:uid="{00000000-0005-0000-0000-000031650000}"/>
    <cellStyle name="Comma 11 2 3 2 4 3 2" xfId="31486" xr:uid="{00000000-0005-0000-0000-000032650000}"/>
    <cellStyle name="Comma 11 2 3 2 4 3 3" xfId="31487" xr:uid="{00000000-0005-0000-0000-000033650000}"/>
    <cellStyle name="Comma 11 2 3 2 4 4" xfId="31488" xr:uid="{00000000-0005-0000-0000-000034650000}"/>
    <cellStyle name="Comma 11 2 3 2 4 4 2" xfId="31489" xr:uid="{00000000-0005-0000-0000-000035650000}"/>
    <cellStyle name="Comma 11 2 3 2 4 5" xfId="31490" xr:uid="{00000000-0005-0000-0000-000036650000}"/>
    <cellStyle name="Comma 11 2 3 2 4 6" xfId="31491" xr:uid="{00000000-0005-0000-0000-000037650000}"/>
    <cellStyle name="Comma 11 2 3 2 5" xfId="31492" xr:uid="{00000000-0005-0000-0000-000038650000}"/>
    <cellStyle name="Comma 11 2 3 2 5 2" xfId="31493" xr:uid="{00000000-0005-0000-0000-000039650000}"/>
    <cellStyle name="Comma 11 2 3 2 5 2 2" xfId="31494" xr:uid="{00000000-0005-0000-0000-00003A650000}"/>
    <cellStyle name="Comma 11 2 3 2 5 2 3" xfId="31495" xr:uid="{00000000-0005-0000-0000-00003B650000}"/>
    <cellStyle name="Comma 11 2 3 2 5 3" xfId="31496" xr:uid="{00000000-0005-0000-0000-00003C650000}"/>
    <cellStyle name="Comma 11 2 3 2 5 3 2" xfId="31497" xr:uid="{00000000-0005-0000-0000-00003D650000}"/>
    <cellStyle name="Comma 11 2 3 2 5 4" xfId="31498" xr:uid="{00000000-0005-0000-0000-00003E650000}"/>
    <cellStyle name="Comma 11 2 3 2 5 5" xfId="31499" xr:uid="{00000000-0005-0000-0000-00003F650000}"/>
    <cellStyle name="Comma 11 2 3 2 6" xfId="31500" xr:uid="{00000000-0005-0000-0000-000040650000}"/>
    <cellStyle name="Comma 11 2 3 2 6 2" xfId="31501" xr:uid="{00000000-0005-0000-0000-000041650000}"/>
    <cellStyle name="Comma 11 2 3 2 6 3" xfId="31502" xr:uid="{00000000-0005-0000-0000-000042650000}"/>
    <cellStyle name="Comma 11 2 3 2 7" xfId="31503" xr:uid="{00000000-0005-0000-0000-000043650000}"/>
    <cellStyle name="Comma 11 2 3 2 7 2" xfId="31504" xr:uid="{00000000-0005-0000-0000-000044650000}"/>
    <cellStyle name="Comma 11 2 3 2 7 3" xfId="31505" xr:uid="{00000000-0005-0000-0000-000045650000}"/>
    <cellStyle name="Comma 11 2 3 2 8" xfId="31506" xr:uid="{00000000-0005-0000-0000-000046650000}"/>
    <cellStyle name="Comma 11 2 3 2 8 2" xfId="31507" xr:uid="{00000000-0005-0000-0000-000047650000}"/>
    <cellStyle name="Comma 11 2 3 2 9" xfId="31508" xr:uid="{00000000-0005-0000-0000-000048650000}"/>
    <cellStyle name="Comma 11 2 3 3" xfId="31509" xr:uid="{00000000-0005-0000-0000-000049650000}"/>
    <cellStyle name="Comma 11 2 3 3 2" xfId="31510" xr:uid="{00000000-0005-0000-0000-00004A650000}"/>
    <cellStyle name="Comma 11 2 3 3 2 2" xfId="31511" xr:uid="{00000000-0005-0000-0000-00004B650000}"/>
    <cellStyle name="Comma 11 2 3 3 2 2 2" xfId="31512" xr:uid="{00000000-0005-0000-0000-00004C650000}"/>
    <cellStyle name="Comma 11 2 3 3 2 2 3" xfId="31513" xr:uid="{00000000-0005-0000-0000-00004D650000}"/>
    <cellStyle name="Comma 11 2 3 3 2 3" xfId="31514" xr:uid="{00000000-0005-0000-0000-00004E650000}"/>
    <cellStyle name="Comma 11 2 3 3 2 3 2" xfId="31515" xr:uid="{00000000-0005-0000-0000-00004F650000}"/>
    <cellStyle name="Comma 11 2 3 3 2 3 3" xfId="31516" xr:uid="{00000000-0005-0000-0000-000050650000}"/>
    <cellStyle name="Comma 11 2 3 3 2 4" xfId="31517" xr:uid="{00000000-0005-0000-0000-000051650000}"/>
    <cellStyle name="Comma 11 2 3 3 2 4 2" xfId="31518" xr:uid="{00000000-0005-0000-0000-000052650000}"/>
    <cellStyle name="Comma 11 2 3 3 2 5" xfId="31519" xr:uid="{00000000-0005-0000-0000-000053650000}"/>
    <cellStyle name="Comma 11 2 3 3 2 6" xfId="31520" xr:uid="{00000000-0005-0000-0000-000054650000}"/>
    <cellStyle name="Comma 11 2 3 3 3" xfId="31521" xr:uid="{00000000-0005-0000-0000-000055650000}"/>
    <cellStyle name="Comma 11 2 3 3 3 2" xfId="31522" xr:uid="{00000000-0005-0000-0000-000056650000}"/>
    <cellStyle name="Comma 11 2 3 3 3 2 2" xfId="31523" xr:uid="{00000000-0005-0000-0000-000057650000}"/>
    <cellStyle name="Comma 11 2 3 3 3 2 3" xfId="31524" xr:uid="{00000000-0005-0000-0000-000058650000}"/>
    <cellStyle name="Comma 11 2 3 3 3 3" xfId="31525" xr:uid="{00000000-0005-0000-0000-000059650000}"/>
    <cellStyle name="Comma 11 2 3 3 3 3 2" xfId="31526" xr:uid="{00000000-0005-0000-0000-00005A650000}"/>
    <cellStyle name="Comma 11 2 3 3 3 3 3" xfId="31527" xr:uid="{00000000-0005-0000-0000-00005B650000}"/>
    <cellStyle name="Comma 11 2 3 3 3 4" xfId="31528" xr:uid="{00000000-0005-0000-0000-00005C650000}"/>
    <cellStyle name="Comma 11 2 3 3 3 4 2" xfId="31529" xr:uid="{00000000-0005-0000-0000-00005D650000}"/>
    <cellStyle name="Comma 11 2 3 3 3 5" xfId="31530" xr:uid="{00000000-0005-0000-0000-00005E650000}"/>
    <cellStyle name="Comma 11 2 3 3 3 6" xfId="31531" xr:uid="{00000000-0005-0000-0000-00005F650000}"/>
    <cellStyle name="Comma 11 2 3 3 4" xfId="31532" xr:uid="{00000000-0005-0000-0000-000060650000}"/>
    <cellStyle name="Comma 11 2 3 3 4 2" xfId="31533" xr:uid="{00000000-0005-0000-0000-000061650000}"/>
    <cellStyle name="Comma 11 2 3 3 4 2 2" xfId="31534" xr:uid="{00000000-0005-0000-0000-000062650000}"/>
    <cellStyle name="Comma 11 2 3 3 4 2 3" xfId="31535" xr:uid="{00000000-0005-0000-0000-000063650000}"/>
    <cellStyle name="Comma 11 2 3 3 4 3" xfId="31536" xr:uid="{00000000-0005-0000-0000-000064650000}"/>
    <cellStyle name="Comma 11 2 3 3 4 3 2" xfId="31537" xr:uid="{00000000-0005-0000-0000-000065650000}"/>
    <cellStyle name="Comma 11 2 3 3 4 4" xfId="31538" xr:uid="{00000000-0005-0000-0000-000066650000}"/>
    <cellStyle name="Comma 11 2 3 3 4 5" xfId="31539" xr:uid="{00000000-0005-0000-0000-000067650000}"/>
    <cellStyle name="Comma 11 2 3 3 5" xfId="31540" xr:uid="{00000000-0005-0000-0000-000068650000}"/>
    <cellStyle name="Comma 11 2 3 3 5 2" xfId="31541" xr:uid="{00000000-0005-0000-0000-000069650000}"/>
    <cellStyle name="Comma 11 2 3 3 5 3" xfId="31542" xr:uid="{00000000-0005-0000-0000-00006A650000}"/>
    <cellStyle name="Comma 11 2 3 3 6" xfId="31543" xr:uid="{00000000-0005-0000-0000-00006B650000}"/>
    <cellStyle name="Comma 11 2 3 3 6 2" xfId="31544" xr:uid="{00000000-0005-0000-0000-00006C650000}"/>
    <cellStyle name="Comma 11 2 3 3 6 3" xfId="31545" xr:uid="{00000000-0005-0000-0000-00006D650000}"/>
    <cellStyle name="Comma 11 2 3 3 7" xfId="31546" xr:uid="{00000000-0005-0000-0000-00006E650000}"/>
    <cellStyle name="Comma 11 2 3 3 7 2" xfId="31547" xr:uid="{00000000-0005-0000-0000-00006F650000}"/>
    <cellStyle name="Comma 11 2 3 3 8" xfId="31548" xr:uid="{00000000-0005-0000-0000-000070650000}"/>
    <cellStyle name="Comma 11 2 3 3 9" xfId="31549" xr:uid="{00000000-0005-0000-0000-000071650000}"/>
    <cellStyle name="Comma 11 2 3 4" xfId="31550" xr:uid="{00000000-0005-0000-0000-000072650000}"/>
    <cellStyle name="Comma 11 2 3 4 2" xfId="31551" xr:uid="{00000000-0005-0000-0000-000073650000}"/>
    <cellStyle name="Comma 11 2 3 4 2 2" xfId="31552" xr:uid="{00000000-0005-0000-0000-000074650000}"/>
    <cellStyle name="Comma 11 2 3 4 2 2 2" xfId="31553" xr:uid="{00000000-0005-0000-0000-000075650000}"/>
    <cellStyle name="Comma 11 2 3 4 2 2 3" xfId="31554" xr:uid="{00000000-0005-0000-0000-000076650000}"/>
    <cellStyle name="Comma 11 2 3 4 2 3" xfId="31555" xr:uid="{00000000-0005-0000-0000-000077650000}"/>
    <cellStyle name="Comma 11 2 3 4 2 3 2" xfId="31556" xr:uid="{00000000-0005-0000-0000-000078650000}"/>
    <cellStyle name="Comma 11 2 3 4 2 3 3" xfId="31557" xr:uid="{00000000-0005-0000-0000-000079650000}"/>
    <cellStyle name="Comma 11 2 3 4 2 4" xfId="31558" xr:uid="{00000000-0005-0000-0000-00007A650000}"/>
    <cellStyle name="Comma 11 2 3 4 2 4 2" xfId="31559" xr:uid="{00000000-0005-0000-0000-00007B650000}"/>
    <cellStyle name="Comma 11 2 3 4 2 5" xfId="31560" xr:uid="{00000000-0005-0000-0000-00007C650000}"/>
    <cellStyle name="Comma 11 2 3 4 2 6" xfId="31561" xr:uid="{00000000-0005-0000-0000-00007D650000}"/>
    <cellStyle name="Comma 11 2 3 4 3" xfId="31562" xr:uid="{00000000-0005-0000-0000-00007E650000}"/>
    <cellStyle name="Comma 11 2 3 4 3 2" xfId="31563" xr:uid="{00000000-0005-0000-0000-00007F650000}"/>
    <cellStyle name="Comma 11 2 3 4 3 2 2" xfId="31564" xr:uid="{00000000-0005-0000-0000-000080650000}"/>
    <cellStyle name="Comma 11 2 3 4 3 2 3" xfId="31565" xr:uid="{00000000-0005-0000-0000-000081650000}"/>
    <cellStyle name="Comma 11 2 3 4 3 3" xfId="31566" xr:uid="{00000000-0005-0000-0000-000082650000}"/>
    <cellStyle name="Comma 11 2 3 4 3 3 2" xfId="31567" xr:uid="{00000000-0005-0000-0000-000083650000}"/>
    <cellStyle name="Comma 11 2 3 4 3 3 3" xfId="31568" xr:uid="{00000000-0005-0000-0000-000084650000}"/>
    <cellStyle name="Comma 11 2 3 4 3 4" xfId="31569" xr:uid="{00000000-0005-0000-0000-000085650000}"/>
    <cellStyle name="Comma 11 2 3 4 3 4 2" xfId="31570" xr:uid="{00000000-0005-0000-0000-000086650000}"/>
    <cellStyle name="Comma 11 2 3 4 3 5" xfId="31571" xr:uid="{00000000-0005-0000-0000-000087650000}"/>
    <cellStyle name="Comma 11 2 3 4 3 6" xfId="31572" xr:uid="{00000000-0005-0000-0000-000088650000}"/>
    <cellStyle name="Comma 11 2 3 4 4" xfId="31573" xr:uid="{00000000-0005-0000-0000-000089650000}"/>
    <cellStyle name="Comma 11 2 3 4 4 2" xfId="31574" xr:uid="{00000000-0005-0000-0000-00008A650000}"/>
    <cellStyle name="Comma 11 2 3 4 4 2 2" xfId="31575" xr:uid="{00000000-0005-0000-0000-00008B650000}"/>
    <cellStyle name="Comma 11 2 3 4 4 2 3" xfId="31576" xr:uid="{00000000-0005-0000-0000-00008C650000}"/>
    <cellStyle name="Comma 11 2 3 4 4 3" xfId="31577" xr:uid="{00000000-0005-0000-0000-00008D650000}"/>
    <cellStyle name="Comma 11 2 3 4 4 3 2" xfId="31578" xr:uid="{00000000-0005-0000-0000-00008E650000}"/>
    <cellStyle name="Comma 11 2 3 4 4 4" xfId="31579" xr:uid="{00000000-0005-0000-0000-00008F650000}"/>
    <cellStyle name="Comma 11 2 3 4 4 5" xfId="31580" xr:uid="{00000000-0005-0000-0000-000090650000}"/>
    <cellStyle name="Comma 11 2 3 4 5" xfId="31581" xr:uid="{00000000-0005-0000-0000-000091650000}"/>
    <cellStyle name="Comma 11 2 3 4 5 2" xfId="31582" xr:uid="{00000000-0005-0000-0000-000092650000}"/>
    <cellStyle name="Comma 11 2 3 4 5 3" xfId="31583" xr:uid="{00000000-0005-0000-0000-000093650000}"/>
    <cellStyle name="Comma 11 2 3 4 6" xfId="31584" xr:uid="{00000000-0005-0000-0000-000094650000}"/>
    <cellStyle name="Comma 11 2 3 4 6 2" xfId="31585" xr:uid="{00000000-0005-0000-0000-000095650000}"/>
    <cellStyle name="Comma 11 2 3 4 6 3" xfId="31586" xr:uid="{00000000-0005-0000-0000-000096650000}"/>
    <cellStyle name="Comma 11 2 3 4 7" xfId="31587" xr:uid="{00000000-0005-0000-0000-000097650000}"/>
    <cellStyle name="Comma 11 2 3 4 7 2" xfId="31588" xr:uid="{00000000-0005-0000-0000-000098650000}"/>
    <cellStyle name="Comma 11 2 3 4 8" xfId="31589" xr:uid="{00000000-0005-0000-0000-000099650000}"/>
    <cellStyle name="Comma 11 2 3 4 9" xfId="31590" xr:uid="{00000000-0005-0000-0000-00009A650000}"/>
    <cellStyle name="Comma 11 2 3 5" xfId="31591" xr:uid="{00000000-0005-0000-0000-00009B650000}"/>
    <cellStyle name="Comma 11 2 3 5 2" xfId="31592" xr:uid="{00000000-0005-0000-0000-00009C650000}"/>
    <cellStyle name="Comma 11 2 3 5 2 2" xfId="31593" xr:uid="{00000000-0005-0000-0000-00009D650000}"/>
    <cellStyle name="Comma 11 2 3 5 2 3" xfId="31594" xr:uid="{00000000-0005-0000-0000-00009E650000}"/>
    <cellStyle name="Comma 11 2 3 5 3" xfId="31595" xr:uid="{00000000-0005-0000-0000-00009F650000}"/>
    <cellStyle name="Comma 11 2 3 5 3 2" xfId="31596" xr:uid="{00000000-0005-0000-0000-0000A0650000}"/>
    <cellStyle name="Comma 11 2 3 5 3 3" xfId="31597" xr:uid="{00000000-0005-0000-0000-0000A1650000}"/>
    <cellStyle name="Comma 11 2 3 5 4" xfId="31598" xr:uid="{00000000-0005-0000-0000-0000A2650000}"/>
    <cellStyle name="Comma 11 2 3 5 4 2" xfId="31599" xr:uid="{00000000-0005-0000-0000-0000A3650000}"/>
    <cellStyle name="Comma 11 2 3 5 5" xfId="31600" xr:uid="{00000000-0005-0000-0000-0000A4650000}"/>
    <cellStyle name="Comma 11 2 3 5 6" xfId="31601" xr:uid="{00000000-0005-0000-0000-0000A5650000}"/>
    <cellStyle name="Comma 11 2 3 6" xfId="31602" xr:uid="{00000000-0005-0000-0000-0000A6650000}"/>
    <cellStyle name="Comma 11 2 3 6 2" xfId="31603" xr:uid="{00000000-0005-0000-0000-0000A7650000}"/>
    <cellStyle name="Comma 11 2 3 6 2 2" xfId="31604" xr:uid="{00000000-0005-0000-0000-0000A8650000}"/>
    <cellStyle name="Comma 11 2 3 6 2 3" xfId="31605" xr:uid="{00000000-0005-0000-0000-0000A9650000}"/>
    <cellStyle name="Comma 11 2 3 6 3" xfId="31606" xr:uid="{00000000-0005-0000-0000-0000AA650000}"/>
    <cellStyle name="Comma 11 2 3 6 3 2" xfId="31607" xr:uid="{00000000-0005-0000-0000-0000AB650000}"/>
    <cellStyle name="Comma 11 2 3 6 3 3" xfId="31608" xr:uid="{00000000-0005-0000-0000-0000AC650000}"/>
    <cellStyle name="Comma 11 2 3 6 4" xfId="31609" xr:uid="{00000000-0005-0000-0000-0000AD650000}"/>
    <cellStyle name="Comma 11 2 3 6 4 2" xfId="31610" xr:uid="{00000000-0005-0000-0000-0000AE650000}"/>
    <cellStyle name="Comma 11 2 3 6 5" xfId="31611" xr:uid="{00000000-0005-0000-0000-0000AF650000}"/>
    <cellStyle name="Comma 11 2 3 6 6" xfId="31612" xr:uid="{00000000-0005-0000-0000-0000B0650000}"/>
    <cellStyle name="Comma 11 2 3 7" xfId="31613" xr:uid="{00000000-0005-0000-0000-0000B1650000}"/>
    <cellStyle name="Comma 11 2 3 7 2" xfId="31614" xr:uid="{00000000-0005-0000-0000-0000B2650000}"/>
    <cellStyle name="Comma 11 2 3 7 2 2" xfId="31615" xr:uid="{00000000-0005-0000-0000-0000B3650000}"/>
    <cellStyle name="Comma 11 2 3 7 2 3" xfId="31616" xr:uid="{00000000-0005-0000-0000-0000B4650000}"/>
    <cellStyle name="Comma 11 2 3 7 3" xfId="31617" xr:uid="{00000000-0005-0000-0000-0000B5650000}"/>
    <cellStyle name="Comma 11 2 3 7 3 2" xfId="31618" xr:uid="{00000000-0005-0000-0000-0000B6650000}"/>
    <cellStyle name="Comma 11 2 3 7 4" xfId="31619" xr:uid="{00000000-0005-0000-0000-0000B7650000}"/>
    <cellStyle name="Comma 11 2 3 7 5" xfId="31620" xr:uid="{00000000-0005-0000-0000-0000B8650000}"/>
    <cellStyle name="Comma 11 2 3 8" xfId="31621" xr:uid="{00000000-0005-0000-0000-0000B9650000}"/>
    <cellStyle name="Comma 11 2 3 8 2" xfId="31622" xr:uid="{00000000-0005-0000-0000-0000BA650000}"/>
    <cellStyle name="Comma 11 2 3 8 3" xfId="31623" xr:uid="{00000000-0005-0000-0000-0000BB650000}"/>
    <cellStyle name="Comma 11 2 3 9" xfId="31624" xr:uid="{00000000-0005-0000-0000-0000BC650000}"/>
    <cellStyle name="Comma 11 2 3 9 2" xfId="31625" xr:uid="{00000000-0005-0000-0000-0000BD650000}"/>
    <cellStyle name="Comma 11 2 3 9 3" xfId="31626" xr:uid="{00000000-0005-0000-0000-0000BE650000}"/>
    <cellStyle name="Comma 11 2 4" xfId="8217" xr:uid="{00000000-0005-0000-0000-0000BF650000}"/>
    <cellStyle name="Comma 11 2 4 10" xfId="31627" xr:uid="{00000000-0005-0000-0000-0000C0650000}"/>
    <cellStyle name="Comma 11 2 4 11" xfId="31628" xr:uid="{00000000-0005-0000-0000-0000C1650000}"/>
    <cellStyle name="Comma 11 2 4 2" xfId="31629" xr:uid="{00000000-0005-0000-0000-0000C2650000}"/>
    <cellStyle name="Comma 11 2 4 2 2" xfId="31630" xr:uid="{00000000-0005-0000-0000-0000C3650000}"/>
    <cellStyle name="Comma 11 2 4 2 2 2" xfId="31631" xr:uid="{00000000-0005-0000-0000-0000C4650000}"/>
    <cellStyle name="Comma 11 2 4 2 2 2 2" xfId="31632" xr:uid="{00000000-0005-0000-0000-0000C5650000}"/>
    <cellStyle name="Comma 11 2 4 2 2 2 3" xfId="31633" xr:uid="{00000000-0005-0000-0000-0000C6650000}"/>
    <cellStyle name="Comma 11 2 4 2 2 3" xfId="31634" xr:uid="{00000000-0005-0000-0000-0000C7650000}"/>
    <cellStyle name="Comma 11 2 4 2 2 3 2" xfId="31635" xr:uid="{00000000-0005-0000-0000-0000C8650000}"/>
    <cellStyle name="Comma 11 2 4 2 2 3 3" xfId="31636" xr:uid="{00000000-0005-0000-0000-0000C9650000}"/>
    <cellStyle name="Comma 11 2 4 2 2 4" xfId="31637" xr:uid="{00000000-0005-0000-0000-0000CA650000}"/>
    <cellStyle name="Comma 11 2 4 2 2 4 2" xfId="31638" xr:uid="{00000000-0005-0000-0000-0000CB650000}"/>
    <cellStyle name="Comma 11 2 4 2 2 5" xfId="31639" xr:uid="{00000000-0005-0000-0000-0000CC650000}"/>
    <cellStyle name="Comma 11 2 4 2 2 6" xfId="31640" xr:uid="{00000000-0005-0000-0000-0000CD650000}"/>
    <cellStyle name="Comma 11 2 4 2 3" xfId="31641" xr:uid="{00000000-0005-0000-0000-0000CE650000}"/>
    <cellStyle name="Comma 11 2 4 2 3 2" xfId="31642" xr:uid="{00000000-0005-0000-0000-0000CF650000}"/>
    <cellStyle name="Comma 11 2 4 2 3 2 2" xfId="31643" xr:uid="{00000000-0005-0000-0000-0000D0650000}"/>
    <cellStyle name="Comma 11 2 4 2 3 2 3" xfId="31644" xr:uid="{00000000-0005-0000-0000-0000D1650000}"/>
    <cellStyle name="Comma 11 2 4 2 3 3" xfId="31645" xr:uid="{00000000-0005-0000-0000-0000D2650000}"/>
    <cellStyle name="Comma 11 2 4 2 3 3 2" xfId="31646" xr:uid="{00000000-0005-0000-0000-0000D3650000}"/>
    <cellStyle name="Comma 11 2 4 2 3 3 3" xfId="31647" xr:uid="{00000000-0005-0000-0000-0000D4650000}"/>
    <cellStyle name="Comma 11 2 4 2 3 4" xfId="31648" xr:uid="{00000000-0005-0000-0000-0000D5650000}"/>
    <cellStyle name="Comma 11 2 4 2 3 4 2" xfId="31649" xr:uid="{00000000-0005-0000-0000-0000D6650000}"/>
    <cellStyle name="Comma 11 2 4 2 3 5" xfId="31650" xr:uid="{00000000-0005-0000-0000-0000D7650000}"/>
    <cellStyle name="Comma 11 2 4 2 3 6" xfId="31651" xr:uid="{00000000-0005-0000-0000-0000D8650000}"/>
    <cellStyle name="Comma 11 2 4 2 4" xfId="31652" xr:uid="{00000000-0005-0000-0000-0000D9650000}"/>
    <cellStyle name="Comma 11 2 4 2 4 2" xfId="31653" xr:uid="{00000000-0005-0000-0000-0000DA650000}"/>
    <cellStyle name="Comma 11 2 4 2 4 2 2" xfId="31654" xr:uid="{00000000-0005-0000-0000-0000DB650000}"/>
    <cellStyle name="Comma 11 2 4 2 4 2 3" xfId="31655" xr:uid="{00000000-0005-0000-0000-0000DC650000}"/>
    <cellStyle name="Comma 11 2 4 2 4 3" xfId="31656" xr:uid="{00000000-0005-0000-0000-0000DD650000}"/>
    <cellStyle name="Comma 11 2 4 2 4 3 2" xfId="31657" xr:uid="{00000000-0005-0000-0000-0000DE650000}"/>
    <cellStyle name="Comma 11 2 4 2 4 4" xfId="31658" xr:uid="{00000000-0005-0000-0000-0000DF650000}"/>
    <cellStyle name="Comma 11 2 4 2 4 5" xfId="31659" xr:uid="{00000000-0005-0000-0000-0000E0650000}"/>
    <cellStyle name="Comma 11 2 4 2 5" xfId="31660" xr:uid="{00000000-0005-0000-0000-0000E1650000}"/>
    <cellStyle name="Comma 11 2 4 2 5 2" xfId="31661" xr:uid="{00000000-0005-0000-0000-0000E2650000}"/>
    <cellStyle name="Comma 11 2 4 2 5 3" xfId="31662" xr:uid="{00000000-0005-0000-0000-0000E3650000}"/>
    <cellStyle name="Comma 11 2 4 2 6" xfId="31663" xr:uid="{00000000-0005-0000-0000-0000E4650000}"/>
    <cellStyle name="Comma 11 2 4 2 6 2" xfId="31664" xr:uid="{00000000-0005-0000-0000-0000E5650000}"/>
    <cellStyle name="Comma 11 2 4 2 6 3" xfId="31665" xr:uid="{00000000-0005-0000-0000-0000E6650000}"/>
    <cellStyle name="Comma 11 2 4 2 7" xfId="31666" xr:uid="{00000000-0005-0000-0000-0000E7650000}"/>
    <cellStyle name="Comma 11 2 4 2 7 2" xfId="31667" xr:uid="{00000000-0005-0000-0000-0000E8650000}"/>
    <cellStyle name="Comma 11 2 4 2 8" xfId="31668" xr:uid="{00000000-0005-0000-0000-0000E9650000}"/>
    <cellStyle name="Comma 11 2 4 2 9" xfId="31669" xr:uid="{00000000-0005-0000-0000-0000EA650000}"/>
    <cellStyle name="Comma 11 2 4 3" xfId="31670" xr:uid="{00000000-0005-0000-0000-0000EB650000}"/>
    <cellStyle name="Comma 11 2 4 3 2" xfId="31671" xr:uid="{00000000-0005-0000-0000-0000EC650000}"/>
    <cellStyle name="Comma 11 2 4 3 2 2" xfId="31672" xr:uid="{00000000-0005-0000-0000-0000ED650000}"/>
    <cellStyle name="Comma 11 2 4 3 2 3" xfId="31673" xr:uid="{00000000-0005-0000-0000-0000EE650000}"/>
    <cellStyle name="Comma 11 2 4 3 3" xfId="31674" xr:uid="{00000000-0005-0000-0000-0000EF650000}"/>
    <cellStyle name="Comma 11 2 4 3 3 2" xfId="31675" xr:uid="{00000000-0005-0000-0000-0000F0650000}"/>
    <cellStyle name="Comma 11 2 4 3 3 3" xfId="31676" xr:uid="{00000000-0005-0000-0000-0000F1650000}"/>
    <cellStyle name="Comma 11 2 4 3 4" xfId="31677" xr:uid="{00000000-0005-0000-0000-0000F2650000}"/>
    <cellStyle name="Comma 11 2 4 3 4 2" xfId="31678" xr:uid="{00000000-0005-0000-0000-0000F3650000}"/>
    <cellStyle name="Comma 11 2 4 3 5" xfId="31679" xr:uid="{00000000-0005-0000-0000-0000F4650000}"/>
    <cellStyle name="Comma 11 2 4 3 6" xfId="31680" xr:uid="{00000000-0005-0000-0000-0000F5650000}"/>
    <cellStyle name="Comma 11 2 4 4" xfId="31681" xr:uid="{00000000-0005-0000-0000-0000F6650000}"/>
    <cellStyle name="Comma 11 2 4 4 2" xfId="31682" xr:uid="{00000000-0005-0000-0000-0000F7650000}"/>
    <cellStyle name="Comma 11 2 4 4 2 2" xfId="31683" xr:uid="{00000000-0005-0000-0000-0000F8650000}"/>
    <cellStyle name="Comma 11 2 4 4 2 3" xfId="31684" xr:uid="{00000000-0005-0000-0000-0000F9650000}"/>
    <cellStyle name="Comma 11 2 4 4 3" xfId="31685" xr:uid="{00000000-0005-0000-0000-0000FA650000}"/>
    <cellStyle name="Comma 11 2 4 4 3 2" xfId="31686" xr:uid="{00000000-0005-0000-0000-0000FB650000}"/>
    <cellStyle name="Comma 11 2 4 4 3 3" xfId="31687" xr:uid="{00000000-0005-0000-0000-0000FC650000}"/>
    <cellStyle name="Comma 11 2 4 4 4" xfId="31688" xr:uid="{00000000-0005-0000-0000-0000FD650000}"/>
    <cellStyle name="Comma 11 2 4 4 4 2" xfId="31689" xr:uid="{00000000-0005-0000-0000-0000FE650000}"/>
    <cellStyle name="Comma 11 2 4 4 5" xfId="31690" xr:uid="{00000000-0005-0000-0000-0000FF650000}"/>
    <cellStyle name="Comma 11 2 4 4 6" xfId="31691" xr:uid="{00000000-0005-0000-0000-000000660000}"/>
    <cellStyle name="Comma 11 2 4 5" xfId="31692" xr:uid="{00000000-0005-0000-0000-000001660000}"/>
    <cellStyle name="Comma 11 2 4 5 2" xfId="31693" xr:uid="{00000000-0005-0000-0000-000002660000}"/>
    <cellStyle name="Comma 11 2 4 5 2 2" xfId="31694" xr:uid="{00000000-0005-0000-0000-000003660000}"/>
    <cellStyle name="Comma 11 2 4 5 2 3" xfId="31695" xr:uid="{00000000-0005-0000-0000-000004660000}"/>
    <cellStyle name="Comma 11 2 4 5 3" xfId="31696" xr:uid="{00000000-0005-0000-0000-000005660000}"/>
    <cellStyle name="Comma 11 2 4 5 3 2" xfId="31697" xr:uid="{00000000-0005-0000-0000-000006660000}"/>
    <cellStyle name="Comma 11 2 4 5 4" xfId="31698" xr:uid="{00000000-0005-0000-0000-000007660000}"/>
    <cellStyle name="Comma 11 2 4 5 5" xfId="31699" xr:uid="{00000000-0005-0000-0000-000008660000}"/>
    <cellStyle name="Comma 11 2 4 6" xfId="31700" xr:uid="{00000000-0005-0000-0000-000009660000}"/>
    <cellStyle name="Comma 11 2 4 6 2" xfId="31701" xr:uid="{00000000-0005-0000-0000-00000A660000}"/>
    <cellStyle name="Comma 11 2 4 6 3" xfId="31702" xr:uid="{00000000-0005-0000-0000-00000B660000}"/>
    <cellStyle name="Comma 11 2 4 7" xfId="31703" xr:uid="{00000000-0005-0000-0000-00000C660000}"/>
    <cellStyle name="Comma 11 2 4 7 2" xfId="31704" xr:uid="{00000000-0005-0000-0000-00000D660000}"/>
    <cellStyle name="Comma 11 2 4 7 3" xfId="31705" xr:uid="{00000000-0005-0000-0000-00000E660000}"/>
    <cellStyle name="Comma 11 2 4 8" xfId="31706" xr:uid="{00000000-0005-0000-0000-00000F660000}"/>
    <cellStyle name="Comma 11 2 4 8 2" xfId="31707" xr:uid="{00000000-0005-0000-0000-000010660000}"/>
    <cellStyle name="Comma 11 2 4 9" xfId="31708" xr:uid="{00000000-0005-0000-0000-000011660000}"/>
    <cellStyle name="Comma 11 2 5" xfId="31709" xr:uid="{00000000-0005-0000-0000-000012660000}"/>
    <cellStyle name="Comma 11 2 5 2" xfId="31710" xr:uid="{00000000-0005-0000-0000-000013660000}"/>
    <cellStyle name="Comma 11 2 5 2 2" xfId="31711" xr:uid="{00000000-0005-0000-0000-000014660000}"/>
    <cellStyle name="Comma 11 2 5 2 2 2" xfId="31712" xr:uid="{00000000-0005-0000-0000-000015660000}"/>
    <cellStyle name="Comma 11 2 5 2 2 3" xfId="31713" xr:uid="{00000000-0005-0000-0000-000016660000}"/>
    <cellStyle name="Comma 11 2 5 2 3" xfId="31714" xr:uid="{00000000-0005-0000-0000-000017660000}"/>
    <cellStyle name="Comma 11 2 5 2 3 2" xfId="31715" xr:uid="{00000000-0005-0000-0000-000018660000}"/>
    <cellStyle name="Comma 11 2 5 2 3 3" xfId="31716" xr:uid="{00000000-0005-0000-0000-000019660000}"/>
    <cellStyle name="Comma 11 2 5 2 4" xfId="31717" xr:uid="{00000000-0005-0000-0000-00001A660000}"/>
    <cellStyle name="Comma 11 2 5 2 4 2" xfId="31718" xr:uid="{00000000-0005-0000-0000-00001B660000}"/>
    <cellStyle name="Comma 11 2 5 2 5" xfId="31719" xr:uid="{00000000-0005-0000-0000-00001C660000}"/>
    <cellStyle name="Comma 11 2 5 2 6" xfId="31720" xr:uid="{00000000-0005-0000-0000-00001D660000}"/>
    <cellStyle name="Comma 11 2 5 3" xfId="31721" xr:uid="{00000000-0005-0000-0000-00001E660000}"/>
    <cellStyle name="Comma 11 2 5 3 2" xfId="31722" xr:uid="{00000000-0005-0000-0000-00001F660000}"/>
    <cellStyle name="Comma 11 2 5 3 2 2" xfId="31723" xr:uid="{00000000-0005-0000-0000-000020660000}"/>
    <cellStyle name="Comma 11 2 5 3 2 3" xfId="31724" xr:uid="{00000000-0005-0000-0000-000021660000}"/>
    <cellStyle name="Comma 11 2 5 3 3" xfId="31725" xr:uid="{00000000-0005-0000-0000-000022660000}"/>
    <cellStyle name="Comma 11 2 5 3 3 2" xfId="31726" xr:uid="{00000000-0005-0000-0000-000023660000}"/>
    <cellStyle name="Comma 11 2 5 3 3 3" xfId="31727" xr:uid="{00000000-0005-0000-0000-000024660000}"/>
    <cellStyle name="Comma 11 2 5 3 4" xfId="31728" xr:uid="{00000000-0005-0000-0000-000025660000}"/>
    <cellStyle name="Comma 11 2 5 3 4 2" xfId="31729" xr:uid="{00000000-0005-0000-0000-000026660000}"/>
    <cellStyle name="Comma 11 2 5 3 5" xfId="31730" xr:uid="{00000000-0005-0000-0000-000027660000}"/>
    <cellStyle name="Comma 11 2 5 3 6" xfId="31731" xr:uid="{00000000-0005-0000-0000-000028660000}"/>
    <cellStyle name="Comma 11 2 5 4" xfId="31732" xr:uid="{00000000-0005-0000-0000-000029660000}"/>
    <cellStyle name="Comma 11 2 5 4 2" xfId="31733" xr:uid="{00000000-0005-0000-0000-00002A660000}"/>
    <cellStyle name="Comma 11 2 5 4 2 2" xfId="31734" xr:uid="{00000000-0005-0000-0000-00002B660000}"/>
    <cellStyle name="Comma 11 2 5 4 2 3" xfId="31735" xr:uid="{00000000-0005-0000-0000-00002C660000}"/>
    <cellStyle name="Comma 11 2 5 4 3" xfId="31736" xr:uid="{00000000-0005-0000-0000-00002D660000}"/>
    <cellStyle name="Comma 11 2 5 4 3 2" xfId="31737" xr:uid="{00000000-0005-0000-0000-00002E660000}"/>
    <cellStyle name="Comma 11 2 5 4 4" xfId="31738" xr:uid="{00000000-0005-0000-0000-00002F660000}"/>
    <cellStyle name="Comma 11 2 5 4 5" xfId="31739" xr:uid="{00000000-0005-0000-0000-000030660000}"/>
    <cellStyle name="Comma 11 2 5 5" xfId="31740" xr:uid="{00000000-0005-0000-0000-000031660000}"/>
    <cellStyle name="Comma 11 2 5 5 2" xfId="31741" xr:uid="{00000000-0005-0000-0000-000032660000}"/>
    <cellStyle name="Comma 11 2 5 5 3" xfId="31742" xr:uid="{00000000-0005-0000-0000-000033660000}"/>
    <cellStyle name="Comma 11 2 5 6" xfId="31743" xr:uid="{00000000-0005-0000-0000-000034660000}"/>
    <cellStyle name="Comma 11 2 5 6 2" xfId="31744" xr:uid="{00000000-0005-0000-0000-000035660000}"/>
    <cellStyle name="Comma 11 2 5 6 3" xfId="31745" xr:uid="{00000000-0005-0000-0000-000036660000}"/>
    <cellStyle name="Comma 11 2 5 7" xfId="31746" xr:uid="{00000000-0005-0000-0000-000037660000}"/>
    <cellStyle name="Comma 11 2 5 7 2" xfId="31747" xr:uid="{00000000-0005-0000-0000-000038660000}"/>
    <cellStyle name="Comma 11 2 5 8" xfId="31748" xr:uid="{00000000-0005-0000-0000-000039660000}"/>
    <cellStyle name="Comma 11 2 5 9" xfId="31749" xr:uid="{00000000-0005-0000-0000-00003A660000}"/>
    <cellStyle name="Comma 11 2 6" xfId="31750" xr:uid="{00000000-0005-0000-0000-00003B660000}"/>
    <cellStyle name="Comma 11 2 6 2" xfId="31751" xr:uid="{00000000-0005-0000-0000-00003C660000}"/>
    <cellStyle name="Comma 11 2 6 2 2" xfId="31752" xr:uid="{00000000-0005-0000-0000-00003D660000}"/>
    <cellStyle name="Comma 11 2 6 2 2 2" xfId="31753" xr:uid="{00000000-0005-0000-0000-00003E660000}"/>
    <cellStyle name="Comma 11 2 6 2 2 3" xfId="31754" xr:uid="{00000000-0005-0000-0000-00003F660000}"/>
    <cellStyle name="Comma 11 2 6 2 3" xfId="31755" xr:uid="{00000000-0005-0000-0000-000040660000}"/>
    <cellStyle name="Comma 11 2 6 2 3 2" xfId="31756" xr:uid="{00000000-0005-0000-0000-000041660000}"/>
    <cellStyle name="Comma 11 2 6 2 3 3" xfId="31757" xr:uid="{00000000-0005-0000-0000-000042660000}"/>
    <cellStyle name="Comma 11 2 6 2 4" xfId="31758" xr:uid="{00000000-0005-0000-0000-000043660000}"/>
    <cellStyle name="Comma 11 2 6 2 4 2" xfId="31759" xr:uid="{00000000-0005-0000-0000-000044660000}"/>
    <cellStyle name="Comma 11 2 6 2 5" xfId="31760" xr:uid="{00000000-0005-0000-0000-000045660000}"/>
    <cellStyle name="Comma 11 2 6 2 6" xfId="31761" xr:uid="{00000000-0005-0000-0000-000046660000}"/>
    <cellStyle name="Comma 11 2 6 3" xfId="31762" xr:uid="{00000000-0005-0000-0000-000047660000}"/>
    <cellStyle name="Comma 11 2 6 3 2" xfId="31763" xr:uid="{00000000-0005-0000-0000-000048660000}"/>
    <cellStyle name="Comma 11 2 6 3 2 2" xfId="31764" xr:uid="{00000000-0005-0000-0000-000049660000}"/>
    <cellStyle name="Comma 11 2 6 3 2 3" xfId="31765" xr:uid="{00000000-0005-0000-0000-00004A660000}"/>
    <cellStyle name="Comma 11 2 6 3 3" xfId="31766" xr:uid="{00000000-0005-0000-0000-00004B660000}"/>
    <cellStyle name="Comma 11 2 6 3 3 2" xfId="31767" xr:uid="{00000000-0005-0000-0000-00004C660000}"/>
    <cellStyle name="Comma 11 2 6 3 3 3" xfId="31768" xr:uid="{00000000-0005-0000-0000-00004D660000}"/>
    <cellStyle name="Comma 11 2 6 3 4" xfId="31769" xr:uid="{00000000-0005-0000-0000-00004E660000}"/>
    <cellStyle name="Comma 11 2 6 3 4 2" xfId="31770" xr:uid="{00000000-0005-0000-0000-00004F660000}"/>
    <cellStyle name="Comma 11 2 6 3 5" xfId="31771" xr:uid="{00000000-0005-0000-0000-000050660000}"/>
    <cellStyle name="Comma 11 2 6 3 6" xfId="31772" xr:uid="{00000000-0005-0000-0000-000051660000}"/>
    <cellStyle name="Comma 11 2 6 4" xfId="31773" xr:uid="{00000000-0005-0000-0000-000052660000}"/>
    <cellStyle name="Comma 11 2 6 4 2" xfId="31774" xr:uid="{00000000-0005-0000-0000-000053660000}"/>
    <cellStyle name="Comma 11 2 6 4 2 2" xfId="31775" xr:uid="{00000000-0005-0000-0000-000054660000}"/>
    <cellStyle name="Comma 11 2 6 4 2 3" xfId="31776" xr:uid="{00000000-0005-0000-0000-000055660000}"/>
    <cellStyle name="Comma 11 2 6 4 3" xfId="31777" xr:uid="{00000000-0005-0000-0000-000056660000}"/>
    <cellStyle name="Comma 11 2 6 4 3 2" xfId="31778" xr:uid="{00000000-0005-0000-0000-000057660000}"/>
    <cellStyle name="Comma 11 2 6 4 4" xfId="31779" xr:uid="{00000000-0005-0000-0000-000058660000}"/>
    <cellStyle name="Comma 11 2 6 4 5" xfId="31780" xr:uid="{00000000-0005-0000-0000-000059660000}"/>
    <cellStyle name="Comma 11 2 6 5" xfId="31781" xr:uid="{00000000-0005-0000-0000-00005A660000}"/>
    <cellStyle name="Comma 11 2 6 5 2" xfId="31782" xr:uid="{00000000-0005-0000-0000-00005B660000}"/>
    <cellStyle name="Comma 11 2 6 5 3" xfId="31783" xr:uid="{00000000-0005-0000-0000-00005C660000}"/>
    <cellStyle name="Comma 11 2 6 6" xfId="31784" xr:uid="{00000000-0005-0000-0000-00005D660000}"/>
    <cellStyle name="Comma 11 2 6 6 2" xfId="31785" xr:uid="{00000000-0005-0000-0000-00005E660000}"/>
    <cellStyle name="Comma 11 2 6 6 3" xfId="31786" xr:uid="{00000000-0005-0000-0000-00005F660000}"/>
    <cellStyle name="Comma 11 2 6 7" xfId="31787" xr:uid="{00000000-0005-0000-0000-000060660000}"/>
    <cellStyle name="Comma 11 2 6 7 2" xfId="31788" xr:uid="{00000000-0005-0000-0000-000061660000}"/>
    <cellStyle name="Comma 11 2 6 8" xfId="31789" xr:uid="{00000000-0005-0000-0000-000062660000}"/>
    <cellStyle name="Comma 11 2 6 9" xfId="31790" xr:uid="{00000000-0005-0000-0000-000063660000}"/>
    <cellStyle name="Comma 11 2 7" xfId="31791" xr:uid="{00000000-0005-0000-0000-000064660000}"/>
    <cellStyle name="Comma 11 2 7 2" xfId="31792" xr:uid="{00000000-0005-0000-0000-000065660000}"/>
    <cellStyle name="Comma 11 2 7 2 2" xfId="31793" xr:uid="{00000000-0005-0000-0000-000066660000}"/>
    <cellStyle name="Comma 11 2 7 2 3" xfId="31794" xr:uid="{00000000-0005-0000-0000-000067660000}"/>
    <cellStyle name="Comma 11 2 7 3" xfId="31795" xr:uid="{00000000-0005-0000-0000-000068660000}"/>
    <cellStyle name="Comma 11 2 7 3 2" xfId="31796" xr:uid="{00000000-0005-0000-0000-000069660000}"/>
    <cellStyle name="Comma 11 2 7 3 3" xfId="31797" xr:uid="{00000000-0005-0000-0000-00006A660000}"/>
    <cellStyle name="Comma 11 2 7 4" xfId="31798" xr:uid="{00000000-0005-0000-0000-00006B660000}"/>
    <cellStyle name="Comma 11 2 7 4 2" xfId="31799" xr:uid="{00000000-0005-0000-0000-00006C660000}"/>
    <cellStyle name="Comma 11 2 7 5" xfId="31800" xr:uid="{00000000-0005-0000-0000-00006D660000}"/>
    <cellStyle name="Comma 11 2 7 6" xfId="31801" xr:uid="{00000000-0005-0000-0000-00006E660000}"/>
    <cellStyle name="Comma 11 2 8" xfId="31802" xr:uid="{00000000-0005-0000-0000-00006F660000}"/>
    <cellStyle name="Comma 11 2 8 2" xfId="31803" xr:uid="{00000000-0005-0000-0000-000070660000}"/>
    <cellStyle name="Comma 11 2 8 2 2" xfId="31804" xr:uid="{00000000-0005-0000-0000-000071660000}"/>
    <cellStyle name="Comma 11 2 8 2 3" xfId="31805" xr:uid="{00000000-0005-0000-0000-000072660000}"/>
    <cellStyle name="Comma 11 2 8 3" xfId="31806" xr:uid="{00000000-0005-0000-0000-000073660000}"/>
    <cellStyle name="Comma 11 2 8 3 2" xfId="31807" xr:uid="{00000000-0005-0000-0000-000074660000}"/>
    <cellStyle name="Comma 11 2 8 3 3" xfId="31808" xr:uid="{00000000-0005-0000-0000-000075660000}"/>
    <cellStyle name="Comma 11 2 8 4" xfId="31809" xr:uid="{00000000-0005-0000-0000-000076660000}"/>
    <cellStyle name="Comma 11 2 8 4 2" xfId="31810" xr:uid="{00000000-0005-0000-0000-000077660000}"/>
    <cellStyle name="Comma 11 2 8 5" xfId="31811" xr:uid="{00000000-0005-0000-0000-000078660000}"/>
    <cellStyle name="Comma 11 2 8 6" xfId="31812" xr:uid="{00000000-0005-0000-0000-000079660000}"/>
    <cellStyle name="Comma 11 2 9" xfId="31813" xr:uid="{00000000-0005-0000-0000-00007A660000}"/>
    <cellStyle name="Comma 11 2 9 2" xfId="31814" xr:uid="{00000000-0005-0000-0000-00007B660000}"/>
    <cellStyle name="Comma 11 2 9 2 2" xfId="31815" xr:uid="{00000000-0005-0000-0000-00007C660000}"/>
    <cellStyle name="Comma 11 2 9 2 3" xfId="31816" xr:uid="{00000000-0005-0000-0000-00007D660000}"/>
    <cellStyle name="Comma 11 2 9 3" xfId="31817" xr:uid="{00000000-0005-0000-0000-00007E660000}"/>
    <cellStyle name="Comma 11 2 9 3 2" xfId="31818" xr:uid="{00000000-0005-0000-0000-00007F660000}"/>
    <cellStyle name="Comma 11 2 9 4" xfId="31819" xr:uid="{00000000-0005-0000-0000-000080660000}"/>
    <cellStyle name="Comma 11 2 9 5" xfId="31820" xr:uid="{00000000-0005-0000-0000-000081660000}"/>
    <cellStyle name="Comma 11 3" xfId="8218" xr:uid="{00000000-0005-0000-0000-000082660000}"/>
    <cellStyle name="Comma 11 3 10" xfId="31821" xr:uid="{00000000-0005-0000-0000-000083660000}"/>
    <cellStyle name="Comma 11 3 10 2" xfId="31822" xr:uid="{00000000-0005-0000-0000-000084660000}"/>
    <cellStyle name="Comma 11 3 10 3" xfId="31823" xr:uid="{00000000-0005-0000-0000-000085660000}"/>
    <cellStyle name="Comma 11 3 11" xfId="31824" xr:uid="{00000000-0005-0000-0000-000086660000}"/>
    <cellStyle name="Comma 11 3 11 2" xfId="31825" xr:uid="{00000000-0005-0000-0000-000087660000}"/>
    <cellStyle name="Comma 11 3 12" xfId="31826" xr:uid="{00000000-0005-0000-0000-000088660000}"/>
    <cellStyle name="Comma 11 3 13" xfId="31827" xr:uid="{00000000-0005-0000-0000-000089660000}"/>
    <cellStyle name="Comma 11 3 14" xfId="31828" xr:uid="{00000000-0005-0000-0000-00008A660000}"/>
    <cellStyle name="Comma 11 3 2" xfId="8219" xr:uid="{00000000-0005-0000-0000-00008B660000}"/>
    <cellStyle name="Comma 11 3 2 10" xfId="31829" xr:uid="{00000000-0005-0000-0000-00008C660000}"/>
    <cellStyle name="Comma 11 3 2 10 2" xfId="31830" xr:uid="{00000000-0005-0000-0000-00008D660000}"/>
    <cellStyle name="Comma 11 3 2 11" xfId="31831" xr:uid="{00000000-0005-0000-0000-00008E660000}"/>
    <cellStyle name="Comma 11 3 2 12" xfId="31832" xr:uid="{00000000-0005-0000-0000-00008F660000}"/>
    <cellStyle name="Comma 11 3 2 13" xfId="31833" xr:uid="{00000000-0005-0000-0000-000090660000}"/>
    <cellStyle name="Comma 11 3 2 2" xfId="8220" xr:uid="{00000000-0005-0000-0000-000091660000}"/>
    <cellStyle name="Comma 11 3 2 2 10" xfId="31834" xr:uid="{00000000-0005-0000-0000-000092660000}"/>
    <cellStyle name="Comma 11 3 2 2 11" xfId="31835" xr:uid="{00000000-0005-0000-0000-000093660000}"/>
    <cellStyle name="Comma 11 3 2 2 2" xfId="31836" xr:uid="{00000000-0005-0000-0000-000094660000}"/>
    <cellStyle name="Comma 11 3 2 2 2 2" xfId="31837" xr:uid="{00000000-0005-0000-0000-000095660000}"/>
    <cellStyle name="Comma 11 3 2 2 2 2 2" xfId="31838" xr:uid="{00000000-0005-0000-0000-000096660000}"/>
    <cellStyle name="Comma 11 3 2 2 2 2 2 2" xfId="31839" xr:uid="{00000000-0005-0000-0000-000097660000}"/>
    <cellStyle name="Comma 11 3 2 2 2 2 2 3" xfId="31840" xr:uid="{00000000-0005-0000-0000-000098660000}"/>
    <cellStyle name="Comma 11 3 2 2 2 2 3" xfId="31841" xr:uid="{00000000-0005-0000-0000-000099660000}"/>
    <cellStyle name="Comma 11 3 2 2 2 2 3 2" xfId="31842" xr:uid="{00000000-0005-0000-0000-00009A660000}"/>
    <cellStyle name="Comma 11 3 2 2 2 2 3 3" xfId="31843" xr:uid="{00000000-0005-0000-0000-00009B660000}"/>
    <cellStyle name="Comma 11 3 2 2 2 2 4" xfId="31844" xr:uid="{00000000-0005-0000-0000-00009C660000}"/>
    <cellStyle name="Comma 11 3 2 2 2 2 4 2" xfId="31845" xr:uid="{00000000-0005-0000-0000-00009D660000}"/>
    <cellStyle name="Comma 11 3 2 2 2 2 5" xfId="31846" xr:uid="{00000000-0005-0000-0000-00009E660000}"/>
    <cellStyle name="Comma 11 3 2 2 2 2 6" xfId="31847" xr:uid="{00000000-0005-0000-0000-00009F660000}"/>
    <cellStyle name="Comma 11 3 2 2 2 3" xfId="31848" xr:uid="{00000000-0005-0000-0000-0000A0660000}"/>
    <cellStyle name="Comma 11 3 2 2 2 3 2" xfId="31849" xr:uid="{00000000-0005-0000-0000-0000A1660000}"/>
    <cellStyle name="Comma 11 3 2 2 2 3 2 2" xfId="31850" xr:uid="{00000000-0005-0000-0000-0000A2660000}"/>
    <cellStyle name="Comma 11 3 2 2 2 3 2 3" xfId="31851" xr:uid="{00000000-0005-0000-0000-0000A3660000}"/>
    <cellStyle name="Comma 11 3 2 2 2 3 3" xfId="31852" xr:uid="{00000000-0005-0000-0000-0000A4660000}"/>
    <cellStyle name="Comma 11 3 2 2 2 3 3 2" xfId="31853" xr:uid="{00000000-0005-0000-0000-0000A5660000}"/>
    <cellStyle name="Comma 11 3 2 2 2 3 3 3" xfId="31854" xr:uid="{00000000-0005-0000-0000-0000A6660000}"/>
    <cellStyle name="Comma 11 3 2 2 2 3 4" xfId="31855" xr:uid="{00000000-0005-0000-0000-0000A7660000}"/>
    <cellStyle name="Comma 11 3 2 2 2 3 4 2" xfId="31856" xr:uid="{00000000-0005-0000-0000-0000A8660000}"/>
    <cellStyle name="Comma 11 3 2 2 2 3 5" xfId="31857" xr:uid="{00000000-0005-0000-0000-0000A9660000}"/>
    <cellStyle name="Comma 11 3 2 2 2 3 6" xfId="31858" xr:uid="{00000000-0005-0000-0000-0000AA660000}"/>
    <cellStyle name="Comma 11 3 2 2 2 4" xfId="31859" xr:uid="{00000000-0005-0000-0000-0000AB660000}"/>
    <cellStyle name="Comma 11 3 2 2 2 4 2" xfId="31860" xr:uid="{00000000-0005-0000-0000-0000AC660000}"/>
    <cellStyle name="Comma 11 3 2 2 2 4 2 2" xfId="31861" xr:uid="{00000000-0005-0000-0000-0000AD660000}"/>
    <cellStyle name="Comma 11 3 2 2 2 4 2 3" xfId="31862" xr:uid="{00000000-0005-0000-0000-0000AE660000}"/>
    <cellStyle name="Comma 11 3 2 2 2 4 3" xfId="31863" xr:uid="{00000000-0005-0000-0000-0000AF660000}"/>
    <cellStyle name="Comma 11 3 2 2 2 4 3 2" xfId="31864" xr:uid="{00000000-0005-0000-0000-0000B0660000}"/>
    <cellStyle name="Comma 11 3 2 2 2 4 4" xfId="31865" xr:uid="{00000000-0005-0000-0000-0000B1660000}"/>
    <cellStyle name="Comma 11 3 2 2 2 4 5" xfId="31866" xr:uid="{00000000-0005-0000-0000-0000B2660000}"/>
    <cellStyle name="Comma 11 3 2 2 2 5" xfId="31867" xr:uid="{00000000-0005-0000-0000-0000B3660000}"/>
    <cellStyle name="Comma 11 3 2 2 2 5 2" xfId="31868" xr:uid="{00000000-0005-0000-0000-0000B4660000}"/>
    <cellStyle name="Comma 11 3 2 2 2 5 3" xfId="31869" xr:uid="{00000000-0005-0000-0000-0000B5660000}"/>
    <cellStyle name="Comma 11 3 2 2 2 6" xfId="31870" xr:uid="{00000000-0005-0000-0000-0000B6660000}"/>
    <cellStyle name="Comma 11 3 2 2 2 6 2" xfId="31871" xr:uid="{00000000-0005-0000-0000-0000B7660000}"/>
    <cellStyle name="Comma 11 3 2 2 2 6 3" xfId="31872" xr:uid="{00000000-0005-0000-0000-0000B8660000}"/>
    <cellStyle name="Comma 11 3 2 2 2 7" xfId="31873" xr:uid="{00000000-0005-0000-0000-0000B9660000}"/>
    <cellStyle name="Comma 11 3 2 2 2 7 2" xfId="31874" xr:uid="{00000000-0005-0000-0000-0000BA660000}"/>
    <cellStyle name="Comma 11 3 2 2 2 8" xfId="31875" xr:uid="{00000000-0005-0000-0000-0000BB660000}"/>
    <cellStyle name="Comma 11 3 2 2 2 9" xfId="31876" xr:uid="{00000000-0005-0000-0000-0000BC660000}"/>
    <cellStyle name="Comma 11 3 2 2 3" xfId="31877" xr:uid="{00000000-0005-0000-0000-0000BD660000}"/>
    <cellStyle name="Comma 11 3 2 2 3 2" xfId="31878" xr:uid="{00000000-0005-0000-0000-0000BE660000}"/>
    <cellStyle name="Comma 11 3 2 2 3 2 2" xfId="31879" xr:uid="{00000000-0005-0000-0000-0000BF660000}"/>
    <cellStyle name="Comma 11 3 2 2 3 2 3" xfId="31880" xr:uid="{00000000-0005-0000-0000-0000C0660000}"/>
    <cellStyle name="Comma 11 3 2 2 3 3" xfId="31881" xr:uid="{00000000-0005-0000-0000-0000C1660000}"/>
    <cellStyle name="Comma 11 3 2 2 3 3 2" xfId="31882" xr:uid="{00000000-0005-0000-0000-0000C2660000}"/>
    <cellStyle name="Comma 11 3 2 2 3 3 3" xfId="31883" xr:uid="{00000000-0005-0000-0000-0000C3660000}"/>
    <cellStyle name="Comma 11 3 2 2 3 4" xfId="31884" xr:uid="{00000000-0005-0000-0000-0000C4660000}"/>
    <cellStyle name="Comma 11 3 2 2 3 4 2" xfId="31885" xr:uid="{00000000-0005-0000-0000-0000C5660000}"/>
    <cellStyle name="Comma 11 3 2 2 3 5" xfId="31886" xr:uid="{00000000-0005-0000-0000-0000C6660000}"/>
    <cellStyle name="Comma 11 3 2 2 3 6" xfId="31887" xr:uid="{00000000-0005-0000-0000-0000C7660000}"/>
    <cellStyle name="Comma 11 3 2 2 4" xfId="31888" xr:uid="{00000000-0005-0000-0000-0000C8660000}"/>
    <cellStyle name="Comma 11 3 2 2 4 2" xfId="31889" xr:uid="{00000000-0005-0000-0000-0000C9660000}"/>
    <cellStyle name="Comma 11 3 2 2 4 2 2" xfId="31890" xr:uid="{00000000-0005-0000-0000-0000CA660000}"/>
    <cellStyle name="Comma 11 3 2 2 4 2 3" xfId="31891" xr:uid="{00000000-0005-0000-0000-0000CB660000}"/>
    <cellStyle name="Comma 11 3 2 2 4 3" xfId="31892" xr:uid="{00000000-0005-0000-0000-0000CC660000}"/>
    <cellStyle name="Comma 11 3 2 2 4 3 2" xfId="31893" xr:uid="{00000000-0005-0000-0000-0000CD660000}"/>
    <cellStyle name="Comma 11 3 2 2 4 3 3" xfId="31894" xr:uid="{00000000-0005-0000-0000-0000CE660000}"/>
    <cellStyle name="Comma 11 3 2 2 4 4" xfId="31895" xr:uid="{00000000-0005-0000-0000-0000CF660000}"/>
    <cellStyle name="Comma 11 3 2 2 4 4 2" xfId="31896" xr:uid="{00000000-0005-0000-0000-0000D0660000}"/>
    <cellStyle name="Comma 11 3 2 2 4 5" xfId="31897" xr:uid="{00000000-0005-0000-0000-0000D1660000}"/>
    <cellStyle name="Comma 11 3 2 2 4 6" xfId="31898" xr:uid="{00000000-0005-0000-0000-0000D2660000}"/>
    <cellStyle name="Comma 11 3 2 2 5" xfId="31899" xr:uid="{00000000-0005-0000-0000-0000D3660000}"/>
    <cellStyle name="Comma 11 3 2 2 5 2" xfId="31900" xr:uid="{00000000-0005-0000-0000-0000D4660000}"/>
    <cellStyle name="Comma 11 3 2 2 5 2 2" xfId="31901" xr:uid="{00000000-0005-0000-0000-0000D5660000}"/>
    <cellStyle name="Comma 11 3 2 2 5 2 3" xfId="31902" xr:uid="{00000000-0005-0000-0000-0000D6660000}"/>
    <cellStyle name="Comma 11 3 2 2 5 3" xfId="31903" xr:uid="{00000000-0005-0000-0000-0000D7660000}"/>
    <cellStyle name="Comma 11 3 2 2 5 3 2" xfId="31904" xr:uid="{00000000-0005-0000-0000-0000D8660000}"/>
    <cellStyle name="Comma 11 3 2 2 5 4" xfId="31905" xr:uid="{00000000-0005-0000-0000-0000D9660000}"/>
    <cellStyle name="Comma 11 3 2 2 5 5" xfId="31906" xr:uid="{00000000-0005-0000-0000-0000DA660000}"/>
    <cellStyle name="Comma 11 3 2 2 6" xfId="31907" xr:uid="{00000000-0005-0000-0000-0000DB660000}"/>
    <cellStyle name="Comma 11 3 2 2 6 2" xfId="31908" xr:uid="{00000000-0005-0000-0000-0000DC660000}"/>
    <cellStyle name="Comma 11 3 2 2 6 3" xfId="31909" xr:uid="{00000000-0005-0000-0000-0000DD660000}"/>
    <cellStyle name="Comma 11 3 2 2 7" xfId="31910" xr:uid="{00000000-0005-0000-0000-0000DE660000}"/>
    <cellStyle name="Comma 11 3 2 2 7 2" xfId="31911" xr:uid="{00000000-0005-0000-0000-0000DF660000}"/>
    <cellStyle name="Comma 11 3 2 2 7 3" xfId="31912" xr:uid="{00000000-0005-0000-0000-0000E0660000}"/>
    <cellStyle name="Comma 11 3 2 2 8" xfId="31913" xr:uid="{00000000-0005-0000-0000-0000E1660000}"/>
    <cellStyle name="Comma 11 3 2 2 8 2" xfId="31914" xr:uid="{00000000-0005-0000-0000-0000E2660000}"/>
    <cellStyle name="Comma 11 3 2 2 9" xfId="31915" xr:uid="{00000000-0005-0000-0000-0000E3660000}"/>
    <cellStyle name="Comma 11 3 2 3" xfId="31916" xr:uid="{00000000-0005-0000-0000-0000E4660000}"/>
    <cellStyle name="Comma 11 3 2 3 2" xfId="31917" xr:uid="{00000000-0005-0000-0000-0000E5660000}"/>
    <cellStyle name="Comma 11 3 2 3 2 2" xfId="31918" xr:uid="{00000000-0005-0000-0000-0000E6660000}"/>
    <cellStyle name="Comma 11 3 2 3 2 2 2" xfId="31919" xr:uid="{00000000-0005-0000-0000-0000E7660000}"/>
    <cellStyle name="Comma 11 3 2 3 2 2 3" xfId="31920" xr:uid="{00000000-0005-0000-0000-0000E8660000}"/>
    <cellStyle name="Comma 11 3 2 3 2 3" xfId="31921" xr:uid="{00000000-0005-0000-0000-0000E9660000}"/>
    <cellStyle name="Comma 11 3 2 3 2 3 2" xfId="31922" xr:uid="{00000000-0005-0000-0000-0000EA660000}"/>
    <cellStyle name="Comma 11 3 2 3 2 3 3" xfId="31923" xr:uid="{00000000-0005-0000-0000-0000EB660000}"/>
    <cellStyle name="Comma 11 3 2 3 2 4" xfId="31924" xr:uid="{00000000-0005-0000-0000-0000EC660000}"/>
    <cellStyle name="Comma 11 3 2 3 2 4 2" xfId="31925" xr:uid="{00000000-0005-0000-0000-0000ED660000}"/>
    <cellStyle name="Comma 11 3 2 3 2 5" xfId="31926" xr:uid="{00000000-0005-0000-0000-0000EE660000}"/>
    <cellStyle name="Comma 11 3 2 3 2 6" xfId="31927" xr:uid="{00000000-0005-0000-0000-0000EF660000}"/>
    <cellStyle name="Comma 11 3 2 3 3" xfId="31928" xr:uid="{00000000-0005-0000-0000-0000F0660000}"/>
    <cellStyle name="Comma 11 3 2 3 3 2" xfId="31929" xr:uid="{00000000-0005-0000-0000-0000F1660000}"/>
    <cellStyle name="Comma 11 3 2 3 3 2 2" xfId="31930" xr:uid="{00000000-0005-0000-0000-0000F2660000}"/>
    <cellStyle name="Comma 11 3 2 3 3 2 3" xfId="31931" xr:uid="{00000000-0005-0000-0000-0000F3660000}"/>
    <cellStyle name="Comma 11 3 2 3 3 3" xfId="31932" xr:uid="{00000000-0005-0000-0000-0000F4660000}"/>
    <cellStyle name="Comma 11 3 2 3 3 3 2" xfId="31933" xr:uid="{00000000-0005-0000-0000-0000F5660000}"/>
    <cellStyle name="Comma 11 3 2 3 3 3 3" xfId="31934" xr:uid="{00000000-0005-0000-0000-0000F6660000}"/>
    <cellStyle name="Comma 11 3 2 3 3 4" xfId="31935" xr:uid="{00000000-0005-0000-0000-0000F7660000}"/>
    <cellStyle name="Comma 11 3 2 3 3 4 2" xfId="31936" xr:uid="{00000000-0005-0000-0000-0000F8660000}"/>
    <cellStyle name="Comma 11 3 2 3 3 5" xfId="31937" xr:uid="{00000000-0005-0000-0000-0000F9660000}"/>
    <cellStyle name="Comma 11 3 2 3 3 6" xfId="31938" xr:uid="{00000000-0005-0000-0000-0000FA660000}"/>
    <cellStyle name="Comma 11 3 2 3 4" xfId="31939" xr:uid="{00000000-0005-0000-0000-0000FB660000}"/>
    <cellStyle name="Comma 11 3 2 3 4 2" xfId="31940" xr:uid="{00000000-0005-0000-0000-0000FC660000}"/>
    <cellStyle name="Comma 11 3 2 3 4 2 2" xfId="31941" xr:uid="{00000000-0005-0000-0000-0000FD660000}"/>
    <cellStyle name="Comma 11 3 2 3 4 2 3" xfId="31942" xr:uid="{00000000-0005-0000-0000-0000FE660000}"/>
    <cellStyle name="Comma 11 3 2 3 4 3" xfId="31943" xr:uid="{00000000-0005-0000-0000-0000FF660000}"/>
    <cellStyle name="Comma 11 3 2 3 4 3 2" xfId="31944" xr:uid="{00000000-0005-0000-0000-000000670000}"/>
    <cellStyle name="Comma 11 3 2 3 4 4" xfId="31945" xr:uid="{00000000-0005-0000-0000-000001670000}"/>
    <cellStyle name="Comma 11 3 2 3 4 5" xfId="31946" xr:uid="{00000000-0005-0000-0000-000002670000}"/>
    <cellStyle name="Comma 11 3 2 3 5" xfId="31947" xr:uid="{00000000-0005-0000-0000-000003670000}"/>
    <cellStyle name="Comma 11 3 2 3 5 2" xfId="31948" xr:uid="{00000000-0005-0000-0000-000004670000}"/>
    <cellStyle name="Comma 11 3 2 3 5 3" xfId="31949" xr:uid="{00000000-0005-0000-0000-000005670000}"/>
    <cellStyle name="Comma 11 3 2 3 6" xfId="31950" xr:uid="{00000000-0005-0000-0000-000006670000}"/>
    <cellStyle name="Comma 11 3 2 3 6 2" xfId="31951" xr:uid="{00000000-0005-0000-0000-000007670000}"/>
    <cellStyle name="Comma 11 3 2 3 6 3" xfId="31952" xr:uid="{00000000-0005-0000-0000-000008670000}"/>
    <cellStyle name="Comma 11 3 2 3 7" xfId="31953" xr:uid="{00000000-0005-0000-0000-000009670000}"/>
    <cellStyle name="Comma 11 3 2 3 7 2" xfId="31954" xr:uid="{00000000-0005-0000-0000-00000A670000}"/>
    <cellStyle name="Comma 11 3 2 3 8" xfId="31955" xr:uid="{00000000-0005-0000-0000-00000B670000}"/>
    <cellStyle name="Comma 11 3 2 3 9" xfId="31956" xr:uid="{00000000-0005-0000-0000-00000C670000}"/>
    <cellStyle name="Comma 11 3 2 4" xfId="31957" xr:uid="{00000000-0005-0000-0000-00000D670000}"/>
    <cellStyle name="Comma 11 3 2 4 2" xfId="31958" xr:uid="{00000000-0005-0000-0000-00000E670000}"/>
    <cellStyle name="Comma 11 3 2 4 2 2" xfId="31959" xr:uid="{00000000-0005-0000-0000-00000F670000}"/>
    <cellStyle name="Comma 11 3 2 4 2 2 2" xfId="31960" xr:uid="{00000000-0005-0000-0000-000010670000}"/>
    <cellStyle name="Comma 11 3 2 4 2 2 3" xfId="31961" xr:uid="{00000000-0005-0000-0000-000011670000}"/>
    <cellStyle name="Comma 11 3 2 4 2 3" xfId="31962" xr:uid="{00000000-0005-0000-0000-000012670000}"/>
    <cellStyle name="Comma 11 3 2 4 2 3 2" xfId="31963" xr:uid="{00000000-0005-0000-0000-000013670000}"/>
    <cellStyle name="Comma 11 3 2 4 2 3 3" xfId="31964" xr:uid="{00000000-0005-0000-0000-000014670000}"/>
    <cellStyle name="Comma 11 3 2 4 2 4" xfId="31965" xr:uid="{00000000-0005-0000-0000-000015670000}"/>
    <cellStyle name="Comma 11 3 2 4 2 4 2" xfId="31966" xr:uid="{00000000-0005-0000-0000-000016670000}"/>
    <cellStyle name="Comma 11 3 2 4 2 5" xfId="31967" xr:uid="{00000000-0005-0000-0000-000017670000}"/>
    <cellStyle name="Comma 11 3 2 4 2 6" xfId="31968" xr:uid="{00000000-0005-0000-0000-000018670000}"/>
    <cellStyle name="Comma 11 3 2 4 3" xfId="31969" xr:uid="{00000000-0005-0000-0000-000019670000}"/>
    <cellStyle name="Comma 11 3 2 4 3 2" xfId="31970" xr:uid="{00000000-0005-0000-0000-00001A670000}"/>
    <cellStyle name="Comma 11 3 2 4 3 2 2" xfId="31971" xr:uid="{00000000-0005-0000-0000-00001B670000}"/>
    <cellStyle name="Comma 11 3 2 4 3 2 3" xfId="31972" xr:uid="{00000000-0005-0000-0000-00001C670000}"/>
    <cellStyle name="Comma 11 3 2 4 3 3" xfId="31973" xr:uid="{00000000-0005-0000-0000-00001D670000}"/>
    <cellStyle name="Comma 11 3 2 4 3 3 2" xfId="31974" xr:uid="{00000000-0005-0000-0000-00001E670000}"/>
    <cellStyle name="Comma 11 3 2 4 3 3 3" xfId="31975" xr:uid="{00000000-0005-0000-0000-00001F670000}"/>
    <cellStyle name="Comma 11 3 2 4 3 4" xfId="31976" xr:uid="{00000000-0005-0000-0000-000020670000}"/>
    <cellStyle name="Comma 11 3 2 4 3 4 2" xfId="31977" xr:uid="{00000000-0005-0000-0000-000021670000}"/>
    <cellStyle name="Comma 11 3 2 4 3 5" xfId="31978" xr:uid="{00000000-0005-0000-0000-000022670000}"/>
    <cellStyle name="Comma 11 3 2 4 3 6" xfId="31979" xr:uid="{00000000-0005-0000-0000-000023670000}"/>
    <cellStyle name="Comma 11 3 2 4 4" xfId="31980" xr:uid="{00000000-0005-0000-0000-000024670000}"/>
    <cellStyle name="Comma 11 3 2 4 4 2" xfId="31981" xr:uid="{00000000-0005-0000-0000-000025670000}"/>
    <cellStyle name="Comma 11 3 2 4 4 2 2" xfId="31982" xr:uid="{00000000-0005-0000-0000-000026670000}"/>
    <cellStyle name="Comma 11 3 2 4 4 2 3" xfId="31983" xr:uid="{00000000-0005-0000-0000-000027670000}"/>
    <cellStyle name="Comma 11 3 2 4 4 3" xfId="31984" xr:uid="{00000000-0005-0000-0000-000028670000}"/>
    <cellStyle name="Comma 11 3 2 4 4 3 2" xfId="31985" xr:uid="{00000000-0005-0000-0000-000029670000}"/>
    <cellStyle name="Comma 11 3 2 4 4 4" xfId="31986" xr:uid="{00000000-0005-0000-0000-00002A670000}"/>
    <cellStyle name="Comma 11 3 2 4 4 5" xfId="31987" xr:uid="{00000000-0005-0000-0000-00002B670000}"/>
    <cellStyle name="Comma 11 3 2 4 5" xfId="31988" xr:uid="{00000000-0005-0000-0000-00002C670000}"/>
    <cellStyle name="Comma 11 3 2 4 5 2" xfId="31989" xr:uid="{00000000-0005-0000-0000-00002D670000}"/>
    <cellStyle name="Comma 11 3 2 4 5 3" xfId="31990" xr:uid="{00000000-0005-0000-0000-00002E670000}"/>
    <cellStyle name="Comma 11 3 2 4 6" xfId="31991" xr:uid="{00000000-0005-0000-0000-00002F670000}"/>
    <cellStyle name="Comma 11 3 2 4 6 2" xfId="31992" xr:uid="{00000000-0005-0000-0000-000030670000}"/>
    <cellStyle name="Comma 11 3 2 4 6 3" xfId="31993" xr:uid="{00000000-0005-0000-0000-000031670000}"/>
    <cellStyle name="Comma 11 3 2 4 7" xfId="31994" xr:uid="{00000000-0005-0000-0000-000032670000}"/>
    <cellStyle name="Comma 11 3 2 4 7 2" xfId="31995" xr:uid="{00000000-0005-0000-0000-000033670000}"/>
    <cellStyle name="Comma 11 3 2 4 8" xfId="31996" xr:uid="{00000000-0005-0000-0000-000034670000}"/>
    <cellStyle name="Comma 11 3 2 4 9" xfId="31997" xr:uid="{00000000-0005-0000-0000-000035670000}"/>
    <cellStyle name="Comma 11 3 2 5" xfId="31998" xr:uid="{00000000-0005-0000-0000-000036670000}"/>
    <cellStyle name="Comma 11 3 2 5 2" xfId="31999" xr:uid="{00000000-0005-0000-0000-000037670000}"/>
    <cellStyle name="Comma 11 3 2 5 2 2" xfId="32000" xr:uid="{00000000-0005-0000-0000-000038670000}"/>
    <cellStyle name="Comma 11 3 2 5 2 3" xfId="32001" xr:uid="{00000000-0005-0000-0000-000039670000}"/>
    <cellStyle name="Comma 11 3 2 5 3" xfId="32002" xr:uid="{00000000-0005-0000-0000-00003A670000}"/>
    <cellStyle name="Comma 11 3 2 5 3 2" xfId="32003" xr:uid="{00000000-0005-0000-0000-00003B670000}"/>
    <cellStyle name="Comma 11 3 2 5 3 3" xfId="32004" xr:uid="{00000000-0005-0000-0000-00003C670000}"/>
    <cellStyle name="Comma 11 3 2 5 4" xfId="32005" xr:uid="{00000000-0005-0000-0000-00003D670000}"/>
    <cellStyle name="Comma 11 3 2 5 4 2" xfId="32006" xr:uid="{00000000-0005-0000-0000-00003E670000}"/>
    <cellStyle name="Comma 11 3 2 5 5" xfId="32007" xr:uid="{00000000-0005-0000-0000-00003F670000}"/>
    <cellStyle name="Comma 11 3 2 5 6" xfId="32008" xr:uid="{00000000-0005-0000-0000-000040670000}"/>
    <cellStyle name="Comma 11 3 2 6" xfId="32009" xr:uid="{00000000-0005-0000-0000-000041670000}"/>
    <cellStyle name="Comma 11 3 2 6 2" xfId="32010" xr:uid="{00000000-0005-0000-0000-000042670000}"/>
    <cellStyle name="Comma 11 3 2 6 2 2" xfId="32011" xr:uid="{00000000-0005-0000-0000-000043670000}"/>
    <cellStyle name="Comma 11 3 2 6 2 3" xfId="32012" xr:uid="{00000000-0005-0000-0000-000044670000}"/>
    <cellStyle name="Comma 11 3 2 6 3" xfId="32013" xr:uid="{00000000-0005-0000-0000-000045670000}"/>
    <cellStyle name="Comma 11 3 2 6 3 2" xfId="32014" xr:uid="{00000000-0005-0000-0000-000046670000}"/>
    <cellStyle name="Comma 11 3 2 6 3 3" xfId="32015" xr:uid="{00000000-0005-0000-0000-000047670000}"/>
    <cellStyle name="Comma 11 3 2 6 4" xfId="32016" xr:uid="{00000000-0005-0000-0000-000048670000}"/>
    <cellStyle name="Comma 11 3 2 6 4 2" xfId="32017" xr:uid="{00000000-0005-0000-0000-000049670000}"/>
    <cellStyle name="Comma 11 3 2 6 5" xfId="32018" xr:uid="{00000000-0005-0000-0000-00004A670000}"/>
    <cellStyle name="Comma 11 3 2 6 6" xfId="32019" xr:uid="{00000000-0005-0000-0000-00004B670000}"/>
    <cellStyle name="Comma 11 3 2 7" xfId="32020" xr:uid="{00000000-0005-0000-0000-00004C670000}"/>
    <cellStyle name="Comma 11 3 2 7 2" xfId="32021" xr:uid="{00000000-0005-0000-0000-00004D670000}"/>
    <cellStyle name="Comma 11 3 2 7 2 2" xfId="32022" xr:uid="{00000000-0005-0000-0000-00004E670000}"/>
    <cellStyle name="Comma 11 3 2 7 2 3" xfId="32023" xr:uid="{00000000-0005-0000-0000-00004F670000}"/>
    <cellStyle name="Comma 11 3 2 7 3" xfId="32024" xr:uid="{00000000-0005-0000-0000-000050670000}"/>
    <cellStyle name="Comma 11 3 2 7 3 2" xfId="32025" xr:uid="{00000000-0005-0000-0000-000051670000}"/>
    <cellStyle name="Comma 11 3 2 7 4" xfId="32026" xr:uid="{00000000-0005-0000-0000-000052670000}"/>
    <cellStyle name="Comma 11 3 2 7 5" xfId="32027" xr:uid="{00000000-0005-0000-0000-000053670000}"/>
    <cellStyle name="Comma 11 3 2 8" xfId="32028" xr:uid="{00000000-0005-0000-0000-000054670000}"/>
    <cellStyle name="Comma 11 3 2 8 2" xfId="32029" xr:uid="{00000000-0005-0000-0000-000055670000}"/>
    <cellStyle name="Comma 11 3 2 8 3" xfId="32030" xr:uid="{00000000-0005-0000-0000-000056670000}"/>
    <cellStyle name="Comma 11 3 2 9" xfId="32031" xr:uid="{00000000-0005-0000-0000-000057670000}"/>
    <cellStyle name="Comma 11 3 2 9 2" xfId="32032" xr:uid="{00000000-0005-0000-0000-000058670000}"/>
    <cellStyle name="Comma 11 3 2 9 3" xfId="32033" xr:uid="{00000000-0005-0000-0000-000059670000}"/>
    <cellStyle name="Comma 11 3 3" xfId="8221" xr:uid="{00000000-0005-0000-0000-00005A670000}"/>
    <cellStyle name="Comma 11 3 3 10" xfId="32034" xr:uid="{00000000-0005-0000-0000-00005B670000}"/>
    <cellStyle name="Comma 11 3 3 11" xfId="32035" xr:uid="{00000000-0005-0000-0000-00005C670000}"/>
    <cellStyle name="Comma 11 3 3 2" xfId="32036" xr:uid="{00000000-0005-0000-0000-00005D670000}"/>
    <cellStyle name="Comma 11 3 3 2 2" xfId="32037" xr:uid="{00000000-0005-0000-0000-00005E670000}"/>
    <cellStyle name="Comma 11 3 3 2 2 2" xfId="32038" xr:uid="{00000000-0005-0000-0000-00005F670000}"/>
    <cellStyle name="Comma 11 3 3 2 2 2 2" xfId="32039" xr:uid="{00000000-0005-0000-0000-000060670000}"/>
    <cellStyle name="Comma 11 3 3 2 2 2 3" xfId="32040" xr:uid="{00000000-0005-0000-0000-000061670000}"/>
    <cellStyle name="Comma 11 3 3 2 2 3" xfId="32041" xr:uid="{00000000-0005-0000-0000-000062670000}"/>
    <cellStyle name="Comma 11 3 3 2 2 3 2" xfId="32042" xr:uid="{00000000-0005-0000-0000-000063670000}"/>
    <cellStyle name="Comma 11 3 3 2 2 3 3" xfId="32043" xr:uid="{00000000-0005-0000-0000-000064670000}"/>
    <cellStyle name="Comma 11 3 3 2 2 4" xfId="32044" xr:uid="{00000000-0005-0000-0000-000065670000}"/>
    <cellStyle name="Comma 11 3 3 2 2 4 2" xfId="32045" xr:uid="{00000000-0005-0000-0000-000066670000}"/>
    <cellStyle name="Comma 11 3 3 2 2 5" xfId="32046" xr:uid="{00000000-0005-0000-0000-000067670000}"/>
    <cellStyle name="Comma 11 3 3 2 2 6" xfId="32047" xr:uid="{00000000-0005-0000-0000-000068670000}"/>
    <cellStyle name="Comma 11 3 3 2 3" xfId="32048" xr:uid="{00000000-0005-0000-0000-000069670000}"/>
    <cellStyle name="Comma 11 3 3 2 3 2" xfId="32049" xr:uid="{00000000-0005-0000-0000-00006A670000}"/>
    <cellStyle name="Comma 11 3 3 2 3 2 2" xfId="32050" xr:uid="{00000000-0005-0000-0000-00006B670000}"/>
    <cellStyle name="Comma 11 3 3 2 3 2 3" xfId="32051" xr:uid="{00000000-0005-0000-0000-00006C670000}"/>
    <cellStyle name="Comma 11 3 3 2 3 3" xfId="32052" xr:uid="{00000000-0005-0000-0000-00006D670000}"/>
    <cellStyle name="Comma 11 3 3 2 3 3 2" xfId="32053" xr:uid="{00000000-0005-0000-0000-00006E670000}"/>
    <cellStyle name="Comma 11 3 3 2 3 3 3" xfId="32054" xr:uid="{00000000-0005-0000-0000-00006F670000}"/>
    <cellStyle name="Comma 11 3 3 2 3 4" xfId="32055" xr:uid="{00000000-0005-0000-0000-000070670000}"/>
    <cellStyle name="Comma 11 3 3 2 3 4 2" xfId="32056" xr:uid="{00000000-0005-0000-0000-000071670000}"/>
    <cellStyle name="Comma 11 3 3 2 3 5" xfId="32057" xr:uid="{00000000-0005-0000-0000-000072670000}"/>
    <cellStyle name="Comma 11 3 3 2 3 6" xfId="32058" xr:uid="{00000000-0005-0000-0000-000073670000}"/>
    <cellStyle name="Comma 11 3 3 2 4" xfId="32059" xr:uid="{00000000-0005-0000-0000-000074670000}"/>
    <cellStyle name="Comma 11 3 3 2 4 2" xfId="32060" xr:uid="{00000000-0005-0000-0000-000075670000}"/>
    <cellStyle name="Comma 11 3 3 2 4 2 2" xfId="32061" xr:uid="{00000000-0005-0000-0000-000076670000}"/>
    <cellStyle name="Comma 11 3 3 2 4 2 3" xfId="32062" xr:uid="{00000000-0005-0000-0000-000077670000}"/>
    <cellStyle name="Comma 11 3 3 2 4 3" xfId="32063" xr:uid="{00000000-0005-0000-0000-000078670000}"/>
    <cellStyle name="Comma 11 3 3 2 4 3 2" xfId="32064" xr:uid="{00000000-0005-0000-0000-000079670000}"/>
    <cellStyle name="Comma 11 3 3 2 4 4" xfId="32065" xr:uid="{00000000-0005-0000-0000-00007A670000}"/>
    <cellStyle name="Comma 11 3 3 2 4 5" xfId="32066" xr:uid="{00000000-0005-0000-0000-00007B670000}"/>
    <cellStyle name="Comma 11 3 3 2 5" xfId="32067" xr:uid="{00000000-0005-0000-0000-00007C670000}"/>
    <cellStyle name="Comma 11 3 3 2 5 2" xfId="32068" xr:uid="{00000000-0005-0000-0000-00007D670000}"/>
    <cellStyle name="Comma 11 3 3 2 5 3" xfId="32069" xr:uid="{00000000-0005-0000-0000-00007E670000}"/>
    <cellStyle name="Comma 11 3 3 2 6" xfId="32070" xr:uid="{00000000-0005-0000-0000-00007F670000}"/>
    <cellStyle name="Comma 11 3 3 2 6 2" xfId="32071" xr:uid="{00000000-0005-0000-0000-000080670000}"/>
    <cellStyle name="Comma 11 3 3 2 6 3" xfId="32072" xr:uid="{00000000-0005-0000-0000-000081670000}"/>
    <cellStyle name="Comma 11 3 3 2 7" xfId="32073" xr:uid="{00000000-0005-0000-0000-000082670000}"/>
    <cellStyle name="Comma 11 3 3 2 7 2" xfId="32074" xr:uid="{00000000-0005-0000-0000-000083670000}"/>
    <cellStyle name="Comma 11 3 3 2 8" xfId="32075" xr:uid="{00000000-0005-0000-0000-000084670000}"/>
    <cellStyle name="Comma 11 3 3 2 9" xfId="32076" xr:uid="{00000000-0005-0000-0000-000085670000}"/>
    <cellStyle name="Comma 11 3 3 3" xfId="32077" xr:uid="{00000000-0005-0000-0000-000086670000}"/>
    <cellStyle name="Comma 11 3 3 3 2" xfId="32078" xr:uid="{00000000-0005-0000-0000-000087670000}"/>
    <cellStyle name="Comma 11 3 3 3 2 2" xfId="32079" xr:uid="{00000000-0005-0000-0000-000088670000}"/>
    <cellStyle name="Comma 11 3 3 3 2 3" xfId="32080" xr:uid="{00000000-0005-0000-0000-000089670000}"/>
    <cellStyle name="Comma 11 3 3 3 3" xfId="32081" xr:uid="{00000000-0005-0000-0000-00008A670000}"/>
    <cellStyle name="Comma 11 3 3 3 3 2" xfId="32082" xr:uid="{00000000-0005-0000-0000-00008B670000}"/>
    <cellStyle name="Comma 11 3 3 3 3 3" xfId="32083" xr:uid="{00000000-0005-0000-0000-00008C670000}"/>
    <cellStyle name="Comma 11 3 3 3 4" xfId="32084" xr:uid="{00000000-0005-0000-0000-00008D670000}"/>
    <cellStyle name="Comma 11 3 3 3 4 2" xfId="32085" xr:uid="{00000000-0005-0000-0000-00008E670000}"/>
    <cellStyle name="Comma 11 3 3 3 5" xfId="32086" xr:uid="{00000000-0005-0000-0000-00008F670000}"/>
    <cellStyle name="Comma 11 3 3 3 6" xfId="32087" xr:uid="{00000000-0005-0000-0000-000090670000}"/>
    <cellStyle name="Comma 11 3 3 4" xfId="32088" xr:uid="{00000000-0005-0000-0000-000091670000}"/>
    <cellStyle name="Comma 11 3 3 4 2" xfId="32089" xr:uid="{00000000-0005-0000-0000-000092670000}"/>
    <cellStyle name="Comma 11 3 3 4 2 2" xfId="32090" xr:uid="{00000000-0005-0000-0000-000093670000}"/>
    <cellStyle name="Comma 11 3 3 4 2 3" xfId="32091" xr:uid="{00000000-0005-0000-0000-000094670000}"/>
    <cellStyle name="Comma 11 3 3 4 3" xfId="32092" xr:uid="{00000000-0005-0000-0000-000095670000}"/>
    <cellStyle name="Comma 11 3 3 4 3 2" xfId="32093" xr:uid="{00000000-0005-0000-0000-000096670000}"/>
    <cellStyle name="Comma 11 3 3 4 3 3" xfId="32094" xr:uid="{00000000-0005-0000-0000-000097670000}"/>
    <cellStyle name="Comma 11 3 3 4 4" xfId="32095" xr:uid="{00000000-0005-0000-0000-000098670000}"/>
    <cellStyle name="Comma 11 3 3 4 4 2" xfId="32096" xr:uid="{00000000-0005-0000-0000-000099670000}"/>
    <cellStyle name="Comma 11 3 3 4 5" xfId="32097" xr:uid="{00000000-0005-0000-0000-00009A670000}"/>
    <cellStyle name="Comma 11 3 3 4 6" xfId="32098" xr:uid="{00000000-0005-0000-0000-00009B670000}"/>
    <cellStyle name="Comma 11 3 3 5" xfId="32099" xr:uid="{00000000-0005-0000-0000-00009C670000}"/>
    <cellStyle name="Comma 11 3 3 5 2" xfId="32100" xr:uid="{00000000-0005-0000-0000-00009D670000}"/>
    <cellStyle name="Comma 11 3 3 5 2 2" xfId="32101" xr:uid="{00000000-0005-0000-0000-00009E670000}"/>
    <cellStyle name="Comma 11 3 3 5 2 3" xfId="32102" xr:uid="{00000000-0005-0000-0000-00009F670000}"/>
    <cellStyle name="Comma 11 3 3 5 3" xfId="32103" xr:uid="{00000000-0005-0000-0000-0000A0670000}"/>
    <cellStyle name="Comma 11 3 3 5 3 2" xfId="32104" xr:uid="{00000000-0005-0000-0000-0000A1670000}"/>
    <cellStyle name="Comma 11 3 3 5 4" xfId="32105" xr:uid="{00000000-0005-0000-0000-0000A2670000}"/>
    <cellStyle name="Comma 11 3 3 5 5" xfId="32106" xr:uid="{00000000-0005-0000-0000-0000A3670000}"/>
    <cellStyle name="Comma 11 3 3 6" xfId="32107" xr:uid="{00000000-0005-0000-0000-0000A4670000}"/>
    <cellStyle name="Comma 11 3 3 6 2" xfId="32108" xr:uid="{00000000-0005-0000-0000-0000A5670000}"/>
    <cellStyle name="Comma 11 3 3 6 3" xfId="32109" xr:uid="{00000000-0005-0000-0000-0000A6670000}"/>
    <cellStyle name="Comma 11 3 3 7" xfId="32110" xr:uid="{00000000-0005-0000-0000-0000A7670000}"/>
    <cellStyle name="Comma 11 3 3 7 2" xfId="32111" xr:uid="{00000000-0005-0000-0000-0000A8670000}"/>
    <cellStyle name="Comma 11 3 3 7 3" xfId="32112" xr:uid="{00000000-0005-0000-0000-0000A9670000}"/>
    <cellStyle name="Comma 11 3 3 8" xfId="32113" xr:uid="{00000000-0005-0000-0000-0000AA670000}"/>
    <cellStyle name="Comma 11 3 3 8 2" xfId="32114" xr:uid="{00000000-0005-0000-0000-0000AB670000}"/>
    <cellStyle name="Comma 11 3 3 9" xfId="32115" xr:uid="{00000000-0005-0000-0000-0000AC670000}"/>
    <cellStyle name="Comma 11 3 4" xfId="32116" xr:uid="{00000000-0005-0000-0000-0000AD670000}"/>
    <cellStyle name="Comma 11 3 4 2" xfId="32117" xr:uid="{00000000-0005-0000-0000-0000AE670000}"/>
    <cellStyle name="Comma 11 3 4 2 2" xfId="32118" xr:uid="{00000000-0005-0000-0000-0000AF670000}"/>
    <cellStyle name="Comma 11 3 4 2 2 2" xfId="32119" xr:uid="{00000000-0005-0000-0000-0000B0670000}"/>
    <cellStyle name="Comma 11 3 4 2 2 3" xfId="32120" xr:uid="{00000000-0005-0000-0000-0000B1670000}"/>
    <cellStyle name="Comma 11 3 4 2 3" xfId="32121" xr:uid="{00000000-0005-0000-0000-0000B2670000}"/>
    <cellStyle name="Comma 11 3 4 2 3 2" xfId="32122" xr:uid="{00000000-0005-0000-0000-0000B3670000}"/>
    <cellStyle name="Comma 11 3 4 2 3 3" xfId="32123" xr:uid="{00000000-0005-0000-0000-0000B4670000}"/>
    <cellStyle name="Comma 11 3 4 2 4" xfId="32124" xr:uid="{00000000-0005-0000-0000-0000B5670000}"/>
    <cellStyle name="Comma 11 3 4 2 4 2" xfId="32125" xr:uid="{00000000-0005-0000-0000-0000B6670000}"/>
    <cellStyle name="Comma 11 3 4 2 5" xfId="32126" xr:uid="{00000000-0005-0000-0000-0000B7670000}"/>
    <cellStyle name="Comma 11 3 4 2 6" xfId="32127" xr:uid="{00000000-0005-0000-0000-0000B8670000}"/>
    <cellStyle name="Comma 11 3 4 3" xfId="32128" xr:uid="{00000000-0005-0000-0000-0000B9670000}"/>
    <cellStyle name="Comma 11 3 4 3 2" xfId="32129" xr:uid="{00000000-0005-0000-0000-0000BA670000}"/>
    <cellStyle name="Comma 11 3 4 3 2 2" xfId="32130" xr:uid="{00000000-0005-0000-0000-0000BB670000}"/>
    <cellStyle name="Comma 11 3 4 3 2 3" xfId="32131" xr:uid="{00000000-0005-0000-0000-0000BC670000}"/>
    <cellStyle name="Comma 11 3 4 3 3" xfId="32132" xr:uid="{00000000-0005-0000-0000-0000BD670000}"/>
    <cellStyle name="Comma 11 3 4 3 3 2" xfId="32133" xr:uid="{00000000-0005-0000-0000-0000BE670000}"/>
    <cellStyle name="Comma 11 3 4 3 3 3" xfId="32134" xr:uid="{00000000-0005-0000-0000-0000BF670000}"/>
    <cellStyle name="Comma 11 3 4 3 4" xfId="32135" xr:uid="{00000000-0005-0000-0000-0000C0670000}"/>
    <cellStyle name="Comma 11 3 4 3 4 2" xfId="32136" xr:uid="{00000000-0005-0000-0000-0000C1670000}"/>
    <cellStyle name="Comma 11 3 4 3 5" xfId="32137" xr:uid="{00000000-0005-0000-0000-0000C2670000}"/>
    <cellStyle name="Comma 11 3 4 3 6" xfId="32138" xr:uid="{00000000-0005-0000-0000-0000C3670000}"/>
    <cellStyle name="Comma 11 3 4 4" xfId="32139" xr:uid="{00000000-0005-0000-0000-0000C4670000}"/>
    <cellStyle name="Comma 11 3 4 4 2" xfId="32140" xr:uid="{00000000-0005-0000-0000-0000C5670000}"/>
    <cellStyle name="Comma 11 3 4 4 2 2" xfId="32141" xr:uid="{00000000-0005-0000-0000-0000C6670000}"/>
    <cellStyle name="Comma 11 3 4 4 2 3" xfId="32142" xr:uid="{00000000-0005-0000-0000-0000C7670000}"/>
    <cellStyle name="Comma 11 3 4 4 3" xfId="32143" xr:uid="{00000000-0005-0000-0000-0000C8670000}"/>
    <cellStyle name="Comma 11 3 4 4 3 2" xfId="32144" xr:uid="{00000000-0005-0000-0000-0000C9670000}"/>
    <cellStyle name="Comma 11 3 4 4 4" xfId="32145" xr:uid="{00000000-0005-0000-0000-0000CA670000}"/>
    <cellStyle name="Comma 11 3 4 4 5" xfId="32146" xr:uid="{00000000-0005-0000-0000-0000CB670000}"/>
    <cellStyle name="Comma 11 3 4 5" xfId="32147" xr:uid="{00000000-0005-0000-0000-0000CC670000}"/>
    <cellStyle name="Comma 11 3 4 5 2" xfId="32148" xr:uid="{00000000-0005-0000-0000-0000CD670000}"/>
    <cellStyle name="Comma 11 3 4 5 3" xfId="32149" xr:uid="{00000000-0005-0000-0000-0000CE670000}"/>
    <cellStyle name="Comma 11 3 4 6" xfId="32150" xr:uid="{00000000-0005-0000-0000-0000CF670000}"/>
    <cellStyle name="Comma 11 3 4 6 2" xfId="32151" xr:uid="{00000000-0005-0000-0000-0000D0670000}"/>
    <cellStyle name="Comma 11 3 4 6 3" xfId="32152" xr:uid="{00000000-0005-0000-0000-0000D1670000}"/>
    <cellStyle name="Comma 11 3 4 7" xfId="32153" xr:uid="{00000000-0005-0000-0000-0000D2670000}"/>
    <cellStyle name="Comma 11 3 4 7 2" xfId="32154" xr:uid="{00000000-0005-0000-0000-0000D3670000}"/>
    <cellStyle name="Comma 11 3 4 8" xfId="32155" xr:uid="{00000000-0005-0000-0000-0000D4670000}"/>
    <cellStyle name="Comma 11 3 4 9" xfId="32156" xr:uid="{00000000-0005-0000-0000-0000D5670000}"/>
    <cellStyle name="Comma 11 3 5" xfId="32157" xr:uid="{00000000-0005-0000-0000-0000D6670000}"/>
    <cellStyle name="Comma 11 3 5 2" xfId="32158" xr:uid="{00000000-0005-0000-0000-0000D7670000}"/>
    <cellStyle name="Comma 11 3 5 2 2" xfId="32159" xr:uid="{00000000-0005-0000-0000-0000D8670000}"/>
    <cellStyle name="Comma 11 3 5 2 2 2" xfId="32160" xr:uid="{00000000-0005-0000-0000-0000D9670000}"/>
    <cellStyle name="Comma 11 3 5 2 2 3" xfId="32161" xr:uid="{00000000-0005-0000-0000-0000DA670000}"/>
    <cellStyle name="Comma 11 3 5 2 3" xfId="32162" xr:uid="{00000000-0005-0000-0000-0000DB670000}"/>
    <cellStyle name="Comma 11 3 5 2 3 2" xfId="32163" xr:uid="{00000000-0005-0000-0000-0000DC670000}"/>
    <cellStyle name="Comma 11 3 5 2 3 3" xfId="32164" xr:uid="{00000000-0005-0000-0000-0000DD670000}"/>
    <cellStyle name="Comma 11 3 5 2 4" xfId="32165" xr:uid="{00000000-0005-0000-0000-0000DE670000}"/>
    <cellStyle name="Comma 11 3 5 2 4 2" xfId="32166" xr:uid="{00000000-0005-0000-0000-0000DF670000}"/>
    <cellStyle name="Comma 11 3 5 2 5" xfId="32167" xr:uid="{00000000-0005-0000-0000-0000E0670000}"/>
    <cellStyle name="Comma 11 3 5 2 6" xfId="32168" xr:uid="{00000000-0005-0000-0000-0000E1670000}"/>
    <cellStyle name="Comma 11 3 5 3" xfId="32169" xr:uid="{00000000-0005-0000-0000-0000E2670000}"/>
    <cellStyle name="Comma 11 3 5 3 2" xfId="32170" xr:uid="{00000000-0005-0000-0000-0000E3670000}"/>
    <cellStyle name="Comma 11 3 5 3 2 2" xfId="32171" xr:uid="{00000000-0005-0000-0000-0000E4670000}"/>
    <cellStyle name="Comma 11 3 5 3 2 3" xfId="32172" xr:uid="{00000000-0005-0000-0000-0000E5670000}"/>
    <cellStyle name="Comma 11 3 5 3 3" xfId="32173" xr:uid="{00000000-0005-0000-0000-0000E6670000}"/>
    <cellStyle name="Comma 11 3 5 3 3 2" xfId="32174" xr:uid="{00000000-0005-0000-0000-0000E7670000}"/>
    <cellStyle name="Comma 11 3 5 3 3 3" xfId="32175" xr:uid="{00000000-0005-0000-0000-0000E8670000}"/>
    <cellStyle name="Comma 11 3 5 3 4" xfId="32176" xr:uid="{00000000-0005-0000-0000-0000E9670000}"/>
    <cellStyle name="Comma 11 3 5 3 4 2" xfId="32177" xr:uid="{00000000-0005-0000-0000-0000EA670000}"/>
    <cellStyle name="Comma 11 3 5 3 5" xfId="32178" xr:uid="{00000000-0005-0000-0000-0000EB670000}"/>
    <cellStyle name="Comma 11 3 5 3 6" xfId="32179" xr:uid="{00000000-0005-0000-0000-0000EC670000}"/>
    <cellStyle name="Comma 11 3 5 4" xfId="32180" xr:uid="{00000000-0005-0000-0000-0000ED670000}"/>
    <cellStyle name="Comma 11 3 5 4 2" xfId="32181" xr:uid="{00000000-0005-0000-0000-0000EE670000}"/>
    <cellStyle name="Comma 11 3 5 4 2 2" xfId="32182" xr:uid="{00000000-0005-0000-0000-0000EF670000}"/>
    <cellStyle name="Comma 11 3 5 4 2 3" xfId="32183" xr:uid="{00000000-0005-0000-0000-0000F0670000}"/>
    <cellStyle name="Comma 11 3 5 4 3" xfId="32184" xr:uid="{00000000-0005-0000-0000-0000F1670000}"/>
    <cellStyle name="Comma 11 3 5 4 3 2" xfId="32185" xr:uid="{00000000-0005-0000-0000-0000F2670000}"/>
    <cellStyle name="Comma 11 3 5 4 4" xfId="32186" xr:uid="{00000000-0005-0000-0000-0000F3670000}"/>
    <cellStyle name="Comma 11 3 5 4 5" xfId="32187" xr:uid="{00000000-0005-0000-0000-0000F4670000}"/>
    <cellStyle name="Comma 11 3 5 5" xfId="32188" xr:uid="{00000000-0005-0000-0000-0000F5670000}"/>
    <cellStyle name="Comma 11 3 5 5 2" xfId="32189" xr:uid="{00000000-0005-0000-0000-0000F6670000}"/>
    <cellStyle name="Comma 11 3 5 5 3" xfId="32190" xr:uid="{00000000-0005-0000-0000-0000F7670000}"/>
    <cellStyle name="Comma 11 3 5 6" xfId="32191" xr:uid="{00000000-0005-0000-0000-0000F8670000}"/>
    <cellStyle name="Comma 11 3 5 6 2" xfId="32192" xr:uid="{00000000-0005-0000-0000-0000F9670000}"/>
    <cellStyle name="Comma 11 3 5 6 3" xfId="32193" xr:uid="{00000000-0005-0000-0000-0000FA670000}"/>
    <cellStyle name="Comma 11 3 5 7" xfId="32194" xr:uid="{00000000-0005-0000-0000-0000FB670000}"/>
    <cellStyle name="Comma 11 3 5 7 2" xfId="32195" xr:uid="{00000000-0005-0000-0000-0000FC670000}"/>
    <cellStyle name="Comma 11 3 5 8" xfId="32196" xr:uid="{00000000-0005-0000-0000-0000FD670000}"/>
    <cellStyle name="Comma 11 3 5 9" xfId="32197" xr:uid="{00000000-0005-0000-0000-0000FE670000}"/>
    <cellStyle name="Comma 11 3 6" xfId="32198" xr:uid="{00000000-0005-0000-0000-0000FF670000}"/>
    <cellStyle name="Comma 11 3 6 2" xfId="32199" xr:uid="{00000000-0005-0000-0000-000000680000}"/>
    <cellStyle name="Comma 11 3 6 2 2" xfId="32200" xr:uid="{00000000-0005-0000-0000-000001680000}"/>
    <cellStyle name="Comma 11 3 6 2 3" xfId="32201" xr:uid="{00000000-0005-0000-0000-000002680000}"/>
    <cellStyle name="Comma 11 3 6 3" xfId="32202" xr:uid="{00000000-0005-0000-0000-000003680000}"/>
    <cellStyle name="Comma 11 3 6 3 2" xfId="32203" xr:uid="{00000000-0005-0000-0000-000004680000}"/>
    <cellStyle name="Comma 11 3 6 3 3" xfId="32204" xr:uid="{00000000-0005-0000-0000-000005680000}"/>
    <cellStyle name="Comma 11 3 6 4" xfId="32205" xr:uid="{00000000-0005-0000-0000-000006680000}"/>
    <cellStyle name="Comma 11 3 6 4 2" xfId="32206" xr:uid="{00000000-0005-0000-0000-000007680000}"/>
    <cellStyle name="Comma 11 3 6 5" xfId="32207" xr:uid="{00000000-0005-0000-0000-000008680000}"/>
    <cellStyle name="Comma 11 3 6 6" xfId="32208" xr:uid="{00000000-0005-0000-0000-000009680000}"/>
    <cellStyle name="Comma 11 3 7" xfId="32209" xr:uid="{00000000-0005-0000-0000-00000A680000}"/>
    <cellStyle name="Comma 11 3 7 2" xfId="32210" xr:uid="{00000000-0005-0000-0000-00000B680000}"/>
    <cellStyle name="Comma 11 3 7 2 2" xfId="32211" xr:uid="{00000000-0005-0000-0000-00000C680000}"/>
    <cellStyle name="Comma 11 3 7 2 3" xfId="32212" xr:uid="{00000000-0005-0000-0000-00000D680000}"/>
    <cellStyle name="Comma 11 3 7 3" xfId="32213" xr:uid="{00000000-0005-0000-0000-00000E680000}"/>
    <cellStyle name="Comma 11 3 7 3 2" xfId="32214" xr:uid="{00000000-0005-0000-0000-00000F680000}"/>
    <cellStyle name="Comma 11 3 7 3 3" xfId="32215" xr:uid="{00000000-0005-0000-0000-000010680000}"/>
    <cellStyle name="Comma 11 3 7 4" xfId="32216" xr:uid="{00000000-0005-0000-0000-000011680000}"/>
    <cellStyle name="Comma 11 3 7 4 2" xfId="32217" xr:uid="{00000000-0005-0000-0000-000012680000}"/>
    <cellStyle name="Comma 11 3 7 5" xfId="32218" xr:uid="{00000000-0005-0000-0000-000013680000}"/>
    <cellStyle name="Comma 11 3 7 6" xfId="32219" xr:uid="{00000000-0005-0000-0000-000014680000}"/>
    <cellStyle name="Comma 11 3 8" xfId="32220" xr:uid="{00000000-0005-0000-0000-000015680000}"/>
    <cellStyle name="Comma 11 3 8 2" xfId="32221" xr:uid="{00000000-0005-0000-0000-000016680000}"/>
    <cellStyle name="Comma 11 3 8 2 2" xfId="32222" xr:uid="{00000000-0005-0000-0000-000017680000}"/>
    <cellStyle name="Comma 11 3 8 2 3" xfId="32223" xr:uid="{00000000-0005-0000-0000-000018680000}"/>
    <cellStyle name="Comma 11 3 8 3" xfId="32224" xr:uid="{00000000-0005-0000-0000-000019680000}"/>
    <cellStyle name="Comma 11 3 8 3 2" xfId="32225" xr:uid="{00000000-0005-0000-0000-00001A680000}"/>
    <cellStyle name="Comma 11 3 8 4" xfId="32226" xr:uid="{00000000-0005-0000-0000-00001B680000}"/>
    <cellStyle name="Comma 11 3 8 5" xfId="32227" xr:uid="{00000000-0005-0000-0000-00001C680000}"/>
    <cellStyle name="Comma 11 3 9" xfId="32228" xr:uid="{00000000-0005-0000-0000-00001D680000}"/>
    <cellStyle name="Comma 11 3 9 2" xfId="32229" xr:uid="{00000000-0005-0000-0000-00001E680000}"/>
    <cellStyle name="Comma 11 3 9 3" xfId="32230" xr:uid="{00000000-0005-0000-0000-00001F680000}"/>
    <cellStyle name="Comma 11 4" xfId="8222" xr:uid="{00000000-0005-0000-0000-000020680000}"/>
    <cellStyle name="Comma 11 4 10" xfId="32231" xr:uid="{00000000-0005-0000-0000-000021680000}"/>
    <cellStyle name="Comma 11 4 10 2" xfId="32232" xr:uid="{00000000-0005-0000-0000-000022680000}"/>
    <cellStyle name="Comma 11 4 11" xfId="32233" xr:uid="{00000000-0005-0000-0000-000023680000}"/>
    <cellStyle name="Comma 11 4 12" xfId="32234" xr:uid="{00000000-0005-0000-0000-000024680000}"/>
    <cellStyle name="Comma 11 4 13" xfId="32235" xr:uid="{00000000-0005-0000-0000-000025680000}"/>
    <cellStyle name="Comma 11 4 2" xfId="8223" xr:uid="{00000000-0005-0000-0000-000026680000}"/>
    <cellStyle name="Comma 11 4 2 10" xfId="32236" xr:uid="{00000000-0005-0000-0000-000027680000}"/>
    <cellStyle name="Comma 11 4 2 11" xfId="32237" xr:uid="{00000000-0005-0000-0000-000028680000}"/>
    <cellStyle name="Comma 11 4 2 2" xfId="32238" xr:uid="{00000000-0005-0000-0000-000029680000}"/>
    <cellStyle name="Comma 11 4 2 2 2" xfId="32239" xr:uid="{00000000-0005-0000-0000-00002A680000}"/>
    <cellStyle name="Comma 11 4 2 2 2 2" xfId="32240" xr:uid="{00000000-0005-0000-0000-00002B680000}"/>
    <cellStyle name="Comma 11 4 2 2 2 2 2" xfId="32241" xr:uid="{00000000-0005-0000-0000-00002C680000}"/>
    <cellStyle name="Comma 11 4 2 2 2 2 3" xfId="32242" xr:uid="{00000000-0005-0000-0000-00002D680000}"/>
    <cellStyle name="Comma 11 4 2 2 2 3" xfId="32243" xr:uid="{00000000-0005-0000-0000-00002E680000}"/>
    <cellStyle name="Comma 11 4 2 2 2 3 2" xfId="32244" xr:uid="{00000000-0005-0000-0000-00002F680000}"/>
    <cellStyle name="Comma 11 4 2 2 2 3 3" xfId="32245" xr:uid="{00000000-0005-0000-0000-000030680000}"/>
    <cellStyle name="Comma 11 4 2 2 2 4" xfId="32246" xr:uid="{00000000-0005-0000-0000-000031680000}"/>
    <cellStyle name="Comma 11 4 2 2 2 4 2" xfId="32247" xr:uid="{00000000-0005-0000-0000-000032680000}"/>
    <cellStyle name="Comma 11 4 2 2 2 5" xfId="32248" xr:uid="{00000000-0005-0000-0000-000033680000}"/>
    <cellStyle name="Comma 11 4 2 2 2 6" xfId="32249" xr:uid="{00000000-0005-0000-0000-000034680000}"/>
    <cellStyle name="Comma 11 4 2 2 3" xfId="32250" xr:uid="{00000000-0005-0000-0000-000035680000}"/>
    <cellStyle name="Comma 11 4 2 2 3 2" xfId="32251" xr:uid="{00000000-0005-0000-0000-000036680000}"/>
    <cellStyle name="Comma 11 4 2 2 3 2 2" xfId="32252" xr:uid="{00000000-0005-0000-0000-000037680000}"/>
    <cellStyle name="Comma 11 4 2 2 3 2 3" xfId="32253" xr:uid="{00000000-0005-0000-0000-000038680000}"/>
    <cellStyle name="Comma 11 4 2 2 3 3" xfId="32254" xr:uid="{00000000-0005-0000-0000-000039680000}"/>
    <cellStyle name="Comma 11 4 2 2 3 3 2" xfId="32255" xr:uid="{00000000-0005-0000-0000-00003A680000}"/>
    <cellStyle name="Comma 11 4 2 2 3 3 3" xfId="32256" xr:uid="{00000000-0005-0000-0000-00003B680000}"/>
    <cellStyle name="Comma 11 4 2 2 3 4" xfId="32257" xr:uid="{00000000-0005-0000-0000-00003C680000}"/>
    <cellStyle name="Comma 11 4 2 2 3 4 2" xfId="32258" xr:uid="{00000000-0005-0000-0000-00003D680000}"/>
    <cellStyle name="Comma 11 4 2 2 3 5" xfId="32259" xr:uid="{00000000-0005-0000-0000-00003E680000}"/>
    <cellStyle name="Comma 11 4 2 2 3 6" xfId="32260" xr:uid="{00000000-0005-0000-0000-00003F680000}"/>
    <cellStyle name="Comma 11 4 2 2 4" xfId="32261" xr:uid="{00000000-0005-0000-0000-000040680000}"/>
    <cellStyle name="Comma 11 4 2 2 4 2" xfId="32262" xr:uid="{00000000-0005-0000-0000-000041680000}"/>
    <cellStyle name="Comma 11 4 2 2 4 2 2" xfId="32263" xr:uid="{00000000-0005-0000-0000-000042680000}"/>
    <cellStyle name="Comma 11 4 2 2 4 2 3" xfId="32264" xr:uid="{00000000-0005-0000-0000-000043680000}"/>
    <cellStyle name="Comma 11 4 2 2 4 3" xfId="32265" xr:uid="{00000000-0005-0000-0000-000044680000}"/>
    <cellStyle name="Comma 11 4 2 2 4 3 2" xfId="32266" xr:uid="{00000000-0005-0000-0000-000045680000}"/>
    <cellStyle name="Comma 11 4 2 2 4 4" xfId="32267" xr:uid="{00000000-0005-0000-0000-000046680000}"/>
    <cellStyle name="Comma 11 4 2 2 4 5" xfId="32268" xr:uid="{00000000-0005-0000-0000-000047680000}"/>
    <cellStyle name="Comma 11 4 2 2 5" xfId="32269" xr:uid="{00000000-0005-0000-0000-000048680000}"/>
    <cellStyle name="Comma 11 4 2 2 5 2" xfId="32270" xr:uid="{00000000-0005-0000-0000-000049680000}"/>
    <cellStyle name="Comma 11 4 2 2 5 3" xfId="32271" xr:uid="{00000000-0005-0000-0000-00004A680000}"/>
    <cellStyle name="Comma 11 4 2 2 6" xfId="32272" xr:uid="{00000000-0005-0000-0000-00004B680000}"/>
    <cellStyle name="Comma 11 4 2 2 6 2" xfId="32273" xr:uid="{00000000-0005-0000-0000-00004C680000}"/>
    <cellStyle name="Comma 11 4 2 2 6 3" xfId="32274" xr:uid="{00000000-0005-0000-0000-00004D680000}"/>
    <cellStyle name="Comma 11 4 2 2 7" xfId="32275" xr:uid="{00000000-0005-0000-0000-00004E680000}"/>
    <cellStyle name="Comma 11 4 2 2 7 2" xfId="32276" xr:uid="{00000000-0005-0000-0000-00004F680000}"/>
    <cellStyle name="Comma 11 4 2 2 8" xfId="32277" xr:uid="{00000000-0005-0000-0000-000050680000}"/>
    <cellStyle name="Comma 11 4 2 2 9" xfId="32278" xr:uid="{00000000-0005-0000-0000-000051680000}"/>
    <cellStyle name="Comma 11 4 2 3" xfId="32279" xr:uid="{00000000-0005-0000-0000-000052680000}"/>
    <cellStyle name="Comma 11 4 2 3 2" xfId="32280" xr:uid="{00000000-0005-0000-0000-000053680000}"/>
    <cellStyle name="Comma 11 4 2 3 2 2" xfId="32281" xr:uid="{00000000-0005-0000-0000-000054680000}"/>
    <cellStyle name="Comma 11 4 2 3 2 3" xfId="32282" xr:uid="{00000000-0005-0000-0000-000055680000}"/>
    <cellStyle name="Comma 11 4 2 3 3" xfId="32283" xr:uid="{00000000-0005-0000-0000-000056680000}"/>
    <cellStyle name="Comma 11 4 2 3 3 2" xfId="32284" xr:uid="{00000000-0005-0000-0000-000057680000}"/>
    <cellStyle name="Comma 11 4 2 3 3 3" xfId="32285" xr:uid="{00000000-0005-0000-0000-000058680000}"/>
    <cellStyle name="Comma 11 4 2 3 4" xfId="32286" xr:uid="{00000000-0005-0000-0000-000059680000}"/>
    <cellStyle name="Comma 11 4 2 3 4 2" xfId="32287" xr:uid="{00000000-0005-0000-0000-00005A680000}"/>
    <cellStyle name="Comma 11 4 2 3 5" xfId="32288" xr:uid="{00000000-0005-0000-0000-00005B680000}"/>
    <cellStyle name="Comma 11 4 2 3 6" xfId="32289" xr:uid="{00000000-0005-0000-0000-00005C680000}"/>
    <cellStyle name="Comma 11 4 2 4" xfId="32290" xr:uid="{00000000-0005-0000-0000-00005D680000}"/>
    <cellStyle name="Comma 11 4 2 4 2" xfId="32291" xr:uid="{00000000-0005-0000-0000-00005E680000}"/>
    <cellStyle name="Comma 11 4 2 4 2 2" xfId="32292" xr:uid="{00000000-0005-0000-0000-00005F680000}"/>
    <cellStyle name="Comma 11 4 2 4 2 3" xfId="32293" xr:uid="{00000000-0005-0000-0000-000060680000}"/>
    <cellStyle name="Comma 11 4 2 4 3" xfId="32294" xr:uid="{00000000-0005-0000-0000-000061680000}"/>
    <cellStyle name="Comma 11 4 2 4 3 2" xfId="32295" xr:uid="{00000000-0005-0000-0000-000062680000}"/>
    <cellStyle name="Comma 11 4 2 4 3 3" xfId="32296" xr:uid="{00000000-0005-0000-0000-000063680000}"/>
    <cellStyle name="Comma 11 4 2 4 4" xfId="32297" xr:uid="{00000000-0005-0000-0000-000064680000}"/>
    <cellStyle name="Comma 11 4 2 4 4 2" xfId="32298" xr:uid="{00000000-0005-0000-0000-000065680000}"/>
    <cellStyle name="Comma 11 4 2 4 5" xfId="32299" xr:uid="{00000000-0005-0000-0000-000066680000}"/>
    <cellStyle name="Comma 11 4 2 4 6" xfId="32300" xr:uid="{00000000-0005-0000-0000-000067680000}"/>
    <cellStyle name="Comma 11 4 2 5" xfId="32301" xr:uid="{00000000-0005-0000-0000-000068680000}"/>
    <cellStyle name="Comma 11 4 2 5 2" xfId="32302" xr:uid="{00000000-0005-0000-0000-000069680000}"/>
    <cellStyle name="Comma 11 4 2 5 2 2" xfId="32303" xr:uid="{00000000-0005-0000-0000-00006A680000}"/>
    <cellStyle name="Comma 11 4 2 5 2 3" xfId="32304" xr:uid="{00000000-0005-0000-0000-00006B680000}"/>
    <cellStyle name="Comma 11 4 2 5 3" xfId="32305" xr:uid="{00000000-0005-0000-0000-00006C680000}"/>
    <cellStyle name="Comma 11 4 2 5 3 2" xfId="32306" xr:uid="{00000000-0005-0000-0000-00006D680000}"/>
    <cellStyle name="Comma 11 4 2 5 4" xfId="32307" xr:uid="{00000000-0005-0000-0000-00006E680000}"/>
    <cellStyle name="Comma 11 4 2 5 5" xfId="32308" xr:uid="{00000000-0005-0000-0000-00006F680000}"/>
    <cellStyle name="Comma 11 4 2 6" xfId="32309" xr:uid="{00000000-0005-0000-0000-000070680000}"/>
    <cellStyle name="Comma 11 4 2 6 2" xfId="32310" xr:uid="{00000000-0005-0000-0000-000071680000}"/>
    <cellStyle name="Comma 11 4 2 6 3" xfId="32311" xr:uid="{00000000-0005-0000-0000-000072680000}"/>
    <cellStyle name="Comma 11 4 2 7" xfId="32312" xr:uid="{00000000-0005-0000-0000-000073680000}"/>
    <cellStyle name="Comma 11 4 2 7 2" xfId="32313" xr:uid="{00000000-0005-0000-0000-000074680000}"/>
    <cellStyle name="Comma 11 4 2 7 3" xfId="32314" xr:uid="{00000000-0005-0000-0000-000075680000}"/>
    <cellStyle name="Comma 11 4 2 8" xfId="32315" xr:uid="{00000000-0005-0000-0000-000076680000}"/>
    <cellStyle name="Comma 11 4 2 8 2" xfId="32316" xr:uid="{00000000-0005-0000-0000-000077680000}"/>
    <cellStyle name="Comma 11 4 2 9" xfId="32317" xr:uid="{00000000-0005-0000-0000-000078680000}"/>
    <cellStyle name="Comma 11 4 3" xfId="32318" xr:uid="{00000000-0005-0000-0000-000079680000}"/>
    <cellStyle name="Comma 11 4 3 2" xfId="32319" xr:uid="{00000000-0005-0000-0000-00007A680000}"/>
    <cellStyle name="Comma 11 4 3 2 2" xfId="32320" xr:uid="{00000000-0005-0000-0000-00007B680000}"/>
    <cellStyle name="Comma 11 4 3 2 2 2" xfId="32321" xr:uid="{00000000-0005-0000-0000-00007C680000}"/>
    <cellStyle name="Comma 11 4 3 2 2 3" xfId="32322" xr:uid="{00000000-0005-0000-0000-00007D680000}"/>
    <cellStyle name="Comma 11 4 3 2 3" xfId="32323" xr:uid="{00000000-0005-0000-0000-00007E680000}"/>
    <cellStyle name="Comma 11 4 3 2 3 2" xfId="32324" xr:uid="{00000000-0005-0000-0000-00007F680000}"/>
    <cellStyle name="Comma 11 4 3 2 3 3" xfId="32325" xr:uid="{00000000-0005-0000-0000-000080680000}"/>
    <cellStyle name="Comma 11 4 3 2 4" xfId="32326" xr:uid="{00000000-0005-0000-0000-000081680000}"/>
    <cellStyle name="Comma 11 4 3 2 4 2" xfId="32327" xr:uid="{00000000-0005-0000-0000-000082680000}"/>
    <cellStyle name="Comma 11 4 3 2 5" xfId="32328" xr:uid="{00000000-0005-0000-0000-000083680000}"/>
    <cellStyle name="Comma 11 4 3 2 6" xfId="32329" xr:uid="{00000000-0005-0000-0000-000084680000}"/>
    <cellStyle name="Comma 11 4 3 3" xfId="32330" xr:uid="{00000000-0005-0000-0000-000085680000}"/>
    <cellStyle name="Comma 11 4 3 3 2" xfId="32331" xr:uid="{00000000-0005-0000-0000-000086680000}"/>
    <cellStyle name="Comma 11 4 3 3 2 2" xfId="32332" xr:uid="{00000000-0005-0000-0000-000087680000}"/>
    <cellStyle name="Comma 11 4 3 3 2 3" xfId="32333" xr:uid="{00000000-0005-0000-0000-000088680000}"/>
    <cellStyle name="Comma 11 4 3 3 3" xfId="32334" xr:uid="{00000000-0005-0000-0000-000089680000}"/>
    <cellStyle name="Comma 11 4 3 3 3 2" xfId="32335" xr:uid="{00000000-0005-0000-0000-00008A680000}"/>
    <cellStyle name="Comma 11 4 3 3 3 3" xfId="32336" xr:uid="{00000000-0005-0000-0000-00008B680000}"/>
    <cellStyle name="Comma 11 4 3 3 4" xfId="32337" xr:uid="{00000000-0005-0000-0000-00008C680000}"/>
    <cellStyle name="Comma 11 4 3 3 4 2" xfId="32338" xr:uid="{00000000-0005-0000-0000-00008D680000}"/>
    <cellStyle name="Comma 11 4 3 3 5" xfId="32339" xr:uid="{00000000-0005-0000-0000-00008E680000}"/>
    <cellStyle name="Comma 11 4 3 3 6" xfId="32340" xr:uid="{00000000-0005-0000-0000-00008F680000}"/>
    <cellStyle name="Comma 11 4 3 4" xfId="32341" xr:uid="{00000000-0005-0000-0000-000090680000}"/>
    <cellStyle name="Comma 11 4 3 4 2" xfId="32342" xr:uid="{00000000-0005-0000-0000-000091680000}"/>
    <cellStyle name="Comma 11 4 3 4 2 2" xfId="32343" xr:uid="{00000000-0005-0000-0000-000092680000}"/>
    <cellStyle name="Comma 11 4 3 4 2 3" xfId="32344" xr:uid="{00000000-0005-0000-0000-000093680000}"/>
    <cellStyle name="Comma 11 4 3 4 3" xfId="32345" xr:uid="{00000000-0005-0000-0000-000094680000}"/>
    <cellStyle name="Comma 11 4 3 4 3 2" xfId="32346" xr:uid="{00000000-0005-0000-0000-000095680000}"/>
    <cellStyle name="Comma 11 4 3 4 4" xfId="32347" xr:uid="{00000000-0005-0000-0000-000096680000}"/>
    <cellStyle name="Comma 11 4 3 4 5" xfId="32348" xr:uid="{00000000-0005-0000-0000-000097680000}"/>
    <cellStyle name="Comma 11 4 3 5" xfId="32349" xr:uid="{00000000-0005-0000-0000-000098680000}"/>
    <cellStyle name="Comma 11 4 3 5 2" xfId="32350" xr:uid="{00000000-0005-0000-0000-000099680000}"/>
    <cellStyle name="Comma 11 4 3 5 3" xfId="32351" xr:uid="{00000000-0005-0000-0000-00009A680000}"/>
    <cellStyle name="Comma 11 4 3 6" xfId="32352" xr:uid="{00000000-0005-0000-0000-00009B680000}"/>
    <cellStyle name="Comma 11 4 3 6 2" xfId="32353" xr:uid="{00000000-0005-0000-0000-00009C680000}"/>
    <cellStyle name="Comma 11 4 3 6 3" xfId="32354" xr:uid="{00000000-0005-0000-0000-00009D680000}"/>
    <cellStyle name="Comma 11 4 3 7" xfId="32355" xr:uid="{00000000-0005-0000-0000-00009E680000}"/>
    <cellStyle name="Comma 11 4 3 7 2" xfId="32356" xr:uid="{00000000-0005-0000-0000-00009F680000}"/>
    <cellStyle name="Comma 11 4 3 8" xfId="32357" xr:uid="{00000000-0005-0000-0000-0000A0680000}"/>
    <cellStyle name="Comma 11 4 3 9" xfId="32358" xr:uid="{00000000-0005-0000-0000-0000A1680000}"/>
    <cellStyle name="Comma 11 4 4" xfId="32359" xr:uid="{00000000-0005-0000-0000-0000A2680000}"/>
    <cellStyle name="Comma 11 4 4 2" xfId="32360" xr:uid="{00000000-0005-0000-0000-0000A3680000}"/>
    <cellStyle name="Comma 11 4 4 2 2" xfId="32361" xr:uid="{00000000-0005-0000-0000-0000A4680000}"/>
    <cellStyle name="Comma 11 4 4 2 2 2" xfId="32362" xr:uid="{00000000-0005-0000-0000-0000A5680000}"/>
    <cellStyle name="Comma 11 4 4 2 2 3" xfId="32363" xr:uid="{00000000-0005-0000-0000-0000A6680000}"/>
    <cellStyle name="Comma 11 4 4 2 3" xfId="32364" xr:uid="{00000000-0005-0000-0000-0000A7680000}"/>
    <cellStyle name="Comma 11 4 4 2 3 2" xfId="32365" xr:uid="{00000000-0005-0000-0000-0000A8680000}"/>
    <cellStyle name="Comma 11 4 4 2 3 3" xfId="32366" xr:uid="{00000000-0005-0000-0000-0000A9680000}"/>
    <cellStyle name="Comma 11 4 4 2 4" xfId="32367" xr:uid="{00000000-0005-0000-0000-0000AA680000}"/>
    <cellStyle name="Comma 11 4 4 2 4 2" xfId="32368" xr:uid="{00000000-0005-0000-0000-0000AB680000}"/>
    <cellStyle name="Comma 11 4 4 2 5" xfId="32369" xr:uid="{00000000-0005-0000-0000-0000AC680000}"/>
    <cellStyle name="Comma 11 4 4 2 6" xfId="32370" xr:uid="{00000000-0005-0000-0000-0000AD680000}"/>
    <cellStyle name="Comma 11 4 4 3" xfId="32371" xr:uid="{00000000-0005-0000-0000-0000AE680000}"/>
    <cellStyle name="Comma 11 4 4 3 2" xfId="32372" xr:uid="{00000000-0005-0000-0000-0000AF680000}"/>
    <cellStyle name="Comma 11 4 4 3 2 2" xfId="32373" xr:uid="{00000000-0005-0000-0000-0000B0680000}"/>
    <cellStyle name="Comma 11 4 4 3 2 3" xfId="32374" xr:uid="{00000000-0005-0000-0000-0000B1680000}"/>
    <cellStyle name="Comma 11 4 4 3 3" xfId="32375" xr:uid="{00000000-0005-0000-0000-0000B2680000}"/>
    <cellStyle name="Comma 11 4 4 3 3 2" xfId="32376" xr:uid="{00000000-0005-0000-0000-0000B3680000}"/>
    <cellStyle name="Comma 11 4 4 3 3 3" xfId="32377" xr:uid="{00000000-0005-0000-0000-0000B4680000}"/>
    <cellStyle name="Comma 11 4 4 3 4" xfId="32378" xr:uid="{00000000-0005-0000-0000-0000B5680000}"/>
    <cellStyle name="Comma 11 4 4 3 4 2" xfId="32379" xr:uid="{00000000-0005-0000-0000-0000B6680000}"/>
    <cellStyle name="Comma 11 4 4 3 5" xfId="32380" xr:uid="{00000000-0005-0000-0000-0000B7680000}"/>
    <cellStyle name="Comma 11 4 4 3 6" xfId="32381" xr:uid="{00000000-0005-0000-0000-0000B8680000}"/>
    <cellStyle name="Comma 11 4 4 4" xfId="32382" xr:uid="{00000000-0005-0000-0000-0000B9680000}"/>
    <cellStyle name="Comma 11 4 4 4 2" xfId="32383" xr:uid="{00000000-0005-0000-0000-0000BA680000}"/>
    <cellStyle name="Comma 11 4 4 4 2 2" xfId="32384" xr:uid="{00000000-0005-0000-0000-0000BB680000}"/>
    <cellStyle name="Comma 11 4 4 4 2 3" xfId="32385" xr:uid="{00000000-0005-0000-0000-0000BC680000}"/>
    <cellStyle name="Comma 11 4 4 4 3" xfId="32386" xr:uid="{00000000-0005-0000-0000-0000BD680000}"/>
    <cellStyle name="Comma 11 4 4 4 3 2" xfId="32387" xr:uid="{00000000-0005-0000-0000-0000BE680000}"/>
    <cellStyle name="Comma 11 4 4 4 4" xfId="32388" xr:uid="{00000000-0005-0000-0000-0000BF680000}"/>
    <cellStyle name="Comma 11 4 4 4 5" xfId="32389" xr:uid="{00000000-0005-0000-0000-0000C0680000}"/>
    <cellStyle name="Comma 11 4 4 5" xfId="32390" xr:uid="{00000000-0005-0000-0000-0000C1680000}"/>
    <cellStyle name="Comma 11 4 4 5 2" xfId="32391" xr:uid="{00000000-0005-0000-0000-0000C2680000}"/>
    <cellStyle name="Comma 11 4 4 5 3" xfId="32392" xr:uid="{00000000-0005-0000-0000-0000C3680000}"/>
    <cellStyle name="Comma 11 4 4 6" xfId="32393" xr:uid="{00000000-0005-0000-0000-0000C4680000}"/>
    <cellStyle name="Comma 11 4 4 6 2" xfId="32394" xr:uid="{00000000-0005-0000-0000-0000C5680000}"/>
    <cellStyle name="Comma 11 4 4 6 3" xfId="32395" xr:uid="{00000000-0005-0000-0000-0000C6680000}"/>
    <cellStyle name="Comma 11 4 4 7" xfId="32396" xr:uid="{00000000-0005-0000-0000-0000C7680000}"/>
    <cellStyle name="Comma 11 4 4 7 2" xfId="32397" xr:uid="{00000000-0005-0000-0000-0000C8680000}"/>
    <cellStyle name="Comma 11 4 4 8" xfId="32398" xr:uid="{00000000-0005-0000-0000-0000C9680000}"/>
    <cellStyle name="Comma 11 4 4 9" xfId="32399" xr:uid="{00000000-0005-0000-0000-0000CA680000}"/>
    <cellStyle name="Comma 11 4 5" xfId="32400" xr:uid="{00000000-0005-0000-0000-0000CB680000}"/>
    <cellStyle name="Comma 11 4 5 2" xfId="32401" xr:uid="{00000000-0005-0000-0000-0000CC680000}"/>
    <cellStyle name="Comma 11 4 5 2 2" xfId="32402" xr:uid="{00000000-0005-0000-0000-0000CD680000}"/>
    <cellStyle name="Comma 11 4 5 2 3" xfId="32403" xr:uid="{00000000-0005-0000-0000-0000CE680000}"/>
    <cellStyle name="Comma 11 4 5 3" xfId="32404" xr:uid="{00000000-0005-0000-0000-0000CF680000}"/>
    <cellStyle name="Comma 11 4 5 3 2" xfId="32405" xr:uid="{00000000-0005-0000-0000-0000D0680000}"/>
    <cellStyle name="Comma 11 4 5 3 3" xfId="32406" xr:uid="{00000000-0005-0000-0000-0000D1680000}"/>
    <cellStyle name="Comma 11 4 5 4" xfId="32407" xr:uid="{00000000-0005-0000-0000-0000D2680000}"/>
    <cellStyle name="Comma 11 4 5 4 2" xfId="32408" xr:uid="{00000000-0005-0000-0000-0000D3680000}"/>
    <cellStyle name="Comma 11 4 5 5" xfId="32409" xr:uid="{00000000-0005-0000-0000-0000D4680000}"/>
    <cellStyle name="Comma 11 4 5 6" xfId="32410" xr:uid="{00000000-0005-0000-0000-0000D5680000}"/>
    <cellStyle name="Comma 11 4 6" xfId="32411" xr:uid="{00000000-0005-0000-0000-0000D6680000}"/>
    <cellStyle name="Comma 11 4 6 2" xfId="32412" xr:uid="{00000000-0005-0000-0000-0000D7680000}"/>
    <cellStyle name="Comma 11 4 6 2 2" xfId="32413" xr:uid="{00000000-0005-0000-0000-0000D8680000}"/>
    <cellStyle name="Comma 11 4 6 2 3" xfId="32414" xr:uid="{00000000-0005-0000-0000-0000D9680000}"/>
    <cellStyle name="Comma 11 4 6 3" xfId="32415" xr:uid="{00000000-0005-0000-0000-0000DA680000}"/>
    <cellStyle name="Comma 11 4 6 3 2" xfId="32416" xr:uid="{00000000-0005-0000-0000-0000DB680000}"/>
    <cellStyle name="Comma 11 4 6 3 3" xfId="32417" xr:uid="{00000000-0005-0000-0000-0000DC680000}"/>
    <cellStyle name="Comma 11 4 6 4" xfId="32418" xr:uid="{00000000-0005-0000-0000-0000DD680000}"/>
    <cellStyle name="Comma 11 4 6 4 2" xfId="32419" xr:uid="{00000000-0005-0000-0000-0000DE680000}"/>
    <cellStyle name="Comma 11 4 6 5" xfId="32420" xr:uid="{00000000-0005-0000-0000-0000DF680000}"/>
    <cellStyle name="Comma 11 4 6 6" xfId="32421" xr:uid="{00000000-0005-0000-0000-0000E0680000}"/>
    <cellStyle name="Comma 11 4 7" xfId="32422" xr:uid="{00000000-0005-0000-0000-0000E1680000}"/>
    <cellStyle name="Comma 11 4 7 2" xfId="32423" xr:uid="{00000000-0005-0000-0000-0000E2680000}"/>
    <cellStyle name="Comma 11 4 7 2 2" xfId="32424" xr:uid="{00000000-0005-0000-0000-0000E3680000}"/>
    <cellStyle name="Comma 11 4 7 2 3" xfId="32425" xr:uid="{00000000-0005-0000-0000-0000E4680000}"/>
    <cellStyle name="Comma 11 4 7 3" xfId="32426" xr:uid="{00000000-0005-0000-0000-0000E5680000}"/>
    <cellStyle name="Comma 11 4 7 3 2" xfId="32427" xr:uid="{00000000-0005-0000-0000-0000E6680000}"/>
    <cellStyle name="Comma 11 4 7 4" xfId="32428" xr:uid="{00000000-0005-0000-0000-0000E7680000}"/>
    <cellStyle name="Comma 11 4 7 5" xfId="32429" xr:uid="{00000000-0005-0000-0000-0000E8680000}"/>
    <cellStyle name="Comma 11 4 8" xfId="32430" xr:uid="{00000000-0005-0000-0000-0000E9680000}"/>
    <cellStyle name="Comma 11 4 8 2" xfId="32431" xr:uid="{00000000-0005-0000-0000-0000EA680000}"/>
    <cellStyle name="Comma 11 4 8 3" xfId="32432" xr:uid="{00000000-0005-0000-0000-0000EB680000}"/>
    <cellStyle name="Comma 11 4 9" xfId="32433" xr:uid="{00000000-0005-0000-0000-0000EC680000}"/>
    <cellStyle name="Comma 11 4 9 2" xfId="32434" xr:uid="{00000000-0005-0000-0000-0000ED680000}"/>
    <cellStyle name="Comma 11 4 9 3" xfId="32435" xr:uid="{00000000-0005-0000-0000-0000EE680000}"/>
    <cellStyle name="Comma 11 5" xfId="8224" xr:uid="{00000000-0005-0000-0000-0000EF680000}"/>
    <cellStyle name="Comma 11 5 10" xfId="32436" xr:uid="{00000000-0005-0000-0000-0000F0680000}"/>
    <cellStyle name="Comma 11 5 11" xfId="32437" xr:uid="{00000000-0005-0000-0000-0000F1680000}"/>
    <cellStyle name="Comma 11 5 2" xfId="8225" xr:uid="{00000000-0005-0000-0000-0000F2680000}"/>
    <cellStyle name="Comma 11 5 2 10" xfId="32438" xr:uid="{00000000-0005-0000-0000-0000F3680000}"/>
    <cellStyle name="Comma 11 5 2 2" xfId="32439" xr:uid="{00000000-0005-0000-0000-0000F4680000}"/>
    <cellStyle name="Comma 11 5 2 2 2" xfId="32440" xr:uid="{00000000-0005-0000-0000-0000F5680000}"/>
    <cellStyle name="Comma 11 5 2 2 2 2" xfId="32441" xr:uid="{00000000-0005-0000-0000-0000F6680000}"/>
    <cellStyle name="Comma 11 5 2 2 2 3" xfId="32442" xr:uid="{00000000-0005-0000-0000-0000F7680000}"/>
    <cellStyle name="Comma 11 5 2 2 3" xfId="32443" xr:uid="{00000000-0005-0000-0000-0000F8680000}"/>
    <cellStyle name="Comma 11 5 2 2 3 2" xfId="32444" xr:uid="{00000000-0005-0000-0000-0000F9680000}"/>
    <cellStyle name="Comma 11 5 2 2 3 3" xfId="32445" xr:uid="{00000000-0005-0000-0000-0000FA680000}"/>
    <cellStyle name="Comma 11 5 2 2 4" xfId="32446" xr:uid="{00000000-0005-0000-0000-0000FB680000}"/>
    <cellStyle name="Comma 11 5 2 2 4 2" xfId="32447" xr:uid="{00000000-0005-0000-0000-0000FC680000}"/>
    <cellStyle name="Comma 11 5 2 2 5" xfId="32448" xr:uid="{00000000-0005-0000-0000-0000FD680000}"/>
    <cellStyle name="Comma 11 5 2 2 6" xfId="32449" xr:uid="{00000000-0005-0000-0000-0000FE680000}"/>
    <cellStyle name="Comma 11 5 2 3" xfId="32450" xr:uid="{00000000-0005-0000-0000-0000FF680000}"/>
    <cellStyle name="Comma 11 5 2 3 2" xfId="32451" xr:uid="{00000000-0005-0000-0000-000000690000}"/>
    <cellStyle name="Comma 11 5 2 3 2 2" xfId="32452" xr:uid="{00000000-0005-0000-0000-000001690000}"/>
    <cellStyle name="Comma 11 5 2 3 2 3" xfId="32453" xr:uid="{00000000-0005-0000-0000-000002690000}"/>
    <cellStyle name="Comma 11 5 2 3 3" xfId="32454" xr:uid="{00000000-0005-0000-0000-000003690000}"/>
    <cellStyle name="Comma 11 5 2 3 3 2" xfId="32455" xr:uid="{00000000-0005-0000-0000-000004690000}"/>
    <cellStyle name="Comma 11 5 2 3 3 3" xfId="32456" xr:uid="{00000000-0005-0000-0000-000005690000}"/>
    <cellStyle name="Comma 11 5 2 3 4" xfId="32457" xr:uid="{00000000-0005-0000-0000-000006690000}"/>
    <cellStyle name="Comma 11 5 2 3 4 2" xfId="32458" xr:uid="{00000000-0005-0000-0000-000007690000}"/>
    <cellStyle name="Comma 11 5 2 3 5" xfId="32459" xr:uid="{00000000-0005-0000-0000-000008690000}"/>
    <cellStyle name="Comma 11 5 2 3 6" xfId="32460" xr:uid="{00000000-0005-0000-0000-000009690000}"/>
    <cellStyle name="Comma 11 5 2 4" xfId="32461" xr:uid="{00000000-0005-0000-0000-00000A690000}"/>
    <cellStyle name="Comma 11 5 2 4 2" xfId="32462" xr:uid="{00000000-0005-0000-0000-00000B690000}"/>
    <cellStyle name="Comma 11 5 2 4 2 2" xfId="32463" xr:uid="{00000000-0005-0000-0000-00000C690000}"/>
    <cellStyle name="Comma 11 5 2 4 2 3" xfId="32464" xr:uid="{00000000-0005-0000-0000-00000D690000}"/>
    <cellStyle name="Comma 11 5 2 4 3" xfId="32465" xr:uid="{00000000-0005-0000-0000-00000E690000}"/>
    <cellStyle name="Comma 11 5 2 4 3 2" xfId="32466" xr:uid="{00000000-0005-0000-0000-00000F690000}"/>
    <cellStyle name="Comma 11 5 2 4 4" xfId="32467" xr:uid="{00000000-0005-0000-0000-000010690000}"/>
    <cellStyle name="Comma 11 5 2 4 5" xfId="32468" xr:uid="{00000000-0005-0000-0000-000011690000}"/>
    <cellStyle name="Comma 11 5 2 5" xfId="32469" xr:uid="{00000000-0005-0000-0000-000012690000}"/>
    <cellStyle name="Comma 11 5 2 5 2" xfId="32470" xr:uid="{00000000-0005-0000-0000-000013690000}"/>
    <cellStyle name="Comma 11 5 2 5 3" xfId="32471" xr:uid="{00000000-0005-0000-0000-000014690000}"/>
    <cellStyle name="Comma 11 5 2 6" xfId="32472" xr:uid="{00000000-0005-0000-0000-000015690000}"/>
    <cellStyle name="Comma 11 5 2 6 2" xfId="32473" xr:uid="{00000000-0005-0000-0000-000016690000}"/>
    <cellStyle name="Comma 11 5 2 6 3" xfId="32474" xr:uid="{00000000-0005-0000-0000-000017690000}"/>
    <cellStyle name="Comma 11 5 2 7" xfId="32475" xr:uid="{00000000-0005-0000-0000-000018690000}"/>
    <cellStyle name="Comma 11 5 2 7 2" xfId="32476" xr:uid="{00000000-0005-0000-0000-000019690000}"/>
    <cellStyle name="Comma 11 5 2 8" xfId="32477" xr:uid="{00000000-0005-0000-0000-00001A690000}"/>
    <cellStyle name="Comma 11 5 2 9" xfId="32478" xr:uid="{00000000-0005-0000-0000-00001B690000}"/>
    <cellStyle name="Comma 11 5 3" xfId="32479" xr:uid="{00000000-0005-0000-0000-00001C690000}"/>
    <cellStyle name="Comma 11 5 3 2" xfId="32480" xr:uid="{00000000-0005-0000-0000-00001D690000}"/>
    <cellStyle name="Comma 11 5 3 2 2" xfId="32481" xr:uid="{00000000-0005-0000-0000-00001E690000}"/>
    <cellStyle name="Comma 11 5 3 2 3" xfId="32482" xr:uid="{00000000-0005-0000-0000-00001F690000}"/>
    <cellStyle name="Comma 11 5 3 3" xfId="32483" xr:uid="{00000000-0005-0000-0000-000020690000}"/>
    <cellStyle name="Comma 11 5 3 3 2" xfId="32484" xr:uid="{00000000-0005-0000-0000-000021690000}"/>
    <cellStyle name="Comma 11 5 3 3 3" xfId="32485" xr:uid="{00000000-0005-0000-0000-000022690000}"/>
    <cellStyle name="Comma 11 5 3 4" xfId="32486" xr:uid="{00000000-0005-0000-0000-000023690000}"/>
    <cellStyle name="Comma 11 5 3 4 2" xfId="32487" xr:uid="{00000000-0005-0000-0000-000024690000}"/>
    <cellStyle name="Comma 11 5 3 5" xfId="32488" xr:uid="{00000000-0005-0000-0000-000025690000}"/>
    <cellStyle name="Comma 11 5 3 6" xfId="32489" xr:uid="{00000000-0005-0000-0000-000026690000}"/>
    <cellStyle name="Comma 11 5 4" xfId="32490" xr:uid="{00000000-0005-0000-0000-000027690000}"/>
    <cellStyle name="Comma 11 5 4 2" xfId="32491" xr:uid="{00000000-0005-0000-0000-000028690000}"/>
    <cellStyle name="Comma 11 5 4 2 2" xfId="32492" xr:uid="{00000000-0005-0000-0000-000029690000}"/>
    <cellStyle name="Comma 11 5 4 2 3" xfId="32493" xr:uid="{00000000-0005-0000-0000-00002A690000}"/>
    <cellStyle name="Comma 11 5 4 3" xfId="32494" xr:uid="{00000000-0005-0000-0000-00002B690000}"/>
    <cellStyle name="Comma 11 5 4 3 2" xfId="32495" xr:uid="{00000000-0005-0000-0000-00002C690000}"/>
    <cellStyle name="Comma 11 5 4 3 3" xfId="32496" xr:uid="{00000000-0005-0000-0000-00002D690000}"/>
    <cellStyle name="Comma 11 5 4 4" xfId="32497" xr:uid="{00000000-0005-0000-0000-00002E690000}"/>
    <cellStyle name="Comma 11 5 4 4 2" xfId="32498" xr:uid="{00000000-0005-0000-0000-00002F690000}"/>
    <cellStyle name="Comma 11 5 4 5" xfId="32499" xr:uid="{00000000-0005-0000-0000-000030690000}"/>
    <cellStyle name="Comma 11 5 4 6" xfId="32500" xr:uid="{00000000-0005-0000-0000-000031690000}"/>
    <cellStyle name="Comma 11 5 5" xfId="32501" xr:uid="{00000000-0005-0000-0000-000032690000}"/>
    <cellStyle name="Comma 11 5 5 2" xfId="32502" xr:uid="{00000000-0005-0000-0000-000033690000}"/>
    <cellStyle name="Comma 11 5 5 2 2" xfId="32503" xr:uid="{00000000-0005-0000-0000-000034690000}"/>
    <cellStyle name="Comma 11 5 5 2 3" xfId="32504" xr:uid="{00000000-0005-0000-0000-000035690000}"/>
    <cellStyle name="Comma 11 5 5 3" xfId="32505" xr:uid="{00000000-0005-0000-0000-000036690000}"/>
    <cellStyle name="Comma 11 5 5 3 2" xfId="32506" xr:uid="{00000000-0005-0000-0000-000037690000}"/>
    <cellStyle name="Comma 11 5 5 4" xfId="32507" xr:uid="{00000000-0005-0000-0000-000038690000}"/>
    <cellStyle name="Comma 11 5 5 5" xfId="32508" xr:uid="{00000000-0005-0000-0000-000039690000}"/>
    <cellStyle name="Comma 11 5 6" xfId="32509" xr:uid="{00000000-0005-0000-0000-00003A690000}"/>
    <cellStyle name="Comma 11 5 6 2" xfId="32510" xr:uid="{00000000-0005-0000-0000-00003B690000}"/>
    <cellStyle name="Comma 11 5 6 3" xfId="32511" xr:uid="{00000000-0005-0000-0000-00003C690000}"/>
    <cellStyle name="Comma 11 5 7" xfId="32512" xr:uid="{00000000-0005-0000-0000-00003D690000}"/>
    <cellStyle name="Comma 11 5 7 2" xfId="32513" xr:uid="{00000000-0005-0000-0000-00003E690000}"/>
    <cellStyle name="Comma 11 5 7 3" xfId="32514" xr:uid="{00000000-0005-0000-0000-00003F690000}"/>
    <cellStyle name="Comma 11 5 8" xfId="32515" xr:uid="{00000000-0005-0000-0000-000040690000}"/>
    <cellStyle name="Comma 11 5 8 2" xfId="32516" xr:uid="{00000000-0005-0000-0000-000041690000}"/>
    <cellStyle name="Comma 11 5 9" xfId="32517" xr:uid="{00000000-0005-0000-0000-000042690000}"/>
    <cellStyle name="Comma 11 6" xfId="8226" xr:uid="{00000000-0005-0000-0000-000043690000}"/>
    <cellStyle name="Comma 11 6 10" xfId="32518" xr:uid="{00000000-0005-0000-0000-000044690000}"/>
    <cellStyle name="Comma 11 6 2" xfId="32519" xr:uid="{00000000-0005-0000-0000-000045690000}"/>
    <cellStyle name="Comma 11 6 2 2" xfId="32520" xr:uid="{00000000-0005-0000-0000-000046690000}"/>
    <cellStyle name="Comma 11 6 2 2 2" xfId="32521" xr:uid="{00000000-0005-0000-0000-000047690000}"/>
    <cellStyle name="Comma 11 6 2 2 3" xfId="32522" xr:uid="{00000000-0005-0000-0000-000048690000}"/>
    <cellStyle name="Comma 11 6 2 3" xfId="32523" xr:uid="{00000000-0005-0000-0000-000049690000}"/>
    <cellStyle name="Comma 11 6 2 3 2" xfId="32524" xr:uid="{00000000-0005-0000-0000-00004A690000}"/>
    <cellStyle name="Comma 11 6 2 3 3" xfId="32525" xr:uid="{00000000-0005-0000-0000-00004B690000}"/>
    <cellStyle name="Comma 11 6 2 4" xfId="32526" xr:uid="{00000000-0005-0000-0000-00004C690000}"/>
    <cellStyle name="Comma 11 6 2 4 2" xfId="32527" xr:uid="{00000000-0005-0000-0000-00004D690000}"/>
    <cellStyle name="Comma 11 6 2 5" xfId="32528" xr:uid="{00000000-0005-0000-0000-00004E690000}"/>
    <cellStyle name="Comma 11 6 2 6" xfId="32529" xr:uid="{00000000-0005-0000-0000-00004F690000}"/>
    <cellStyle name="Comma 11 6 3" xfId="32530" xr:uid="{00000000-0005-0000-0000-000050690000}"/>
    <cellStyle name="Comma 11 6 3 2" xfId="32531" xr:uid="{00000000-0005-0000-0000-000051690000}"/>
    <cellStyle name="Comma 11 6 3 2 2" xfId="32532" xr:uid="{00000000-0005-0000-0000-000052690000}"/>
    <cellStyle name="Comma 11 6 3 2 3" xfId="32533" xr:uid="{00000000-0005-0000-0000-000053690000}"/>
    <cellStyle name="Comma 11 6 3 3" xfId="32534" xr:uid="{00000000-0005-0000-0000-000054690000}"/>
    <cellStyle name="Comma 11 6 3 3 2" xfId="32535" xr:uid="{00000000-0005-0000-0000-000055690000}"/>
    <cellStyle name="Comma 11 6 3 3 3" xfId="32536" xr:uid="{00000000-0005-0000-0000-000056690000}"/>
    <cellStyle name="Comma 11 6 3 4" xfId="32537" xr:uid="{00000000-0005-0000-0000-000057690000}"/>
    <cellStyle name="Comma 11 6 3 4 2" xfId="32538" xr:uid="{00000000-0005-0000-0000-000058690000}"/>
    <cellStyle name="Comma 11 6 3 5" xfId="32539" xr:uid="{00000000-0005-0000-0000-000059690000}"/>
    <cellStyle name="Comma 11 6 3 6" xfId="32540" xr:uid="{00000000-0005-0000-0000-00005A690000}"/>
    <cellStyle name="Comma 11 6 4" xfId="32541" xr:uid="{00000000-0005-0000-0000-00005B690000}"/>
    <cellStyle name="Comma 11 6 4 2" xfId="32542" xr:uid="{00000000-0005-0000-0000-00005C690000}"/>
    <cellStyle name="Comma 11 6 4 2 2" xfId="32543" xr:uid="{00000000-0005-0000-0000-00005D690000}"/>
    <cellStyle name="Comma 11 6 4 2 3" xfId="32544" xr:uid="{00000000-0005-0000-0000-00005E690000}"/>
    <cellStyle name="Comma 11 6 4 3" xfId="32545" xr:uid="{00000000-0005-0000-0000-00005F690000}"/>
    <cellStyle name="Comma 11 6 4 3 2" xfId="32546" xr:uid="{00000000-0005-0000-0000-000060690000}"/>
    <cellStyle name="Comma 11 6 4 4" xfId="32547" xr:uid="{00000000-0005-0000-0000-000061690000}"/>
    <cellStyle name="Comma 11 6 4 5" xfId="32548" xr:uid="{00000000-0005-0000-0000-000062690000}"/>
    <cellStyle name="Comma 11 6 5" xfId="32549" xr:uid="{00000000-0005-0000-0000-000063690000}"/>
    <cellStyle name="Comma 11 6 5 2" xfId="32550" xr:uid="{00000000-0005-0000-0000-000064690000}"/>
    <cellStyle name="Comma 11 6 5 3" xfId="32551" xr:uid="{00000000-0005-0000-0000-000065690000}"/>
    <cellStyle name="Comma 11 6 6" xfId="32552" xr:uid="{00000000-0005-0000-0000-000066690000}"/>
    <cellStyle name="Comma 11 6 6 2" xfId="32553" xr:uid="{00000000-0005-0000-0000-000067690000}"/>
    <cellStyle name="Comma 11 6 6 3" xfId="32554" xr:uid="{00000000-0005-0000-0000-000068690000}"/>
    <cellStyle name="Comma 11 6 7" xfId="32555" xr:uid="{00000000-0005-0000-0000-000069690000}"/>
    <cellStyle name="Comma 11 6 7 2" xfId="32556" xr:uid="{00000000-0005-0000-0000-00006A690000}"/>
    <cellStyle name="Comma 11 6 8" xfId="32557" xr:uid="{00000000-0005-0000-0000-00006B690000}"/>
    <cellStyle name="Comma 11 6 9" xfId="32558" xr:uid="{00000000-0005-0000-0000-00006C690000}"/>
    <cellStyle name="Comma 11 7" xfId="32559" xr:uid="{00000000-0005-0000-0000-00006D690000}"/>
    <cellStyle name="Comma 11 7 2" xfId="32560" xr:uid="{00000000-0005-0000-0000-00006E690000}"/>
    <cellStyle name="Comma 11 7 2 2" xfId="32561" xr:uid="{00000000-0005-0000-0000-00006F690000}"/>
    <cellStyle name="Comma 11 7 2 2 2" xfId="32562" xr:uid="{00000000-0005-0000-0000-000070690000}"/>
    <cellStyle name="Comma 11 7 2 2 3" xfId="32563" xr:uid="{00000000-0005-0000-0000-000071690000}"/>
    <cellStyle name="Comma 11 7 2 3" xfId="32564" xr:uid="{00000000-0005-0000-0000-000072690000}"/>
    <cellStyle name="Comma 11 7 2 3 2" xfId="32565" xr:uid="{00000000-0005-0000-0000-000073690000}"/>
    <cellStyle name="Comma 11 7 2 3 3" xfId="32566" xr:uid="{00000000-0005-0000-0000-000074690000}"/>
    <cellStyle name="Comma 11 7 2 4" xfId="32567" xr:uid="{00000000-0005-0000-0000-000075690000}"/>
    <cellStyle name="Comma 11 7 2 4 2" xfId="32568" xr:uid="{00000000-0005-0000-0000-000076690000}"/>
    <cellStyle name="Comma 11 7 2 5" xfId="32569" xr:uid="{00000000-0005-0000-0000-000077690000}"/>
    <cellStyle name="Comma 11 7 2 6" xfId="32570" xr:uid="{00000000-0005-0000-0000-000078690000}"/>
    <cellStyle name="Comma 11 7 3" xfId="32571" xr:uid="{00000000-0005-0000-0000-000079690000}"/>
    <cellStyle name="Comma 11 7 3 2" xfId="32572" xr:uid="{00000000-0005-0000-0000-00007A690000}"/>
    <cellStyle name="Comma 11 7 3 2 2" xfId="32573" xr:uid="{00000000-0005-0000-0000-00007B690000}"/>
    <cellStyle name="Comma 11 7 3 2 3" xfId="32574" xr:uid="{00000000-0005-0000-0000-00007C690000}"/>
    <cellStyle name="Comma 11 7 3 3" xfId="32575" xr:uid="{00000000-0005-0000-0000-00007D690000}"/>
    <cellStyle name="Comma 11 7 3 3 2" xfId="32576" xr:uid="{00000000-0005-0000-0000-00007E690000}"/>
    <cellStyle name="Comma 11 7 3 3 3" xfId="32577" xr:uid="{00000000-0005-0000-0000-00007F690000}"/>
    <cellStyle name="Comma 11 7 3 4" xfId="32578" xr:uid="{00000000-0005-0000-0000-000080690000}"/>
    <cellStyle name="Comma 11 7 3 4 2" xfId="32579" xr:uid="{00000000-0005-0000-0000-000081690000}"/>
    <cellStyle name="Comma 11 7 3 5" xfId="32580" xr:uid="{00000000-0005-0000-0000-000082690000}"/>
    <cellStyle name="Comma 11 7 3 6" xfId="32581" xr:uid="{00000000-0005-0000-0000-000083690000}"/>
    <cellStyle name="Comma 11 7 4" xfId="32582" xr:uid="{00000000-0005-0000-0000-000084690000}"/>
    <cellStyle name="Comma 11 7 4 2" xfId="32583" xr:uid="{00000000-0005-0000-0000-000085690000}"/>
    <cellStyle name="Comma 11 7 4 2 2" xfId="32584" xr:uid="{00000000-0005-0000-0000-000086690000}"/>
    <cellStyle name="Comma 11 7 4 2 3" xfId="32585" xr:uid="{00000000-0005-0000-0000-000087690000}"/>
    <cellStyle name="Comma 11 7 4 3" xfId="32586" xr:uid="{00000000-0005-0000-0000-000088690000}"/>
    <cellStyle name="Comma 11 7 4 3 2" xfId="32587" xr:uid="{00000000-0005-0000-0000-000089690000}"/>
    <cellStyle name="Comma 11 7 4 4" xfId="32588" xr:uid="{00000000-0005-0000-0000-00008A690000}"/>
    <cellStyle name="Comma 11 7 4 5" xfId="32589" xr:uid="{00000000-0005-0000-0000-00008B690000}"/>
    <cellStyle name="Comma 11 7 5" xfId="32590" xr:uid="{00000000-0005-0000-0000-00008C690000}"/>
    <cellStyle name="Comma 11 7 5 2" xfId="32591" xr:uid="{00000000-0005-0000-0000-00008D690000}"/>
    <cellStyle name="Comma 11 7 5 3" xfId="32592" xr:uid="{00000000-0005-0000-0000-00008E690000}"/>
    <cellStyle name="Comma 11 7 6" xfId="32593" xr:uid="{00000000-0005-0000-0000-00008F690000}"/>
    <cellStyle name="Comma 11 7 6 2" xfId="32594" xr:uid="{00000000-0005-0000-0000-000090690000}"/>
    <cellStyle name="Comma 11 7 6 3" xfId="32595" xr:uid="{00000000-0005-0000-0000-000091690000}"/>
    <cellStyle name="Comma 11 7 7" xfId="32596" xr:uid="{00000000-0005-0000-0000-000092690000}"/>
    <cellStyle name="Comma 11 7 7 2" xfId="32597" xr:uid="{00000000-0005-0000-0000-000093690000}"/>
    <cellStyle name="Comma 11 7 8" xfId="32598" xr:uid="{00000000-0005-0000-0000-000094690000}"/>
    <cellStyle name="Comma 11 7 9" xfId="32599" xr:uid="{00000000-0005-0000-0000-000095690000}"/>
    <cellStyle name="Comma 11 8" xfId="32600" xr:uid="{00000000-0005-0000-0000-000096690000}"/>
    <cellStyle name="Comma 11 8 2" xfId="32601" xr:uid="{00000000-0005-0000-0000-000097690000}"/>
    <cellStyle name="Comma 11 8 2 2" xfId="32602" xr:uid="{00000000-0005-0000-0000-000098690000}"/>
    <cellStyle name="Comma 11 8 2 3" xfId="32603" xr:uid="{00000000-0005-0000-0000-000099690000}"/>
    <cellStyle name="Comma 11 8 3" xfId="32604" xr:uid="{00000000-0005-0000-0000-00009A690000}"/>
    <cellStyle name="Comma 11 8 3 2" xfId="32605" xr:uid="{00000000-0005-0000-0000-00009B690000}"/>
    <cellStyle name="Comma 11 8 3 3" xfId="32606" xr:uid="{00000000-0005-0000-0000-00009C690000}"/>
    <cellStyle name="Comma 11 8 4" xfId="32607" xr:uid="{00000000-0005-0000-0000-00009D690000}"/>
    <cellStyle name="Comma 11 8 4 2" xfId="32608" xr:uid="{00000000-0005-0000-0000-00009E690000}"/>
    <cellStyle name="Comma 11 8 5" xfId="32609" xr:uid="{00000000-0005-0000-0000-00009F690000}"/>
    <cellStyle name="Comma 11 8 6" xfId="32610" xr:uid="{00000000-0005-0000-0000-0000A0690000}"/>
    <cellStyle name="Comma 11 9" xfId="32611" xr:uid="{00000000-0005-0000-0000-0000A1690000}"/>
    <cellStyle name="Comma 11 9 2" xfId="32612" xr:uid="{00000000-0005-0000-0000-0000A2690000}"/>
    <cellStyle name="Comma 11 9 2 2" xfId="32613" xr:uid="{00000000-0005-0000-0000-0000A3690000}"/>
    <cellStyle name="Comma 11 9 2 3" xfId="32614" xr:uid="{00000000-0005-0000-0000-0000A4690000}"/>
    <cellStyle name="Comma 11 9 3" xfId="32615" xr:uid="{00000000-0005-0000-0000-0000A5690000}"/>
    <cellStyle name="Comma 11 9 3 2" xfId="32616" xr:uid="{00000000-0005-0000-0000-0000A6690000}"/>
    <cellStyle name="Comma 11 9 3 3" xfId="32617" xr:uid="{00000000-0005-0000-0000-0000A7690000}"/>
    <cellStyle name="Comma 11 9 4" xfId="32618" xr:uid="{00000000-0005-0000-0000-0000A8690000}"/>
    <cellStyle name="Comma 11 9 4 2" xfId="32619" xr:uid="{00000000-0005-0000-0000-0000A9690000}"/>
    <cellStyle name="Comma 11 9 5" xfId="32620" xr:uid="{00000000-0005-0000-0000-0000AA690000}"/>
    <cellStyle name="Comma 11 9 6" xfId="32621" xr:uid="{00000000-0005-0000-0000-0000AB690000}"/>
    <cellStyle name="Comma 110" xfId="58464" xr:uid="{00000000-0005-0000-0000-0000AC690000}"/>
    <cellStyle name="Comma 111" xfId="58465" xr:uid="{00000000-0005-0000-0000-0000AD690000}"/>
    <cellStyle name="Comma 112" xfId="58466" xr:uid="{00000000-0005-0000-0000-0000AE690000}"/>
    <cellStyle name="Comma 113" xfId="58467" xr:uid="{00000000-0005-0000-0000-0000AF690000}"/>
    <cellStyle name="Comma 114" xfId="58468" xr:uid="{00000000-0005-0000-0000-0000B0690000}"/>
    <cellStyle name="Comma 115" xfId="58469" xr:uid="{00000000-0005-0000-0000-0000B1690000}"/>
    <cellStyle name="Comma 116" xfId="58470" xr:uid="{00000000-0005-0000-0000-0000B2690000}"/>
    <cellStyle name="Comma 117" xfId="61974" xr:uid="{00000000-0005-0000-0000-0000B3690000}"/>
    <cellStyle name="Comma 12" xfId="3238" xr:uid="{00000000-0005-0000-0000-0000B4690000}"/>
    <cellStyle name="Comma 12 10" xfId="32622" xr:uid="{00000000-0005-0000-0000-0000B5690000}"/>
    <cellStyle name="Comma 12 10 2" xfId="32623" xr:uid="{00000000-0005-0000-0000-0000B6690000}"/>
    <cellStyle name="Comma 12 10 2 2" xfId="32624" xr:uid="{00000000-0005-0000-0000-0000B7690000}"/>
    <cellStyle name="Comma 12 10 2 3" xfId="32625" xr:uid="{00000000-0005-0000-0000-0000B8690000}"/>
    <cellStyle name="Comma 12 10 3" xfId="32626" xr:uid="{00000000-0005-0000-0000-0000B9690000}"/>
    <cellStyle name="Comma 12 10 3 2" xfId="32627" xr:uid="{00000000-0005-0000-0000-0000BA690000}"/>
    <cellStyle name="Comma 12 10 4" xfId="32628" xr:uid="{00000000-0005-0000-0000-0000BB690000}"/>
    <cellStyle name="Comma 12 10 5" xfId="32629" xr:uid="{00000000-0005-0000-0000-0000BC690000}"/>
    <cellStyle name="Comma 12 11" xfId="32630" xr:uid="{00000000-0005-0000-0000-0000BD690000}"/>
    <cellStyle name="Comma 12 11 2" xfId="32631" xr:uid="{00000000-0005-0000-0000-0000BE690000}"/>
    <cellStyle name="Comma 12 11 3" xfId="32632" xr:uid="{00000000-0005-0000-0000-0000BF690000}"/>
    <cellStyle name="Comma 12 12" xfId="32633" xr:uid="{00000000-0005-0000-0000-0000C0690000}"/>
    <cellStyle name="Comma 12 12 2" xfId="32634" xr:uid="{00000000-0005-0000-0000-0000C1690000}"/>
    <cellStyle name="Comma 12 12 3" xfId="32635" xr:uid="{00000000-0005-0000-0000-0000C2690000}"/>
    <cellStyle name="Comma 12 13" xfId="32636" xr:uid="{00000000-0005-0000-0000-0000C3690000}"/>
    <cellStyle name="Comma 12 13 2" xfId="32637" xr:uid="{00000000-0005-0000-0000-0000C4690000}"/>
    <cellStyle name="Comma 12 14" xfId="32638" xr:uid="{00000000-0005-0000-0000-0000C5690000}"/>
    <cellStyle name="Comma 12 15" xfId="32639" xr:uid="{00000000-0005-0000-0000-0000C6690000}"/>
    <cellStyle name="Comma 12 16" xfId="32640" xr:uid="{00000000-0005-0000-0000-0000C7690000}"/>
    <cellStyle name="Comma 12 2" xfId="3239" xr:uid="{00000000-0005-0000-0000-0000C8690000}"/>
    <cellStyle name="Comma 12 2 10" xfId="32641" xr:uid="{00000000-0005-0000-0000-0000C9690000}"/>
    <cellStyle name="Comma 12 2 10 2" xfId="32642" xr:uid="{00000000-0005-0000-0000-0000CA690000}"/>
    <cellStyle name="Comma 12 2 10 3" xfId="32643" xr:uid="{00000000-0005-0000-0000-0000CB690000}"/>
    <cellStyle name="Comma 12 2 11" xfId="32644" xr:uid="{00000000-0005-0000-0000-0000CC690000}"/>
    <cellStyle name="Comma 12 2 11 2" xfId="32645" xr:uid="{00000000-0005-0000-0000-0000CD690000}"/>
    <cellStyle name="Comma 12 2 11 3" xfId="32646" xr:uid="{00000000-0005-0000-0000-0000CE690000}"/>
    <cellStyle name="Comma 12 2 12" xfId="32647" xr:uid="{00000000-0005-0000-0000-0000CF690000}"/>
    <cellStyle name="Comma 12 2 12 2" xfId="32648" xr:uid="{00000000-0005-0000-0000-0000D0690000}"/>
    <cellStyle name="Comma 12 2 13" xfId="32649" xr:uid="{00000000-0005-0000-0000-0000D1690000}"/>
    <cellStyle name="Comma 12 2 14" xfId="32650" xr:uid="{00000000-0005-0000-0000-0000D2690000}"/>
    <cellStyle name="Comma 12 2 15" xfId="32651" xr:uid="{00000000-0005-0000-0000-0000D3690000}"/>
    <cellStyle name="Comma 12 2 2" xfId="9047" xr:uid="{00000000-0005-0000-0000-0000D4690000}"/>
    <cellStyle name="Comma 12 2 2 10" xfId="32652" xr:uid="{00000000-0005-0000-0000-0000D5690000}"/>
    <cellStyle name="Comma 12 2 2 10 2" xfId="32653" xr:uid="{00000000-0005-0000-0000-0000D6690000}"/>
    <cellStyle name="Comma 12 2 2 10 3" xfId="32654" xr:uid="{00000000-0005-0000-0000-0000D7690000}"/>
    <cellStyle name="Comma 12 2 2 11" xfId="32655" xr:uid="{00000000-0005-0000-0000-0000D8690000}"/>
    <cellStyle name="Comma 12 2 2 11 2" xfId="32656" xr:uid="{00000000-0005-0000-0000-0000D9690000}"/>
    <cellStyle name="Comma 12 2 2 12" xfId="32657" xr:uid="{00000000-0005-0000-0000-0000DA690000}"/>
    <cellStyle name="Comma 12 2 2 13" xfId="32658" xr:uid="{00000000-0005-0000-0000-0000DB690000}"/>
    <cellStyle name="Comma 12 2 2 2" xfId="32659" xr:uid="{00000000-0005-0000-0000-0000DC690000}"/>
    <cellStyle name="Comma 12 2 2 2 10" xfId="32660" xr:uid="{00000000-0005-0000-0000-0000DD690000}"/>
    <cellStyle name="Comma 12 2 2 2 10 2" xfId="32661" xr:uid="{00000000-0005-0000-0000-0000DE690000}"/>
    <cellStyle name="Comma 12 2 2 2 11" xfId="32662" xr:uid="{00000000-0005-0000-0000-0000DF690000}"/>
    <cellStyle name="Comma 12 2 2 2 12" xfId="32663" xr:uid="{00000000-0005-0000-0000-0000E0690000}"/>
    <cellStyle name="Comma 12 2 2 2 2" xfId="32664" xr:uid="{00000000-0005-0000-0000-0000E1690000}"/>
    <cellStyle name="Comma 12 2 2 2 2 10" xfId="32665" xr:uid="{00000000-0005-0000-0000-0000E2690000}"/>
    <cellStyle name="Comma 12 2 2 2 2 2" xfId="32666" xr:uid="{00000000-0005-0000-0000-0000E3690000}"/>
    <cellStyle name="Comma 12 2 2 2 2 2 2" xfId="32667" xr:uid="{00000000-0005-0000-0000-0000E4690000}"/>
    <cellStyle name="Comma 12 2 2 2 2 2 2 2" xfId="32668" xr:uid="{00000000-0005-0000-0000-0000E5690000}"/>
    <cellStyle name="Comma 12 2 2 2 2 2 2 2 2" xfId="32669" xr:uid="{00000000-0005-0000-0000-0000E6690000}"/>
    <cellStyle name="Comma 12 2 2 2 2 2 2 2 3" xfId="32670" xr:uid="{00000000-0005-0000-0000-0000E7690000}"/>
    <cellStyle name="Comma 12 2 2 2 2 2 2 3" xfId="32671" xr:uid="{00000000-0005-0000-0000-0000E8690000}"/>
    <cellStyle name="Comma 12 2 2 2 2 2 2 3 2" xfId="32672" xr:uid="{00000000-0005-0000-0000-0000E9690000}"/>
    <cellStyle name="Comma 12 2 2 2 2 2 2 3 3" xfId="32673" xr:uid="{00000000-0005-0000-0000-0000EA690000}"/>
    <cellStyle name="Comma 12 2 2 2 2 2 2 4" xfId="32674" xr:uid="{00000000-0005-0000-0000-0000EB690000}"/>
    <cellStyle name="Comma 12 2 2 2 2 2 2 4 2" xfId="32675" xr:uid="{00000000-0005-0000-0000-0000EC690000}"/>
    <cellStyle name="Comma 12 2 2 2 2 2 2 5" xfId="32676" xr:uid="{00000000-0005-0000-0000-0000ED690000}"/>
    <cellStyle name="Comma 12 2 2 2 2 2 2 6" xfId="32677" xr:uid="{00000000-0005-0000-0000-0000EE690000}"/>
    <cellStyle name="Comma 12 2 2 2 2 2 3" xfId="32678" xr:uid="{00000000-0005-0000-0000-0000EF690000}"/>
    <cellStyle name="Comma 12 2 2 2 2 2 3 2" xfId="32679" xr:uid="{00000000-0005-0000-0000-0000F0690000}"/>
    <cellStyle name="Comma 12 2 2 2 2 2 3 2 2" xfId="32680" xr:uid="{00000000-0005-0000-0000-0000F1690000}"/>
    <cellStyle name="Comma 12 2 2 2 2 2 3 2 3" xfId="32681" xr:uid="{00000000-0005-0000-0000-0000F2690000}"/>
    <cellStyle name="Comma 12 2 2 2 2 2 3 3" xfId="32682" xr:uid="{00000000-0005-0000-0000-0000F3690000}"/>
    <cellStyle name="Comma 12 2 2 2 2 2 3 3 2" xfId="32683" xr:uid="{00000000-0005-0000-0000-0000F4690000}"/>
    <cellStyle name="Comma 12 2 2 2 2 2 3 3 3" xfId="32684" xr:uid="{00000000-0005-0000-0000-0000F5690000}"/>
    <cellStyle name="Comma 12 2 2 2 2 2 3 4" xfId="32685" xr:uid="{00000000-0005-0000-0000-0000F6690000}"/>
    <cellStyle name="Comma 12 2 2 2 2 2 3 4 2" xfId="32686" xr:uid="{00000000-0005-0000-0000-0000F7690000}"/>
    <cellStyle name="Comma 12 2 2 2 2 2 3 5" xfId="32687" xr:uid="{00000000-0005-0000-0000-0000F8690000}"/>
    <cellStyle name="Comma 12 2 2 2 2 2 3 6" xfId="32688" xr:uid="{00000000-0005-0000-0000-0000F9690000}"/>
    <cellStyle name="Comma 12 2 2 2 2 2 4" xfId="32689" xr:uid="{00000000-0005-0000-0000-0000FA690000}"/>
    <cellStyle name="Comma 12 2 2 2 2 2 4 2" xfId="32690" xr:uid="{00000000-0005-0000-0000-0000FB690000}"/>
    <cellStyle name="Comma 12 2 2 2 2 2 4 2 2" xfId="32691" xr:uid="{00000000-0005-0000-0000-0000FC690000}"/>
    <cellStyle name="Comma 12 2 2 2 2 2 4 2 3" xfId="32692" xr:uid="{00000000-0005-0000-0000-0000FD690000}"/>
    <cellStyle name="Comma 12 2 2 2 2 2 4 3" xfId="32693" xr:uid="{00000000-0005-0000-0000-0000FE690000}"/>
    <cellStyle name="Comma 12 2 2 2 2 2 4 3 2" xfId="32694" xr:uid="{00000000-0005-0000-0000-0000FF690000}"/>
    <cellStyle name="Comma 12 2 2 2 2 2 4 4" xfId="32695" xr:uid="{00000000-0005-0000-0000-0000006A0000}"/>
    <cellStyle name="Comma 12 2 2 2 2 2 4 5" xfId="32696" xr:uid="{00000000-0005-0000-0000-0000016A0000}"/>
    <cellStyle name="Comma 12 2 2 2 2 2 5" xfId="32697" xr:uid="{00000000-0005-0000-0000-0000026A0000}"/>
    <cellStyle name="Comma 12 2 2 2 2 2 5 2" xfId="32698" xr:uid="{00000000-0005-0000-0000-0000036A0000}"/>
    <cellStyle name="Comma 12 2 2 2 2 2 5 3" xfId="32699" xr:uid="{00000000-0005-0000-0000-0000046A0000}"/>
    <cellStyle name="Comma 12 2 2 2 2 2 6" xfId="32700" xr:uid="{00000000-0005-0000-0000-0000056A0000}"/>
    <cellStyle name="Comma 12 2 2 2 2 2 6 2" xfId="32701" xr:uid="{00000000-0005-0000-0000-0000066A0000}"/>
    <cellStyle name="Comma 12 2 2 2 2 2 6 3" xfId="32702" xr:uid="{00000000-0005-0000-0000-0000076A0000}"/>
    <cellStyle name="Comma 12 2 2 2 2 2 7" xfId="32703" xr:uid="{00000000-0005-0000-0000-0000086A0000}"/>
    <cellStyle name="Comma 12 2 2 2 2 2 7 2" xfId="32704" xr:uid="{00000000-0005-0000-0000-0000096A0000}"/>
    <cellStyle name="Comma 12 2 2 2 2 2 8" xfId="32705" xr:uid="{00000000-0005-0000-0000-00000A6A0000}"/>
    <cellStyle name="Comma 12 2 2 2 2 2 9" xfId="32706" xr:uid="{00000000-0005-0000-0000-00000B6A0000}"/>
    <cellStyle name="Comma 12 2 2 2 2 3" xfId="32707" xr:uid="{00000000-0005-0000-0000-00000C6A0000}"/>
    <cellStyle name="Comma 12 2 2 2 2 3 2" xfId="32708" xr:uid="{00000000-0005-0000-0000-00000D6A0000}"/>
    <cellStyle name="Comma 12 2 2 2 2 3 2 2" xfId="32709" xr:uid="{00000000-0005-0000-0000-00000E6A0000}"/>
    <cellStyle name="Comma 12 2 2 2 2 3 2 3" xfId="32710" xr:uid="{00000000-0005-0000-0000-00000F6A0000}"/>
    <cellStyle name="Comma 12 2 2 2 2 3 3" xfId="32711" xr:uid="{00000000-0005-0000-0000-0000106A0000}"/>
    <cellStyle name="Comma 12 2 2 2 2 3 3 2" xfId="32712" xr:uid="{00000000-0005-0000-0000-0000116A0000}"/>
    <cellStyle name="Comma 12 2 2 2 2 3 3 3" xfId="32713" xr:uid="{00000000-0005-0000-0000-0000126A0000}"/>
    <cellStyle name="Comma 12 2 2 2 2 3 4" xfId="32714" xr:uid="{00000000-0005-0000-0000-0000136A0000}"/>
    <cellStyle name="Comma 12 2 2 2 2 3 4 2" xfId="32715" xr:uid="{00000000-0005-0000-0000-0000146A0000}"/>
    <cellStyle name="Comma 12 2 2 2 2 3 5" xfId="32716" xr:uid="{00000000-0005-0000-0000-0000156A0000}"/>
    <cellStyle name="Comma 12 2 2 2 2 3 6" xfId="32717" xr:uid="{00000000-0005-0000-0000-0000166A0000}"/>
    <cellStyle name="Comma 12 2 2 2 2 4" xfId="32718" xr:uid="{00000000-0005-0000-0000-0000176A0000}"/>
    <cellStyle name="Comma 12 2 2 2 2 4 2" xfId="32719" xr:uid="{00000000-0005-0000-0000-0000186A0000}"/>
    <cellStyle name="Comma 12 2 2 2 2 4 2 2" xfId="32720" xr:uid="{00000000-0005-0000-0000-0000196A0000}"/>
    <cellStyle name="Comma 12 2 2 2 2 4 2 3" xfId="32721" xr:uid="{00000000-0005-0000-0000-00001A6A0000}"/>
    <cellStyle name="Comma 12 2 2 2 2 4 3" xfId="32722" xr:uid="{00000000-0005-0000-0000-00001B6A0000}"/>
    <cellStyle name="Comma 12 2 2 2 2 4 3 2" xfId="32723" xr:uid="{00000000-0005-0000-0000-00001C6A0000}"/>
    <cellStyle name="Comma 12 2 2 2 2 4 3 3" xfId="32724" xr:uid="{00000000-0005-0000-0000-00001D6A0000}"/>
    <cellStyle name="Comma 12 2 2 2 2 4 4" xfId="32725" xr:uid="{00000000-0005-0000-0000-00001E6A0000}"/>
    <cellStyle name="Comma 12 2 2 2 2 4 4 2" xfId="32726" xr:uid="{00000000-0005-0000-0000-00001F6A0000}"/>
    <cellStyle name="Comma 12 2 2 2 2 4 5" xfId="32727" xr:uid="{00000000-0005-0000-0000-0000206A0000}"/>
    <cellStyle name="Comma 12 2 2 2 2 4 6" xfId="32728" xr:uid="{00000000-0005-0000-0000-0000216A0000}"/>
    <cellStyle name="Comma 12 2 2 2 2 5" xfId="32729" xr:uid="{00000000-0005-0000-0000-0000226A0000}"/>
    <cellStyle name="Comma 12 2 2 2 2 5 2" xfId="32730" xr:uid="{00000000-0005-0000-0000-0000236A0000}"/>
    <cellStyle name="Comma 12 2 2 2 2 5 2 2" xfId="32731" xr:uid="{00000000-0005-0000-0000-0000246A0000}"/>
    <cellStyle name="Comma 12 2 2 2 2 5 2 3" xfId="32732" xr:uid="{00000000-0005-0000-0000-0000256A0000}"/>
    <cellStyle name="Comma 12 2 2 2 2 5 3" xfId="32733" xr:uid="{00000000-0005-0000-0000-0000266A0000}"/>
    <cellStyle name="Comma 12 2 2 2 2 5 3 2" xfId="32734" xr:uid="{00000000-0005-0000-0000-0000276A0000}"/>
    <cellStyle name="Comma 12 2 2 2 2 5 4" xfId="32735" xr:uid="{00000000-0005-0000-0000-0000286A0000}"/>
    <cellStyle name="Comma 12 2 2 2 2 5 5" xfId="32736" xr:uid="{00000000-0005-0000-0000-0000296A0000}"/>
    <cellStyle name="Comma 12 2 2 2 2 6" xfId="32737" xr:uid="{00000000-0005-0000-0000-00002A6A0000}"/>
    <cellStyle name="Comma 12 2 2 2 2 6 2" xfId="32738" xr:uid="{00000000-0005-0000-0000-00002B6A0000}"/>
    <cellStyle name="Comma 12 2 2 2 2 6 3" xfId="32739" xr:uid="{00000000-0005-0000-0000-00002C6A0000}"/>
    <cellStyle name="Comma 12 2 2 2 2 7" xfId="32740" xr:uid="{00000000-0005-0000-0000-00002D6A0000}"/>
    <cellStyle name="Comma 12 2 2 2 2 7 2" xfId="32741" xr:uid="{00000000-0005-0000-0000-00002E6A0000}"/>
    <cellStyle name="Comma 12 2 2 2 2 7 3" xfId="32742" xr:uid="{00000000-0005-0000-0000-00002F6A0000}"/>
    <cellStyle name="Comma 12 2 2 2 2 8" xfId="32743" xr:uid="{00000000-0005-0000-0000-0000306A0000}"/>
    <cellStyle name="Comma 12 2 2 2 2 8 2" xfId="32744" xr:uid="{00000000-0005-0000-0000-0000316A0000}"/>
    <cellStyle name="Comma 12 2 2 2 2 9" xfId="32745" xr:uid="{00000000-0005-0000-0000-0000326A0000}"/>
    <cellStyle name="Comma 12 2 2 2 3" xfId="32746" xr:uid="{00000000-0005-0000-0000-0000336A0000}"/>
    <cellStyle name="Comma 12 2 2 2 3 2" xfId="32747" xr:uid="{00000000-0005-0000-0000-0000346A0000}"/>
    <cellStyle name="Comma 12 2 2 2 3 2 2" xfId="32748" xr:uid="{00000000-0005-0000-0000-0000356A0000}"/>
    <cellStyle name="Comma 12 2 2 2 3 2 2 2" xfId="32749" xr:uid="{00000000-0005-0000-0000-0000366A0000}"/>
    <cellStyle name="Comma 12 2 2 2 3 2 2 3" xfId="32750" xr:uid="{00000000-0005-0000-0000-0000376A0000}"/>
    <cellStyle name="Comma 12 2 2 2 3 2 3" xfId="32751" xr:uid="{00000000-0005-0000-0000-0000386A0000}"/>
    <cellStyle name="Comma 12 2 2 2 3 2 3 2" xfId="32752" xr:uid="{00000000-0005-0000-0000-0000396A0000}"/>
    <cellStyle name="Comma 12 2 2 2 3 2 3 3" xfId="32753" xr:uid="{00000000-0005-0000-0000-00003A6A0000}"/>
    <cellStyle name="Comma 12 2 2 2 3 2 4" xfId="32754" xr:uid="{00000000-0005-0000-0000-00003B6A0000}"/>
    <cellStyle name="Comma 12 2 2 2 3 2 4 2" xfId="32755" xr:uid="{00000000-0005-0000-0000-00003C6A0000}"/>
    <cellStyle name="Comma 12 2 2 2 3 2 5" xfId="32756" xr:uid="{00000000-0005-0000-0000-00003D6A0000}"/>
    <cellStyle name="Comma 12 2 2 2 3 2 6" xfId="32757" xr:uid="{00000000-0005-0000-0000-00003E6A0000}"/>
    <cellStyle name="Comma 12 2 2 2 3 3" xfId="32758" xr:uid="{00000000-0005-0000-0000-00003F6A0000}"/>
    <cellStyle name="Comma 12 2 2 2 3 3 2" xfId="32759" xr:uid="{00000000-0005-0000-0000-0000406A0000}"/>
    <cellStyle name="Comma 12 2 2 2 3 3 2 2" xfId="32760" xr:uid="{00000000-0005-0000-0000-0000416A0000}"/>
    <cellStyle name="Comma 12 2 2 2 3 3 2 3" xfId="32761" xr:uid="{00000000-0005-0000-0000-0000426A0000}"/>
    <cellStyle name="Comma 12 2 2 2 3 3 3" xfId="32762" xr:uid="{00000000-0005-0000-0000-0000436A0000}"/>
    <cellStyle name="Comma 12 2 2 2 3 3 3 2" xfId="32763" xr:uid="{00000000-0005-0000-0000-0000446A0000}"/>
    <cellStyle name="Comma 12 2 2 2 3 3 3 3" xfId="32764" xr:uid="{00000000-0005-0000-0000-0000456A0000}"/>
    <cellStyle name="Comma 12 2 2 2 3 3 4" xfId="32765" xr:uid="{00000000-0005-0000-0000-0000466A0000}"/>
    <cellStyle name="Comma 12 2 2 2 3 3 4 2" xfId="32766" xr:uid="{00000000-0005-0000-0000-0000476A0000}"/>
    <cellStyle name="Comma 12 2 2 2 3 3 5" xfId="32767" xr:uid="{00000000-0005-0000-0000-0000486A0000}"/>
    <cellStyle name="Comma 12 2 2 2 3 3 6" xfId="32768" xr:uid="{00000000-0005-0000-0000-0000496A0000}"/>
    <cellStyle name="Comma 12 2 2 2 3 4" xfId="32769" xr:uid="{00000000-0005-0000-0000-00004A6A0000}"/>
    <cellStyle name="Comma 12 2 2 2 3 4 2" xfId="32770" xr:uid="{00000000-0005-0000-0000-00004B6A0000}"/>
    <cellStyle name="Comma 12 2 2 2 3 4 2 2" xfId="32771" xr:uid="{00000000-0005-0000-0000-00004C6A0000}"/>
    <cellStyle name="Comma 12 2 2 2 3 4 2 3" xfId="32772" xr:uid="{00000000-0005-0000-0000-00004D6A0000}"/>
    <cellStyle name="Comma 12 2 2 2 3 4 3" xfId="32773" xr:uid="{00000000-0005-0000-0000-00004E6A0000}"/>
    <cellStyle name="Comma 12 2 2 2 3 4 3 2" xfId="32774" xr:uid="{00000000-0005-0000-0000-00004F6A0000}"/>
    <cellStyle name="Comma 12 2 2 2 3 4 4" xfId="32775" xr:uid="{00000000-0005-0000-0000-0000506A0000}"/>
    <cellStyle name="Comma 12 2 2 2 3 4 5" xfId="32776" xr:uid="{00000000-0005-0000-0000-0000516A0000}"/>
    <cellStyle name="Comma 12 2 2 2 3 5" xfId="32777" xr:uid="{00000000-0005-0000-0000-0000526A0000}"/>
    <cellStyle name="Comma 12 2 2 2 3 5 2" xfId="32778" xr:uid="{00000000-0005-0000-0000-0000536A0000}"/>
    <cellStyle name="Comma 12 2 2 2 3 5 3" xfId="32779" xr:uid="{00000000-0005-0000-0000-0000546A0000}"/>
    <cellStyle name="Comma 12 2 2 2 3 6" xfId="32780" xr:uid="{00000000-0005-0000-0000-0000556A0000}"/>
    <cellStyle name="Comma 12 2 2 2 3 6 2" xfId="32781" xr:uid="{00000000-0005-0000-0000-0000566A0000}"/>
    <cellStyle name="Comma 12 2 2 2 3 6 3" xfId="32782" xr:uid="{00000000-0005-0000-0000-0000576A0000}"/>
    <cellStyle name="Comma 12 2 2 2 3 7" xfId="32783" xr:uid="{00000000-0005-0000-0000-0000586A0000}"/>
    <cellStyle name="Comma 12 2 2 2 3 7 2" xfId="32784" xr:uid="{00000000-0005-0000-0000-0000596A0000}"/>
    <cellStyle name="Comma 12 2 2 2 3 8" xfId="32785" xr:uid="{00000000-0005-0000-0000-00005A6A0000}"/>
    <cellStyle name="Comma 12 2 2 2 3 9" xfId="32786" xr:uid="{00000000-0005-0000-0000-00005B6A0000}"/>
    <cellStyle name="Comma 12 2 2 2 4" xfId="32787" xr:uid="{00000000-0005-0000-0000-00005C6A0000}"/>
    <cellStyle name="Comma 12 2 2 2 4 2" xfId="32788" xr:uid="{00000000-0005-0000-0000-00005D6A0000}"/>
    <cellStyle name="Comma 12 2 2 2 4 2 2" xfId="32789" xr:uid="{00000000-0005-0000-0000-00005E6A0000}"/>
    <cellStyle name="Comma 12 2 2 2 4 2 2 2" xfId="32790" xr:uid="{00000000-0005-0000-0000-00005F6A0000}"/>
    <cellStyle name="Comma 12 2 2 2 4 2 2 3" xfId="32791" xr:uid="{00000000-0005-0000-0000-0000606A0000}"/>
    <cellStyle name="Comma 12 2 2 2 4 2 3" xfId="32792" xr:uid="{00000000-0005-0000-0000-0000616A0000}"/>
    <cellStyle name="Comma 12 2 2 2 4 2 3 2" xfId="32793" xr:uid="{00000000-0005-0000-0000-0000626A0000}"/>
    <cellStyle name="Comma 12 2 2 2 4 2 3 3" xfId="32794" xr:uid="{00000000-0005-0000-0000-0000636A0000}"/>
    <cellStyle name="Comma 12 2 2 2 4 2 4" xfId="32795" xr:uid="{00000000-0005-0000-0000-0000646A0000}"/>
    <cellStyle name="Comma 12 2 2 2 4 2 4 2" xfId="32796" xr:uid="{00000000-0005-0000-0000-0000656A0000}"/>
    <cellStyle name="Comma 12 2 2 2 4 2 5" xfId="32797" xr:uid="{00000000-0005-0000-0000-0000666A0000}"/>
    <cellStyle name="Comma 12 2 2 2 4 2 6" xfId="32798" xr:uid="{00000000-0005-0000-0000-0000676A0000}"/>
    <cellStyle name="Comma 12 2 2 2 4 3" xfId="32799" xr:uid="{00000000-0005-0000-0000-0000686A0000}"/>
    <cellStyle name="Comma 12 2 2 2 4 3 2" xfId="32800" xr:uid="{00000000-0005-0000-0000-0000696A0000}"/>
    <cellStyle name="Comma 12 2 2 2 4 3 2 2" xfId="32801" xr:uid="{00000000-0005-0000-0000-00006A6A0000}"/>
    <cellStyle name="Comma 12 2 2 2 4 3 2 3" xfId="32802" xr:uid="{00000000-0005-0000-0000-00006B6A0000}"/>
    <cellStyle name="Comma 12 2 2 2 4 3 3" xfId="32803" xr:uid="{00000000-0005-0000-0000-00006C6A0000}"/>
    <cellStyle name="Comma 12 2 2 2 4 3 3 2" xfId="32804" xr:uid="{00000000-0005-0000-0000-00006D6A0000}"/>
    <cellStyle name="Comma 12 2 2 2 4 3 3 3" xfId="32805" xr:uid="{00000000-0005-0000-0000-00006E6A0000}"/>
    <cellStyle name="Comma 12 2 2 2 4 3 4" xfId="32806" xr:uid="{00000000-0005-0000-0000-00006F6A0000}"/>
    <cellStyle name="Comma 12 2 2 2 4 3 4 2" xfId="32807" xr:uid="{00000000-0005-0000-0000-0000706A0000}"/>
    <cellStyle name="Comma 12 2 2 2 4 3 5" xfId="32808" xr:uid="{00000000-0005-0000-0000-0000716A0000}"/>
    <cellStyle name="Comma 12 2 2 2 4 3 6" xfId="32809" xr:uid="{00000000-0005-0000-0000-0000726A0000}"/>
    <cellStyle name="Comma 12 2 2 2 4 4" xfId="32810" xr:uid="{00000000-0005-0000-0000-0000736A0000}"/>
    <cellStyle name="Comma 12 2 2 2 4 4 2" xfId="32811" xr:uid="{00000000-0005-0000-0000-0000746A0000}"/>
    <cellStyle name="Comma 12 2 2 2 4 4 2 2" xfId="32812" xr:uid="{00000000-0005-0000-0000-0000756A0000}"/>
    <cellStyle name="Comma 12 2 2 2 4 4 2 3" xfId="32813" xr:uid="{00000000-0005-0000-0000-0000766A0000}"/>
    <cellStyle name="Comma 12 2 2 2 4 4 3" xfId="32814" xr:uid="{00000000-0005-0000-0000-0000776A0000}"/>
    <cellStyle name="Comma 12 2 2 2 4 4 3 2" xfId="32815" xr:uid="{00000000-0005-0000-0000-0000786A0000}"/>
    <cellStyle name="Comma 12 2 2 2 4 4 4" xfId="32816" xr:uid="{00000000-0005-0000-0000-0000796A0000}"/>
    <cellStyle name="Comma 12 2 2 2 4 4 5" xfId="32817" xr:uid="{00000000-0005-0000-0000-00007A6A0000}"/>
    <cellStyle name="Comma 12 2 2 2 4 5" xfId="32818" xr:uid="{00000000-0005-0000-0000-00007B6A0000}"/>
    <cellStyle name="Comma 12 2 2 2 4 5 2" xfId="32819" xr:uid="{00000000-0005-0000-0000-00007C6A0000}"/>
    <cellStyle name="Comma 12 2 2 2 4 5 3" xfId="32820" xr:uid="{00000000-0005-0000-0000-00007D6A0000}"/>
    <cellStyle name="Comma 12 2 2 2 4 6" xfId="32821" xr:uid="{00000000-0005-0000-0000-00007E6A0000}"/>
    <cellStyle name="Comma 12 2 2 2 4 6 2" xfId="32822" xr:uid="{00000000-0005-0000-0000-00007F6A0000}"/>
    <cellStyle name="Comma 12 2 2 2 4 6 3" xfId="32823" xr:uid="{00000000-0005-0000-0000-0000806A0000}"/>
    <cellStyle name="Comma 12 2 2 2 4 7" xfId="32824" xr:uid="{00000000-0005-0000-0000-0000816A0000}"/>
    <cellStyle name="Comma 12 2 2 2 4 7 2" xfId="32825" xr:uid="{00000000-0005-0000-0000-0000826A0000}"/>
    <cellStyle name="Comma 12 2 2 2 4 8" xfId="32826" xr:uid="{00000000-0005-0000-0000-0000836A0000}"/>
    <cellStyle name="Comma 12 2 2 2 4 9" xfId="32827" xr:uid="{00000000-0005-0000-0000-0000846A0000}"/>
    <cellStyle name="Comma 12 2 2 2 5" xfId="32828" xr:uid="{00000000-0005-0000-0000-0000856A0000}"/>
    <cellStyle name="Comma 12 2 2 2 5 2" xfId="32829" xr:uid="{00000000-0005-0000-0000-0000866A0000}"/>
    <cellStyle name="Comma 12 2 2 2 5 2 2" xfId="32830" xr:uid="{00000000-0005-0000-0000-0000876A0000}"/>
    <cellStyle name="Comma 12 2 2 2 5 2 3" xfId="32831" xr:uid="{00000000-0005-0000-0000-0000886A0000}"/>
    <cellStyle name="Comma 12 2 2 2 5 3" xfId="32832" xr:uid="{00000000-0005-0000-0000-0000896A0000}"/>
    <cellStyle name="Comma 12 2 2 2 5 3 2" xfId="32833" xr:uid="{00000000-0005-0000-0000-00008A6A0000}"/>
    <cellStyle name="Comma 12 2 2 2 5 3 3" xfId="32834" xr:uid="{00000000-0005-0000-0000-00008B6A0000}"/>
    <cellStyle name="Comma 12 2 2 2 5 4" xfId="32835" xr:uid="{00000000-0005-0000-0000-00008C6A0000}"/>
    <cellStyle name="Comma 12 2 2 2 5 4 2" xfId="32836" xr:uid="{00000000-0005-0000-0000-00008D6A0000}"/>
    <cellStyle name="Comma 12 2 2 2 5 5" xfId="32837" xr:uid="{00000000-0005-0000-0000-00008E6A0000}"/>
    <cellStyle name="Comma 12 2 2 2 5 6" xfId="32838" xr:uid="{00000000-0005-0000-0000-00008F6A0000}"/>
    <cellStyle name="Comma 12 2 2 2 6" xfId="32839" xr:uid="{00000000-0005-0000-0000-0000906A0000}"/>
    <cellStyle name="Comma 12 2 2 2 6 2" xfId="32840" xr:uid="{00000000-0005-0000-0000-0000916A0000}"/>
    <cellStyle name="Comma 12 2 2 2 6 2 2" xfId="32841" xr:uid="{00000000-0005-0000-0000-0000926A0000}"/>
    <cellStyle name="Comma 12 2 2 2 6 2 3" xfId="32842" xr:uid="{00000000-0005-0000-0000-0000936A0000}"/>
    <cellStyle name="Comma 12 2 2 2 6 3" xfId="32843" xr:uid="{00000000-0005-0000-0000-0000946A0000}"/>
    <cellStyle name="Comma 12 2 2 2 6 3 2" xfId="32844" xr:uid="{00000000-0005-0000-0000-0000956A0000}"/>
    <cellStyle name="Comma 12 2 2 2 6 3 3" xfId="32845" xr:uid="{00000000-0005-0000-0000-0000966A0000}"/>
    <cellStyle name="Comma 12 2 2 2 6 4" xfId="32846" xr:uid="{00000000-0005-0000-0000-0000976A0000}"/>
    <cellStyle name="Comma 12 2 2 2 6 4 2" xfId="32847" xr:uid="{00000000-0005-0000-0000-0000986A0000}"/>
    <cellStyle name="Comma 12 2 2 2 6 5" xfId="32848" xr:uid="{00000000-0005-0000-0000-0000996A0000}"/>
    <cellStyle name="Comma 12 2 2 2 6 6" xfId="32849" xr:uid="{00000000-0005-0000-0000-00009A6A0000}"/>
    <cellStyle name="Comma 12 2 2 2 7" xfId="32850" xr:uid="{00000000-0005-0000-0000-00009B6A0000}"/>
    <cellStyle name="Comma 12 2 2 2 7 2" xfId="32851" xr:uid="{00000000-0005-0000-0000-00009C6A0000}"/>
    <cellStyle name="Comma 12 2 2 2 7 2 2" xfId="32852" xr:uid="{00000000-0005-0000-0000-00009D6A0000}"/>
    <cellStyle name="Comma 12 2 2 2 7 2 3" xfId="32853" xr:uid="{00000000-0005-0000-0000-00009E6A0000}"/>
    <cellStyle name="Comma 12 2 2 2 7 3" xfId="32854" xr:uid="{00000000-0005-0000-0000-00009F6A0000}"/>
    <cellStyle name="Comma 12 2 2 2 7 3 2" xfId="32855" xr:uid="{00000000-0005-0000-0000-0000A06A0000}"/>
    <cellStyle name="Comma 12 2 2 2 7 4" xfId="32856" xr:uid="{00000000-0005-0000-0000-0000A16A0000}"/>
    <cellStyle name="Comma 12 2 2 2 7 5" xfId="32857" xr:uid="{00000000-0005-0000-0000-0000A26A0000}"/>
    <cellStyle name="Comma 12 2 2 2 8" xfId="32858" xr:uid="{00000000-0005-0000-0000-0000A36A0000}"/>
    <cellStyle name="Comma 12 2 2 2 8 2" xfId="32859" xr:uid="{00000000-0005-0000-0000-0000A46A0000}"/>
    <cellStyle name="Comma 12 2 2 2 8 3" xfId="32860" xr:uid="{00000000-0005-0000-0000-0000A56A0000}"/>
    <cellStyle name="Comma 12 2 2 2 9" xfId="32861" xr:uid="{00000000-0005-0000-0000-0000A66A0000}"/>
    <cellStyle name="Comma 12 2 2 2 9 2" xfId="32862" xr:uid="{00000000-0005-0000-0000-0000A76A0000}"/>
    <cellStyle name="Comma 12 2 2 2 9 3" xfId="32863" xr:uid="{00000000-0005-0000-0000-0000A86A0000}"/>
    <cellStyle name="Comma 12 2 2 3" xfId="32864" xr:uid="{00000000-0005-0000-0000-0000A96A0000}"/>
    <cellStyle name="Comma 12 2 2 3 10" xfId="32865" xr:uid="{00000000-0005-0000-0000-0000AA6A0000}"/>
    <cellStyle name="Comma 12 2 2 3 2" xfId="32866" xr:uid="{00000000-0005-0000-0000-0000AB6A0000}"/>
    <cellStyle name="Comma 12 2 2 3 2 2" xfId="32867" xr:uid="{00000000-0005-0000-0000-0000AC6A0000}"/>
    <cellStyle name="Comma 12 2 2 3 2 2 2" xfId="32868" xr:uid="{00000000-0005-0000-0000-0000AD6A0000}"/>
    <cellStyle name="Comma 12 2 2 3 2 2 2 2" xfId="32869" xr:uid="{00000000-0005-0000-0000-0000AE6A0000}"/>
    <cellStyle name="Comma 12 2 2 3 2 2 2 3" xfId="32870" xr:uid="{00000000-0005-0000-0000-0000AF6A0000}"/>
    <cellStyle name="Comma 12 2 2 3 2 2 3" xfId="32871" xr:uid="{00000000-0005-0000-0000-0000B06A0000}"/>
    <cellStyle name="Comma 12 2 2 3 2 2 3 2" xfId="32872" xr:uid="{00000000-0005-0000-0000-0000B16A0000}"/>
    <cellStyle name="Comma 12 2 2 3 2 2 3 3" xfId="32873" xr:uid="{00000000-0005-0000-0000-0000B26A0000}"/>
    <cellStyle name="Comma 12 2 2 3 2 2 4" xfId="32874" xr:uid="{00000000-0005-0000-0000-0000B36A0000}"/>
    <cellStyle name="Comma 12 2 2 3 2 2 4 2" xfId="32875" xr:uid="{00000000-0005-0000-0000-0000B46A0000}"/>
    <cellStyle name="Comma 12 2 2 3 2 2 5" xfId="32876" xr:uid="{00000000-0005-0000-0000-0000B56A0000}"/>
    <cellStyle name="Comma 12 2 2 3 2 2 6" xfId="32877" xr:uid="{00000000-0005-0000-0000-0000B66A0000}"/>
    <cellStyle name="Comma 12 2 2 3 2 3" xfId="32878" xr:uid="{00000000-0005-0000-0000-0000B76A0000}"/>
    <cellStyle name="Comma 12 2 2 3 2 3 2" xfId="32879" xr:uid="{00000000-0005-0000-0000-0000B86A0000}"/>
    <cellStyle name="Comma 12 2 2 3 2 3 2 2" xfId="32880" xr:uid="{00000000-0005-0000-0000-0000B96A0000}"/>
    <cellStyle name="Comma 12 2 2 3 2 3 2 3" xfId="32881" xr:uid="{00000000-0005-0000-0000-0000BA6A0000}"/>
    <cellStyle name="Comma 12 2 2 3 2 3 3" xfId="32882" xr:uid="{00000000-0005-0000-0000-0000BB6A0000}"/>
    <cellStyle name="Comma 12 2 2 3 2 3 3 2" xfId="32883" xr:uid="{00000000-0005-0000-0000-0000BC6A0000}"/>
    <cellStyle name="Comma 12 2 2 3 2 3 3 3" xfId="32884" xr:uid="{00000000-0005-0000-0000-0000BD6A0000}"/>
    <cellStyle name="Comma 12 2 2 3 2 3 4" xfId="32885" xr:uid="{00000000-0005-0000-0000-0000BE6A0000}"/>
    <cellStyle name="Comma 12 2 2 3 2 3 4 2" xfId="32886" xr:uid="{00000000-0005-0000-0000-0000BF6A0000}"/>
    <cellStyle name="Comma 12 2 2 3 2 3 5" xfId="32887" xr:uid="{00000000-0005-0000-0000-0000C06A0000}"/>
    <cellStyle name="Comma 12 2 2 3 2 3 6" xfId="32888" xr:uid="{00000000-0005-0000-0000-0000C16A0000}"/>
    <cellStyle name="Comma 12 2 2 3 2 4" xfId="32889" xr:uid="{00000000-0005-0000-0000-0000C26A0000}"/>
    <cellStyle name="Comma 12 2 2 3 2 4 2" xfId="32890" xr:uid="{00000000-0005-0000-0000-0000C36A0000}"/>
    <cellStyle name="Comma 12 2 2 3 2 4 2 2" xfId="32891" xr:uid="{00000000-0005-0000-0000-0000C46A0000}"/>
    <cellStyle name="Comma 12 2 2 3 2 4 2 3" xfId="32892" xr:uid="{00000000-0005-0000-0000-0000C56A0000}"/>
    <cellStyle name="Comma 12 2 2 3 2 4 3" xfId="32893" xr:uid="{00000000-0005-0000-0000-0000C66A0000}"/>
    <cellStyle name="Comma 12 2 2 3 2 4 3 2" xfId="32894" xr:uid="{00000000-0005-0000-0000-0000C76A0000}"/>
    <cellStyle name="Comma 12 2 2 3 2 4 4" xfId="32895" xr:uid="{00000000-0005-0000-0000-0000C86A0000}"/>
    <cellStyle name="Comma 12 2 2 3 2 4 5" xfId="32896" xr:uid="{00000000-0005-0000-0000-0000C96A0000}"/>
    <cellStyle name="Comma 12 2 2 3 2 5" xfId="32897" xr:uid="{00000000-0005-0000-0000-0000CA6A0000}"/>
    <cellStyle name="Comma 12 2 2 3 2 5 2" xfId="32898" xr:uid="{00000000-0005-0000-0000-0000CB6A0000}"/>
    <cellStyle name="Comma 12 2 2 3 2 5 3" xfId="32899" xr:uid="{00000000-0005-0000-0000-0000CC6A0000}"/>
    <cellStyle name="Comma 12 2 2 3 2 6" xfId="32900" xr:uid="{00000000-0005-0000-0000-0000CD6A0000}"/>
    <cellStyle name="Comma 12 2 2 3 2 6 2" xfId="32901" xr:uid="{00000000-0005-0000-0000-0000CE6A0000}"/>
    <cellStyle name="Comma 12 2 2 3 2 6 3" xfId="32902" xr:uid="{00000000-0005-0000-0000-0000CF6A0000}"/>
    <cellStyle name="Comma 12 2 2 3 2 7" xfId="32903" xr:uid="{00000000-0005-0000-0000-0000D06A0000}"/>
    <cellStyle name="Comma 12 2 2 3 2 7 2" xfId="32904" xr:uid="{00000000-0005-0000-0000-0000D16A0000}"/>
    <cellStyle name="Comma 12 2 2 3 2 8" xfId="32905" xr:uid="{00000000-0005-0000-0000-0000D26A0000}"/>
    <cellStyle name="Comma 12 2 2 3 2 9" xfId="32906" xr:uid="{00000000-0005-0000-0000-0000D36A0000}"/>
    <cellStyle name="Comma 12 2 2 3 3" xfId="32907" xr:uid="{00000000-0005-0000-0000-0000D46A0000}"/>
    <cellStyle name="Comma 12 2 2 3 3 2" xfId="32908" xr:uid="{00000000-0005-0000-0000-0000D56A0000}"/>
    <cellStyle name="Comma 12 2 2 3 3 2 2" xfId="32909" xr:uid="{00000000-0005-0000-0000-0000D66A0000}"/>
    <cellStyle name="Comma 12 2 2 3 3 2 3" xfId="32910" xr:uid="{00000000-0005-0000-0000-0000D76A0000}"/>
    <cellStyle name="Comma 12 2 2 3 3 3" xfId="32911" xr:uid="{00000000-0005-0000-0000-0000D86A0000}"/>
    <cellStyle name="Comma 12 2 2 3 3 3 2" xfId="32912" xr:uid="{00000000-0005-0000-0000-0000D96A0000}"/>
    <cellStyle name="Comma 12 2 2 3 3 3 3" xfId="32913" xr:uid="{00000000-0005-0000-0000-0000DA6A0000}"/>
    <cellStyle name="Comma 12 2 2 3 3 4" xfId="32914" xr:uid="{00000000-0005-0000-0000-0000DB6A0000}"/>
    <cellStyle name="Comma 12 2 2 3 3 4 2" xfId="32915" xr:uid="{00000000-0005-0000-0000-0000DC6A0000}"/>
    <cellStyle name="Comma 12 2 2 3 3 5" xfId="32916" xr:uid="{00000000-0005-0000-0000-0000DD6A0000}"/>
    <cellStyle name="Comma 12 2 2 3 3 6" xfId="32917" xr:uid="{00000000-0005-0000-0000-0000DE6A0000}"/>
    <cellStyle name="Comma 12 2 2 3 4" xfId="32918" xr:uid="{00000000-0005-0000-0000-0000DF6A0000}"/>
    <cellStyle name="Comma 12 2 2 3 4 2" xfId="32919" xr:uid="{00000000-0005-0000-0000-0000E06A0000}"/>
    <cellStyle name="Comma 12 2 2 3 4 2 2" xfId="32920" xr:uid="{00000000-0005-0000-0000-0000E16A0000}"/>
    <cellStyle name="Comma 12 2 2 3 4 2 3" xfId="32921" xr:uid="{00000000-0005-0000-0000-0000E26A0000}"/>
    <cellStyle name="Comma 12 2 2 3 4 3" xfId="32922" xr:uid="{00000000-0005-0000-0000-0000E36A0000}"/>
    <cellStyle name="Comma 12 2 2 3 4 3 2" xfId="32923" xr:uid="{00000000-0005-0000-0000-0000E46A0000}"/>
    <cellStyle name="Comma 12 2 2 3 4 3 3" xfId="32924" xr:uid="{00000000-0005-0000-0000-0000E56A0000}"/>
    <cellStyle name="Comma 12 2 2 3 4 4" xfId="32925" xr:uid="{00000000-0005-0000-0000-0000E66A0000}"/>
    <cellStyle name="Comma 12 2 2 3 4 4 2" xfId="32926" xr:uid="{00000000-0005-0000-0000-0000E76A0000}"/>
    <cellStyle name="Comma 12 2 2 3 4 5" xfId="32927" xr:uid="{00000000-0005-0000-0000-0000E86A0000}"/>
    <cellStyle name="Comma 12 2 2 3 4 6" xfId="32928" xr:uid="{00000000-0005-0000-0000-0000E96A0000}"/>
    <cellStyle name="Comma 12 2 2 3 5" xfId="32929" xr:uid="{00000000-0005-0000-0000-0000EA6A0000}"/>
    <cellStyle name="Comma 12 2 2 3 5 2" xfId="32930" xr:uid="{00000000-0005-0000-0000-0000EB6A0000}"/>
    <cellStyle name="Comma 12 2 2 3 5 2 2" xfId="32931" xr:uid="{00000000-0005-0000-0000-0000EC6A0000}"/>
    <cellStyle name="Comma 12 2 2 3 5 2 3" xfId="32932" xr:uid="{00000000-0005-0000-0000-0000ED6A0000}"/>
    <cellStyle name="Comma 12 2 2 3 5 3" xfId="32933" xr:uid="{00000000-0005-0000-0000-0000EE6A0000}"/>
    <cellStyle name="Comma 12 2 2 3 5 3 2" xfId="32934" xr:uid="{00000000-0005-0000-0000-0000EF6A0000}"/>
    <cellStyle name="Comma 12 2 2 3 5 4" xfId="32935" xr:uid="{00000000-0005-0000-0000-0000F06A0000}"/>
    <cellStyle name="Comma 12 2 2 3 5 5" xfId="32936" xr:uid="{00000000-0005-0000-0000-0000F16A0000}"/>
    <cellStyle name="Comma 12 2 2 3 6" xfId="32937" xr:uid="{00000000-0005-0000-0000-0000F26A0000}"/>
    <cellStyle name="Comma 12 2 2 3 6 2" xfId="32938" xr:uid="{00000000-0005-0000-0000-0000F36A0000}"/>
    <cellStyle name="Comma 12 2 2 3 6 3" xfId="32939" xr:uid="{00000000-0005-0000-0000-0000F46A0000}"/>
    <cellStyle name="Comma 12 2 2 3 7" xfId="32940" xr:uid="{00000000-0005-0000-0000-0000F56A0000}"/>
    <cellStyle name="Comma 12 2 2 3 7 2" xfId="32941" xr:uid="{00000000-0005-0000-0000-0000F66A0000}"/>
    <cellStyle name="Comma 12 2 2 3 7 3" xfId="32942" xr:uid="{00000000-0005-0000-0000-0000F76A0000}"/>
    <cellStyle name="Comma 12 2 2 3 8" xfId="32943" xr:uid="{00000000-0005-0000-0000-0000F86A0000}"/>
    <cellStyle name="Comma 12 2 2 3 8 2" xfId="32944" xr:uid="{00000000-0005-0000-0000-0000F96A0000}"/>
    <cellStyle name="Comma 12 2 2 3 9" xfId="32945" xr:uid="{00000000-0005-0000-0000-0000FA6A0000}"/>
    <cellStyle name="Comma 12 2 2 4" xfId="32946" xr:uid="{00000000-0005-0000-0000-0000FB6A0000}"/>
    <cellStyle name="Comma 12 2 2 4 2" xfId="32947" xr:uid="{00000000-0005-0000-0000-0000FC6A0000}"/>
    <cellStyle name="Comma 12 2 2 4 2 2" xfId="32948" xr:uid="{00000000-0005-0000-0000-0000FD6A0000}"/>
    <cellStyle name="Comma 12 2 2 4 2 2 2" xfId="32949" xr:uid="{00000000-0005-0000-0000-0000FE6A0000}"/>
    <cellStyle name="Comma 12 2 2 4 2 2 3" xfId="32950" xr:uid="{00000000-0005-0000-0000-0000FF6A0000}"/>
    <cellStyle name="Comma 12 2 2 4 2 3" xfId="32951" xr:uid="{00000000-0005-0000-0000-0000006B0000}"/>
    <cellStyle name="Comma 12 2 2 4 2 3 2" xfId="32952" xr:uid="{00000000-0005-0000-0000-0000016B0000}"/>
    <cellStyle name="Comma 12 2 2 4 2 3 3" xfId="32953" xr:uid="{00000000-0005-0000-0000-0000026B0000}"/>
    <cellStyle name="Comma 12 2 2 4 2 4" xfId="32954" xr:uid="{00000000-0005-0000-0000-0000036B0000}"/>
    <cellStyle name="Comma 12 2 2 4 2 4 2" xfId="32955" xr:uid="{00000000-0005-0000-0000-0000046B0000}"/>
    <cellStyle name="Comma 12 2 2 4 2 5" xfId="32956" xr:uid="{00000000-0005-0000-0000-0000056B0000}"/>
    <cellStyle name="Comma 12 2 2 4 2 6" xfId="32957" xr:uid="{00000000-0005-0000-0000-0000066B0000}"/>
    <cellStyle name="Comma 12 2 2 4 3" xfId="32958" xr:uid="{00000000-0005-0000-0000-0000076B0000}"/>
    <cellStyle name="Comma 12 2 2 4 3 2" xfId="32959" xr:uid="{00000000-0005-0000-0000-0000086B0000}"/>
    <cellStyle name="Comma 12 2 2 4 3 2 2" xfId="32960" xr:uid="{00000000-0005-0000-0000-0000096B0000}"/>
    <cellStyle name="Comma 12 2 2 4 3 2 3" xfId="32961" xr:uid="{00000000-0005-0000-0000-00000A6B0000}"/>
    <cellStyle name="Comma 12 2 2 4 3 3" xfId="32962" xr:uid="{00000000-0005-0000-0000-00000B6B0000}"/>
    <cellStyle name="Comma 12 2 2 4 3 3 2" xfId="32963" xr:uid="{00000000-0005-0000-0000-00000C6B0000}"/>
    <cellStyle name="Comma 12 2 2 4 3 3 3" xfId="32964" xr:uid="{00000000-0005-0000-0000-00000D6B0000}"/>
    <cellStyle name="Comma 12 2 2 4 3 4" xfId="32965" xr:uid="{00000000-0005-0000-0000-00000E6B0000}"/>
    <cellStyle name="Comma 12 2 2 4 3 4 2" xfId="32966" xr:uid="{00000000-0005-0000-0000-00000F6B0000}"/>
    <cellStyle name="Comma 12 2 2 4 3 5" xfId="32967" xr:uid="{00000000-0005-0000-0000-0000106B0000}"/>
    <cellStyle name="Comma 12 2 2 4 3 6" xfId="32968" xr:uid="{00000000-0005-0000-0000-0000116B0000}"/>
    <cellStyle name="Comma 12 2 2 4 4" xfId="32969" xr:uid="{00000000-0005-0000-0000-0000126B0000}"/>
    <cellStyle name="Comma 12 2 2 4 4 2" xfId="32970" xr:uid="{00000000-0005-0000-0000-0000136B0000}"/>
    <cellStyle name="Comma 12 2 2 4 4 2 2" xfId="32971" xr:uid="{00000000-0005-0000-0000-0000146B0000}"/>
    <cellStyle name="Comma 12 2 2 4 4 2 3" xfId="32972" xr:uid="{00000000-0005-0000-0000-0000156B0000}"/>
    <cellStyle name="Comma 12 2 2 4 4 3" xfId="32973" xr:uid="{00000000-0005-0000-0000-0000166B0000}"/>
    <cellStyle name="Comma 12 2 2 4 4 3 2" xfId="32974" xr:uid="{00000000-0005-0000-0000-0000176B0000}"/>
    <cellStyle name="Comma 12 2 2 4 4 4" xfId="32975" xr:uid="{00000000-0005-0000-0000-0000186B0000}"/>
    <cellStyle name="Comma 12 2 2 4 4 5" xfId="32976" xr:uid="{00000000-0005-0000-0000-0000196B0000}"/>
    <cellStyle name="Comma 12 2 2 4 5" xfId="32977" xr:uid="{00000000-0005-0000-0000-00001A6B0000}"/>
    <cellStyle name="Comma 12 2 2 4 5 2" xfId="32978" xr:uid="{00000000-0005-0000-0000-00001B6B0000}"/>
    <cellStyle name="Comma 12 2 2 4 5 3" xfId="32979" xr:uid="{00000000-0005-0000-0000-00001C6B0000}"/>
    <cellStyle name="Comma 12 2 2 4 6" xfId="32980" xr:uid="{00000000-0005-0000-0000-00001D6B0000}"/>
    <cellStyle name="Comma 12 2 2 4 6 2" xfId="32981" xr:uid="{00000000-0005-0000-0000-00001E6B0000}"/>
    <cellStyle name="Comma 12 2 2 4 6 3" xfId="32982" xr:uid="{00000000-0005-0000-0000-00001F6B0000}"/>
    <cellStyle name="Comma 12 2 2 4 7" xfId="32983" xr:uid="{00000000-0005-0000-0000-0000206B0000}"/>
    <cellStyle name="Comma 12 2 2 4 7 2" xfId="32984" xr:uid="{00000000-0005-0000-0000-0000216B0000}"/>
    <cellStyle name="Comma 12 2 2 4 8" xfId="32985" xr:uid="{00000000-0005-0000-0000-0000226B0000}"/>
    <cellStyle name="Comma 12 2 2 4 9" xfId="32986" xr:uid="{00000000-0005-0000-0000-0000236B0000}"/>
    <cellStyle name="Comma 12 2 2 5" xfId="32987" xr:uid="{00000000-0005-0000-0000-0000246B0000}"/>
    <cellStyle name="Comma 12 2 2 5 2" xfId="32988" xr:uid="{00000000-0005-0000-0000-0000256B0000}"/>
    <cellStyle name="Comma 12 2 2 5 2 2" xfId="32989" xr:uid="{00000000-0005-0000-0000-0000266B0000}"/>
    <cellStyle name="Comma 12 2 2 5 2 2 2" xfId="32990" xr:uid="{00000000-0005-0000-0000-0000276B0000}"/>
    <cellStyle name="Comma 12 2 2 5 2 2 3" xfId="32991" xr:uid="{00000000-0005-0000-0000-0000286B0000}"/>
    <cellStyle name="Comma 12 2 2 5 2 3" xfId="32992" xr:uid="{00000000-0005-0000-0000-0000296B0000}"/>
    <cellStyle name="Comma 12 2 2 5 2 3 2" xfId="32993" xr:uid="{00000000-0005-0000-0000-00002A6B0000}"/>
    <cellStyle name="Comma 12 2 2 5 2 3 3" xfId="32994" xr:uid="{00000000-0005-0000-0000-00002B6B0000}"/>
    <cellStyle name="Comma 12 2 2 5 2 4" xfId="32995" xr:uid="{00000000-0005-0000-0000-00002C6B0000}"/>
    <cellStyle name="Comma 12 2 2 5 2 4 2" xfId="32996" xr:uid="{00000000-0005-0000-0000-00002D6B0000}"/>
    <cellStyle name="Comma 12 2 2 5 2 5" xfId="32997" xr:uid="{00000000-0005-0000-0000-00002E6B0000}"/>
    <cellStyle name="Comma 12 2 2 5 2 6" xfId="32998" xr:uid="{00000000-0005-0000-0000-00002F6B0000}"/>
    <cellStyle name="Comma 12 2 2 5 3" xfId="32999" xr:uid="{00000000-0005-0000-0000-0000306B0000}"/>
    <cellStyle name="Comma 12 2 2 5 3 2" xfId="33000" xr:uid="{00000000-0005-0000-0000-0000316B0000}"/>
    <cellStyle name="Comma 12 2 2 5 3 2 2" xfId="33001" xr:uid="{00000000-0005-0000-0000-0000326B0000}"/>
    <cellStyle name="Comma 12 2 2 5 3 2 3" xfId="33002" xr:uid="{00000000-0005-0000-0000-0000336B0000}"/>
    <cellStyle name="Comma 12 2 2 5 3 3" xfId="33003" xr:uid="{00000000-0005-0000-0000-0000346B0000}"/>
    <cellStyle name="Comma 12 2 2 5 3 3 2" xfId="33004" xr:uid="{00000000-0005-0000-0000-0000356B0000}"/>
    <cellStyle name="Comma 12 2 2 5 3 3 3" xfId="33005" xr:uid="{00000000-0005-0000-0000-0000366B0000}"/>
    <cellStyle name="Comma 12 2 2 5 3 4" xfId="33006" xr:uid="{00000000-0005-0000-0000-0000376B0000}"/>
    <cellStyle name="Comma 12 2 2 5 3 4 2" xfId="33007" xr:uid="{00000000-0005-0000-0000-0000386B0000}"/>
    <cellStyle name="Comma 12 2 2 5 3 5" xfId="33008" xr:uid="{00000000-0005-0000-0000-0000396B0000}"/>
    <cellStyle name="Comma 12 2 2 5 3 6" xfId="33009" xr:uid="{00000000-0005-0000-0000-00003A6B0000}"/>
    <cellStyle name="Comma 12 2 2 5 4" xfId="33010" xr:uid="{00000000-0005-0000-0000-00003B6B0000}"/>
    <cellStyle name="Comma 12 2 2 5 4 2" xfId="33011" xr:uid="{00000000-0005-0000-0000-00003C6B0000}"/>
    <cellStyle name="Comma 12 2 2 5 4 2 2" xfId="33012" xr:uid="{00000000-0005-0000-0000-00003D6B0000}"/>
    <cellStyle name="Comma 12 2 2 5 4 2 3" xfId="33013" xr:uid="{00000000-0005-0000-0000-00003E6B0000}"/>
    <cellStyle name="Comma 12 2 2 5 4 3" xfId="33014" xr:uid="{00000000-0005-0000-0000-00003F6B0000}"/>
    <cellStyle name="Comma 12 2 2 5 4 3 2" xfId="33015" xr:uid="{00000000-0005-0000-0000-0000406B0000}"/>
    <cellStyle name="Comma 12 2 2 5 4 4" xfId="33016" xr:uid="{00000000-0005-0000-0000-0000416B0000}"/>
    <cellStyle name="Comma 12 2 2 5 4 5" xfId="33017" xr:uid="{00000000-0005-0000-0000-0000426B0000}"/>
    <cellStyle name="Comma 12 2 2 5 5" xfId="33018" xr:uid="{00000000-0005-0000-0000-0000436B0000}"/>
    <cellStyle name="Comma 12 2 2 5 5 2" xfId="33019" xr:uid="{00000000-0005-0000-0000-0000446B0000}"/>
    <cellStyle name="Comma 12 2 2 5 5 3" xfId="33020" xr:uid="{00000000-0005-0000-0000-0000456B0000}"/>
    <cellStyle name="Comma 12 2 2 5 6" xfId="33021" xr:uid="{00000000-0005-0000-0000-0000466B0000}"/>
    <cellStyle name="Comma 12 2 2 5 6 2" xfId="33022" xr:uid="{00000000-0005-0000-0000-0000476B0000}"/>
    <cellStyle name="Comma 12 2 2 5 6 3" xfId="33023" xr:uid="{00000000-0005-0000-0000-0000486B0000}"/>
    <cellStyle name="Comma 12 2 2 5 7" xfId="33024" xr:uid="{00000000-0005-0000-0000-0000496B0000}"/>
    <cellStyle name="Comma 12 2 2 5 7 2" xfId="33025" xr:uid="{00000000-0005-0000-0000-00004A6B0000}"/>
    <cellStyle name="Comma 12 2 2 5 8" xfId="33026" xr:uid="{00000000-0005-0000-0000-00004B6B0000}"/>
    <cellStyle name="Comma 12 2 2 5 9" xfId="33027" xr:uid="{00000000-0005-0000-0000-00004C6B0000}"/>
    <cellStyle name="Comma 12 2 2 6" xfId="33028" xr:uid="{00000000-0005-0000-0000-00004D6B0000}"/>
    <cellStyle name="Comma 12 2 2 6 2" xfId="33029" xr:uid="{00000000-0005-0000-0000-00004E6B0000}"/>
    <cellStyle name="Comma 12 2 2 6 2 2" xfId="33030" xr:uid="{00000000-0005-0000-0000-00004F6B0000}"/>
    <cellStyle name="Comma 12 2 2 6 2 3" xfId="33031" xr:uid="{00000000-0005-0000-0000-0000506B0000}"/>
    <cellStyle name="Comma 12 2 2 6 3" xfId="33032" xr:uid="{00000000-0005-0000-0000-0000516B0000}"/>
    <cellStyle name="Comma 12 2 2 6 3 2" xfId="33033" xr:uid="{00000000-0005-0000-0000-0000526B0000}"/>
    <cellStyle name="Comma 12 2 2 6 3 3" xfId="33034" xr:uid="{00000000-0005-0000-0000-0000536B0000}"/>
    <cellStyle name="Comma 12 2 2 6 4" xfId="33035" xr:uid="{00000000-0005-0000-0000-0000546B0000}"/>
    <cellStyle name="Comma 12 2 2 6 4 2" xfId="33036" xr:uid="{00000000-0005-0000-0000-0000556B0000}"/>
    <cellStyle name="Comma 12 2 2 6 5" xfId="33037" xr:uid="{00000000-0005-0000-0000-0000566B0000}"/>
    <cellStyle name="Comma 12 2 2 6 6" xfId="33038" xr:uid="{00000000-0005-0000-0000-0000576B0000}"/>
    <cellStyle name="Comma 12 2 2 7" xfId="33039" xr:uid="{00000000-0005-0000-0000-0000586B0000}"/>
    <cellStyle name="Comma 12 2 2 7 2" xfId="33040" xr:uid="{00000000-0005-0000-0000-0000596B0000}"/>
    <cellStyle name="Comma 12 2 2 7 2 2" xfId="33041" xr:uid="{00000000-0005-0000-0000-00005A6B0000}"/>
    <cellStyle name="Comma 12 2 2 7 2 3" xfId="33042" xr:uid="{00000000-0005-0000-0000-00005B6B0000}"/>
    <cellStyle name="Comma 12 2 2 7 3" xfId="33043" xr:uid="{00000000-0005-0000-0000-00005C6B0000}"/>
    <cellStyle name="Comma 12 2 2 7 3 2" xfId="33044" xr:uid="{00000000-0005-0000-0000-00005D6B0000}"/>
    <cellStyle name="Comma 12 2 2 7 3 3" xfId="33045" xr:uid="{00000000-0005-0000-0000-00005E6B0000}"/>
    <cellStyle name="Comma 12 2 2 7 4" xfId="33046" xr:uid="{00000000-0005-0000-0000-00005F6B0000}"/>
    <cellStyle name="Comma 12 2 2 7 4 2" xfId="33047" xr:uid="{00000000-0005-0000-0000-0000606B0000}"/>
    <cellStyle name="Comma 12 2 2 7 5" xfId="33048" xr:uid="{00000000-0005-0000-0000-0000616B0000}"/>
    <cellStyle name="Comma 12 2 2 7 6" xfId="33049" xr:uid="{00000000-0005-0000-0000-0000626B0000}"/>
    <cellStyle name="Comma 12 2 2 8" xfId="33050" xr:uid="{00000000-0005-0000-0000-0000636B0000}"/>
    <cellStyle name="Comma 12 2 2 8 2" xfId="33051" xr:uid="{00000000-0005-0000-0000-0000646B0000}"/>
    <cellStyle name="Comma 12 2 2 8 2 2" xfId="33052" xr:uid="{00000000-0005-0000-0000-0000656B0000}"/>
    <cellStyle name="Comma 12 2 2 8 2 3" xfId="33053" xr:uid="{00000000-0005-0000-0000-0000666B0000}"/>
    <cellStyle name="Comma 12 2 2 8 3" xfId="33054" xr:uid="{00000000-0005-0000-0000-0000676B0000}"/>
    <cellStyle name="Comma 12 2 2 8 3 2" xfId="33055" xr:uid="{00000000-0005-0000-0000-0000686B0000}"/>
    <cellStyle name="Comma 12 2 2 8 4" xfId="33056" xr:uid="{00000000-0005-0000-0000-0000696B0000}"/>
    <cellStyle name="Comma 12 2 2 8 5" xfId="33057" xr:uid="{00000000-0005-0000-0000-00006A6B0000}"/>
    <cellStyle name="Comma 12 2 2 9" xfId="33058" xr:uid="{00000000-0005-0000-0000-00006B6B0000}"/>
    <cellStyle name="Comma 12 2 2 9 2" xfId="33059" xr:uid="{00000000-0005-0000-0000-00006C6B0000}"/>
    <cellStyle name="Comma 12 2 2 9 3" xfId="33060" xr:uid="{00000000-0005-0000-0000-00006D6B0000}"/>
    <cellStyle name="Comma 12 2 3" xfId="33061" xr:uid="{00000000-0005-0000-0000-00006E6B0000}"/>
    <cellStyle name="Comma 12 2 3 10" xfId="33062" xr:uid="{00000000-0005-0000-0000-00006F6B0000}"/>
    <cellStyle name="Comma 12 2 3 10 2" xfId="33063" xr:uid="{00000000-0005-0000-0000-0000706B0000}"/>
    <cellStyle name="Comma 12 2 3 11" xfId="33064" xr:uid="{00000000-0005-0000-0000-0000716B0000}"/>
    <cellStyle name="Comma 12 2 3 12" xfId="33065" xr:uid="{00000000-0005-0000-0000-0000726B0000}"/>
    <cellStyle name="Comma 12 2 3 2" xfId="33066" xr:uid="{00000000-0005-0000-0000-0000736B0000}"/>
    <cellStyle name="Comma 12 2 3 2 10" xfId="33067" xr:uid="{00000000-0005-0000-0000-0000746B0000}"/>
    <cellStyle name="Comma 12 2 3 2 2" xfId="33068" xr:uid="{00000000-0005-0000-0000-0000756B0000}"/>
    <cellStyle name="Comma 12 2 3 2 2 2" xfId="33069" xr:uid="{00000000-0005-0000-0000-0000766B0000}"/>
    <cellStyle name="Comma 12 2 3 2 2 2 2" xfId="33070" xr:uid="{00000000-0005-0000-0000-0000776B0000}"/>
    <cellStyle name="Comma 12 2 3 2 2 2 2 2" xfId="33071" xr:uid="{00000000-0005-0000-0000-0000786B0000}"/>
    <cellStyle name="Comma 12 2 3 2 2 2 2 3" xfId="33072" xr:uid="{00000000-0005-0000-0000-0000796B0000}"/>
    <cellStyle name="Comma 12 2 3 2 2 2 3" xfId="33073" xr:uid="{00000000-0005-0000-0000-00007A6B0000}"/>
    <cellStyle name="Comma 12 2 3 2 2 2 3 2" xfId="33074" xr:uid="{00000000-0005-0000-0000-00007B6B0000}"/>
    <cellStyle name="Comma 12 2 3 2 2 2 3 3" xfId="33075" xr:uid="{00000000-0005-0000-0000-00007C6B0000}"/>
    <cellStyle name="Comma 12 2 3 2 2 2 4" xfId="33076" xr:uid="{00000000-0005-0000-0000-00007D6B0000}"/>
    <cellStyle name="Comma 12 2 3 2 2 2 4 2" xfId="33077" xr:uid="{00000000-0005-0000-0000-00007E6B0000}"/>
    <cellStyle name="Comma 12 2 3 2 2 2 5" xfId="33078" xr:uid="{00000000-0005-0000-0000-00007F6B0000}"/>
    <cellStyle name="Comma 12 2 3 2 2 2 6" xfId="33079" xr:uid="{00000000-0005-0000-0000-0000806B0000}"/>
    <cellStyle name="Comma 12 2 3 2 2 3" xfId="33080" xr:uid="{00000000-0005-0000-0000-0000816B0000}"/>
    <cellStyle name="Comma 12 2 3 2 2 3 2" xfId="33081" xr:uid="{00000000-0005-0000-0000-0000826B0000}"/>
    <cellStyle name="Comma 12 2 3 2 2 3 2 2" xfId="33082" xr:uid="{00000000-0005-0000-0000-0000836B0000}"/>
    <cellStyle name="Comma 12 2 3 2 2 3 2 3" xfId="33083" xr:uid="{00000000-0005-0000-0000-0000846B0000}"/>
    <cellStyle name="Comma 12 2 3 2 2 3 3" xfId="33084" xr:uid="{00000000-0005-0000-0000-0000856B0000}"/>
    <cellStyle name="Comma 12 2 3 2 2 3 3 2" xfId="33085" xr:uid="{00000000-0005-0000-0000-0000866B0000}"/>
    <cellStyle name="Comma 12 2 3 2 2 3 3 3" xfId="33086" xr:uid="{00000000-0005-0000-0000-0000876B0000}"/>
    <cellStyle name="Comma 12 2 3 2 2 3 4" xfId="33087" xr:uid="{00000000-0005-0000-0000-0000886B0000}"/>
    <cellStyle name="Comma 12 2 3 2 2 3 4 2" xfId="33088" xr:uid="{00000000-0005-0000-0000-0000896B0000}"/>
    <cellStyle name="Comma 12 2 3 2 2 3 5" xfId="33089" xr:uid="{00000000-0005-0000-0000-00008A6B0000}"/>
    <cellStyle name="Comma 12 2 3 2 2 3 6" xfId="33090" xr:uid="{00000000-0005-0000-0000-00008B6B0000}"/>
    <cellStyle name="Comma 12 2 3 2 2 4" xfId="33091" xr:uid="{00000000-0005-0000-0000-00008C6B0000}"/>
    <cellStyle name="Comma 12 2 3 2 2 4 2" xfId="33092" xr:uid="{00000000-0005-0000-0000-00008D6B0000}"/>
    <cellStyle name="Comma 12 2 3 2 2 4 2 2" xfId="33093" xr:uid="{00000000-0005-0000-0000-00008E6B0000}"/>
    <cellStyle name="Comma 12 2 3 2 2 4 2 3" xfId="33094" xr:uid="{00000000-0005-0000-0000-00008F6B0000}"/>
    <cellStyle name="Comma 12 2 3 2 2 4 3" xfId="33095" xr:uid="{00000000-0005-0000-0000-0000906B0000}"/>
    <cellStyle name="Comma 12 2 3 2 2 4 3 2" xfId="33096" xr:uid="{00000000-0005-0000-0000-0000916B0000}"/>
    <cellStyle name="Comma 12 2 3 2 2 4 4" xfId="33097" xr:uid="{00000000-0005-0000-0000-0000926B0000}"/>
    <cellStyle name="Comma 12 2 3 2 2 4 5" xfId="33098" xr:uid="{00000000-0005-0000-0000-0000936B0000}"/>
    <cellStyle name="Comma 12 2 3 2 2 5" xfId="33099" xr:uid="{00000000-0005-0000-0000-0000946B0000}"/>
    <cellStyle name="Comma 12 2 3 2 2 5 2" xfId="33100" xr:uid="{00000000-0005-0000-0000-0000956B0000}"/>
    <cellStyle name="Comma 12 2 3 2 2 5 3" xfId="33101" xr:uid="{00000000-0005-0000-0000-0000966B0000}"/>
    <cellStyle name="Comma 12 2 3 2 2 6" xfId="33102" xr:uid="{00000000-0005-0000-0000-0000976B0000}"/>
    <cellStyle name="Comma 12 2 3 2 2 6 2" xfId="33103" xr:uid="{00000000-0005-0000-0000-0000986B0000}"/>
    <cellStyle name="Comma 12 2 3 2 2 6 3" xfId="33104" xr:uid="{00000000-0005-0000-0000-0000996B0000}"/>
    <cellStyle name="Comma 12 2 3 2 2 7" xfId="33105" xr:uid="{00000000-0005-0000-0000-00009A6B0000}"/>
    <cellStyle name="Comma 12 2 3 2 2 7 2" xfId="33106" xr:uid="{00000000-0005-0000-0000-00009B6B0000}"/>
    <cellStyle name="Comma 12 2 3 2 2 8" xfId="33107" xr:uid="{00000000-0005-0000-0000-00009C6B0000}"/>
    <cellStyle name="Comma 12 2 3 2 2 9" xfId="33108" xr:uid="{00000000-0005-0000-0000-00009D6B0000}"/>
    <cellStyle name="Comma 12 2 3 2 3" xfId="33109" xr:uid="{00000000-0005-0000-0000-00009E6B0000}"/>
    <cellStyle name="Comma 12 2 3 2 3 2" xfId="33110" xr:uid="{00000000-0005-0000-0000-00009F6B0000}"/>
    <cellStyle name="Comma 12 2 3 2 3 2 2" xfId="33111" xr:uid="{00000000-0005-0000-0000-0000A06B0000}"/>
    <cellStyle name="Comma 12 2 3 2 3 2 3" xfId="33112" xr:uid="{00000000-0005-0000-0000-0000A16B0000}"/>
    <cellStyle name="Comma 12 2 3 2 3 3" xfId="33113" xr:uid="{00000000-0005-0000-0000-0000A26B0000}"/>
    <cellStyle name="Comma 12 2 3 2 3 3 2" xfId="33114" xr:uid="{00000000-0005-0000-0000-0000A36B0000}"/>
    <cellStyle name="Comma 12 2 3 2 3 3 3" xfId="33115" xr:uid="{00000000-0005-0000-0000-0000A46B0000}"/>
    <cellStyle name="Comma 12 2 3 2 3 4" xfId="33116" xr:uid="{00000000-0005-0000-0000-0000A56B0000}"/>
    <cellStyle name="Comma 12 2 3 2 3 4 2" xfId="33117" xr:uid="{00000000-0005-0000-0000-0000A66B0000}"/>
    <cellStyle name="Comma 12 2 3 2 3 5" xfId="33118" xr:uid="{00000000-0005-0000-0000-0000A76B0000}"/>
    <cellStyle name="Comma 12 2 3 2 3 6" xfId="33119" xr:uid="{00000000-0005-0000-0000-0000A86B0000}"/>
    <cellStyle name="Comma 12 2 3 2 4" xfId="33120" xr:uid="{00000000-0005-0000-0000-0000A96B0000}"/>
    <cellStyle name="Comma 12 2 3 2 4 2" xfId="33121" xr:uid="{00000000-0005-0000-0000-0000AA6B0000}"/>
    <cellStyle name="Comma 12 2 3 2 4 2 2" xfId="33122" xr:uid="{00000000-0005-0000-0000-0000AB6B0000}"/>
    <cellStyle name="Comma 12 2 3 2 4 2 3" xfId="33123" xr:uid="{00000000-0005-0000-0000-0000AC6B0000}"/>
    <cellStyle name="Comma 12 2 3 2 4 3" xfId="33124" xr:uid="{00000000-0005-0000-0000-0000AD6B0000}"/>
    <cellStyle name="Comma 12 2 3 2 4 3 2" xfId="33125" xr:uid="{00000000-0005-0000-0000-0000AE6B0000}"/>
    <cellStyle name="Comma 12 2 3 2 4 3 3" xfId="33126" xr:uid="{00000000-0005-0000-0000-0000AF6B0000}"/>
    <cellStyle name="Comma 12 2 3 2 4 4" xfId="33127" xr:uid="{00000000-0005-0000-0000-0000B06B0000}"/>
    <cellStyle name="Comma 12 2 3 2 4 4 2" xfId="33128" xr:uid="{00000000-0005-0000-0000-0000B16B0000}"/>
    <cellStyle name="Comma 12 2 3 2 4 5" xfId="33129" xr:uid="{00000000-0005-0000-0000-0000B26B0000}"/>
    <cellStyle name="Comma 12 2 3 2 4 6" xfId="33130" xr:uid="{00000000-0005-0000-0000-0000B36B0000}"/>
    <cellStyle name="Comma 12 2 3 2 5" xfId="33131" xr:uid="{00000000-0005-0000-0000-0000B46B0000}"/>
    <cellStyle name="Comma 12 2 3 2 5 2" xfId="33132" xr:uid="{00000000-0005-0000-0000-0000B56B0000}"/>
    <cellStyle name="Comma 12 2 3 2 5 2 2" xfId="33133" xr:uid="{00000000-0005-0000-0000-0000B66B0000}"/>
    <cellStyle name="Comma 12 2 3 2 5 2 3" xfId="33134" xr:uid="{00000000-0005-0000-0000-0000B76B0000}"/>
    <cellStyle name="Comma 12 2 3 2 5 3" xfId="33135" xr:uid="{00000000-0005-0000-0000-0000B86B0000}"/>
    <cellStyle name="Comma 12 2 3 2 5 3 2" xfId="33136" xr:uid="{00000000-0005-0000-0000-0000B96B0000}"/>
    <cellStyle name="Comma 12 2 3 2 5 4" xfId="33137" xr:uid="{00000000-0005-0000-0000-0000BA6B0000}"/>
    <cellStyle name="Comma 12 2 3 2 5 5" xfId="33138" xr:uid="{00000000-0005-0000-0000-0000BB6B0000}"/>
    <cellStyle name="Comma 12 2 3 2 6" xfId="33139" xr:uid="{00000000-0005-0000-0000-0000BC6B0000}"/>
    <cellStyle name="Comma 12 2 3 2 6 2" xfId="33140" xr:uid="{00000000-0005-0000-0000-0000BD6B0000}"/>
    <cellStyle name="Comma 12 2 3 2 6 3" xfId="33141" xr:uid="{00000000-0005-0000-0000-0000BE6B0000}"/>
    <cellStyle name="Comma 12 2 3 2 7" xfId="33142" xr:uid="{00000000-0005-0000-0000-0000BF6B0000}"/>
    <cellStyle name="Comma 12 2 3 2 7 2" xfId="33143" xr:uid="{00000000-0005-0000-0000-0000C06B0000}"/>
    <cellStyle name="Comma 12 2 3 2 7 3" xfId="33144" xr:uid="{00000000-0005-0000-0000-0000C16B0000}"/>
    <cellStyle name="Comma 12 2 3 2 8" xfId="33145" xr:uid="{00000000-0005-0000-0000-0000C26B0000}"/>
    <cellStyle name="Comma 12 2 3 2 8 2" xfId="33146" xr:uid="{00000000-0005-0000-0000-0000C36B0000}"/>
    <cellStyle name="Comma 12 2 3 2 9" xfId="33147" xr:uid="{00000000-0005-0000-0000-0000C46B0000}"/>
    <cellStyle name="Comma 12 2 3 3" xfId="33148" xr:uid="{00000000-0005-0000-0000-0000C56B0000}"/>
    <cellStyle name="Comma 12 2 3 3 2" xfId="33149" xr:uid="{00000000-0005-0000-0000-0000C66B0000}"/>
    <cellStyle name="Comma 12 2 3 3 2 2" xfId="33150" xr:uid="{00000000-0005-0000-0000-0000C76B0000}"/>
    <cellStyle name="Comma 12 2 3 3 2 2 2" xfId="33151" xr:uid="{00000000-0005-0000-0000-0000C86B0000}"/>
    <cellStyle name="Comma 12 2 3 3 2 2 3" xfId="33152" xr:uid="{00000000-0005-0000-0000-0000C96B0000}"/>
    <cellStyle name="Comma 12 2 3 3 2 3" xfId="33153" xr:uid="{00000000-0005-0000-0000-0000CA6B0000}"/>
    <cellStyle name="Comma 12 2 3 3 2 3 2" xfId="33154" xr:uid="{00000000-0005-0000-0000-0000CB6B0000}"/>
    <cellStyle name="Comma 12 2 3 3 2 3 3" xfId="33155" xr:uid="{00000000-0005-0000-0000-0000CC6B0000}"/>
    <cellStyle name="Comma 12 2 3 3 2 4" xfId="33156" xr:uid="{00000000-0005-0000-0000-0000CD6B0000}"/>
    <cellStyle name="Comma 12 2 3 3 2 4 2" xfId="33157" xr:uid="{00000000-0005-0000-0000-0000CE6B0000}"/>
    <cellStyle name="Comma 12 2 3 3 2 5" xfId="33158" xr:uid="{00000000-0005-0000-0000-0000CF6B0000}"/>
    <cellStyle name="Comma 12 2 3 3 2 6" xfId="33159" xr:uid="{00000000-0005-0000-0000-0000D06B0000}"/>
    <cellStyle name="Comma 12 2 3 3 3" xfId="33160" xr:uid="{00000000-0005-0000-0000-0000D16B0000}"/>
    <cellStyle name="Comma 12 2 3 3 3 2" xfId="33161" xr:uid="{00000000-0005-0000-0000-0000D26B0000}"/>
    <cellStyle name="Comma 12 2 3 3 3 2 2" xfId="33162" xr:uid="{00000000-0005-0000-0000-0000D36B0000}"/>
    <cellStyle name="Comma 12 2 3 3 3 2 3" xfId="33163" xr:uid="{00000000-0005-0000-0000-0000D46B0000}"/>
    <cellStyle name="Comma 12 2 3 3 3 3" xfId="33164" xr:uid="{00000000-0005-0000-0000-0000D56B0000}"/>
    <cellStyle name="Comma 12 2 3 3 3 3 2" xfId="33165" xr:uid="{00000000-0005-0000-0000-0000D66B0000}"/>
    <cellStyle name="Comma 12 2 3 3 3 3 3" xfId="33166" xr:uid="{00000000-0005-0000-0000-0000D76B0000}"/>
    <cellStyle name="Comma 12 2 3 3 3 4" xfId="33167" xr:uid="{00000000-0005-0000-0000-0000D86B0000}"/>
    <cellStyle name="Comma 12 2 3 3 3 4 2" xfId="33168" xr:uid="{00000000-0005-0000-0000-0000D96B0000}"/>
    <cellStyle name="Comma 12 2 3 3 3 5" xfId="33169" xr:uid="{00000000-0005-0000-0000-0000DA6B0000}"/>
    <cellStyle name="Comma 12 2 3 3 3 6" xfId="33170" xr:uid="{00000000-0005-0000-0000-0000DB6B0000}"/>
    <cellStyle name="Comma 12 2 3 3 4" xfId="33171" xr:uid="{00000000-0005-0000-0000-0000DC6B0000}"/>
    <cellStyle name="Comma 12 2 3 3 4 2" xfId="33172" xr:uid="{00000000-0005-0000-0000-0000DD6B0000}"/>
    <cellStyle name="Comma 12 2 3 3 4 2 2" xfId="33173" xr:uid="{00000000-0005-0000-0000-0000DE6B0000}"/>
    <cellStyle name="Comma 12 2 3 3 4 2 3" xfId="33174" xr:uid="{00000000-0005-0000-0000-0000DF6B0000}"/>
    <cellStyle name="Comma 12 2 3 3 4 3" xfId="33175" xr:uid="{00000000-0005-0000-0000-0000E06B0000}"/>
    <cellStyle name="Comma 12 2 3 3 4 3 2" xfId="33176" xr:uid="{00000000-0005-0000-0000-0000E16B0000}"/>
    <cellStyle name="Comma 12 2 3 3 4 4" xfId="33177" xr:uid="{00000000-0005-0000-0000-0000E26B0000}"/>
    <cellStyle name="Comma 12 2 3 3 4 5" xfId="33178" xr:uid="{00000000-0005-0000-0000-0000E36B0000}"/>
    <cellStyle name="Comma 12 2 3 3 5" xfId="33179" xr:uid="{00000000-0005-0000-0000-0000E46B0000}"/>
    <cellStyle name="Comma 12 2 3 3 5 2" xfId="33180" xr:uid="{00000000-0005-0000-0000-0000E56B0000}"/>
    <cellStyle name="Comma 12 2 3 3 5 3" xfId="33181" xr:uid="{00000000-0005-0000-0000-0000E66B0000}"/>
    <cellStyle name="Comma 12 2 3 3 6" xfId="33182" xr:uid="{00000000-0005-0000-0000-0000E76B0000}"/>
    <cellStyle name="Comma 12 2 3 3 6 2" xfId="33183" xr:uid="{00000000-0005-0000-0000-0000E86B0000}"/>
    <cellStyle name="Comma 12 2 3 3 6 3" xfId="33184" xr:uid="{00000000-0005-0000-0000-0000E96B0000}"/>
    <cellStyle name="Comma 12 2 3 3 7" xfId="33185" xr:uid="{00000000-0005-0000-0000-0000EA6B0000}"/>
    <cellStyle name="Comma 12 2 3 3 7 2" xfId="33186" xr:uid="{00000000-0005-0000-0000-0000EB6B0000}"/>
    <cellStyle name="Comma 12 2 3 3 8" xfId="33187" xr:uid="{00000000-0005-0000-0000-0000EC6B0000}"/>
    <cellStyle name="Comma 12 2 3 3 9" xfId="33188" xr:uid="{00000000-0005-0000-0000-0000ED6B0000}"/>
    <cellStyle name="Comma 12 2 3 4" xfId="33189" xr:uid="{00000000-0005-0000-0000-0000EE6B0000}"/>
    <cellStyle name="Comma 12 2 3 4 2" xfId="33190" xr:uid="{00000000-0005-0000-0000-0000EF6B0000}"/>
    <cellStyle name="Comma 12 2 3 4 2 2" xfId="33191" xr:uid="{00000000-0005-0000-0000-0000F06B0000}"/>
    <cellStyle name="Comma 12 2 3 4 2 2 2" xfId="33192" xr:uid="{00000000-0005-0000-0000-0000F16B0000}"/>
    <cellStyle name="Comma 12 2 3 4 2 2 3" xfId="33193" xr:uid="{00000000-0005-0000-0000-0000F26B0000}"/>
    <cellStyle name="Comma 12 2 3 4 2 3" xfId="33194" xr:uid="{00000000-0005-0000-0000-0000F36B0000}"/>
    <cellStyle name="Comma 12 2 3 4 2 3 2" xfId="33195" xr:uid="{00000000-0005-0000-0000-0000F46B0000}"/>
    <cellStyle name="Comma 12 2 3 4 2 3 3" xfId="33196" xr:uid="{00000000-0005-0000-0000-0000F56B0000}"/>
    <cellStyle name="Comma 12 2 3 4 2 4" xfId="33197" xr:uid="{00000000-0005-0000-0000-0000F66B0000}"/>
    <cellStyle name="Comma 12 2 3 4 2 4 2" xfId="33198" xr:uid="{00000000-0005-0000-0000-0000F76B0000}"/>
    <cellStyle name="Comma 12 2 3 4 2 5" xfId="33199" xr:uid="{00000000-0005-0000-0000-0000F86B0000}"/>
    <cellStyle name="Comma 12 2 3 4 2 6" xfId="33200" xr:uid="{00000000-0005-0000-0000-0000F96B0000}"/>
    <cellStyle name="Comma 12 2 3 4 3" xfId="33201" xr:uid="{00000000-0005-0000-0000-0000FA6B0000}"/>
    <cellStyle name="Comma 12 2 3 4 3 2" xfId="33202" xr:uid="{00000000-0005-0000-0000-0000FB6B0000}"/>
    <cellStyle name="Comma 12 2 3 4 3 2 2" xfId="33203" xr:uid="{00000000-0005-0000-0000-0000FC6B0000}"/>
    <cellStyle name="Comma 12 2 3 4 3 2 3" xfId="33204" xr:uid="{00000000-0005-0000-0000-0000FD6B0000}"/>
    <cellStyle name="Comma 12 2 3 4 3 3" xfId="33205" xr:uid="{00000000-0005-0000-0000-0000FE6B0000}"/>
    <cellStyle name="Comma 12 2 3 4 3 3 2" xfId="33206" xr:uid="{00000000-0005-0000-0000-0000FF6B0000}"/>
    <cellStyle name="Comma 12 2 3 4 3 3 3" xfId="33207" xr:uid="{00000000-0005-0000-0000-0000006C0000}"/>
    <cellStyle name="Comma 12 2 3 4 3 4" xfId="33208" xr:uid="{00000000-0005-0000-0000-0000016C0000}"/>
    <cellStyle name="Comma 12 2 3 4 3 4 2" xfId="33209" xr:uid="{00000000-0005-0000-0000-0000026C0000}"/>
    <cellStyle name="Comma 12 2 3 4 3 5" xfId="33210" xr:uid="{00000000-0005-0000-0000-0000036C0000}"/>
    <cellStyle name="Comma 12 2 3 4 3 6" xfId="33211" xr:uid="{00000000-0005-0000-0000-0000046C0000}"/>
    <cellStyle name="Comma 12 2 3 4 4" xfId="33212" xr:uid="{00000000-0005-0000-0000-0000056C0000}"/>
    <cellStyle name="Comma 12 2 3 4 4 2" xfId="33213" xr:uid="{00000000-0005-0000-0000-0000066C0000}"/>
    <cellStyle name="Comma 12 2 3 4 4 2 2" xfId="33214" xr:uid="{00000000-0005-0000-0000-0000076C0000}"/>
    <cellStyle name="Comma 12 2 3 4 4 2 3" xfId="33215" xr:uid="{00000000-0005-0000-0000-0000086C0000}"/>
    <cellStyle name="Comma 12 2 3 4 4 3" xfId="33216" xr:uid="{00000000-0005-0000-0000-0000096C0000}"/>
    <cellStyle name="Comma 12 2 3 4 4 3 2" xfId="33217" xr:uid="{00000000-0005-0000-0000-00000A6C0000}"/>
    <cellStyle name="Comma 12 2 3 4 4 4" xfId="33218" xr:uid="{00000000-0005-0000-0000-00000B6C0000}"/>
    <cellStyle name="Comma 12 2 3 4 4 5" xfId="33219" xr:uid="{00000000-0005-0000-0000-00000C6C0000}"/>
    <cellStyle name="Comma 12 2 3 4 5" xfId="33220" xr:uid="{00000000-0005-0000-0000-00000D6C0000}"/>
    <cellStyle name="Comma 12 2 3 4 5 2" xfId="33221" xr:uid="{00000000-0005-0000-0000-00000E6C0000}"/>
    <cellStyle name="Comma 12 2 3 4 5 3" xfId="33222" xr:uid="{00000000-0005-0000-0000-00000F6C0000}"/>
    <cellStyle name="Comma 12 2 3 4 6" xfId="33223" xr:uid="{00000000-0005-0000-0000-0000106C0000}"/>
    <cellStyle name="Comma 12 2 3 4 6 2" xfId="33224" xr:uid="{00000000-0005-0000-0000-0000116C0000}"/>
    <cellStyle name="Comma 12 2 3 4 6 3" xfId="33225" xr:uid="{00000000-0005-0000-0000-0000126C0000}"/>
    <cellStyle name="Comma 12 2 3 4 7" xfId="33226" xr:uid="{00000000-0005-0000-0000-0000136C0000}"/>
    <cellStyle name="Comma 12 2 3 4 7 2" xfId="33227" xr:uid="{00000000-0005-0000-0000-0000146C0000}"/>
    <cellStyle name="Comma 12 2 3 4 8" xfId="33228" xr:uid="{00000000-0005-0000-0000-0000156C0000}"/>
    <cellStyle name="Comma 12 2 3 4 9" xfId="33229" xr:uid="{00000000-0005-0000-0000-0000166C0000}"/>
    <cellStyle name="Comma 12 2 3 5" xfId="33230" xr:uid="{00000000-0005-0000-0000-0000176C0000}"/>
    <cellStyle name="Comma 12 2 3 5 2" xfId="33231" xr:uid="{00000000-0005-0000-0000-0000186C0000}"/>
    <cellStyle name="Comma 12 2 3 5 2 2" xfId="33232" xr:uid="{00000000-0005-0000-0000-0000196C0000}"/>
    <cellStyle name="Comma 12 2 3 5 2 3" xfId="33233" xr:uid="{00000000-0005-0000-0000-00001A6C0000}"/>
    <cellStyle name="Comma 12 2 3 5 3" xfId="33234" xr:uid="{00000000-0005-0000-0000-00001B6C0000}"/>
    <cellStyle name="Comma 12 2 3 5 3 2" xfId="33235" xr:uid="{00000000-0005-0000-0000-00001C6C0000}"/>
    <cellStyle name="Comma 12 2 3 5 3 3" xfId="33236" xr:uid="{00000000-0005-0000-0000-00001D6C0000}"/>
    <cellStyle name="Comma 12 2 3 5 4" xfId="33237" xr:uid="{00000000-0005-0000-0000-00001E6C0000}"/>
    <cellStyle name="Comma 12 2 3 5 4 2" xfId="33238" xr:uid="{00000000-0005-0000-0000-00001F6C0000}"/>
    <cellStyle name="Comma 12 2 3 5 5" xfId="33239" xr:uid="{00000000-0005-0000-0000-0000206C0000}"/>
    <cellStyle name="Comma 12 2 3 5 6" xfId="33240" xr:uid="{00000000-0005-0000-0000-0000216C0000}"/>
    <cellStyle name="Comma 12 2 3 6" xfId="33241" xr:uid="{00000000-0005-0000-0000-0000226C0000}"/>
    <cellStyle name="Comma 12 2 3 6 2" xfId="33242" xr:uid="{00000000-0005-0000-0000-0000236C0000}"/>
    <cellStyle name="Comma 12 2 3 6 2 2" xfId="33243" xr:uid="{00000000-0005-0000-0000-0000246C0000}"/>
    <cellStyle name="Comma 12 2 3 6 2 3" xfId="33244" xr:uid="{00000000-0005-0000-0000-0000256C0000}"/>
    <cellStyle name="Comma 12 2 3 6 3" xfId="33245" xr:uid="{00000000-0005-0000-0000-0000266C0000}"/>
    <cellStyle name="Comma 12 2 3 6 3 2" xfId="33246" xr:uid="{00000000-0005-0000-0000-0000276C0000}"/>
    <cellStyle name="Comma 12 2 3 6 3 3" xfId="33247" xr:uid="{00000000-0005-0000-0000-0000286C0000}"/>
    <cellStyle name="Comma 12 2 3 6 4" xfId="33248" xr:uid="{00000000-0005-0000-0000-0000296C0000}"/>
    <cellStyle name="Comma 12 2 3 6 4 2" xfId="33249" xr:uid="{00000000-0005-0000-0000-00002A6C0000}"/>
    <cellStyle name="Comma 12 2 3 6 5" xfId="33250" xr:uid="{00000000-0005-0000-0000-00002B6C0000}"/>
    <cellStyle name="Comma 12 2 3 6 6" xfId="33251" xr:uid="{00000000-0005-0000-0000-00002C6C0000}"/>
    <cellStyle name="Comma 12 2 3 7" xfId="33252" xr:uid="{00000000-0005-0000-0000-00002D6C0000}"/>
    <cellStyle name="Comma 12 2 3 7 2" xfId="33253" xr:uid="{00000000-0005-0000-0000-00002E6C0000}"/>
    <cellStyle name="Comma 12 2 3 7 2 2" xfId="33254" xr:uid="{00000000-0005-0000-0000-00002F6C0000}"/>
    <cellStyle name="Comma 12 2 3 7 2 3" xfId="33255" xr:uid="{00000000-0005-0000-0000-0000306C0000}"/>
    <cellStyle name="Comma 12 2 3 7 3" xfId="33256" xr:uid="{00000000-0005-0000-0000-0000316C0000}"/>
    <cellStyle name="Comma 12 2 3 7 3 2" xfId="33257" xr:uid="{00000000-0005-0000-0000-0000326C0000}"/>
    <cellStyle name="Comma 12 2 3 7 4" xfId="33258" xr:uid="{00000000-0005-0000-0000-0000336C0000}"/>
    <cellStyle name="Comma 12 2 3 7 5" xfId="33259" xr:uid="{00000000-0005-0000-0000-0000346C0000}"/>
    <cellStyle name="Comma 12 2 3 8" xfId="33260" xr:uid="{00000000-0005-0000-0000-0000356C0000}"/>
    <cellStyle name="Comma 12 2 3 8 2" xfId="33261" xr:uid="{00000000-0005-0000-0000-0000366C0000}"/>
    <cellStyle name="Comma 12 2 3 8 3" xfId="33262" xr:uid="{00000000-0005-0000-0000-0000376C0000}"/>
    <cellStyle name="Comma 12 2 3 9" xfId="33263" xr:uid="{00000000-0005-0000-0000-0000386C0000}"/>
    <cellStyle name="Comma 12 2 3 9 2" xfId="33264" xr:uid="{00000000-0005-0000-0000-0000396C0000}"/>
    <cellStyle name="Comma 12 2 3 9 3" xfId="33265" xr:uid="{00000000-0005-0000-0000-00003A6C0000}"/>
    <cellStyle name="Comma 12 2 4" xfId="33266" xr:uid="{00000000-0005-0000-0000-00003B6C0000}"/>
    <cellStyle name="Comma 12 2 4 10" xfId="33267" xr:uid="{00000000-0005-0000-0000-00003C6C0000}"/>
    <cellStyle name="Comma 12 2 4 2" xfId="33268" xr:uid="{00000000-0005-0000-0000-00003D6C0000}"/>
    <cellStyle name="Comma 12 2 4 2 2" xfId="33269" xr:uid="{00000000-0005-0000-0000-00003E6C0000}"/>
    <cellStyle name="Comma 12 2 4 2 2 2" xfId="33270" xr:uid="{00000000-0005-0000-0000-00003F6C0000}"/>
    <cellStyle name="Comma 12 2 4 2 2 2 2" xfId="33271" xr:uid="{00000000-0005-0000-0000-0000406C0000}"/>
    <cellStyle name="Comma 12 2 4 2 2 2 3" xfId="33272" xr:uid="{00000000-0005-0000-0000-0000416C0000}"/>
    <cellStyle name="Comma 12 2 4 2 2 3" xfId="33273" xr:uid="{00000000-0005-0000-0000-0000426C0000}"/>
    <cellStyle name="Comma 12 2 4 2 2 3 2" xfId="33274" xr:uid="{00000000-0005-0000-0000-0000436C0000}"/>
    <cellStyle name="Comma 12 2 4 2 2 3 3" xfId="33275" xr:uid="{00000000-0005-0000-0000-0000446C0000}"/>
    <cellStyle name="Comma 12 2 4 2 2 4" xfId="33276" xr:uid="{00000000-0005-0000-0000-0000456C0000}"/>
    <cellStyle name="Comma 12 2 4 2 2 4 2" xfId="33277" xr:uid="{00000000-0005-0000-0000-0000466C0000}"/>
    <cellStyle name="Comma 12 2 4 2 2 5" xfId="33278" xr:uid="{00000000-0005-0000-0000-0000476C0000}"/>
    <cellStyle name="Comma 12 2 4 2 2 6" xfId="33279" xr:uid="{00000000-0005-0000-0000-0000486C0000}"/>
    <cellStyle name="Comma 12 2 4 2 3" xfId="33280" xr:uid="{00000000-0005-0000-0000-0000496C0000}"/>
    <cellStyle name="Comma 12 2 4 2 3 2" xfId="33281" xr:uid="{00000000-0005-0000-0000-00004A6C0000}"/>
    <cellStyle name="Comma 12 2 4 2 3 2 2" xfId="33282" xr:uid="{00000000-0005-0000-0000-00004B6C0000}"/>
    <cellStyle name="Comma 12 2 4 2 3 2 3" xfId="33283" xr:uid="{00000000-0005-0000-0000-00004C6C0000}"/>
    <cellStyle name="Comma 12 2 4 2 3 3" xfId="33284" xr:uid="{00000000-0005-0000-0000-00004D6C0000}"/>
    <cellStyle name="Comma 12 2 4 2 3 3 2" xfId="33285" xr:uid="{00000000-0005-0000-0000-00004E6C0000}"/>
    <cellStyle name="Comma 12 2 4 2 3 3 3" xfId="33286" xr:uid="{00000000-0005-0000-0000-00004F6C0000}"/>
    <cellStyle name="Comma 12 2 4 2 3 4" xfId="33287" xr:uid="{00000000-0005-0000-0000-0000506C0000}"/>
    <cellStyle name="Comma 12 2 4 2 3 4 2" xfId="33288" xr:uid="{00000000-0005-0000-0000-0000516C0000}"/>
    <cellStyle name="Comma 12 2 4 2 3 5" xfId="33289" xr:uid="{00000000-0005-0000-0000-0000526C0000}"/>
    <cellStyle name="Comma 12 2 4 2 3 6" xfId="33290" xr:uid="{00000000-0005-0000-0000-0000536C0000}"/>
    <cellStyle name="Comma 12 2 4 2 4" xfId="33291" xr:uid="{00000000-0005-0000-0000-0000546C0000}"/>
    <cellStyle name="Comma 12 2 4 2 4 2" xfId="33292" xr:uid="{00000000-0005-0000-0000-0000556C0000}"/>
    <cellStyle name="Comma 12 2 4 2 4 2 2" xfId="33293" xr:uid="{00000000-0005-0000-0000-0000566C0000}"/>
    <cellStyle name="Comma 12 2 4 2 4 2 3" xfId="33294" xr:uid="{00000000-0005-0000-0000-0000576C0000}"/>
    <cellStyle name="Comma 12 2 4 2 4 3" xfId="33295" xr:uid="{00000000-0005-0000-0000-0000586C0000}"/>
    <cellStyle name="Comma 12 2 4 2 4 3 2" xfId="33296" xr:uid="{00000000-0005-0000-0000-0000596C0000}"/>
    <cellStyle name="Comma 12 2 4 2 4 4" xfId="33297" xr:uid="{00000000-0005-0000-0000-00005A6C0000}"/>
    <cellStyle name="Comma 12 2 4 2 4 5" xfId="33298" xr:uid="{00000000-0005-0000-0000-00005B6C0000}"/>
    <cellStyle name="Comma 12 2 4 2 5" xfId="33299" xr:uid="{00000000-0005-0000-0000-00005C6C0000}"/>
    <cellStyle name="Comma 12 2 4 2 5 2" xfId="33300" xr:uid="{00000000-0005-0000-0000-00005D6C0000}"/>
    <cellStyle name="Comma 12 2 4 2 5 3" xfId="33301" xr:uid="{00000000-0005-0000-0000-00005E6C0000}"/>
    <cellStyle name="Comma 12 2 4 2 6" xfId="33302" xr:uid="{00000000-0005-0000-0000-00005F6C0000}"/>
    <cellStyle name="Comma 12 2 4 2 6 2" xfId="33303" xr:uid="{00000000-0005-0000-0000-0000606C0000}"/>
    <cellStyle name="Comma 12 2 4 2 6 3" xfId="33304" xr:uid="{00000000-0005-0000-0000-0000616C0000}"/>
    <cellStyle name="Comma 12 2 4 2 7" xfId="33305" xr:uid="{00000000-0005-0000-0000-0000626C0000}"/>
    <cellStyle name="Comma 12 2 4 2 7 2" xfId="33306" xr:uid="{00000000-0005-0000-0000-0000636C0000}"/>
    <cellStyle name="Comma 12 2 4 2 8" xfId="33307" xr:uid="{00000000-0005-0000-0000-0000646C0000}"/>
    <cellStyle name="Comma 12 2 4 2 9" xfId="33308" xr:uid="{00000000-0005-0000-0000-0000656C0000}"/>
    <cellStyle name="Comma 12 2 4 3" xfId="33309" xr:uid="{00000000-0005-0000-0000-0000666C0000}"/>
    <cellStyle name="Comma 12 2 4 3 2" xfId="33310" xr:uid="{00000000-0005-0000-0000-0000676C0000}"/>
    <cellStyle name="Comma 12 2 4 3 2 2" xfId="33311" xr:uid="{00000000-0005-0000-0000-0000686C0000}"/>
    <cellStyle name="Comma 12 2 4 3 2 3" xfId="33312" xr:uid="{00000000-0005-0000-0000-0000696C0000}"/>
    <cellStyle name="Comma 12 2 4 3 3" xfId="33313" xr:uid="{00000000-0005-0000-0000-00006A6C0000}"/>
    <cellStyle name="Comma 12 2 4 3 3 2" xfId="33314" xr:uid="{00000000-0005-0000-0000-00006B6C0000}"/>
    <cellStyle name="Comma 12 2 4 3 3 3" xfId="33315" xr:uid="{00000000-0005-0000-0000-00006C6C0000}"/>
    <cellStyle name="Comma 12 2 4 3 4" xfId="33316" xr:uid="{00000000-0005-0000-0000-00006D6C0000}"/>
    <cellStyle name="Comma 12 2 4 3 4 2" xfId="33317" xr:uid="{00000000-0005-0000-0000-00006E6C0000}"/>
    <cellStyle name="Comma 12 2 4 3 5" xfId="33318" xr:uid="{00000000-0005-0000-0000-00006F6C0000}"/>
    <cellStyle name="Comma 12 2 4 3 6" xfId="33319" xr:uid="{00000000-0005-0000-0000-0000706C0000}"/>
    <cellStyle name="Comma 12 2 4 4" xfId="33320" xr:uid="{00000000-0005-0000-0000-0000716C0000}"/>
    <cellStyle name="Comma 12 2 4 4 2" xfId="33321" xr:uid="{00000000-0005-0000-0000-0000726C0000}"/>
    <cellStyle name="Comma 12 2 4 4 2 2" xfId="33322" xr:uid="{00000000-0005-0000-0000-0000736C0000}"/>
    <cellStyle name="Comma 12 2 4 4 2 3" xfId="33323" xr:uid="{00000000-0005-0000-0000-0000746C0000}"/>
    <cellStyle name="Comma 12 2 4 4 3" xfId="33324" xr:uid="{00000000-0005-0000-0000-0000756C0000}"/>
    <cellStyle name="Comma 12 2 4 4 3 2" xfId="33325" xr:uid="{00000000-0005-0000-0000-0000766C0000}"/>
    <cellStyle name="Comma 12 2 4 4 3 3" xfId="33326" xr:uid="{00000000-0005-0000-0000-0000776C0000}"/>
    <cellStyle name="Comma 12 2 4 4 4" xfId="33327" xr:uid="{00000000-0005-0000-0000-0000786C0000}"/>
    <cellStyle name="Comma 12 2 4 4 4 2" xfId="33328" xr:uid="{00000000-0005-0000-0000-0000796C0000}"/>
    <cellStyle name="Comma 12 2 4 4 5" xfId="33329" xr:uid="{00000000-0005-0000-0000-00007A6C0000}"/>
    <cellStyle name="Comma 12 2 4 4 6" xfId="33330" xr:uid="{00000000-0005-0000-0000-00007B6C0000}"/>
    <cellStyle name="Comma 12 2 4 5" xfId="33331" xr:uid="{00000000-0005-0000-0000-00007C6C0000}"/>
    <cellStyle name="Comma 12 2 4 5 2" xfId="33332" xr:uid="{00000000-0005-0000-0000-00007D6C0000}"/>
    <cellStyle name="Comma 12 2 4 5 2 2" xfId="33333" xr:uid="{00000000-0005-0000-0000-00007E6C0000}"/>
    <cellStyle name="Comma 12 2 4 5 2 3" xfId="33334" xr:uid="{00000000-0005-0000-0000-00007F6C0000}"/>
    <cellStyle name="Comma 12 2 4 5 3" xfId="33335" xr:uid="{00000000-0005-0000-0000-0000806C0000}"/>
    <cellStyle name="Comma 12 2 4 5 3 2" xfId="33336" xr:uid="{00000000-0005-0000-0000-0000816C0000}"/>
    <cellStyle name="Comma 12 2 4 5 4" xfId="33337" xr:uid="{00000000-0005-0000-0000-0000826C0000}"/>
    <cellStyle name="Comma 12 2 4 5 5" xfId="33338" xr:uid="{00000000-0005-0000-0000-0000836C0000}"/>
    <cellStyle name="Comma 12 2 4 6" xfId="33339" xr:uid="{00000000-0005-0000-0000-0000846C0000}"/>
    <cellStyle name="Comma 12 2 4 6 2" xfId="33340" xr:uid="{00000000-0005-0000-0000-0000856C0000}"/>
    <cellStyle name="Comma 12 2 4 6 3" xfId="33341" xr:uid="{00000000-0005-0000-0000-0000866C0000}"/>
    <cellStyle name="Comma 12 2 4 7" xfId="33342" xr:uid="{00000000-0005-0000-0000-0000876C0000}"/>
    <cellStyle name="Comma 12 2 4 7 2" xfId="33343" xr:uid="{00000000-0005-0000-0000-0000886C0000}"/>
    <cellStyle name="Comma 12 2 4 7 3" xfId="33344" xr:uid="{00000000-0005-0000-0000-0000896C0000}"/>
    <cellStyle name="Comma 12 2 4 8" xfId="33345" xr:uid="{00000000-0005-0000-0000-00008A6C0000}"/>
    <cellStyle name="Comma 12 2 4 8 2" xfId="33346" xr:uid="{00000000-0005-0000-0000-00008B6C0000}"/>
    <cellStyle name="Comma 12 2 4 9" xfId="33347" xr:uid="{00000000-0005-0000-0000-00008C6C0000}"/>
    <cellStyle name="Comma 12 2 5" xfId="33348" xr:uid="{00000000-0005-0000-0000-00008D6C0000}"/>
    <cellStyle name="Comma 12 2 5 2" xfId="33349" xr:uid="{00000000-0005-0000-0000-00008E6C0000}"/>
    <cellStyle name="Comma 12 2 5 2 2" xfId="33350" xr:uid="{00000000-0005-0000-0000-00008F6C0000}"/>
    <cellStyle name="Comma 12 2 5 2 2 2" xfId="33351" xr:uid="{00000000-0005-0000-0000-0000906C0000}"/>
    <cellStyle name="Comma 12 2 5 2 2 3" xfId="33352" xr:uid="{00000000-0005-0000-0000-0000916C0000}"/>
    <cellStyle name="Comma 12 2 5 2 3" xfId="33353" xr:uid="{00000000-0005-0000-0000-0000926C0000}"/>
    <cellStyle name="Comma 12 2 5 2 3 2" xfId="33354" xr:uid="{00000000-0005-0000-0000-0000936C0000}"/>
    <cellStyle name="Comma 12 2 5 2 3 3" xfId="33355" xr:uid="{00000000-0005-0000-0000-0000946C0000}"/>
    <cellStyle name="Comma 12 2 5 2 4" xfId="33356" xr:uid="{00000000-0005-0000-0000-0000956C0000}"/>
    <cellStyle name="Comma 12 2 5 2 4 2" xfId="33357" xr:uid="{00000000-0005-0000-0000-0000966C0000}"/>
    <cellStyle name="Comma 12 2 5 2 5" xfId="33358" xr:uid="{00000000-0005-0000-0000-0000976C0000}"/>
    <cellStyle name="Comma 12 2 5 2 6" xfId="33359" xr:uid="{00000000-0005-0000-0000-0000986C0000}"/>
    <cellStyle name="Comma 12 2 5 3" xfId="33360" xr:uid="{00000000-0005-0000-0000-0000996C0000}"/>
    <cellStyle name="Comma 12 2 5 3 2" xfId="33361" xr:uid="{00000000-0005-0000-0000-00009A6C0000}"/>
    <cellStyle name="Comma 12 2 5 3 2 2" xfId="33362" xr:uid="{00000000-0005-0000-0000-00009B6C0000}"/>
    <cellStyle name="Comma 12 2 5 3 2 3" xfId="33363" xr:uid="{00000000-0005-0000-0000-00009C6C0000}"/>
    <cellStyle name="Comma 12 2 5 3 3" xfId="33364" xr:uid="{00000000-0005-0000-0000-00009D6C0000}"/>
    <cellStyle name="Comma 12 2 5 3 3 2" xfId="33365" xr:uid="{00000000-0005-0000-0000-00009E6C0000}"/>
    <cellStyle name="Comma 12 2 5 3 3 3" xfId="33366" xr:uid="{00000000-0005-0000-0000-00009F6C0000}"/>
    <cellStyle name="Comma 12 2 5 3 4" xfId="33367" xr:uid="{00000000-0005-0000-0000-0000A06C0000}"/>
    <cellStyle name="Comma 12 2 5 3 4 2" xfId="33368" xr:uid="{00000000-0005-0000-0000-0000A16C0000}"/>
    <cellStyle name="Comma 12 2 5 3 5" xfId="33369" xr:uid="{00000000-0005-0000-0000-0000A26C0000}"/>
    <cellStyle name="Comma 12 2 5 3 6" xfId="33370" xr:uid="{00000000-0005-0000-0000-0000A36C0000}"/>
    <cellStyle name="Comma 12 2 5 4" xfId="33371" xr:uid="{00000000-0005-0000-0000-0000A46C0000}"/>
    <cellStyle name="Comma 12 2 5 4 2" xfId="33372" xr:uid="{00000000-0005-0000-0000-0000A56C0000}"/>
    <cellStyle name="Comma 12 2 5 4 2 2" xfId="33373" xr:uid="{00000000-0005-0000-0000-0000A66C0000}"/>
    <cellStyle name="Comma 12 2 5 4 2 3" xfId="33374" xr:uid="{00000000-0005-0000-0000-0000A76C0000}"/>
    <cellStyle name="Comma 12 2 5 4 3" xfId="33375" xr:uid="{00000000-0005-0000-0000-0000A86C0000}"/>
    <cellStyle name="Comma 12 2 5 4 3 2" xfId="33376" xr:uid="{00000000-0005-0000-0000-0000A96C0000}"/>
    <cellStyle name="Comma 12 2 5 4 4" xfId="33377" xr:uid="{00000000-0005-0000-0000-0000AA6C0000}"/>
    <cellStyle name="Comma 12 2 5 4 5" xfId="33378" xr:uid="{00000000-0005-0000-0000-0000AB6C0000}"/>
    <cellStyle name="Comma 12 2 5 5" xfId="33379" xr:uid="{00000000-0005-0000-0000-0000AC6C0000}"/>
    <cellStyle name="Comma 12 2 5 5 2" xfId="33380" xr:uid="{00000000-0005-0000-0000-0000AD6C0000}"/>
    <cellStyle name="Comma 12 2 5 5 3" xfId="33381" xr:uid="{00000000-0005-0000-0000-0000AE6C0000}"/>
    <cellStyle name="Comma 12 2 5 6" xfId="33382" xr:uid="{00000000-0005-0000-0000-0000AF6C0000}"/>
    <cellStyle name="Comma 12 2 5 6 2" xfId="33383" xr:uid="{00000000-0005-0000-0000-0000B06C0000}"/>
    <cellStyle name="Comma 12 2 5 6 3" xfId="33384" xr:uid="{00000000-0005-0000-0000-0000B16C0000}"/>
    <cellStyle name="Comma 12 2 5 7" xfId="33385" xr:uid="{00000000-0005-0000-0000-0000B26C0000}"/>
    <cellStyle name="Comma 12 2 5 7 2" xfId="33386" xr:uid="{00000000-0005-0000-0000-0000B36C0000}"/>
    <cellStyle name="Comma 12 2 5 8" xfId="33387" xr:uid="{00000000-0005-0000-0000-0000B46C0000}"/>
    <cellStyle name="Comma 12 2 5 9" xfId="33388" xr:uid="{00000000-0005-0000-0000-0000B56C0000}"/>
    <cellStyle name="Comma 12 2 6" xfId="33389" xr:uid="{00000000-0005-0000-0000-0000B66C0000}"/>
    <cellStyle name="Comma 12 2 6 2" xfId="33390" xr:uid="{00000000-0005-0000-0000-0000B76C0000}"/>
    <cellStyle name="Comma 12 2 6 2 2" xfId="33391" xr:uid="{00000000-0005-0000-0000-0000B86C0000}"/>
    <cellStyle name="Comma 12 2 6 2 2 2" xfId="33392" xr:uid="{00000000-0005-0000-0000-0000B96C0000}"/>
    <cellStyle name="Comma 12 2 6 2 2 3" xfId="33393" xr:uid="{00000000-0005-0000-0000-0000BA6C0000}"/>
    <cellStyle name="Comma 12 2 6 2 3" xfId="33394" xr:uid="{00000000-0005-0000-0000-0000BB6C0000}"/>
    <cellStyle name="Comma 12 2 6 2 3 2" xfId="33395" xr:uid="{00000000-0005-0000-0000-0000BC6C0000}"/>
    <cellStyle name="Comma 12 2 6 2 3 3" xfId="33396" xr:uid="{00000000-0005-0000-0000-0000BD6C0000}"/>
    <cellStyle name="Comma 12 2 6 2 4" xfId="33397" xr:uid="{00000000-0005-0000-0000-0000BE6C0000}"/>
    <cellStyle name="Comma 12 2 6 2 4 2" xfId="33398" xr:uid="{00000000-0005-0000-0000-0000BF6C0000}"/>
    <cellStyle name="Comma 12 2 6 2 5" xfId="33399" xr:uid="{00000000-0005-0000-0000-0000C06C0000}"/>
    <cellStyle name="Comma 12 2 6 2 6" xfId="33400" xr:uid="{00000000-0005-0000-0000-0000C16C0000}"/>
    <cellStyle name="Comma 12 2 6 3" xfId="33401" xr:uid="{00000000-0005-0000-0000-0000C26C0000}"/>
    <cellStyle name="Comma 12 2 6 3 2" xfId="33402" xr:uid="{00000000-0005-0000-0000-0000C36C0000}"/>
    <cellStyle name="Comma 12 2 6 3 2 2" xfId="33403" xr:uid="{00000000-0005-0000-0000-0000C46C0000}"/>
    <cellStyle name="Comma 12 2 6 3 2 3" xfId="33404" xr:uid="{00000000-0005-0000-0000-0000C56C0000}"/>
    <cellStyle name="Comma 12 2 6 3 3" xfId="33405" xr:uid="{00000000-0005-0000-0000-0000C66C0000}"/>
    <cellStyle name="Comma 12 2 6 3 3 2" xfId="33406" xr:uid="{00000000-0005-0000-0000-0000C76C0000}"/>
    <cellStyle name="Comma 12 2 6 3 3 3" xfId="33407" xr:uid="{00000000-0005-0000-0000-0000C86C0000}"/>
    <cellStyle name="Comma 12 2 6 3 4" xfId="33408" xr:uid="{00000000-0005-0000-0000-0000C96C0000}"/>
    <cellStyle name="Comma 12 2 6 3 4 2" xfId="33409" xr:uid="{00000000-0005-0000-0000-0000CA6C0000}"/>
    <cellStyle name="Comma 12 2 6 3 5" xfId="33410" xr:uid="{00000000-0005-0000-0000-0000CB6C0000}"/>
    <cellStyle name="Comma 12 2 6 3 6" xfId="33411" xr:uid="{00000000-0005-0000-0000-0000CC6C0000}"/>
    <cellStyle name="Comma 12 2 6 4" xfId="33412" xr:uid="{00000000-0005-0000-0000-0000CD6C0000}"/>
    <cellStyle name="Comma 12 2 6 4 2" xfId="33413" xr:uid="{00000000-0005-0000-0000-0000CE6C0000}"/>
    <cellStyle name="Comma 12 2 6 4 2 2" xfId="33414" xr:uid="{00000000-0005-0000-0000-0000CF6C0000}"/>
    <cellStyle name="Comma 12 2 6 4 2 3" xfId="33415" xr:uid="{00000000-0005-0000-0000-0000D06C0000}"/>
    <cellStyle name="Comma 12 2 6 4 3" xfId="33416" xr:uid="{00000000-0005-0000-0000-0000D16C0000}"/>
    <cellStyle name="Comma 12 2 6 4 3 2" xfId="33417" xr:uid="{00000000-0005-0000-0000-0000D26C0000}"/>
    <cellStyle name="Comma 12 2 6 4 4" xfId="33418" xr:uid="{00000000-0005-0000-0000-0000D36C0000}"/>
    <cellStyle name="Comma 12 2 6 4 5" xfId="33419" xr:uid="{00000000-0005-0000-0000-0000D46C0000}"/>
    <cellStyle name="Comma 12 2 6 5" xfId="33420" xr:uid="{00000000-0005-0000-0000-0000D56C0000}"/>
    <cellStyle name="Comma 12 2 6 5 2" xfId="33421" xr:uid="{00000000-0005-0000-0000-0000D66C0000}"/>
    <cellStyle name="Comma 12 2 6 5 3" xfId="33422" xr:uid="{00000000-0005-0000-0000-0000D76C0000}"/>
    <cellStyle name="Comma 12 2 6 6" xfId="33423" xr:uid="{00000000-0005-0000-0000-0000D86C0000}"/>
    <cellStyle name="Comma 12 2 6 6 2" xfId="33424" xr:uid="{00000000-0005-0000-0000-0000D96C0000}"/>
    <cellStyle name="Comma 12 2 6 6 3" xfId="33425" xr:uid="{00000000-0005-0000-0000-0000DA6C0000}"/>
    <cellStyle name="Comma 12 2 6 7" xfId="33426" xr:uid="{00000000-0005-0000-0000-0000DB6C0000}"/>
    <cellStyle name="Comma 12 2 6 7 2" xfId="33427" xr:uid="{00000000-0005-0000-0000-0000DC6C0000}"/>
    <cellStyle name="Comma 12 2 6 8" xfId="33428" xr:uid="{00000000-0005-0000-0000-0000DD6C0000}"/>
    <cellStyle name="Comma 12 2 6 9" xfId="33429" xr:uid="{00000000-0005-0000-0000-0000DE6C0000}"/>
    <cellStyle name="Comma 12 2 7" xfId="33430" xr:uid="{00000000-0005-0000-0000-0000DF6C0000}"/>
    <cellStyle name="Comma 12 2 7 2" xfId="33431" xr:uid="{00000000-0005-0000-0000-0000E06C0000}"/>
    <cellStyle name="Comma 12 2 7 2 2" xfId="33432" xr:uid="{00000000-0005-0000-0000-0000E16C0000}"/>
    <cellStyle name="Comma 12 2 7 2 3" xfId="33433" xr:uid="{00000000-0005-0000-0000-0000E26C0000}"/>
    <cellStyle name="Comma 12 2 7 3" xfId="33434" xr:uid="{00000000-0005-0000-0000-0000E36C0000}"/>
    <cellStyle name="Comma 12 2 7 3 2" xfId="33435" xr:uid="{00000000-0005-0000-0000-0000E46C0000}"/>
    <cellStyle name="Comma 12 2 7 3 3" xfId="33436" xr:uid="{00000000-0005-0000-0000-0000E56C0000}"/>
    <cellStyle name="Comma 12 2 7 4" xfId="33437" xr:uid="{00000000-0005-0000-0000-0000E66C0000}"/>
    <cellStyle name="Comma 12 2 7 4 2" xfId="33438" xr:uid="{00000000-0005-0000-0000-0000E76C0000}"/>
    <cellStyle name="Comma 12 2 7 5" xfId="33439" xr:uid="{00000000-0005-0000-0000-0000E86C0000}"/>
    <cellStyle name="Comma 12 2 7 6" xfId="33440" xr:uid="{00000000-0005-0000-0000-0000E96C0000}"/>
    <cellStyle name="Comma 12 2 8" xfId="33441" xr:uid="{00000000-0005-0000-0000-0000EA6C0000}"/>
    <cellStyle name="Comma 12 2 8 2" xfId="33442" xr:uid="{00000000-0005-0000-0000-0000EB6C0000}"/>
    <cellStyle name="Comma 12 2 8 2 2" xfId="33443" xr:uid="{00000000-0005-0000-0000-0000EC6C0000}"/>
    <cellStyle name="Comma 12 2 8 2 3" xfId="33444" xr:uid="{00000000-0005-0000-0000-0000ED6C0000}"/>
    <cellStyle name="Comma 12 2 8 3" xfId="33445" xr:uid="{00000000-0005-0000-0000-0000EE6C0000}"/>
    <cellStyle name="Comma 12 2 8 3 2" xfId="33446" xr:uid="{00000000-0005-0000-0000-0000EF6C0000}"/>
    <cellStyle name="Comma 12 2 8 3 3" xfId="33447" xr:uid="{00000000-0005-0000-0000-0000F06C0000}"/>
    <cellStyle name="Comma 12 2 8 4" xfId="33448" xr:uid="{00000000-0005-0000-0000-0000F16C0000}"/>
    <cellStyle name="Comma 12 2 8 4 2" xfId="33449" xr:uid="{00000000-0005-0000-0000-0000F26C0000}"/>
    <cellStyle name="Comma 12 2 8 5" xfId="33450" xr:uid="{00000000-0005-0000-0000-0000F36C0000}"/>
    <cellStyle name="Comma 12 2 8 6" xfId="33451" xr:uid="{00000000-0005-0000-0000-0000F46C0000}"/>
    <cellStyle name="Comma 12 2 9" xfId="33452" xr:uid="{00000000-0005-0000-0000-0000F56C0000}"/>
    <cellStyle name="Comma 12 2 9 2" xfId="33453" xr:uid="{00000000-0005-0000-0000-0000F66C0000}"/>
    <cellStyle name="Comma 12 2 9 2 2" xfId="33454" xr:uid="{00000000-0005-0000-0000-0000F76C0000}"/>
    <cellStyle name="Comma 12 2 9 2 3" xfId="33455" xr:uid="{00000000-0005-0000-0000-0000F86C0000}"/>
    <cellStyle name="Comma 12 2 9 3" xfId="33456" xr:uid="{00000000-0005-0000-0000-0000F96C0000}"/>
    <cellStyle name="Comma 12 2 9 3 2" xfId="33457" xr:uid="{00000000-0005-0000-0000-0000FA6C0000}"/>
    <cellStyle name="Comma 12 2 9 4" xfId="33458" xr:uid="{00000000-0005-0000-0000-0000FB6C0000}"/>
    <cellStyle name="Comma 12 2 9 5" xfId="33459" xr:uid="{00000000-0005-0000-0000-0000FC6C0000}"/>
    <cellStyle name="Comma 12 3" xfId="33460" xr:uid="{00000000-0005-0000-0000-0000FD6C0000}"/>
    <cellStyle name="Comma 12 3 10" xfId="33461" xr:uid="{00000000-0005-0000-0000-0000FE6C0000}"/>
    <cellStyle name="Comma 12 3 10 2" xfId="33462" xr:uid="{00000000-0005-0000-0000-0000FF6C0000}"/>
    <cellStyle name="Comma 12 3 10 3" xfId="33463" xr:uid="{00000000-0005-0000-0000-0000006D0000}"/>
    <cellStyle name="Comma 12 3 11" xfId="33464" xr:uid="{00000000-0005-0000-0000-0000016D0000}"/>
    <cellStyle name="Comma 12 3 11 2" xfId="33465" xr:uid="{00000000-0005-0000-0000-0000026D0000}"/>
    <cellStyle name="Comma 12 3 12" xfId="33466" xr:uid="{00000000-0005-0000-0000-0000036D0000}"/>
    <cellStyle name="Comma 12 3 13" xfId="33467" xr:uid="{00000000-0005-0000-0000-0000046D0000}"/>
    <cellStyle name="Comma 12 3 2" xfId="33468" xr:uid="{00000000-0005-0000-0000-0000056D0000}"/>
    <cellStyle name="Comma 12 3 2 10" xfId="33469" xr:uid="{00000000-0005-0000-0000-0000066D0000}"/>
    <cellStyle name="Comma 12 3 2 10 2" xfId="33470" xr:uid="{00000000-0005-0000-0000-0000076D0000}"/>
    <cellStyle name="Comma 12 3 2 11" xfId="33471" xr:uid="{00000000-0005-0000-0000-0000086D0000}"/>
    <cellStyle name="Comma 12 3 2 12" xfId="33472" xr:uid="{00000000-0005-0000-0000-0000096D0000}"/>
    <cellStyle name="Comma 12 3 2 2" xfId="33473" xr:uid="{00000000-0005-0000-0000-00000A6D0000}"/>
    <cellStyle name="Comma 12 3 2 2 10" xfId="33474" xr:uid="{00000000-0005-0000-0000-00000B6D0000}"/>
    <cellStyle name="Comma 12 3 2 2 2" xfId="33475" xr:uid="{00000000-0005-0000-0000-00000C6D0000}"/>
    <cellStyle name="Comma 12 3 2 2 2 2" xfId="33476" xr:uid="{00000000-0005-0000-0000-00000D6D0000}"/>
    <cellStyle name="Comma 12 3 2 2 2 2 2" xfId="33477" xr:uid="{00000000-0005-0000-0000-00000E6D0000}"/>
    <cellStyle name="Comma 12 3 2 2 2 2 2 2" xfId="33478" xr:uid="{00000000-0005-0000-0000-00000F6D0000}"/>
    <cellStyle name="Comma 12 3 2 2 2 2 2 3" xfId="33479" xr:uid="{00000000-0005-0000-0000-0000106D0000}"/>
    <cellStyle name="Comma 12 3 2 2 2 2 3" xfId="33480" xr:uid="{00000000-0005-0000-0000-0000116D0000}"/>
    <cellStyle name="Comma 12 3 2 2 2 2 3 2" xfId="33481" xr:uid="{00000000-0005-0000-0000-0000126D0000}"/>
    <cellStyle name="Comma 12 3 2 2 2 2 3 3" xfId="33482" xr:uid="{00000000-0005-0000-0000-0000136D0000}"/>
    <cellStyle name="Comma 12 3 2 2 2 2 4" xfId="33483" xr:uid="{00000000-0005-0000-0000-0000146D0000}"/>
    <cellStyle name="Comma 12 3 2 2 2 2 4 2" xfId="33484" xr:uid="{00000000-0005-0000-0000-0000156D0000}"/>
    <cellStyle name="Comma 12 3 2 2 2 2 5" xfId="33485" xr:uid="{00000000-0005-0000-0000-0000166D0000}"/>
    <cellStyle name="Comma 12 3 2 2 2 2 6" xfId="33486" xr:uid="{00000000-0005-0000-0000-0000176D0000}"/>
    <cellStyle name="Comma 12 3 2 2 2 3" xfId="33487" xr:uid="{00000000-0005-0000-0000-0000186D0000}"/>
    <cellStyle name="Comma 12 3 2 2 2 3 2" xfId="33488" xr:uid="{00000000-0005-0000-0000-0000196D0000}"/>
    <cellStyle name="Comma 12 3 2 2 2 3 2 2" xfId="33489" xr:uid="{00000000-0005-0000-0000-00001A6D0000}"/>
    <cellStyle name="Comma 12 3 2 2 2 3 2 3" xfId="33490" xr:uid="{00000000-0005-0000-0000-00001B6D0000}"/>
    <cellStyle name="Comma 12 3 2 2 2 3 3" xfId="33491" xr:uid="{00000000-0005-0000-0000-00001C6D0000}"/>
    <cellStyle name="Comma 12 3 2 2 2 3 3 2" xfId="33492" xr:uid="{00000000-0005-0000-0000-00001D6D0000}"/>
    <cellStyle name="Comma 12 3 2 2 2 3 3 3" xfId="33493" xr:uid="{00000000-0005-0000-0000-00001E6D0000}"/>
    <cellStyle name="Comma 12 3 2 2 2 3 4" xfId="33494" xr:uid="{00000000-0005-0000-0000-00001F6D0000}"/>
    <cellStyle name="Comma 12 3 2 2 2 3 4 2" xfId="33495" xr:uid="{00000000-0005-0000-0000-0000206D0000}"/>
    <cellStyle name="Comma 12 3 2 2 2 3 5" xfId="33496" xr:uid="{00000000-0005-0000-0000-0000216D0000}"/>
    <cellStyle name="Comma 12 3 2 2 2 3 6" xfId="33497" xr:uid="{00000000-0005-0000-0000-0000226D0000}"/>
    <cellStyle name="Comma 12 3 2 2 2 4" xfId="33498" xr:uid="{00000000-0005-0000-0000-0000236D0000}"/>
    <cellStyle name="Comma 12 3 2 2 2 4 2" xfId="33499" xr:uid="{00000000-0005-0000-0000-0000246D0000}"/>
    <cellStyle name="Comma 12 3 2 2 2 4 2 2" xfId="33500" xr:uid="{00000000-0005-0000-0000-0000256D0000}"/>
    <cellStyle name="Comma 12 3 2 2 2 4 2 3" xfId="33501" xr:uid="{00000000-0005-0000-0000-0000266D0000}"/>
    <cellStyle name="Comma 12 3 2 2 2 4 3" xfId="33502" xr:uid="{00000000-0005-0000-0000-0000276D0000}"/>
    <cellStyle name="Comma 12 3 2 2 2 4 3 2" xfId="33503" xr:uid="{00000000-0005-0000-0000-0000286D0000}"/>
    <cellStyle name="Comma 12 3 2 2 2 4 4" xfId="33504" xr:uid="{00000000-0005-0000-0000-0000296D0000}"/>
    <cellStyle name="Comma 12 3 2 2 2 4 5" xfId="33505" xr:uid="{00000000-0005-0000-0000-00002A6D0000}"/>
    <cellStyle name="Comma 12 3 2 2 2 5" xfId="33506" xr:uid="{00000000-0005-0000-0000-00002B6D0000}"/>
    <cellStyle name="Comma 12 3 2 2 2 5 2" xfId="33507" xr:uid="{00000000-0005-0000-0000-00002C6D0000}"/>
    <cellStyle name="Comma 12 3 2 2 2 5 3" xfId="33508" xr:uid="{00000000-0005-0000-0000-00002D6D0000}"/>
    <cellStyle name="Comma 12 3 2 2 2 6" xfId="33509" xr:uid="{00000000-0005-0000-0000-00002E6D0000}"/>
    <cellStyle name="Comma 12 3 2 2 2 6 2" xfId="33510" xr:uid="{00000000-0005-0000-0000-00002F6D0000}"/>
    <cellStyle name="Comma 12 3 2 2 2 6 3" xfId="33511" xr:uid="{00000000-0005-0000-0000-0000306D0000}"/>
    <cellStyle name="Comma 12 3 2 2 2 7" xfId="33512" xr:uid="{00000000-0005-0000-0000-0000316D0000}"/>
    <cellStyle name="Comma 12 3 2 2 2 7 2" xfId="33513" xr:uid="{00000000-0005-0000-0000-0000326D0000}"/>
    <cellStyle name="Comma 12 3 2 2 2 8" xfId="33514" xr:uid="{00000000-0005-0000-0000-0000336D0000}"/>
    <cellStyle name="Comma 12 3 2 2 2 9" xfId="33515" xr:uid="{00000000-0005-0000-0000-0000346D0000}"/>
    <cellStyle name="Comma 12 3 2 2 3" xfId="33516" xr:uid="{00000000-0005-0000-0000-0000356D0000}"/>
    <cellStyle name="Comma 12 3 2 2 3 2" xfId="33517" xr:uid="{00000000-0005-0000-0000-0000366D0000}"/>
    <cellStyle name="Comma 12 3 2 2 3 2 2" xfId="33518" xr:uid="{00000000-0005-0000-0000-0000376D0000}"/>
    <cellStyle name="Comma 12 3 2 2 3 2 3" xfId="33519" xr:uid="{00000000-0005-0000-0000-0000386D0000}"/>
    <cellStyle name="Comma 12 3 2 2 3 3" xfId="33520" xr:uid="{00000000-0005-0000-0000-0000396D0000}"/>
    <cellStyle name="Comma 12 3 2 2 3 3 2" xfId="33521" xr:uid="{00000000-0005-0000-0000-00003A6D0000}"/>
    <cellStyle name="Comma 12 3 2 2 3 3 3" xfId="33522" xr:uid="{00000000-0005-0000-0000-00003B6D0000}"/>
    <cellStyle name="Comma 12 3 2 2 3 4" xfId="33523" xr:uid="{00000000-0005-0000-0000-00003C6D0000}"/>
    <cellStyle name="Comma 12 3 2 2 3 4 2" xfId="33524" xr:uid="{00000000-0005-0000-0000-00003D6D0000}"/>
    <cellStyle name="Comma 12 3 2 2 3 5" xfId="33525" xr:uid="{00000000-0005-0000-0000-00003E6D0000}"/>
    <cellStyle name="Comma 12 3 2 2 3 6" xfId="33526" xr:uid="{00000000-0005-0000-0000-00003F6D0000}"/>
    <cellStyle name="Comma 12 3 2 2 4" xfId="33527" xr:uid="{00000000-0005-0000-0000-0000406D0000}"/>
    <cellStyle name="Comma 12 3 2 2 4 2" xfId="33528" xr:uid="{00000000-0005-0000-0000-0000416D0000}"/>
    <cellStyle name="Comma 12 3 2 2 4 2 2" xfId="33529" xr:uid="{00000000-0005-0000-0000-0000426D0000}"/>
    <cellStyle name="Comma 12 3 2 2 4 2 3" xfId="33530" xr:uid="{00000000-0005-0000-0000-0000436D0000}"/>
    <cellStyle name="Comma 12 3 2 2 4 3" xfId="33531" xr:uid="{00000000-0005-0000-0000-0000446D0000}"/>
    <cellStyle name="Comma 12 3 2 2 4 3 2" xfId="33532" xr:uid="{00000000-0005-0000-0000-0000456D0000}"/>
    <cellStyle name="Comma 12 3 2 2 4 3 3" xfId="33533" xr:uid="{00000000-0005-0000-0000-0000466D0000}"/>
    <cellStyle name="Comma 12 3 2 2 4 4" xfId="33534" xr:uid="{00000000-0005-0000-0000-0000476D0000}"/>
    <cellStyle name="Comma 12 3 2 2 4 4 2" xfId="33535" xr:uid="{00000000-0005-0000-0000-0000486D0000}"/>
    <cellStyle name="Comma 12 3 2 2 4 5" xfId="33536" xr:uid="{00000000-0005-0000-0000-0000496D0000}"/>
    <cellStyle name="Comma 12 3 2 2 4 6" xfId="33537" xr:uid="{00000000-0005-0000-0000-00004A6D0000}"/>
    <cellStyle name="Comma 12 3 2 2 5" xfId="33538" xr:uid="{00000000-0005-0000-0000-00004B6D0000}"/>
    <cellStyle name="Comma 12 3 2 2 5 2" xfId="33539" xr:uid="{00000000-0005-0000-0000-00004C6D0000}"/>
    <cellStyle name="Comma 12 3 2 2 5 2 2" xfId="33540" xr:uid="{00000000-0005-0000-0000-00004D6D0000}"/>
    <cellStyle name="Comma 12 3 2 2 5 2 3" xfId="33541" xr:uid="{00000000-0005-0000-0000-00004E6D0000}"/>
    <cellStyle name="Comma 12 3 2 2 5 3" xfId="33542" xr:uid="{00000000-0005-0000-0000-00004F6D0000}"/>
    <cellStyle name="Comma 12 3 2 2 5 3 2" xfId="33543" xr:uid="{00000000-0005-0000-0000-0000506D0000}"/>
    <cellStyle name="Comma 12 3 2 2 5 4" xfId="33544" xr:uid="{00000000-0005-0000-0000-0000516D0000}"/>
    <cellStyle name="Comma 12 3 2 2 5 5" xfId="33545" xr:uid="{00000000-0005-0000-0000-0000526D0000}"/>
    <cellStyle name="Comma 12 3 2 2 6" xfId="33546" xr:uid="{00000000-0005-0000-0000-0000536D0000}"/>
    <cellStyle name="Comma 12 3 2 2 6 2" xfId="33547" xr:uid="{00000000-0005-0000-0000-0000546D0000}"/>
    <cellStyle name="Comma 12 3 2 2 6 3" xfId="33548" xr:uid="{00000000-0005-0000-0000-0000556D0000}"/>
    <cellStyle name="Comma 12 3 2 2 7" xfId="33549" xr:uid="{00000000-0005-0000-0000-0000566D0000}"/>
    <cellStyle name="Comma 12 3 2 2 7 2" xfId="33550" xr:uid="{00000000-0005-0000-0000-0000576D0000}"/>
    <cellStyle name="Comma 12 3 2 2 7 3" xfId="33551" xr:uid="{00000000-0005-0000-0000-0000586D0000}"/>
    <cellStyle name="Comma 12 3 2 2 8" xfId="33552" xr:uid="{00000000-0005-0000-0000-0000596D0000}"/>
    <cellStyle name="Comma 12 3 2 2 8 2" xfId="33553" xr:uid="{00000000-0005-0000-0000-00005A6D0000}"/>
    <cellStyle name="Comma 12 3 2 2 9" xfId="33554" xr:uid="{00000000-0005-0000-0000-00005B6D0000}"/>
    <cellStyle name="Comma 12 3 2 3" xfId="33555" xr:uid="{00000000-0005-0000-0000-00005C6D0000}"/>
    <cellStyle name="Comma 12 3 2 3 2" xfId="33556" xr:uid="{00000000-0005-0000-0000-00005D6D0000}"/>
    <cellStyle name="Comma 12 3 2 3 2 2" xfId="33557" xr:uid="{00000000-0005-0000-0000-00005E6D0000}"/>
    <cellStyle name="Comma 12 3 2 3 2 2 2" xfId="33558" xr:uid="{00000000-0005-0000-0000-00005F6D0000}"/>
    <cellStyle name="Comma 12 3 2 3 2 2 3" xfId="33559" xr:uid="{00000000-0005-0000-0000-0000606D0000}"/>
    <cellStyle name="Comma 12 3 2 3 2 3" xfId="33560" xr:uid="{00000000-0005-0000-0000-0000616D0000}"/>
    <cellStyle name="Comma 12 3 2 3 2 3 2" xfId="33561" xr:uid="{00000000-0005-0000-0000-0000626D0000}"/>
    <cellStyle name="Comma 12 3 2 3 2 3 3" xfId="33562" xr:uid="{00000000-0005-0000-0000-0000636D0000}"/>
    <cellStyle name="Comma 12 3 2 3 2 4" xfId="33563" xr:uid="{00000000-0005-0000-0000-0000646D0000}"/>
    <cellStyle name="Comma 12 3 2 3 2 4 2" xfId="33564" xr:uid="{00000000-0005-0000-0000-0000656D0000}"/>
    <cellStyle name="Comma 12 3 2 3 2 5" xfId="33565" xr:uid="{00000000-0005-0000-0000-0000666D0000}"/>
    <cellStyle name="Comma 12 3 2 3 2 6" xfId="33566" xr:uid="{00000000-0005-0000-0000-0000676D0000}"/>
    <cellStyle name="Comma 12 3 2 3 3" xfId="33567" xr:uid="{00000000-0005-0000-0000-0000686D0000}"/>
    <cellStyle name="Comma 12 3 2 3 3 2" xfId="33568" xr:uid="{00000000-0005-0000-0000-0000696D0000}"/>
    <cellStyle name="Comma 12 3 2 3 3 2 2" xfId="33569" xr:uid="{00000000-0005-0000-0000-00006A6D0000}"/>
    <cellStyle name="Comma 12 3 2 3 3 2 3" xfId="33570" xr:uid="{00000000-0005-0000-0000-00006B6D0000}"/>
    <cellStyle name="Comma 12 3 2 3 3 3" xfId="33571" xr:uid="{00000000-0005-0000-0000-00006C6D0000}"/>
    <cellStyle name="Comma 12 3 2 3 3 3 2" xfId="33572" xr:uid="{00000000-0005-0000-0000-00006D6D0000}"/>
    <cellStyle name="Comma 12 3 2 3 3 3 3" xfId="33573" xr:uid="{00000000-0005-0000-0000-00006E6D0000}"/>
    <cellStyle name="Comma 12 3 2 3 3 4" xfId="33574" xr:uid="{00000000-0005-0000-0000-00006F6D0000}"/>
    <cellStyle name="Comma 12 3 2 3 3 4 2" xfId="33575" xr:uid="{00000000-0005-0000-0000-0000706D0000}"/>
    <cellStyle name="Comma 12 3 2 3 3 5" xfId="33576" xr:uid="{00000000-0005-0000-0000-0000716D0000}"/>
    <cellStyle name="Comma 12 3 2 3 3 6" xfId="33577" xr:uid="{00000000-0005-0000-0000-0000726D0000}"/>
    <cellStyle name="Comma 12 3 2 3 4" xfId="33578" xr:uid="{00000000-0005-0000-0000-0000736D0000}"/>
    <cellStyle name="Comma 12 3 2 3 4 2" xfId="33579" xr:uid="{00000000-0005-0000-0000-0000746D0000}"/>
    <cellStyle name="Comma 12 3 2 3 4 2 2" xfId="33580" xr:uid="{00000000-0005-0000-0000-0000756D0000}"/>
    <cellStyle name="Comma 12 3 2 3 4 2 3" xfId="33581" xr:uid="{00000000-0005-0000-0000-0000766D0000}"/>
    <cellStyle name="Comma 12 3 2 3 4 3" xfId="33582" xr:uid="{00000000-0005-0000-0000-0000776D0000}"/>
    <cellStyle name="Comma 12 3 2 3 4 3 2" xfId="33583" xr:uid="{00000000-0005-0000-0000-0000786D0000}"/>
    <cellStyle name="Comma 12 3 2 3 4 4" xfId="33584" xr:uid="{00000000-0005-0000-0000-0000796D0000}"/>
    <cellStyle name="Comma 12 3 2 3 4 5" xfId="33585" xr:uid="{00000000-0005-0000-0000-00007A6D0000}"/>
    <cellStyle name="Comma 12 3 2 3 5" xfId="33586" xr:uid="{00000000-0005-0000-0000-00007B6D0000}"/>
    <cellStyle name="Comma 12 3 2 3 5 2" xfId="33587" xr:uid="{00000000-0005-0000-0000-00007C6D0000}"/>
    <cellStyle name="Comma 12 3 2 3 5 3" xfId="33588" xr:uid="{00000000-0005-0000-0000-00007D6D0000}"/>
    <cellStyle name="Comma 12 3 2 3 6" xfId="33589" xr:uid="{00000000-0005-0000-0000-00007E6D0000}"/>
    <cellStyle name="Comma 12 3 2 3 6 2" xfId="33590" xr:uid="{00000000-0005-0000-0000-00007F6D0000}"/>
    <cellStyle name="Comma 12 3 2 3 6 3" xfId="33591" xr:uid="{00000000-0005-0000-0000-0000806D0000}"/>
    <cellStyle name="Comma 12 3 2 3 7" xfId="33592" xr:uid="{00000000-0005-0000-0000-0000816D0000}"/>
    <cellStyle name="Comma 12 3 2 3 7 2" xfId="33593" xr:uid="{00000000-0005-0000-0000-0000826D0000}"/>
    <cellStyle name="Comma 12 3 2 3 8" xfId="33594" xr:uid="{00000000-0005-0000-0000-0000836D0000}"/>
    <cellStyle name="Comma 12 3 2 3 9" xfId="33595" xr:uid="{00000000-0005-0000-0000-0000846D0000}"/>
    <cellStyle name="Comma 12 3 2 4" xfId="33596" xr:uid="{00000000-0005-0000-0000-0000856D0000}"/>
    <cellStyle name="Comma 12 3 2 4 2" xfId="33597" xr:uid="{00000000-0005-0000-0000-0000866D0000}"/>
    <cellStyle name="Comma 12 3 2 4 2 2" xfId="33598" xr:uid="{00000000-0005-0000-0000-0000876D0000}"/>
    <cellStyle name="Comma 12 3 2 4 2 2 2" xfId="33599" xr:uid="{00000000-0005-0000-0000-0000886D0000}"/>
    <cellStyle name="Comma 12 3 2 4 2 2 3" xfId="33600" xr:uid="{00000000-0005-0000-0000-0000896D0000}"/>
    <cellStyle name="Comma 12 3 2 4 2 3" xfId="33601" xr:uid="{00000000-0005-0000-0000-00008A6D0000}"/>
    <cellStyle name="Comma 12 3 2 4 2 3 2" xfId="33602" xr:uid="{00000000-0005-0000-0000-00008B6D0000}"/>
    <cellStyle name="Comma 12 3 2 4 2 3 3" xfId="33603" xr:uid="{00000000-0005-0000-0000-00008C6D0000}"/>
    <cellStyle name="Comma 12 3 2 4 2 4" xfId="33604" xr:uid="{00000000-0005-0000-0000-00008D6D0000}"/>
    <cellStyle name="Comma 12 3 2 4 2 4 2" xfId="33605" xr:uid="{00000000-0005-0000-0000-00008E6D0000}"/>
    <cellStyle name="Comma 12 3 2 4 2 5" xfId="33606" xr:uid="{00000000-0005-0000-0000-00008F6D0000}"/>
    <cellStyle name="Comma 12 3 2 4 2 6" xfId="33607" xr:uid="{00000000-0005-0000-0000-0000906D0000}"/>
    <cellStyle name="Comma 12 3 2 4 3" xfId="33608" xr:uid="{00000000-0005-0000-0000-0000916D0000}"/>
    <cellStyle name="Comma 12 3 2 4 3 2" xfId="33609" xr:uid="{00000000-0005-0000-0000-0000926D0000}"/>
    <cellStyle name="Comma 12 3 2 4 3 2 2" xfId="33610" xr:uid="{00000000-0005-0000-0000-0000936D0000}"/>
    <cellStyle name="Comma 12 3 2 4 3 2 3" xfId="33611" xr:uid="{00000000-0005-0000-0000-0000946D0000}"/>
    <cellStyle name="Comma 12 3 2 4 3 3" xfId="33612" xr:uid="{00000000-0005-0000-0000-0000956D0000}"/>
    <cellStyle name="Comma 12 3 2 4 3 3 2" xfId="33613" xr:uid="{00000000-0005-0000-0000-0000966D0000}"/>
    <cellStyle name="Comma 12 3 2 4 3 3 3" xfId="33614" xr:uid="{00000000-0005-0000-0000-0000976D0000}"/>
    <cellStyle name="Comma 12 3 2 4 3 4" xfId="33615" xr:uid="{00000000-0005-0000-0000-0000986D0000}"/>
    <cellStyle name="Comma 12 3 2 4 3 4 2" xfId="33616" xr:uid="{00000000-0005-0000-0000-0000996D0000}"/>
    <cellStyle name="Comma 12 3 2 4 3 5" xfId="33617" xr:uid="{00000000-0005-0000-0000-00009A6D0000}"/>
    <cellStyle name="Comma 12 3 2 4 3 6" xfId="33618" xr:uid="{00000000-0005-0000-0000-00009B6D0000}"/>
    <cellStyle name="Comma 12 3 2 4 4" xfId="33619" xr:uid="{00000000-0005-0000-0000-00009C6D0000}"/>
    <cellStyle name="Comma 12 3 2 4 4 2" xfId="33620" xr:uid="{00000000-0005-0000-0000-00009D6D0000}"/>
    <cellStyle name="Comma 12 3 2 4 4 2 2" xfId="33621" xr:uid="{00000000-0005-0000-0000-00009E6D0000}"/>
    <cellStyle name="Comma 12 3 2 4 4 2 3" xfId="33622" xr:uid="{00000000-0005-0000-0000-00009F6D0000}"/>
    <cellStyle name="Comma 12 3 2 4 4 3" xfId="33623" xr:uid="{00000000-0005-0000-0000-0000A06D0000}"/>
    <cellStyle name="Comma 12 3 2 4 4 3 2" xfId="33624" xr:uid="{00000000-0005-0000-0000-0000A16D0000}"/>
    <cellStyle name="Comma 12 3 2 4 4 4" xfId="33625" xr:uid="{00000000-0005-0000-0000-0000A26D0000}"/>
    <cellStyle name="Comma 12 3 2 4 4 5" xfId="33626" xr:uid="{00000000-0005-0000-0000-0000A36D0000}"/>
    <cellStyle name="Comma 12 3 2 4 5" xfId="33627" xr:uid="{00000000-0005-0000-0000-0000A46D0000}"/>
    <cellStyle name="Comma 12 3 2 4 5 2" xfId="33628" xr:uid="{00000000-0005-0000-0000-0000A56D0000}"/>
    <cellStyle name="Comma 12 3 2 4 5 3" xfId="33629" xr:uid="{00000000-0005-0000-0000-0000A66D0000}"/>
    <cellStyle name="Comma 12 3 2 4 6" xfId="33630" xr:uid="{00000000-0005-0000-0000-0000A76D0000}"/>
    <cellStyle name="Comma 12 3 2 4 6 2" xfId="33631" xr:uid="{00000000-0005-0000-0000-0000A86D0000}"/>
    <cellStyle name="Comma 12 3 2 4 6 3" xfId="33632" xr:uid="{00000000-0005-0000-0000-0000A96D0000}"/>
    <cellStyle name="Comma 12 3 2 4 7" xfId="33633" xr:uid="{00000000-0005-0000-0000-0000AA6D0000}"/>
    <cellStyle name="Comma 12 3 2 4 7 2" xfId="33634" xr:uid="{00000000-0005-0000-0000-0000AB6D0000}"/>
    <cellStyle name="Comma 12 3 2 4 8" xfId="33635" xr:uid="{00000000-0005-0000-0000-0000AC6D0000}"/>
    <cellStyle name="Comma 12 3 2 4 9" xfId="33636" xr:uid="{00000000-0005-0000-0000-0000AD6D0000}"/>
    <cellStyle name="Comma 12 3 2 5" xfId="33637" xr:uid="{00000000-0005-0000-0000-0000AE6D0000}"/>
    <cellStyle name="Comma 12 3 2 5 2" xfId="33638" xr:uid="{00000000-0005-0000-0000-0000AF6D0000}"/>
    <cellStyle name="Comma 12 3 2 5 2 2" xfId="33639" xr:uid="{00000000-0005-0000-0000-0000B06D0000}"/>
    <cellStyle name="Comma 12 3 2 5 2 3" xfId="33640" xr:uid="{00000000-0005-0000-0000-0000B16D0000}"/>
    <cellStyle name="Comma 12 3 2 5 3" xfId="33641" xr:uid="{00000000-0005-0000-0000-0000B26D0000}"/>
    <cellStyle name="Comma 12 3 2 5 3 2" xfId="33642" xr:uid="{00000000-0005-0000-0000-0000B36D0000}"/>
    <cellStyle name="Comma 12 3 2 5 3 3" xfId="33643" xr:uid="{00000000-0005-0000-0000-0000B46D0000}"/>
    <cellStyle name="Comma 12 3 2 5 4" xfId="33644" xr:uid="{00000000-0005-0000-0000-0000B56D0000}"/>
    <cellStyle name="Comma 12 3 2 5 4 2" xfId="33645" xr:uid="{00000000-0005-0000-0000-0000B66D0000}"/>
    <cellStyle name="Comma 12 3 2 5 5" xfId="33646" xr:uid="{00000000-0005-0000-0000-0000B76D0000}"/>
    <cellStyle name="Comma 12 3 2 5 6" xfId="33647" xr:uid="{00000000-0005-0000-0000-0000B86D0000}"/>
    <cellStyle name="Comma 12 3 2 6" xfId="33648" xr:uid="{00000000-0005-0000-0000-0000B96D0000}"/>
    <cellStyle name="Comma 12 3 2 6 2" xfId="33649" xr:uid="{00000000-0005-0000-0000-0000BA6D0000}"/>
    <cellStyle name="Comma 12 3 2 6 2 2" xfId="33650" xr:uid="{00000000-0005-0000-0000-0000BB6D0000}"/>
    <cellStyle name="Comma 12 3 2 6 2 3" xfId="33651" xr:uid="{00000000-0005-0000-0000-0000BC6D0000}"/>
    <cellStyle name="Comma 12 3 2 6 3" xfId="33652" xr:uid="{00000000-0005-0000-0000-0000BD6D0000}"/>
    <cellStyle name="Comma 12 3 2 6 3 2" xfId="33653" xr:uid="{00000000-0005-0000-0000-0000BE6D0000}"/>
    <cellStyle name="Comma 12 3 2 6 3 3" xfId="33654" xr:uid="{00000000-0005-0000-0000-0000BF6D0000}"/>
    <cellStyle name="Comma 12 3 2 6 4" xfId="33655" xr:uid="{00000000-0005-0000-0000-0000C06D0000}"/>
    <cellStyle name="Comma 12 3 2 6 4 2" xfId="33656" xr:uid="{00000000-0005-0000-0000-0000C16D0000}"/>
    <cellStyle name="Comma 12 3 2 6 5" xfId="33657" xr:uid="{00000000-0005-0000-0000-0000C26D0000}"/>
    <cellStyle name="Comma 12 3 2 6 6" xfId="33658" xr:uid="{00000000-0005-0000-0000-0000C36D0000}"/>
    <cellStyle name="Comma 12 3 2 7" xfId="33659" xr:uid="{00000000-0005-0000-0000-0000C46D0000}"/>
    <cellStyle name="Comma 12 3 2 7 2" xfId="33660" xr:uid="{00000000-0005-0000-0000-0000C56D0000}"/>
    <cellStyle name="Comma 12 3 2 7 2 2" xfId="33661" xr:uid="{00000000-0005-0000-0000-0000C66D0000}"/>
    <cellStyle name="Comma 12 3 2 7 2 3" xfId="33662" xr:uid="{00000000-0005-0000-0000-0000C76D0000}"/>
    <cellStyle name="Comma 12 3 2 7 3" xfId="33663" xr:uid="{00000000-0005-0000-0000-0000C86D0000}"/>
    <cellStyle name="Comma 12 3 2 7 3 2" xfId="33664" xr:uid="{00000000-0005-0000-0000-0000C96D0000}"/>
    <cellStyle name="Comma 12 3 2 7 4" xfId="33665" xr:uid="{00000000-0005-0000-0000-0000CA6D0000}"/>
    <cellStyle name="Comma 12 3 2 7 5" xfId="33666" xr:uid="{00000000-0005-0000-0000-0000CB6D0000}"/>
    <cellStyle name="Comma 12 3 2 8" xfId="33667" xr:uid="{00000000-0005-0000-0000-0000CC6D0000}"/>
    <cellStyle name="Comma 12 3 2 8 2" xfId="33668" xr:uid="{00000000-0005-0000-0000-0000CD6D0000}"/>
    <cellStyle name="Comma 12 3 2 8 3" xfId="33669" xr:uid="{00000000-0005-0000-0000-0000CE6D0000}"/>
    <cellStyle name="Comma 12 3 2 9" xfId="33670" xr:uid="{00000000-0005-0000-0000-0000CF6D0000}"/>
    <cellStyle name="Comma 12 3 2 9 2" xfId="33671" xr:uid="{00000000-0005-0000-0000-0000D06D0000}"/>
    <cellStyle name="Comma 12 3 2 9 3" xfId="33672" xr:uid="{00000000-0005-0000-0000-0000D16D0000}"/>
    <cellStyle name="Comma 12 3 3" xfId="33673" xr:uid="{00000000-0005-0000-0000-0000D26D0000}"/>
    <cellStyle name="Comma 12 3 3 10" xfId="33674" xr:uid="{00000000-0005-0000-0000-0000D36D0000}"/>
    <cellStyle name="Comma 12 3 3 2" xfId="33675" xr:uid="{00000000-0005-0000-0000-0000D46D0000}"/>
    <cellStyle name="Comma 12 3 3 2 2" xfId="33676" xr:uid="{00000000-0005-0000-0000-0000D56D0000}"/>
    <cellStyle name="Comma 12 3 3 2 2 2" xfId="33677" xr:uid="{00000000-0005-0000-0000-0000D66D0000}"/>
    <cellStyle name="Comma 12 3 3 2 2 2 2" xfId="33678" xr:uid="{00000000-0005-0000-0000-0000D76D0000}"/>
    <cellStyle name="Comma 12 3 3 2 2 2 3" xfId="33679" xr:uid="{00000000-0005-0000-0000-0000D86D0000}"/>
    <cellStyle name="Comma 12 3 3 2 2 3" xfId="33680" xr:uid="{00000000-0005-0000-0000-0000D96D0000}"/>
    <cellStyle name="Comma 12 3 3 2 2 3 2" xfId="33681" xr:uid="{00000000-0005-0000-0000-0000DA6D0000}"/>
    <cellStyle name="Comma 12 3 3 2 2 3 3" xfId="33682" xr:uid="{00000000-0005-0000-0000-0000DB6D0000}"/>
    <cellStyle name="Comma 12 3 3 2 2 4" xfId="33683" xr:uid="{00000000-0005-0000-0000-0000DC6D0000}"/>
    <cellStyle name="Comma 12 3 3 2 2 4 2" xfId="33684" xr:uid="{00000000-0005-0000-0000-0000DD6D0000}"/>
    <cellStyle name="Comma 12 3 3 2 2 5" xfId="33685" xr:uid="{00000000-0005-0000-0000-0000DE6D0000}"/>
    <cellStyle name="Comma 12 3 3 2 2 6" xfId="33686" xr:uid="{00000000-0005-0000-0000-0000DF6D0000}"/>
    <cellStyle name="Comma 12 3 3 2 3" xfId="33687" xr:uid="{00000000-0005-0000-0000-0000E06D0000}"/>
    <cellStyle name="Comma 12 3 3 2 3 2" xfId="33688" xr:uid="{00000000-0005-0000-0000-0000E16D0000}"/>
    <cellStyle name="Comma 12 3 3 2 3 2 2" xfId="33689" xr:uid="{00000000-0005-0000-0000-0000E26D0000}"/>
    <cellStyle name="Comma 12 3 3 2 3 2 3" xfId="33690" xr:uid="{00000000-0005-0000-0000-0000E36D0000}"/>
    <cellStyle name="Comma 12 3 3 2 3 3" xfId="33691" xr:uid="{00000000-0005-0000-0000-0000E46D0000}"/>
    <cellStyle name="Comma 12 3 3 2 3 3 2" xfId="33692" xr:uid="{00000000-0005-0000-0000-0000E56D0000}"/>
    <cellStyle name="Comma 12 3 3 2 3 3 3" xfId="33693" xr:uid="{00000000-0005-0000-0000-0000E66D0000}"/>
    <cellStyle name="Comma 12 3 3 2 3 4" xfId="33694" xr:uid="{00000000-0005-0000-0000-0000E76D0000}"/>
    <cellStyle name="Comma 12 3 3 2 3 4 2" xfId="33695" xr:uid="{00000000-0005-0000-0000-0000E86D0000}"/>
    <cellStyle name="Comma 12 3 3 2 3 5" xfId="33696" xr:uid="{00000000-0005-0000-0000-0000E96D0000}"/>
    <cellStyle name="Comma 12 3 3 2 3 6" xfId="33697" xr:uid="{00000000-0005-0000-0000-0000EA6D0000}"/>
    <cellStyle name="Comma 12 3 3 2 4" xfId="33698" xr:uid="{00000000-0005-0000-0000-0000EB6D0000}"/>
    <cellStyle name="Comma 12 3 3 2 4 2" xfId="33699" xr:uid="{00000000-0005-0000-0000-0000EC6D0000}"/>
    <cellStyle name="Comma 12 3 3 2 4 2 2" xfId="33700" xr:uid="{00000000-0005-0000-0000-0000ED6D0000}"/>
    <cellStyle name="Comma 12 3 3 2 4 2 3" xfId="33701" xr:uid="{00000000-0005-0000-0000-0000EE6D0000}"/>
    <cellStyle name="Comma 12 3 3 2 4 3" xfId="33702" xr:uid="{00000000-0005-0000-0000-0000EF6D0000}"/>
    <cellStyle name="Comma 12 3 3 2 4 3 2" xfId="33703" xr:uid="{00000000-0005-0000-0000-0000F06D0000}"/>
    <cellStyle name="Comma 12 3 3 2 4 4" xfId="33704" xr:uid="{00000000-0005-0000-0000-0000F16D0000}"/>
    <cellStyle name="Comma 12 3 3 2 4 5" xfId="33705" xr:uid="{00000000-0005-0000-0000-0000F26D0000}"/>
    <cellStyle name="Comma 12 3 3 2 5" xfId="33706" xr:uid="{00000000-0005-0000-0000-0000F36D0000}"/>
    <cellStyle name="Comma 12 3 3 2 5 2" xfId="33707" xr:uid="{00000000-0005-0000-0000-0000F46D0000}"/>
    <cellStyle name="Comma 12 3 3 2 5 3" xfId="33708" xr:uid="{00000000-0005-0000-0000-0000F56D0000}"/>
    <cellStyle name="Comma 12 3 3 2 6" xfId="33709" xr:uid="{00000000-0005-0000-0000-0000F66D0000}"/>
    <cellStyle name="Comma 12 3 3 2 6 2" xfId="33710" xr:uid="{00000000-0005-0000-0000-0000F76D0000}"/>
    <cellStyle name="Comma 12 3 3 2 6 3" xfId="33711" xr:uid="{00000000-0005-0000-0000-0000F86D0000}"/>
    <cellStyle name="Comma 12 3 3 2 7" xfId="33712" xr:uid="{00000000-0005-0000-0000-0000F96D0000}"/>
    <cellStyle name="Comma 12 3 3 2 7 2" xfId="33713" xr:uid="{00000000-0005-0000-0000-0000FA6D0000}"/>
    <cellStyle name="Comma 12 3 3 2 8" xfId="33714" xr:uid="{00000000-0005-0000-0000-0000FB6D0000}"/>
    <cellStyle name="Comma 12 3 3 2 9" xfId="33715" xr:uid="{00000000-0005-0000-0000-0000FC6D0000}"/>
    <cellStyle name="Comma 12 3 3 3" xfId="33716" xr:uid="{00000000-0005-0000-0000-0000FD6D0000}"/>
    <cellStyle name="Comma 12 3 3 3 2" xfId="33717" xr:uid="{00000000-0005-0000-0000-0000FE6D0000}"/>
    <cellStyle name="Comma 12 3 3 3 2 2" xfId="33718" xr:uid="{00000000-0005-0000-0000-0000FF6D0000}"/>
    <cellStyle name="Comma 12 3 3 3 2 3" xfId="33719" xr:uid="{00000000-0005-0000-0000-0000006E0000}"/>
    <cellStyle name="Comma 12 3 3 3 3" xfId="33720" xr:uid="{00000000-0005-0000-0000-0000016E0000}"/>
    <cellStyle name="Comma 12 3 3 3 3 2" xfId="33721" xr:uid="{00000000-0005-0000-0000-0000026E0000}"/>
    <cellStyle name="Comma 12 3 3 3 3 3" xfId="33722" xr:uid="{00000000-0005-0000-0000-0000036E0000}"/>
    <cellStyle name="Comma 12 3 3 3 4" xfId="33723" xr:uid="{00000000-0005-0000-0000-0000046E0000}"/>
    <cellStyle name="Comma 12 3 3 3 4 2" xfId="33724" xr:uid="{00000000-0005-0000-0000-0000056E0000}"/>
    <cellStyle name="Comma 12 3 3 3 5" xfId="33725" xr:uid="{00000000-0005-0000-0000-0000066E0000}"/>
    <cellStyle name="Comma 12 3 3 3 6" xfId="33726" xr:uid="{00000000-0005-0000-0000-0000076E0000}"/>
    <cellStyle name="Comma 12 3 3 4" xfId="33727" xr:uid="{00000000-0005-0000-0000-0000086E0000}"/>
    <cellStyle name="Comma 12 3 3 4 2" xfId="33728" xr:uid="{00000000-0005-0000-0000-0000096E0000}"/>
    <cellStyle name="Comma 12 3 3 4 2 2" xfId="33729" xr:uid="{00000000-0005-0000-0000-00000A6E0000}"/>
    <cellStyle name="Comma 12 3 3 4 2 3" xfId="33730" xr:uid="{00000000-0005-0000-0000-00000B6E0000}"/>
    <cellStyle name="Comma 12 3 3 4 3" xfId="33731" xr:uid="{00000000-0005-0000-0000-00000C6E0000}"/>
    <cellStyle name="Comma 12 3 3 4 3 2" xfId="33732" xr:uid="{00000000-0005-0000-0000-00000D6E0000}"/>
    <cellStyle name="Comma 12 3 3 4 3 3" xfId="33733" xr:uid="{00000000-0005-0000-0000-00000E6E0000}"/>
    <cellStyle name="Comma 12 3 3 4 4" xfId="33734" xr:uid="{00000000-0005-0000-0000-00000F6E0000}"/>
    <cellStyle name="Comma 12 3 3 4 4 2" xfId="33735" xr:uid="{00000000-0005-0000-0000-0000106E0000}"/>
    <cellStyle name="Comma 12 3 3 4 5" xfId="33736" xr:uid="{00000000-0005-0000-0000-0000116E0000}"/>
    <cellStyle name="Comma 12 3 3 4 6" xfId="33737" xr:uid="{00000000-0005-0000-0000-0000126E0000}"/>
    <cellStyle name="Comma 12 3 3 5" xfId="33738" xr:uid="{00000000-0005-0000-0000-0000136E0000}"/>
    <cellStyle name="Comma 12 3 3 5 2" xfId="33739" xr:uid="{00000000-0005-0000-0000-0000146E0000}"/>
    <cellStyle name="Comma 12 3 3 5 2 2" xfId="33740" xr:uid="{00000000-0005-0000-0000-0000156E0000}"/>
    <cellStyle name="Comma 12 3 3 5 2 3" xfId="33741" xr:uid="{00000000-0005-0000-0000-0000166E0000}"/>
    <cellStyle name="Comma 12 3 3 5 3" xfId="33742" xr:uid="{00000000-0005-0000-0000-0000176E0000}"/>
    <cellStyle name="Comma 12 3 3 5 3 2" xfId="33743" xr:uid="{00000000-0005-0000-0000-0000186E0000}"/>
    <cellStyle name="Comma 12 3 3 5 4" xfId="33744" xr:uid="{00000000-0005-0000-0000-0000196E0000}"/>
    <cellStyle name="Comma 12 3 3 5 5" xfId="33745" xr:uid="{00000000-0005-0000-0000-00001A6E0000}"/>
    <cellStyle name="Comma 12 3 3 6" xfId="33746" xr:uid="{00000000-0005-0000-0000-00001B6E0000}"/>
    <cellStyle name="Comma 12 3 3 6 2" xfId="33747" xr:uid="{00000000-0005-0000-0000-00001C6E0000}"/>
    <cellStyle name="Comma 12 3 3 6 3" xfId="33748" xr:uid="{00000000-0005-0000-0000-00001D6E0000}"/>
    <cellStyle name="Comma 12 3 3 7" xfId="33749" xr:uid="{00000000-0005-0000-0000-00001E6E0000}"/>
    <cellStyle name="Comma 12 3 3 7 2" xfId="33750" xr:uid="{00000000-0005-0000-0000-00001F6E0000}"/>
    <cellStyle name="Comma 12 3 3 7 3" xfId="33751" xr:uid="{00000000-0005-0000-0000-0000206E0000}"/>
    <cellStyle name="Comma 12 3 3 8" xfId="33752" xr:uid="{00000000-0005-0000-0000-0000216E0000}"/>
    <cellStyle name="Comma 12 3 3 8 2" xfId="33753" xr:uid="{00000000-0005-0000-0000-0000226E0000}"/>
    <cellStyle name="Comma 12 3 3 9" xfId="33754" xr:uid="{00000000-0005-0000-0000-0000236E0000}"/>
    <cellStyle name="Comma 12 3 4" xfId="33755" xr:uid="{00000000-0005-0000-0000-0000246E0000}"/>
    <cellStyle name="Comma 12 3 4 2" xfId="33756" xr:uid="{00000000-0005-0000-0000-0000256E0000}"/>
    <cellStyle name="Comma 12 3 4 2 2" xfId="33757" xr:uid="{00000000-0005-0000-0000-0000266E0000}"/>
    <cellStyle name="Comma 12 3 4 2 2 2" xfId="33758" xr:uid="{00000000-0005-0000-0000-0000276E0000}"/>
    <cellStyle name="Comma 12 3 4 2 2 3" xfId="33759" xr:uid="{00000000-0005-0000-0000-0000286E0000}"/>
    <cellStyle name="Comma 12 3 4 2 3" xfId="33760" xr:uid="{00000000-0005-0000-0000-0000296E0000}"/>
    <cellStyle name="Comma 12 3 4 2 3 2" xfId="33761" xr:uid="{00000000-0005-0000-0000-00002A6E0000}"/>
    <cellStyle name="Comma 12 3 4 2 3 3" xfId="33762" xr:uid="{00000000-0005-0000-0000-00002B6E0000}"/>
    <cellStyle name="Comma 12 3 4 2 4" xfId="33763" xr:uid="{00000000-0005-0000-0000-00002C6E0000}"/>
    <cellStyle name="Comma 12 3 4 2 4 2" xfId="33764" xr:uid="{00000000-0005-0000-0000-00002D6E0000}"/>
    <cellStyle name="Comma 12 3 4 2 5" xfId="33765" xr:uid="{00000000-0005-0000-0000-00002E6E0000}"/>
    <cellStyle name="Comma 12 3 4 2 6" xfId="33766" xr:uid="{00000000-0005-0000-0000-00002F6E0000}"/>
    <cellStyle name="Comma 12 3 4 3" xfId="33767" xr:uid="{00000000-0005-0000-0000-0000306E0000}"/>
    <cellStyle name="Comma 12 3 4 3 2" xfId="33768" xr:uid="{00000000-0005-0000-0000-0000316E0000}"/>
    <cellStyle name="Comma 12 3 4 3 2 2" xfId="33769" xr:uid="{00000000-0005-0000-0000-0000326E0000}"/>
    <cellStyle name="Comma 12 3 4 3 2 3" xfId="33770" xr:uid="{00000000-0005-0000-0000-0000336E0000}"/>
    <cellStyle name="Comma 12 3 4 3 3" xfId="33771" xr:uid="{00000000-0005-0000-0000-0000346E0000}"/>
    <cellStyle name="Comma 12 3 4 3 3 2" xfId="33772" xr:uid="{00000000-0005-0000-0000-0000356E0000}"/>
    <cellStyle name="Comma 12 3 4 3 3 3" xfId="33773" xr:uid="{00000000-0005-0000-0000-0000366E0000}"/>
    <cellStyle name="Comma 12 3 4 3 4" xfId="33774" xr:uid="{00000000-0005-0000-0000-0000376E0000}"/>
    <cellStyle name="Comma 12 3 4 3 4 2" xfId="33775" xr:uid="{00000000-0005-0000-0000-0000386E0000}"/>
    <cellStyle name="Comma 12 3 4 3 5" xfId="33776" xr:uid="{00000000-0005-0000-0000-0000396E0000}"/>
    <cellStyle name="Comma 12 3 4 3 6" xfId="33777" xr:uid="{00000000-0005-0000-0000-00003A6E0000}"/>
    <cellStyle name="Comma 12 3 4 4" xfId="33778" xr:uid="{00000000-0005-0000-0000-00003B6E0000}"/>
    <cellStyle name="Comma 12 3 4 4 2" xfId="33779" xr:uid="{00000000-0005-0000-0000-00003C6E0000}"/>
    <cellStyle name="Comma 12 3 4 4 2 2" xfId="33780" xr:uid="{00000000-0005-0000-0000-00003D6E0000}"/>
    <cellStyle name="Comma 12 3 4 4 2 3" xfId="33781" xr:uid="{00000000-0005-0000-0000-00003E6E0000}"/>
    <cellStyle name="Comma 12 3 4 4 3" xfId="33782" xr:uid="{00000000-0005-0000-0000-00003F6E0000}"/>
    <cellStyle name="Comma 12 3 4 4 3 2" xfId="33783" xr:uid="{00000000-0005-0000-0000-0000406E0000}"/>
    <cellStyle name="Comma 12 3 4 4 4" xfId="33784" xr:uid="{00000000-0005-0000-0000-0000416E0000}"/>
    <cellStyle name="Comma 12 3 4 4 5" xfId="33785" xr:uid="{00000000-0005-0000-0000-0000426E0000}"/>
    <cellStyle name="Comma 12 3 4 5" xfId="33786" xr:uid="{00000000-0005-0000-0000-0000436E0000}"/>
    <cellStyle name="Comma 12 3 4 5 2" xfId="33787" xr:uid="{00000000-0005-0000-0000-0000446E0000}"/>
    <cellStyle name="Comma 12 3 4 5 3" xfId="33788" xr:uid="{00000000-0005-0000-0000-0000456E0000}"/>
    <cellStyle name="Comma 12 3 4 6" xfId="33789" xr:uid="{00000000-0005-0000-0000-0000466E0000}"/>
    <cellStyle name="Comma 12 3 4 6 2" xfId="33790" xr:uid="{00000000-0005-0000-0000-0000476E0000}"/>
    <cellStyle name="Comma 12 3 4 6 3" xfId="33791" xr:uid="{00000000-0005-0000-0000-0000486E0000}"/>
    <cellStyle name="Comma 12 3 4 7" xfId="33792" xr:uid="{00000000-0005-0000-0000-0000496E0000}"/>
    <cellStyle name="Comma 12 3 4 7 2" xfId="33793" xr:uid="{00000000-0005-0000-0000-00004A6E0000}"/>
    <cellStyle name="Comma 12 3 4 8" xfId="33794" xr:uid="{00000000-0005-0000-0000-00004B6E0000}"/>
    <cellStyle name="Comma 12 3 4 9" xfId="33795" xr:uid="{00000000-0005-0000-0000-00004C6E0000}"/>
    <cellStyle name="Comma 12 3 5" xfId="33796" xr:uid="{00000000-0005-0000-0000-00004D6E0000}"/>
    <cellStyle name="Comma 12 3 5 2" xfId="33797" xr:uid="{00000000-0005-0000-0000-00004E6E0000}"/>
    <cellStyle name="Comma 12 3 5 2 2" xfId="33798" xr:uid="{00000000-0005-0000-0000-00004F6E0000}"/>
    <cellStyle name="Comma 12 3 5 2 2 2" xfId="33799" xr:uid="{00000000-0005-0000-0000-0000506E0000}"/>
    <cellStyle name="Comma 12 3 5 2 2 3" xfId="33800" xr:uid="{00000000-0005-0000-0000-0000516E0000}"/>
    <cellStyle name="Comma 12 3 5 2 3" xfId="33801" xr:uid="{00000000-0005-0000-0000-0000526E0000}"/>
    <cellStyle name="Comma 12 3 5 2 3 2" xfId="33802" xr:uid="{00000000-0005-0000-0000-0000536E0000}"/>
    <cellStyle name="Comma 12 3 5 2 3 3" xfId="33803" xr:uid="{00000000-0005-0000-0000-0000546E0000}"/>
    <cellStyle name="Comma 12 3 5 2 4" xfId="33804" xr:uid="{00000000-0005-0000-0000-0000556E0000}"/>
    <cellStyle name="Comma 12 3 5 2 4 2" xfId="33805" xr:uid="{00000000-0005-0000-0000-0000566E0000}"/>
    <cellStyle name="Comma 12 3 5 2 5" xfId="33806" xr:uid="{00000000-0005-0000-0000-0000576E0000}"/>
    <cellStyle name="Comma 12 3 5 2 6" xfId="33807" xr:uid="{00000000-0005-0000-0000-0000586E0000}"/>
    <cellStyle name="Comma 12 3 5 3" xfId="33808" xr:uid="{00000000-0005-0000-0000-0000596E0000}"/>
    <cellStyle name="Comma 12 3 5 3 2" xfId="33809" xr:uid="{00000000-0005-0000-0000-00005A6E0000}"/>
    <cellStyle name="Comma 12 3 5 3 2 2" xfId="33810" xr:uid="{00000000-0005-0000-0000-00005B6E0000}"/>
    <cellStyle name="Comma 12 3 5 3 2 3" xfId="33811" xr:uid="{00000000-0005-0000-0000-00005C6E0000}"/>
    <cellStyle name="Comma 12 3 5 3 3" xfId="33812" xr:uid="{00000000-0005-0000-0000-00005D6E0000}"/>
    <cellStyle name="Comma 12 3 5 3 3 2" xfId="33813" xr:uid="{00000000-0005-0000-0000-00005E6E0000}"/>
    <cellStyle name="Comma 12 3 5 3 3 3" xfId="33814" xr:uid="{00000000-0005-0000-0000-00005F6E0000}"/>
    <cellStyle name="Comma 12 3 5 3 4" xfId="33815" xr:uid="{00000000-0005-0000-0000-0000606E0000}"/>
    <cellStyle name="Comma 12 3 5 3 4 2" xfId="33816" xr:uid="{00000000-0005-0000-0000-0000616E0000}"/>
    <cellStyle name="Comma 12 3 5 3 5" xfId="33817" xr:uid="{00000000-0005-0000-0000-0000626E0000}"/>
    <cellStyle name="Comma 12 3 5 3 6" xfId="33818" xr:uid="{00000000-0005-0000-0000-0000636E0000}"/>
    <cellStyle name="Comma 12 3 5 4" xfId="33819" xr:uid="{00000000-0005-0000-0000-0000646E0000}"/>
    <cellStyle name="Comma 12 3 5 4 2" xfId="33820" xr:uid="{00000000-0005-0000-0000-0000656E0000}"/>
    <cellStyle name="Comma 12 3 5 4 2 2" xfId="33821" xr:uid="{00000000-0005-0000-0000-0000666E0000}"/>
    <cellStyle name="Comma 12 3 5 4 2 3" xfId="33822" xr:uid="{00000000-0005-0000-0000-0000676E0000}"/>
    <cellStyle name="Comma 12 3 5 4 3" xfId="33823" xr:uid="{00000000-0005-0000-0000-0000686E0000}"/>
    <cellStyle name="Comma 12 3 5 4 3 2" xfId="33824" xr:uid="{00000000-0005-0000-0000-0000696E0000}"/>
    <cellStyle name="Comma 12 3 5 4 4" xfId="33825" xr:uid="{00000000-0005-0000-0000-00006A6E0000}"/>
    <cellStyle name="Comma 12 3 5 4 5" xfId="33826" xr:uid="{00000000-0005-0000-0000-00006B6E0000}"/>
    <cellStyle name="Comma 12 3 5 5" xfId="33827" xr:uid="{00000000-0005-0000-0000-00006C6E0000}"/>
    <cellStyle name="Comma 12 3 5 5 2" xfId="33828" xr:uid="{00000000-0005-0000-0000-00006D6E0000}"/>
    <cellStyle name="Comma 12 3 5 5 3" xfId="33829" xr:uid="{00000000-0005-0000-0000-00006E6E0000}"/>
    <cellStyle name="Comma 12 3 5 6" xfId="33830" xr:uid="{00000000-0005-0000-0000-00006F6E0000}"/>
    <cellStyle name="Comma 12 3 5 6 2" xfId="33831" xr:uid="{00000000-0005-0000-0000-0000706E0000}"/>
    <cellStyle name="Comma 12 3 5 6 3" xfId="33832" xr:uid="{00000000-0005-0000-0000-0000716E0000}"/>
    <cellStyle name="Comma 12 3 5 7" xfId="33833" xr:uid="{00000000-0005-0000-0000-0000726E0000}"/>
    <cellStyle name="Comma 12 3 5 7 2" xfId="33834" xr:uid="{00000000-0005-0000-0000-0000736E0000}"/>
    <cellStyle name="Comma 12 3 5 8" xfId="33835" xr:uid="{00000000-0005-0000-0000-0000746E0000}"/>
    <cellStyle name="Comma 12 3 5 9" xfId="33836" xr:uid="{00000000-0005-0000-0000-0000756E0000}"/>
    <cellStyle name="Comma 12 3 6" xfId="33837" xr:uid="{00000000-0005-0000-0000-0000766E0000}"/>
    <cellStyle name="Comma 12 3 6 2" xfId="33838" xr:uid="{00000000-0005-0000-0000-0000776E0000}"/>
    <cellStyle name="Comma 12 3 6 2 2" xfId="33839" xr:uid="{00000000-0005-0000-0000-0000786E0000}"/>
    <cellStyle name="Comma 12 3 6 2 3" xfId="33840" xr:uid="{00000000-0005-0000-0000-0000796E0000}"/>
    <cellStyle name="Comma 12 3 6 3" xfId="33841" xr:uid="{00000000-0005-0000-0000-00007A6E0000}"/>
    <cellStyle name="Comma 12 3 6 3 2" xfId="33842" xr:uid="{00000000-0005-0000-0000-00007B6E0000}"/>
    <cellStyle name="Comma 12 3 6 3 3" xfId="33843" xr:uid="{00000000-0005-0000-0000-00007C6E0000}"/>
    <cellStyle name="Comma 12 3 6 4" xfId="33844" xr:uid="{00000000-0005-0000-0000-00007D6E0000}"/>
    <cellStyle name="Comma 12 3 6 4 2" xfId="33845" xr:uid="{00000000-0005-0000-0000-00007E6E0000}"/>
    <cellStyle name="Comma 12 3 6 5" xfId="33846" xr:uid="{00000000-0005-0000-0000-00007F6E0000}"/>
    <cellStyle name="Comma 12 3 6 6" xfId="33847" xr:uid="{00000000-0005-0000-0000-0000806E0000}"/>
    <cellStyle name="Comma 12 3 7" xfId="33848" xr:uid="{00000000-0005-0000-0000-0000816E0000}"/>
    <cellStyle name="Comma 12 3 7 2" xfId="33849" xr:uid="{00000000-0005-0000-0000-0000826E0000}"/>
    <cellStyle name="Comma 12 3 7 2 2" xfId="33850" xr:uid="{00000000-0005-0000-0000-0000836E0000}"/>
    <cellStyle name="Comma 12 3 7 2 3" xfId="33851" xr:uid="{00000000-0005-0000-0000-0000846E0000}"/>
    <cellStyle name="Comma 12 3 7 3" xfId="33852" xr:uid="{00000000-0005-0000-0000-0000856E0000}"/>
    <cellStyle name="Comma 12 3 7 3 2" xfId="33853" xr:uid="{00000000-0005-0000-0000-0000866E0000}"/>
    <cellStyle name="Comma 12 3 7 3 3" xfId="33854" xr:uid="{00000000-0005-0000-0000-0000876E0000}"/>
    <cellStyle name="Comma 12 3 7 4" xfId="33855" xr:uid="{00000000-0005-0000-0000-0000886E0000}"/>
    <cellStyle name="Comma 12 3 7 4 2" xfId="33856" xr:uid="{00000000-0005-0000-0000-0000896E0000}"/>
    <cellStyle name="Comma 12 3 7 5" xfId="33857" xr:uid="{00000000-0005-0000-0000-00008A6E0000}"/>
    <cellStyle name="Comma 12 3 7 6" xfId="33858" xr:uid="{00000000-0005-0000-0000-00008B6E0000}"/>
    <cellStyle name="Comma 12 3 8" xfId="33859" xr:uid="{00000000-0005-0000-0000-00008C6E0000}"/>
    <cellStyle name="Comma 12 3 8 2" xfId="33860" xr:uid="{00000000-0005-0000-0000-00008D6E0000}"/>
    <cellStyle name="Comma 12 3 8 2 2" xfId="33861" xr:uid="{00000000-0005-0000-0000-00008E6E0000}"/>
    <cellStyle name="Comma 12 3 8 2 3" xfId="33862" xr:uid="{00000000-0005-0000-0000-00008F6E0000}"/>
    <cellStyle name="Comma 12 3 8 3" xfId="33863" xr:uid="{00000000-0005-0000-0000-0000906E0000}"/>
    <cellStyle name="Comma 12 3 8 3 2" xfId="33864" xr:uid="{00000000-0005-0000-0000-0000916E0000}"/>
    <cellStyle name="Comma 12 3 8 4" xfId="33865" xr:uid="{00000000-0005-0000-0000-0000926E0000}"/>
    <cellStyle name="Comma 12 3 8 5" xfId="33866" xr:uid="{00000000-0005-0000-0000-0000936E0000}"/>
    <cellStyle name="Comma 12 3 9" xfId="33867" xr:uid="{00000000-0005-0000-0000-0000946E0000}"/>
    <cellStyle name="Comma 12 3 9 2" xfId="33868" xr:uid="{00000000-0005-0000-0000-0000956E0000}"/>
    <cellStyle name="Comma 12 3 9 3" xfId="33869" xr:uid="{00000000-0005-0000-0000-0000966E0000}"/>
    <cellStyle name="Comma 12 4" xfId="33870" xr:uid="{00000000-0005-0000-0000-0000976E0000}"/>
    <cellStyle name="Comma 12 4 10" xfId="33871" xr:uid="{00000000-0005-0000-0000-0000986E0000}"/>
    <cellStyle name="Comma 12 4 10 2" xfId="33872" xr:uid="{00000000-0005-0000-0000-0000996E0000}"/>
    <cellStyle name="Comma 12 4 11" xfId="33873" xr:uid="{00000000-0005-0000-0000-00009A6E0000}"/>
    <cellStyle name="Comma 12 4 12" xfId="33874" xr:uid="{00000000-0005-0000-0000-00009B6E0000}"/>
    <cellStyle name="Comma 12 4 2" xfId="33875" xr:uid="{00000000-0005-0000-0000-00009C6E0000}"/>
    <cellStyle name="Comma 12 4 2 10" xfId="33876" xr:uid="{00000000-0005-0000-0000-00009D6E0000}"/>
    <cellStyle name="Comma 12 4 2 2" xfId="33877" xr:uid="{00000000-0005-0000-0000-00009E6E0000}"/>
    <cellStyle name="Comma 12 4 2 2 2" xfId="33878" xr:uid="{00000000-0005-0000-0000-00009F6E0000}"/>
    <cellStyle name="Comma 12 4 2 2 2 2" xfId="33879" xr:uid="{00000000-0005-0000-0000-0000A06E0000}"/>
    <cellStyle name="Comma 12 4 2 2 2 2 2" xfId="33880" xr:uid="{00000000-0005-0000-0000-0000A16E0000}"/>
    <cellStyle name="Comma 12 4 2 2 2 2 3" xfId="33881" xr:uid="{00000000-0005-0000-0000-0000A26E0000}"/>
    <cellStyle name="Comma 12 4 2 2 2 3" xfId="33882" xr:uid="{00000000-0005-0000-0000-0000A36E0000}"/>
    <cellStyle name="Comma 12 4 2 2 2 3 2" xfId="33883" xr:uid="{00000000-0005-0000-0000-0000A46E0000}"/>
    <cellStyle name="Comma 12 4 2 2 2 3 3" xfId="33884" xr:uid="{00000000-0005-0000-0000-0000A56E0000}"/>
    <cellStyle name="Comma 12 4 2 2 2 4" xfId="33885" xr:uid="{00000000-0005-0000-0000-0000A66E0000}"/>
    <cellStyle name="Comma 12 4 2 2 2 4 2" xfId="33886" xr:uid="{00000000-0005-0000-0000-0000A76E0000}"/>
    <cellStyle name="Comma 12 4 2 2 2 5" xfId="33887" xr:uid="{00000000-0005-0000-0000-0000A86E0000}"/>
    <cellStyle name="Comma 12 4 2 2 2 6" xfId="33888" xr:uid="{00000000-0005-0000-0000-0000A96E0000}"/>
    <cellStyle name="Comma 12 4 2 2 3" xfId="33889" xr:uid="{00000000-0005-0000-0000-0000AA6E0000}"/>
    <cellStyle name="Comma 12 4 2 2 3 2" xfId="33890" xr:uid="{00000000-0005-0000-0000-0000AB6E0000}"/>
    <cellStyle name="Comma 12 4 2 2 3 2 2" xfId="33891" xr:uid="{00000000-0005-0000-0000-0000AC6E0000}"/>
    <cellStyle name="Comma 12 4 2 2 3 2 3" xfId="33892" xr:uid="{00000000-0005-0000-0000-0000AD6E0000}"/>
    <cellStyle name="Comma 12 4 2 2 3 3" xfId="33893" xr:uid="{00000000-0005-0000-0000-0000AE6E0000}"/>
    <cellStyle name="Comma 12 4 2 2 3 3 2" xfId="33894" xr:uid="{00000000-0005-0000-0000-0000AF6E0000}"/>
    <cellStyle name="Comma 12 4 2 2 3 3 3" xfId="33895" xr:uid="{00000000-0005-0000-0000-0000B06E0000}"/>
    <cellStyle name="Comma 12 4 2 2 3 4" xfId="33896" xr:uid="{00000000-0005-0000-0000-0000B16E0000}"/>
    <cellStyle name="Comma 12 4 2 2 3 4 2" xfId="33897" xr:uid="{00000000-0005-0000-0000-0000B26E0000}"/>
    <cellStyle name="Comma 12 4 2 2 3 5" xfId="33898" xr:uid="{00000000-0005-0000-0000-0000B36E0000}"/>
    <cellStyle name="Comma 12 4 2 2 3 6" xfId="33899" xr:uid="{00000000-0005-0000-0000-0000B46E0000}"/>
    <cellStyle name="Comma 12 4 2 2 4" xfId="33900" xr:uid="{00000000-0005-0000-0000-0000B56E0000}"/>
    <cellStyle name="Comma 12 4 2 2 4 2" xfId="33901" xr:uid="{00000000-0005-0000-0000-0000B66E0000}"/>
    <cellStyle name="Comma 12 4 2 2 4 2 2" xfId="33902" xr:uid="{00000000-0005-0000-0000-0000B76E0000}"/>
    <cellStyle name="Comma 12 4 2 2 4 2 3" xfId="33903" xr:uid="{00000000-0005-0000-0000-0000B86E0000}"/>
    <cellStyle name="Comma 12 4 2 2 4 3" xfId="33904" xr:uid="{00000000-0005-0000-0000-0000B96E0000}"/>
    <cellStyle name="Comma 12 4 2 2 4 3 2" xfId="33905" xr:uid="{00000000-0005-0000-0000-0000BA6E0000}"/>
    <cellStyle name="Comma 12 4 2 2 4 4" xfId="33906" xr:uid="{00000000-0005-0000-0000-0000BB6E0000}"/>
    <cellStyle name="Comma 12 4 2 2 4 5" xfId="33907" xr:uid="{00000000-0005-0000-0000-0000BC6E0000}"/>
    <cellStyle name="Comma 12 4 2 2 5" xfId="33908" xr:uid="{00000000-0005-0000-0000-0000BD6E0000}"/>
    <cellStyle name="Comma 12 4 2 2 5 2" xfId="33909" xr:uid="{00000000-0005-0000-0000-0000BE6E0000}"/>
    <cellStyle name="Comma 12 4 2 2 5 3" xfId="33910" xr:uid="{00000000-0005-0000-0000-0000BF6E0000}"/>
    <cellStyle name="Comma 12 4 2 2 6" xfId="33911" xr:uid="{00000000-0005-0000-0000-0000C06E0000}"/>
    <cellStyle name="Comma 12 4 2 2 6 2" xfId="33912" xr:uid="{00000000-0005-0000-0000-0000C16E0000}"/>
    <cellStyle name="Comma 12 4 2 2 6 3" xfId="33913" xr:uid="{00000000-0005-0000-0000-0000C26E0000}"/>
    <cellStyle name="Comma 12 4 2 2 7" xfId="33914" xr:uid="{00000000-0005-0000-0000-0000C36E0000}"/>
    <cellStyle name="Comma 12 4 2 2 7 2" xfId="33915" xr:uid="{00000000-0005-0000-0000-0000C46E0000}"/>
    <cellStyle name="Comma 12 4 2 2 8" xfId="33916" xr:uid="{00000000-0005-0000-0000-0000C56E0000}"/>
    <cellStyle name="Comma 12 4 2 2 9" xfId="33917" xr:uid="{00000000-0005-0000-0000-0000C66E0000}"/>
    <cellStyle name="Comma 12 4 2 3" xfId="33918" xr:uid="{00000000-0005-0000-0000-0000C76E0000}"/>
    <cellStyle name="Comma 12 4 2 3 2" xfId="33919" xr:uid="{00000000-0005-0000-0000-0000C86E0000}"/>
    <cellStyle name="Comma 12 4 2 3 2 2" xfId="33920" xr:uid="{00000000-0005-0000-0000-0000C96E0000}"/>
    <cellStyle name="Comma 12 4 2 3 2 3" xfId="33921" xr:uid="{00000000-0005-0000-0000-0000CA6E0000}"/>
    <cellStyle name="Comma 12 4 2 3 3" xfId="33922" xr:uid="{00000000-0005-0000-0000-0000CB6E0000}"/>
    <cellStyle name="Comma 12 4 2 3 3 2" xfId="33923" xr:uid="{00000000-0005-0000-0000-0000CC6E0000}"/>
    <cellStyle name="Comma 12 4 2 3 3 3" xfId="33924" xr:uid="{00000000-0005-0000-0000-0000CD6E0000}"/>
    <cellStyle name="Comma 12 4 2 3 4" xfId="33925" xr:uid="{00000000-0005-0000-0000-0000CE6E0000}"/>
    <cellStyle name="Comma 12 4 2 3 4 2" xfId="33926" xr:uid="{00000000-0005-0000-0000-0000CF6E0000}"/>
    <cellStyle name="Comma 12 4 2 3 5" xfId="33927" xr:uid="{00000000-0005-0000-0000-0000D06E0000}"/>
    <cellStyle name="Comma 12 4 2 3 6" xfId="33928" xr:uid="{00000000-0005-0000-0000-0000D16E0000}"/>
    <cellStyle name="Comma 12 4 2 4" xfId="33929" xr:uid="{00000000-0005-0000-0000-0000D26E0000}"/>
    <cellStyle name="Comma 12 4 2 4 2" xfId="33930" xr:uid="{00000000-0005-0000-0000-0000D36E0000}"/>
    <cellStyle name="Comma 12 4 2 4 2 2" xfId="33931" xr:uid="{00000000-0005-0000-0000-0000D46E0000}"/>
    <cellStyle name="Comma 12 4 2 4 2 3" xfId="33932" xr:uid="{00000000-0005-0000-0000-0000D56E0000}"/>
    <cellStyle name="Comma 12 4 2 4 3" xfId="33933" xr:uid="{00000000-0005-0000-0000-0000D66E0000}"/>
    <cellStyle name="Comma 12 4 2 4 3 2" xfId="33934" xr:uid="{00000000-0005-0000-0000-0000D76E0000}"/>
    <cellStyle name="Comma 12 4 2 4 3 3" xfId="33935" xr:uid="{00000000-0005-0000-0000-0000D86E0000}"/>
    <cellStyle name="Comma 12 4 2 4 4" xfId="33936" xr:uid="{00000000-0005-0000-0000-0000D96E0000}"/>
    <cellStyle name="Comma 12 4 2 4 4 2" xfId="33937" xr:uid="{00000000-0005-0000-0000-0000DA6E0000}"/>
    <cellStyle name="Comma 12 4 2 4 5" xfId="33938" xr:uid="{00000000-0005-0000-0000-0000DB6E0000}"/>
    <cellStyle name="Comma 12 4 2 4 6" xfId="33939" xr:uid="{00000000-0005-0000-0000-0000DC6E0000}"/>
    <cellStyle name="Comma 12 4 2 5" xfId="33940" xr:uid="{00000000-0005-0000-0000-0000DD6E0000}"/>
    <cellStyle name="Comma 12 4 2 5 2" xfId="33941" xr:uid="{00000000-0005-0000-0000-0000DE6E0000}"/>
    <cellStyle name="Comma 12 4 2 5 2 2" xfId="33942" xr:uid="{00000000-0005-0000-0000-0000DF6E0000}"/>
    <cellStyle name="Comma 12 4 2 5 2 3" xfId="33943" xr:uid="{00000000-0005-0000-0000-0000E06E0000}"/>
    <cellStyle name="Comma 12 4 2 5 3" xfId="33944" xr:uid="{00000000-0005-0000-0000-0000E16E0000}"/>
    <cellStyle name="Comma 12 4 2 5 3 2" xfId="33945" xr:uid="{00000000-0005-0000-0000-0000E26E0000}"/>
    <cellStyle name="Comma 12 4 2 5 4" xfId="33946" xr:uid="{00000000-0005-0000-0000-0000E36E0000}"/>
    <cellStyle name="Comma 12 4 2 5 5" xfId="33947" xr:uid="{00000000-0005-0000-0000-0000E46E0000}"/>
    <cellStyle name="Comma 12 4 2 6" xfId="33948" xr:uid="{00000000-0005-0000-0000-0000E56E0000}"/>
    <cellStyle name="Comma 12 4 2 6 2" xfId="33949" xr:uid="{00000000-0005-0000-0000-0000E66E0000}"/>
    <cellStyle name="Comma 12 4 2 6 3" xfId="33950" xr:uid="{00000000-0005-0000-0000-0000E76E0000}"/>
    <cellStyle name="Comma 12 4 2 7" xfId="33951" xr:uid="{00000000-0005-0000-0000-0000E86E0000}"/>
    <cellStyle name="Comma 12 4 2 7 2" xfId="33952" xr:uid="{00000000-0005-0000-0000-0000E96E0000}"/>
    <cellStyle name="Comma 12 4 2 7 3" xfId="33953" xr:uid="{00000000-0005-0000-0000-0000EA6E0000}"/>
    <cellStyle name="Comma 12 4 2 8" xfId="33954" xr:uid="{00000000-0005-0000-0000-0000EB6E0000}"/>
    <cellStyle name="Comma 12 4 2 8 2" xfId="33955" xr:uid="{00000000-0005-0000-0000-0000EC6E0000}"/>
    <cellStyle name="Comma 12 4 2 9" xfId="33956" xr:uid="{00000000-0005-0000-0000-0000ED6E0000}"/>
    <cellStyle name="Comma 12 4 3" xfId="33957" xr:uid="{00000000-0005-0000-0000-0000EE6E0000}"/>
    <cellStyle name="Comma 12 4 3 2" xfId="33958" xr:uid="{00000000-0005-0000-0000-0000EF6E0000}"/>
    <cellStyle name="Comma 12 4 3 2 2" xfId="33959" xr:uid="{00000000-0005-0000-0000-0000F06E0000}"/>
    <cellStyle name="Comma 12 4 3 2 2 2" xfId="33960" xr:uid="{00000000-0005-0000-0000-0000F16E0000}"/>
    <cellStyle name="Comma 12 4 3 2 2 3" xfId="33961" xr:uid="{00000000-0005-0000-0000-0000F26E0000}"/>
    <cellStyle name="Comma 12 4 3 2 3" xfId="33962" xr:uid="{00000000-0005-0000-0000-0000F36E0000}"/>
    <cellStyle name="Comma 12 4 3 2 3 2" xfId="33963" xr:uid="{00000000-0005-0000-0000-0000F46E0000}"/>
    <cellStyle name="Comma 12 4 3 2 3 3" xfId="33964" xr:uid="{00000000-0005-0000-0000-0000F56E0000}"/>
    <cellStyle name="Comma 12 4 3 2 4" xfId="33965" xr:uid="{00000000-0005-0000-0000-0000F66E0000}"/>
    <cellStyle name="Comma 12 4 3 2 4 2" xfId="33966" xr:uid="{00000000-0005-0000-0000-0000F76E0000}"/>
    <cellStyle name="Comma 12 4 3 2 5" xfId="33967" xr:uid="{00000000-0005-0000-0000-0000F86E0000}"/>
    <cellStyle name="Comma 12 4 3 2 6" xfId="33968" xr:uid="{00000000-0005-0000-0000-0000F96E0000}"/>
    <cellStyle name="Comma 12 4 3 3" xfId="33969" xr:uid="{00000000-0005-0000-0000-0000FA6E0000}"/>
    <cellStyle name="Comma 12 4 3 3 2" xfId="33970" xr:uid="{00000000-0005-0000-0000-0000FB6E0000}"/>
    <cellStyle name="Comma 12 4 3 3 2 2" xfId="33971" xr:uid="{00000000-0005-0000-0000-0000FC6E0000}"/>
    <cellStyle name="Comma 12 4 3 3 2 3" xfId="33972" xr:uid="{00000000-0005-0000-0000-0000FD6E0000}"/>
    <cellStyle name="Comma 12 4 3 3 3" xfId="33973" xr:uid="{00000000-0005-0000-0000-0000FE6E0000}"/>
    <cellStyle name="Comma 12 4 3 3 3 2" xfId="33974" xr:uid="{00000000-0005-0000-0000-0000FF6E0000}"/>
    <cellStyle name="Comma 12 4 3 3 3 3" xfId="33975" xr:uid="{00000000-0005-0000-0000-0000006F0000}"/>
    <cellStyle name="Comma 12 4 3 3 4" xfId="33976" xr:uid="{00000000-0005-0000-0000-0000016F0000}"/>
    <cellStyle name="Comma 12 4 3 3 4 2" xfId="33977" xr:uid="{00000000-0005-0000-0000-0000026F0000}"/>
    <cellStyle name="Comma 12 4 3 3 5" xfId="33978" xr:uid="{00000000-0005-0000-0000-0000036F0000}"/>
    <cellStyle name="Comma 12 4 3 3 6" xfId="33979" xr:uid="{00000000-0005-0000-0000-0000046F0000}"/>
    <cellStyle name="Comma 12 4 3 4" xfId="33980" xr:uid="{00000000-0005-0000-0000-0000056F0000}"/>
    <cellStyle name="Comma 12 4 3 4 2" xfId="33981" xr:uid="{00000000-0005-0000-0000-0000066F0000}"/>
    <cellStyle name="Comma 12 4 3 4 2 2" xfId="33982" xr:uid="{00000000-0005-0000-0000-0000076F0000}"/>
    <cellStyle name="Comma 12 4 3 4 2 3" xfId="33983" xr:uid="{00000000-0005-0000-0000-0000086F0000}"/>
    <cellStyle name="Comma 12 4 3 4 3" xfId="33984" xr:uid="{00000000-0005-0000-0000-0000096F0000}"/>
    <cellStyle name="Comma 12 4 3 4 3 2" xfId="33985" xr:uid="{00000000-0005-0000-0000-00000A6F0000}"/>
    <cellStyle name="Comma 12 4 3 4 4" xfId="33986" xr:uid="{00000000-0005-0000-0000-00000B6F0000}"/>
    <cellStyle name="Comma 12 4 3 4 5" xfId="33987" xr:uid="{00000000-0005-0000-0000-00000C6F0000}"/>
    <cellStyle name="Comma 12 4 3 5" xfId="33988" xr:uid="{00000000-0005-0000-0000-00000D6F0000}"/>
    <cellStyle name="Comma 12 4 3 5 2" xfId="33989" xr:uid="{00000000-0005-0000-0000-00000E6F0000}"/>
    <cellStyle name="Comma 12 4 3 5 3" xfId="33990" xr:uid="{00000000-0005-0000-0000-00000F6F0000}"/>
    <cellStyle name="Comma 12 4 3 6" xfId="33991" xr:uid="{00000000-0005-0000-0000-0000106F0000}"/>
    <cellStyle name="Comma 12 4 3 6 2" xfId="33992" xr:uid="{00000000-0005-0000-0000-0000116F0000}"/>
    <cellStyle name="Comma 12 4 3 6 3" xfId="33993" xr:uid="{00000000-0005-0000-0000-0000126F0000}"/>
    <cellStyle name="Comma 12 4 3 7" xfId="33994" xr:uid="{00000000-0005-0000-0000-0000136F0000}"/>
    <cellStyle name="Comma 12 4 3 7 2" xfId="33995" xr:uid="{00000000-0005-0000-0000-0000146F0000}"/>
    <cellStyle name="Comma 12 4 3 8" xfId="33996" xr:uid="{00000000-0005-0000-0000-0000156F0000}"/>
    <cellStyle name="Comma 12 4 3 9" xfId="33997" xr:uid="{00000000-0005-0000-0000-0000166F0000}"/>
    <cellStyle name="Comma 12 4 4" xfId="33998" xr:uid="{00000000-0005-0000-0000-0000176F0000}"/>
    <cellStyle name="Comma 12 4 4 2" xfId="33999" xr:uid="{00000000-0005-0000-0000-0000186F0000}"/>
    <cellStyle name="Comma 12 4 4 2 2" xfId="34000" xr:uid="{00000000-0005-0000-0000-0000196F0000}"/>
    <cellStyle name="Comma 12 4 4 2 2 2" xfId="34001" xr:uid="{00000000-0005-0000-0000-00001A6F0000}"/>
    <cellStyle name="Comma 12 4 4 2 2 3" xfId="34002" xr:uid="{00000000-0005-0000-0000-00001B6F0000}"/>
    <cellStyle name="Comma 12 4 4 2 3" xfId="34003" xr:uid="{00000000-0005-0000-0000-00001C6F0000}"/>
    <cellStyle name="Comma 12 4 4 2 3 2" xfId="34004" xr:uid="{00000000-0005-0000-0000-00001D6F0000}"/>
    <cellStyle name="Comma 12 4 4 2 3 3" xfId="34005" xr:uid="{00000000-0005-0000-0000-00001E6F0000}"/>
    <cellStyle name="Comma 12 4 4 2 4" xfId="34006" xr:uid="{00000000-0005-0000-0000-00001F6F0000}"/>
    <cellStyle name="Comma 12 4 4 2 4 2" xfId="34007" xr:uid="{00000000-0005-0000-0000-0000206F0000}"/>
    <cellStyle name="Comma 12 4 4 2 5" xfId="34008" xr:uid="{00000000-0005-0000-0000-0000216F0000}"/>
    <cellStyle name="Comma 12 4 4 2 6" xfId="34009" xr:uid="{00000000-0005-0000-0000-0000226F0000}"/>
    <cellStyle name="Comma 12 4 4 3" xfId="34010" xr:uid="{00000000-0005-0000-0000-0000236F0000}"/>
    <cellStyle name="Comma 12 4 4 3 2" xfId="34011" xr:uid="{00000000-0005-0000-0000-0000246F0000}"/>
    <cellStyle name="Comma 12 4 4 3 2 2" xfId="34012" xr:uid="{00000000-0005-0000-0000-0000256F0000}"/>
    <cellStyle name="Comma 12 4 4 3 2 3" xfId="34013" xr:uid="{00000000-0005-0000-0000-0000266F0000}"/>
    <cellStyle name="Comma 12 4 4 3 3" xfId="34014" xr:uid="{00000000-0005-0000-0000-0000276F0000}"/>
    <cellStyle name="Comma 12 4 4 3 3 2" xfId="34015" xr:uid="{00000000-0005-0000-0000-0000286F0000}"/>
    <cellStyle name="Comma 12 4 4 3 3 3" xfId="34016" xr:uid="{00000000-0005-0000-0000-0000296F0000}"/>
    <cellStyle name="Comma 12 4 4 3 4" xfId="34017" xr:uid="{00000000-0005-0000-0000-00002A6F0000}"/>
    <cellStyle name="Comma 12 4 4 3 4 2" xfId="34018" xr:uid="{00000000-0005-0000-0000-00002B6F0000}"/>
    <cellStyle name="Comma 12 4 4 3 5" xfId="34019" xr:uid="{00000000-0005-0000-0000-00002C6F0000}"/>
    <cellStyle name="Comma 12 4 4 3 6" xfId="34020" xr:uid="{00000000-0005-0000-0000-00002D6F0000}"/>
    <cellStyle name="Comma 12 4 4 4" xfId="34021" xr:uid="{00000000-0005-0000-0000-00002E6F0000}"/>
    <cellStyle name="Comma 12 4 4 4 2" xfId="34022" xr:uid="{00000000-0005-0000-0000-00002F6F0000}"/>
    <cellStyle name="Comma 12 4 4 4 2 2" xfId="34023" xr:uid="{00000000-0005-0000-0000-0000306F0000}"/>
    <cellStyle name="Comma 12 4 4 4 2 3" xfId="34024" xr:uid="{00000000-0005-0000-0000-0000316F0000}"/>
    <cellStyle name="Comma 12 4 4 4 3" xfId="34025" xr:uid="{00000000-0005-0000-0000-0000326F0000}"/>
    <cellStyle name="Comma 12 4 4 4 3 2" xfId="34026" xr:uid="{00000000-0005-0000-0000-0000336F0000}"/>
    <cellStyle name="Comma 12 4 4 4 4" xfId="34027" xr:uid="{00000000-0005-0000-0000-0000346F0000}"/>
    <cellStyle name="Comma 12 4 4 4 5" xfId="34028" xr:uid="{00000000-0005-0000-0000-0000356F0000}"/>
    <cellStyle name="Comma 12 4 4 5" xfId="34029" xr:uid="{00000000-0005-0000-0000-0000366F0000}"/>
    <cellStyle name="Comma 12 4 4 5 2" xfId="34030" xr:uid="{00000000-0005-0000-0000-0000376F0000}"/>
    <cellStyle name="Comma 12 4 4 5 3" xfId="34031" xr:uid="{00000000-0005-0000-0000-0000386F0000}"/>
    <cellStyle name="Comma 12 4 4 6" xfId="34032" xr:uid="{00000000-0005-0000-0000-0000396F0000}"/>
    <cellStyle name="Comma 12 4 4 6 2" xfId="34033" xr:uid="{00000000-0005-0000-0000-00003A6F0000}"/>
    <cellStyle name="Comma 12 4 4 6 3" xfId="34034" xr:uid="{00000000-0005-0000-0000-00003B6F0000}"/>
    <cellStyle name="Comma 12 4 4 7" xfId="34035" xr:uid="{00000000-0005-0000-0000-00003C6F0000}"/>
    <cellStyle name="Comma 12 4 4 7 2" xfId="34036" xr:uid="{00000000-0005-0000-0000-00003D6F0000}"/>
    <cellStyle name="Comma 12 4 4 8" xfId="34037" xr:uid="{00000000-0005-0000-0000-00003E6F0000}"/>
    <cellStyle name="Comma 12 4 4 9" xfId="34038" xr:uid="{00000000-0005-0000-0000-00003F6F0000}"/>
    <cellStyle name="Comma 12 4 5" xfId="34039" xr:uid="{00000000-0005-0000-0000-0000406F0000}"/>
    <cellStyle name="Comma 12 4 5 2" xfId="34040" xr:uid="{00000000-0005-0000-0000-0000416F0000}"/>
    <cellStyle name="Comma 12 4 5 2 2" xfId="34041" xr:uid="{00000000-0005-0000-0000-0000426F0000}"/>
    <cellStyle name="Comma 12 4 5 2 3" xfId="34042" xr:uid="{00000000-0005-0000-0000-0000436F0000}"/>
    <cellStyle name="Comma 12 4 5 3" xfId="34043" xr:uid="{00000000-0005-0000-0000-0000446F0000}"/>
    <cellStyle name="Comma 12 4 5 3 2" xfId="34044" xr:uid="{00000000-0005-0000-0000-0000456F0000}"/>
    <cellStyle name="Comma 12 4 5 3 3" xfId="34045" xr:uid="{00000000-0005-0000-0000-0000466F0000}"/>
    <cellStyle name="Comma 12 4 5 4" xfId="34046" xr:uid="{00000000-0005-0000-0000-0000476F0000}"/>
    <cellStyle name="Comma 12 4 5 4 2" xfId="34047" xr:uid="{00000000-0005-0000-0000-0000486F0000}"/>
    <cellStyle name="Comma 12 4 5 5" xfId="34048" xr:uid="{00000000-0005-0000-0000-0000496F0000}"/>
    <cellStyle name="Comma 12 4 5 6" xfId="34049" xr:uid="{00000000-0005-0000-0000-00004A6F0000}"/>
    <cellStyle name="Comma 12 4 6" xfId="34050" xr:uid="{00000000-0005-0000-0000-00004B6F0000}"/>
    <cellStyle name="Comma 12 4 6 2" xfId="34051" xr:uid="{00000000-0005-0000-0000-00004C6F0000}"/>
    <cellStyle name="Comma 12 4 6 2 2" xfId="34052" xr:uid="{00000000-0005-0000-0000-00004D6F0000}"/>
    <cellStyle name="Comma 12 4 6 2 3" xfId="34053" xr:uid="{00000000-0005-0000-0000-00004E6F0000}"/>
    <cellStyle name="Comma 12 4 6 3" xfId="34054" xr:uid="{00000000-0005-0000-0000-00004F6F0000}"/>
    <cellStyle name="Comma 12 4 6 3 2" xfId="34055" xr:uid="{00000000-0005-0000-0000-0000506F0000}"/>
    <cellStyle name="Comma 12 4 6 3 3" xfId="34056" xr:uid="{00000000-0005-0000-0000-0000516F0000}"/>
    <cellStyle name="Comma 12 4 6 4" xfId="34057" xr:uid="{00000000-0005-0000-0000-0000526F0000}"/>
    <cellStyle name="Comma 12 4 6 4 2" xfId="34058" xr:uid="{00000000-0005-0000-0000-0000536F0000}"/>
    <cellStyle name="Comma 12 4 6 5" xfId="34059" xr:uid="{00000000-0005-0000-0000-0000546F0000}"/>
    <cellStyle name="Comma 12 4 6 6" xfId="34060" xr:uid="{00000000-0005-0000-0000-0000556F0000}"/>
    <cellStyle name="Comma 12 4 7" xfId="34061" xr:uid="{00000000-0005-0000-0000-0000566F0000}"/>
    <cellStyle name="Comma 12 4 7 2" xfId="34062" xr:uid="{00000000-0005-0000-0000-0000576F0000}"/>
    <cellStyle name="Comma 12 4 7 2 2" xfId="34063" xr:uid="{00000000-0005-0000-0000-0000586F0000}"/>
    <cellStyle name="Comma 12 4 7 2 3" xfId="34064" xr:uid="{00000000-0005-0000-0000-0000596F0000}"/>
    <cellStyle name="Comma 12 4 7 3" xfId="34065" xr:uid="{00000000-0005-0000-0000-00005A6F0000}"/>
    <cellStyle name="Comma 12 4 7 3 2" xfId="34066" xr:uid="{00000000-0005-0000-0000-00005B6F0000}"/>
    <cellStyle name="Comma 12 4 7 4" xfId="34067" xr:uid="{00000000-0005-0000-0000-00005C6F0000}"/>
    <cellStyle name="Comma 12 4 7 5" xfId="34068" xr:uid="{00000000-0005-0000-0000-00005D6F0000}"/>
    <cellStyle name="Comma 12 4 8" xfId="34069" xr:uid="{00000000-0005-0000-0000-00005E6F0000}"/>
    <cellStyle name="Comma 12 4 8 2" xfId="34070" xr:uid="{00000000-0005-0000-0000-00005F6F0000}"/>
    <cellStyle name="Comma 12 4 8 3" xfId="34071" xr:uid="{00000000-0005-0000-0000-0000606F0000}"/>
    <cellStyle name="Comma 12 4 9" xfId="34072" xr:uid="{00000000-0005-0000-0000-0000616F0000}"/>
    <cellStyle name="Comma 12 4 9 2" xfId="34073" xr:uid="{00000000-0005-0000-0000-0000626F0000}"/>
    <cellStyle name="Comma 12 4 9 3" xfId="34074" xr:uid="{00000000-0005-0000-0000-0000636F0000}"/>
    <cellStyle name="Comma 12 5" xfId="34075" xr:uid="{00000000-0005-0000-0000-0000646F0000}"/>
    <cellStyle name="Comma 12 5 10" xfId="34076" xr:uid="{00000000-0005-0000-0000-0000656F0000}"/>
    <cellStyle name="Comma 12 5 2" xfId="34077" xr:uid="{00000000-0005-0000-0000-0000666F0000}"/>
    <cellStyle name="Comma 12 5 2 2" xfId="34078" xr:uid="{00000000-0005-0000-0000-0000676F0000}"/>
    <cellStyle name="Comma 12 5 2 2 2" xfId="34079" xr:uid="{00000000-0005-0000-0000-0000686F0000}"/>
    <cellStyle name="Comma 12 5 2 2 2 2" xfId="34080" xr:uid="{00000000-0005-0000-0000-0000696F0000}"/>
    <cellStyle name="Comma 12 5 2 2 2 3" xfId="34081" xr:uid="{00000000-0005-0000-0000-00006A6F0000}"/>
    <cellStyle name="Comma 12 5 2 2 3" xfId="34082" xr:uid="{00000000-0005-0000-0000-00006B6F0000}"/>
    <cellStyle name="Comma 12 5 2 2 3 2" xfId="34083" xr:uid="{00000000-0005-0000-0000-00006C6F0000}"/>
    <cellStyle name="Comma 12 5 2 2 3 3" xfId="34084" xr:uid="{00000000-0005-0000-0000-00006D6F0000}"/>
    <cellStyle name="Comma 12 5 2 2 4" xfId="34085" xr:uid="{00000000-0005-0000-0000-00006E6F0000}"/>
    <cellStyle name="Comma 12 5 2 2 4 2" xfId="34086" xr:uid="{00000000-0005-0000-0000-00006F6F0000}"/>
    <cellStyle name="Comma 12 5 2 2 5" xfId="34087" xr:uid="{00000000-0005-0000-0000-0000706F0000}"/>
    <cellStyle name="Comma 12 5 2 2 6" xfId="34088" xr:uid="{00000000-0005-0000-0000-0000716F0000}"/>
    <cellStyle name="Comma 12 5 2 3" xfId="34089" xr:uid="{00000000-0005-0000-0000-0000726F0000}"/>
    <cellStyle name="Comma 12 5 2 3 2" xfId="34090" xr:uid="{00000000-0005-0000-0000-0000736F0000}"/>
    <cellStyle name="Comma 12 5 2 3 2 2" xfId="34091" xr:uid="{00000000-0005-0000-0000-0000746F0000}"/>
    <cellStyle name="Comma 12 5 2 3 2 3" xfId="34092" xr:uid="{00000000-0005-0000-0000-0000756F0000}"/>
    <cellStyle name="Comma 12 5 2 3 3" xfId="34093" xr:uid="{00000000-0005-0000-0000-0000766F0000}"/>
    <cellStyle name="Comma 12 5 2 3 3 2" xfId="34094" xr:uid="{00000000-0005-0000-0000-0000776F0000}"/>
    <cellStyle name="Comma 12 5 2 3 3 3" xfId="34095" xr:uid="{00000000-0005-0000-0000-0000786F0000}"/>
    <cellStyle name="Comma 12 5 2 3 4" xfId="34096" xr:uid="{00000000-0005-0000-0000-0000796F0000}"/>
    <cellStyle name="Comma 12 5 2 3 4 2" xfId="34097" xr:uid="{00000000-0005-0000-0000-00007A6F0000}"/>
    <cellStyle name="Comma 12 5 2 3 5" xfId="34098" xr:uid="{00000000-0005-0000-0000-00007B6F0000}"/>
    <cellStyle name="Comma 12 5 2 3 6" xfId="34099" xr:uid="{00000000-0005-0000-0000-00007C6F0000}"/>
    <cellStyle name="Comma 12 5 2 4" xfId="34100" xr:uid="{00000000-0005-0000-0000-00007D6F0000}"/>
    <cellStyle name="Comma 12 5 2 4 2" xfId="34101" xr:uid="{00000000-0005-0000-0000-00007E6F0000}"/>
    <cellStyle name="Comma 12 5 2 4 2 2" xfId="34102" xr:uid="{00000000-0005-0000-0000-00007F6F0000}"/>
    <cellStyle name="Comma 12 5 2 4 2 3" xfId="34103" xr:uid="{00000000-0005-0000-0000-0000806F0000}"/>
    <cellStyle name="Comma 12 5 2 4 3" xfId="34104" xr:uid="{00000000-0005-0000-0000-0000816F0000}"/>
    <cellStyle name="Comma 12 5 2 4 3 2" xfId="34105" xr:uid="{00000000-0005-0000-0000-0000826F0000}"/>
    <cellStyle name="Comma 12 5 2 4 4" xfId="34106" xr:uid="{00000000-0005-0000-0000-0000836F0000}"/>
    <cellStyle name="Comma 12 5 2 4 5" xfId="34107" xr:uid="{00000000-0005-0000-0000-0000846F0000}"/>
    <cellStyle name="Comma 12 5 2 5" xfId="34108" xr:uid="{00000000-0005-0000-0000-0000856F0000}"/>
    <cellStyle name="Comma 12 5 2 5 2" xfId="34109" xr:uid="{00000000-0005-0000-0000-0000866F0000}"/>
    <cellStyle name="Comma 12 5 2 5 3" xfId="34110" xr:uid="{00000000-0005-0000-0000-0000876F0000}"/>
    <cellStyle name="Comma 12 5 2 6" xfId="34111" xr:uid="{00000000-0005-0000-0000-0000886F0000}"/>
    <cellStyle name="Comma 12 5 2 6 2" xfId="34112" xr:uid="{00000000-0005-0000-0000-0000896F0000}"/>
    <cellStyle name="Comma 12 5 2 6 3" xfId="34113" xr:uid="{00000000-0005-0000-0000-00008A6F0000}"/>
    <cellStyle name="Comma 12 5 2 7" xfId="34114" xr:uid="{00000000-0005-0000-0000-00008B6F0000}"/>
    <cellStyle name="Comma 12 5 2 7 2" xfId="34115" xr:uid="{00000000-0005-0000-0000-00008C6F0000}"/>
    <cellStyle name="Comma 12 5 2 8" xfId="34116" xr:uid="{00000000-0005-0000-0000-00008D6F0000}"/>
    <cellStyle name="Comma 12 5 2 9" xfId="34117" xr:uid="{00000000-0005-0000-0000-00008E6F0000}"/>
    <cellStyle name="Comma 12 5 3" xfId="34118" xr:uid="{00000000-0005-0000-0000-00008F6F0000}"/>
    <cellStyle name="Comma 12 5 3 2" xfId="34119" xr:uid="{00000000-0005-0000-0000-0000906F0000}"/>
    <cellStyle name="Comma 12 5 3 2 2" xfId="34120" xr:uid="{00000000-0005-0000-0000-0000916F0000}"/>
    <cellStyle name="Comma 12 5 3 2 3" xfId="34121" xr:uid="{00000000-0005-0000-0000-0000926F0000}"/>
    <cellStyle name="Comma 12 5 3 3" xfId="34122" xr:uid="{00000000-0005-0000-0000-0000936F0000}"/>
    <cellStyle name="Comma 12 5 3 3 2" xfId="34123" xr:uid="{00000000-0005-0000-0000-0000946F0000}"/>
    <cellStyle name="Comma 12 5 3 3 3" xfId="34124" xr:uid="{00000000-0005-0000-0000-0000956F0000}"/>
    <cellStyle name="Comma 12 5 3 4" xfId="34125" xr:uid="{00000000-0005-0000-0000-0000966F0000}"/>
    <cellStyle name="Comma 12 5 3 4 2" xfId="34126" xr:uid="{00000000-0005-0000-0000-0000976F0000}"/>
    <cellStyle name="Comma 12 5 3 5" xfId="34127" xr:uid="{00000000-0005-0000-0000-0000986F0000}"/>
    <cellStyle name="Comma 12 5 3 6" xfId="34128" xr:uid="{00000000-0005-0000-0000-0000996F0000}"/>
    <cellStyle name="Comma 12 5 4" xfId="34129" xr:uid="{00000000-0005-0000-0000-00009A6F0000}"/>
    <cellStyle name="Comma 12 5 4 2" xfId="34130" xr:uid="{00000000-0005-0000-0000-00009B6F0000}"/>
    <cellStyle name="Comma 12 5 4 2 2" xfId="34131" xr:uid="{00000000-0005-0000-0000-00009C6F0000}"/>
    <cellStyle name="Comma 12 5 4 2 3" xfId="34132" xr:uid="{00000000-0005-0000-0000-00009D6F0000}"/>
    <cellStyle name="Comma 12 5 4 3" xfId="34133" xr:uid="{00000000-0005-0000-0000-00009E6F0000}"/>
    <cellStyle name="Comma 12 5 4 3 2" xfId="34134" xr:uid="{00000000-0005-0000-0000-00009F6F0000}"/>
    <cellStyle name="Comma 12 5 4 3 3" xfId="34135" xr:uid="{00000000-0005-0000-0000-0000A06F0000}"/>
    <cellStyle name="Comma 12 5 4 4" xfId="34136" xr:uid="{00000000-0005-0000-0000-0000A16F0000}"/>
    <cellStyle name="Comma 12 5 4 4 2" xfId="34137" xr:uid="{00000000-0005-0000-0000-0000A26F0000}"/>
    <cellStyle name="Comma 12 5 4 5" xfId="34138" xr:uid="{00000000-0005-0000-0000-0000A36F0000}"/>
    <cellStyle name="Comma 12 5 4 6" xfId="34139" xr:uid="{00000000-0005-0000-0000-0000A46F0000}"/>
    <cellStyle name="Comma 12 5 5" xfId="34140" xr:uid="{00000000-0005-0000-0000-0000A56F0000}"/>
    <cellStyle name="Comma 12 5 5 2" xfId="34141" xr:uid="{00000000-0005-0000-0000-0000A66F0000}"/>
    <cellStyle name="Comma 12 5 5 2 2" xfId="34142" xr:uid="{00000000-0005-0000-0000-0000A76F0000}"/>
    <cellStyle name="Comma 12 5 5 2 3" xfId="34143" xr:uid="{00000000-0005-0000-0000-0000A86F0000}"/>
    <cellStyle name="Comma 12 5 5 3" xfId="34144" xr:uid="{00000000-0005-0000-0000-0000A96F0000}"/>
    <cellStyle name="Comma 12 5 5 3 2" xfId="34145" xr:uid="{00000000-0005-0000-0000-0000AA6F0000}"/>
    <cellStyle name="Comma 12 5 5 4" xfId="34146" xr:uid="{00000000-0005-0000-0000-0000AB6F0000}"/>
    <cellStyle name="Comma 12 5 5 5" xfId="34147" xr:uid="{00000000-0005-0000-0000-0000AC6F0000}"/>
    <cellStyle name="Comma 12 5 6" xfId="34148" xr:uid="{00000000-0005-0000-0000-0000AD6F0000}"/>
    <cellStyle name="Comma 12 5 6 2" xfId="34149" xr:uid="{00000000-0005-0000-0000-0000AE6F0000}"/>
    <cellStyle name="Comma 12 5 6 3" xfId="34150" xr:uid="{00000000-0005-0000-0000-0000AF6F0000}"/>
    <cellStyle name="Comma 12 5 7" xfId="34151" xr:uid="{00000000-0005-0000-0000-0000B06F0000}"/>
    <cellStyle name="Comma 12 5 7 2" xfId="34152" xr:uid="{00000000-0005-0000-0000-0000B16F0000}"/>
    <cellStyle name="Comma 12 5 7 3" xfId="34153" xr:uid="{00000000-0005-0000-0000-0000B26F0000}"/>
    <cellStyle name="Comma 12 5 8" xfId="34154" xr:uid="{00000000-0005-0000-0000-0000B36F0000}"/>
    <cellStyle name="Comma 12 5 8 2" xfId="34155" xr:uid="{00000000-0005-0000-0000-0000B46F0000}"/>
    <cellStyle name="Comma 12 5 9" xfId="34156" xr:uid="{00000000-0005-0000-0000-0000B56F0000}"/>
    <cellStyle name="Comma 12 6" xfId="34157" xr:uid="{00000000-0005-0000-0000-0000B66F0000}"/>
    <cellStyle name="Comma 12 6 2" xfId="34158" xr:uid="{00000000-0005-0000-0000-0000B76F0000}"/>
    <cellStyle name="Comma 12 6 2 2" xfId="34159" xr:uid="{00000000-0005-0000-0000-0000B86F0000}"/>
    <cellStyle name="Comma 12 6 2 2 2" xfId="34160" xr:uid="{00000000-0005-0000-0000-0000B96F0000}"/>
    <cellStyle name="Comma 12 6 2 2 3" xfId="34161" xr:uid="{00000000-0005-0000-0000-0000BA6F0000}"/>
    <cellStyle name="Comma 12 6 2 3" xfId="34162" xr:uid="{00000000-0005-0000-0000-0000BB6F0000}"/>
    <cellStyle name="Comma 12 6 2 3 2" xfId="34163" xr:uid="{00000000-0005-0000-0000-0000BC6F0000}"/>
    <cellStyle name="Comma 12 6 2 3 3" xfId="34164" xr:uid="{00000000-0005-0000-0000-0000BD6F0000}"/>
    <cellStyle name="Comma 12 6 2 4" xfId="34165" xr:uid="{00000000-0005-0000-0000-0000BE6F0000}"/>
    <cellStyle name="Comma 12 6 2 4 2" xfId="34166" xr:uid="{00000000-0005-0000-0000-0000BF6F0000}"/>
    <cellStyle name="Comma 12 6 2 5" xfId="34167" xr:uid="{00000000-0005-0000-0000-0000C06F0000}"/>
    <cellStyle name="Comma 12 6 2 6" xfId="34168" xr:uid="{00000000-0005-0000-0000-0000C16F0000}"/>
    <cellStyle name="Comma 12 6 3" xfId="34169" xr:uid="{00000000-0005-0000-0000-0000C26F0000}"/>
    <cellStyle name="Comma 12 6 3 2" xfId="34170" xr:uid="{00000000-0005-0000-0000-0000C36F0000}"/>
    <cellStyle name="Comma 12 6 3 2 2" xfId="34171" xr:uid="{00000000-0005-0000-0000-0000C46F0000}"/>
    <cellStyle name="Comma 12 6 3 2 3" xfId="34172" xr:uid="{00000000-0005-0000-0000-0000C56F0000}"/>
    <cellStyle name="Comma 12 6 3 3" xfId="34173" xr:uid="{00000000-0005-0000-0000-0000C66F0000}"/>
    <cellStyle name="Comma 12 6 3 3 2" xfId="34174" xr:uid="{00000000-0005-0000-0000-0000C76F0000}"/>
    <cellStyle name="Comma 12 6 3 3 3" xfId="34175" xr:uid="{00000000-0005-0000-0000-0000C86F0000}"/>
    <cellStyle name="Comma 12 6 3 4" xfId="34176" xr:uid="{00000000-0005-0000-0000-0000C96F0000}"/>
    <cellStyle name="Comma 12 6 3 4 2" xfId="34177" xr:uid="{00000000-0005-0000-0000-0000CA6F0000}"/>
    <cellStyle name="Comma 12 6 3 5" xfId="34178" xr:uid="{00000000-0005-0000-0000-0000CB6F0000}"/>
    <cellStyle name="Comma 12 6 3 6" xfId="34179" xr:uid="{00000000-0005-0000-0000-0000CC6F0000}"/>
    <cellStyle name="Comma 12 6 4" xfId="34180" xr:uid="{00000000-0005-0000-0000-0000CD6F0000}"/>
    <cellStyle name="Comma 12 6 4 2" xfId="34181" xr:uid="{00000000-0005-0000-0000-0000CE6F0000}"/>
    <cellStyle name="Comma 12 6 4 2 2" xfId="34182" xr:uid="{00000000-0005-0000-0000-0000CF6F0000}"/>
    <cellStyle name="Comma 12 6 4 2 3" xfId="34183" xr:uid="{00000000-0005-0000-0000-0000D06F0000}"/>
    <cellStyle name="Comma 12 6 4 3" xfId="34184" xr:uid="{00000000-0005-0000-0000-0000D16F0000}"/>
    <cellStyle name="Comma 12 6 4 3 2" xfId="34185" xr:uid="{00000000-0005-0000-0000-0000D26F0000}"/>
    <cellStyle name="Comma 12 6 4 4" xfId="34186" xr:uid="{00000000-0005-0000-0000-0000D36F0000}"/>
    <cellStyle name="Comma 12 6 4 5" xfId="34187" xr:uid="{00000000-0005-0000-0000-0000D46F0000}"/>
    <cellStyle name="Comma 12 6 5" xfId="34188" xr:uid="{00000000-0005-0000-0000-0000D56F0000}"/>
    <cellStyle name="Comma 12 6 5 2" xfId="34189" xr:uid="{00000000-0005-0000-0000-0000D66F0000}"/>
    <cellStyle name="Comma 12 6 5 3" xfId="34190" xr:uid="{00000000-0005-0000-0000-0000D76F0000}"/>
    <cellStyle name="Comma 12 6 6" xfId="34191" xr:uid="{00000000-0005-0000-0000-0000D86F0000}"/>
    <cellStyle name="Comma 12 6 6 2" xfId="34192" xr:uid="{00000000-0005-0000-0000-0000D96F0000}"/>
    <cellStyle name="Comma 12 6 6 3" xfId="34193" xr:uid="{00000000-0005-0000-0000-0000DA6F0000}"/>
    <cellStyle name="Comma 12 6 7" xfId="34194" xr:uid="{00000000-0005-0000-0000-0000DB6F0000}"/>
    <cellStyle name="Comma 12 6 7 2" xfId="34195" xr:uid="{00000000-0005-0000-0000-0000DC6F0000}"/>
    <cellStyle name="Comma 12 6 8" xfId="34196" xr:uid="{00000000-0005-0000-0000-0000DD6F0000}"/>
    <cellStyle name="Comma 12 6 9" xfId="34197" xr:uid="{00000000-0005-0000-0000-0000DE6F0000}"/>
    <cellStyle name="Comma 12 7" xfId="34198" xr:uid="{00000000-0005-0000-0000-0000DF6F0000}"/>
    <cellStyle name="Comma 12 7 2" xfId="34199" xr:uid="{00000000-0005-0000-0000-0000E06F0000}"/>
    <cellStyle name="Comma 12 7 2 2" xfId="34200" xr:uid="{00000000-0005-0000-0000-0000E16F0000}"/>
    <cellStyle name="Comma 12 7 2 2 2" xfId="34201" xr:uid="{00000000-0005-0000-0000-0000E26F0000}"/>
    <cellStyle name="Comma 12 7 2 2 3" xfId="34202" xr:uid="{00000000-0005-0000-0000-0000E36F0000}"/>
    <cellStyle name="Comma 12 7 2 3" xfId="34203" xr:uid="{00000000-0005-0000-0000-0000E46F0000}"/>
    <cellStyle name="Comma 12 7 2 3 2" xfId="34204" xr:uid="{00000000-0005-0000-0000-0000E56F0000}"/>
    <cellStyle name="Comma 12 7 2 3 3" xfId="34205" xr:uid="{00000000-0005-0000-0000-0000E66F0000}"/>
    <cellStyle name="Comma 12 7 2 4" xfId="34206" xr:uid="{00000000-0005-0000-0000-0000E76F0000}"/>
    <cellStyle name="Comma 12 7 2 4 2" xfId="34207" xr:uid="{00000000-0005-0000-0000-0000E86F0000}"/>
    <cellStyle name="Comma 12 7 2 5" xfId="34208" xr:uid="{00000000-0005-0000-0000-0000E96F0000}"/>
    <cellStyle name="Comma 12 7 2 6" xfId="34209" xr:uid="{00000000-0005-0000-0000-0000EA6F0000}"/>
    <cellStyle name="Comma 12 7 3" xfId="34210" xr:uid="{00000000-0005-0000-0000-0000EB6F0000}"/>
    <cellStyle name="Comma 12 7 3 2" xfId="34211" xr:uid="{00000000-0005-0000-0000-0000EC6F0000}"/>
    <cellStyle name="Comma 12 7 3 2 2" xfId="34212" xr:uid="{00000000-0005-0000-0000-0000ED6F0000}"/>
    <cellStyle name="Comma 12 7 3 2 3" xfId="34213" xr:uid="{00000000-0005-0000-0000-0000EE6F0000}"/>
    <cellStyle name="Comma 12 7 3 3" xfId="34214" xr:uid="{00000000-0005-0000-0000-0000EF6F0000}"/>
    <cellStyle name="Comma 12 7 3 3 2" xfId="34215" xr:uid="{00000000-0005-0000-0000-0000F06F0000}"/>
    <cellStyle name="Comma 12 7 3 3 3" xfId="34216" xr:uid="{00000000-0005-0000-0000-0000F16F0000}"/>
    <cellStyle name="Comma 12 7 3 4" xfId="34217" xr:uid="{00000000-0005-0000-0000-0000F26F0000}"/>
    <cellStyle name="Comma 12 7 3 4 2" xfId="34218" xr:uid="{00000000-0005-0000-0000-0000F36F0000}"/>
    <cellStyle name="Comma 12 7 3 5" xfId="34219" xr:uid="{00000000-0005-0000-0000-0000F46F0000}"/>
    <cellStyle name="Comma 12 7 3 6" xfId="34220" xr:uid="{00000000-0005-0000-0000-0000F56F0000}"/>
    <cellStyle name="Comma 12 7 4" xfId="34221" xr:uid="{00000000-0005-0000-0000-0000F66F0000}"/>
    <cellStyle name="Comma 12 7 4 2" xfId="34222" xr:uid="{00000000-0005-0000-0000-0000F76F0000}"/>
    <cellStyle name="Comma 12 7 4 2 2" xfId="34223" xr:uid="{00000000-0005-0000-0000-0000F86F0000}"/>
    <cellStyle name="Comma 12 7 4 2 3" xfId="34224" xr:uid="{00000000-0005-0000-0000-0000F96F0000}"/>
    <cellStyle name="Comma 12 7 4 3" xfId="34225" xr:uid="{00000000-0005-0000-0000-0000FA6F0000}"/>
    <cellStyle name="Comma 12 7 4 3 2" xfId="34226" xr:uid="{00000000-0005-0000-0000-0000FB6F0000}"/>
    <cellStyle name="Comma 12 7 4 4" xfId="34227" xr:uid="{00000000-0005-0000-0000-0000FC6F0000}"/>
    <cellStyle name="Comma 12 7 4 5" xfId="34228" xr:uid="{00000000-0005-0000-0000-0000FD6F0000}"/>
    <cellStyle name="Comma 12 7 5" xfId="34229" xr:uid="{00000000-0005-0000-0000-0000FE6F0000}"/>
    <cellStyle name="Comma 12 7 5 2" xfId="34230" xr:uid="{00000000-0005-0000-0000-0000FF6F0000}"/>
    <cellStyle name="Comma 12 7 5 3" xfId="34231" xr:uid="{00000000-0005-0000-0000-000000700000}"/>
    <cellStyle name="Comma 12 7 6" xfId="34232" xr:uid="{00000000-0005-0000-0000-000001700000}"/>
    <cellStyle name="Comma 12 7 6 2" xfId="34233" xr:uid="{00000000-0005-0000-0000-000002700000}"/>
    <cellStyle name="Comma 12 7 6 3" xfId="34234" xr:uid="{00000000-0005-0000-0000-000003700000}"/>
    <cellStyle name="Comma 12 7 7" xfId="34235" xr:uid="{00000000-0005-0000-0000-000004700000}"/>
    <cellStyle name="Comma 12 7 7 2" xfId="34236" xr:uid="{00000000-0005-0000-0000-000005700000}"/>
    <cellStyle name="Comma 12 7 8" xfId="34237" xr:uid="{00000000-0005-0000-0000-000006700000}"/>
    <cellStyle name="Comma 12 7 9" xfId="34238" xr:uid="{00000000-0005-0000-0000-000007700000}"/>
    <cellStyle name="Comma 12 8" xfId="34239" xr:uid="{00000000-0005-0000-0000-000008700000}"/>
    <cellStyle name="Comma 12 8 2" xfId="34240" xr:uid="{00000000-0005-0000-0000-000009700000}"/>
    <cellStyle name="Comma 12 8 2 2" xfId="34241" xr:uid="{00000000-0005-0000-0000-00000A700000}"/>
    <cellStyle name="Comma 12 8 2 3" xfId="34242" xr:uid="{00000000-0005-0000-0000-00000B700000}"/>
    <cellStyle name="Comma 12 8 3" xfId="34243" xr:uid="{00000000-0005-0000-0000-00000C700000}"/>
    <cellStyle name="Comma 12 8 3 2" xfId="34244" xr:uid="{00000000-0005-0000-0000-00000D700000}"/>
    <cellStyle name="Comma 12 8 3 3" xfId="34245" xr:uid="{00000000-0005-0000-0000-00000E700000}"/>
    <cellStyle name="Comma 12 8 4" xfId="34246" xr:uid="{00000000-0005-0000-0000-00000F700000}"/>
    <cellStyle name="Comma 12 8 4 2" xfId="34247" xr:uid="{00000000-0005-0000-0000-000010700000}"/>
    <cellStyle name="Comma 12 8 5" xfId="34248" xr:uid="{00000000-0005-0000-0000-000011700000}"/>
    <cellStyle name="Comma 12 8 6" xfId="34249" xr:uid="{00000000-0005-0000-0000-000012700000}"/>
    <cellStyle name="Comma 12 9" xfId="34250" xr:uid="{00000000-0005-0000-0000-000013700000}"/>
    <cellStyle name="Comma 12 9 2" xfId="34251" xr:uid="{00000000-0005-0000-0000-000014700000}"/>
    <cellStyle name="Comma 12 9 2 2" xfId="34252" xr:uid="{00000000-0005-0000-0000-000015700000}"/>
    <cellStyle name="Comma 12 9 2 3" xfId="34253" xr:uid="{00000000-0005-0000-0000-000016700000}"/>
    <cellStyle name="Comma 12 9 3" xfId="34254" xr:uid="{00000000-0005-0000-0000-000017700000}"/>
    <cellStyle name="Comma 12 9 3 2" xfId="34255" xr:uid="{00000000-0005-0000-0000-000018700000}"/>
    <cellStyle name="Comma 12 9 3 3" xfId="34256" xr:uid="{00000000-0005-0000-0000-000019700000}"/>
    <cellStyle name="Comma 12 9 4" xfId="34257" xr:uid="{00000000-0005-0000-0000-00001A700000}"/>
    <cellStyle name="Comma 12 9 4 2" xfId="34258" xr:uid="{00000000-0005-0000-0000-00001B700000}"/>
    <cellStyle name="Comma 12 9 5" xfId="34259" xr:uid="{00000000-0005-0000-0000-00001C700000}"/>
    <cellStyle name="Comma 12 9 6" xfId="34260" xr:uid="{00000000-0005-0000-0000-00001D700000}"/>
    <cellStyle name="Comma 13" xfId="3240" xr:uid="{00000000-0005-0000-0000-00001E700000}"/>
    <cellStyle name="Comma 13 10" xfId="34261" xr:uid="{00000000-0005-0000-0000-00001F700000}"/>
    <cellStyle name="Comma 13 10 2" xfId="34262" xr:uid="{00000000-0005-0000-0000-000020700000}"/>
    <cellStyle name="Comma 13 10 2 2" xfId="34263" xr:uid="{00000000-0005-0000-0000-000021700000}"/>
    <cellStyle name="Comma 13 10 2 3" xfId="34264" xr:uid="{00000000-0005-0000-0000-000022700000}"/>
    <cellStyle name="Comma 13 10 3" xfId="34265" xr:uid="{00000000-0005-0000-0000-000023700000}"/>
    <cellStyle name="Comma 13 10 3 2" xfId="34266" xr:uid="{00000000-0005-0000-0000-000024700000}"/>
    <cellStyle name="Comma 13 10 4" xfId="34267" xr:uid="{00000000-0005-0000-0000-000025700000}"/>
    <cellStyle name="Comma 13 10 5" xfId="34268" xr:uid="{00000000-0005-0000-0000-000026700000}"/>
    <cellStyle name="Comma 13 11" xfId="34269" xr:uid="{00000000-0005-0000-0000-000027700000}"/>
    <cellStyle name="Comma 13 11 2" xfId="34270" xr:uid="{00000000-0005-0000-0000-000028700000}"/>
    <cellStyle name="Comma 13 11 3" xfId="34271" xr:uid="{00000000-0005-0000-0000-000029700000}"/>
    <cellStyle name="Comma 13 12" xfId="34272" xr:uid="{00000000-0005-0000-0000-00002A700000}"/>
    <cellStyle name="Comma 13 12 2" xfId="34273" xr:uid="{00000000-0005-0000-0000-00002B700000}"/>
    <cellStyle name="Comma 13 12 3" xfId="34274" xr:uid="{00000000-0005-0000-0000-00002C700000}"/>
    <cellStyle name="Comma 13 13" xfId="34275" xr:uid="{00000000-0005-0000-0000-00002D700000}"/>
    <cellStyle name="Comma 13 13 2" xfId="34276" xr:uid="{00000000-0005-0000-0000-00002E700000}"/>
    <cellStyle name="Comma 13 14" xfId="34277" xr:uid="{00000000-0005-0000-0000-00002F700000}"/>
    <cellStyle name="Comma 13 15" xfId="34278" xr:uid="{00000000-0005-0000-0000-000030700000}"/>
    <cellStyle name="Comma 13 16" xfId="34279" xr:uid="{00000000-0005-0000-0000-000031700000}"/>
    <cellStyle name="Comma 13 2" xfId="9048" xr:uid="{00000000-0005-0000-0000-000032700000}"/>
    <cellStyle name="Comma 13 2 10" xfId="34280" xr:uid="{00000000-0005-0000-0000-000033700000}"/>
    <cellStyle name="Comma 13 2 10 2" xfId="34281" xr:uid="{00000000-0005-0000-0000-000034700000}"/>
    <cellStyle name="Comma 13 2 10 3" xfId="34282" xr:uid="{00000000-0005-0000-0000-000035700000}"/>
    <cellStyle name="Comma 13 2 11" xfId="34283" xr:uid="{00000000-0005-0000-0000-000036700000}"/>
    <cellStyle name="Comma 13 2 11 2" xfId="34284" xr:uid="{00000000-0005-0000-0000-000037700000}"/>
    <cellStyle name="Comma 13 2 11 3" xfId="34285" xr:uid="{00000000-0005-0000-0000-000038700000}"/>
    <cellStyle name="Comma 13 2 12" xfId="34286" xr:uid="{00000000-0005-0000-0000-000039700000}"/>
    <cellStyle name="Comma 13 2 12 2" xfId="34287" xr:uid="{00000000-0005-0000-0000-00003A700000}"/>
    <cellStyle name="Comma 13 2 13" xfId="34288" xr:uid="{00000000-0005-0000-0000-00003B700000}"/>
    <cellStyle name="Comma 13 2 14" xfId="34289" xr:uid="{00000000-0005-0000-0000-00003C700000}"/>
    <cellStyle name="Comma 13 2 15" xfId="34290" xr:uid="{00000000-0005-0000-0000-00003D700000}"/>
    <cellStyle name="Comma 13 2 2" xfId="34291" xr:uid="{00000000-0005-0000-0000-00003E700000}"/>
    <cellStyle name="Comma 13 2 2 10" xfId="34292" xr:uid="{00000000-0005-0000-0000-00003F700000}"/>
    <cellStyle name="Comma 13 2 2 10 2" xfId="34293" xr:uid="{00000000-0005-0000-0000-000040700000}"/>
    <cellStyle name="Comma 13 2 2 10 3" xfId="34294" xr:uid="{00000000-0005-0000-0000-000041700000}"/>
    <cellStyle name="Comma 13 2 2 11" xfId="34295" xr:uid="{00000000-0005-0000-0000-000042700000}"/>
    <cellStyle name="Comma 13 2 2 11 2" xfId="34296" xr:uid="{00000000-0005-0000-0000-000043700000}"/>
    <cellStyle name="Comma 13 2 2 12" xfId="34297" xr:uid="{00000000-0005-0000-0000-000044700000}"/>
    <cellStyle name="Comma 13 2 2 13" xfId="34298" xr:uid="{00000000-0005-0000-0000-000045700000}"/>
    <cellStyle name="Comma 13 2 2 2" xfId="34299" xr:uid="{00000000-0005-0000-0000-000046700000}"/>
    <cellStyle name="Comma 13 2 2 2 10" xfId="34300" xr:uid="{00000000-0005-0000-0000-000047700000}"/>
    <cellStyle name="Comma 13 2 2 2 10 2" xfId="34301" xr:uid="{00000000-0005-0000-0000-000048700000}"/>
    <cellStyle name="Comma 13 2 2 2 11" xfId="34302" xr:uid="{00000000-0005-0000-0000-000049700000}"/>
    <cellStyle name="Comma 13 2 2 2 12" xfId="34303" xr:uid="{00000000-0005-0000-0000-00004A700000}"/>
    <cellStyle name="Comma 13 2 2 2 2" xfId="34304" xr:uid="{00000000-0005-0000-0000-00004B700000}"/>
    <cellStyle name="Comma 13 2 2 2 2 10" xfId="34305" xr:uid="{00000000-0005-0000-0000-00004C700000}"/>
    <cellStyle name="Comma 13 2 2 2 2 2" xfId="34306" xr:uid="{00000000-0005-0000-0000-00004D700000}"/>
    <cellStyle name="Comma 13 2 2 2 2 2 2" xfId="34307" xr:uid="{00000000-0005-0000-0000-00004E700000}"/>
    <cellStyle name="Comma 13 2 2 2 2 2 2 2" xfId="34308" xr:uid="{00000000-0005-0000-0000-00004F700000}"/>
    <cellStyle name="Comma 13 2 2 2 2 2 2 2 2" xfId="34309" xr:uid="{00000000-0005-0000-0000-000050700000}"/>
    <cellStyle name="Comma 13 2 2 2 2 2 2 2 3" xfId="34310" xr:uid="{00000000-0005-0000-0000-000051700000}"/>
    <cellStyle name="Comma 13 2 2 2 2 2 2 3" xfId="34311" xr:uid="{00000000-0005-0000-0000-000052700000}"/>
    <cellStyle name="Comma 13 2 2 2 2 2 2 3 2" xfId="34312" xr:uid="{00000000-0005-0000-0000-000053700000}"/>
    <cellStyle name="Comma 13 2 2 2 2 2 2 3 3" xfId="34313" xr:uid="{00000000-0005-0000-0000-000054700000}"/>
    <cellStyle name="Comma 13 2 2 2 2 2 2 4" xfId="34314" xr:uid="{00000000-0005-0000-0000-000055700000}"/>
    <cellStyle name="Comma 13 2 2 2 2 2 2 4 2" xfId="34315" xr:uid="{00000000-0005-0000-0000-000056700000}"/>
    <cellStyle name="Comma 13 2 2 2 2 2 2 5" xfId="34316" xr:uid="{00000000-0005-0000-0000-000057700000}"/>
    <cellStyle name="Comma 13 2 2 2 2 2 2 6" xfId="34317" xr:uid="{00000000-0005-0000-0000-000058700000}"/>
    <cellStyle name="Comma 13 2 2 2 2 2 3" xfId="34318" xr:uid="{00000000-0005-0000-0000-000059700000}"/>
    <cellStyle name="Comma 13 2 2 2 2 2 3 2" xfId="34319" xr:uid="{00000000-0005-0000-0000-00005A700000}"/>
    <cellStyle name="Comma 13 2 2 2 2 2 3 2 2" xfId="34320" xr:uid="{00000000-0005-0000-0000-00005B700000}"/>
    <cellStyle name="Comma 13 2 2 2 2 2 3 2 3" xfId="34321" xr:uid="{00000000-0005-0000-0000-00005C700000}"/>
    <cellStyle name="Comma 13 2 2 2 2 2 3 3" xfId="34322" xr:uid="{00000000-0005-0000-0000-00005D700000}"/>
    <cellStyle name="Comma 13 2 2 2 2 2 3 3 2" xfId="34323" xr:uid="{00000000-0005-0000-0000-00005E700000}"/>
    <cellStyle name="Comma 13 2 2 2 2 2 3 3 3" xfId="34324" xr:uid="{00000000-0005-0000-0000-00005F700000}"/>
    <cellStyle name="Comma 13 2 2 2 2 2 3 4" xfId="34325" xr:uid="{00000000-0005-0000-0000-000060700000}"/>
    <cellStyle name="Comma 13 2 2 2 2 2 3 4 2" xfId="34326" xr:uid="{00000000-0005-0000-0000-000061700000}"/>
    <cellStyle name="Comma 13 2 2 2 2 2 3 5" xfId="34327" xr:uid="{00000000-0005-0000-0000-000062700000}"/>
    <cellStyle name="Comma 13 2 2 2 2 2 3 6" xfId="34328" xr:uid="{00000000-0005-0000-0000-000063700000}"/>
    <cellStyle name="Comma 13 2 2 2 2 2 4" xfId="34329" xr:uid="{00000000-0005-0000-0000-000064700000}"/>
    <cellStyle name="Comma 13 2 2 2 2 2 4 2" xfId="34330" xr:uid="{00000000-0005-0000-0000-000065700000}"/>
    <cellStyle name="Comma 13 2 2 2 2 2 4 2 2" xfId="34331" xr:uid="{00000000-0005-0000-0000-000066700000}"/>
    <cellStyle name="Comma 13 2 2 2 2 2 4 2 3" xfId="34332" xr:uid="{00000000-0005-0000-0000-000067700000}"/>
    <cellStyle name="Comma 13 2 2 2 2 2 4 3" xfId="34333" xr:uid="{00000000-0005-0000-0000-000068700000}"/>
    <cellStyle name="Comma 13 2 2 2 2 2 4 3 2" xfId="34334" xr:uid="{00000000-0005-0000-0000-000069700000}"/>
    <cellStyle name="Comma 13 2 2 2 2 2 4 4" xfId="34335" xr:uid="{00000000-0005-0000-0000-00006A700000}"/>
    <cellStyle name="Comma 13 2 2 2 2 2 4 5" xfId="34336" xr:uid="{00000000-0005-0000-0000-00006B700000}"/>
    <cellStyle name="Comma 13 2 2 2 2 2 5" xfId="34337" xr:uid="{00000000-0005-0000-0000-00006C700000}"/>
    <cellStyle name="Comma 13 2 2 2 2 2 5 2" xfId="34338" xr:uid="{00000000-0005-0000-0000-00006D700000}"/>
    <cellStyle name="Comma 13 2 2 2 2 2 5 3" xfId="34339" xr:uid="{00000000-0005-0000-0000-00006E700000}"/>
    <cellStyle name="Comma 13 2 2 2 2 2 6" xfId="34340" xr:uid="{00000000-0005-0000-0000-00006F700000}"/>
    <cellStyle name="Comma 13 2 2 2 2 2 6 2" xfId="34341" xr:uid="{00000000-0005-0000-0000-000070700000}"/>
    <cellStyle name="Comma 13 2 2 2 2 2 6 3" xfId="34342" xr:uid="{00000000-0005-0000-0000-000071700000}"/>
    <cellStyle name="Comma 13 2 2 2 2 2 7" xfId="34343" xr:uid="{00000000-0005-0000-0000-000072700000}"/>
    <cellStyle name="Comma 13 2 2 2 2 2 7 2" xfId="34344" xr:uid="{00000000-0005-0000-0000-000073700000}"/>
    <cellStyle name="Comma 13 2 2 2 2 2 8" xfId="34345" xr:uid="{00000000-0005-0000-0000-000074700000}"/>
    <cellStyle name="Comma 13 2 2 2 2 2 9" xfId="34346" xr:uid="{00000000-0005-0000-0000-000075700000}"/>
    <cellStyle name="Comma 13 2 2 2 2 3" xfId="34347" xr:uid="{00000000-0005-0000-0000-000076700000}"/>
    <cellStyle name="Comma 13 2 2 2 2 3 2" xfId="34348" xr:uid="{00000000-0005-0000-0000-000077700000}"/>
    <cellStyle name="Comma 13 2 2 2 2 3 2 2" xfId="34349" xr:uid="{00000000-0005-0000-0000-000078700000}"/>
    <cellStyle name="Comma 13 2 2 2 2 3 2 3" xfId="34350" xr:uid="{00000000-0005-0000-0000-000079700000}"/>
    <cellStyle name="Comma 13 2 2 2 2 3 3" xfId="34351" xr:uid="{00000000-0005-0000-0000-00007A700000}"/>
    <cellStyle name="Comma 13 2 2 2 2 3 3 2" xfId="34352" xr:uid="{00000000-0005-0000-0000-00007B700000}"/>
    <cellStyle name="Comma 13 2 2 2 2 3 3 3" xfId="34353" xr:uid="{00000000-0005-0000-0000-00007C700000}"/>
    <cellStyle name="Comma 13 2 2 2 2 3 4" xfId="34354" xr:uid="{00000000-0005-0000-0000-00007D700000}"/>
    <cellStyle name="Comma 13 2 2 2 2 3 4 2" xfId="34355" xr:uid="{00000000-0005-0000-0000-00007E700000}"/>
    <cellStyle name="Comma 13 2 2 2 2 3 5" xfId="34356" xr:uid="{00000000-0005-0000-0000-00007F700000}"/>
    <cellStyle name="Comma 13 2 2 2 2 3 6" xfId="34357" xr:uid="{00000000-0005-0000-0000-000080700000}"/>
    <cellStyle name="Comma 13 2 2 2 2 4" xfId="34358" xr:uid="{00000000-0005-0000-0000-000081700000}"/>
    <cellStyle name="Comma 13 2 2 2 2 4 2" xfId="34359" xr:uid="{00000000-0005-0000-0000-000082700000}"/>
    <cellStyle name="Comma 13 2 2 2 2 4 2 2" xfId="34360" xr:uid="{00000000-0005-0000-0000-000083700000}"/>
    <cellStyle name="Comma 13 2 2 2 2 4 2 3" xfId="34361" xr:uid="{00000000-0005-0000-0000-000084700000}"/>
    <cellStyle name="Comma 13 2 2 2 2 4 3" xfId="34362" xr:uid="{00000000-0005-0000-0000-000085700000}"/>
    <cellStyle name="Comma 13 2 2 2 2 4 3 2" xfId="34363" xr:uid="{00000000-0005-0000-0000-000086700000}"/>
    <cellStyle name="Comma 13 2 2 2 2 4 3 3" xfId="34364" xr:uid="{00000000-0005-0000-0000-000087700000}"/>
    <cellStyle name="Comma 13 2 2 2 2 4 4" xfId="34365" xr:uid="{00000000-0005-0000-0000-000088700000}"/>
    <cellStyle name="Comma 13 2 2 2 2 4 4 2" xfId="34366" xr:uid="{00000000-0005-0000-0000-000089700000}"/>
    <cellStyle name="Comma 13 2 2 2 2 4 5" xfId="34367" xr:uid="{00000000-0005-0000-0000-00008A700000}"/>
    <cellStyle name="Comma 13 2 2 2 2 4 6" xfId="34368" xr:uid="{00000000-0005-0000-0000-00008B700000}"/>
    <cellStyle name="Comma 13 2 2 2 2 5" xfId="34369" xr:uid="{00000000-0005-0000-0000-00008C700000}"/>
    <cellStyle name="Comma 13 2 2 2 2 5 2" xfId="34370" xr:uid="{00000000-0005-0000-0000-00008D700000}"/>
    <cellStyle name="Comma 13 2 2 2 2 5 2 2" xfId="34371" xr:uid="{00000000-0005-0000-0000-00008E700000}"/>
    <cellStyle name="Comma 13 2 2 2 2 5 2 3" xfId="34372" xr:uid="{00000000-0005-0000-0000-00008F700000}"/>
    <cellStyle name="Comma 13 2 2 2 2 5 3" xfId="34373" xr:uid="{00000000-0005-0000-0000-000090700000}"/>
    <cellStyle name="Comma 13 2 2 2 2 5 3 2" xfId="34374" xr:uid="{00000000-0005-0000-0000-000091700000}"/>
    <cellStyle name="Comma 13 2 2 2 2 5 4" xfId="34375" xr:uid="{00000000-0005-0000-0000-000092700000}"/>
    <cellStyle name="Comma 13 2 2 2 2 5 5" xfId="34376" xr:uid="{00000000-0005-0000-0000-000093700000}"/>
    <cellStyle name="Comma 13 2 2 2 2 6" xfId="34377" xr:uid="{00000000-0005-0000-0000-000094700000}"/>
    <cellStyle name="Comma 13 2 2 2 2 6 2" xfId="34378" xr:uid="{00000000-0005-0000-0000-000095700000}"/>
    <cellStyle name="Comma 13 2 2 2 2 6 3" xfId="34379" xr:uid="{00000000-0005-0000-0000-000096700000}"/>
    <cellStyle name="Comma 13 2 2 2 2 7" xfId="34380" xr:uid="{00000000-0005-0000-0000-000097700000}"/>
    <cellStyle name="Comma 13 2 2 2 2 7 2" xfId="34381" xr:uid="{00000000-0005-0000-0000-000098700000}"/>
    <cellStyle name="Comma 13 2 2 2 2 7 3" xfId="34382" xr:uid="{00000000-0005-0000-0000-000099700000}"/>
    <cellStyle name="Comma 13 2 2 2 2 8" xfId="34383" xr:uid="{00000000-0005-0000-0000-00009A700000}"/>
    <cellStyle name="Comma 13 2 2 2 2 8 2" xfId="34384" xr:uid="{00000000-0005-0000-0000-00009B700000}"/>
    <cellStyle name="Comma 13 2 2 2 2 9" xfId="34385" xr:uid="{00000000-0005-0000-0000-00009C700000}"/>
    <cellStyle name="Comma 13 2 2 2 3" xfId="34386" xr:uid="{00000000-0005-0000-0000-00009D700000}"/>
    <cellStyle name="Comma 13 2 2 2 3 2" xfId="34387" xr:uid="{00000000-0005-0000-0000-00009E700000}"/>
    <cellStyle name="Comma 13 2 2 2 3 2 2" xfId="34388" xr:uid="{00000000-0005-0000-0000-00009F700000}"/>
    <cellStyle name="Comma 13 2 2 2 3 2 2 2" xfId="34389" xr:uid="{00000000-0005-0000-0000-0000A0700000}"/>
    <cellStyle name="Comma 13 2 2 2 3 2 2 3" xfId="34390" xr:uid="{00000000-0005-0000-0000-0000A1700000}"/>
    <cellStyle name="Comma 13 2 2 2 3 2 3" xfId="34391" xr:uid="{00000000-0005-0000-0000-0000A2700000}"/>
    <cellStyle name="Comma 13 2 2 2 3 2 3 2" xfId="34392" xr:uid="{00000000-0005-0000-0000-0000A3700000}"/>
    <cellStyle name="Comma 13 2 2 2 3 2 3 3" xfId="34393" xr:uid="{00000000-0005-0000-0000-0000A4700000}"/>
    <cellStyle name="Comma 13 2 2 2 3 2 4" xfId="34394" xr:uid="{00000000-0005-0000-0000-0000A5700000}"/>
    <cellStyle name="Comma 13 2 2 2 3 2 4 2" xfId="34395" xr:uid="{00000000-0005-0000-0000-0000A6700000}"/>
    <cellStyle name="Comma 13 2 2 2 3 2 5" xfId="34396" xr:uid="{00000000-0005-0000-0000-0000A7700000}"/>
    <cellStyle name="Comma 13 2 2 2 3 2 6" xfId="34397" xr:uid="{00000000-0005-0000-0000-0000A8700000}"/>
    <cellStyle name="Comma 13 2 2 2 3 3" xfId="34398" xr:uid="{00000000-0005-0000-0000-0000A9700000}"/>
    <cellStyle name="Comma 13 2 2 2 3 3 2" xfId="34399" xr:uid="{00000000-0005-0000-0000-0000AA700000}"/>
    <cellStyle name="Comma 13 2 2 2 3 3 2 2" xfId="34400" xr:uid="{00000000-0005-0000-0000-0000AB700000}"/>
    <cellStyle name="Comma 13 2 2 2 3 3 2 3" xfId="34401" xr:uid="{00000000-0005-0000-0000-0000AC700000}"/>
    <cellStyle name="Comma 13 2 2 2 3 3 3" xfId="34402" xr:uid="{00000000-0005-0000-0000-0000AD700000}"/>
    <cellStyle name="Comma 13 2 2 2 3 3 3 2" xfId="34403" xr:uid="{00000000-0005-0000-0000-0000AE700000}"/>
    <cellStyle name="Comma 13 2 2 2 3 3 3 3" xfId="34404" xr:uid="{00000000-0005-0000-0000-0000AF700000}"/>
    <cellStyle name="Comma 13 2 2 2 3 3 4" xfId="34405" xr:uid="{00000000-0005-0000-0000-0000B0700000}"/>
    <cellStyle name="Comma 13 2 2 2 3 3 4 2" xfId="34406" xr:uid="{00000000-0005-0000-0000-0000B1700000}"/>
    <cellStyle name="Comma 13 2 2 2 3 3 5" xfId="34407" xr:uid="{00000000-0005-0000-0000-0000B2700000}"/>
    <cellStyle name="Comma 13 2 2 2 3 3 6" xfId="34408" xr:uid="{00000000-0005-0000-0000-0000B3700000}"/>
    <cellStyle name="Comma 13 2 2 2 3 4" xfId="34409" xr:uid="{00000000-0005-0000-0000-0000B4700000}"/>
    <cellStyle name="Comma 13 2 2 2 3 4 2" xfId="34410" xr:uid="{00000000-0005-0000-0000-0000B5700000}"/>
    <cellStyle name="Comma 13 2 2 2 3 4 2 2" xfId="34411" xr:uid="{00000000-0005-0000-0000-0000B6700000}"/>
    <cellStyle name="Comma 13 2 2 2 3 4 2 3" xfId="34412" xr:uid="{00000000-0005-0000-0000-0000B7700000}"/>
    <cellStyle name="Comma 13 2 2 2 3 4 3" xfId="34413" xr:uid="{00000000-0005-0000-0000-0000B8700000}"/>
    <cellStyle name="Comma 13 2 2 2 3 4 3 2" xfId="34414" xr:uid="{00000000-0005-0000-0000-0000B9700000}"/>
    <cellStyle name="Comma 13 2 2 2 3 4 4" xfId="34415" xr:uid="{00000000-0005-0000-0000-0000BA700000}"/>
    <cellStyle name="Comma 13 2 2 2 3 4 5" xfId="34416" xr:uid="{00000000-0005-0000-0000-0000BB700000}"/>
    <cellStyle name="Comma 13 2 2 2 3 5" xfId="34417" xr:uid="{00000000-0005-0000-0000-0000BC700000}"/>
    <cellStyle name="Comma 13 2 2 2 3 5 2" xfId="34418" xr:uid="{00000000-0005-0000-0000-0000BD700000}"/>
    <cellStyle name="Comma 13 2 2 2 3 5 3" xfId="34419" xr:uid="{00000000-0005-0000-0000-0000BE700000}"/>
    <cellStyle name="Comma 13 2 2 2 3 6" xfId="34420" xr:uid="{00000000-0005-0000-0000-0000BF700000}"/>
    <cellStyle name="Comma 13 2 2 2 3 6 2" xfId="34421" xr:uid="{00000000-0005-0000-0000-0000C0700000}"/>
    <cellStyle name="Comma 13 2 2 2 3 6 3" xfId="34422" xr:uid="{00000000-0005-0000-0000-0000C1700000}"/>
    <cellStyle name="Comma 13 2 2 2 3 7" xfId="34423" xr:uid="{00000000-0005-0000-0000-0000C2700000}"/>
    <cellStyle name="Comma 13 2 2 2 3 7 2" xfId="34424" xr:uid="{00000000-0005-0000-0000-0000C3700000}"/>
    <cellStyle name="Comma 13 2 2 2 3 8" xfId="34425" xr:uid="{00000000-0005-0000-0000-0000C4700000}"/>
    <cellStyle name="Comma 13 2 2 2 3 9" xfId="34426" xr:uid="{00000000-0005-0000-0000-0000C5700000}"/>
    <cellStyle name="Comma 13 2 2 2 4" xfId="34427" xr:uid="{00000000-0005-0000-0000-0000C6700000}"/>
    <cellStyle name="Comma 13 2 2 2 4 2" xfId="34428" xr:uid="{00000000-0005-0000-0000-0000C7700000}"/>
    <cellStyle name="Comma 13 2 2 2 4 2 2" xfId="34429" xr:uid="{00000000-0005-0000-0000-0000C8700000}"/>
    <cellStyle name="Comma 13 2 2 2 4 2 2 2" xfId="34430" xr:uid="{00000000-0005-0000-0000-0000C9700000}"/>
    <cellStyle name="Comma 13 2 2 2 4 2 2 3" xfId="34431" xr:uid="{00000000-0005-0000-0000-0000CA700000}"/>
    <cellStyle name="Comma 13 2 2 2 4 2 3" xfId="34432" xr:uid="{00000000-0005-0000-0000-0000CB700000}"/>
    <cellStyle name="Comma 13 2 2 2 4 2 3 2" xfId="34433" xr:uid="{00000000-0005-0000-0000-0000CC700000}"/>
    <cellStyle name="Comma 13 2 2 2 4 2 3 3" xfId="34434" xr:uid="{00000000-0005-0000-0000-0000CD700000}"/>
    <cellStyle name="Comma 13 2 2 2 4 2 4" xfId="34435" xr:uid="{00000000-0005-0000-0000-0000CE700000}"/>
    <cellStyle name="Comma 13 2 2 2 4 2 4 2" xfId="34436" xr:uid="{00000000-0005-0000-0000-0000CF700000}"/>
    <cellStyle name="Comma 13 2 2 2 4 2 5" xfId="34437" xr:uid="{00000000-0005-0000-0000-0000D0700000}"/>
    <cellStyle name="Comma 13 2 2 2 4 2 6" xfId="34438" xr:uid="{00000000-0005-0000-0000-0000D1700000}"/>
    <cellStyle name="Comma 13 2 2 2 4 3" xfId="34439" xr:uid="{00000000-0005-0000-0000-0000D2700000}"/>
    <cellStyle name="Comma 13 2 2 2 4 3 2" xfId="34440" xr:uid="{00000000-0005-0000-0000-0000D3700000}"/>
    <cellStyle name="Comma 13 2 2 2 4 3 2 2" xfId="34441" xr:uid="{00000000-0005-0000-0000-0000D4700000}"/>
    <cellStyle name="Comma 13 2 2 2 4 3 2 3" xfId="34442" xr:uid="{00000000-0005-0000-0000-0000D5700000}"/>
    <cellStyle name="Comma 13 2 2 2 4 3 3" xfId="34443" xr:uid="{00000000-0005-0000-0000-0000D6700000}"/>
    <cellStyle name="Comma 13 2 2 2 4 3 3 2" xfId="34444" xr:uid="{00000000-0005-0000-0000-0000D7700000}"/>
    <cellStyle name="Comma 13 2 2 2 4 3 3 3" xfId="34445" xr:uid="{00000000-0005-0000-0000-0000D8700000}"/>
    <cellStyle name="Comma 13 2 2 2 4 3 4" xfId="34446" xr:uid="{00000000-0005-0000-0000-0000D9700000}"/>
    <cellStyle name="Comma 13 2 2 2 4 3 4 2" xfId="34447" xr:uid="{00000000-0005-0000-0000-0000DA700000}"/>
    <cellStyle name="Comma 13 2 2 2 4 3 5" xfId="34448" xr:uid="{00000000-0005-0000-0000-0000DB700000}"/>
    <cellStyle name="Comma 13 2 2 2 4 3 6" xfId="34449" xr:uid="{00000000-0005-0000-0000-0000DC700000}"/>
    <cellStyle name="Comma 13 2 2 2 4 4" xfId="34450" xr:uid="{00000000-0005-0000-0000-0000DD700000}"/>
    <cellStyle name="Comma 13 2 2 2 4 4 2" xfId="34451" xr:uid="{00000000-0005-0000-0000-0000DE700000}"/>
    <cellStyle name="Comma 13 2 2 2 4 4 2 2" xfId="34452" xr:uid="{00000000-0005-0000-0000-0000DF700000}"/>
    <cellStyle name="Comma 13 2 2 2 4 4 2 3" xfId="34453" xr:uid="{00000000-0005-0000-0000-0000E0700000}"/>
    <cellStyle name="Comma 13 2 2 2 4 4 3" xfId="34454" xr:uid="{00000000-0005-0000-0000-0000E1700000}"/>
    <cellStyle name="Comma 13 2 2 2 4 4 3 2" xfId="34455" xr:uid="{00000000-0005-0000-0000-0000E2700000}"/>
    <cellStyle name="Comma 13 2 2 2 4 4 4" xfId="34456" xr:uid="{00000000-0005-0000-0000-0000E3700000}"/>
    <cellStyle name="Comma 13 2 2 2 4 4 5" xfId="34457" xr:uid="{00000000-0005-0000-0000-0000E4700000}"/>
    <cellStyle name="Comma 13 2 2 2 4 5" xfId="34458" xr:uid="{00000000-0005-0000-0000-0000E5700000}"/>
    <cellStyle name="Comma 13 2 2 2 4 5 2" xfId="34459" xr:uid="{00000000-0005-0000-0000-0000E6700000}"/>
    <cellStyle name="Comma 13 2 2 2 4 5 3" xfId="34460" xr:uid="{00000000-0005-0000-0000-0000E7700000}"/>
    <cellStyle name="Comma 13 2 2 2 4 6" xfId="34461" xr:uid="{00000000-0005-0000-0000-0000E8700000}"/>
    <cellStyle name="Comma 13 2 2 2 4 6 2" xfId="34462" xr:uid="{00000000-0005-0000-0000-0000E9700000}"/>
    <cellStyle name="Comma 13 2 2 2 4 6 3" xfId="34463" xr:uid="{00000000-0005-0000-0000-0000EA700000}"/>
    <cellStyle name="Comma 13 2 2 2 4 7" xfId="34464" xr:uid="{00000000-0005-0000-0000-0000EB700000}"/>
    <cellStyle name="Comma 13 2 2 2 4 7 2" xfId="34465" xr:uid="{00000000-0005-0000-0000-0000EC700000}"/>
    <cellStyle name="Comma 13 2 2 2 4 8" xfId="34466" xr:uid="{00000000-0005-0000-0000-0000ED700000}"/>
    <cellStyle name="Comma 13 2 2 2 4 9" xfId="34467" xr:uid="{00000000-0005-0000-0000-0000EE700000}"/>
    <cellStyle name="Comma 13 2 2 2 5" xfId="34468" xr:uid="{00000000-0005-0000-0000-0000EF700000}"/>
    <cellStyle name="Comma 13 2 2 2 5 2" xfId="34469" xr:uid="{00000000-0005-0000-0000-0000F0700000}"/>
    <cellStyle name="Comma 13 2 2 2 5 2 2" xfId="34470" xr:uid="{00000000-0005-0000-0000-0000F1700000}"/>
    <cellStyle name="Comma 13 2 2 2 5 2 3" xfId="34471" xr:uid="{00000000-0005-0000-0000-0000F2700000}"/>
    <cellStyle name="Comma 13 2 2 2 5 3" xfId="34472" xr:uid="{00000000-0005-0000-0000-0000F3700000}"/>
    <cellStyle name="Comma 13 2 2 2 5 3 2" xfId="34473" xr:uid="{00000000-0005-0000-0000-0000F4700000}"/>
    <cellStyle name="Comma 13 2 2 2 5 3 3" xfId="34474" xr:uid="{00000000-0005-0000-0000-0000F5700000}"/>
    <cellStyle name="Comma 13 2 2 2 5 4" xfId="34475" xr:uid="{00000000-0005-0000-0000-0000F6700000}"/>
    <cellStyle name="Comma 13 2 2 2 5 4 2" xfId="34476" xr:uid="{00000000-0005-0000-0000-0000F7700000}"/>
    <cellStyle name="Comma 13 2 2 2 5 5" xfId="34477" xr:uid="{00000000-0005-0000-0000-0000F8700000}"/>
    <cellStyle name="Comma 13 2 2 2 5 6" xfId="34478" xr:uid="{00000000-0005-0000-0000-0000F9700000}"/>
    <cellStyle name="Comma 13 2 2 2 6" xfId="34479" xr:uid="{00000000-0005-0000-0000-0000FA700000}"/>
    <cellStyle name="Comma 13 2 2 2 6 2" xfId="34480" xr:uid="{00000000-0005-0000-0000-0000FB700000}"/>
    <cellStyle name="Comma 13 2 2 2 6 2 2" xfId="34481" xr:uid="{00000000-0005-0000-0000-0000FC700000}"/>
    <cellStyle name="Comma 13 2 2 2 6 2 3" xfId="34482" xr:uid="{00000000-0005-0000-0000-0000FD700000}"/>
    <cellStyle name="Comma 13 2 2 2 6 3" xfId="34483" xr:uid="{00000000-0005-0000-0000-0000FE700000}"/>
    <cellStyle name="Comma 13 2 2 2 6 3 2" xfId="34484" xr:uid="{00000000-0005-0000-0000-0000FF700000}"/>
    <cellStyle name="Comma 13 2 2 2 6 3 3" xfId="34485" xr:uid="{00000000-0005-0000-0000-000000710000}"/>
    <cellStyle name="Comma 13 2 2 2 6 4" xfId="34486" xr:uid="{00000000-0005-0000-0000-000001710000}"/>
    <cellStyle name="Comma 13 2 2 2 6 4 2" xfId="34487" xr:uid="{00000000-0005-0000-0000-000002710000}"/>
    <cellStyle name="Comma 13 2 2 2 6 5" xfId="34488" xr:uid="{00000000-0005-0000-0000-000003710000}"/>
    <cellStyle name="Comma 13 2 2 2 6 6" xfId="34489" xr:uid="{00000000-0005-0000-0000-000004710000}"/>
    <cellStyle name="Comma 13 2 2 2 7" xfId="34490" xr:uid="{00000000-0005-0000-0000-000005710000}"/>
    <cellStyle name="Comma 13 2 2 2 7 2" xfId="34491" xr:uid="{00000000-0005-0000-0000-000006710000}"/>
    <cellStyle name="Comma 13 2 2 2 7 2 2" xfId="34492" xr:uid="{00000000-0005-0000-0000-000007710000}"/>
    <cellStyle name="Comma 13 2 2 2 7 2 3" xfId="34493" xr:uid="{00000000-0005-0000-0000-000008710000}"/>
    <cellStyle name="Comma 13 2 2 2 7 3" xfId="34494" xr:uid="{00000000-0005-0000-0000-000009710000}"/>
    <cellStyle name="Comma 13 2 2 2 7 3 2" xfId="34495" xr:uid="{00000000-0005-0000-0000-00000A710000}"/>
    <cellStyle name="Comma 13 2 2 2 7 4" xfId="34496" xr:uid="{00000000-0005-0000-0000-00000B710000}"/>
    <cellStyle name="Comma 13 2 2 2 7 5" xfId="34497" xr:uid="{00000000-0005-0000-0000-00000C710000}"/>
    <cellStyle name="Comma 13 2 2 2 8" xfId="34498" xr:uid="{00000000-0005-0000-0000-00000D710000}"/>
    <cellStyle name="Comma 13 2 2 2 8 2" xfId="34499" xr:uid="{00000000-0005-0000-0000-00000E710000}"/>
    <cellStyle name="Comma 13 2 2 2 8 3" xfId="34500" xr:uid="{00000000-0005-0000-0000-00000F710000}"/>
    <cellStyle name="Comma 13 2 2 2 9" xfId="34501" xr:uid="{00000000-0005-0000-0000-000010710000}"/>
    <cellStyle name="Comma 13 2 2 2 9 2" xfId="34502" xr:uid="{00000000-0005-0000-0000-000011710000}"/>
    <cellStyle name="Comma 13 2 2 2 9 3" xfId="34503" xr:uid="{00000000-0005-0000-0000-000012710000}"/>
    <cellStyle name="Comma 13 2 2 3" xfId="34504" xr:uid="{00000000-0005-0000-0000-000013710000}"/>
    <cellStyle name="Comma 13 2 2 3 10" xfId="34505" xr:uid="{00000000-0005-0000-0000-000014710000}"/>
    <cellStyle name="Comma 13 2 2 3 2" xfId="34506" xr:uid="{00000000-0005-0000-0000-000015710000}"/>
    <cellStyle name="Comma 13 2 2 3 2 2" xfId="34507" xr:uid="{00000000-0005-0000-0000-000016710000}"/>
    <cellStyle name="Comma 13 2 2 3 2 2 2" xfId="34508" xr:uid="{00000000-0005-0000-0000-000017710000}"/>
    <cellStyle name="Comma 13 2 2 3 2 2 2 2" xfId="34509" xr:uid="{00000000-0005-0000-0000-000018710000}"/>
    <cellStyle name="Comma 13 2 2 3 2 2 2 3" xfId="34510" xr:uid="{00000000-0005-0000-0000-000019710000}"/>
    <cellStyle name="Comma 13 2 2 3 2 2 3" xfId="34511" xr:uid="{00000000-0005-0000-0000-00001A710000}"/>
    <cellStyle name="Comma 13 2 2 3 2 2 3 2" xfId="34512" xr:uid="{00000000-0005-0000-0000-00001B710000}"/>
    <cellStyle name="Comma 13 2 2 3 2 2 3 3" xfId="34513" xr:uid="{00000000-0005-0000-0000-00001C710000}"/>
    <cellStyle name="Comma 13 2 2 3 2 2 4" xfId="34514" xr:uid="{00000000-0005-0000-0000-00001D710000}"/>
    <cellStyle name="Comma 13 2 2 3 2 2 4 2" xfId="34515" xr:uid="{00000000-0005-0000-0000-00001E710000}"/>
    <cellStyle name="Comma 13 2 2 3 2 2 5" xfId="34516" xr:uid="{00000000-0005-0000-0000-00001F710000}"/>
    <cellStyle name="Comma 13 2 2 3 2 2 6" xfId="34517" xr:uid="{00000000-0005-0000-0000-000020710000}"/>
    <cellStyle name="Comma 13 2 2 3 2 3" xfId="34518" xr:uid="{00000000-0005-0000-0000-000021710000}"/>
    <cellStyle name="Comma 13 2 2 3 2 3 2" xfId="34519" xr:uid="{00000000-0005-0000-0000-000022710000}"/>
    <cellStyle name="Comma 13 2 2 3 2 3 2 2" xfId="34520" xr:uid="{00000000-0005-0000-0000-000023710000}"/>
    <cellStyle name="Comma 13 2 2 3 2 3 2 3" xfId="34521" xr:uid="{00000000-0005-0000-0000-000024710000}"/>
    <cellStyle name="Comma 13 2 2 3 2 3 3" xfId="34522" xr:uid="{00000000-0005-0000-0000-000025710000}"/>
    <cellStyle name="Comma 13 2 2 3 2 3 3 2" xfId="34523" xr:uid="{00000000-0005-0000-0000-000026710000}"/>
    <cellStyle name="Comma 13 2 2 3 2 3 3 3" xfId="34524" xr:uid="{00000000-0005-0000-0000-000027710000}"/>
    <cellStyle name="Comma 13 2 2 3 2 3 4" xfId="34525" xr:uid="{00000000-0005-0000-0000-000028710000}"/>
    <cellStyle name="Comma 13 2 2 3 2 3 4 2" xfId="34526" xr:uid="{00000000-0005-0000-0000-000029710000}"/>
    <cellStyle name="Comma 13 2 2 3 2 3 5" xfId="34527" xr:uid="{00000000-0005-0000-0000-00002A710000}"/>
    <cellStyle name="Comma 13 2 2 3 2 3 6" xfId="34528" xr:uid="{00000000-0005-0000-0000-00002B710000}"/>
    <cellStyle name="Comma 13 2 2 3 2 4" xfId="34529" xr:uid="{00000000-0005-0000-0000-00002C710000}"/>
    <cellStyle name="Comma 13 2 2 3 2 4 2" xfId="34530" xr:uid="{00000000-0005-0000-0000-00002D710000}"/>
    <cellStyle name="Comma 13 2 2 3 2 4 2 2" xfId="34531" xr:uid="{00000000-0005-0000-0000-00002E710000}"/>
    <cellStyle name="Comma 13 2 2 3 2 4 2 3" xfId="34532" xr:uid="{00000000-0005-0000-0000-00002F710000}"/>
    <cellStyle name="Comma 13 2 2 3 2 4 3" xfId="34533" xr:uid="{00000000-0005-0000-0000-000030710000}"/>
    <cellStyle name="Comma 13 2 2 3 2 4 3 2" xfId="34534" xr:uid="{00000000-0005-0000-0000-000031710000}"/>
    <cellStyle name="Comma 13 2 2 3 2 4 4" xfId="34535" xr:uid="{00000000-0005-0000-0000-000032710000}"/>
    <cellStyle name="Comma 13 2 2 3 2 4 5" xfId="34536" xr:uid="{00000000-0005-0000-0000-000033710000}"/>
    <cellStyle name="Comma 13 2 2 3 2 5" xfId="34537" xr:uid="{00000000-0005-0000-0000-000034710000}"/>
    <cellStyle name="Comma 13 2 2 3 2 5 2" xfId="34538" xr:uid="{00000000-0005-0000-0000-000035710000}"/>
    <cellStyle name="Comma 13 2 2 3 2 5 3" xfId="34539" xr:uid="{00000000-0005-0000-0000-000036710000}"/>
    <cellStyle name="Comma 13 2 2 3 2 6" xfId="34540" xr:uid="{00000000-0005-0000-0000-000037710000}"/>
    <cellStyle name="Comma 13 2 2 3 2 6 2" xfId="34541" xr:uid="{00000000-0005-0000-0000-000038710000}"/>
    <cellStyle name="Comma 13 2 2 3 2 6 3" xfId="34542" xr:uid="{00000000-0005-0000-0000-000039710000}"/>
    <cellStyle name="Comma 13 2 2 3 2 7" xfId="34543" xr:uid="{00000000-0005-0000-0000-00003A710000}"/>
    <cellStyle name="Comma 13 2 2 3 2 7 2" xfId="34544" xr:uid="{00000000-0005-0000-0000-00003B710000}"/>
    <cellStyle name="Comma 13 2 2 3 2 8" xfId="34545" xr:uid="{00000000-0005-0000-0000-00003C710000}"/>
    <cellStyle name="Comma 13 2 2 3 2 9" xfId="34546" xr:uid="{00000000-0005-0000-0000-00003D710000}"/>
    <cellStyle name="Comma 13 2 2 3 3" xfId="34547" xr:uid="{00000000-0005-0000-0000-00003E710000}"/>
    <cellStyle name="Comma 13 2 2 3 3 2" xfId="34548" xr:uid="{00000000-0005-0000-0000-00003F710000}"/>
    <cellStyle name="Comma 13 2 2 3 3 2 2" xfId="34549" xr:uid="{00000000-0005-0000-0000-000040710000}"/>
    <cellStyle name="Comma 13 2 2 3 3 2 3" xfId="34550" xr:uid="{00000000-0005-0000-0000-000041710000}"/>
    <cellStyle name="Comma 13 2 2 3 3 3" xfId="34551" xr:uid="{00000000-0005-0000-0000-000042710000}"/>
    <cellStyle name="Comma 13 2 2 3 3 3 2" xfId="34552" xr:uid="{00000000-0005-0000-0000-000043710000}"/>
    <cellStyle name="Comma 13 2 2 3 3 3 3" xfId="34553" xr:uid="{00000000-0005-0000-0000-000044710000}"/>
    <cellStyle name="Comma 13 2 2 3 3 4" xfId="34554" xr:uid="{00000000-0005-0000-0000-000045710000}"/>
    <cellStyle name="Comma 13 2 2 3 3 4 2" xfId="34555" xr:uid="{00000000-0005-0000-0000-000046710000}"/>
    <cellStyle name="Comma 13 2 2 3 3 5" xfId="34556" xr:uid="{00000000-0005-0000-0000-000047710000}"/>
    <cellStyle name="Comma 13 2 2 3 3 6" xfId="34557" xr:uid="{00000000-0005-0000-0000-000048710000}"/>
    <cellStyle name="Comma 13 2 2 3 4" xfId="34558" xr:uid="{00000000-0005-0000-0000-000049710000}"/>
    <cellStyle name="Comma 13 2 2 3 4 2" xfId="34559" xr:uid="{00000000-0005-0000-0000-00004A710000}"/>
    <cellStyle name="Comma 13 2 2 3 4 2 2" xfId="34560" xr:uid="{00000000-0005-0000-0000-00004B710000}"/>
    <cellStyle name="Comma 13 2 2 3 4 2 3" xfId="34561" xr:uid="{00000000-0005-0000-0000-00004C710000}"/>
    <cellStyle name="Comma 13 2 2 3 4 3" xfId="34562" xr:uid="{00000000-0005-0000-0000-00004D710000}"/>
    <cellStyle name="Comma 13 2 2 3 4 3 2" xfId="34563" xr:uid="{00000000-0005-0000-0000-00004E710000}"/>
    <cellStyle name="Comma 13 2 2 3 4 3 3" xfId="34564" xr:uid="{00000000-0005-0000-0000-00004F710000}"/>
    <cellStyle name="Comma 13 2 2 3 4 4" xfId="34565" xr:uid="{00000000-0005-0000-0000-000050710000}"/>
    <cellStyle name="Comma 13 2 2 3 4 4 2" xfId="34566" xr:uid="{00000000-0005-0000-0000-000051710000}"/>
    <cellStyle name="Comma 13 2 2 3 4 5" xfId="34567" xr:uid="{00000000-0005-0000-0000-000052710000}"/>
    <cellStyle name="Comma 13 2 2 3 4 6" xfId="34568" xr:uid="{00000000-0005-0000-0000-000053710000}"/>
    <cellStyle name="Comma 13 2 2 3 5" xfId="34569" xr:uid="{00000000-0005-0000-0000-000054710000}"/>
    <cellStyle name="Comma 13 2 2 3 5 2" xfId="34570" xr:uid="{00000000-0005-0000-0000-000055710000}"/>
    <cellStyle name="Comma 13 2 2 3 5 2 2" xfId="34571" xr:uid="{00000000-0005-0000-0000-000056710000}"/>
    <cellStyle name="Comma 13 2 2 3 5 2 3" xfId="34572" xr:uid="{00000000-0005-0000-0000-000057710000}"/>
    <cellStyle name="Comma 13 2 2 3 5 3" xfId="34573" xr:uid="{00000000-0005-0000-0000-000058710000}"/>
    <cellStyle name="Comma 13 2 2 3 5 3 2" xfId="34574" xr:uid="{00000000-0005-0000-0000-000059710000}"/>
    <cellStyle name="Comma 13 2 2 3 5 4" xfId="34575" xr:uid="{00000000-0005-0000-0000-00005A710000}"/>
    <cellStyle name="Comma 13 2 2 3 5 5" xfId="34576" xr:uid="{00000000-0005-0000-0000-00005B710000}"/>
    <cellStyle name="Comma 13 2 2 3 6" xfId="34577" xr:uid="{00000000-0005-0000-0000-00005C710000}"/>
    <cellStyle name="Comma 13 2 2 3 6 2" xfId="34578" xr:uid="{00000000-0005-0000-0000-00005D710000}"/>
    <cellStyle name="Comma 13 2 2 3 6 3" xfId="34579" xr:uid="{00000000-0005-0000-0000-00005E710000}"/>
    <cellStyle name="Comma 13 2 2 3 7" xfId="34580" xr:uid="{00000000-0005-0000-0000-00005F710000}"/>
    <cellStyle name="Comma 13 2 2 3 7 2" xfId="34581" xr:uid="{00000000-0005-0000-0000-000060710000}"/>
    <cellStyle name="Comma 13 2 2 3 7 3" xfId="34582" xr:uid="{00000000-0005-0000-0000-000061710000}"/>
    <cellStyle name="Comma 13 2 2 3 8" xfId="34583" xr:uid="{00000000-0005-0000-0000-000062710000}"/>
    <cellStyle name="Comma 13 2 2 3 8 2" xfId="34584" xr:uid="{00000000-0005-0000-0000-000063710000}"/>
    <cellStyle name="Comma 13 2 2 3 9" xfId="34585" xr:uid="{00000000-0005-0000-0000-000064710000}"/>
    <cellStyle name="Comma 13 2 2 4" xfId="34586" xr:uid="{00000000-0005-0000-0000-000065710000}"/>
    <cellStyle name="Comma 13 2 2 4 2" xfId="34587" xr:uid="{00000000-0005-0000-0000-000066710000}"/>
    <cellStyle name="Comma 13 2 2 4 2 2" xfId="34588" xr:uid="{00000000-0005-0000-0000-000067710000}"/>
    <cellStyle name="Comma 13 2 2 4 2 2 2" xfId="34589" xr:uid="{00000000-0005-0000-0000-000068710000}"/>
    <cellStyle name="Comma 13 2 2 4 2 2 3" xfId="34590" xr:uid="{00000000-0005-0000-0000-000069710000}"/>
    <cellStyle name="Comma 13 2 2 4 2 3" xfId="34591" xr:uid="{00000000-0005-0000-0000-00006A710000}"/>
    <cellStyle name="Comma 13 2 2 4 2 3 2" xfId="34592" xr:uid="{00000000-0005-0000-0000-00006B710000}"/>
    <cellStyle name="Comma 13 2 2 4 2 3 3" xfId="34593" xr:uid="{00000000-0005-0000-0000-00006C710000}"/>
    <cellStyle name="Comma 13 2 2 4 2 4" xfId="34594" xr:uid="{00000000-0005-0000-0000-00006D710000}"/>
    <cellStyle name="Comma 13 2 2 4 2 4 2" xfId="34595" xr:uid="{00000000-0005-0000-0000-00006E710000}"/>
    <cellStyle name="Comma 13 2 2 4 2 5" xfId="34596" xr:uid="{00000000-0005-0000-0000-00006F710000}"/>
    <cellStyle name="Comma 13 2 2 4 2 6" xfId="34597" xr:uid="{00000000-0005-0000-0000-000070710000}"/>
    <cellStyle name="Comma 13 2 2 4 3" xfId="34598" xr:uid="{00000000-0005-0000-0000-000071710000}"/>
    <cellStyle name="Comma 13 2 2 4 3 2" xfId="34599" xr:uid="{00000000-0005-0000-0000-000072710000}"/>
    <cellStyle name="Comma 13 2 2 4 3 2 2" xfId="34600" xr:uid="{00000000-0005-0000-0000-000073710000}"/>
    <cellStyle name="Comma 13 2 2 4 3 2 3" xfId="34601" xr:uid="{00000000-0005-0000-0000-000074710000}"/>
    <cellStyle name="Comma 13 2 2 4 3 3" xfId="34602" xr:uid="{00000000-0005-0000-0000-000075710000}"/>
    <cellStyle name="Comma 13 2 2 4 3 3 2" xfId="34603" xr:uid="{00000000-0005-0000-0000-000076710000}"/>
    <cellStyle name="Comma 13 2 2 4 3 3 3" xfId="34604" xr:uid="{00000000-0005-0000-0000-000077710000}"/>
    <cellStyle name="Comma 13 2 2 4 3 4" xfId="34605" xr:uid="{00000000-0005-0000-0000-000078710000}"/>
    <cellStyle name="Comma 13 2 2 4 3 4 2" xfId="34606" xr:uid="{00000000-0005-0000-0000-000079710000}"/>
    <cellStyle name="Comma 13 2 2 4 3 5" xfId="34607" xr:uid="{00000000-0005-0000-0000-00007A710000}"/>
    <cellStyle name="Comma 13 2 2 4 3 6" xfId="34608" xr:uid="{00000000-0005-0000-0000-00007B710000}"/>
    <cellStyle name="Comma 13 2 2 4 4" xfId="34609" xr:uid="{00000000-0005-0000-0000-00007C710000}"/>
    <cellStyle name="Comma 13 2 2 4 4 2" xfId="34610" xr:uid="{00000000-0005-0000-0000-00007D710000}"/>
    <cellStyle name="Comma 13 2 2 4 4 2 2" xfId="34611" xr:uid="{00000000-0005-0000-0000-00007E710000}"/>
    <cellStyle name="Comma 13 2 2 4 4 2 3" xfId="34612" xr:uid="{00000000-0005-0000-0000-00007F710000}"/>
    <cellStyle name="Comma 13 2 2 4 4 3" xfId="34613" xr:uid="{00000000-0005-0000-0000-000080710000}"/>
    <cellStyle name="Comma 13 2 2 4 4 3 2" xfId="34614" xr:uid="{00000000-0005-0000-0000-000081710000}"/>
    <cellStyle name="Comma 13 2 2 4 4 4" xfId="34615" xr:uid="{00000000-0005-0000-0000-000082710000}"/>
    <cellStyle name="Comma 13 2 2 4 4 5" xfId="34616" xr:uid="{00000000-0005-0000-0000-000083710000}"/>
    <cellStyle name="Comma 13 2 2 4 5" xfId="34617" xr:uid="{00000000-0005-0000-0000-000084710000}"/>
    <cellStyle name="Comma 13 2 2 4 5 2" xfId="34618" xr:uid="{00000000-0005-0000-0000-000085710000}"/>
    <cellStyle name="Comma 13 2 2 4 5 3" xfId="34619" xr:uid="{00000000-0005-0000-0000-000086710000}"/>
    <cellStyle name="Comma 13 2 2 4 6" xfId="34620" xr:uid="{00000000-0005-0000-0000-000087710000}"/>
    <cellStyle name="Comma 13 2 2 4 6 2" xfId="34621" xr:uid="{00000000-0005-0000-0000-000088710000}"/>
    <cellStyle name="Comma 13 2 2 4 6 3" xfId="34622" xr:uid="{00000000-0005-0000-0000-000089710000}"/>
    <cellStyle name="Comma 13 2 2 4 7" xfId="34623" xr:uid="{00000000-0005-0000-0000-00008A710000}"/>
    <cellStyle name="Comma 13 2 2 4 7 2" xfId="34624" xr:uid="{00000000-0005-0000-0000-00008B710000}"/>
    <cellStyle name="Comma 13 2 2 4 8" xfId="34625" xr:uid="{00000000-0005-0000-0000-00008C710000}"/>
    <cellStyle name="Comma 13 2 2 4 9" xfId="34626" xr:uid="{00000000-0005-0000-0000-00008D710000}"/>
    <cellStyle name="Comma 13 2 2 5" xfId="34627" xr:uid="{00000000-0005-0000-0000-00008E710000}"/>
    <cellStyle name="Comma 13 2 2 5 2" xfId="34628" xr:uid="{00000000-0005-0000-0000-00008F710000}"/>
    <cellStyle name="Comma 13 2 2 5 2 2" xfId="34629" xr:uid="{00000000-0005-0000-0000-000090710000}"/>
    <cellStyle name="Comma 13 2 2 5 2 2 2" xfId="34630" xr:uid="{00000000-0005-0000-0000-000091710000}"/>
    <cellStyle name="Comma 13 2 2 5 2 2 3" xfId="34631" xr:uid="{00000000-0005-0000-0000-000092710000}"/>
    <cellStyle name="Comma 13 2 2 5 2 3" xfId="34632" xr:uid="{00000000-0005-0000-0000-000093710000}"/>
    <cellStyle name="Comma 13 2 2 5 2 3 2" xfId="34633" xr:uid="{00000000-0005-0000-0000-000094710000}"/>
    <cellStyle name="Comma 13 2 2 5 2 3 3" xfId="34634" xr:uid="{00000000-0005-0000-0000-000095710000}"/>
    <cellStyle name="Comma 13 2 2 5 2 4" xfId="34635" xr:uid="{00000000-0005-0000-0000-000096710000}"/>
    <cellStyle name="Comma 13 2 2 5 2 4 2" xfId="34636" xr:uid="{00000000-0005-0000-0000-000097710000}"/>
    <cellStyle name="Comma 13 2 2 5 2 5" xfId="34637" xr:uid="{00000000-0005-0000-0000-000098710000}"/>
    <cellStyle name="Comma 13 2 2 5 2 6" xfId="34638" xr:uid="{00000000-0005-0000-0000-000099710000}"/>
    <cellStyle name="Comma 13 2 2 5 3" xfId="34639" xr:uid="{00000000-0005-0000-0000-00009A710000}"/>
    <cellStyle name="Comma 13 2 2 5 3 2" xfId="34640" xr:uid="{00000000-0005-0000-0000-00009B710000}"/>
    <cellStyle name="Comma 13 2 2 5 3 2 2" xfId="34641" xr:uid="{00000000-0005-0000-0000-00009C710000}"/>
    <cellStyle name="Comma 13 2 2 5 3 2 3" xfId="34642" xr:uid="{00000000-0005-0000-0000-00009D710000}"/>
    <cellStyle name="Comma 13 2 2 5 3 3" xfId="34643" xr:uid="{00000000-0005-0000-0000-00009E710000}"/>
    <cellStyle name="Comma 13 2 2 5 3 3 2" xfId="34644" xr:uid="{00000000-0005-0000-0000-00009F710000}"/>
    <cellStyle name="Comma 13 2 2 5 3 3 3" xfId="34645" xr:uid="{00000000-0005-0000-0000-0000A0710000}"/>
    <cellStyle name="Comma 13 2 2 5 3 4" xfId="34646" xr:uid="{00000000-0005-0000-0000-0000A1710000}"/>
    <cellStyle name="Comma 13 2 2 5 3 4 2" xfId="34647" xr:uid="{00000000-0005-0000-0000-0000A2710000}"/>
    <cellStyle name="Comma 13 2 2 5 3 5" xfId="34648" xr:uid="{00000000-0005-0000-0000-0000A3710000}"/>
    <cellStyle name="Comma 13 2 2 5 3 6" xfId="34649" xr:uid="{00000000-0005-0000-0000-0000A4710000}"/>
    <cellStyle name="Comma 13 2 2 5 4" xfId="34650" xr:uid="{00000000-0005-0000-0000-0000A5710000}"/>
    <cellStyle name="Comma 13 2 2 5 4 2" xfId="34651" xr:uid="{00000000-0005-0000-0000-0000A6710000}"/>
    <cellStyle name="Comma 13 2 2 5 4 2 2" xfId="34652" xr:uid="{00000000-0005-0000-0000-0000A7710000}"/>
    <cellStyle name="Comma 13 2 2 5 4 2 3" xfId="34653" xr:uid="{00000000-0005-0000-0000-0000A8710000}"/>
    <cellStyle name="Comma 13 2 2 5 4 3" xfId="34654" xr:uid="{00000000-0005-0000-0000-0000A9710000}"/>
    <cellStyle name="Comma 13 2 2 5 4 3 2" xfId="34655" xr:uid="{00000000-0005-0000-0000-0000AA710000}"/>
    <cellStyle name="Comma 13 2 2 5 4 4" xfId="34656" xr:uid="{00000000-0005-0000-0000-0000AB710000}"/>
    <cellStyle name="Comma 13 2 2 5 4 5" xfId="34657" xr:uid="{00000000-0005-0000-0000-0000AC710000}"/>
    <cellStyle name="Comma 13 2 2 5 5" xfId="34658" xr:uid="{00000000-0005-0000-0000-0000AD710000}"/>
    <cellStyle name="Comma 13 2 2 5 5 2" xfId="34659" xr:uid="{00000000-0005-0000-0000-0000AE710000}"/>
    <cellStyle name="Comma 13 2 2 5 5 3" xfId="34660" xr:uid="{00000000-0005-0000-0000-0000AF710000}"/>
    <cellStyle name="Comma 13 2 2 5 6" xfId="34661" xr:uid="{00000000-0005-0000-0000-0000B0710000}"/>
    <cellStyle name="Comma 13 2 2 5 6 2" xfId="34662" xr:uid="{00000000-0005-0000-0000-0000B1710000}"/>
    <cellStyle name="Comma 13 2 2 5 6 3" xfId="34663" xr:uid="{00000000-0005-0000-0000-0000B2710000}"/>
    <cellStyle name="Comma 13 2 2 5 7" xfId="34664" xr:uid="{00000000-0005-0000-0000-0000B3710000}"/>
    <cellStyle name="Comma 13 2 2 5 7 2" xfId="34665" xr:uid="{00000000-0005-0000-0000-0000B4710000}"/>
    <cellStyle name="Comma 13 2 2 5 8" xfId="34666" xr:uid="{00000000-0005-0000-0000-0000B5710000}"/>
    <cellStyle name="Comma 13 2 2 5 9" xfId="34667" xr:uid="{00000000-0005-0000-0000-0000B6710000}"/>
    <cellStyle name="Comma 13 2 2 6" xfId="34668" xr:uid="{00000000-0005-0000-0000-0000B7710000}"/>
    <cellStyle name="Comma 13 2 2 6 2" xfId="34669" xr:uid="{00000000-0005-0000-0000-0000B8710000}"/>
    <cellStyle name="Comma 13 2 2 6 2 2" xfId="34670" xr:uid="{00000000-0005-0000-0000-0000B9710000}"/>
    <cellStyle name="Comma 13 2 2 6 2 3" xfId="34671" xr:uid="{00000000-0005-0000-0000-0000BA710000}"/>
    <cellStyle name="Comma 13 2 2 6 3" xfId="34672" xr:uid="{00000000-0005-0000-0000-0000BB710000}"/>
    <cellStyle name="Comma 13 2 2 6 3 2" xfId="34673" xr:uid="{00000000-0005-0000-0000-0000BC710000}"/>
    <cellStyle name="Comma 13 2 2 6 3 3" xfId="34674" xr:uid="{00000000-0005-0000-0000-0000BD710000}"/>
    <cellStyle name="Comma 13 2 2 6 4" xfId="34675" xr:uid="{00000000-0005-0000-0000-0000BE710000}"/>
    <cellStyle name="Comma 13 2 2 6 4 2" xfId="34676" xr:uid="{00000000-0005-0000-0000-0000BF710000}"/>
    <cellStyle name="Comma 13 2 2 6 5" xfId="34677" xr:uid="{00000000-0005-0000-0000-0000C0710000}"/>
    <cellStyle name="Comma 13 2 2 6 6" xfId="34678" xr:uid="{00000000-0005-0000-0000-0000C1710000}"/>
    <cellStyle name="Comma 13 2 2 7" xfId="34679" xr:uid="{00000000-0005-0000-0000-0000C2710000}"/>
    <cellStyle name="Comma 13 2 2 7 2" xfId="34680" xr:uid="{00000000-0005-0000-0000-0000C3710000}"/>
    <cellStyle name="Comma 13 2 2 7 2 2" xfId="34681" xr:uid="{00000000-0005-0000-0000-0000C4710000}"/>
    <cellStyle name="Comma 13 2 2 7 2 3" xfId="34682" xr:uid="{00000000-0005-0000-0000-0000C5710000}"/>
    <cellStyle name="Comma 13 2 2 7 3" xfId="34683" xr:uid="{00000000-0005-0000-0000-0000C6710000}"/>
    <cellStyle name="Comma 13 2 2 7 3 2" xfId="34684" xr:uid="{00000000-0005-0000-0000-0000C7710000}"/>
    <cellStyle name="Comma 13 2 2 7 3 3" xfId="34685" xr:uid="{00000000-0005-0000-0000-0000C8710000}"/>
    <cellStyle name="Comma 13 2 2 7 4" xfId="34686" xr:uid="{00000000-0005-0000-0000-0000C9710000}"/>
    <cellStyle name="Comma 13 2 2 7 4 2" xfId="34687" xr:uid="{00000000-0005-0000-0000-0000CA710000}"/>
    <cellStyle name="Comma 13 2 2 7 5" xfId="34688" xr:uid="{00000000-0005-0000-0000-0000CB710000}"/>
    <cellStyle name="Comma 13 2 2 7 6" xfId="34689" xr:uid="{00000000-0005-0000-0000-0000CC710000}"/>
    <cellStyle name="Comma 13 2 2 8" xfId="34690" xr:uid="{00000000-0005-0000-0000-0000CD710000}"/>
    <cellStyle name="Comma 13 2 2 8 2" xfId="34691" xr:uid="{00000000-0005-0000-0000-0000CE710000}"/>
    <cellStyle name="Comma 13 2 2 8 2 2" xfId="34692" xr:uid="{00000000-0005-0000-0000-0000CF710000}"/>
    <cellStyle name="Comma 13 2 2 8 2 3" xfId="34693" xr:uid="{00000000-0005-0000-0000-0000D0710000}"/>
    <cellStyle name="Comma 13 2 2 8 3" xfId="34694" xr:uid="{00000000-0005-0000-0000-0000D1710000}"/>
    <cellStyle name="Comma 13 2 2 8 3 2" xfId="34695" xr:uid="{00000000-0005-0000-0000-0000D2710000}"/>
    <cellStyle name="Comma 13 2 2 8 4" xfId="34696" xr:uid="{00000000-0005-0000-0000-0000D3710000}"/>
    <cellStyle name="Comma 13 2 2 8 5" xfId="34697" xr:uid="{00000000-0005-0000-0000-0000D4710000}"/>
    <cellStyle name="Comma 13 2 2 9" xfId="34698" xr:uid="{00000000-0005-0000-0000-0000D5710000}"/>
    <cellStyle name="Comma 13 2 2 9 2" xfId="34699" xr:uid="{00000000-0005-0000-0000-0000D6710000}"/>
    <cellStyle name="Comma 13 2 2 9 3" xfId="34700" xr:uid="{00000000-0005-0000-0000-0000D7710000}"/>
    <cellStyle name="Comma 13 2 3" xfId="34701" xr:uid="{00000000-0005-0000-0000-0000D8710000}"/>
    <cellStyle name="Comma 13 2 3 10" xfId="34702" xr:uid="{00000000-0005-0000-0000-0000D9710000}"/>
    <cellStyle name="Comma 13 2 3 10 2" xfId="34703" xr:uid="{00000000-0005-0000-0000-0000DA710000}"/>
    <cellStyle name="Comma 13 2 3 11" xfId="34704" xr:uid="{00000000-0005-0000-0000-0000DB710000}"/>
    <cellStyle name="Comma 13 2 3 12" xfId="34705" xr:uid="{00000000-0005-0000-0000-0000DC710000}"/>
    <cellStyle name="Comma 13 2 3 2" xfId="34706" xr:uid="{00000000-0005-0000-0000-0000DD710000}"/>
    <cellStyle name="Comma 13 2 3 2 10" xfId="34707" xr:uid="{00000000-0005-0000-0000-0000DE710000}"/>
    <cellStyle name="Comma 13 2 3 2 2" xfId="34708" xr:uid="{00000000-0005-0000-0000-0000DF710000}"/>
    <cellStyle name="Comma 13 2 3 2 2 2" xfId="34709" xr:uid="{00000000-0005-0000-0000-0000E0710000}"/>
    <cellStyle name="Comma 13 2 3 2 2 2 2" xfId="34710" xr:uid="{00000000-0005-0000-0000-0000E1710000}"/>
    <cellStyle name="Comma 13 2 3 2 2 2 2 2" xfId="34711" xr:uid="{00000000-0005-0000-0000-0000E2710000}"/>
    <cellStyle name="Comma 13 2 3 2 2 2 2 3" xfId="34712" xr:uid="{00000000-0005-0000-0000-0000E3710000}"/>
    <cellStyle name="Comma 13 2 3 2 2 2 3" xfId="34713" xr:uid="{00000000-0005-0000-0000-0000E4710000}"/>
    <cellStyle name="Comma 13 2 3 2 2 2 3 2" xfId="34714" xr:uid="{00000000-0005-0000-0000-0000E5710000}"/>
    <cellStyle name="Comma 13 2 3 2 2 2 3 3" xfId="34715" xr:uid="{00000000-0005-0000-0000-0000E6710000}"/>
    <cellStyle name="Comma 13 2 3 2 2 2 4" xfId="34716" xr:uid="{00000000-0005-0000-0000-0000E7710000}"/>
    <cellStyle name="Comma 13 2 3 2 2 2 4 2" xfId="34717" xr:uid="{00000000-0005-0000-0000-0000E8710000}"/>
    <cellStyle name="Comma 13 2 3 2 2 2 5" xfId="34718" xr:uid="{00000000-0005-0000-0000-0000E9710000}"/>
    <cellStyle name="Comma 13 2 3 2 2 2 6" xfId="34719" xr:uid="{00000000-0005-0000-0000-0000EA710000}"/>
    <cellStyle name="Comma 13 2 3 2 2 3" xfId="34720" xr:uid="{00000000-0005-0000-0000-0000EB710000}"/>
    <cellStyle name="Comma 13 2 3 2 2 3 2" xfId="34721" xr:uid="{00000000-0005-0000-0000-0000EC710000}"/>
    <cellStyle name="Comma 13 2 3 2 2 3 2 2" xfId="34722" xr:uid="{00000000-0005-0000-0000-0000ED710000}"/>
    <cellStyle name="Comma 13 2 3 2 2 3 2 3" xfId="34723" xr:uid="{00000000-0005-0000-0000-0000EE710000}"/>
    <cellStyle name="Comma 13 2 3 2 2 3 3" xfId="34724" xr:uid="{00000000-0005-0000-0000-0000EF710000}"/>
    <cellStyle name="Comma 13 2 3 2 2 3 3 2" xfId="34725" xr:uid="{00000000-0005-0000-0000-0000F0710000}"/>
    <cellStyle name="Comma 13 2 3 2 2 3 3 3" xfId="34726" xr:uid="{00000000-0005-0000-0000-0000F1710000}"/>
    <cellStyle name="Comma 13 2 3 2 2 3 4" xfId="34727" xr:uid="{00000000-0005-0000-0000-0000F2710000}"/>
    <cellStyle name="Comma 13 2 3 2 2 3 4 2" xfId="34728" xr:uid="{00000000-0005-0000-0000-0000F3710000}"/>
    <cellStyle name="Comma 13 2 3 2 2 3 5" xfId="34729" xr:uid="{00000000-0005-0000-0000-0000F4710000}"/>
    <cellStyle name="Comma 13 2 3 2 2 3 6" xfId="34730" xr:uid="{00000000-0005-0000-0000-0000F5710000}"/>
    <cellStyle name="Comma 13 2 3 2 2 4" xfId="34731" xr:uid="{00000000-0005-0000-0000-0000F6710000}"/>
    <cellStyle name="Comma 13 2 3 2 2 4 2" xfId="34732" xr:uid="{00000000-0005-0000-0000-0000F7710000}"/>
    <cellStyle name="Comma 13 2 3 2 2 4 2 2" xfId="34733" xr:uid="{00000000-0005-0000-0000-0000F8710000}"/>
    <cellStyle name="Comma 13 2 3 2 2 4 2 3" xfId="34734" xr:uid="{00000000-0005-0000-0000-0000F9710000}"/>
    <cellStyle name="Comma 13 2 3 2 2 4 3" xfId="34735" xr:uid="{00000000-0005-0000-0000-0000FA710000}"/>
    <cellStyle name="Comma 13 2 3 2 2 4 3 2" xfId="34736" xr:uid="{00000000-0005-0000-0000-0000FB710000}"/>
    <cellStyle name="Comma 13 2 3 2 2 4 4" xfId="34737" xr:uid="{00000000-0005-0000-0000-0000FC710000}"/>
    <cellStyle name="Comma 13 2 3 2 2 4 5" xfId="34738" xr:uid="{00000000-0005-0000-0000-0000FD710000}"/>
    <cellStyle name="Comma 13 2 3 2 2 5" xfId="34739" xr:uid="{00000000-0005-0000-0000-0000FE710000}"/>
    <cellStyle name="Comma 13 2 3 2 2 5 2" xfId="34740" xr:uid="{00000000-0005-0000-0000-0000FF710000}"/>
    <cellStyle name="Comma 13 2 3 2 2 5 3" xfId="34741" xr:uid="{00000000-0005-0000-0000-000000720000}"/>
    <cellStyle name="Comma 13 2 3 2 2 6" xfId="34742" xr:uid="{00000000-0005-0000-0000-000001720000}"/>
    <cellStyle name="Comma 13 2 3 2 2 6 2" xfId="34743" xr:uid="{00000000-0005-0000-0000-000002720000}"/>
    <cellStyle name="Comma 13 2 3 2 2 6 3" xfId="34744" xr:uid="{00000000-0005-0000-0000-000003720000}"/>
    <cellStyle name="Comma 13 2 3 2 2 7" xfId="34745" xr:uid="{00000000-0005-0000-0000-000004720000}"/>
    <cellStyle name="Comma 13 2 3 2 2 7 2" xfId="34746" xr:uid="{00000000-0005-0000-0000-000005720000}"/>
    <cellStyle name="Comma 13 2 3 2 2 8" xfId="34747" xr:uid="{00000000-0005-0000-0000-000006720000}"/>
    <cellStyle name="Comma 13 2 3 2 2 9" xfId="34748" xr:uid="{00000000-0005-0000-0000-000007720000}"/>
    <cellStyle name="Comma 13 2 3 2 3" xfId="34749" xr:uid="{00000000-0005-0000-0000-000008720000}"/>
    <cellStyle name="Comma 13 2 3 2 3 2" xfId="34750" xr:uid="{00000000-0005-0000-0000-000009720000}"/>
    <cellStyle name="Comma 13 2 3 2 3 2 2" xfId="34751" xr:uid="{00000000-0005-0000-0000-00000A720000}"/>
    <cellStyle name="Comma 13 2 3 2 3 2 3" xfId="34752" xr:uid="{00000000-0005-0000-0000-00000B720000}"/>
    <cellStyle name="Comma 13 2 3 2 3 3" xfId="34753" xr:uid="{00000000-0005-0000-0000-00000C720000}"/>
    <cellStyle name="Comma 13 2 3 2 3 3 2" xfId="34754" xr:uid="{00000000-0005-0000-0000-00000D720000}"/>
    <cellStyle name="Comma 13 2 3 2 3 3 3" xfId="34755" xr:uid="{00000000-0005-0000-0000-00000E720000}"/>
    <cellStyle name="Comma 13 2 3 2 3 4" xfId="34756" xr:uid="{00000000-0005-0000-0000-00000F720000}"/>
    <cellStyle name="Comma 13 2 3 2 3 4 2" xfId="34757" xr:uid="{00000000-0005-0000-0000-000010720000}"/>
    <cellStyle name="Comma 13 2 3 2 3 5" xfId="34758" xr:uid="{00000000-0005-0000-0000-000011720000}"/>
    <cellStyle name="Comma 13 2 3 2 3 6" xfId="34759" xr:uid="{00000000-0005-0000-0000-000012720000}"/>
    <cellStyle name="Comma 13 2 3 2 4" xfId="34760" xr:uid="{00000000-0005-0000-0000-000013720000}"/>
    <cellStyle name="Comma 13 2 3 2 4 2" xfId="34761" xr:uid="{00000000-0005-0000-0000-000014720000}"/>
    <cellStyle name="Comma 13 2 3 2 4 2 2" xfId="34762" xr:uid="{00000000-0005-0000-0000-000015720000}"/>
    <cellStyle name="Comma 13 2 3 2 4 2 3" xfId="34763" xr:uid="{00000000-0005-0000-0000-000016720000}"/>
    <cellStyle name="Comma 13 2 3 2 4 3" xfId="34764" xr:uid="{00000000-0005-0000-0000-000017720000}"/>
    <cellStyle name="Comma 13 2 3 2 4 3 2" xfId="34765" xr:uid="{00000000-0005-0000-0000-000018720000}"/>
    <cellStyle name="Comma 13 2 3 2 4 3 3" xfId="34766" xr:uid="{00000000-0005-0000-0000-000019720000}"/>
    <cellStyle name="Comma 13 2 3 2 4 4" xfId="34767" xr:uid="{00000000-0005-0000-0000-00001A720000}"/>
    <cellStyle name="Comma 13 2 3 2 4 4 2" xfId="34768" xr:uid="{00000000-0005-0000-0000-00001B720000}"/>
    <cellStyle name="Comma 13 2 3 2 4 5" xfId="34769" xr:uid="{00000000-0005-0000-0000-00001C720000}"/>
    <cellStyle name="Comma 13 2 3 2 4 6" xfId="34770" xr:uid="{00000000-0005-0000-0000-00001D720000}"/>
    <cellStyle name="Comma 13 2 3 2 5" xfId="34771" xr:uid="{00000000-0005-0000-0000-00001E720000}"/>
    <cellStyle name="Comma 13 2 3 2 5 2" xfId="34772" xr:uid="{00000000-0005-0000-0000-00001F720000}"/>
    <cellStyle name="Comma 13 2 3 2 5 2 2" xfId="34773" xr:uid="{00000000-0005-0000-0000-000020720000}"/>
    <cellStyle name="Comma 13 2 3 2 5 2 3" xfId="34774" xr:uid="{00000000-0005-0000-0000-000021720000}"/>
    <cellStyle name="Comma 13 2 3 2 5 3" xfId="34775" xr:uid="{00000000-0005-0000-0000-000022720000}"/>
    <cellStyle name="Comma 13 2 3 2 5 3 2" xfId="34776" xr:uid="{00000000-0005-0000-0000-000023720000}"/>
    <cellStyle name="Comma 13 2 3 2 5 4" xfId="34777" xr:uid="{00000000-0005-0000-0000-000024720000}"/>
    <cellStyle name="Comma 13 2 3 2 5 5" xfId="34778" xr:uid="{00000000-0005-0000-0000-000025720000}"/>
    <cellStyle name="Comma 13 2 3 2 6" xfId="34779" xr:uid="{00000000-0005-0000-0000-000026720000}"/>
    <cellStyle name="Comma 13 2 3 2 6 2" xfId="34780" xr:uid="{00000000-0005-0000-0000-000027720000}"/>
    <cellStyle name="Comma 13 2 3 2 6 3" xfId="34781" xr:uid="{00000000-0005-0000-0000-000028720000}"/>
    <cellStyle name="Comma 13 2 3 2 7" xfId="34782" xr:uid="{00000000-0005-0000-0000-000029720000}"/>
    <cellStyle name="Comma 13 2 3 2 7 2" xfId="34783" xr:uid="{00000000-0005-0000-0000-00002A720000}"/>
    <cellStyle name="Comma 13 2 3 2 7 3" xfId="34784" xr:uid="{00000000-0005-0000-0000-00002B720000}"/>
    <cellStyle name="Comma 13 2 3 2 8" xfId="34785" xr:uid="{00000000-0005-0000-0000-00002C720000}"/>
    <cellStyle name="Comma 13 2 3 2 8 2" xfId="34786" xr:uid="{00000000-0005-0000-0000-00002D720000}"/>
    <cellStyle name="Comma 13 2 3 2 9" xfId="34787" xr:uid="{00000000-0005-0000-0000-00002E720000}"/>
    <cellStyle name="Comma 13 2 3 3" xfId="34788" xr:uid="{00000000-0005-0000-0000-00002F720000}"/>
    <cellStyle name="Comma 13 2 3 3 2" xfId="34789" xr:uid="{00000000-0005-0000-0000-000030720000}"/>
    <cellStyle name="Comma 13 2 3 3 2 2" xfId="34790" xr:uid="{00000000-0005-0000-0000-000031720000}"/>
    <cellStyle name="Comma 13 2 3 3 2 2 2" xfId="34791" xr:uid="{00000000-0005-0000-0000-000032720000}"/>
    <cellStyle name="Comma 13 2 3 3 2 2 3" xfId="34792" xr:uid="{00000000-0005-0000-0000-000033720000}"/>
    <cellStyle name="Comma 13 2 3 3 2 3" xfId="34793" xr:uid="{00000000-0005-0000-0000-000034720000}"/>
    <cellStyle name="Comma 13 2 3 3 2 3 2" xfId="34794" xr:uid="{00000000-0005-0000-0000-000035720000}"/>
    <cellStyle name="Comma 13 2 3 3 2 3 3" xfId="34795" xr:uid="{00000000-0005-0000-0000-000036720000}"/>
    <cellStyle name="Comma 13 2 3 3 2 4" xfId="34796" xr:uid="{00000000-0005-0000-0000-000037720000}"/>
    <cellStyle name="Comma 13 2 3 3 2 4 2" xfId="34797" xr:uid="{00000000-0005-0000-0000-000038720000}"/>
    <cellStyle name="Comma 13 2 3 3 2 5" xfId="34798" xr:uid="{00000000-0005-0000-0000-000039720000}"/>
    <cellStyle name="Comma 13 2 3 3 2 6" xfId="34799" xr:uid="{00000000-0005-0000-0000-00003A720000}"/>
    <cellStyle name="Comma 13 2 3 3 3" xfId="34800" xr:uid="{00000000-0005-0000-0000-00003B720000}"/>
    <cellStyle name="Comma 13 2 3 3 3 2" xfId="34801" xr:uid="{00000000-0005-0000-0000-00003C720000}"/>
    <cellStyle name="Comma 13 2 3 3 3 2 2" xfId="34802" xr:uid="{00000000-0005-0000-0000-00003D720000}"/>
    <cellStyle name="Comma 13 2 3 3 3 2 3" xfId="34803" xr:uid="{00000000-0005-0000-0000-00003E720000}"/>
    <cellStyle name="Comma 13 2 3 3 3 3" xfId="34804" xr:uid="{00000000-0005-0000-0000-00003F720000}"/>
    <cellStyle name="Comma 13 2 3 3 3 3 2" xfId="34805" xr:uid="{00000000-0005-0000-0000-000040720000}"/>
    <cellStyle name="Comma 13 2 3 3 3 3 3" xfId="34806" xr:uid="{00000000-0005-0000-0000-000041720000}"/>
    <cellStyle name="Comma 13 2 3 3 3 4" xfId="34807" xr:uid="{00000000-0005-0000-0000-000042720000}"/>
    <cellStyle name="Comma 13 2 3 3 3 4 2" xfId="34808" xr:uid="{00000000-0005-0000-0000-000043720000}"/>
    <cellStyle name="Comma 13 2 3 3 3 5" xfId="34809" xr:uid="{00000000-0005-0000-0000-000044720000}"/>
    <cellStyle name="Comma 13 2 3 3 3 6" xfId="34810" xr:uid="{00000000-0005-0000-0000-000045720000}"/>
    <cellStyle name="Comma 13 2 3 3 4" xfId="34811" xr:uid="{00000000-0005-0000-0000-000046720000}"/>
    <cellStyle name="Comma 13 2 3 3 4 2" xfId="34812" xr:uid="{00000000-0005-0000-0000-000047720000}"/>
    <cellStyle name="Comma 13 2 3 3 4 2 2" xfId="34813" xr:uid="{00000000-0005-0000-0000-000048720000}"/>
    <cellStyle name="Comma 13 2 3 3 4 2 3" xfId="34814" xr:uid="{00000000-0005-0000-0000-000049720000}"/>
    <cellStyle name="Comma 13 2 3 3 4 3" xfId="34815" xr:uid="{00000000-0005-0000-0000-00004A720000}"/>
    <cellStyle name="Comma 13 2 3 3 4 3 2" xfId="34816" xr:uid="{00000000-0005-0000-0000-00004B720000}"/>
    <cellStyle name="Comma 13 2 3 3 4 4" xfId="34817" xr:uid="{00000000-0005-0000-0000-00004C720000}"/>
    <cellStyle name="Comma 13 2 3 3 4 5" xfId="34818" xr:uid="{00000000-0005-0000-0000-00004D720000}"/>
    <cellStyle name="Comma 13 2 3 3 5" xfId="34819" xr:uid="{00000000-0005-0000-0000-00004E720000}"/>
    <cellStyle name="Comma 13 2 3 3 5 2" xfId="34820" xr:uid="{00000000-0005-0000-0000-00004F720000}"/>
    <cellStyle name="Comma 13 2 3 3 5 3" xfId="34821" xr:uid="{00000000-0005-0000-0000-000050720000}"/>
    <cellStyle name="Comma 13 2 3 3 6" xfId="34822" xr:uid="{00000000-0005-0000-0000-000051720000}"/>
    <cellStyle name="Comma 13 2 3 3 6 2" xfId="34823" xr:uid="{00000000-0005-0000-0000-000052720000}"/>
    <cellStyle name="Comma 13 2 3 3 6 3" xfId="34824" xr:uid="{00000000-0005-0000-0000-000053720000}"/>
    <cellStyle name="Comma 13 2 3 3 7" xfId="34825" xr:uid="{00000000-0005-0000-0000-000054720000}"/>
    <cellStyle name="Comma 13 2 3 3 7 2" xfId="34826" xr:uid="{00000000-0005-0000-0000-000055720000}"/>
    <cellStyle name="Comma 13 2 3 3 8" xfId="34827" xr:uid="{00000000-0005-0000-0000-000056720000}"/>
    <cellStyle name="Comma 13 2 3 3 9" xfId="34828" xr:uid="{00000000-0005-0000-0000-000057720000}"/>
    <cellStyle name="Comma 13 2 3 4" xfId="34829" xr:uid="{00000000-0005-0000-0000-000058720000}"/>
    <cellStyle name="Comma 13 2 3 4 2" xfId="34830" xr:uid="{00000000-0005-0000-0000-000059720000}"/>
    <cellStyle name="Comma 13 2 3 4 2 2" xfId="34831" xr:uid="{00000000-0005-0000-0000-00005A720000}"/>
    <cellStyle name="Comma 13 2 3 4 2 2 2" xfId="34832" xr:uid="{00000000-0005-0000-0000-00005B720000}"/>
    <cellStyle name="Comma 13 2 3 4 2 2 3" xfId="34833" xr:uid="{00000000-0005-0000-0000-00005C720000}"/>
    <cellStyle name="Comma 13 2 3 4 2 3" xfId="34834" xr:uid="{00000000-0005-0000-0000-00005D720000}"/>
    <cellStyle name="Comma 13 2 3 4 2 3 2" xfId="34835" xr:uid="{00000000-0005-0000-0000-00005E720000}"/>
    <cellStyle name="Comma 13 2 3 4 2 3 3" xfId="34836" xr:uid="{00000000-0005-0000-0000-00005F720000}"/>
    <cellStyle name="Comma 13 2 3 4 2 4" xfId="34837" xr:uid="{00000000-0005-0000-0000-000060720000}"/>
    <cellStyle name="Comma 13 2 3 4 2 4 2" xfId="34838" xr:uid="{00000000-0005-0000-0000-000061720000}"/>
    <cellStyle name="Comma 13 2 3 4 2 5" xfId="34839" xr:uid="{00000000-0005-0000-0000-000062720000}"/>
    <cellStyle name="Comma 13 2 3 4 2 6" xfId="34840" xr:uid="{00000000-0005-0000-0000-000063720000}"/>
    <cellStyle name="Comma 13 2 3 4 3" xfId="34841" xr:uid="{00000000-0005-0000-0000-000064720000}"/>
    <cellStyle name="Comma 13 2 3 4 3 2" xfId="34842" xr:uid="{00000000-0005-0000-0000-000065720000}"/>
    <cellStyle name="Comma 13 2 3 4 3 2 2" xfId="34843" xr:uid="{00000000-0005-0000-0000-000066720000}"/>
    <cellStyle name="Comma 13 2 3 4 3 2 3" xfId="34844" xr:uid="{00000000-0005-0000-0000-000067720000}"/>
    <cellStyle name="Comma 13 2 3 4 3 3" xfId="34845" xr:uid="{00000000-0005-0000-0000-000068720000}"/>
    <cellStyle name="Comma 13 2 3 4 3 3 2" xfId="34846" xr:uid="{00000000-0005-0000-0000-000069720000}"/>
    <cellStyle name="Comma 13 2 3 4 3 3 3" xfId="34847" xr:uid="{00000000-0005-0000-0000-00006A720000}"/>
    <cellStyle name="Comma 13 2 3 4 3 4" xfId="34848" xr:uid="{00000000-0005-0000-0000-00006B720000}"/>
    <cellStyle name="Comma 13 2 3 4 3 4 2" xfId="34849" xr:uid="{00000000-0005-0000-0000-00006C720000}"/>
    <cellStyle name="Comma 13 2 3 4 3 5" xfId="34850" xr:uid="{00000000-0005-0000-0000-00006D720000}"/>
    <cellStyle name="Comma 13 2 3 4 3 6" xfId="34851" xr:uid="{00000000-0005-0000-0000-00006E720000}"/>
    <cellStyle name="Comma 13 2 3 4 4" xfId="34852" xr:uid="{00000000-0005-0000-0000-00006F720000}"/>
    <cellStyle name="Comma 13 2 3 4 4 2" xfId="34853" xr:uid="{00000000-0005-0000-0000-000070720000}"/>
    <cellStyle name="Comma 13 2 3 4 4 2 2" xfId="34854" xr:uid="{00000000-0005-0000-0000-000071720000}"/>
    <cellStyle name="Comma 13 2 3 4 4 2 3" xfId="34855" xr:uid="{00000000-0005-0000-0000-000072720000}"/>
    <cellStyle name="Comma 13 2 3 4 4 3" xfId="34856" xr:uid="{00000000-0005-0000-0000-000073720000}"/>
    <cellStyle name="Comma 13 2 3 4 4 3 2" xfId="34857" xr:uid="{00000000-0005-0000-0000-000074720000}"/>
    <cellStyle name="Comma 13 2 3 4 4 4" xfId="34858" xr:uid="{00000000-0005-0000-0000-000075720000}"/>
    <cellStyle name="Comma 13 2 3 4 4 5" xfId="34859" xr:uid="{00000000-0005-0000-0000-000076720000}"/>
    <cellStyle name="Comma 13 2 3 4 5" xfId="34860" xr:uid="{00000000-0005-0000-0000-000077720000}"/>
    <cellStyle name="Comma 13 2 3 4 5 2" xfId="34861" xr:uid="{00000000-0005-0000-0000-000078720000}"/>
    <cellStyle name="Comma 13 2 3 4 5 3" xfId="34862" xr:uid="{00000000-0005-0000-0000-000079720000}"/>
    <cellStyle name="Comma 13 2 3 4 6" xfId="34863" xr:uid="{00000000-0005-0000-0000-00007A720000}"/>
    <cellStyle name="Comma 13 2 3 4 6 2" xfId="34864" xr:uid="{00000000-0005-0000-0000-00007B720000}"/>
    <cellStyle name="Comma 13 2 3 4 6 3" xfId="34865" xr:uid="{00000000-0005-0000-0000-00007C720000}"/>
    <cellStyle name="Comma 13 2 3 4 7" xfId="34866" xr:uid="{00000000-0005-0000-0000-00007D720000}"/>
    <cellStyle name="Comma 13 2 3 4 7 2" xfId="34867" xr:uid="{00000000-0005-0000-0000-00007E720000}"/>
    <cellStyle name="Comma 13 2 3 4 8" xfId="34868" xr:uid="{00000000-0005-0000-0000-00007F720000}"/>
    <cellStyle name="Comma 13 2 3 4 9" xfId="34869" xr:uid="{00000000-0005-0000-0000-000080720000}"/>
    <cellStyle name="Comma 13 2 3 5" xfId="34870" xr:uid="{00000000-0005-0000-0000-000081720000}"/>
    <cellStyle name="Comma 13 2 3 5 2" xfId="34871" xr:uid="{00000000-0005-0000-0000-000082720000}"/>
    <cellStyle name="Comma 13 2 3 5 2 2" xfId="34872" xr:uid="{00000000-0005-0000-0000-000083720000}"/>
    <cellStyle name="Comma 13 2 3 5 2 3" xfId="34873" xr:uid="{00000000-0005-0000-0000-000084720000}"/>
    <cellStyle name="Comma 13 2 3 5 3" xfId="34874" xr:uid="{00000000-0005-0000-0000-000085720000}"/>
    <cellStyle name="Comma 13 2 3 5 3 2" xfId="34875" xr:uid="{00000000-0005-0000-0000-000086720000}"/>
    <cellStyle name="Comma 13 2 3 5 3 3" xfId="34876" xr:uid="{00000000-0005-0000-0000-000087720000}"/>
    <cellStyle name="Comma 13 2 3 5 4" xfId="34877" xr:uid="{00000000-0005-0000-0000-000088720000}"/>
    <cellStyle name="Comma 13 2 3 5 4 2" xfId="34878" xr:uid="{00000000-0005-0000-0000-000089720000}"/>
    <cellStyle name="Comma 13 2 3 5 5" xfId="34879" xr:uid="{00000000-0005-0000-0000-00008A720000}"/>
    <cellStyle name="Comma 13 2 3 5 6" xfId="34880" xr:uid="{00000000-0005-0000-0000-00008B720000}"/>
    <cellStyle name="Comma 13 2 3 6" xfId="34881" xr:uid="{00000000-0005-0000-0000-00008C720000}"/>
    <cellStyle name="Comma 13 2 3 6 2" xfId="34882" xr:uid="{00000000-0005-0000-0000-00008D720000}"/>
    <cellStyle name="Comma 13 2 3 6 2 2" xfId="34883" xr:uid="{00000000-0005-0000-0000-00008E720000}"/>
    <cellStyle name="Comma 13 2 3 6 2 3" xfId="34884" xr:uid="{00000000-0005-0000-0000-00008F720000}"/>
    <cellStyle name="Comma 13 2 3 6 3" xfId="34885" xr:uid="{00000000-0005-0000-0000-000090720000}"/>
    <cellStyle name="Comma 13 2 3 6 3 2" xfId="34886" xr:uid="{00000000-0005-0000-0000-000091720000}"/>
    <cellStyle name="Comma 13 2 3 6 3 3" xfId="34887" xr:uid="{00000000-0005-0000-0000-000092720000}"/>
    <cellStyle name="Comma 13 2 3 6 4" xfId="34888" xr:uid="{00000000-0005-0000-0000-000093720000}"/>
    <cellStyle name="Comma 13 2 3 6 4 2" xfId="34889" xr:uid="{00000000-0005-0000-0000-000094720000}"/>
    <cellStyle name="Comma 13 2 3 6 5" xfId="34890" xr:uid="{00000000-0005-0000-0000-000095720000}"/>
    <cellStyle name="Comma 13 2 3 6 6" xfId="34891" xr:uid="{00000000-0005-0000-0000-000096720000}"/>
    <cellStyle name="Comma 13 2 3 7" xfId="34892" xr:uid="{00000000-0005-0000-0000-000097720000}"/>
    <cellStyle name="Comma 13 2 3 7 2" xfId="34893" xr:uid="{00000000-0005-0000-0000-000098720000}"/>
    <cellStyle name="Comma 13 2 3 7 2 2" xfId="34894" xr:uid="{00000000-0005-0000-0000-000099720000}"/>
    <cellStyle name="Comma 13 2 3 7 2 3" xfId="34895" xr:uid="{00000000-0005-0000-0000-00009A720000}"/>
    <cellStyle name="Comma 13 2 3 7 3" xfId="34896" xr:uid="{00000000-0005-0000-0000-00009B720000}"/>
    <cellStyle name="Comma 13 2 3 7 3 2" xfId="34897" xr:uid="{00000000-0005-0000-0000-00009C720000}"/>
    <cellStyle name="Comma 13 2 3 7 4" xfId="34898" xr:uid="{00000000-0005-0000-0000-00009D720000}"/>
    <cellStyle name="Comma 13 2 3 7 5" xfId="34899" xr:uid="{00000000-0005-0000-0000-00009E720000}"/>
    <cellStyle name="Comma 13 2 3 8" xfId="34900" xr:uid="{00000000-0005-0000-0000-00009F720000}"/>
    <cellStyle name="Comma 13 2 3 8 2" xfId="34901" xr:uid="{00000000-0005-0000-0000-0000A0720000}"/>
    <cellStyle name="Comma 13 2 3 8 3" xfId="34902" xr:uid="{00000000-0005-0000-0000-0000A1720000}"/>
    <cellStyle name="Comma 13 2 3 9" xfId="34903" xr:uid="{00000000-0005-0000-0000-0000A2720000}"/>
    <cellStyle name="Comma 13 2 3 9 2" xfId="34904" xr:uid="{00000000-0005-0000-0000-0000A3720000}"/>
    <cellStyle name="Comma 13 2 3 9 3" xfId="34905" xr:uid="{00000000-0005-0000-0000-0000A4720000}"/>
    <cellStyle name="Comma 13 2 4" xfId="34906" xr:uid="{00000000-0005-0000-0000-0000A5720000}"/>
    <cellStyle name="Comma 13 2 4 10" xfId="34907" xr:uid="{00000000-0005-0000-0000-0000A6720000}"/>
    <cellStyle name="Comma 13 2 4 2" xfId="34908" xr:uid="{00000000-0005-0000-0000-0000A7720000}"/>
    <cellStyle name="Comma 13 2 4 2 2" xfId="34909" xr:uid="{00000000-0005-0000-0000-0000A8720000}"/>
    <cellStyle name="Comma 13 2 4 2 2 2" xfId="34910" xr:uid="{00000000-0005-0000-0000-0000A9720000}"/>
    <cellStyle name="Comma 13 2 4 2 2 2 2" xfId="34911" xr:uid="{00000000-0005-0000-0000-0000AA720000}"/>
    <cellStyle name="Comma 13 2 4 2 2 2 3" xfId="34912" xr:uid="{00000000-0005-0000-0000-0000AB720000}"/>
    <cellStyle name="Comma 13 2 4 2 2 3" xfId="34913" xr:uid="{00000000-0005-0000-0000-0000AC720000}"/>
    <cellStyle name="Comma 13 2 4 2 2 3 2" xfId="34914" xr:uid="{00000000-0005-0000-0000-0000AD720000}"/>
    <cellStyle name="Comma 13 2 4 2 2 3 3" xfId="34915" xr:uid="{00000000-0005-0000-0000-0000AE720000}"/>
    <cellStyle name="Comma 13 2 4 2 2 4" xfId="34916" xr:uid="{00000000-0005-0000-0000-0000AF720000}"/>
    <cellStyle name="Comma 13 2 4 2 2 4 2" xfId="34917" xr:uid="{00000000-0005-0000-0000-0000B0720000}"/>
    <cellStyle name="Comma 13 2 4 2 2 5" xfId="34918" xr:uid="{00000000-0005-0000-0000-0000B1720000}"/>
    <cellStyle name="Comma 13 2 4 2 2 6" xfId="34919" xr:uid="{00000000-0005-0000-0000-0000B2720000}"/>
    <cellStyle name="Comma 13 2 4 2 3" xfId="34920" xr:uid="{00000000-0005-0000-0000-0000B3720000}"/>
    <cellStyle name="Comma 13 2 4 2 3 2" xfId="34921" xr:uid="{00000000-0005-0000-0000-0000B4720000}"/>
    <cellStyle name="Comma 13 2 4 2 3 2 2" xfId="34922" xr:uid="{00000000-0005-0000-0000-0000B5720000}"/>
    <cellStyle name="Comma 13 2 4 2 3 2 3" xfId="34923" xr:uid="{00000000-0005-0000-0000-0000B6720000}"/>
    <cellStyle name="Comma 13 2 4 2 3 3" xfId="34924" xr:uid="{00000000-0005-0000-0000-0000B7720000}"/>
    <cellStyle name="Comma 13 2 4 2 3 3 2" xfId="34925" xr:uid="{00000000-0005-0000-0000-0000B8720000}"/>
    <cellStyle name="Comma 13 2 4 2 3 3 3" xfId="34926" xr:uid="{00000000-0005-0000-0000-0000B9720000}"/>
    <cellStyle name="Comma 13 2 4 2 3 4" xfId="34927" xr:uid="{00000000-0005-0000-0000-0000BA720000}"/>
    <cellStyle name="Comma 13 2 4 2 3 4 2" xfId="34928" xr:uid="{00000000-0005-0000-0000-0000BB720000}"/>
    <cellStyle name="Comma 13 2 4 2 3 5" xfId="34929" xr:uid="{00000000-0005-0000-0000-0000BC720000}"/>
    <cellStyle name="Comma 13 2 4 2 3 6" xfId="34930" xr:uid="{00000000-0005-0000-0000-0000BD720000}"/>
    <cellStyle name="Comma 13 2 4 2 4" xfId="34931" xr:uid="{00000000-0005-0000-0000-0000BE720000}"/>
    <cellStyle name="Comma 13 2 4 2 4 2" xfId="34932" xr:uid="{00000000-0005-0000-0000-0000BF720000}"/>
    <cellStyle name="Comma 13 2 4 2 4 2 2" xfId="34933" xr:uid="{00000000-0005-0000-0000-0000C0720000}"/>
    <cellStyle name="Comma 13 2 4 2 4 2 3" xfId="34934" xr:uid="{00000000-0005-0000-0000-0000C1720000}"/>
    <cellStyle name="Comma 13 2 4 2 4 3" xfId="34935" xr:uid="{00000000-0005-0000-0000-0000C2720000}"/>
    <cellStyle name="Comma 13 2 4 2 4 3 2" xfId="34936" xr:uid="{00000000-0005-0000-0000-0000C3720000}"/>
    <cellStyle name="Comma 13 2 4 2 4 4" xfId="34937" xr:uid="{00000000-0005-0000-0000-0000C4720000}"/>
    <cellStyle name="Comma 13 2 4 2 4 5" xfId="34938" xr:uid="{00000000-0005-0000-0000-0000C5720000}"/>
    <cellStyle name="Comma 13 2 4 2 5" xfId="34939" xr:uid="{00000000-0005-0000-0000-0000C6720000}"/>
    <cellStyle name="Comma 13 2 4 2 5 2" xfId="34940" xr:uid="{00000000-0005-0000-0000-0000C7720000}"/>
    <cellStyle name="Comma 13 2 4 2 5 3" xfId="34941" xr:uid="{00000000-0005-0000-0000-0000C8720000}"/>
    <cellStyle name="Comma 13 2 4 2 6" xfId="34942" xr:uid="{00000000-0005-0000-0000-0000C9720000}"/>
    <cellStyle name="Comma 13 2 4 2 6 2" xfId="34943" xr:uid="{00000000-0005-0000-0000-0000CA720000}"/>
    <cellStyle name="Comma 13 2 4 2 6 3" xfId="34944" xr:uid="{00000000-0005-0000-0000-0000CB720000}"/>
    <cellStyle name="Comma 13 2 4 2 7" xfId="34945" xr:uid="{00000000-0005-0000-0000-0000CC720000}"/>
    <cellStyle name="Comma 13 2 4 2 7 2" xfId="34946" xr:uid="{00000000-0005-0000-0000-0000CD720000}"/>
    <cellStyle name="Comma 13 2 4 2 8" xfId="34947" xr:uid="{00000000-0005-0000-0000-0000CE720000}"/>
    <cellStyle name="Comma 13 2 4 2 9" xfId="34948" xr:uid="{00000000-0005-0000-0000-0000CF720000}"/>
    <cellStyle name="Comma 13 2 4 3" xfId="34949" xr:uid="{00000000-0005-0000-0000-0000D0720000}"/>
    <cellStyle name="Comma 13 2 4 3 2" xfId="34950" xr:uid="{00000000-0005-0000-0000-0000D1720000}"/>
    <cellStyle name="Comma 13 2 4 3 2 2" xfId="34951" xr:uid="{00000000-0005-0000-0000-0000D2720000}"/>
    <cellStyle name="Comma 13 2 4 3 2 3" xfId="34952" xr:uid="{00000000-0005-0000-0000-0000D3720000}"/>
    <cellStyle name="Comma 13 2 4 3 3" xfId="34953" xr:uid="{00000000-0005-0000-0000-0000D4720000}"/>
    <cellStyle name="Comma 13 2 4 3 3 2" xfId="34954" xr:uid="{00000000-0005-0000-0000-0000D5720000}"/>
    <cellStyle name="Comma 13 2 4 3 3 3" xfId="34955" xr:uid="{00000000-0005-0000-0000-0000D6720000}"/>
    <cellStyle name="Comma 13 2 4 3 4" xfId="34956" xr:uid="{00000000-0005-0000-0000-0000D7720000}"/>
    <cellStyle name="Comma 13 2 4 3 4 2" xfId="34957" xr:uid="{00000000-0005-0000-0000-0000D8720000}"/>
    <cellStyle name="Comma 13 2 4 3 5" xfId="34958" xr:uid="{00000000-0005-0000-0000-0000D9720000}"/>
    <cellStyle name="Comma 13 2 4 3 6" xfId="34959" xr:uid="{00000000-0005-0000-0000-0000DA720000}"/>
    <cellStyle name="Comma 13 2 4 4" xfId="34960" xr:uid="{00000000-0005-0000-0000-0000DB720000}"/>
    <cellStyle name="Comma 13 2 4 4 2" xfId="34961" xr:uid="{00000000-0005-0000-0000-0000DC720000}"/>
    <cellStyle name="Comma 13 2 4 4 2 2" xfId="34962" xr:uid="{00000000-0005-0000-0000-0000DD720000}"/>
    <cellStyle name="Comma 13 2 4 4 2 3" xfId="34963" xr:uid="{00000000-0005-0000-0000-0000DE720000}"/>
    <cellStyle name="Comma 13 2 4 4 3" xfId="34964" xr:uid="{00000000-0005-0000-0000-0000DF720000}"/>
    <cellStyle name="Comma 13 2 4 4 3 2" xfId="34965" xr:uid="{00000000-0005-0000-0000-0000E0720000}"/>
    <cellStyle name="Comma 13 2 4 4 3 3" xfId="34966" xr:uid="{00000000-0005-0000-0000-0000E1720000}"/>
    <cellStyle name="Comma 13 2 4 4 4" xfId="34967" xr:uid="{00000000-0005-0000-0000-0000E2720000}"/>
    <cellStyle name="Comma 13 2 4 4 4 2" xfId="34968" xr:uid="{00000000-0005-0000-0000-0000E3720000}"/>
    <cellStyle name="Comma 13 2 4 4 5" xfId="34969" xr:uid="{00000000-0005-0000-0000-0000E4720000}"/>
    <cellStyle name="Comma 13 2 4 4 6" xfId="34970" xr:uid="{00000000-0005-0000-0000-0000E5720000}"/>
    <cellStyle name="Comma 13 2 4 5" xfId="34971" xr:uid="{00000000-0005-0000-0000-0000E6720000}"/>
    <cellStyle name="Comma 13 2 4 5 2" xfId="34972" xr:uid="{00000000-0005-0000-0000-0000E7720000}"/>
    <cellStyle name="Comma 13 2 4 5 2 2" xfId="34973" xr:uid="{00000000-0005-0000-0000-0000E8720000}"/>
    <cellStyle name="Comma 13 2 4 5 2 3" xfId="34974" xr:uid="{00000000-0005-0000-0000-0000E9720000}"/>
    <cellStyle name="Comma 13 2 4 5 3" xfId="34975" xr:uid="{00000000-0005-0000-0000-0000EA720000}"/>
    <cellStyle name="Comma 13 2 4 5 3 2" xfId="34976" xr:uid="{00000000-0005-0000-0000-0000EB720000}"/>
    <cellStyle name="Comma 13 2 4 5 4" xfId="34977" xr:uid="{00000000-0005-0000-0000-0000EC720000}"/>
    <cellStyle name="Comma 13 2 4 5 5" xfId="34978" xr:uid="{00000000-0005-0000-0000-0000ED720000}"/>
    <cellStyle name="Comma 13 2 4 6" xfId="34979" xr:uid="{00000000-0005-0000-0000-0000EE720000}"/>
    <cellStyle name="Comma 13 2 4 6 2" xfId="34980" xr:uid="{00000000-0005-0000-0000-0000EF720000}"/>
    <cellStyle name="Comma 13 2 4 6 3" xfId="34981" xr:uid="{00000000-0005-0000-0000-0000F0720000}"/>
    <cellStyle name="Comma 13 2 4 7" xfId="34982" xr:uid="{00000000-0005-0000-0000-0000F1720000}"/>
    <cellStyle name="Comma 13 2 4 7 2" xfId="34983" xr:uid="{00000000-0005-0000-0000-0000F2720000}"/>
    <cellStyle name="Comma 13 2 4 7 3" xfId="34984" xr:uid="{00000000-0005-0000-0000-0000F3720000}"/>
    <cellStyle name="Comma 13 2 4 8" xfId="34985" xr:uid="{00000000-0005-0000-0000-0000F4720000}"/>
    <cellStyle name="Comma 13 2 4 8 2" xfId="34986" xr:uid="{00000000-0005-0000-0000-0000F5720000}"/>
    <cellStyle name="Comma 13 2 4 9" xfId="34987" xr:uid="{00000000-0005-0000-0000-0000F6720000}"/>
    <cellStyle name="Comma 13 2 5" xfId="34988" xr:uid="{00000000-0005-0000-0000-0000F7720000}"/>
    <cellStyle name="Comma 13 2 5 2" xfId="34989" xr:uid="{00000000-0005-0000-0000-0000F8720000}"/>
    <cellStyle name="Comma 13 2 5 2 2" xfId="34990" xr:uid="{00000000-0005-0000-0000-0000F9720000}"/>
    <cellStyle name="Comma 13 2 5 2 2 2" xfId="34991" xr:uid="{00000000-0005-0000-0000-0000FA720000}"/>
    <cellStyle name="Comma 13 2 5 2 2 3" xfId="34992" xr:uid="{00000000-0005-0000-0000-0000FB720000}"/>
    <cellStyle name="Comma 13 2 5 2 3" xfId="34993" xr:uid="{00000000-0005-0000-0000-0000FC720000}"/>
    <cellStyle name="Comma 13 2 5 2 3 2" xfId="34994" xr:uid="{00000000-0005-0000-0000-0000FD720000}"/>
    <cellStyle name="Comma 13 2 5 2 3 3" xfId="34995" xr:uid="{00000000-0005-0000-0000-0000FE720000}"/>
    <cellStyle name="Comma 13 2 5 2 4" xfId="34996" xr:uid="{00000000-0005-0000-0000-0000FF720000}"/>
    <cellStyle name="Comma 13 2 5 2 4 2" xfId="34997" xr:uid="{00000000-0005-0000-0000-000000730000}"/>
    <cellStyle name="Comma 13 2 5 2 5" xfId="34998" xr:uid="{00000000-0005-0000-0000-000001730000}"/>
    <cellStyle name="Comma 13 2 5 2 6" xfId="34999" xr:uid="{00000000-0005-0000-0000-000002730000}"/>
    <cellStyle name="Comma 13 2 5 3" xfId="35000" xr:uid="{00000000-0005-0000-0000-000003730000}"/>
    <cellStyle name="Comma 13 2 5 3 2" xfId="35001" xr:uid="{00000000-0005-0000-0000-000004730000}"/>
    <cellStyle name="Comma 13 2 5 3 2 2" xfId="35002" xr:uid="{00000000-0005-0000-0000-000005730000}"/>
    <cellStyle name="Comma 13 2 5 3 2 3" xfId="35003" xr:uid="{00000000-0005-0000-0000-000006730000}"/>
    <cellStyle name="Comma 13 2 5 3 3" xfId="35004" xr:uid="{00000000-0005-0000-0000-000007730000}"/>
    <cellStyle name="Comma 13 2 5 3 3 2" xfId="35005" xr:uid="{00000000-0005-0000-0000-000008730000}"/>
    <cellStyle name="Comma 13 2 5 3 3 3" xfId="35006" xr:uid="{00000000-0005-0000-0000-000009730000}"/>
    <cellStyle name="Comma 13 2 5 3 4" xfId="35007" xr:uid="{00000000-0005-0000-0000-00000A730000}"/>
    <cellStyle name="Comma 13 2 5 3 4 2" xfId="35008" xr:uid="{00000000-0005-0000-0000-00000B730000}"/>
    <cellStyle name="Comma 13 2 5 3 5" xfId="35009" xr:uid="{00000000-0005-0000-0000-00000C730000}"/>
    <cellStyle name="Comma 13 2 5 3 6" xfId="35010" xr:uid="{00000000-0005-0000-0000-00000D730000}"/>
    <cellStyle name="Comma 13 2 5 4" xfId="35011" xr:uid="{00000000-0005-0000-0000-00000E730000}"/>
    <cellStyle name="Comma 13 2 5 4 2" xfId="35012" xr:uid="{00000000-0005-0000-0000-00000F730000}"/>
    <cellStyle name="Comma 13 2 5 4 2 2" xfId="35013" xr:uid="{00000000-0005-0000-0000-000010730000}"/>
    <cellStyle name="Comma 13 2 5 4 2 3" xfId="35014" xr:uid="{00000000-0005-0000-0000-000011730000}"/>
    <cellStyle name="Comma 13 2 5 4 3" xfId="35015" xr:uid="{00000000-0005-0000-0000-000012730000}"/>
    <cellStyle name="Comma 13 2 5 4 3 2" xfId="35016" xr:uid="{00000000-0005-0000-0000-000013730000}"/>
    <cellStyle name="Comma 13 2 5 4 4" xfId="35017" xr:uid="{00000000-0005-0000-0000-000014730000}"/>
    <cellStyle name="Comma 13 2 5 4 5" xfId="35018" xr:uid="{00000000-0005-0000-0000-000015730000}"/>
    <cellStyle name="Comma 13 2 5 5" xfId="35019" xr:uid="{00000000-0005-0000-0000-000016730000}"/>
    <cellStyle name="Comma 13 2 5 5 2" xfId="35020" xr:uid="{00000000-0005-0000-0000-000017730000}"/>
    <cellStyle name="Comma 13 2 5 5 3" xfId="35021" xr:uid="{00000000-0005-0000-0000-000018730000}"/>
    <cellStyle name="Comma 13 2 5 6" xfId="35022" xr:uid="{00000000-0005-0000-0000-000019730000}"/>
    <cellStyle name="Comma 13 2 5 6 2" xfId="35023" xr:uid="{00000000-0005-0000-0000-00001A730000}"/>
    <cellStyle name="Comma 13 2 5 6 3" xfId="35024" xr:uid="{00000000-0005-0000-0000-00001B730000}"/>
    <cellStyle name="Comma 13 2 5 7" xfId="35025" xr:uid="{00000000-0005-0000-0000-00001C730000}"/>
    <cellStyle name="Comma 13 2 5 7 2" xfId="35026" xr:uid="{00000000-0005-0000-0000-00001D730000}"/>
    <cellStyle name="Comma 13 2 5 8" xfId="35027" xr:uid="{00000000-0005-0000-0000-00001E730000}"/>
    <cellStyle name="Comma 13 2 5 9" xfId="35028" xr:uid="{00000000-0005-0000-0000-00001F730000}"/>
    <cellStyle name="Comma 13 2 6" xfId="35029" xr:uid="{00000000-0005-0000-0000-000020730000}"/>
    <cellStyle name="Comma 13 2 6 2" xfId="35030" xr:uid="{00000000-0005-0000-0000-000021730000}"/>
    <cellStyle name="Comma 13 2 6 2 2" xfId="35031" xr:uid="{00000000-0005-0000-0000-000022730000}"/>
    <cellStyle name="Comma 13 2 6 2 2 2" xfId="35032" xr:uid="{00000000-0005-0000-0000-000023730000}"/>
    <cellStyle name="Comma 13 2 6 2 2 3" xfId="35033" xr:uid="{00000000-0005-0000-0000-000024730000}"/>
    <cellStyle name="Comma 13 2 6 2 3" xfId="35034" xr:uid="{00000000-0005-0000-0000-000025730000}"/>
    <cellStyle name="Comma 13 2 6 2 3 2" xfId="35035" xr:uid="{00000000-0005-0000-0000-000026730000}"/>
    <cellStyle name="Comma 13 2 6 2 3 3" xfId="35036" xr:uid="{00000000-0005-0000-0000-000027730000}"/>
    <cellStyle name="Comma 13 2 6 2 4" xfId="35037" xr:uid="{00000000-0005-0000-0000-000028730000}"/>
    <cellStyle name="Comma 13 2 6 2 4 2" xfId="35038" xr:uid="{00000000-0005-0000-0000-000029730000}"/>
    <cellStyle name="Comma 13 2 6 2 5" xfId="35039" xr:uid="{00000000-0005-0000-0000-00002A730000}"/>
    <cellStyle name="Comma 13 2 6 2 6" xfId="35040" xr:uid="{00000000-0005-0000-0000-00002B730000}"/>
    <cellStyle name="Comma 13 2 6 3" xfId="35041" xr:uid="{00000000-0005-0000-0000-00002C730000}"/>
    <cellStyle name="Comma 13 2 6 3 2" xfId="35042" xr:uid="{00000000-0005-0000-0000-00002D730000}"/>
    <cellStyle name="Comma 13 2 6 3 2 2" xfId="35043" xr:uid="{00000000-0005-0000-0000-00002E730000}"/>
    <cellStyle name="Comma 13 2 6 3 2 3" xfId="35044" xr:uid="{00000000-0005-0000-0000-00002F730000}"/>
    <cellStyle name="Comma 13 2 6 3 3" xfId="35045" xr:uid="{00000000-0005-0000-0000-000030730000}"/>
    <cellStyle name="Comma 13 2 6 3 3 2" xfId="35046" xr:uid="{00000000-0005-0000-0000-000031730000}"/>
    <cellStyle name="Comma 13 2 6 3 3 3" xfId="35047" xr:uid="{00000000-0005-0000-0000-000032730000}"/>
    <cellStyle name="Comma 13 2 6 3 4" xfId="35048" xr:uid="{00000000-0005-0000-0000-000033730000}"/>
    <cellStyle name="Comma 13 2 6 3 4 2" xfId="35049" xr:uid="{00000000-0005-0000-0000-000034730000}"/>
    <cellStyle name="Comma 13 2 6 3 5" xfId="35050" xr:uid="{00000000-0005-0000-0000-000035730000}"/>
    <cellStyle name="Comma 13 2 6 3 6" xfId="35051" xr:uid="{00000000-0005-0000-0000-000036730000}"/>
    <cellStyle name="Comma 13 2 6 4" xfId="35052" xr:uid="{00000000-0005-0000-0000-000037730000}"/>
    <cellStyle name="Comma 13 2 6 4 2" xfId="35053" xr:uid="{00000000-0005-0000-0000-000038730000}"/>
    <cellStyle name="Comma 13 2 6 4 2 2" xfId="35054" xr:uid="{00000000-0005-0000-0000-000039730000}"/>
    <cellStyle name="Comma 13 2 6 4 2 3" xfId="35055" xr:uid="{00000000-0005-0000-0000-00003A730000}"/>
    <cellStyle name="Comma 13 2 6 4 3" xfId="35056" xr:uid="{00000000-0005-0000-0000-00003B730000}"/>
    <cellStyle name="Comma 13 2 6 4 3 2" xfId="35057" xr:uid="{00000000-0005-0000-0000-00003C730000}"/>
    <cellStyle name="Comma 13 2 6 4 4" xfId="35058" xr:uid="{00000000-0005-0000-0000-00003D730000}"/>
    <cellStyle name="Comma 13 2 6 4 5" xfId="35059" xr:uid="{00000000-0005-0000-0000-00003E730000}"/>
    <cellStyle name="Comma 13 2 6 5" xfId="35060" xr:uid="{00000000-0005-0000-0000-00003F730000}"/>
    <cellStyle name="Comma 13 2 6 5 2" xfId="35061" xr:uid="{00000000-0005-0000-0000-000040730000}"/>
    <cellStyle name="Comma 13 2 6 5 3" xfId="35062" xr:uid="{00000000-0005-0000-0000-000041730000}"/>
    <cellStyle name="Comma 13 2 6 6" xfId="35063" xr:uid="{00000000-0005-0000-0000-000042730000}"/>
    <cellStyle name="Comma 13 2 6 6 2" xfId="35064" xr:uid="{00000000-0005-0000-0000-000043730000}"/>
    <cellStyle name="Comma 13 2 6 6 3" xfId="35065" xr:uid="{00000000-0005-0000-0000-000044730000}"/>
    <cellStyle name="Comma 13 2 6 7" xfId="35066" xr:uid="{00000000-0005-0000-0000-000045730000}"/>
    <cellStyle name="Comma 13 2 6 7 2" xfId="35067" xr:uid="{00000000-0005-0000-0000-000046730000}"/>
    <cellStyle name="Comma 13 2 6 8" xfId="35068" xr:uid="{00000000-0005-0000-0000-000047730000}"/>
    <cellStyle name="Comma 13 2 6 9" xfId="35069" xr:uid="{00000000-0005-0000-0000-000048730000}"/>
    <cellStyle name="Comma 13 2 7" xfId="35070" xr:uid="{00000000-0005-0000-0000-000049730000}"/>
    <cellStyle name="Comma 13 2 7 2" xfId="35071" xr:uid="{00000000-0005-0000-0000-00004A730000}"/>
    <cellStyle name="Comma 13 2 7 2 2" xfId="35072" xr:uid="{00000000-0005-0000-0000-00004B730000}"/>
    <cellStyle name="Comma 13 2 7 2 3" xfId="35073" xr:uid="{00000000-0005-0000-0000-00004C730000}"/>
    <cellStyle name="Comma 13 2 7 3" xfId="35074" xr:uid="{00000000-0005-0000-0000-00004D730000}"/>
    <cellStyle name="Comma 13 2 7 3 2" xfId="35075" xr:uid="{00000000-0005-0000-0000-00004E730000}"/>
    <cellStyle name="Comma 13 2 7 3 3" xfId="35076" xr:uid="{00000000-0005-0000-0000-00004F730000}"/>
    <cellStyle name="Comma 13 2 7 4" xfId="35077" xr:uid="{00000000-0005-0000-0000-000050730000}"/>
    <cellStyle name="Comma 13 2 7 4 2" xfId="35078" xr:uid="{00000000-0005-0000-0000-000051730000}"/>
    <cellStyle name="Comma 13 2 7 5" xfId="35079" xr:uid="{00000000-0005-0000-0000-000052730000}"/>
    <cellStyle name="Comma 13 2 7 6" xfId="35080" xr:uid="{00000000-0005-0000-0000-000053730000}"/>
    <cellStyle name="Comma 13 2 8" xfId="35081" xr:uid="{00000000-0005-0000-0000-000054730000}"/>
    <cellStyle name="Comma 13 2 8 2" xfId="35082" xr:uid="{00000000-0005-0000-0000-000055730000}"/>
    <cellStyle name="Comma 13 2 8 2 2" xfId="35083" xr:uid="{00000000-0005-0000-0000-000056730000}"/>
    <cellStyle name="Comma 13 2 8 2 3" xfId="35084" xr:uid="{00000000-0005-0000-0000-000057730000}"/>
    <cellStyle name="Comma 13 2 8 3" xfId="35085" xr:uid="{00000000-0005-0000-0000-000058730000}"/>
    <cellStyle name="Comma 13 2 8 3 2" xfId="35086" xr:uid="{00000000-0005-0000-0000-000059730000}"/>
    <cellStyle name="Comma 13 2 8 3 3" xfId="35087" xr:uid="{00000000-0005-0000-0000-00005A730000}"/>
    <cellStyle name="Comma 13 2 8 4" xfId="35088" xr:uid="{00000000-0005-0000-0000-00005B730000}"/>
    <cellStyle name="Comma 13 2 8 4 2" xfId="35089" xr:uid="{00000000-0005-0000-0000-00005C730000}"/>
    <cellStyle name="Comma 13 2 8 5" xfId="35090" xr:uid="{00000000-0005-0000-0000-00005D730000}"/>
    <cellStyle name="Comma 13 2 8 6" xfId="35091" xr:uid="{00000000-0005-0000-0000-00005E730000}"/>
    <cellStyle name="Comma 13 2 9" xfId="35092" xr:uid="{00000000-0005-0000-0000-00005F730000}"/>
    <cellStyle name="Comma 13 2 9 2" xfId="35093" xr:uid="{00000000-0005-0000-0000-000060730000}"/>
    <cellStyle name="Comma 13 2 9 2 2" xfId="35094" xr:uid="{00000000-0005-0000-0000-000061730000}"/>
    <cellStyle name="Comma 13 2 9 2 3" xfId="35095" xr:uid="{00000000-0005-0000-0000-000062730000}"/>
    <cellStyle name="Comma 13 2 9 3" xfId="35096" xr:uid="{00000000-0005-0000-0000-000063730000}"/>
    <cellStyle name="Comma 13 2 9 3 2" xfId="35097" xr:uid="{00000000-0005-0000-0000-000064730000}"/>
    <cellStyle name="Comma 13 2 9 4" xfId="35098" xr:uid="{00000000-0005-0000-0000-000065730000}"/>
    <cellStyle name="Comma 13 2 9 5" xfId="35099" xr:uid="{00000000-0005-0000-0000-000066730000}"/>
    <cellStyle name="Comma 13 3" xfId="9049" xr:uid="{00000000-0005-0000-0000-000067730000}"/>
    <cellStyle name="Comma 13 3 10" xfId="35100" xr:uid="{00000000-0005-0000-0000-000068730000}"/>
    <cellStyle name="Comma 13 3 10 2" xfId="35101" xr:uid="{00000000-0005-0000-0000-000069730000}"/>
    <cellStyle name="Comma 13 3 10 3" xfId="35102" xr:uid="{00000000-0005-0000-0000-00006A730000}"/>
    <cellStyle name="Comma 13 3 11" xfId="35103" xr:uid="{00000000-0005-0000-0000-00006B730000}"/>
    <cellStyle name="Comma 13 3 11 2" xfId="35104" xr:uid="{00000000-0005-0000-0000-00006C730000}"/>
    <cellStyle name="Comma 13 3 12" xfId="35105" xr:uid="{00000000-0005-0000-0000-00006D730000}"/>
    <cellStyle name="Comma 13 3 13" xfId="35106" xr:uid="{00000000-0005-0000-0000-00006E730000}"/>
    <cellStyle name="Comma 13 3 2" xfId="35107" xr:uid="{00000000-0005-0000-0000-00006F730000}"/>
    <cellStyle name="Comma 13 3 2 10" xfId="35108" xr:uid="{00000000-0005-0000-0000-000070730000}"/>
    <cellStyle name="Comma 13 3 2 10 2" xfId="35109" xr:uid="{00000000-0005-0000-0000-000071730000}"/>
    <cellStyle name="Comma 13 3 2 11" xfId="35110" xr:uid="{00000000-0005-0000-0000-000072730000}"/>
    <cellStyle name="Comma 13 3 2 12" xfId="35111" xr:uid="{00000000-0005-0000-0000-000073730000}"/>
    <cellStyle name="Comma 13 3 2 2" xfId="35112" xr:uid="{00000000-0005-0000-0000-000074730000}"/>
    <cellStyle name="Comma 13 3 2 2 10" xfId="35113" xr:uid="{00000000-0005-0000-0000-000075730000}"/>
    <cellStyle name="Comma 13 3 2 2 2" xfId="35114" xr:uid="{00000000-0005-0000-0000-000076730000}"/>
    <cellStyle name="Comma 13 3 2 2 2 2" xfId="35115" xr:uid="{00000000-0005-0000-0000-000077730000}"/>
    <cellStyle name="Comma 13 3 2 2 2 2 2" xfId="35116" xr:uid="{00000000-0005-0000-0000-000078730000}"/>
    <cellStyle name="Comma 13 3 2 2 2 2 2 2" xfId="35117" xr:uid="{00000000-0005-0000-0000-000079730000}"/>
    <cellStyle name="Comma 13 3 2 2 2 2 2 3" xfId="35118" xr:uid="{00000000-0005-0000-0000-00007A730000}"/>
    <cellStyle name="Comma 13 3 2 2 2 2 3" xfId="35119" xr:uid="{00000000-0005-0000-0000-00007B730000}"/>
    <cellStyle name="Comma 13 3 2 2 2 2 3 2" xfId="35120" xr:uid="{00000000-0005-0000-0000-00007C730000}"/>
    <cellStyle name="Comma 13 3 2 2 2 2 3 3" xfId="35121" xr:uid="{00000000-0005-0000-0000-00007D730000}"/>
    <cellStyle name="Comma 13 3 2 2 2 2 4" xfId="35122" xr:uid="{00000000-0005-0000-0000-00007E730000}"/>
    <cellStyle name="Comma 13 3 2 2 2 2 4 2" xfId="35123" xr:uid="{00000000-0005-0000-0000-00007F730000}"/>
    <cellStyle name="Comma 13 3 2 2 2 2 5" xfId="35124" xr:uid="{00000000-0005-0000-0000-000080730000}"/>
    <cellStyle name="Comma 13 3 2 2 2 2 6" xfId="35125" xr:uid="{00000000-0005-0000-0000-000081730000}"/>
    <cellStyle name="Comma 13 3 2 2 2 3" xfId="35126" xr:uid="{00000000-0005-0000-0000-000082730000}"/>
    <cellStyle name="Comma 13 3 2 2 2 3 2" xfId="35127" xr:uid="{00000000-0005-0000-0000-000083730000}"/>
    <cellStyle name="Comma 13 3 2 2 2 3 2 2" xfId="35128" xr:uid="{00000000-0005-0000-0000-000084730000}"/>
    <cellStyle name="Comma 13 3 2 2 2 3 2 3" xfId="35129" xr:uid="{00000000-0005-0000-0000-000085730000}"/>
    <cellStyle name="Comma 13 3 2 2 2 3 3" xfId="35130" xr:uid="{00000000-0005-0000-0000-000086730000}"/>
    <cellStyle name="Comma 13 3 2 2 2 3 3 2" xfId="35131" xr:uid="{00000000-0005-0000-0000-000087730000}"/>
    <cellStyle name="Comma 13 3 2 2 2 3 3 3" xfId="35132" xr:uid="{00000000-0005-0000-0000-000088730000}"/>
    <cellStyle name="Comma 13 3 2 2 2 3 4" xfId="35133" xr:uid="{00000000-0005-0000-0000-000089730000}"/>
    <cellStyle name="Comma 13 3 2 2 2 3 4 2" xfId="35134" xr:uid="{00000000-0005-0000-0000-00008A730000}"/>
    <cellStyle name="Comma 13 3 2 2 2 3 5" xfId="35135" xr:uid="{00000000-0005-0000-0000-00008B730000}"/>
    <cellStyle name="Comma 13 3 2 2 2 3 6" xfId="35136" xr:uid="{00000000-0005-0000-0000-00008C730000}"/>
    <cellStyle name="Comma 13 3 2 2 2 4" xfId="35137" xr:uid="{00000000-0005-0000-0000-00008D730000}"/>
    <cellStyle name="Comma 13 3 2 2 2 4 2" xfId="35138" xr:uid="{00000000-0005-0000-0000-00008E730000}"/>
    <cellStyle name="Comma 13 3 2 2 2 4 2 2" xfId="35139" xr:uid="{00000000-0005-0000-0000-00008F730000}"/>
    <cellStyle name="Comma 13 3 2 2 2 4 2 3" xfId="35140" xr:uid="{00000000-0005-0000-0000-000090730000}"/>
    <cellStyle name="Comma 13 3 2 2 2 4 3" xfId="35141" xr:uid="{00000000-0005-0000-0000-000091730000}"/>
    <cellStyle name="Comma 13 3 2 2 2 4 3 2" xfId="35142" xr:uid="{00000000-0005-0000-0000-000092730000}"/>
    <cellStyle name="Comma 13 3 2 2 2 4 4" xfId="35143" xr:uid="{00000000-0005-0000-0000-000093730000}"/>
    <cellStyle name="Comma 13 3 2 2 2 4 5" xfId="35144" xr:uid="{00000000-0005-0000-0000-000094730000}"/>
    <cellStyle name="Comma 13 3 2 2 2 5" xfId="35145" xr:uid="{00000000-0005-0000-0000-000095730000}"/>
    <cellStyle name="Comma 13 3 2 2 2 5 2" xfId="35146" xr:uid="{00000000-0005-0000-0000-000096730000}"/>
    <cellStyle name="Comma 13 3 2 2 2 5 3" xfId="35147" xr:uid="{00000000-0005-0000-0000-000097730000}"/>
    <cellStyle name="Comma 13 3 2 2 2 6" xfId="35148" xr:uid="{00000000-0005-0000-0000-000098730000}"/>
    <cellStyle name="Comma 13 3 2 2 2 6 2" xfId="35149" xr:uid="{00000000-0005-0000-0000-000099730000}"/>
    <cellStyle name="Comma 13 3 2 2 2 6 3" xfId="35150" xr:uid="{00000000-0005-0000-0000-00009A730000}"/>
    <cellStyle name="Comma 13 3 2 2 2 7" xfId="35151" xr:uid="{00000000-0005-0000-0000-00009B730000}"/>
    <cellStyle name="Comma 13 3 2 2 2 7 2" xfId="35152" xr:uid="{00000000-0005-0000-0000-00009C730000}"/>
    <cellStyle name="Comma 13 3 2 2 2 8" xfId="35153" xr:uid="{00000000-0005-0000-0000-00009D730000}"/>
    <cellStyle name="Comma 13 3 2 2 2 9" xfId="35154" xr:uid="{00000000-0005-0000-0000-00009E730000}"/>
    <cellStyle name="Comma 13 3 2 2 3" xfId="35155" xr:uid="{00000000-0005-0000-0000-00009F730000}"/>
    <cellStyle name="Comma 13 3 2 2 3 2" xfId="35156" xr:uid="{00000000-0005-0000-0000-0000A0730000}"/>
    <cellStyle name="Comma 13 3 2 2 3 2 2" xfId="35157" xr:uid="{00000000-0005-0000-0000-0000A1730000}"/>
    <cellStyle name="Comma 13 3 2 2 3 2 3" xfId="35158" xr:uid="{00000000-0005-0000-0000-0000A2730000}"/>
    <cellStyle name="Comma 13 3 2 2 3 3" xfId="35159" xr:uid="{00000000-0005-0000-0000-0000A3730000}"/>
    <cellStyle name="Comma 13 3 2 2 3 3 2" xfId="35160" xr:uid="{00000000-0005-0000-0000-0000A4730000}"/>
    <cellStyle name="Comma 13 3 2 2 3 3 3" xfId="35161" xr:uid="{00000000-0005-0000-0000-0000A5730000}"/>
    <cellStyle name="Comma 13 3 2 2 3 4" xfId="35162" xr:uid="{00000000-0005-0000-0000-0000A6730000}"/>
    <cellStyle name="Comma 13 3 2 2 3 4 2" xfId="35163" xr:uid="{00000000-0005-0000-0000-0000A7730000}"/>
    <cellStyle name="Comma 13 3 2 2 3 5" xfId="35164" xr:uid="{00000000-0005-0000-0000-0000A8730000}"/>
    <cellStyle name="Comma 13 3 2 2 3 6" xfId="35165" xr:uid="{00000000-0005-0000-0000-0000A9730000}"/>
    <cellStyle name="Comma 13 3 2 2 4" xfId="35166" xr:uid="{00000000-0005-0000-0000-0000AA730000}"/>
    <cellStyle name="Comma 13 3 2 2 4 2" xfId="35167" xr:uid="{00000000-0005-0000-0000-0000AB730000}"/>
    <cellStyle name="Comma 13 3 2 2 4 2 2" xfId="35168" xr:uid="{00000000-0005-0000-0000-0000AC730000}"/>
    <cellStyle name="Comma 13 3 2 2 4 2 3" xfId="35169" xr:uid="{00000000-0005-0000-0000-0000AD730000}"/>
    <cellStyle name="Comma 13 3 2 2 4 3" xfId="35170" xr:uid="{00000000-0005-0000-0000-0000AE730000}"/>
    <cellStyle name="Comma 13 3 2 2 4 3 2" xfId="35171" xr:uid="{00000000-0005-0000-0000-0000AF730000}"/>
    <cellStyle name="Comma 13 3 2 2 4 3 3" xfId="35172" xr:uid="{00000000-0005-0000-0000-0000B0730000}"/>
    <cellStyle name="Comma 13 3 2 2 4 4" xfId="35173" xr:uid="{00000000-0005-0000-0000-0000B1730000}"/>
    <cellStyle name="Comma 13 3 2 2 4 4 2" xfId="35174" xr:uid="{00000000-0005-0000-0000-0000B2730000}"/>
    <cellStyle name="Comma 13 3 2 2 4 5" xfId="35175" xr:uid="{00000000-0005-0000-0000-0000B3730000}"/>
    <cellStyle name="Comma 13 3 2 2 4 6" xfId="35176" xr:uid="{00000000-0005-0000-0000-0000B4730000}"/>
    <cellStyle name="Comma 13 3 2 2 5" xfId="35177" xr:uid="{00000000-0005-0000-0000-0000B5730000}"/>
    <cellStyle name="Comma 13 3 2 2 5 2" xfId="35178" xr:uid="{00000000-0005-0000-0000-0000B6730000}"/>
    <cellStyle name="Comma 13 3 2 2 5 2 2" xfId="35179" xr:uid="{00000000-0005-0000-0000-0000B7730000}"/>
    <cellStyle name="Comma 13 3 2 2 5 2 3" xfId="35180" xr:uid="{00000000-0005-0000-0000-0000B8730000}"/>
    <cellStyle name="Comma 13 3 2 2 5 3" xfId="35181" xr:uid="{00000000-0005-0000-0000-0000B9730000}"/>
    <cellStyle name="Comma 13 3 2 2 5 3 2" xfId="35182" xr:uid="{00000000-0005-0000-0000-0000BA730000}"/>
    <cellStyle name="Comma 13 3 2 2 5 4" xfId="35183" xr:uid="{00000000-0005-0000-0000-0000BB730000}"/>
    <cellStyle name="Comma 13 3 2 2 5 5" xfId="35184" xr:uid="{00000000-0005-0000-0000-0000BC730000}"/>
    <cellStyle name="Comma 13 3 2 2 6" xfId="35185" xr:uid="{00000000-0005-0000-0000-0000BD730000}"/>
    <cellStyle name="Comma 13 3 2 2 6 2" xfId="35186" xr:uid="{00000000-0005-0000-0000-0000BE730000}"/>
    <cellStyle name="Comma 13 3 2 2 6 3" xfId="35187" xr:uid="{00000000-0005-0000-0000-0000BF730000}"/>
    <cellStyle name="Comma 13 3 2 2 7" xfId="35188" xr:uid="{00000000-0005-0000-0000-0000C0730000}"/>
    <cellStyle name="Comma 13 3 2 2 7 2" xfId="35189" xr:uid="{00000000-0005-0000-0000-0000C1730000}"/>
    <cellStyle name="Comma 13 3 2 2 7 3" xfId="35190" xr:uid="{00000000-0005-0000-0000-0000C2730000}"/>
    <cellStyle name="Comma 13 3 2 2 8" xfId="35191" xr:uid="{00000000-0005-0000-0000-0000C3730000}"/>
    <cellStyle name="Comma 13 3 2 2 8 2" xfId="35192" xr:uid="{00000000-0005-0000-0000-0000C4730000}"/>
    <cellStyle name="Comma 13 3 2 2 9" xfId="35193" xr:uid="{00000000-0005-0000-0000-0000C5730000}"/>
    <cellStyle name="Comma 13 3 2 3" xfId="35194" xr:uid="{00000000-0005-0000-0000-0000C6730000}"/>
    <cellStyle name="Comma 13 3 2 3 2" xfId="35195" xr:uid="{00000000-0005-0000-0000-0000C7730000}"/>
    <cellStyle name="Comma 13 3 2 3 2 2" xfId="35196" xr:uid="{00000000-0005-0000-0000-0000C8730000}"/>
    <cellStyle name="Comma 13 3 2 3 2 2 2" xfId="35197" xr:uid="{00000000-0005-0000-0000-0000C9730000}"/>
    <cellStyle name="Comma 13 3 2 3 2 2 3" xfId="35198" xr:uid="{00000000-0005-0000-0000-0000CA730000}"/>
    <cellStyle name="Comma 13 3 2 3 2 3" xfId="35199" xr:uid="{00000000-0005-0000-0000-0000CB730000}"/>
    <cellStyle name="Comma 13 3 2 3 2 3 2" xfId="35200" xr:uid="{00000000-0005-0000-0000-0000CC730000}"/>
    <cellStyle name="Comma 13 3 2 3 2 3 3" xfId="35201" xr:uid="{00000000-0005-0000-0000-0000CD730000}"/>
    <cellStyle name="Comma 13 3 2 3 2 4" xfId="35202" xr:uid="{00000000-0005-0000-0000-0000CE730000}"/>
    <cellStyle name="Comma 13 3 2 3 2 4 2" xfId="35203" xr:uid="{00000000-0005-0000-0000-0000CF730000}"/>
    <cellStyle name="Comma 13 3 2 3 2 5" xfId="35204" xr:uid="{00000000-0005-0000-0000-0000D0730000}"/>
    <cellStyle name="Comma 13 3 2 3 2 6" xfId="35205" xr:uid="{00000000-0005-0000-0000-0000D1730000}"/>
    <cellStyle name="Comma 13 3 2 3 3" xfId="35206" xr:uid="{00000000-0005-0000-0000-0000D2730000}"/>
    <cellStyle name="Comma 13 3 2 3 3 2" xfId="35207" xr:uid="{00000000-0005-0000-0000-0000D3730000}"/>
    <cellStyle name="Comma 13 3 2 3 3 2 2" xfId="35208" xr:uid="{00000000-0005-0000-0000-0000D4730000}"/>
    <cellStyle name="Comma 13 3 2 3 3 2 3" xfId="35209" xr:uid="{00000000-0005-0000-0000-0000D5730000}"/>
    <cellStyle name="Comma 13 3 2 3 3 3" xfId="35210" xr:uid="{00000000-0005-0000-0000-0000D6730000}"/>
    <cellStyle name="Comma 13 3 2 3 3 3 2" xfId="35211" xr:uid="{00000000-0005-0000-0000-0000D7730000}"/>
    <cellStyle name="Comma 13 3 2 3 3 3 3" xfId="35212" xr:uid="{00000000-0005-0000-0000-0000D8730000}"/>
    <cellStyle name="Comma 13 3 2 3 3 4" xfId="35213" xr:uid="{00000000-0005-0000-0000-0000D9730000}"/>
    <cellStyle name="Comma 13 3 2 3 3 4 2" xfId="35214" xr:uid="{00000000-0005-0000-0000-0000DA730000}"/>
    <cellStyle name="Comma 13 3 2 3 3 5" xfId="35215" xr:uid="{00000000-0005-0000-0000-0000DB730000}"/>
    <cellStyle name="Comma 13 3 2 3 3 6" xfId="35216" xr:uid="{00000000-0005-0000-0000-0000DC730000}"/>
    <cellStyle name="Comma 13 3 2 3 4" xfId="35217" xr:uid="{00000000-0005-0000-0000-0000DD730000}"/>
    <cellStyle name="Comma 13 3 2 3 4 2" xfId="35218" xr:uid="{00000000-0005-0000-0000-0000DE730000}"/>
    <cellStyle name="Comma 13 3 2 3 4 2 2" xfId="35219" xr:uid="{00000000-0005-0000-0000-0000DF730000}"/>
    <cellStyle name="Comma 13 3 2 3 4 2 3" xfId="35220" xr:uid="{00000000-0005-0000-0000-0000E0730000}"/>
    <cellStyle name="Comma 13 3 2 3 4 3" xfId="35221" xr:uid="{00000000-0005-0000-0000-0000E1730000}"/>
    <cellStyle name="Comma 13 3 2 3 4 3 2" xfId="35222" xr:uid="{00000000-0005-0000-0000-0000E2730000}"/>
    <cellStyle name="Comma 13 3 2 3 4 4" xfId="35223" xr:uid="{00000000-0005-0000-0000-0000E3730000}"/>
    <cellStyle name="Comma 13 3 2 3 4 5" xfId="35224" xr:uid="{00000000-0005-0000-0000-0000E4730000}"/>
    <cellStyle name="Comma 13 3 2 3 5" xfId="35225" xr:uid="{00000000-0005-0000-0000-0000E5730000}"/>
    <cellStyle name="Comma 13 3 2 3 5 2" xfId="35226" xr:uid="{00000000-0005-0000-0000-0000E6730000}"/>
    <cellStyle name="Comma 13 3 2 3 5 3" xfId="35227" xr:uid="{00000000-0005-0000-0000-0000E7730000}"/>
    <cellStyle name="Comma 13 3 2 3 6" xfId="35228" xr:uid="{00000000-0005-0000-0000-0000E8730000}"/>
    <cellStyle name="Comma 13 3 2 3 6 2" xfId="35229" xr:uid="{00000000-0005-0000-0000-0000E9730000}"/>
    <cellStyle name="Comma 13 3 2 3 6 3" xfId="35230" xr:uid="{00000000-0005-0000-0000-0000EA730000}"/>
    <cellStyle name="Comma 13 3 2 3 7" xfId="35231" xr:uid="{00000000-0005-0000-0000-0000EB730000}"/>
    <cellStyle name="Comma 13 3 2 3 7 2" xfId="35232" xr:uid="{00000000-0005-0000-0000-0000EC730000}"/>
    <cellStyle name="Comma 13 3 2 3 8" xfId="35233" xr:uid="{00000000-0005-0000-0000-0000ED730000}"/>
    <cellStyle name="Comma 13 3 2 3 9" xfId="35234" xr:uid="{00000000-0005-0000-0000-0000EE730000}"/>
    <cellStyle name="Comma 13 3 2 4" xfId="35235" xr:uid="{00000000-0005-0000-0000-0000EF730000}"/>
    <cellStyle name="Comma 13 3 2 4 2" xfId="35236" xr:uid="{00000000-0005-0000-0000-0000F0730000}"/>
    <cellStyle name="Comma 13 3 2 4 2 2" xfId="35237" xr:uid="{00000000-0005-0000-0000-0000F1730000}"/>
    <cellStyle name="Comma 13 3 2 4 2 2 2" xfId="35238" xr:uid="{00000000-0005-0000-0000-0000F2730000}"/>
    <cellStyle name="Comma 13 3 2 4 2 2 3" xfId="35239" xr:uid="{00000000-0005-0000-0000-0000F3730000}"/>
    <cellStyle name="Comma 13 3 2 4 2 3" xfId="35240" xr:uid="{00000000-0005-0000-0000-0000F4730000}"/>
    <cellStyle name="Comma 13 3 2 4 2 3 2" xfId="35241" xr:uid="{00000000-0005-0000-0000-0000F5730000}"/>
    <cellStyle name="Comma 13 3 2 4 2 3 3" xfId="35242" xr:uid="{00000000-0005-0000-0000-0000F6730000}"/>
    <cellStyle name="Comma 13 3 2 4 2 4" xfId="35243" xr:uid="{00000000-0005-0000-0000-0000F7730000}"/>
    <cellStyle name="Comma 13 3 2 4 2 4 2" xfId="35244" xr:uid="{00000000-0005-0000-0000-0000F8730000}"/>
    <cellStyle name="Comma 13 3 2 4 2 5" xfId="35245" xr:uid="{00000000-0005-0000-0000-0000F9730000}"/>
    <cellStyle name="Comma 13 3 2 4 2 6" xfId="35246" xr:uid="{00000000-0005-0000-0000-0000FA730000}"/>
    <cellStyle name="Comma 13 3 2 4 3" xfId="35247" xr:uid="{00000000-0005-0000-0000-0000FB730000}"/>
    <cellStyle name="Comma 13 3 2 4 3 2" xfId="35248" xr:uid="{00000000-0005-0000-0000-0000FC730000}"/>
    <cellStyle name="Comma 13 3 2 4 3 2 2" xfId="35249" xr:uid="{00000000-0005-0000-0000-0000FD730000}"/>
    <cellStyle name="Comma 13 3 2 4 3 2 3" xfId="35250" xr:uid="{00000000-0005-0000-0000-0000FE730000}"/>
    <cellStyle name="Comma 13 3 2 4 3 3" xfId="35251" xr:uid="{00000000-0005-0000-0000-0000FF730000}"/>
    <cellStyle name="Comma 13 3 2 4 3 3 2" xfId="35252" xr:uid="{00000000-0005-0000-0000-000000740000}"/>
    <cellStyle name="Comma 13 3 2 4 3 3 3" xfId="35253" xr:uid="{00000000-0005-0000-0000-000001740000}"/>
    <cellStyle name="Comma 13 3 2 4 3 4" xfId="35254" xr:uid="{00000000-0005-0000-0000-000002740000}"/>
    <cellStyle name="Comma 13 3 2 4 3 4 2" xfId="35255" xr:uid="{00000000-0005-0000-0000-000003740000}"/>
    <cellStyle name="Comma 13 3 2 4 3 5" xfId="35256" xr:uid="{00000000-0005-0000-0000-000004740000}"/>
    <cellStyle name="Comma 13 3 2 4 3 6" xfId="35257" xr:uid="{00000000-0005-0000-0000-000005740000}"/>
    <cellStyle name="Comma 13 3 2 4 4" xfId="35258" xr:uid="{00000000-0005-0000-0000-000006740000}"/>
    <cellStyle name="Comma 13 3 2 4 4 2" xfId="35259" xr:uid="{00000000-0005-0000-0000-000007740000}"/>
    <cellStyle name="Comma 13 3 2 4 4 2 2" xfId="35260" xr:uid="{00000000-0005-0000-0000-000008740000}"/>
    <cellStyle name="Comma 13 3 2 4 4 2 3" xfId="35261" xr:uid="{00000000-0005-0000-0000-000009740000}"/>
    <cellStyle name="Comma 13 3 2 4 4 3" xfId="35262" xr:uid="{00000000-0005-0000-0000-00000A740000}"/>
    <cellStyle name="Comma 13 3 2 4 4 3 2" xfId="35263" xr:uid="{00000000-0005-0000-0000-00000B740000}"/>
    <cellStyle name="Comma 13 3 2 4 4 4" xfId="35264" xr:uid="{00000000-0005-0000-0000-00000C740000}"/>
    <cellStyle name="Comma 13 3 2 4 4 5" xfId="35265" xr:uid="{00000000-0005-0000-0000-00000D740000}"/>
    <cellStyle name="Comma 13 3 2 4 5" xfId="35266" xr:uid="{00000000-0005-0000-0000-00000E740000}"/>
    <cellStyle name="Comma 13 3 2 4 5 2" xfId="35267" xr:uid="{00000000-0005-0000-0000-00000F740000}"/>
    <cellStyle name="Comma 13 3 2 4 5 3" xfId="35268" xr:uid="{00000000-0005-0000-0000-000010740000}"/>
    <cellStyle name="Comma 13 3 2 4 6" xfId="35269" xr:uid="{00000000-0005-0000-0000-000011740000}"/>
    <cellStyle name="Comma 13 3 2 4 6 2" xfId="35270" xr:uid="{00000000-0005-0000-0000-000012740000}"/>
    <cellStyle name="Comma 13 3 2 4 6 3" xfId="35271" xr:uid="{00000000-0005-0000-0000-000013740000}"/>
    <cellStyle name="Comma 13 3 2 4 7" xfId="35272" xr:uid="{00000000-0005-0000-0000-000014740000}"/>
    <cellStyle name="Comma 13 3 2 4 7 2" xfId="35273" xr:uid="{00000000-0005-0000-0000-000015740000}"/>
    <cellStyle name="Comma 13 3 2 4 8" xfId="35274" xr:uid="{00000000-0005-0000-0000-000016740000}"/>
    <cellStyle name="Comma 13 3 2 4 9" xfId="35275" xr:uid="{00000000-0005-0000-0000-000017740000}"/>
    <cellStyle name="Comma 13 3 2 5" xfId="35276" xr:uid="{00000000-0005-0000-0000-000018740000}"/>
    <cellStyle name="Comma 13 3 2 5 2" xfId="35277" xr:uid="{00000000-0005-0000-0000-000019740000}"/>
    <cellStyle name="Comma 13 3 2 5 2 2" xfId="35278" xr:uid="{00000000-0005-0000-0000-00001A740000}"/>
    <cellStyle name="Comma 13 3 2 5 2 3" xfId="35279" xr:uid="{00000000-0005-0000-0000-00001B740000}"/>
    <cellStyle name="Comma 13 3 2 5 3" xfId="35280" xr:uid="{00000000-0005-0000-0000-00001C740000}"/>
    <cellStyle name="Comma 13 3 2 5 3 2" xfId="35281" xr:uid="{00000000-0005-0000-0000-00001D740000}"/>
    <cellStyle name="Comma 13 3 2 5 3 3" xfId="35282" xr:uid="{00000000-0005-0000-0000-00001E740000}"/>
    <cellStyle name="Comma 13 3 2 5 4" xfId="35283" xr:uid="{00000000-0005-0000-0000-00001F740000}"/>
    <cellStyle name="Comma 13 3 2 5 4 2" xfId="35284" xr:uid="{00000000-0005-0000-0000-000020740000}"/>
    <cellStyle name="Comma 13 3 2 5 5" xfId="35285" xr:uid="{00000000-0005-0000-0000-000021740000}"/>
    <cellStyle name="Comma 13 3 2 5 6" xfId="35286" xr:uid="{00000000-0005-0000-0000-000022740000}"/>
    <cellStyle name="Comma 13 3 2 6" xfId="35287" xr:uid="{00000000-0005-0000-0000-000023740000}"/>
    <cellStyle name="Comma 13 3 2 6 2" xfId="35288" xr:uid="{00000000-0005-0000-0000-000024740000}"/>
    <cellStyle name="Comma 13 3 2 6 2 2" xfId="35289" xr:uid="{00000000-0005-0000-0000-000025740000}"/>
    <cellStyle name="Comma 13 3 2 6 2 3" xfId="35290" xr:uid="{00000000-0005-0000-0000-000026740000}"/>
    <cellStyle name="Comma 13 3 2 6 3" xfId="35291" xr:uid="{00000000-0005-0000-0000-000027740000}"/>
    <cellStyle name="Comma 13 3 2 6 3 2" xfId="35292" xr:uid="{00000000-0005-0000-0000-000028740000}"/>
    <cellStyle name="Comma 13 3 2 6 3 3" xfId="35293" xr:uid="{00000000-0005-0000-0000-000029740000}"/>
    <cellStyle name="Comma 13 3 2 6 4" xfId="35294" xr:uid="{00000000-0005-0000-0000-00002A740000}"/>
    <cellStyle name="Comma 13 3 2 6 4 2" xfId="35295" xr:uid="{00000000-0005-0000-0000-00002B740000}"/>
    <cellStyle name="Comma 13 3 2 6 5" xfId="35296" xr:uid="{00000000-0005-0000-0000-00002C740000}"/>
    <cellStyle name="Comma 13 3 2 6 6" xfId="35297" xr:uid="{00000000-0005-0000-0000-00002D740000}"/>
    <cellStyle name="Comma 13 3 2 7" xfId="35298" xr:uid="{00000000-0005-0000-0000-00002E740000}"/>
    <cellStyle name="Comma 13 3 2 7 2" xfId="35299" xr:uid="{00000000-0005-0000-0000-00002F740000}"/>
    <cellStyle name="Comma 13 3 2 7 2 2" xfId="35300" xr:uid="{00000000-0005-0000-0000-000030740000}"/>
    <cellStyle name="Comma 13 3 2 7 2 3" xfId="35301" xr:uid="{00000000-0005-0000-0000-000031740000}"/>
    <cellStyle name="Comma 13 3 2 7 3" xfId="35302" xr:uid="{00000000-0005-0000-0000-000032740000}"/>
    <cellStyle name="Comma 13 3 2 7 3 2" xfId="35303" xr:uid="{00000000-0005-0000-0000-000033740000}"/>
    <cellStyle name="Comma 13 3 2 7 4" xfId="35304" xr:uid="{00000000-0005-0000-0000-000034740000}"/>
    <cellStyle name="Comma 13 3 2 7 5" xfId="35305" xr:uid="{00000000-0005-0000-0000-000035740000}"/>
    <cellStyle name="Comma 13 3 2 8" xfId="35306" xr:uid="{00000000-0005-0000-0000-000036740000}"/>
    <cellStyle name="Comma 13 3 2 8 2" xfId="35307" xr:uid="{00000000-0005-0000-0000-000037740000}"/>
    <cellStyle name="Comma 13 3 2 8 3" xfId="35308" xr:uid="{00000000-0005-0000-0000-000038740000}"/>
    <cellStyle name="Comma 13 3 2 9" xfId="35309" xr:uid="{00000000-0005-0000-0000-000039740000}"/>
    <cellStyle name="Comma 13 3 2 9 2" xfId="35310" xr:uid="{00000000-0005-0000-0000-00003A740000}"/>
    <cellStyle name="Comma 13 3 2 9 3" xfId="35311" xr:uid="{00000000-0005-0000-0000-00003B740000}"/>
    <cellStyle name="Comma 13 3 3" xfId="35312" xr:uid="{00000000-0005-0000-0000-00003C740000}"/>
    <cellStyle name="Comma 13 3 3 10" xfId="35313" xr:uid="{00000000-0005-0000-0000-00003D740000}"/>
    <cellStyle name="Comma 13 3 3 2" xfId="35314" xr:uid="{00000000-0005-0000-0000-00003E740000}"/>
    <cellStyle name="Comma 13 3 3 2 2" xfId="35315" xr:uid="{00000000-0005-0000-0000-00003F740000}"/>
    <cellStyle name="Comma 13 3 3 2 2 2" xfId="35316" xr:uid="{00000000-0005-0000-0000-000040740000}"/>
    <cellStyle name="Comma 13 3 3 2 2 2 2" xfId="35317" xr:uid="{00000000-0005-0000-0000-000041740000}"/>
    <cellStyle name="Comma 13 3 3 2 2 2 3" xfId="35318" xr:uid="{00000000-0005-0000-0000-000042740000}"/>
    <cellStyle name="Comma 13 3 3 2 2 3" xfId="35319" xr:uid="{00000000-0005-0000-0000-000043740000}"/>
    <cellStyle name="Comma 13 3 3 2 2 3 2" xfId="35320" xr:uid="{00000000-0005-0000-0000-000044740000}"/>
    <cellStyle name="Comma 13 3 3 2 2 3 3" xfId="35321" xr:uid="{00000000-0005-0000-0000-000045740000}"/>
    <cellStyle name="Comma 13 3 3 2 2 4" xfId="35322" xr:uid="{00000000-0005-0000-0000-000046740000}"/>
    <cellStyle name="Comma 13 3 3 2 2 4 2" xfId="35323" xr:uid="{00000000-0005-0000-0000-000047740000}"/>
    <cellStyle name="Comma 13 3 3 2 2 5" xfId="35324" xr:uid="{00000000-0005-0000-0000-000048740000}"/>
    <cellStyle name="Comma 13 3 3 2 2 6" xfId="35325" xr:uid="{00000000-0005-0000-0000-000049740000}"/>
    <cellStyle name="Comma 13 3 3 2 3" xfId="35326" xr:uid="{00000000-0005-0000-0000-00004A740000}"/>
    <cellStyle name="Comma 13 3 3 2 3 2" xfId="35327" xr:uid="{00000000-0005-0000-0000-00004B740000}"/>
    <cellStyle name="Comma 13 3 3 2 3 2 2" xfId="35328" xr:uid="{00000000-0005-0000-0000-00004C740000}"/>
    <cellStyle name="Comma 13 3 3 2 3 2 3" xfId="35329" xr:uid="{00000000-0005-0000-0000-00004D740000}"/>
    <cellStyle name="Comma 13 3 3 2 3 3" xfId="35330" xr:uid="{00000000-0005-0000-0000-00004E740000}"/>
    <cellStyle name="Comma 13 3 3 2 3 3 2" xfId="35331" xr:uid="{00000000-0005-0000-0000-00004F740000}"/>
    <cellStyle name="Comma 13 3 3 2 3 3 3" xfId="35332" xr:uid="{00000000-0005-0000-0000-000050740000}"/>
    <cellStyle name="Comma 13 3 3 2 3 4" xfId="35333" xr:uid="{00000000-0005-0000-0000-000051740000}"/>
    <cellStyle name="Comma 13 3 3 2 3 4 2" xfId="35334" xr:uid="{00000000-0005-0000-0000-000052740000}"/>
    <cellStyle name="Comma 13 3 3 2 3 5" xfId="35335" xr:uid="{00000000-0005-0000-0000-000053740000}"/>
    <cellStyle name="Comma 13 3 3 2 3 6" xfId="35336" xr:uid="{00000000-0005-0000-0000-000054740000}"/>
    <cellStyle name="Comma 13 3 3 2 4" xfId="35337" xr:uid="{00000000-0005-0000-0000-000055740000}"/>
    <cellStyle name="Comma 13 3 3 2 4 2" xfId="35338" xr:uid="{00000000-0005-0000-0000-000056740000}"/>
    <cellStyle name="Comma 13 3 3 2 4 2 2" xfId="35339" xr:uid="{00000000-0005-0000-0000-000057740000}"/>
    <cellStyle name="Comma 13 3 3 2 4 2 3" xfId="35340" xr:uid="{00000000-0005-0000-0000-000058740000}"/>
    <cellStyle name="Comma 13 3 3 2 4 3" xfId="35341" xr:uid="{00000000-0005-0000-0000-000059740000}"/>
    <cellStyle name="Comma 13 3 3 2 4 3 2" xfId="35342" xr:uid="{00000000-0005-0000-0000-00005A740000}"/>
    <cellStyle name="Comma 13 3 3 2 4 4" xfId="35343" xr:uid="{00000000-0005-0000-0000-00005B740000}"/>
    <cellStyle name="Comma 13 3 3 2 4 5" xfId="35344" xr:uid="{00000000-0005-0000-0000-00005C740000}"/>
    <cellStyle name="Comma 13 3 3 2 5" xfId="35345" xr:uid="{00000000-0005-0000-0000-00005D740000}"/>
    <cellStyle name="Comma 13 3 3 2 5 2" xfId="35346" xr:uid="{00000000-0005-0000-0000-00005E740000}"/>
    <cellStyle name="Comma 13 3 3 2 5 3" xfId="35347" xr:uid="{00000000-0005-0000-0000-00005F740000}"/>
    <cellStyle name="Comma 13 3 3 2 6" xfId="35348" xr:uid="{00000000-0005-0000-0000-000060740000}"/>
    <cellStyle name="Comma 13 3 3 2 6 2" xfId="35349" xr:uid="{00000000-0005-0000-0000-000061740000}"/>
    <cellStyle name="Comma 13 3 3 2 6 3" xfId="35350" xr:uid="{00000000-0005-0000-0000-000062740000}"/>
    <cellStyle name="Comma 13 3 3 2 7" xfId="35351" xr:uid="{00000000-0005-0000-0000-000063740000}"/>
    <cellStyle name="Comma 13 3 3 2 7 2" xfId="35352" xr:uid="{00000000-0005-0000-0000-000064740000}"/>
    <cellStyle name="Comma 13 3 3 2 8" xfId="35353" xr:uid="{00000000-0005-0000-0000-000065740000}"/>
    <cellStyle name="Comma 13 3 3 2 9" xfId="35354" xr:uid="{00000000-0005-0000-0000-000066740000}"/>
    <cellStyle name="Comma 13 3 3 3" xfId="35355" xr:uid="{00000000-0005-0000-0000-000067740000}"/>
    <cellStyle name="Comma 13 3 3 3 2" xfId="35356" xr:uid="{00000000-0005-0000-0000-000068740000}"/>
    <cellStyle name="Comma 13 3 3 3 2 2" xfId="35357" xr:uid="{00000000-0005-0000-0000-000069740000}"/>
    <cellStyle name="Comma 13 3 3 3 2 3" xfId="35358" xr:uid="{00000000-0005-0000-0000-00006A740000}"/>
    <cellStyle name="Comma 13 3 3 3 3" xfId="35359" xr:uid="{00000000-0005-0000-0000-00006B740000}"/>
    <cellStyle name="Comma 13 3 3 3 3 2" xfId="35360" xr:uid="{00000000-0005-0000-0000-00006C740000}"/>
    <cellStyle name="Comma 13 3 3 3 3 3" xfId="35361" xr:uid="{00000000-0005-0000-0000-00006D740000}"/>
    <cellStyle name="Comma 13 3 3 3 4" xfId="35362" xr:uid="{00000000-0005-0000-0000-00006E740000}"/>
    <cellStyle name="Comma 13 3 3 3 4 2" xfId="35363" xr:uid="{00000000-0005-0000-0000-00006F740000}"/>
    <cellStyle name="Comma 13 3 3 3 5" xfId="35364" xr:uid="{00000000-0005-0000-0000-000070740000}"/>
    <cellStyle name="Comma 13 3 3 3 6" xfId="35365" xr:uid="{00000000-0005-0000-0000-000071740000}"/>
    <cellStyle name="Comma 13 3 3 4" xfId="35366" xr:uid="{00000000-0005-0000-0000-000072740000}"/>
    <cellStyle name="Comma 13 3 3 4 2" xfId="35367" xr:uid="{00000000-0005-0000-0000-000073740000}"/>
    <cellStyle name="Comma 13 3 3 4 2 2" xfId="35368" xr:uid="{00000000-0005-0000-0000-000074740000}"/>
    <cellStyle name="Comma 13 3 3 4 2 3" xfId="35369" xr:uid="{00000000-0005-0000-0000-000075740000}"/>
    <cellStyle name="Comma 13 3 3 4 3" xfId="35370" xr:uid="{00000000-0005-0000-0000-000076740000}"/>
    <cellStyle name="Comma 13 3 3 4 3 2" xfId="35371" xr:uid="{00000000-0005-0000-0000-000077740000}"/>
    <cellStyle name="Comma 13 3 3 4 3 3" xfId="35372" xr:uid="{00000000-0005-0000-0000-000078740000}"/>
    <cellStyle name="Comma 13 3 3 4 4" xfId="35373" xr:uid="{00000000-0005-0000-0000-000079740000}"/>
    <cellStyle name="Comma 13 3 3 4 4 2" xfId="35374" xr:uid="{00000000-0005-0000-0000-00007A740000}"/>
    <cellStyle name="Comma 13 3 3 4 5" xfId="35375" xr:uid="{00000000-0005-0000-0000-00007B740000}"/>
    <cellStyle name="Comma 13 3 3 4 6" xfId="35376" xr:uid="{00000000-0005-0000-0000-00007C740000}"/>
    <cellStyle name="Comma 13 3 3 5" xfId="35377" xr:uid="{00000000-0005-0000-0000-00007D740000}"/>
    <cellStyle name="Comma 13 3 3 5 2" xfId="35378" xr:uid="{00000000-0005-0000-0000-00007E740000}"/>
    <cellStyle name="Comma 13 3 3 5 2 2" xfId="35379" xr:uid="{00000000-0005-0000-0000-00007F740000}"/>
    <cellStyle name="Comma 13 3 3 5 2 3" xfId="35380" xr:uid="{00000000-0005-0000-0000-000080740000}"/>
    <cellStyle name="Comma 13 3 3 5 3" xfId="35381" xr:uid="{00000000-0005-0000-0000-000081740000}"/>
    <cellStyle name="Comma 13 3 3 5 3 2" xfId="35382" xr:uid="{00000000-0005-0000-0000-000082740000}"/>
    <cellStyle name="Comma 13 3 3 5 4" xfId="35383" xr:uid="{00000000-0005-0000-0000-000083740000}"/>
    <cellStyle name="Comma 13 3 3 5 5" xfId="35384" xr:uid="{00000000-0005-0000-0000-000084740000}"/>
    <cellStyle name="Comma 13 3 3 6" xfId="35385" xr:uid="{00000000-0005-0000-0000-000085740000}"/>
    <cellStyle name="Comma 13 3 3 6 2" xfId="35386" xr:uid="{00000000-0005-0000-0000-000086740000}"/>
    <cellStyle name="Comma 13 3 3 6 3" xfId="35387" xr:uid="{00000000-0005-0000-0000-000087740000}"/>
    <cellStyle name="Comma 13 3 3 7" xfId="35388" xr:uid="{00000000-0005-0000-0000-000088740000}"/>
    <cellStyle name="Comma 13 3 3 7 2" xfId="35389" xr:uid="{00000000-0005-0000-0000-000089740000}"/>
    <cellStyle name="Comma 13 3 3 7 3" xfId="35390" xr:uid="{00000000-0005-0000-0000-00008A740000}"/>
    <cellStyle name="Comma 13 3 3 8" xfId="35391" xr:uid="{00000000-0005-0000-0000-00008B740000}"/>
    <cellStyle name="Comma 13 3 3 8 2" xfId="35392" xr:uid="{00000000-0005-0000-0000-00008C740000}"/>
    <cellStyle name="Comma 13 3 3 9" xfId="35393" xr:uid="{00000000-0005-0000-0000-00008D740000}"/>
    <cellStyle name="Comma 13 3 4" xfId="35394" xr:uid="{00000000-0005-0000-0000-00008E740000}"/>
    <cellStyle name="Comma 13 3 4 2" xfId="35395" xr:uid="{00000000-0005-0000-0000-00008F740000}"/>
    <cellStyle name="Comma 13 3 4 2 2" xfId="35396" xr:uid="{00000000-0005-0000-0000-000090740000}"/>
    <cellStyle name="Comma 13 3 4 2 2 2" xfId="35397" xr:uid="{00000000-0005-0000-0000-000091740000}"/>
    <cellStyle name="Comma 13 3 4 2 2 3" xfId="35398" xr:uid="{00000000-0005-0000-0000-000092740000}"/>
    <cellStyle name="Comma 13 3 4 2 3" xfId="35399" xr:uid="{00000000-0005-0000-0000-000093740000}"/>
    <cellStyle name="Comma 13 3 4 2 3 2" xfId="35400" xr:uid="{00000000-0005-0000-0000-000094740000}"/>
    <cellStyle name="Comma 13 3 4 2 3 3" xfId="35401" xr:uid="{00000000-0005-0000-0000-000095740000}"/>
    <cellStyle name="Comma 13 3 4 2 4" xfId="35402" xr:uid="{00000000-0005-0000-0000-000096740000}"/>
    <cellStyle name="Comma 13 3 4 2 4 2" xfId="35403" xr:uid="{00000000-0005-0000-0000-000097740000}"/>
    <cellStyle name="Comma 13 3 4 2 5" xfId="35404" xr:uid="{00000000-0005-0000-0000-000098740000}"/>
    <cellStyle name="Comma 13 3 4 2 6" xfId="35405" xr:uid="{00000000-0005-0000-0000-000099740000}"/>
    <cellStyle name="Comma 13 3 4 3" xfId="35406" xr:uid="{00000000-0005-0000-0000-00009A740000}"/>
    <cellStyle name="Comma 13 3 4 3 2" xfId="35407" xr:uid="{00000000-0005-0000-0000-00009B740000}"/>
    <cellStyle name="Comma 13 3 4 3 2 2" xfId="35408" xr:uid="{00000000-0005-0000-0000-00009C740000}"/>
    <cellStyle name="Comma 13 3 4 3 2 3" xfId="35409" xr:uid="{00000000-0005-0000-0000-00009D740000}"/>
    <cellStyle name="Comma 13 3 4 3 3" xfId="35410" xr:uid="{00000000-0005-0000-0000-00009E740000}"/>
    <cellStyle name="Comma 13 3 4 3 3 2" xfId="35411" xr:uid="{00000000-0005-0000-0000-00009F740000}"/>
    <cellStyle name="Comma 13 3 4 3 3 3" xfId="35412" xr:uid="{00000000-0005-0000-0000-0000A0740000}"/>
    <cellStyle name="Comma 13 3 4 3 4" xfId="35413" xr:uid="{00000000-0005-0000-0000-0000A1740000}"/>
    <cellStyle name="Comma 13 3 4 3 4 2" xfId="35414" xr:uid="{00000000-0005-0000-0000-0000A2740000}"/>
    <cellStyle name="Comma 13 3 4 3 5" xfId="35415" xr:uid="{00000000-0005-0000-0000-0000A3740000}"/>
    <cellStyle name="Comma 13 3 4 3 6" xfId="35416" xr:uid="{00000000-0005-0000-0000-0000A4740000}"/>
    <cellStyle name="Comma 13 3 4 4" xfId="35417" xr:uid="{00000000-0005-0000-0000-0000A5740000}"/>
    <cellStyle name="Comma 13 3 4 4 2" xfId="35418" xr:uid="{00000000-0005-0000-0000-0000A6740000}"/>
    <cellStyle name="Comma 13 3 4 4 2 2" xfId="35419" xr:uid="{00000000-0005-0000-0000-0000A7740000}"/>
    <cellStyle name="Comma 13 3 4 4 2 3" xfId="35420" xr:uid="{00000000-0005-0000-0000-0000A8740000}"/>
    <cellStyle name="Comma 13 3 4 4 3" xfId="35421" xr:uid="{00000000-0005-0000-0000-0000A9740000}"/>
    <cellStyle name="Comma 13 3 4 4 3 2" xfId="35422" xr:uid="{00000000-0005-0000-0000-0000AA740000}"/>
    <cellStyle name="Comma 13 3 4 4 4" xfId="35423" xr:uid="{00000000-0005-0000-0000-0000AB740000}"/>
    <cellStyle name="Comma 13 3 4 4 5" xfId="35424" xr:uid="{00000000-0005-0000-0000-0000AC740000}"/>
    <cellStyle name="Comma 13 3 4 5" xfId="35425" xr:uid="{00000000-0005-0000-0000-0000AD740000}"/>
    <cellStyle name="Comma 13 3 4 5 2" xfId="35426" xr:uid="{00000000-0005-0000-0000-0000AE740000}"/>
    <cellStyle name="Comma 13 3 4 5 3" xfId="35427" xr:uid="{00000000-0005-0000-0000-0000AF740000}"/>
    <cellStyle name="Comma 13 3 4 6" xfId="35428" xr:uid="{00000000-0005-0000-0000-0000B0740000}"/>
    <cellStyle name="Comma 13 3 4 6 2" xfId="35429" xr:uid="{00000000-0005-0000-0000-0000B1740000}"/>
    <cellStyle name="Comma 13 3 4 6 3" xfId="35430" xr:uid="{00000000-0005-0000-0000-0000B2740000}"/>
    <cellStyle name="Comma 13 3 4 7" xfId="35431" xr:uid="{00000000-0005-0000-0000-0000B3740000}"/>
    <cellStyle name="Comma 13 3 4 7 2" xfId="35432" xr:uid="{00000000-0005-0000-0000-0000B4740000}"/>
    <cellStyle name="Comma 13 3 4 8" xfId="35433" xr:uid="{00000000-0005-0000-0000-0000B5740000}"/>
    <cellStyle name="Comma 13 3 4 9" xfId="35434" xr:uid="{00000000-0005-0000-0000-0000B6740000}"/>
    <cellStyle name="Comma 13 3 5" xfId="35435" xr:uid="{00000000-0005-0000-0000-0000B7740000}"/>
    <cellStyle name="Comma 13 3 5 2" xfId="35436" xr:uid="{00000000-0005-0000-0000-0000B8740000}"/>
    <cellStyle name="Comma 13 3 5 2 2" xfId="35437" xr:uid="{00000000-0005-0000-0000-0000B9740000}"/>
    <cellStyle name="Comma 13 3 5 2 2 2" xfId="35438" xr:uid="{00000000-0005-0000-0000-0000BA740000}"/>
    <cellStyle name="Comma 13 3 5 2 2 3" xfId="35439" xr:uid="{00000000-0005-0000-0000-0000BB740000}"/>
    <cellStyle name="Comma 13 3 5 2 3" xfId="35440" xr:uid="{00000000-0005-0000-0000-0000BC740000}"/>
    <cellStyle name="Comma 13 3 5 2 3 2" xfId="35441" xr:uid="{00000000-0005-0000-0000-0000BD740000}"/>
    <cellStyle name="Comma 13 3 5 2 3 3" xfId="35442" xr:uid="{00000000-0005-0000-0000-0000BE740000}"/>
    <cellStyle name="Comma 13 3 5 2 4" xfId="35443" xr:uid="{00000000-0005-0000-0000-0000BF740000}"/>
    <cellStyle name="Comma 13 3 5 2 4 2" xfId="35444" xr:uid="{00000000-0005-0000-0000-0000C0740000}"/>
    <cellStyle name="Comma 13 3 5 2 5" xfId="35445" xr:uid="{00000000-0005-0000-0000-0000C1740000}"/>
    <cellStyle name="Comma 13 3 5 2 6" xfId="35446" xr:uid="{00000000-0005-0000-0000-0000C2740000}"/>
    <cellStyle name="Comma 13 3 5 3" xfId="35447" xr:uid="{00000000-0005-0000-0000-0000C3740000}"/>
    <cellStyle name="Comma 13 3 5 3 2" xfId="35448" xr:uid="{00000000-0005-0000-0000-0000C4740000}"/>
    <cellStyle name="Comma 13 3 5 3 2 2" xfId="35449" xr:uid="{00000000-0005-0000-0000-0000C5740000}"/>
    <cellStyle name="Comma 13 3 5 3 2 3" xfId="35450" xr:uid="{00000000-0005-0000-0000-0000C6740000}"/>
    <cellStyle name="Comma 13 3 5 3 3" xfId="35451" xr:uid="{00000000-0005-0000-0000-0000C7740000}"/>
    <cellStyle name="Comma 13 3 5 3 3 2" xfId="35452" xr:uid="{00000000-0005-0000-0000-0000C8740000}"/>
    <cellStyle name="Comma 13 3 5 3 3 3" xfId="35453" xr:uid="{00000000-0005-0000-0000-0000C9740000}"/>
    <cellStyle name="Comma 13 3 5 3 4" xfId="35454" xr:uid="{00000000-0005-0000-0000-0000CA740000}"/>
    <cellStyle name="Comma 13 3 5 3 4 2" xfId="35455" xr:uid="{00000000-0005-0000-0000-0000CB740000}"/>
    <cellStyle name="Comma 13 3 5 3 5" xfId="35456" xr:uid="{00000000-0005-0000-0000-0000CC740000}"/>
    <cellStyle name="Comma 13 3 5 3 6" xfId="35457" xr:uid="{00000000-0005-0000-0000-0000CD740000}"/>
    <cellStyle name="Comma 13 3 5 4" xfId="35458" xr:uid="{00000000-0005-0000-0000-0000CE740000}"/>
    <cellStyle name="Comma 13 3 5 4 2" xfId="35459" xr:uid="{00000000-0005-0000-0000-0000CF740000}"/>
    <cellStyle name="Comma 13 3 5 4 2 2" xfId="35460" xr:uid="{00000000-0005-0000-0000-0000D0740000}"/>
    <cellStyle name="Comma 13 3 5 4 2 3" xfId="35461" xr:uid="{00000000-0005-0000-0000-0000D1740000}"/>
    <cellStyle name="Comma 13 3 5 4 3" xfId="35462" xr:uid="{00000000-0005-0000-0000-0000D2740000}"/>
    <cellStyle name="Comma 13 3 5 4 3 2" xfId="35463" xr:uid="{00000000-0005-0000-0000-0000D3740000}"/>
    <cellStyle name="Comma 13 3 5 4 4" xfId="35464" xr:uid="{00000000-0005-0000-0000-0000D4740000}"/>
    <cellStyle name="Comma 13 3 5 4 5" xfId="35465" xr:uid="{00000000-0005-0000-0000-0000D5740000}"/>
    <cellStyle name="Comma 13 3 5 5" xfId="35466" xr:uid="{00000000-0005-0000-0000-0000D6740000}"/>
    <cellStyle name="Comma 13 3 5 5 2" xfId="35467" xr:uid="{00000000-0005-0000-0000-0000D7740000}"/>
    <cellStyle name="Comma 13 3 5 5 3" xfId="35468" xr:uid="{00000000-0005-0000-0000-0000D8740000}"/>
    <cellStyle name="Comma 13 3 5 6" xfId="35469" xr:uid="{00000000-0005-0000-0000-0000D9740000}"/>
    <cellStyle name="Comma 13 3 5 6 2" xfId="35470" xr:uid="{00000000-0005-0000-0000-0000DA740000}"/>
    <cellStyle name="Comma 13 3 5 6 3" xfId="35471" xr:uid="{00000000-0005-0000-0000-0000DB740000}"/>
    <cellStyle name="Comma 13 3 5 7" xfId="35472" xr:uid="{00000000-0005-0000-0000-0000DC740000}"/>
    <cellStyle name="Comma 13 3 5 7 2" xfId="35473" xr:uid="{00000000-0005-0000-0000-0000DD740000}"/>
    <cellStyle name="Comma 13 3 5 8" xfId="35474" xr:uid="{00000000-0005-0000-0000-0000DE740000}"/>
    <cellStyle name="Comma 13 3 5 9" xfId="35475" xr:uid="{00000000-0005-0000-0000-0000DF740000}"/>
    <cellStyle name="Comma 13 3 6" xfId="35476" xr:uid="{00000000-0005-0000-0000-0000E0740000}"/>
    <cellStyle name="Comma 13 3 6 2" xfId="35477" xr:uid="{00000000-0005-0000-0000-0000E1740000}"/>
    <cellStyle name="Comma 13 3 6 2 2" xfId="35478" xr:uid="{00000000-0005-0000-0000-0000E2740000}"/>
    <cellStyle name="Comma 13 3 6 2 3" xfId="35479" xr:uid="{00000000-0005-0000-0000-0000E3740000}"/>
    <cellStyle name="Comma 13 3 6 3" xfId="35480" xr:uid="{00000000-0005-0000-0000-0000E4740000}"/>
    <cellStyle name="Comma 13 3 6 3 2" xfId="35481" xr:uid="{00000000-0005-0000-0000-0000E5740000}"/>
    <cellStyle name="Comma 13 3 6 3 3" xfId="35482" xr:uid="{00000000-0005-0000-0000-0000E6740000}"/>
    <cellStyle name="Comma 13 3 6 4" xfId="35483" xr:uid="{00000000-0005-0000-0000-0000E7740000}"/>
    <cellStyle name="Comma 13 3 6 4 2" xfId="35484" xr:uid="{00000000-0005-0000-0000-0000E8740000}"/>
    <cellStyle name="Comma 13 3 6 5" xfId="35485" xr:uid="{00000000-0005-0000-0000-0000E9740000}"/>
    <cellStyle name="Comma 13 3 6 6" xfId="35486" xr:uid="{00000000-0005-0000-0000-0000EA740000}"/>
    <cellStyle name="Comma 13 3 7" xfId="35487" xr:uid="{00000000-0005-0000-0000-0000EB740000}"/>
    <cellStyle name="Comma 13 3 7 2" xfId="35488" xr:uid="{00000000-0005-0000-0000-0000EC740000}"/>
    <cellStyle name="Comma 13 3 7 2 2" xfId="35489" xr:uid="{00000000-0005-0000-0000-0000ED740000}"/>
    <cellStyle name="Comma 13 3 7 2 3" xfId="35490" xr:uid="{00000000-0005-0000-0000-0000EE740000}"/>
    <cellStyle name="Comma 13 3 7 3" xfId="35491" xr:uid="{00000000-0005-0000-0000-0000EF740000}"/>
    <cellStyle name="Comma 13 3 7 3 2" xfId="35492" xr:uid="{00000000-0005-0000-0000-0000F0740000}"/>
    <cellStyle name="Comma 13 3 7 3 3" xfId="35493" xr:uid="{00000000-0005-0000-0000-0000F1740000}"/>
    <cellStyle name="Comma 13 3 7 4" xfId="35494" xr:uid="{00000000-0005-0000-0000-0000F2740000}"/>
    <cellStyle name="Comma 13 3 7 4 2" xfId="35495" xr:uid="{00000000-0005-0000-0000-0000F3740000}"/>
    <cellStyle name="Comma 13 3 7 5" xfId="35496" xr:uid="{00000000-0005-0000-0000-0000F4740000}"/>
    <cellStyle name="Comma 13 3 7 6" xfId="35497" xr:uid="{00000000-0005-0000-0000-0000F5740000}"/>
    <cellStyle name="Comma 13 3 8" xfId="35498" xr:uid="{00000000-0005-0000-0000-0000F6740000}"/>
    <cellStyle name="Comma 13 3 8 2" xfId="35499" xr:uid="{00000000-0005-0000-0000-0000F7740000}"/>
    <cellStyle name="Comma 13 3 8 2 2" xfId="35500" xr:uid="{00000000-0005-0000-0000-0000F8740000}"/>
    <cellStyle name="Comma 13 3 8 2 3" xfId="35501" xr:uid="{00000000-0005-0000-0000-0000F9740000}"/>
    <cellStyle name="Comma 13 3 8 3" xfId="35502" xr:uid="{00000000-0005-0000-0000-0000FA740000}"/>
    <cellStyle name="Comma 13 3 8 3 2" xfId="35503" xr:uid="{00000000-0005-0000-0000-0000FB740000}"/>
    <cellStyle name="Comma 13 3 8 4" xfId="35504" xr:uid="{00000000-0005-0000-0000-0000FC740000}"/>
    <cellStyle name="Comma 13 3 8 5" xfId="35505" xr:uid="{00000000-0005-0000-0000-0000FD740000}"/>
    <cellStyle name="Comma 13 3 9" xfId="35506" xr:uid="{00000000-0005-0000-0000-0000FE740000}"/>
    <cellStyle name="Comma 13 3 9 2" xfId="35507" xr:uid="{00000000-0005-0000-0000-0000FF740000}"/>
    <cellStyle name="Comma 13 3 9 3" xfId="35508" xr:uid="{00000000-0005-0000-0000-000000750000}"/>
    <cellStyle name="Comma 13 4" xfId="35509" xr:uid="{00000000-0005-0000-0000-000001750000}"/>
    <cellStyle name="Comma 13 4 10" xfId="35510" xr:uid="{00000000-0005-0000-0000-000002750000}"/>
    <cellStyle name="Comma 13 4 10 2" xfId="35511" xr:uid="{00000000-0005-0000-0000-000003750000}"/>
    <cellStyle name="Comma 13 4 11" xfId="35512" xr:uid="{00000000-0005-0000-0000-000004750000}"/>
    <cellStyle name="Comma 13 4 12" xfId="35513" xr:uid="{00000000-0005-0000-0000-000005750000}"/>
    <cellStyle name="Comma 13 4 2" xfId="35514" xr:uid="{00000000-0005-0000-0000-000006750000}"/>
    <cellStyle name="Comma 13 4 2 10" xfId="35515" xr:uid="{00000000-0005-0000-0000-000007750000}"/>
    <cellStyle name="Comma 13 4 2 2" xfId="35516" xr:uid="{00000000-0005-0000-0000-000008750000}"/>
    <cellStyle name="Comma 13 4 2 2 2" xfId="35517" xr:uid="{00000000-0005-0000-0000-000009750000}"/>
    <cellStyle name="Comma 13 4 2 2 2 2" xfId="35518" xr:uid="{00000000-0005-0000-0000-00000A750000}"/>
    <cellStyle name="Comma 13 4 2 2 2 2 2" xfId="35519" xr:uid="{00000000-0005-0000-0000-00000B750000}"/>
    <cellStyle name="Comma 13 4 2 2 2 2 3" xfId="35520" xr:uid="{00000000-0005-0000-0000-00000C750000}"/>
    <cellStyle name="Comma 13 4 2 2 2 3" xfId="35521" xr:uid="{00000000-0005-0000-0000-00000D750000}"/>
    <cellStyle name="Comma 13 4 2 2 2 3 2" xfId="35522" xr:uid="{00000000-0005-0000-0000-00000E750000}"/>
    <cellStyle name="Comma 13 4 2 2 2 3 3" xfId="35523" xr:uid="{00000000-0005-0000-0000-00000F750000}"/>
    <cellStyle name="Comma 13 4 2 2 2 4" xfId="35524" xr:uid="{00000000-0005-0000-0000-000010750000}"/>
    <cellStyle name="Comma 13 4 2 2 2 4 2" xfId="35525" xr:uid="{00000000-0005-0000-0000-000011750000}"/>
    <cellStyle name="Comma 13 4 2 2 2 5" xfId="35526" xr:uid="{00000000-0005-0000-0000-000012750000}"/>
    <cellStyle name="Comma 13 4 2 2 2 6" xfId="35527" xr:uid="{00000000-0005-0000-0000-000013750000}"/>
    <cellStyle name="Comma 13 4 2 2 3" xfId="35528" xr:uid="{00000000-0005-0000-0000-000014750000}"/>
    <cellStyle name="Comma 13 4 2 2 3 2" xfId="35529" xr:uid="{00000000-0005-0000-0000-000015750000}"/>
    <cellStyle name="Comma 13 4 2 2 3 2 2" xfId="35530" xr:uid="{00000000-0005-0000-0000-000016750000}"/>
    <cellStyle name="Comma 13 4 2 2 3 2 3" xfId="35531" xr:uid="{00000000-0005-0000-0000-000017750000}"/>
    <cellStyle name="Comma 13 4 2 2 3 3" xfId="35532" xr:uid="{00000000-0005-0000-0000-000018750000}"/>
    <cellStyle name="Comma 13 4 2 2 3 3 2" xfId="35533" xr:uid="{00000000-0005-0000-0000-000019750000}"/>
    <cellStyle name="Comma 13 4 2 2 3 3 3" xfId="35534" xr:uid="{00000000-0005-0000-0000-00001A750000}"/>
    <cellStyle name="Comma 13 4 2 2 3 4" xfId="35535" xr:uid="{00000000-0005-0000-0000-00001B750000}"/>
    <cellStyle name="Comma 13 4 2 2 3 4 2" xfId="35536" xr:uid="{00000000-0005-0000-0000-00001C750000}"/>
    <cellStyle name="Comma 13 4 2 2 3 5" xfId="35537" xr:uid="{00000000-0005-0000-0000-00001D750000}"/>
    <cellStyle name="Comma 13 4 2 2 3 6" xfId="35538" xr:uid="{00000000-0005-0000-0000-00001E750000}"/>
    <cellStyle name="Comma 13 4 2 2 4" xfId="35539" xr:uid="{00000000-0005-0000-0000-00001F750000}"/>
    <cellStyle name="Comma 13 4 2 2 4 2" xfId="35540" xr:uid="{00000000-0005-0000-0000-000020750000}"/>
    <cellStyle name="Comma 13 4 2 2 4 2 2" xfId="35541" xr:uid="{00000000-0005-0000-0000-000021750000}"/>
    <cellStyle name="Comma 13 4 2 2 4 2 3" xfId="35542" xr:uid="{00000000-0005-0000-0000-000022750000}"/>
    <cellStyle name="Comma 13 4 2 2 4 3" xfId="35543" xr:uid="{00000000-0005-0000-0000-000023750000}"/>
    <cellStyle name="Comma 13 4 2 2 4 3 2" xfId="35544" xr:uid="{00000000-0005-0000-0000-000024750000}"/>
    <cellStyle name="Comma 13 4 2 2 4 4" xfId="35545" xr:uid="{00000000-0005-0000-0000-000025750000}"/>
    <cellStyle name="Comma 13 4 2 2 4 5" xfId="35546" xr:uid="{00000000-0005-0000-0000-000026750000}"/>
    <cellStyle name="Comma 13 4 2 2 5" xfId="35547" xr:uid="{00000000-0005-0000-0000-000027750000}"/>
    <cellStyle name="Comma 13 4 2 2 5 2" xfId="35548" xr:uid="{00000000-0005-0000-0000-000028750000}"/>
    <cellStyle name="Comma 13 4 2 2 5 3" xfId="35549" xr:uid="{00000000-0005-0000-0000-000029750000}"/>
    <cellStyle name="Comma 13 4 2 2 6" xfId="35550" xr:uid="{00000000-0005-0000-0000-00002A750000}"/>
    <cellStyle name="Comma 13 4 2 2 6 2" xfId="35551" xr:uid="{00000000-0005-0000-0000-00002B750000}"/>
    <cellStyle name="Comma 13 4 2 2 6 3" xfId="35552" xr:uid="{00000000-0005-0000-0000-00002C750000}"/>
    <cellStyle name="Comma 13 4 2 2 7" xfId="35553" xr:uid="{00000000-0005-0000-0000-00002D750000}"/>
    <cellStyle name="Comma 13 4 2 2 7 2" xfId="35554" xr:uid="{00000000-0005-0000-0000-00002E750000}"/>
    <cellStyle name="Comma 13 4 2 2 8" xfId="35555" xr:uid="{00000000-0005-0000-0000-00002F750000}"/>
    <cellStyle name="Comma 13 4 2 2 9" xfId="35556" xr:uid="{00000000-0005-0000-0000-000030750000}"/>
    <cellStyle name="Comma 13 4 2 3" xfId="35557" xr:uid="{00000000-0005-0000-0000-000031750000}"/>
    <cellStyle name="Comma 13 4 2 3 2" xfId="35558" xr:uid="{00000000-0005-0000-0000-000032750000}"/>
    <cellStyle name="Comma 13 4 2 3 2 2" xfId="35559" xr:uid="{00000000-0005-0000-0000-000033750000}"/>
    <cellStyle name="Comma 13 4 2 3 2 3" xfId="35560" xr:uid="{00000000-0005-0000-0000-000034750000}"/>
    <cellStyle name="Comma 13 4 2 3 3" xfId="35561" xr:uid="{00000000-0005-0000-0000-000035750000}"/>
    <cellStyle name="Comma 13 4 2 3 3 2" xfId="35562" xr:uid="{00000000-0005-0000-0000-000036750000}"/>
    <cellStyle name="Comma 13 4 2 3 3 3" xfId="35563" xr:uid="{00000000-0005-0000-0000-000037750000}"/>
    <cellStyle name="Comma 13 4 2 3 4" xfId="35564" xr:uid="{00000000-0005-0000-0000-000038750000}"/>
    <cellStyle name="Comma 13 4 2 3 4 2" xfId="35565" xr:uid="{00000000-0005-0000-0000-000039750000}"/>
    <cellStyle name="Comma 13 4 2 3 5" xfId="35566" xr:uid="{00000000-0005-0000-0000-00003A750000}"/>
    <cellStyle name="Comma 13 4 2 3 6" xfId="35567" xr:uid="{00000000-0005-0000-0000-00003B750000}"/>
    <cellStyle name="Comma 13 4 2 4" xfId="35568" xr:uid="{00000000-0005-0000-0000-00003C750000}"/>
    <cellStyle name="Comma 13 4 2 4 2" xfId="35569" xr:uid="{00000000-0005-0000-0000-00003D750000}"/>
    <cellStyle name="Comma 13 4 2 4 2 2" xfId="35570" xr:uid="{00000000-0005-0000-0000-00003E750000}"/>
    <cellStyle name="Comma 13 4 2 4 2 3" xfId="35571" xr:uid="{00000000-0005-0000-0000-00003F750000}"/>
    <cellStyle name="Comma 13 4 2 4 3" xfId="35572" xr:uid="{00000000-0005-0000-0000-000040750000}"/>
    <cellStyle name="Comma 13 4 2 4 3 2" xfId="35573" xr:uid="{00000000-0005-0000-0000-000041750000}"/>
    <cellStyle name="Comma 13 4 2 4 3 3" xfId="35574" xr:uid="{00000000-0005-0000-0000-000042750000}"/>
    <cellStyle name="Comma 13 4 2 4 4" xfId="35575" xr:uid="{00000000-0005-0000-0000-000043750000}"/>
    <cellStyle name="Comma 13 4 2 4 4 2" xfId="35576" xr:uid="{00000000-0005-0000-0000-000044750000}"/>
    <cellStyle name="Comma 13 4 2 4 5" xfId="35577" xr:uid="{00000000-0005-0000-0000-000045750000}"/>
    <cellStyle name="Comma 13 4 2 4 6" xfId="35578" xr:uid="{00000000-0005-0000-0000-000046750000}"/>
    <cellStyle name="Comma 13 4 2 5" xfId="35579" xr:uid="{00000000-0005-0000-0000-000047750000}"/>
    <cellStyle name="Comma 13 4 2 5 2" xfId="35580" xr:uid="{00000000-0005-0000-0000-000048750000}"/>
    <cellStyle name="Comma 13 4 2 5 2 2" xfId="35581" xr:uid="{00000000-0005-0000-0000-000049750000}"/>
    <cellStyle name="Comma 13 4 2 5 2 3" xfId="35582" xr:uid="{00000000-0005-0000-0000-00004A750000}"/>
    <cellStyle name="Comma 13 4 2 5 3" xfId="35583" xr:uid="{00000000-0005-0000-0000-00004B750000}"/>
    <cellStyle name="Comma 13 4 2 5 3 2" xfId="35584" xr:uid="{00000000-0005-0000-0000-00004C750000}"/>
    <cellStyle name="Comma 13 4 2 5 4" xfId="35585" xr:uid="{00000000-0005-0000-0000-00004D750000}"/>
    <cellStyle name="Comma 13 4 2 5 5" xfId="35586" xr:uid="{00000000-0005-0000-0000-00004E750000}"/>
    <cellStyle name="Comma 13 4 2 6" xfId="35587" xr:uid="{00000000-0005-0000-0000-00004F750000}"/>
    <cellStyle name="Comma 13 4 2 6 2" xfId="35588" xr:uid="{00000000-0005-0000-0000-000050750000}"/>
    <cellStyle name="Comma 13 4 2 6 3" xfId="35589" xr:uid="{00000000-0005-0000-0000-000051750000}"/>
    <cellStyle name="Comma 13 4 2 7" xfId="35590" xr:uid="{00000000-0005-0000-0000-000052750000}"/>
    <cellStyle name="Comma 13 4 2 7 2" xfId="35591" xr:uid="{00000000-0005-0000-0000-000053750000}"/>
    <cellStyle name="Comma 13 4 2 7 3" xfId="35592" xr:uid="{00000000-0005-0000-0000-000054750000}"/>
    <cellStyle name="Comma 13 4 2 8" xfId="35593" xr:uid="{00000000-0005-0000-0000-000055750000}"/>
    <cellStyle name="Comma 13 4 2 8 2" xfId="35594" xr:uid="{00000000-0005-0000-0000-000056750000}"/>
    <cellStyle name="Comma 13 4 2 9" xfId="35595" xr:uid="{00000000-0005-0000-0000-000057750000}"/>
    <cellStyle name="Comma 13 4 3" xfId="35596" xr:uid="{00000000-0005-0000-0000-000058750000}"/>
    <cellStyle name="Comma 13 4 3 2" xfId="35597" xr:uid="{00000000-0005-0000-0000-000059750000}"/>
    <cellStyle name="Comma 13 4 3 2 2" xfId="35598" xr:uid="{00000000-0005-0000-0000-00005A750000}"/>
    <cellStyle name="Comma 13 4 3 2 2 2" xfId="35599" xr:uid="{00000000-0005-0000-0000-00005B750000}"/>
    <cellStyle name="Comma 13 4 3 2 2 3" xfId="35600" xr:uid="{00000000-0005-0000-0000-00005C750000}"/>
    <cellStyle name="Comma 13 4 3 2 3" xfId="35601" xr:uid="{00000000-0005-0000-0000-00005D750000}"/>
    <cellStyle name="Comma 13 4 3 2 3 2" xfId="35602" xr:uid="{00000000-0005-0000-0000-00005E750000}"/>
    <cellStyle name="Comma 13 4 3 2 3 3" xfId="35603" xr:uid="{00000000-0005-0000-0000-00005F750000}"/>
    <cellStyle name="Comma 13 4 3 2 4" xfId="35604" xr:uid="{00000000-0005-0000-0000-000060750000}"/>
    <cellStyle name="Comma 13 4 3 2 4 2" xfId="35605" xr:uid="{00000000-0005-0000-0000-000061750000}"/>
    <cellStyle name="Comma 13 4 3 2 5" xfId="35606" xr:uid="{00000000-0005-0000-0000-000062750000}"/>
    <cellStyle name="Comma 13 4 3 2 6" xfId="35607" xr:uid="{00000000-0005-0000-0000-000063750000}"/>
    <cellStyle name="Comma 13 4 3 3" xfId="35608" xr:uid="{00000000-0005-0000-0000-000064750000}"/>
    <cellStyle name="Comma 13 4 3 3 2" xfId="35609" xr:uid="{00000000-0005-0000-0000-000065750000}"/>
    <cellStyle name="Comma 13 4 3 3 2 2" xfId="35610" xr:uid="{00000000-0005-0000-0000-000066750000}"/>
    <cellStyle name="Comma 13 4 3 3 2 3" xfId="35611" xr:uid="{00000000-0005-0000-0000-000067750000}"/>
    <cellStyle name="Comma 13 4 3 3 3" xfId="35612" xr:uid="{00000000-0005-0000-0000-000068750000}"/>
    <cellStyle name="Comma 13 4 3 3 3 2" xfId="35613" xr:uid="{00000000-0005-0000-0000-000069750000}"/>
    <cellStyle name="Comma 13 4 3 3 3 3" xfId="35614" xr:uid="{00000000-0005-0000-0000-00006A750000}"/>
    <cellStyle name="Comma 13 4 3 3 4" xfId="35615" xr:uid="{00000000-0005-0000-0000-00006B750000}"/>
    <cellStyle name="Comma 13 4 3 3 4 2" xfId="35616" xr:uid="{00000000-0005-0000-0000-00006C750000}"/>
    <cellStyle name="Comma 13 4 3 3 5" xfId="35617" xr:uid="{00000000-0005-0000-0000-00006D750000}"/>
    <cellStyle name="Comma 13 4 3 3 6" xfId="35618" xr:uid="{00000000-0005-0000-0000-00006E750000}"/>
    <cellStyle name="Comma 13 4 3 4" xfId="35619" xr:uid="{00000000-0005-0000-0000-00006F750000}"/>
    <cellStyle name="Comma 13 4 3 4 2" xfId="35620" xr:uid="{00000000-0005-0000-0000-000070750000}"/>
    <cellStyle name="Comma 13 4 3 4 2 2" xfId="35621" xr:uid="{00000000-0005-0000-0000-000071750000}"/>
    <cellStyle name="Comma 13 4 3 4 2 3" xfId="35622" xr:uid="{00000000-0005-0000-0000-000072750000}"/>
    <cellStyle name="Comma 13 4 3 4 3" xfId="35623" xr:uid="{00000000-0005-0000-0000-000073750000}"/>
    <cellStyle name="Comma 13 4 3 4 3 2" xfId="35624" xr:uid="{00000000-0005-0000-0000-000074750000}"/>
    <cellStyle name="Comma 13 4 3 4 4" xfId="35625" xr:uid="{00000000-0005-0000-0000-000075750000}"/>
    <cellStyle name="Comma 13 4 3 4 5" xfId="35626" xr:uid="{00000000-0005-0000-0000-000076750000}"/>
    <cellStyle name="Comma 13 4 3 5" xfId="35627" xr:uid="{00000000-0005-0000-0000-000077750000}"/>
    <cellStyle name="Comma 13 4 3 5 2" xfId="35628" xr:uid="{00000000-0005-0000-0000-000078750000}"/>
    <cellStyle name="Comma 13 4 3 5 3" xfId="35629" xr:uid="{00000000-0005-0000-0000-000079750000}"/>
    <cellStyle name="Comma 13 4 3 6" xfId="35630" xr:uid="{00000000-0005-0000-0000-00007A750000}"/>
    <cellStyle name="Comma 13 4 3 6 2" xfId="35631" xr:uid="{00000000-0005-0000-0000-00007B750000}"/>
    <cellStyle name="Comma 13 4 3 6 3" xfId="35632" xr:uid="{00000000-0005-0000-0000-00007C750000}"/>
    <cellStyle name="Comma 13 4 3 7" xfId="35633" xr:uid="{00000000-0005-0000-0000-00007D750000}"/>
    <cellStyle name="Comma 13 4 3 7 2" xfId="35634" xr:uid="{00000000-0005-0000-0000-00007E750000}"/>
    <cellStyle name="Comma 13 4 3 8" xfId="35635" xr:uid="{00000000-0005-0000-0000-00007F750000}"/>
    <cellStyle name="Comma 13 4 3 9" xfId="35636" xr:uid="{00000000-0005-0000-0000-000080750000}"/>
    <cellStyle name="Comma 13 4 4" xfId="35637" xr:uid="{00000000-0005-0000-0000-000081750000}"/>
    <cellStyle name="Comma 13 4 4 2" xfId="35638" xr:uid="{00000000-0005-0000-0000-000082750000}"/>
    <cellStyle name="Comma 13 4 4 2 2" xfId="35639" xr:uid="{00000000-0005-0000-0000-000083750000}"/>
    <cellStyle name="Comma 13 4 4 2 2 2" xfId="35640" xr:uid="{00000000-0005-0000-0000-000084750000}"/>
    <cellStyle name="Comma 13 4 4 2 2 3" xfId="35641" xr:uid="{00000000-0005-0000-0000-000085750000}"/>
    <cellStyle name="Comma 13 4 4 2 3" xfId="35642" xr:uid="{00000000-0005-0000-0000-000086750000}"/>
    <cellStyle name="Comma 13 4 4 2 3 2" xfId="35643" xr:uid="{00000000-0005-0000-0000-000087750000}"/>
    <cellStyle name="Comma 13 4 4 2 3 3" xfId="35644" xr:uid="{00000000-0005-0000-0000-000088750000}"/>
    <cellStyle name="Comma 13 4 4 2 4" xfId="35645" xr:uid="{00000000-0005-0000-0000-000089750000}"/>
    <cellStyle name="Comma 13 4 4 2 4 2" xfId="35646" xr:uid="{00000000-0005-0000-0000-00008A750000}"/>
    <cellStyle name="Comma 13 4 4 2 5" xfId="35647" xr:uid="{00000000-0005-0000-0000-00008B750000}"/>
    <cellStyle name="Comma 13 4 4 2 6" xfId="35648" xr:uid="{00000000-0005-0000-0000-00008C750000}"/>
    <cellStyle name="Comma 13 4 4 3" xfId="35649" xr:uid="{00000000-0005-0000-0000-00008D750000}"/>
    <cellStyle name="Comma 13 4 4 3 2" xfId="35650" xr:uid="{00000000-0005-0000-0000-00008E750000}"/>
    <cellStyle name="Comma 13 4 4 3 2 2" xfId="35651" xr:uid="{00000000-0005-0000-0000-00008F750000}"/>
    <cellStyle name="Comma 13 4 4 3 2 3" xfId="35652" xr:uid="{00000000-0005-0000-0000-000090750000}"/>
    <cellStyle name="Comma 13 4 4 3 3" xfId="35653" xr:uid="{00000000-0005-0000-0000-000091750000}"/>
    <cellStyle name="Comma 13 4 4 3 3 2" xfId="35654" xr:uid="{00000000-0005-0000-0000-000092750000}"/>
    <cellStyle name="Comma 13 4 4 3 3 3" xfId="35655" xr:uid="{00000000-0005-0000-0000-000093750000}"/>
    <cellStyle name="Comma 13 4 4 3 4" xfId="35656" xr:uid="{00000000-0005-0000-0000-000094750000}"/>
    <cellStyle name="Comma 13 4 4 3 4 2" xfId="35657" xr:uid="{00000000-0005-0000-0000-000095750000}"/>
    <cellStyle name="Comma 13 4 4 3 5" xfId="35658" xr:uid="{00000000-0005-0000-0000-000096750000}"/>
    <cellStyle name="Comma 13 4 4 3 6" xfId="35659" xr:uid="{00000000-0005-0000-0000-000097750000}"/>
    <cellStyle name="Comma 13 4 4 4" xfId="35660" xr:uid="{00000000-0005-0000-0000-000098750000}"/>
    <cellStyle name="Comma 13 4 4 4 2" xfId="35661" xr:uid="{00000000-0005-0000-0000-000099750000}"/>
    <cellStyle name="Comma 13 4 4 4 2 2" xfId="35662" xr:uid="{00000000-0005-0000-0000-00009A750000}"/>
    <cellStyle name="Comma 13 4 4 4 2 3" xfId="35663" xr:uid="{00000000-0005-0000-0000-00009B750000}"/>
    <cellStyle name="Comma 13 4 4 4 3" xfId="35664" xr:uid="{00000000-0005-0000-0000-00009C750000}"/>
    <cellStyle name="Comma 13 4 4 4 3 2" xfId="35665" xr:uid="{00000000-0005-0000-0000-00009D750000}"/>
    <cellStyle name="Comma 13 4 4 4 4" xfId="35666" xr:uid="{00000000-0005-0000-0000-00009E750000}"/>
    <cellStyle name="Comma 13 4 4 4 5" xfId="35667" xr:uid="{00000000-0005-0000-0000-00009F750000}"/>
    <cellStyle name="Comma 13 4 4 5" xfId="35668" xr:uid="{00000000-0005-0000-0000-0000A0750000}"/>
    <cellStyle name="Comma 13 4 4 5 2" xfId="35669" xr:uid="{00000000-0005-0000-0000-0000A1750000}"/>
    <cellStyle name="Comma 13 4 4 5 3" xfId="35670" xr:uid="{00000000-0005-0000-0000-0000A2750000}"/>
    <cellStyle name="Comma 13 4 4 6" xfId="35671" xr:uid="{00000000-0005-0000-0000-0000A3750000}"/>
    <cellStyle name="Comma 13 4 4 6 2" xfId="35672" xr:uid="{00000000-0005-0000-0000-0000A4750000}"/>
    <cellStyle name="Comma 13 4 4 6 3" xfId="35673" xr:uid="{00000000-0005-0000-0000-0000A5750000}"/>
    <cellStyle name="Comma 13 4 4 7" xfId="35674" xr:uid="{00000000-0005-0000-0000-0000A6750000}"/>
    <cellStyle name="Comma 13 4 4 7 2" xfId="35675" xr:uid="{00000000-0005-0000-0000-0000A7750000}"/>
    <cellStyle name="Comma 13 4 4 8" xfId="35676" xr:uid="{00000000-0005-0000-0000-0000A8750000}"/>
    <cellStyle name="Comma 13 4 4 9" xfId="35677" xr:uid="{00000000-0005-0000-0000-0000A9750000}"/>
    <cellStyle name="Comma 13 4 5" xfId="35678" xr:uid="{00000000-0005-0000-0000-0000AA750000}"/>
    <cellStyle name="Comma 13 4 5 2" xfId="35679" xr:uid="{00000000-0005-0000-0000-0000AB750000}"/>
    <cellStyle name="Comma 13 4 5 2 2" xfId="35680" xr:uid="{00000000-0005-0000-0000-0000AC750000}"/>
    <cellStyle name="Comma 13 4 5 2 3" xfId="35681" xr:uid="{00000000-0005-0000-0000-0000AD750000}"/>
    <cellStyle name="Comma 13 4 5 3" xfId="35682" xr:uid="{00000000-0005-0000-0000-0000AE750000}"/>
    <cellStyle name="Comma 13 4 5 3 2" xfId="35683" xr:uid="{00000000-0005-0000-0000-0000AF750000}"/>
    <cellStyle name="Comma 13 4 5 3 3" xfId="35684" xr:uid="{00000000-0005-0000-0000-0000B0750000}"/>
    <cellStyle name="Comma 13 4 5 4" xfId="35685" xr:uid="{00000000-0005-0000-0000-0000B1750000}"/>
    <cellStyle name="Comma 13 4 5 4 2" xfId="35686" xr:uid="{00000000-0005-0000-0000-0000B2750000}"/>
    <cellStyle name="Comma 13 4 5 5" xfId="35687" xr:uid="{00000000-0005-0000-0000-0000B3750000}"/>
    <cellStyle name="Comma 13 4 5 6" xfId="35688" xr:uid="{00000000-0005-0000-0000-0000B4750000}"/>
    <cellStyle name="Comma 13 4 6" xfId="35689" xr:uid="{00000000-0005-0000-0000-0000B5750000}"/>
    <cellStyle name="Comma 13 4 6 2" xfId="35690" xr:uid="{00000000-0005-0000-0000-0000B6750000}"/>
    <cellStyle name="Comma 13 4 6 2 2" xfId="35691" xr:uid="{00000000-0005-0000-0000-0000B7750000}"/>
    <cellStyle name="Comma 13 4 6 2 3" xfId="35692" xr:uid="{00000000-0005-0000-0000-0000B8750000}"/>
    <cellStyle name="Comma 13 4 6 3" xfId="35693" xr:uid="{00000000-0005-0000-0000-0000B9750000}"/>
    <cellStyle name="Comma 13 4 6 3 2" xfId="35694" xr:uid="{00000000-0005-0000-0000-0000BA750000}"/>
    <cellStyle name="Comma 13 4 6 3 3" xfId="35695" xr:uid="{00000000-0005-0000-0000-0000BB750000}"/>
    <cellStyle name="Comma 13 4 6 4" xfId="35696" xr:uid="{00000000-0005-0000-0000-0000BC750000}"/>
    <cellStyle name="Comma 13 4 6 4 2" xfId="35697" xr:uid="{00000000-0005-0000-0000-0000BD750000}"/>
    <cellStyle name="Comma 13 4 6 5" xfId="35698" xr:uid="{00000000-0005-0000-0000-0000BE750000}"/>
    <cellStyle name="Comma 13 4 6 6" xfId="35699" xr:uid="{00000000-0005-0000-0000-0000BF750000}"/>
    <cellStyle name="Comma 13 4 7" xfId="35700" xr:uid="{00000000-0005-0000-0000-0000C0750000}"/>
    <cellStyle name="Comma 13 4 7 2" xfId="35701" xr:uid="{00000000-0005-0000-0000-0000C1750000}"/>
    <cellStyle name="Comma 13 4 7 2 2" xfId="35702" xr:uid="{00000000-0005-0000-0000-0000C2750000}"/>
    <cellStyle name="Comma 13 4 7 2 3" xfId="35703" xr:uid="{00000000-0005-0000-0000-0000C3750000}"/>
    <cellStyle name="Comma 13 4 7 3" xfId="35704" xr:uid="{00000000-0005-0000-0000-0000C4750000}"/>
    <cellStyle name="Comma 13 4 7 3 2" xfId="35705" xr:uid="{00000000-0005-0000-0000-0000C5750000}"/>
    <cellStyle name="Comma 13 4 7 4" xfId="35706" xr:uid="{00000000-0005-0000-0000-0000C6750000}"/>
    <cellStyle name="Comma 13 4 7 5" xfId="35707" xr:uid="{00000000-0005-0000-0000-0000C7750000}"/>
    <cellStyle name="Comma 13 4 8" xfId="35708" xr:uid="{00000000-0005-0000-0000-0000C8750000}"/>
    <cellStyle name="Comma 13 4 8 2" xfId="35709" xr:uid="{00000000-0005-0000-0000-0000C9750000}"/>
    <cellStyle name="Comma 13 4 8 3" xfId="35710" xr:uid="{00000000-0005-0000-0000-0000CA750000}"/>
    <cellStyle name="Comma 13 4 9" xfId="35711" xr:uid="{00000000-0005-0000-0000-0000CB750000}"/>
    <cellStyle name="Comma 13 4 9 2" xfId="35712" xr:uid="{00000000-0005-0000-0000-0000CC750000}"/>
    <cellStyle name="Comma 13 4 9 3" xfId="35713" xr:uid="{00000000-0005-0000-0000-0000CD750000}"/>
    <cellStyle name="Comma 13 5" xfId="35714" xr:uid="{00000000-0005-0000-0000-0000CE750000}"/>
    <cellStyle name="Comma 13 5 10" xfId="35715" xr:uid="{00000000-0005-0000-0000-0000CF750000}"/>
    <cellStyle name="Comma 13 5 2" xfId="35716" xr:uid="{00000000-0005-0000-0000-0000D0750000}"/>
    <cellStyle name="Comma 13 5 2 2" xfId="35717" xr:uid="{00000000-0005-0000-0000-0000D1750000}"/>
    <cellStyle name="Comma 13 5 2 2 2" xfId="35718" xr:uid="{00000000-0005-0000-0000-0000D2750000}"/>
    <cellStyle name="Comma 13 5 2 2 2 2" xfId="35719" xr:uid="{00000000-0005-0000-0000-0000D3750000}"/>
    <cellStyle name="Comma 13 5 2 2 2 3" xfId="35720" xr:uid="{00000000-0005-0000-0000-0000D4750000}"/>
    <cellStyle name="Comma 13 5 2 2 3" xfId="35721" xr:uid="{00000000-0005-0000-0000-0000D5750000}"/>
    <cellStyle name="Comma 13 5 2 2 3 2" xfId="35722" xr:uid="{00000000-0005-0000-0000-0000D6750000}"/>
    <cellStyle name="Comma 13 5 2 2 3 3" xfId="35723" xr:uid="{00000000-0005-0000-0000-0000D7750000}"/>
    <cellStyle name="Comma 13 5 2 2 4" xfId="35724" xr:uid="{00000000-0005-0000-0000-0000D8750000}"/>
    <cellStyle name="Comma 13 5 2 2 4 2" xfId="35725" xr:uid="{00000000-0005-0000-0000-0000D9750000}"/>
    <cellStyle name="Comma 13 5 2 2 5" xfId="35726" xr:uid="{00000000-0005-0000-0000-0000DA750000}"/>
    <cellStyle name="Comma 13 5 2 2 6" xfId="35727" xr:uid="{00000000-0005-0000-0000-0000DB750000}"/>
    <cellStyle name="Comma 13 5 2 3" xfId="35728" xr:uid="{00000000-0005-0000-0000-0000DC750000}"/>
    <cellStyle name="Comma 13 5 2 3 2" xfId="35729" xr:uid="{00000000-0005-0000-0000-0000DD750000}"/>
    <cellStyle name="Comma 13 5 2 3 2 2" xfId="35730" xr:uid="{00000000-0005-0000-0000-0000DE750000}"/>
    <cellStyle name="Comma 13 5 2 3 2 3" xfId="35731" xr:uid="{00000000-0005-0000-0000-0000DF750000}"/>
    <cellStyle name="Comma 13 5 2 3 3" xfId="35732" xr:uid="{00000000-0005-0000-0000-0000E0750000}"/>
    <cellStyle name="Comma 13 5 2 3 3 2" xfId="35733" xr:uid="{00000000-0005-0000-0000-0000E1750000}"/>
    <cellStyle name="Comma 13 5 2 3 3 3" xfId="35734" xr:uid="{00000000-0005-0000-0000-0000E2750000}"/>
    <cellStyle name="Comma 13 5 2 3 4" xfId="35735" xr:uid="{00000000-0005-0000-0000-0000E3750000}"/>
    <cellStyle name="Comma 13 5 2 3 4 2" xfId="35736" xr:uid="{00000000-0005-0000-0000-0000E4750000}"/>
    <cellStyle name="Comma 13 5 2 3 5" xfId="35737" xr:uid="{00000000-0005-0000-0000-0000E5750000}"/>
    <cellStyle name="Comma 13 5 2 3 6" xfId="35738" xr:uid="{00000000-0005-0000-0000-0000E6750000}"/>
    <cellStyle name="Comma 13 5 2 4" xfId="35739" xr:uid="{00000000-0005-0000-0000-0000E7750000}"/>
    <cellStyle name="Comma 13 5 2 4 2" xfId="35740" xr:uid="{00000000-0005-0000-0000-0000E8750000}"/>
    <cellStyle name="Comma 13 5 2 4 2 2" xfId="35741" xr:uid="{00000000-0005-0000-0000-0000E9750000}"/>
    <cellStyle name="Comma 13 5 2 4 2 3" xfId="35742" xr:uid="{00000000-0005-0000-0000-0000EA750000}"/>
    <cellStyle name="Comma 13 5 2 4 3" xfId="35743" xr:uid="{00000000-0005-0000-0000-0000EB750000}"/>
    <cellStyle name="Comma 13 5 2 4 3 2" xfId="35744" xr:uid="{00000000-0005-0000-0000-0000EC750000}"/>
    <cellStyle name="Comma 13 5 2 4 4" xfId="35745" xr:uid="{00000000-0005-0000-0000-0000ED750000}"/>
    <cellStyle name="Comma 13 5 2 4 5" xfId="35746" xr:uid="{00000000-0005-0000-0000-0000EE750000}"/>
    <cellStyle name="Comma 13 5 2 5" xfId="35747" xr:uid="{00000000-0005-0000-0000-0000EF750000}"/>
    <cellStyle name="Comma 13 5 2 5 2" xfId="35748" xr:uid="{00000000-0005-0000-0000-0000F0750000}"/>
    <cellStyle name="Comma 13 5 2 5 3" xfId="35749" xr:uid="{00000000-0005-0000-0000-0000F1750000}"/>
    <cellStyle name="Comma 13 5 2 6" xfId="35750" xr:uid="{00000000-0005-0000-0000-0000F2750000}"/>
    <cellStyle name="Comma 13 5 2 6 2" xfId="35751" xr:uid="{00000000-0005-0000-0000-0000F3750000}"/>
    <cellStyle name="Comma 13 5 2 6 3" xfId="35752" xr:uid="{00000000-0005-0000-0000-0000F4750000}"/>
    <cellStyle name="Comma 13 5 2 7" xfId="35753" xr:uid="{00000000-0005-0000-0000-0000F5750000}"/>
    <cellStyle name="Comma 13 5 2 7 2" xfId="35754" xr:uid="{00000000-0005-0000-0000-0000F6750000}"/>
    <cellStyle name="Comma 13 5 2 8" xfId="35755" xr:uid="{00000000-0005-0000-0000-0000F7750000}"/>
    <cellStyle name="Comma 13 5 2 9" xfId="35756" xr:uid="{00000000-0005-0000-0000-0000F8750000}"/>
    <cellStyle name="Comma 13 5 3" xfId="35757" xr:uid="{00000000-0005-0000-0000-0000F9750000}"/>
    <cellStyle name="Comma 13 5 3 2" xfId="35758" xr:uid="{00000000-0005-0000-0000-0000FA750000}"/>
    <cellStyle name="Comma 13 5 3 2 2" xfId="35759" xr:uid="{00000000-0005-0000-0000-0000FB750000}"/>
    <cellStyle name="Comma 13 5 3 2 3" xfId="35760" xr:uid="{00000000-0005-0000-0000-0000FC750000}"/>
    <cellStyle name="Comma 13 5 3 3" xfId="35761" xr:uid="{00000000-0005-0000-0000-0000FD750000}"/>
    <cellStyle name="Comma 13 5 3 3 2" xfId="35762" xr:uid="{00000000-0005-0000-0000-0000FE750000}"/>
    <cellStyle name="Comma 13 5 3 3 3" xfId="35763" xr:uid="{00000000-0005-0000-0000-0000FF750000}"/>
    <cellStyle name="Comma 13 5 3 4" xfId="35764" xr:uid="{00000000-0005-0000-0000-000000760000}"/>
    <cellStyle name="Comma 13 5 3 4 2" xfId="35765" xr:uid="{00000000-0005-0000-0000-000001760000}"/>
    <cellStyle name="Comma 13 5 3 5" xfId="35766" xr:uid="{00000000-0005-0000-0000-000002760000}"/>
    <cellStyle name="Comma 13 5 3 6" xfId="35767" xr:uid="{00000000-0005-0000-0000-000003760000}"/>
    <cellStyle name="Comma 13 5 4" xfId="35768" xr:uid="{00000000-0005-0000-0000-000004760000}"/>
    <cellStyle name="Comma 13 5 4 2" xfId="35769" xr:uid="{00000000-0005-0000-0000-000005760000}"/>
    <cellStyle name="Comma 13 5 4 2 2" xfId="35770" xr:uid="{00000000-0005-0000-0000-000006760000}"/>
    <cellStyle name="Comma 13 5 4 2 3" xfId="35771" xr:uid="{00000000-0005-0000-0000-000007760000}"/>
    <cellStyle name="Comma 13 5 4 3" xfId="35772" xr:uid="{00000000-0005-0000-0000-000008760000}"/>
    <cellStyle name="Comma 13 5 4 3 2" xfId="35773" xr:uid="{00000000-0005-0000-0000-000009760000}"/>
    <cellStyle name="Comma 13 5 4 3 3" xfId="35774" xr:uid="{00000000-0005-0000-0000-00000A760000}"/>
    <cellStyle name="Comma 13 5 4 4" xfId="35775" xr:uid="{00000000-0005-0000-0000-00000B760000}"/>
    <cellStyle name="Comma 13 5 4 4 2" xfId="35776" xr:uid="{00000000-0005-0000-0000-00000C760000}"/>
    <cellStyle name="Comma 13 5 4 5" xfId="35777" xr:uid="{00000000-0005-0000-0000-00000D760000}"/>
    <cellStyle name="Comma 13 5 4 6" xfId="35778" xr:uid="{00000000-0005-0000-0000-00000E760000}"/>
    <cellStyle name="Comma 13 5 5" xfId="35779" xr:uid="{00000000-0005-0000-0000-00000F760000}"/>
    <cellStyle name="Comma 13 5 5 2" xfId="35780" xr:uid="{00000000-0005-0000-0000-000010760000}"/>
    <cellStyle name="Comma 13 5 5 2 2" xfId="35781" xr:uid="{00000000-0005-0000-0000-000011760000}"/>
    <cellStyle name="Comma 13 5 5 2 3" xfId="35782" xr:uid="{00000000-0005-0000-0000-000012760000}"/>
    <cellStyle name="Comma 13 5 5 3" xfId="35783" xr:uid="{00000000-0005-0000-0000-000013760000}"/>
    <cellStyle name="Comma 13 5 5 3 2" xfId="35784" xr:uid="{00000000-0005-0000-0000-000014760000}"/>
    <cellStyle name="Comma 13 5 5 4" xfId="35785" xr:uid="{00000000-0005-0000-0000-000015760000}"/>
    <cellStyle name="Comma 13 5 5 5" xfId="35786" xr:uid="{00000000-0005-0000-0000-000016760000}"/>
    <cellStyle name="Comma 13 5 6" xfId="35787" xr:uid="{00000000-0005-0000-0000-000017760000}"/>
    <cellStyle name="Comma 13 5 6 2" xfId="35788" xr:uid="{00000000-0005-0000-0000-000018760000}"/>
    <cellStyle name="Comma 13 5 6 3" xfId="35789" xr:uid="{00000000-0005-0000-0000-000019760000}"/>
    <cellStyle name="Comma 13 5 7" xfId="35790" xr:uid="{00000000-0005-0000-0000-00001A760000}"/>
    <cellStyle name="Comma 13 5 7 2" xfId="35791" xr:uid="{00000000-0005-0000-0000-00001B760000}"/>
    <cellStyle name="Comma 13 5 7 3" xfId="35792" xr:uid="{00000000-0005-0000-0000-00001C760000}"/>
    <cellStyle name="Comma 13 5 8" xfId="35793" xr:uid="{00000000-0005-0000-0000-00001D760000}"/>
    <cellStyle name="Comma 13 5 8 2" xfId="35794" xr:uid="{00000000-0005-0000-0000-00001E760000}"/>
    <cellStyle name="Comma 13 5 9" xfId="35795" xr:uid="{00000000-0005-0000-0000-00001F760000}"/>
    <cellStyle name="Comma 13 6" xfId="35796" xr:uid="{00000000-0005-0000-0000-000020760000}"/>
    <cellStyle name="Comma 13 6 2" xfId="35797" xr:uid="{00000000-0005-0000-0000-000021760000}"/>
    <cellStyle name="Comma 13 6 2 2" xfId="35798" xr:uid="{00000000-0005-0000-0000-000022760000}"/>
    <cellStyle name="Comma 13 6 2 2 2" xfId="35799" xr:uid="{00000000-0005-0000-0000-000023760000}"/>
    <cellStyle name="Comma 13 6 2 2 3" xfId="35800" xr:uid="{00000000-0005-0000-0000-000024760000}"/>
    <cellStyle name="Comma 13 6 2 3" xfId="35801" xr:uid="{00000000-0005-0000-0000-000025760000}"/>
    <cellStyle name="Comma 13 6 2 3 2" xfId="35802" xr:uid="{00000000-0005-0000-0000-000026760000}"/>
    <cellStyle name="Comma 13 6 2 3 3" xfId="35803" xr:uid="{00000000-0005-0000-0000-000027760000}"/>
    <cellStyle name="Comma 13 6 2 4" xfId="35804" xr:uid="{00000000-0005-0000-0000-000028760000}"/>
    <cellStyle name="Comma 13 6 2 4 2" xfId="35805" xr:uid="{00000000-0005-0000-0000-000029760000}"/>
    <cellStyle name="Comma 13 6 2 5" xfId="35806" xr:uid="{00000000-0005-0000-0000-00002A760000}"/>
    <cellStyle name="Comma 13 6 2 6" xfId="35807" xr:uid="{00000000-0005-0000-0000-00002B760000}"/>
    <cellStyle name="Comma 13 6 3" xfId="35808" xr:uid="{00000000-0005-0000-0000-00002C760000}"/>
    <cellStyle name="Comma 13 6 3 2" xfId="35809" xr:uid="{00000000-0005-0000-0000-00002D760000}"/>
    <cellStyle name="Comma 13 6 3 2 2" xfId="35810" xr:uid="{00000000-0005-0000-0000-00002E760000}"/>
    <cellStyle name="Comma 13 6 3 2 3" xfId="35811" xr:uid="{00000000-0005-0000-0000-00002F760000}"/>
    <cellStyle name="Comma 13 6 3 3" xfId="35812" xr:uid="{00000000-0005-0000-0000-000030760000}"/>
    <cellStyle name="Comma 13 6 3 3 2" xfId="35813" xr:uid="{00000000-0005-0000-0000-000031760000}"/>
    <cellStyle name="Comma 13 6 3 3 3" xfId="35814" xr:uid="{00000000-0005-0000-0000-000032760000}"/>
    <cellStyle name="Comma 13 6 3 4" xfId="35815" xr:uid="{00000000-0005-0000-0000-000033760000}"/>
    <cellStyle name="Comma 13 6 3 4 2" xfId="35816" xr:uid="{00000000-0005-0000-0000-000034760000}"/>
    <cellStyle name="Comma 13 6 3 5" xfId="35817" xr:uid="{00000000-0005-0000-0000-000035760000}"/>
    <cellStyle name="Comma 13 6 3 6" xfId="35818" xr:uid="{00000000-0005-0000-0000-000036760000}"/>
    <cellStyle name="Comma 13 6 4" xfId="35819" xr:uid="{00000000-0005-0000-0000-000037760000}"/>
    <cellStyle name="Comma 13 6 4 2" xfId="35820" xr:uid="{00000000-0005-0000-0000-000038760000}"/>
    <cellStyle name="Comma 13 6 4 2 2" xfId="35821" xr:uid="{00000000-0005-0000-0000-000039760000}"/>
    <cellStyle name="Comma 13 6 4 2 3" xfId="35822" xr:uid="{00000000-0005-0000-0000-00003A760000}"/>
    <cellStyle name="Comma 13 6 4 3" xfId="35823" xr:uid="{00000000-0005-0000-0000-00003B760000}"/>
    <cellStyle name="Comma 13 6 4 3 2" xfId="35824" xr:uid="{00000000-0005-0000-0000-00003C760000}"/>
    <cellStyle name="Comma 13 6 4 4" xfId="35825" xr:uid="{00000000-0005-0000-0000-00003D760000}"/>
    <cellStyle name="Comma 13 6 4 5" xfId="35826" xr:uid="{00000000-0005-0000-0000-00003E760000}"/>
    <cellStyle name="Comma 13 6 5" xfId="35827" xr:uid="{00000000-0005-0000-0000-00003F760000}"/>
    <cellStyle name="Comma 13 6 5 2" xfId="35828" xr:uid="{00000000-0005-0000-0000-000040760000}"/>
    <cellStyle name="Comma 13 6 5 3" xfId="35829" xr:uid="{00000000-0005-0000-0000-000041760000}"/>
    <cellStyle name="Comma 13 6 6" xfId="35830" xr:uid="{00000000-0005-0000-0000-000042760000}"/>
    <cellStyle name="Comma 13 6 6 2" xfId="35831" xr:uid="{00000000-0005-0000-0000-000043760000}"/>
    <cellStyle name="Comma 13 6 6 3" xfId="35832" xr:uid="{00000000-0005-0000-0000-000044760000}"/>
    <cellStyle name="Comma 13 6 7" xfId="35833" xr:uid="{00000000-0005-0000-0000-000045760000}"/>
    <cellStyle name="Comma 13 6 7 2" xfId="35834" xr:uid="{00000000-0005-0000-0000-000046760000}"/>
    <cellStyle name="Comma 13 6 8" xfId="35835" xr:uid="{00000000-0005-0000-0000-000047760000}"/>
    <cellStyle name="Comma 13 6 9" xfId="35836" xr:uid="{00000000-0005-0000-0000-000048760000}"/>
    <cellStyle name="Comma 13 7" xfId="35837" xr:uid="{00000000-0005-0000-0000-000049760000}"/>
    <cellStyle name="Comma 13 7 2" xfId="35838" xr:uid="{00000000-0005-0000-0000-00004A760000}"/>
    <cellStyle name="Comma 13 7 2 2" xfId="35839" xr:uid="{00000000-0005-0000-0000-00004B760000}"/>
    <cellStyle name="Comma 13 7 2 2 2" xfId="35840" xr:uid="{00000000-0005-0000-0000-00004C760000}"/>
    <cellStyle name="Comma 13 7 2 2 3" xfId="35841" xr:uid="{00000000-0005-0000-0000-00004D760000}"/>
    <cellStyle name="Comma 13 7 2 3" xfId="35842" xr:uid="{00000000-0005-0000-0000-00004E760000}"/>
    <cellStyle name="Comma 13 7 2 3 2" xfId="35843" xr:uid="{00000000-0005-0000-0000-00004F760000}"/>
    <cellStyle name="Comma 13 7 2 3 3" xfId="35844" xr:uid="{00000000-0005-0000-0000-000050760000}"/>
    <cellStyle name="Comma 13 7 2 4" xfId="35845" xr:uid="{00000000-0005-0000-0000-000051760000}"/>
    <cellStyle name="Comma 13 7 2 4 2" xfId="35846" xr:uid="{00000000-0005-0000-0000-000052760000}"/>
    <cellStyle name="Comma 13 7 2 5" xfId="35847" xr:uid="{00000000-0005-0000-0000-000053760000}"/>
    <cellStyle name="Comma 13 7 2 6" xfId="35848" xr:uid="{00000000-0005-0000-0000-000054760000}"/>
    <cellStyle name="Comma 13 7 3" xfId="35849" xr:uid="{00000000-0005-0000-0000-000055760000}"/>
    <cellStyle name="Comma 13 7 3 2" xfId="35850" xr:uid="{00000000-0005-0000-0000-000056760000}"/>
    <cellStyle name="Comma 13 7 3 2 2" xfId="35851" xr:uid="{00000000-0005-0000-0000-000057760000}"/>
    <cellStyle name="Comma 13 7 3 2 3" xfId="35852" xr:uid="{00000000-0005-0000-0000-000058760000}"/>
    <cellStyle name="Comma 13 7 3 3" xfId="35853" xr:uid="{00000000-0005-0000-0000-000059760000}"/>
    <cellStyle name="Comma 13 7 3 3 2" xfId="35854" xr:uid="{00000000-0005-0000-0000-00005A760000}"/>
    <cellStyle name="Comma 13 7 3 3 3" xfId="35855" xr:uid="{00000000-0005-0000-0000-00005B760000}"/>
    <cellStyle name="Comma 13 7 3 4" xfId="35856" xr:uid="{00000000-0005-0000-0000-00005C760000}"/>
    <cellStyle name="Comma 13 7 3 4 2" xfId="35857" xr:uid="{00000000-0005-0000-0000-00005D760000}"/>
    <cellStyle name="Comma 13 7 3 5" xfId="35858" xr:uid="{00000000-0005-0000-0000-00005E760000}"/>
    <cellStyle name="Comma 13 7 3 6" xfId="35859" xr:uid="{00000000-0005-0000-0000-00005F760000}"/>
    <cellStyle name="Comma 13 7 4" xfId="35860" xr:uid="{00000000-0005-0000-0000-000060760000}"/>
    <cellStyle name="Comma 13 7 4 2" xfId="35861" xr:uid="{00000000-0005-0000-0000-000061760000}"/>
    <cellStyle name="Comma 13 7 4 2 2" xfId="35862" xr:uid="{00000000-0005-0000-0000-000062760000}"/>
    <cellStyle name="Comma 13 7 4 2 3" xfId="35863" xr:uid="{00000000-0005-0000-0000-000063760000}"/>
    <cellStyle name="Comma 13 7 4 3" xfId="35864" xr:uid="{00000000-0005-0000-0000-000064760000}"/>
    <cellStyle name="Comma 13 7 4 3 2" xfId="35865" xr:uid="{00000000-0005-0000-0000-000065760000}"/>
    <cellStyle name="Comma 13 7 4 4" xfId="35866" xr:uid="{00000000-0005-0000-0000-000066760000}"/>
    <cellStyle name="Comma 13 7 4 5" xfId="35867" xr:uid="{00000000-0005-0000-0000-000067760000}"/>
    <cellStyle name="Comma 13 7 5" xfId="35868" xr:uid="{00000000-0005-0000-0000-000068760000}"/>
    <cellStyle name="Comma 13 7 5 2" xfId="35869" xr:uid="{00000000-0005-0000-0000-000069760000}"/>
    <cellStyle name="Comma 13 7 5 3" xfId="35870" xr:uid="{00000000-0005-0000-0000-00006A760000}"/>
    <cellStyle name="Comma 13 7 6" xfId="35871" xr:uid="{00000000-0005-0000-0000-00006B760000}"/>
    <cellStyle name="Comma 13 7 6 2" xfId="35872" xr:uid="{00000000-0005-0000-0000-00006C760000}"/>
    <cellStyle name="Comma 13 7 6 3" xfId="35873" xr:uid="{00000000-0005-0000-0000-00006D760000}"/>
    <cellStyle name="Comma 13 7 7" xfId="35874" xr:uid="{00000000-0005-0000-0000-00006E760000}"/>
    <cellStyle name="Comma 13 7 7 2" xfId="35875" xr:uid="{00000000-0005-0000-0000-00006F760000}"/>
    <cellStyle name="Comma 13 7 8" xfId="35876" xr:uid="{00000000-0005-0000-0000-000070760000}"/>
    <cellStyle name="Comma 13 7 9" xfId="35877" xr:uid="{00000000-0005-0000-0000-000071760000}"/>
    <cellStyle name="Comma 13 8" xfId="35878" xr:uid="{00000000-0005-0000-0000-000072760000}"/>
    <cellStyle name="Comma 13 8 2" xfId="35879" xr:uid="{00000000-0005-0000-0000-000073760000}"/>
    <cellStyle name="Comma 13 8 2 2" xfId="35880" xr:uid="{00000000-0005-0000-0000-000074760000}"/>
    <cellStyle name="Comma 13 8 2 3" xfId="35881" xr:uid="{00000000-0005-0000-0000-000075760000}"/>
    <cellStyle name="Comma 13 8 3" xfId="35882" xr:uid="{00000000-0005-0000-0000-000076760000}"/>
    <cellStyle name="Comma 13 8 3 2" xfId="35883" xr:uid="{00000000-0005-0000-0000-000077760000}"/>
    <cellStyle name="Comma 13 8 3 3" xfId="35884" xr:uid="{00000000-0005-0000-0000-000078760000}"/>
    <cellStyle name="Comma 13 8 4" xfId="35885" xr:uid="{00000000-0005-0000-0000-000079760000}"/>
    <cellStyle name="Comma 13 8 4 2" xfId="35886" xr:uid="{00000000-0005-0000-0000-00007A760000}"/>
    <cellStyle name="Comma 13 8 5" xfId="35887" xr:uid="{00000000-0005-0000-0000-00007B760000}"/>
    <cellStyle name="Comma 13 8 6" xfId="35888" xr:uid="{00000000-0005-0000-0000-00007C760000}"/>
    <cellStyle name="Comma 13 9" xfId="35889" xr:uid="{00000000-0005-0000-0000-00007D760000}"/>
    <cellStyle name="Comma 13 9 2" xfId="35890" xr:uid="{00000000-0005-0000-0000-00007E760000}"/>
    <cellStyle name="Comma 13 9 2 2" xfId="35891" xr:uid="{00000000-0005-0000-0000-00007F760000}"/>
    <cellStyle name="Comma 13 9 2 3" xfId="35892" xr:uid="{00000000-0005-0000-0000-000080760000}"/>
    <cellStyle name="Comma 13 9 3" xfId="35893" xr:uid="{00000000-0005-0000-0000-000081760000}"/>
    <cellStyle name="Comma 13 9 3 2" xfId="35894" xr:uid="{00000000-0005-0000-0000-000082760000}"/>
    <cellStyle name="Comma 13 9 3 3" xfId="35895" xr:uid="{00000000-0005-0000-0000-000083760000}"/>
    <cellStyle name="Comma 13 9 4" xfId="35896" xr:uid="{00000000-0005-0000-0000-000084760000}"/>
    <cellStyle name="Comma 13 9 4 2" xfId="35897" xr:uid="{00000000-0005-0000-0000-000085760000}"/>
    <cellStyle name="Comma 13 9 5" xfId="35898" xr:uid="{00000000-0005-0000-0000-000086760000}"/>
    <cellStyle name="Comma 13 9 6" xfId="35899" xr:uid="{00000000-0005-0000-0000-000087760000}"/>
    <cellStyle name="Comma 14" xfId="3241" xr:uid="{00000000-0005-0000-0000-000088760000}"/>
    <cellStyle name="Comma 14 10" xfId="35900" xr:uid="{00000000-0005-0000-0000-000089760000}"/>
    <cellStyle name="Comma 14 10 2" xfId="35901" xr:uid="{00000000-0005-0000-0000-00008A760000}"/>
    <cellStyle name="Comma 14 10 2 2" xfId="35902" xr:uid="{00000000-0005-0000-0000-00008B760000}"/>
    <cellStyle name="Comma 14 10 2 3" xfId="35903" xr:uid="{00000000-0005-0000-0000-00008C760000}"/>
    <cellStyle name="Comma 14 10 3" xfId="35904" xr:uid="{00000000-0005-0000-0000-00008D760000}"/>
    <cellStyle name="Comma 14 10 3 2" xfId="35905" xr:uid="{00000000-0005-0000-0000-00008E760000}"/>
    <cellStyle name="Comma 14 10 4" xfId="35906" xr:uid="{00000000-0005-0000-0000-00008F760000}"/>
    <cellStyle name="Comma 14 10 5" xfId="35907" xr:uid="{00000000-0005-0000-0000-000090760000}"/>
    <cellStyle name="Comma 14 11" xfId="35908" xr:uid="{00000000-0005-0000-0000-000091760000}"/>
    <cellStyle name="Comma 14 11 2" xfId="35909" xr:uid="{00000000-0005-0000-0000-000092760000}"/>
    <cellStyle name="Comma 14 11 3" xfId="35910" xr:uid="{00000000-0005-0000-0000-000093760000}"/>
    <cellStyle name="Comma 14 12" xfId="35911" xr:uid="{00000000-0005-0000-0000-000094760000}"/>
    <cellStyle name="Comma 14 12 2" xfId="35912" xr:uid="{00000000-0005-0000-0000-000095760000}"/>
    <cellStyle name="Comma 14 12 3" xfId="35913" xr:uid="{00000000-0005-0000-0000-000096760000}"/>
    <cellStyle name="Comma 14 13" xfId="35914" xr:uid="{00000000-0005-0000-0000-000097760000}"/>
    <cellStyle name="Comma 14 13 2" xfId="35915" xr:uid="{00000000-0005-0000-0000-000098760000}"/>
    <cellStyle name="Comma 14 14" xfId="35916" xr:uid="{00000000-0005-0000-0000-000099760000}"/>
    <cellStyle name="Comma 14 15" xfId="35917" xr:uid="{00000000-0005-0000-0000-00009A760000}"/>
    <cellStyle name="Comma 14 16" xfId="35918" xr:uid="{00000000-0005-0000-0000-00009B760000}"/>
    <cellStyle name="Comma 14 2" xfId="8227" xr:uid="{00000000-0005-0000-0000-00009C760000}"/>
    <cellStyle name="Comma 14 2 10" xfId="35919" xr:uid="{00000000-0005-0000-0000-00009D760000}"/>
    <cellStyle name="Comma 14 2 10 2" xfId="35920" xr:uid="{00000000-0005-0000-0000-00009E760000}"/>
    <cellStyle name="Comma 14 2 10 3" xfId="35921" xr:uid="{00000000-0005-0000-0000-00009F760000}"/>
    <cellStyle name="Comma 14 2 11" xfId="35922" xr:uid="{00000000-0005-0000-0000-0000A0760000}"/>
    <cellStyle name="Comma 14 2 11 2" xfId="35923" xr:uid="{00000000-0005-0000-0000-0000A1760000}"/>
    <cellStyle name="Comma 14 2 11 3" xfId="35924" xr:uid="{00000000-0005-0000-0000-0000A2760000}"/>
    <cellStyle name="Comma 14 2 12" xfId="35925" xr:uid="{00000000-0005-0000-0000-0000A3760000}"/>
    <cellStyle name="Comma 14 2 12 2" xfId="35926" xr:uid="{00000000-0005-0000-0000-0000A4760000}"/>
    <cellStyle name="Comma 14 2 13" xfId="35927" xr:uid="{00000000-0005-0000-0000-0000A5760000}"/>
    <cellStyle name="Comma 14 2 14" xfId="35928" xr:uid="{00000000-0005-0000-0000-0000A6760000}"/>
    <cellStyle name="Comma 14 2 15" xfId="35929" xr:uid="{00000000-0005-0000-0000-0000A7760000}"/>
    <cellStyle name="Comma 14 2 2" xfId="35930" xr:uid="{00000000-0005-0000-0000-0000A8760000}"/>
    <cellStyle name="Comma 14 2 2 10" xfId="35931" xr:uid="{00000000-0005-0000-0000-0000A9760000}"/>
    <cellStyle name="Comma 14 2 2 10 2" xfId="35932" xr:uid="{00000000-0005-0000-0000-0000AA760000}"/>
    <cellStyle name="Comma 14 2 2 10 3" xfId="35933" xr:uid="{00000000-0005-0000-0000-0000AB760000}"/>
    <cellStyle name="Comma 14 2 2 11" xfId="35934" xr:uid="{00000000-0005-0000-0000-0000AC760000}"/>
    <cellStyle name="Comma 14 2 2 11 2" xfId="35935" xr:uid="{00000000-0005-0000-0000-0000AD760000}"/>
    <cellStyle name="Comma 14 2 2 12" xfId="35936" xr:uid="{00000000-0005-0000-0000-0000AE760000}"/>
    <cellStyle name="Comma 14 2 2 13" xfId="35937" xr:uid="{00000000-0005-0000-0000-0000AF760000}"/>
    <cellStyle name="Comma 14 2 2 2" xfId="35938" xr:uid="{00000000-0005-0000-0000-0000B0760000}"/>
    <cellStyle name="Comma 14 2 2 2 10" xfId="35939" xr:uid="{00000000-0005-0000-0000-0000B1760000}"/>
    <cellStyle name="Comma 14 2 2 2 10 2" xfId="35940" xr:uid="{00000000-0005-0000-0000-0000B2760000}"/>
    <cellStyle name="Comma 14 2 2 2 11" xfId="35941" xr:uid="{00000000-0005-0000-0000-0000B3760000}"/>
    <cellStyle name="Comma 14 2 2 2 12" xfId="35942" xr:uid="{00000000-0005-0000-0000-0000B4760000}"/>
    <cellStyle name="Comma 14 2 2 2 2" xfId="35943" xr:uid="{00000000-0005-0000-0000-0000B5760000}"/>
    <cellStyle name="Comma 14 2 2 2 2 10" xfId="35944" xr:uid="{00000000-0005-0000-0000-0000B6760000}"/>
    <cellStyle name="Comma 14 2 2 2 2 2" xfId="35945" xr:uid="{00000000-0005-0000-0000-0000B7760000}"/>
    <cellStyle name="Comma 14 2 2 2 2 2 2" xfId="35946" xr:uid="{00000000-0005-0000-0000-0000B8760000}"/>
    <cellStyle name="Comma 14 2 2 2 2 2 2 2" xfId="35947" xr:uid="{00000000-0005-0000-0000-0000B9760000}"/>
    <cellStyle name="Comma 14 2 2 2 2 2 2 2 2" xfId="35948" xr:uid="{00000000-0005-0000-0000-0000BA760000}"/>
    <cellStyle name="Comma 14 2 2 2 2 2 2 2 3" xfId="35949" xr:uid="{00000000-0005-0000-0000-0000BB760000}"/>
    <cellStyle name="Comma 14 2 2 2 2 2 2 3" xfId="35950" xr:uid="{00000000-0005-0000-0000-0000BC760000}"/>
    <cellStyle name="Comma 14 2 2 2 2 2 2 3 2" xfId="35951" xr:uid="{00000000-0005-0000-0000-0000BD760000}"/>
    <cellStyle name="Comma 14 2 2 2 2 2 2 3 3" xfId="35952" xr:uid="{00000000-0005-0000-0000-0000BE760000}"/>
    <cellStyle name="Comma 14 2 2 2 2 2 2 4" xfId="35953" xr:uid="{00000000-0005-0000-0000-0000BF760000}"/>
    <cellStyle name="Comma 14 2 2 2 2 2 2 4 2" xfId="35954" xr:uid="{00000000-0005-0000-0000-0000C0760000}"/>
    <cellStyle name="Comma 14 2 2 2 2 2 2 5" xfId="35955" xr:uid="{00000000-0005-0000-0000-0000C1760000}"/>
    <cellStyle name="Comma 14 2 2 2 2 2 2 6" xfId="35956" xr:uid="{00000000-0005-0000-0000-0000C2760000}"/>
    <cellStyle name="Comma 14 2 2 2 2 2 3" xfId="35957" xr:uid="{00000000-0005-0000-0000-0000C3760000}"/>
    <cellStyle name="Comma 14 2 2 2 2 2 3 2" xfId="35958" xr:uid="{00000000-0005-0000-0000-0000C4760000}"/>
    <cellStyle name="Comma 14 2 2 2 2 2 3 2 2" xfId="35959" xr:uid="{00000000-0005-0000-0000-0000C5760000}"/>
    <cellStyle name="Comma 14 2 2 2 2 2 3 2 3" xfId="35960" xr:uid="{00000000-0005-0000-0000-0000C6760000}"/>
    <cellStyle name="Comma 14 2 2 2 2 2 3 3" xfId="35961" xr:uid="{00000000-0005-0000-0000-0000C7760000}"/>
    <cellStyle name="Comma 14 2 2 2 2 2 3 3 2" xfId="35962" xr:uid="{00000000-0005-0000-0000-0000C8760000}"/>
    <cellStyle name="Comma 14 2 2 2 2 2 3 3 3" xfId="35963" xr:uid="{00000000-0005-0000-0000-0000C9760000}"/>
    <cellStyle name="Comma 14 2 2 2 2 2 3 4" xfId="35964" xr:uid="{00000000-0005-0000-0000-0000CA760000}"/>
    <cellStyle name="Comma 14 2 2 2 2 2 3 4 2" xfId="35965" xr:uid="{00000000-0005-0000-0000-0000CB760000}"/>
    <cellStyle name="Comma 14 2 2 2 2 2 3 5" xfId="35966" xr:uid="{00000000-0005-0000-0000-0000CC760000}"/>
    <cellStyle name="Comma 14 2 2 2 2 2 3 6" xfId="35967" xr:uid="{00000000-0005-0000-0000-0000CD760000}"/>
    <cellStyle name="Comma 14 2 2 2 2 2 4" xfId="35968" xr:uid="{00000000-0005-0000-0000-0000CE760000}"/>
    <cellStyle name="Comma 14 2 2 2 2 2 4 2" xfId="35969" xr:uid="{00000000-0005-0000-0000-0000CF760000}"/>
    <cellStyle name="Comma 14 2 2 2 2 2 4 2 2" xfId="35970" xr:uid="{00000000-0005-0000-0000-0000D0760000}"/>
    <cellStyle name="Comma 14 2 2 2 2 2 4 2 3" xfId="35971" xr:uid="{00000000-0005-0000-0000-0000D1760000}"/>
    <cellStyle name="Comma 14 2 2 2 2 2 4 3" xfId="35972" xr:uid="{00000000-0005-0000-0000-0000D2760000}"/>
    <cellStyle name="Comma 14 2 2 2 2 2 4 3 2" xfId="35973" xr:uid="{00000000-0005-0000-0000-0000D3760000}"/>
    <cellStyle name="Comma 14 2 2 2 2 2 4 4" xfId="35974" xr:uid="{00000000-0005-0000-0000-0000D4760000}"/>
    <cellStyle name="Comma 14 2 2 2 2 2 4 5" xfId="35975" xr:uid="{00000000-0005-0000-0000-0000D5760000}"/>
    <cellStyle name="Comma 14 2 2 2 2 2 5" xfId="35976" xr:uid="{00000000-0005-0000-0000-0000D6760000}"/>
    <cellStyle name="Comma 14 2 2 2 2 2 5 2" xfId="35977" xr:uid="{00000000-0005-0000-0000-0000D7760000}"/>
    <cellStyle name="Comma 14 2 2 2 2 2 5 3" xfId="35978" xr:uid="{00000000-0005-0000-0000-0000D8760000}"/>
    <cellStyle name="Comma 14 2 2 2 2 2 6" xfId="35979" xr:uid="{00000000-0005-0000-0000-0000D9760000}"/>
    <cellStyle name="Comma 14 2 2 2 2 2 6 2" xfId="35980" xr:uid="{00000000-0005-0000-0000-0000DA760000}"/>
    <cellStyle name="Comma 14 2 2 2 2 2 6 3" xfId="35981" xr:uid="{00000000-0005-0000-0000-0000DB760000}"/>
    <cellStyle name="Comma 14 2 2 2 2 2 7" xfId="35982" xr:uid="{00000000-0005-0000-0000-0000DC760000}"/>
    <cellStyle name="Comma 14 2 2 2 2 2 7 2" xfId="35983" xr:uid="{00000000-0005-0000-0000-0000DD760000}"/>
    <cellStyle name="Comma 14 2 2 2 2 2 8" xfId="35984" xr:uid="{00000000-0005-0000-0000-0000DE760000}"/>
    <cellStyle name="Comma 14 2 2 2 2 2 9" xfId="35985" xr:uid="{00000000-0005-0000-0000-0000DF760000}"/>
    <cellStyle name="Comma 14 2 2 2 2 3" xfId="35986" xr:uid="{00000000-0005-0000-0000-0000E0760000}"/>
    <cellStyle name="Comma 14 2 2 2 2 3 2" xfId="35987" xr:uid="{00000000-0005-0000-0000-0000E1760000}"/>
    <cellStyle name="Comma 14 2 2 2 2 3 2 2" xfId="35988" xr:uid="{00000000-0005-0000-0000-0000E2760000}"/>
    <cellStyle name="Comma 14 2 2 2 2 3 2 3" xfId="35989" xr:uid="{00000000-0005-0000-0000-0000E3760000}"/>
    <cellStyle name="Comma 14 2 2 2 2 3 3" xfId="35990" xr:uid="{00000000-0005-0000-0000-0000E4760000}"/>
    <cellStyle name="Comma 14 2 2 2 2 3 3 2" xfId="35991" xr:uid="{00000000-0005-0000-0000-0000E5760000}"/>
    <cellStyle name="Comma 14 2 2 2 2 3 3 3" xfId="35992" xr:uid="{00000000-0005-0000-0000-0000E6760000}"/>
    <cellStyle name="Comma 14 2 2 2 2 3 4" xfId="35993" xr:uid="{00000000-0005-0000-0000-0000E7760000}"/>
    <cellStyle name="Comma 14 2 2 2 2 3 4 2" xfId="35994" xr:uid="{00000000-0005-0000-0000-0000E8760000}"/>
    <cellStyle name="Comma 14 2 2 2 2 3 5" xfId="35995" xr:uid="{00000000-0005-0000-0000-0000E9760000}"/>
    <cellStyle name="Comma 14 2 2 2 2 3 6" xfId="35996" xr:uid="{00000000-0005-0000-0000-0000EA760000}"/>
    <cellStyle name="Comma 14 2 2 2 2 4" xfId="35997" xr:uid="{00000000-0005-0000-0000-0000EB760000}"/>
    <cellStyle name="Comma 14 2 2 2 2 4 2" xfId="35998" xr:uid="{00000000-0005-0000-0000-0000EC760000}"/>
    <cellStyle name="Comma 14 2 2 2 2 4 2 2" xfId="35999" xr:uid="{00000000-0005-0000-0000-0000ED760000}"/>
    <cellStyle name="Comma 14 2 2 2 2 4 2 3" xfId="36000" xr:uid="{00000000-0005-0000-0000-0000EE760000}"/>
    <cellStyle name="Comma 14 2 2 2 2 4 3" xfId="36001" xr:uid="{00000000-0005-0000-0000-0000EF760000}"/>
    <cellStyle name="Comma 14 2 2 2 2 4 3 2" xfId="36002" xr:uid="{00000000-0005-0000-0000-0000F0760000}"/>
    <cellStyle name="Comma 14 2 2 2 2 4 3 3" xfId="36003" xr:uid="{00000000-0005-0000-0000-0000F1760000}"/>
    <cellStyle name="Comma 14 2 2 2 2 4 4" xfId="36004" xr:uid="{00000000-0005-0000-0000-0000F2760000}"/>
    <cellStyle name="Comma 14 2 2 2 2 4 4 2" xfId="36005" xr:uid="{00000000-0005-0000-0000-0000F3760000}"/>
    <cellStyle name="Comma 14 2 2 2 2 4 5" xfId="36006" xr:uid="{00000000-0005-0000-0000-0000F4760000}"/>
    <cellStyle name="Comma 14 2 2 2 2 4 6" xfId="36007" xr:uid="{00000000-0005-0000-0000-0000F5760000}"/>
    <cellStyle name="Comma 14 2 2 2 2 5" xfId="36008" xr:uid="{00000000-0005-0000-0000-0000F6760000}"/>
    <cellStyle name="Comma 14 2 2 2 2 5 2" xfId="36009" xr:uid="{00000000-0005-0000-0000-0000F7760000}"/>
    <cellStyle name="Comma 14 2 2 2 2 5 2 2" xfId="36010" xr:uid="{00000000-0005-0000-0000-0000F8760000}"/>
    <cellStyle name="Comma 14 2 2 2 2 5 2 3" xfId="36011" xr:uid="{00000000-0005-0000-0000-0000F9760000}"/>
    <cellStyle name="Comma 14 2 2 2 2 5 3" xfId="36012" xr:uid="{00000000-0005-0000-0000-0000FA760000}"/>
    <cellStyle name="Comma 14 2 2 2 2 5 3 2" xfId="36013" xr:uid="{00000000-0005-0000-0000-0000FB760000}"/>
    <cellStyle name="Comma 14 2 2 2 2 5 4" xfId="36014" xr:uid="{00000000-0005-0000-0000-0000FC760000}"/>
    <cellStyle name="Comma 14 2 2 2 2 5 5" xfId="36015" xr:uid="{00000000-0005-0000-0000-0000FD760000}"/>
    <cellStyle name="Comma 14 2 2 2 2 6" xfId="36016" xr:uid="{00000000-0005-0000-0000-0000FE760000}"/>
    <cellStyle name="Comma 14 2 2 2 2 6 2" xfId="36017" xr:uid="{00000000-0005-0000-0000-0000FF760000}"/>
    <cellStyle name="Comma 14 2 2 2 2 6 3" xfId="36018" xr:uid="{00000000-0005-0000-0000-000000770000}"/>
    <cellStyle name="Comma 14 2 2 2 2 7" xfId="36019" xr:uid="{00000000-0005-0000-0000-000001770000}"/>
    <cellStyle name="Comma 14 2 2 2 2 7 2" xfId="36020" xr:uid="{00000000-0005-0000-0000-000002770000}"/>
    <cellStyle name="Comma 14 2 2 2 2 7 3" xfId="36021" xr:uid="{00000000-0005-0000-0000-000003770000}"/>
    <cellStyle name="Comma 14 2 2 2 2 8" xfId="36022" xr:uid="{00000000-0005-0000-0000-000004770000}"/>
    <cellStyle name="Comma 14 2 2 2 2 8 2" xfId="36023" xr:uid="{00000000-0005-0000-0000-000005770000}"/>
    <cellStyle name="Comma 14 2 2 2 2 9" xfId="36024" xr:uid="{00000000-0005-0000-0000-000006770000}"/>
    <cellStyle name="Comma 14 2 2 2 3" xfId="36025" xr:uid="{00000000-0005-0000-0000-000007770000}"/>
    <cellStyle name="Comma 14 2 2 2 3 2" xfId="36026" xr:uid="{00000000-0005-0000-0000-000008770000}"/>
    <cellStyle name="Comma 14 2 2 2 3 2 2" xfId="36027" xr:uid="{00000000-0005-0000-0000-000009770000}"/>
    <cellStyle name="Comma 14 2 2 2 3 2 2 2" xfId="36028" xr:uid="{00000000-0005-0000-0000-00000A770000}"/>
    <cellStyle name="Comma 14 2 2 2 3 2 2 3" xfId="36029" xr:uid="{00000000-0005-0000-0000-00000B770000}"/>
    <cellStyle name="Comma 14 2 2 2 3 2 3" xfId="36030" xr:uid="{00000000-0005-0000-0000-00000C770000}"/>
    <cellStyle name="Comma 14 2 2 2 3 2 3 2" xfId="36031" xr:uid="{00000000-0005-0000-0000-00000D770000}"/>
    <cellStyle name="Comma 14 2 2 2 3 2 3 3" xfId="36032" xr:uid="{00000000-0005-0000-0000-00000E770000}"/>
    <cellStyle name="Comma 14 2 2 2 3 2 4" xfId="36033" xr:uid="{00000000-0005-0000-0000-00000F770000}"/>
    <cellStyle name="Comma 14 2 2 2 3 2 4 2" xfId="36034" xr:uid="{00000000-0005-0000-0000-000010770000}"/>
    <cellStyle name="Comma 14 2 2 2 3 2 5" xfId="36035" xr:uid="{00000000-0005-0000-0000-000011770000}"/>
    <cellStyle name="Comma 14 2 2 2 3 2 6" xfId="36036" xr:uid="{00000000-0005-0000-0000-000012770000}"/>
    <cellStyle name="Comma 14 2 2 2 3 3" xfId="36037" xr:uid="{00000000-0005-0000-0000-000013770000}"/>
    <cellStyle name="Comma 14 2 2 2 3 3 2" xfId="36038" xr:uid="{00000000-0005-0000-0000-000014770000}"/>
    <cellStyle name="Comma 14 2 2 2 3 3 2 2" xfId="36039" xr:uid="{00000000-0005-0000-0000-000015770000}"/>
    <cellStyle name="Comma 14 2 2 2 3 3 2 3" xfId="36040" xr:uid="{00000000-0005-0000-0000-000016770000}"/>
    <cellStyle name="Comma 14 2 2 2 3 3 3" xfId="36041" xr:uid="{00000000-0005-0000-0000-000017770000}"/>
    <cellStyle name="Comma 14 2 2 2 3 3 3 2" xfId="36042" xr:uid="{00000000-0005-0000-0000-000018770000}"/>
    <cellStyle name="Comma 14 2 2 2 3 3 3 3" xfId="36043" xr:uid="{00000000-0005-0000-0000-000019770000}"/>
    <cellStyle name="Comma 14 2 2 2 3 3 4" xfId="36044" xr:uid="{00000000-0005-0000-0000-00001A770000}"/>
    <cellStyle name="Comma 14 2 2 2 3 3 4 2" xfId="36045" xr:uid="{00000000-0005-0000-0000-00001B770000}"/>
    <cellStyle name="Comma 14 2 2 2 3 3 5" xfId="36046" xr:uid="{00000000-0005-0000-0000-00001C770000}"/>
    <cellStyle name="Comma 14 2 2 2 3 3 6" xfId="36047" xr:uid="{00000000-0005-0000-0000-00001D770000}"/>
    <cellStyle name="Comma 14 2 2 2 3 4" xfId="36048" xr:uid="{00000000-0005-0000-0000-00001E770000}"/>
    <cellStyle name="Comma 14 2 2 2 3 4 2" xfId="36049" xr:uid="{00000000-0005-0000-0000-00001F770000}"/>
    <cellStyle name="Comma 14 2 2 2 3 4 2 2" xfId="36050" xr:uid="{00000000-0005-0000-0000-000020770000}"/>
    <cellStyle name="Comma 14 2 2 2 3 4 2 3" xfId="36051" xr:uid="{00000000-0005-0000-0000-000021770000}"/>
    <cellStyle name="Comma 14 2 2 2 3 4 3" xfId="36052" xr:uid="{00000000-0005-0000-0000-000022770000}"/>
    <cellStyle name="Comma 14 2 2 2 3 4 3 2" xfId="36053" xr:uid="{00000000-0005-0000-0000-000023770000}"/>
    <cellStyle name="Comma 14 2 2 2 3 4 4" xfId="36054" xr:uid="{00000000-0005-0000-0000-000024770000}"/>
    <cellStyle name="Comma 14 2 2 2 3 4 5" xfId="36055" xr:uid="{00000000-0005-0000-0000-000025770000}"/>
    <cellStyle name="Comma 14 2 2 2 3 5" xfId="36056" xr:uid="{00000000-0005-0000-0000-000026770000}"/>
    <cellStyle name="Comma 14 2 2 2 3 5 2" xfId="36057" xr:uid="{00000000-0005-0000-0000-000027770000}"/>
    <cellStyle name="Comma 14 2 2 2 3 5 3" xfId="36058" xr:uid="{00000000-0005-0000-0000-000028770000}"/>
    <cellStyle name="Comma 14 2 2 2 3 6" xfId="36059" xr:uid="{00000000-0005-0000-0000-000029770000}"/>
    <cellStyle name="Comma 14 2 2 2 3 6 2" xfId="36060" xr:uid="{00000000-0005-0000-0000-00002A770000}"/>
    <cellStyle name="Comma 14 2 2 2 3 6 3" xfId="36061" xr:uid="{00000000-0005-0000-0000-00002B770000}"/>
    <cellStyle name="Comma 14 2 2 2 3 7" xfId="36062" xr:uid="{00000000-0005-0000-0000-00002C770000}"/>
    <cellStyle name="Comma 14 2 2 2 3 7 2" xfId="36063" xr:uid="{00000000-0005-0000-0000-00002D770000}"/>
    <cellStyle name="Comma 14 2 2 2 3 8" xfId="36064" xr:uid="{00000000-0005-0000-0000-00002E770000}"/>
    <cellStyle name="Comma 14 2 2 2 3 9" xfId="36065" xr:uid="{00000000-0005-0000-0000-00002F770000}"/>
    <cellStyle name="Comma 14 2 2 2 4" xfId="36066" xr:uid="{00000000-0005-0000-0000-000030770000}"/>
    <cellStyle name="Comma 14 2 2 2 4 2" xfId="36067" xr:uid="{00000000-0005-0000-0000-000031770000}"/>
    <cellStyle name="Comma 14 2 2 2 4 2 2" xfId="36068" xr:uid="{00000000-0005-0000-0000-000032770000}"/>
    <cellStyle name="Comma 14 2 2 2 4 2 2 2" xfId="36069" xr:uid="{00000000-0005-0000-0000-000033770000}"/>
    <cellStyle name="Comma 14 2 2 2 4 2 2 3" xfId="36070" xr:uid="{00000000-0005-0000-0000-000034770000}"/>
    <cellStyle name="Comma 14 2 2 2 4 2 3" xfId="36071" xr:uid="{00000000-0005-0000-0000-000035770000}"/>
    <cellStyle name="Comma 14 2 2 2 4 2 3 2" xfId="36072" xr:uid="{00000000-0005-0000-0000-000036770000}"/>
    <cellStyle name="Comma 14 2 2 2 4 2 3 3" xfId="36073" xr:uid="{00000000-0005-0000-0000-000037770000}"/>
    <cellStyle name="Comma 14 2 2 2 4 2 4" xfId="36074" xr:uid="{00000000-0005-0000-0000-000038770000}"/>
    <cellStyle name="Comma 14 2 2 2 4 2 4 2" xfId="36075" xr:uid="{00000000-0005-0000-0000-000039770000}"/>
    <cellStyle name="Comma 14 2 2 2 4 2 5" xfId="36076" xr:uid="{00000000-0005-0000-0000-00003A770000}"/>
    <cellStyle name="Comma 14 2 2 2 4 2 6" xfId="36077" xr:uid="{00000000-0005-0000-0000-00003B770000}"/>
    <cellStyle name="Comma 14 2 2 2 4 3" xfId="36078" xr:uid="{00000000-0005-0000-0000-00003C770000}"/>
    <cellStyle name="Comma 14 2 2 2 4 3 2" xfId="36079" xr:uid="{00000000-0005-0000-0000-00003D770000}"/>
    <cellStyle name="Comma 14 2 2 2 4 3 2 2" xfId="36080" xr:uid="{00000000-0005-0000-0000-00003E770000}"/>
    <cellStyle name="Comma 14 2 2 2 4 3 2 3" xfId="36081" xr:uid="{00000000-0005-0000-0000-00003F770000}"/>
    <cellStyle name="Comma 14 2 2 2 4 3 3" xfId="36082" xr:uid="{00000000-0005-0000-0000-000040770000}"/>
    <cellStyle name="Comma 14 2 2 2 4 3 3 2" xfId="36083" xr:uid="{00000000-0005-0000-0000-000041770000}"/>
    <cellStyle name="Comma 14 2 2 2 4 3 3 3" xfId="36084" xr:uid="{00000000-0005-0000-0000-000042770000}"/>
    <cellStyle name="Comma 14 2 2 2 4 3 4" xfId="36085" xr:uid="{00000000-0005-0000-0000-000043770000}"/>
    <cellStyle name="Comma 14 2 2 2 4 3 4 2" xfId="36086" xr:uid="{00000000-0005-0000-0000-000044770000}"/>
    <cellStyle name="Comma 14 2 2 2 4 3 5" xfId="36087" xr:uid="{00000000-0005-0000-0000-000045770000}"/>
    <cellStyle name="Comma 14 2 2 2 4 3 6" xfId="36088" xr:uid="{00000000-0005-0000-0000-000046770000}"/>
    <cellStyle name="Comma 14 2 2 2 4 4" xfId="36089" xr:uid="{00000000-0005-0000-0000-000047770000}"/>
    <cellStyle name="Comma 14 2 2 2 4 4 2" xfId="36090" xr:uid="{00000000-0005-0000-0000-000048770000}"/>
    <cellStyle name="Comma 14 2 2 2 4 4 2 2" xfId="36091" xr:uid="{00000000-0005-0000-0000-000049770000}"/>
    <cellStyle name="Comma 14 2 2 2 4 4 2 3" xfId="36092" xr:uid="{00000000-0005-0000-0000-00004A770000}"/>
    <cellStyle name="Comma 14 2 2 2 4 4 3" xfId="36093" xr:uid="{00000000-0005-0000-0000-00004B770000}"/>
    <cellStyle name="Comma 14 2 2 2 4 4 3 2" xfId="36094" xr:uid="{00000000-0005-0000-0000-00004C770000}"/>
    <cellStyle name="Comma 14 2 2 2 4 4 4" xfId="36095" xr:uid="{00000000-0005-0000-0000-00004D770000}"/>
    <cellStyle name="Comma 14 2 2 2 4 4 5" xfId="36096" xr:uid="{00000000-0005-0000-0000-00004E770000}"/>
    <cellStyle name="Comma 14 2 2 2 4 5" xfId="36097" xr:uid="{00000000-0005-0000-0000-00004F770000}"/>
    <cellStyle name="Comma 14 2 2 2 4 5 2" xfId="36098" xr:uid="{00000000-0005-0000-0000-000050770000}"/>
    <cellStyle name="Comma 14 2 2 2 4 5 3" xfId="36099" xr:uid="{00000000-0005-0000-0000-000051770000}"/>
    <cellStyle name="Comma 14 2 2 2 4 6" xfId="36100" xr:uid="{00000000-0005-0000-0000-000052770000}"/>
    <cellStyle name="Comma 14 2 2 2 4 6 2" xfId="36101" xr:uid="{00000000-0005-0000-0000-000053770000}"/>
    <cellStyle name="Comma 14 2 2 2 4 6 3" xfId="36102" xr:uid="{00000000-0005-0000-0000-000054770000}"/>
    <cellStyle name="Comma 14 2 2 2 4 7" xfId="36103" xr:uid="{00000000-0005-0000-0000-000055770000}"/>
    <cellStyle name="Comma 14 2 2 2 4 7 2" xfId="36104" xr:uid="{00000000-0005-0000-0000-000056770000}"/>
    <cellStyle name="Comma 14 2 2 2 4 8" xfId="36105" xr:uid="{00000000-0005-0000-0000-000057770000}"/>
    <cellStyle name="Comma 14 2 2 2 4 9" xfId="36106" xr:uid="{00000000-0005-0000-0000-000058770000}"/>
    <cellStyle name="Comma 14 2 2 2 5" xfId="36107" xr:uid="{00000000-0005-0000-0000-000059770000}"/>
    <cellStyle name="Comma 14 2 2 2 5 2" xfId="36108" xr:uid="{00000000-0005-0000-0000-00005A770000}"/>
    <cellStyle name="Comma 14 2 2 2 5 2 2" xfId="36109" xr:uid="{00000000-0005-0000-0000-00005B770000}"/>
    <cellStyle name="Comma 14 2 2 2 5 2 3" xfId="36110" xr:uid="{00000000-0005-0000-0000-00005C770000}"/>
    <cellStyle name="Comma 14 2 2 2 5 3" xfId="36111" xr:uid="{00000000-0005-0000-0000-00005D770000}"/>
    <cellStyle name="Comma 14 2 2 2 5 3 2" xfId="36112" xr:uid="{00000000-0005-0000-0000-00005E770000}"/>
    <cellStyle name="Comma 14 2 2 2 5 3 3" xfId="36113" xr:uid="{00000000-0005-0000-0000-00005F770000}"/>
    <cellStyle name="Comma 14 2 2 2 5 4" xfId="36114" xr:uid="{00000000-0005-0000-0000-000060770000}"/>
    <cellStyle name="Comma 14 2 2 2 5 4 2" xfId="36115" xr:uid="{00000000-0005-0000-0000-000061770000}"/>
    <cellStyle name="Comma 14 2 2 2 5 5" xfId="36116" xr:uid="{00000000-0005-0000-0000-000062770000}"/>
    <cellStyle name="Comma 14 2 2 2 5 6" xfId="36117" xr:uid="{00000000-0005-0000-0000-000063770000}"/>
    <cellStyle name="Comma 14 2 2 2 6" xfId="36118" xr:uid="{00000000-0005-0000-0000-000064770000}"/>
    <cellStyle name="Comma 14 2 2 2 6 2" xfId="36119" xr:uid="{00000000-0005-0000-0000-000065770000}"/>
    <cellStyle name="Comma 14 2 2 2 6 2 2" xfId="36120" xr:uid="{00000000-0005-0000-0000-000066770000}"/>
    <cellStyle name="Comma 14 2 2 2 6 2 3" xfId="36121" xr:uid="{00000000-0005-0000-0000-000067770000}"/>
    <cellStyle name="Comma 14 2 2 2 6 3" xfId="36122" xr:uid="{00000000-0005-0000-0000-000068770000}"/>
    <cellStyle name="Comma 14 2 2 2 6 3 2" xfId="36123" xr:uid="{00000000-0005-0000-0000-000069770000}"/>
    <cellStyle name="Comma 14 2 2 2 6 3 3" xfId="36124" xr:uid="{00000000-0005-0000-0000-00006A770000}"/>
    <cellStyle name="Comma 14 2 2 2 6 4" xfId="36125" xr:uid="{00000000-0005-0000-0000-00006B770000}"/>
    <cellStyle name="Comma 14 2 2 2 6 4 2" xfId="36126" xr:uid="{00000000-0005-0000-0000-00006C770000}"/>
    <cellStyle name="Comma 14 2 2 2 6 5" xfId="36127" xr:uid="{00000000-0005-0000-0000-00006D770000}"/>
    <cellStyle name="Comma 14 2 2 2 6 6" xfId="36128" xr:uid="{00000000-0005-0000-0000-00006E770000}"/>
    <cellStyle name="Comma 14 2 2 2 7" xfId="36129" xr:uid="{00000000-0005-0000-0000-00006F770000}"/>
    <cellStyle name="Comma 14 2 2 2 7 2" xfId="36130" xr:uid="{00000000-0005-0000-0000-000070770000}"/>
    <cellStyle name="Comma 14 2 2 2 7 2 2" xfId="36131" xr:uid="{00000000-0005-0000-0000-000071770000}"/>
    <cellStyle name="Comma 14 2 2 2 7 2 3" xfId="36132" xr:uid="{00000000-0005-0000-0000-000072770000}"/>
    <cellStyle name="Comma 14 2 2 2 7 3" xfId="36133" xr:uid="{00000000-0005-0000-0000-000073770000}"/>
    <cellStyle name="Comma 14 2 2 2 7 3 2" xfId="36134" xr:uid="{00000000-0005-0000-0000-000074770000}"/>
    <cellStyle name="Comma 14 2 2 2 7 4" xfId="36135" xr:uid="{00000000-0005-0000-0000-000075770000}"/>
    <cellStyle name="Comma 14 2 2 2 7 5" xfId="36136" xr:uid="{00000000-0005-0000-0000-000076770000}"/>
    <cellStyle name="Comma 14 2 2 2 8" xfId="36137" xr:uid="{00000000-0005-0000-0000-000077770000}"/>
    <cellStyle name="Comma 14 2 2 2 8 2" xfId="36138" xr:uid="{00000000-0005-0000-0000-000078770000}"/>
    <cellStyle name="Comma 14 2 2 2 8 3" xfId="36139" xr:uid="{00000000-0005-0000-0000-000079770000}"/>
    <cellStyle name="Comma 14 2 2 2 9" xfId="36140" xr:uid="{00000000-0005-0000-0000-00007A770000}"/>
    <cellStyle name="Comma 14 2 2 2 9 2" xfId="36141" xr:uid="{00000000-0005-0000-0000-00007B770000}"/>
    <cellStyle name="Comma 14 2 2 2 9 3" xfId="36142" xr:uid="{00000000-0005-0000-0000-00007C770000}"/>
    <cellStyle name="Comma 14 2 2 3" xfId="36143" xr:uid="{00000000-0005-0000-0000-00007D770000}"/>
    <cellStyle name="Comma 14 2 2 3 10" xfId="36144" xr:uid="{00000000-0005-0000-0000-00007E770000}"/>
    <cellStyle name="Comma 14 2 2 3 2" xfId="36145" xr:uid="{00000000-0005-0000-0000-00007F770000}"/>
    <cellStyle name="Comma 14 2 2 3 2 2" xfId="36146" xr:uid="{00000000-0005-0000-0000-000080770000}"/>
    <cellStyle name="Comma 14 2 2 3 2 2 2" xfId="36147" xr:uid="{00000000-0005-0000-0000-000081770000}"/>
    <cellStyle name="Comma 14 2 2 3 2 2 2 2" xfId="36148" xr:uid="{00000000-0005-0000-0000-000082770000}"/>
    <cellStyle name="Comma 14 2 2 3 2 2 2 3" xfId="36149" xr:uid="{00000000-0005-0000-0000-000083770000}"/>
    <cellStyle name="Comma 14 2 2 3 2 2 3" xfId="36150" xr:uid="{00000000-0005-0000-0000-000084770000}"/>
    <cellStyle name="Comma 14 2 2 3 2 2 3 2" xfId="36151" xr:uid="{00000000-0005-0000-0000-000085770000}"/>
    <cellStyle name="Comma 14 2 2 3 2 2 3 3" xfId="36152" xr:uid="{00000000-0005-0000-0000-000086770000}"/>
    <cellStyle name="Comma 14 2 2 3 2 2 4" xfId="36153" xr:uid="{00000000-0005-0000-0000-000087770000}"/>
    <cellStyle name="Comma 14 2 2 3 2 2 4 2" xfId="36154" xr:uid="{00000000-0005-0000-0000-000088770000}"/>
    <cellStyle name="Comma 14 2 2 3 2 2 5" xfId="36155" xr:uid="{00000000-0005-0000-0000-000089770000}"/>
    <cellStyle name="Comma 14 2 2 3 2 2 6" xfId="36156" xr:uid="{00000000-0005-0000-0000-00008A770000}"/>
    <cellStyle name="Comma 14 2 2 3 2 3" xfId="36157" xr:uid="{00000000-0005-0000-0000-00008B770000}"/>
    <cellStyle name="Comma 14 2 2 3 2 3 2" xfId="36158" xr:uid="{00000000-0005-0000-0000-00008C770000}"/>
    <cellStyle name="Comma 14 2 2 3 2 3 2 2" xfId="36159" xr:uid="{00000000-0005-0000-0000-00008D770000}"/>
    <cellStyle name="Comma 14 2 2 3 2 3 2 3" xfId="36160" xr:uid="{00000000-0005-0000-0000-00008E770000}"/>
    <cellStyle name="Comma 14 2 2 3 2 3 3" xfId="36161" xr:uid="{00000000-0005-0000-0000-00008F770000}"/>
    <cellStyle name="Comma 14 2 2 3 2 3 3 2" xfId="36162" xr:uid="{00000000-0005-0000-0000-000090770000}"/>
    <cellStyle name="Comma 14 2 2 3 2 3 3 3" xfId="36163" xr:uid="{00000000-0005-0000-0000-000091770000}"/>
    <cellStyle name="Comma 14 2 2 3 2 3 4" xfId="36164" xr:uid="{00000000-0005-0000-0000-000092770000}"/>
    <cellStyle name="Comma 14 2 2 3 2 3 4 2" xfId="36165" xr:uid="{00000000-0005-0000-0000-000093770000}"/>
    <cellStyle name="Comma 14 2 2 3 2 3 5" xfId="36166" xr:uid="{00000000-0005-0000-0000-000094770000}"/>
    <cellStyle name="Comma 14 2 2 3 2 3 6" xfId="36167" xr:uid="{00000000-0005-0000-0000-000095770000}"/>
    <cellStyle name="Comma 14 2 2 3 2 4" xfId="36168" xr:uid="{00000000-0005-0000-0000-000096770000}"/>
    <cellStyle name="Comma 14 2 2 3 2 4 2" xfId="36169" xr:uid="{00000000-0005-0000-0000-000097770000}"/>
    <cellStyle name="Comma 14 2 2 3 2 4 2 2" xfId="36170" xr:uid="{00000000-0005-0000-0000-000098770000}"/>
    <cellStyle name="Comma 14 2 2 3 2 4 2 3" xfId="36171" xr:uid="{00000000-0005-0000-0000-000099770000}"/>
    <cellStyle name="Comma 14 2 2 3 2 4 3" xfId="36172" xr:uid="{00000000-0005-0000-0000-00009A770000}"/>
    <cellStyle name="Comma 14 2 2 3 2 4 3 2" xfId="36173" xr:uid="{00000000-0005-0000-0000-00009B770000}"/>
    <cellStyle name="Comma 14 2 2 3 2 4 4" xfId="36174" xr:uid="{00000000-0005-0000-0000-00009C770000}"/>
    <cellStyle name="Comma 14 2 2 3 2 4 5" xfId="36175" xr:uid="{00000000-0005-0000-0000-00009D770000}"/>
    <cellStyle name="Comma 14 2 2 3 2 5" xfId="36176" xr:uid="{00000000-0005-0000-0000-00009E770000}"/>
    <cellStyle name="Comma 14 2 2 3 2 5 2" xfId="36177" xr:uid="{00000000-0005-0000-0000-00009F770000}"/>
    <cellStyle name="Comma 14 2 2 3 2 5 3" xfId="36178" xr:uid="{00000000-0005-0000-0000-0000A0770000}"/>
    <cellStyle name="Comma 14 2 2 3 2 6" xfId="36179" xr:uid="{00000000-0005-0000-0000-0000A1770000}"/>
    <cellStyle name="Comma 14 2 2 3 2 6 2" xfId="36180" xr:uid="{00000000-0005-0000-0000-0000A2770000}"/>
    <cellStyle name="Comma 14 2 2 3 2 6 3" xfId="36181" xr:uid="{00000000-0005-0000-0000-0000A3770000}"/>
    <cellStyle name="Comma 14 2 2 3 2 7" xfId="36182" xr:uid="{00000000-0005-0000-0000-0000A4770000}"/>
    <cellStyle name="Comma 14 2 2 3 2 7 2" xfId="36183" xr:uid="{00000000-0005-0000-0000-0000A5770000}"/>
    <cellStyle name="Comma 14 2 2 3 2 8" xfId="36184" xr:uid="{00000000-0005-0000-0000-0000A6770000}"/>
    <cellStyle name="Comma 14 2 2 3 2 9" xfId="36185" xr:uid="{00000000-0005-0000-0000-0000A7770000}"/>
    <cellStyle name="Comma 14 2 2 3 3" xfId="36186" xr:uid="{00000000-0005-0000-0000-0000A8770000}"/>
    <cellStyle name="Comma 14 2 2 3 3 2" xfId="36187" xr:uid="{00000000-0005-0000-0000-0000A9770000}"/>
    <cellStyle name="Comma 14 2 2 3 3 2 2" xfId="36188" xr:uid="{00000000-0005-0000-0000-0000AA770000}"/>
    <cellStyle name="Comma 14 2 2 3 3 2 3" xfId="36189" xr:uid="{00000000-0005-0000-0000-0000AB770000}"/>
    <cellStyle name="Comma 14 2 2 3 3 3" xfId="36190" xr:uid="{00000000-0005-0000-0000-0000AC770000}"/>
    <cellStyle name="Comma 14 2 2 3 3 3 2" xfId="36191" xr:uid="{00000000-0005-0000-0000-0000AD770000}"/>
    <cellStyle name="Comma 14 2 2 3 3 3 3" xfId="36192" xr:uid="{00000000-0005-0000-0000-0000AE770000}"/>
    <cellStyle name="Comma 14 2 2 3 3 4" xfId="36193" xr:uid="{00000000-0005-0000-0000-0000AF770000}"/>
    <cellStyle name="Comma 14 2 2 3 3 4 2" xfId="36194" xr:uid="{00000000-0005-0000-0000-0000B0770000}"/>
    <cellStyle name="Comma 14 2 2 3 3 5" xfId="36195" xr:uid="{00000000-0005-0000-0000-0000B1770000}"/>
    <cellStyle name="Comma 14 2 2 3 3 6" xfId="36196" xr:uid="{00000000-0005-0000-0000-0000B2770000}"/>
    <cellStyle name="Comma 14 2 2 3 4" xfId="36197" xr:uid="{00000000-0005-0000-0000-0000B3770000}"/>
    <cellStyle name="Comma 14 2 2 3 4 2" xfId="36198" xr:uid="{00000000-0005-0000-0000-0000B4770000}"/>
    <cellStyle name="Comma 14 2 2 3 4 2 2" xfId="36199" xr:uid="{00000000-0005-0000-0000-0000B5770000}"/>
    <cellStyle name="Comma 14 2 2 3 4 2 3" xfId="36200" xr:uid="{00000000-0005-0000-0000-0000B6770000}"/>
    <cellStyle name="Comma 14 2 2 3 4 3" xfId="36201" xr:uid="{00000000-0005-0000-0000-0000B7770000}"/>
    <cellStyle name="Comma 14 2 2 3 4 3 2" xfId="36202" xr:uid="{00000000-0005-0000-0000-0000B8770000}"/>
    <cellStyle name="Comma 14 2 2 3 4 3 3" xfId="36203" xr:uid="{00000000-0005-0000-0000-0000B9770000}"/>
    <cellStyle name="Comma 14 2 2 3 4 4" xfId="36204" xr:uid="{00000000-0005-0000-0000-0000BA770000}"/>
    <cellStyle name="Comma 14 2 2 3 4 4 2" xfId="36205" xr:uid="{00000000-0005-0000-0000-0000BB770000}"/>
    <cellStyle name="Comma 14 2 2 3 4 5" xfId="36206" xr:uid="{00000000-0005-0000-0000-0000BC770000}"/>
    <cellStyle name="Comma 14 2 2 3 4 6" xfId="36207" xr:uid="{00000000-0005-0000-0000-0000BD770000}"/>
    <cellStyle name="Comma 14 2 2 3 5" xfId="36208" xr:uid="{00000000-0005-0000-0000-0000BE770000}"/>
    <cellStyle name="Comma 14 2 2 3 5 2" xfId="36209" xr:uid="{00000000-0005-0000-0000-0000BF770000}"/>
    <cellStyle name="Comma 14 2 2 3 5 2 2" xfId="36210" xr:uid="{00000000-0005-0000-0000-0000C0770000}"/>
    <cellStyle name="Comma 14 2 2 3 5 2 3" xfId="36211" xr:uid="{00000000-0005-0000-0000-0000C1770000}"/>
    <cellStyle name="Comma 14 2 2 3 5 3" xfId="36212" xr:uid="{00000000-0005-0000-0000-0000C2770000}"/>
    <cellStyle name="Comma 14 2 2 3 5 3 2" xfId="36213" xr:uid="{00000000-0005-0000-0000-0000C3770000}"/>
    <cellStyle name="Comma 14 2 2 3 5 4" xfId="36214" xr:uid="{00000000-0005-0000-0000-0000C4770000}"/>
    <cellStyle name="Comma 14 2 2 3 5 5" xfId="36215" xr:uid="{00000000-0005-0000-0000-0000C5770000}"/>
    <cellStyle name="Comma 14 2 2 3 6" xfId="36216" xr:uid="{00000000-0005-0000-0000-0000C6770000}"/>
    <cellStyle name="Comma 14 2 2 3 6 2" xfId="36217" xr:uid="{00000000-0005-0000-0000-0000C7770000}"/>
    <cellStyle name="Comma 14 2 2 3 6 3" xfId="36218" xr:uid="{00000000-0005-0000-0000-0000C8770000}"/>
    <cellStyle name="Comma 14 2 2 3 7" xfId="36219" xr:uid="{00000000-0005-0000-0000-0000C9770000}"/>
    <cellStyle name="Comma 14 2 2 3 7 2" xfId="36220" xr:uid="{00000000-0005-0000-0000-0000CA770000}"/>
    <cellStyle name="Comma 14 2 2 3 7 3" xfId="36221" xr:uid="{00000000-0005-0000-0000-0000CB770000}"/>
    <cellStyle name="Comma 14 2 2 3 8" xfId="36222" xr:uid="{00000000-0005-0000-0000-0000CC770000}"/>
    <cellStyle name="Comma 14 2 2 3 8 2" xfId="36223" xr:uid="{00000000-0005-0000-0000-0000CD770000}"/>
    <cellStyle name="Comma 14 2 2 3 9" xfId="36224" xr:uid="{00000000-0005-0000-0000-0000CE770000}"/>
    <cellStyle name="Comma 14 2 2 4" xfId="36225" xr:uid="{00000000-0005-0000-0000-0000CF770000}"/>
    <cellStyle name="Comma 14 2 2 4 2" xfId="36226" xr:uid="{00000000-0005-0000-0000-0000D0770000}"/>
    <cellStyle name="Comma 14 2 2 4 2 2" xfId="36227" xr:uid="{00000000-0005-0000-0000-0000D1770000}"/>
    <cellStyle name="Comma 14 2 2 4 2 2 2" xfId="36228" xr:uid="{00000000-0005-0000-0000-0000D2770000}"/>
    <cellStyle name="Comma 14 2 2 4 2 2 3" xfId="36229" xr:uid="{00000000-0005-0000-0000-0000D3770000}"/>
    <cellStyle name="Comma 14 2 2 4 2 3" xfId="36230" xr:uid="{00000000-0005-0000-0000-0000D4770000}"/>
    <cellStyle name="Comma 14 2 2 4 2 3 2" xfId="36231" xr:uid="{00000000-0005-0000-0000-0000D5770000}"/>
    <cellStyle name="Comma 14 2 2 4 2 3 3" xfId="36232" xr:uid="{00000000-0005-0000-0000-0000D6770000}"/>
    <cellStyle name="Comma 14 2 2 4 2 4" xfId="36233" xr:uid="{00000000-0005-0000-0000-0000D7770000}"/>
    <cellStyle name="Comma 14 2 2 4 2 4 2" xfId="36234" xr:uid="{00000000-0005-0000-0000-0000D8770000}"/>
    <cellStyle name="Comma 14 2 2 4 2 5" xfId="36235" xr:uid="{00000000-0005-0000-0000-0000D9770000}"/>
    <cellStyle name="Comma 14 2 2 4 2 6" xfId="36236" xr:uid="{00000000-0005-0000-0000-0000DA770000}"/>
    <cellStyle name="Comma 14 2 2 4 3" xfId="36237" xr:uid="{00000000-0005-0000-0000-0000DB770000}"/>
    <cellStyle name="Comma 14 2 2 4 3 2" xfId="36238" xr:uid="{00000000-0005-0000-0000-0000DC770000}"/>
    <cellStyle name="Comma 14 2 2 4 3 2 2" xfId="36239" xr:uid="{00000000-0005-0000-0000-0000DD770000}"/>
    <cellStyle name="Comma 14 2 2 4 3 2 3" xfId="36240" xr:uid="{00000000-0005-0000-0000-0000DE770000}"/>
    <cellStyle name="Comma 14 2 2 4 3 3" xfId="36241" xr:uid="{00000000-0005-0000-0000-0000DF770000}"/>
    <cellStyle name="Comma 14 2 2 4 3 3 2" xfId="36242" xr:uid="{00000000-0005-0000-0000-0000E0770000}"/>
    <cellStyle name="Comma 14 2 2 4 3 3 3" xfId="36243" xr:uid="{00000000-0005-0000-0000-0000E1770000}"/>
    <cellStyle name="Comma 14 2 2 4 3 4" xfId="36244" xr:uid="{00000000-0005-0000-0000-0000E2770000}"/>
    <cellStyle name="Comma 14 2 2 4 3 4 2" xfId="36245" xr:uid="{00000000-0005-0000-0000-0000E3770000}"/>
    <cellStyle name="Comma 14 2 2 4 3 5" xfId="36246" xr:uid="{00000000-0005-0000-0000-0000E4770000}"/>
    <cellStyle name="Comma 14 2 2 4 3 6" xfId="36247" xr:uid="{00000000-0005-0000-0000-0000E5770000}"/>
    <cellStyle name="Comma 14 2 2 4 4" xfId="36248" xr:uid="{00000000-0005-0000-0000-0000E6770000}"/>
    <cellStyle name="Comma 14 2 2 4 4 2" xfId="36249" xr:uid="{00000000-0005-0000-0000-0000E7770000}"/>
    <cellStyle name="Comma 14 2 2 4 4 2 2" xfId="36250" xr:uid="{00000000-0005-0000-0000-0000E8770000}"/>
    <cellStyle name="Comma 14 2 2 4 4 2 3" xfId="36251" xr:uid="{00000000-0005-0000-0000-0000E9770000}"/>
    <cellStyle name="Comma 14 2 2 4 4 3" xfId="36252" xr:uid="{00000000-0005-0000-0000-0000EA770000}"/>
    <cellStyle name="Comma 14 2 2 4 4 3 2" xfId="36253" xr:uid="{00000000-0005-0000-0000-0000EB770000}"/>
    <cellStyle name="Comma 14 2 2 4 4 4" xfId="36254" xr:uid="{00000000-0005-0000-0000-0000EC770000}"/>
    <cellStyle name="Comma 14 2 2 4 4 5" xfId="36255" xr:uid="{00000000-0005-0000-0000-0000ED770000}"/>
    <cellStyle name="Comma 14 2 2 4 5" xfId="36256" xr:uid="{00000000-0005-0000-0000-0000EE770000}"/>
    <cellStyle name="Comma 14 2 2 4 5 2" xfId="36257" xr:uid="{00000000-0005-0000-0000-0000EF770000}"/>
    <cellStyle name="Comma 14 2 2 4 5 3" xfId="36258" xr:uid="{00000000-0005-0000-0000-0000F0770000}"/>
    <cellStyle name="Comma 14 2 2 4 6" xfId="36259" xr:uid="{00000000-0005-0000-0000-0000F1770000}"/>
    <cellStyle name="Comma 14 2 2 4 6 2" xfId="36260" xr:uid="{00000000-0005-0000-0000-0000F2770000}"/>
    <cellStyle name="Comma 14 2 2 4 6 3" xfId="36261" xr:uid="{00000000-0005-0000-0000-0000F3770000}"/>
    <cellStyle name="Comma 14 2 2 4 7" xfId="36262" xr:uid="{00000000-0005-0000-0000-0000F4770000}"/>
    <cellStyle name="Comma 14 2 2 4 7 2" xfId="36263" xr:uid="{00000000-0005-0000-0000-0000F5770000}"/>
    <cellStyle name="Comma 14 2 2 4 8" xfId="36264" xr:uid="{00000000-0005-0000-0000-0000F6770000}"/>
    <cellStyle name="Comma 14 2 2 4 9" xfId="36265" xr:uid="{00000000-0005-0000-0000-0000F7770000}"/>
    <cellStyle name="Comma 14 2 2 5" xfId="36266" xr:uid="{00000000-0005-0000-0000-0000F8770000}"/>
    <cellStyle name="Comma 14 2 2 5 2" xfId="36267" xr:uid="{00000000-0005-0000-0000-0000F9770000}"/>
    <cellStyle name="Comma 14 2 2 5 2 2" xfId="36268" xr:uid="{00000000-0005-0000-0000-0000FA770000}"/>
    <cellStyle name="Comma 14 2 2 5 2 2 2" xfId="36269" xr:uid="{00000000-0005-0000-0000-0000FB770000}"/>
    <cellStyle name="Comma 14 2 2 5 2 2 3" xfId="36270" xr:uid="{00000000-0005-0000-0000-0000FC770000}"/>
    <cellStyle name="Comma 14 2 2 5 2 3" xfId="36271" xr:uid="{00000000-0005-0000-0000-0000FD770000}"/>
    <cellStyle name="Comma 14 2 2 5 2 3 2" xfId="36272" xr:uid="{00000000-0005-0000-0000-0000FE770000}"/>
    <cellStyle name="Comma 14 2 2 5 2 3 3" xfId="36273" xr:uid="{00000000-0005-0000-0000-0000FF770000}"/>
    <cellStyle name="Comma 14 2 2 5 2 4" xfId="36274" xr:uid="{00000000-0005-0000-0000-000000780000}"/>
    <cellStyle name="Comma 14 2 2 5 2 4 2" xfId="36275" xr:uid="{00000000-0005-0000-0000-000001780000}"/>
    <cellStyle name="Comma 14 2 2 5 2 5" xfId="36276" xr:uid="{00000000-0005-0000-0000-000002780000}"/>
    <cellStyle name="Comma 14 2 2 5 2 6" xfId="36277" xr:uid="{00000000-0005-0000-0000-000003780000}"/>
    <cellStyle name="Comma 14 2 2 5 3" xfId="36278" xr:uid="{00000000-0005-0000-0000-000004780000}"/>
    <cellStyle name="Comma 14 2 2 5 3 2" xfId="36279" xr:uid="{00000000-0005-0000-0000-000005780000}"/>
    <cellStyle name="Comma 14 2 2 5 3 2 2" xfId="36280" xr:uid="{00000000-0005-0000-0000-000006780000}"/>
    <cellStyle name="Comma 14 2 2 5 3 2 3" xfId="36281" xr:uid="{00000000-0005-0000-0000-000007780000}"/>
    <cellStyle name="Comma 14 2 2 5 3 3" xfId="36282" xr:uid="{00000000-0005-0000-0000-000008780000}"/>
    <cellStyle name="Comma 14 2 2 5 3 3 2" xfId="36283" xr:uid="{00000000-0005-0000-0000-000009780000}"/>
    <cellStyle name="Comma 14 2 2 5 3 3 3" xfId="36284" xr:uid="{00000000-0005-0000-0000-00000A780000}"/>
    <cellStyle name="Comma 14 2 2 5 3 4" xfId="36285" xr:uid="{00000000-0005-0000-0000-00000B780000}"/>
    <cellStyle name="Comma 14 2 2 5 3 4 2" xfId="36286" xr:uid="{00000000-0005-0000-0000-00000C780000}"/>
    <cellStyle name="Comma 14 2 2 5 3 5" xfId="36287" xr:uid="{00000000-0005-0000-0000-00000D780000}"/>
    <cellStyle name="Comma 14 2 2 5 3 6" xfId="36288" xr:uid="{00000000-0005-0000-0000-00000E780000}"/>
    <cellStyle name="Comma 14 2 2 5 4" xfId="36289" xr:uid="{00000000-0005-0000-0000-00000F780000}"/>
    <cellStyle name="Comma 14 2 2 5 4 2" xfId="36290" xr:uid="{00000000-0005-0000-0000-000010780000}"/>
    <cellStyle name="Comma 14 2 2 5 4 2 2" xfId="36291" xr:uid="{00000000-0005-0000-0000-000011780000}"/>
    <cellStyle name="Comma 14 2 2 5 4 2 3" xfId="36292" xr:uid="{00000000-0005-0000-0000-000012780000}"/>
    <cellStyle name="Comma 14 2 2 5 4 3" xfId="36293" xr:uid="{00000000-0005-0000-0000-000013780000}"/>
    <cellStyle name="Comma 14 2 2 5 4 3 2" xfId="36294" xr:uid="{00000000-0005-0000-0000-000014780000}"/>
    <cellStyle name="Comma 14 2 2 5 4 4" xfId="36295" xr:uid="{00000000-0005-0000-0000-000015780000}"/>
    <cellStyle name="Comma 14 2 2 5 4 5" xfId="36296" xr:uid="{00000000-0005-0000-0000-000016780000}"/>
    <cellStyle name="Comma 14 2 2 5 5" xfId="36297" xr:uid="{00000000-0005-0000-0000-000017780000}"/>
    <cellStyle name="Comma 14 2 2 5 5 2" xfId="36298" xr:uid="{00000000-0005-0000-0000-000018780000}"/>
    <cellStyle name="Comma 14 2 2 5 5 3" xfId="36299" xr:uid="{00000000-0005-0000-0000-000019780000}"/>
    <cellStyle name="Comma 14 2 2 5 6" xfId="36300" xr:uid="{00000000-0005-0000-0000-00001A780000}"/>
    <cellStyle name="Comma 14 2 2 5 6 2" xfId="36301" xr:uid="{00000000-0005-0000-0000-00001B780000}"/>
    <cellStyle name="Comma 14 2 2 5 6 3" xfId="36302" xr:uid="{00000000-0005-0000-0000-00001C780000}"/>
    <cellStyle name="Comma 14 2 2 5 7" xfId="36303" xr:uid="{00000000-0005-0000-0000-00001D780000}"/>
    <cellStyle name="Comma 14 2 2 5 7 2" xfId="36304" xr:uid="{00000000-0005-0000-0000-00001E780000}"/>
    <cellStyle name="Comma 14 2 2 5 8" xfId="36305" xr:uid="{00000000-0005-0000-0000-00001F780000}"/>
    <cellStyle name="Comma 14 2 2 5 9" xfId="36306" xr:uid="{00000000-0005-0000-0000-000020780000}"/>
    <cellStyle name="Comma 14 2 2 6" xfId="36307" xr:uid="{00000000-0005-0000-0000-000021780000}"/>
    <cellStyle name="Comma 14 2 2 6 2" xfId="36308" xr:uid="{00000000-0005-0000-0000-000022780000}"/>
    <cellStyle name="Comma 14 2 2 6 2 2" xfId="36309" xr:uid="{00000000-0005-0000-0000-000023780000}"/>
    <cellStyle name="Comma 14 2 2 6 2 3" xfId="36310" xr:uid="{00000000-0005-0000-0000-000024780000}"/>
    <cellStyle name="Comma 14 2 2 6 3" xfId="36311" xr:uid="{00000000-0005-0000-0000-000025780000}"/>
    <cellStyle name="Comma 14 2 2 6 3 2" xfId="36312" xr:uid="{00000000-0005-0000-0000-000026780000}"/>
    <cellStyle name="Comma 14 2 2 6 3 3" xfId="36313" xr:uid="{00000000-0005-0000-0000-000027780000}"/>
    <cellStyle name="Comma 14 2 2 6 4" xfId="36314" xr:uid="{00000000-0005-0000-0000-000028780000}"/>
    <cellStyle name="Comma 14 2 2 6 4 2" xfId="36315" xr:uid="{00000000-0005-0000-0000-000029780000}"/>
    <cellStyle name="Comma 14 2 2 6 5" xfId="36316" xr:uid="{00000000-0005-0000-0000-00002A780000}"/>
    <cellStyle name="Comma 14 2 2 6 6" xfId="36317" xr:uid="{00000000-0005-0000-0000-00002B780000}"/>
    <cellStyle name="Comma 14 2 2 7" xfId="36318" xr:uid="{00000000-0005-0000-0000-00002C780000}"/>
    <cellStyle name="Comma 14 2 2 7 2" xfId="36319" xr:uid="{00000000-0005-0000-0000-00002D780000}"/>
    <cellStyle name="Comma 14 2 2 7 2 2" xfId="36320" xr:uid="{00000000-0005-0000-0000-00002E780000}"/>
    <cellStyle name="Comma 14 2 2 7 2 3" xfId="36321" xr:uid="{00000000-0005-0000-0000-00002F780000}"/>
    <cellStyle name="Comma 14 2 2 7 3" xfId="36322" xr:uid="{00000000-0005-0000-0000-000030780000}"/>
    <cellStyle name="Comma 14 2 2 7 3 2" xfId="36323" xr:uid="{00000000-0005-0000-0000-000031780000}"/>
    <cellStyle name="Comma 14 2 2 7 3 3" xfId="36324" xr:uid="{00000000-0005-0000-0000-000032780000}"/>
    <cellStyle name="Comma 14 2 2 7 4" xfId="36325" xr:uid="{00000000-0005-0000-0000-000033780000}"/>
    <cellStyle name="Comma 14 2 2 7 4 2" xfId="36326" xr:uid="{00000000-0005-0000-0000-000034780000}"/>
    <cellStyle name="Comma 14 2 2 7 5" xfId="36327" xr:uid="{00000000-0005-0000-0000-000035780000}"/>
    <cellStyle name="Comma 14 2 2 7 6" xfId="36328" xr:uid="{00000000-0005-0000-0000-000036780000}"/>
    <cellStyle name="Comma 14 2 2 8" xfId="36329" xr:uid="{00000000-0005-0000-0000-000037780000}"/>
    <cellStyle name="Comma 14 2 2 8 2" xfId="36330" xr:uid="{00000000-0005-0000-0000-000038780000}"/>
    <cellStyle name="Comma 14 2 2 8 2 2" xfId="36331" xr:uid="{00000000-0005-0000-0000-000039780000}"/>
    <cellStyle name="Comma 14 2 2 8 2 3" xfId="36332" xr:uid="{00000000-0005-0000-0000-00003A780000}"/>
    <cellStyle name="Comma 14 2 2 8 3" xfId="36333" xr:uid="{00000000-0005-0000-0000-00003B780000}"/>
    <cellStyle name="Comma 14 2 2 8 3 2" xfId="36334" xr:uid="{00000000-0005-0000-0000-00003C780000}"/>
    <cellStyle name="Comma 14 2 2 8 4" xfId="36335" xr:uid="{00000000-0005-0000-0000-00003D780000}"/>
    <cellStyle name="Comma 14 2 2 8 5" xfId="36336" xr:uid="{00000000-0005-0000-0000-00003E780000}"/>
    <cellStyle name="Comma 14 2 2 9" xfId="36337" xr:uid="{00000000-0005-0000-0000-00003F780000}"/>
    <cellStyle name="Comma 14 2 2 9 2" xfId="36338" xr:uid="{00000000-0005-0000-0000-000040780000}"/>
    <cellStyle name="Comma 14 2 2 9 3" xfId="36339" xr:uid="{00000000-0005-0000-0000-000041780000}"/>
    <cellStyle name="Comma 14 2 3" xfId="36340" xr:uid="{00000000-0005-0000-0000-000042780000}"/>
    <cellStyle name="Comma 14 2 3 10" xfId="36341" xr:uid="{00000000-0005-0000-0000-000043780000}"/>
    <cellStyle name="Comma 14 2 3 10 2" xfId="36342" xr:uid="{00000000-0005-0000-0000-000044780000}"/>
    <cellStyle name="Comma 14 2 3 11" xfId="36343" xr:uid="{00000000-0005-0000-0000-000045780000}"/>
    <cellStyle name="Comma 14 2 3 12" xfId="36344" xr:uid="{00000000-0005-0000-0000-000046780000}"/>
    <cellStyle name="Comma 14 2 3 2" xfId="36345" xr:uid="{00000000-0005-0000-0000-000047780000}"/>
    <cellStyle name="Comma 14 2 3 2 10" xfId="36346" xr:uid="{00000000-0005-0000-0000-000048780000}"/>
    <cellStyle name="Comma 14 2 3 2 2" xfId="36347" xr:uid="{00000000-0005-0000-0000-000049780000}"/>
    <cellStyle name="Comma 14 2 3 2 2 2" xfId="36348" xr:uid="{00000000-0005-0000-0000-00004A780000}"/>
    <cellStyle name="Comma 14 2 3 2 2 2 2" xfId="36349" xr:uid="{00000000-0005-0000-0000-00004B780000}"/>
    <cellStyle name="Comma 14 2 3 2 2 2 2 2" xfId="36350" xr:uid="{00000000-0005-0000-0000-00004C780000}"/>
    <cellStyle name="Comma 14 2 3 2 2 2 2 3" xfId="36351" xr:uid="{00000000-0005-0000-0000-00004D780000}"/>
    <cellStyle name="Comma 14 2 3 2 2 2 3" xfId="36352" xr:uid="{00000000-0005-0000-0000-00004E780000}"/>
    <cellStyle name="Comma 14 2 3 2 2 2 3 2" xfId="36353" xr:uid="{00000000-0005-0000-0000-00004F780000}"/>
    <cellStyle name="Comma 14 2 3 2 2 2 3 3" xfId="36354" xr:uid="{00000000-0005-0000-0000-000050780000}"/>
    <cellStyle name="Comma 14 2 3 2 2 2 4" xfId="36355" xr:uid="{00000000-0005-0000-0000-000051780000}"/>
    <cellStyle name="Comma 14 2 3 2 2 2 4 2" xfId="36356" xr:uid="{00000000-0005-0000-0000-000052780000}"/>
    <cellStyle name="Comma 14 2 3 2 2 2 5" xfId="36357" xr:uid="{00000000-0005-0000-0000-000053780000}"/>
    <cellStyle name="Comma 14 2 3 2 2 2 6" xfId="36358" xr:uid="{00000000-0005-0000-0000-000054780000}"/>
    <cellStyle name="Comma 14 2 3 2 2 3" xfId="36359" xr:uid="{00000000-0005-0000-0000-000055780000}"/>
    <cellStyle name="Comma 14 2 3 2 2 3 2" xfId="36360" xr:uid="{00000000-0005-0000-0000-000056780000}"/>
    <cellStyle name="Comma 14 2 3 2 2 3 2 2" xfId="36361" xr:uid="{00000000-0005-0000-0000-000057780000}"/>
    <cellStyle name="Comma 14 2 3 2 2 3 2 3" xfId="36362" xr:uid="{00000000-0005-0000-0000-000058780000}"/>
    <cellStyle name="Comma 14 2 3 2 2 3 3" xfId="36363" xr:uid="{00000000-0005-0000-0000-000059780000}"/>
    <cellStyle name="Comma 14 2 3 2 2 3 3 2" xfId="36364" xr:uid="{00000000-0005-0000-0000-00005A780000}"/>
    <cellStyle name="Comma 14 2 3 2 2 3 3 3" xfId="36365" xr:uid="{00000000-0005-0000-0000-00005B780000}"/>
    <cellStyle name="Comma 14 2 3 2 2 3 4" xfId="36366" xr:uid="{00000000-0005-0000-0000-00005C780000}"/>
    <cellStyle name="Comma 14 2 3 2 2 3 4 2" xfId="36367" xr:uid="{00000000-0005-0000-0000-00005D780000}"/>
    <cellStyle name="Comma 14 2 3 2 2 3 5" xfId="36368" xr:uid="{00000000-0005-0000-0000-00005E780000}"/>
    <cellStyle name="Comma 14 2 3 2 2 3 6" xfId="36369" xr:uid="{00000000-0005-0000-0000-00005F780000}"/>
    <cellStyle name="Comma 14 2 3 2 2 4" xfId="36370" xr:uid="{00000000-0005-0000-0000-000060780000}"/>
    <cellStyle name="Comma 14 2 3 2 2 4 2" xfId="36371" xr:uid="{00000000-0005-0000-0000-000061780000}"/>
    <cellStyle name="Comma 14 2 3 2 2 4 2 2" xfId="36372" xr:uid="{00000000-0005-0000-0000-000062780000}"/>
    <cellStyle name="Comma 14 2 3 2 2 4 2 3" xfId="36373" xr:uid="{00000000-0005-0000-0000-000063780000}"/>
    <cellStyle name="Comma 14 2 3 2 2 4 3" xfId="36374" xr:uid="{00000000-0005-0000-0000-000064780000}"/>
    <cellStyle name="Comma 14 2 3 2 2 4 3 2" xfId="36375" xr:uid="{00000000-0005-0000-0000-000065780000}"/>
    <cellStyle name="Comma 14 2 3 2 2 4 4" xfId="36376" xr:uid="{00000000-0005-0000-0000-000066780000}"/>
    <cellStyle name="Comma 14 2 3 2 2 4 5" xfId="36377" xr:uid="{00000000-0005-0000-0000-000067780000}"/>
    <cellStyle name="Comma 14 2 3 2 2 5" xfId="36378" xr:uid="{00000000-0005-0000-0000-000068780000}"/>
    <cellStyle name="Comma 14 2 3 2 2 5 2" xfId="36379" xr:uid="{00000000-0005-0000-0000-000069780000}"/>
    <cellStyle name="Comma 14 2 3 2 2 5 3" xfId="36380" xr:uid="{00000000-0005-0000-0000-00006A780000}"/>
    <cellStyle name="Comma 14 2 3 2 2 6" xfId="36381" xr:uid="{00000000-0005-0000-0000-00006B780000}"/>
    <cellStyle name="Comma 14 2 3 2 2 6 2" xfId="36382" xr:uid="{00000000-0005-0000-0000-00006C780000}"/>
    <cellStyle name="Comma 14 2 3 2 2 6 3" xfId="36383" xr:uid="{00000000-0005-0000-0000-00006D780000}"/>
    <cellStyle name="Comma 14 2 3 2 2 7" xfId="36384" xr:uid="{00000000-0005-0000-0000-00006E780000}"/>
    <cellStyle name="Comma 14 2 3 2 2 7 2" xfId="36385" xr:uid="{00000000-0005-0000-0000-00006F780000}"/>
    <cellStyle name="Comma 14 2 3 2 2 8" xfId="36386" xr:uid="{00000000-0005-0000-0000-000070780000}"/>
    <cellStyle name="Comma 14 2 3 2 2 9" xfId="36387" xr:uid="{00000000-0005-0000-0000-000071780000}"/>
    <cellStyle name="Comma 14 2 3 2 3" xfId="36388" xr:uid="{00000000-0005-0000-0000-000072780000}"/>
    <cellStyle name="Comma 14 2 3 2 3 2" xfId="36389" xr:uid="{00000000-0005-0000-0000-000073780000}"/>
    <cellStyle name="Comma 14 2 3 2 3 2 2" xfId="36390" xr:uid="{00000000-0005-0000-0000-000074780000}"/>
    <cellStyle name="Comma 14 2 3 2 3 2 3" xfId="36391" xr:uid="{00000000-0005-0000-0000-000075780000}"/>
    <cellStyle name="Comma 14 2 3 2 3 3" xfId="36392" xr:uid="{00000000-0005-0000-0000-000076780000}"/>
    <cellStyle name="Comma 14 2 3 2 3 3 2" xfId="36393" xr:uid="{00000000-0005-0000-0000-000077780000}"/>
    <cellStyle name="Comma 14 2 3 2 3 3 3" xfId="36394" xr:uid="{00000000-0005-0000-0000-000078780000}"/>
    <cellStyle name="Comma 14 2 3 2 3 4" xfId="36395" xr:uid="{00000000-0005-0000-0000-000079780000}"/>
    <cellStyle name="Comma 14 2 3 2 3 4 2" xfId="36396" xr:uid="{00000000-0005-0000-0000-00007A780000}"/>
    <cellStyle name="Comma 14 2 3 2 3 5" xfId="36397" xr:uid="{00000000-0005-0000-0000-00007B780000}"/>
    <cellStyle name="Comma 14 2 3 2 3 6" xfId="36398" xr:uid="{00000000-0005-0000-0000-00007C780000}"/>
    <cellStyle name="Comma 14 2 3 2 4" xfId="36399" xr:uid="{00000000-0005-0000-0000-00007D780000}"/>
    <cellStyle name="Comma 14 2 3 2 4 2" xfId="36400" xr:uid="{00000000-0005-0000-0000-00007E780000}"/>
    <cellStyle name="Comma 14 2 3 2 4 2 2" xfId="36401" xr:uid="{00000000-0005-0000-0000-00007F780000}"/>
    <cellStyle name="Comma 14 2 3 2 4 2 3" xfId="36402" xr:uid="{00000000-0005-0000-0000-000080780000}"/>
    <cellStyle name="Comma 14 2 3 2 4 3" xfId="36403" xr:uid="{00000000-0005-0000-0000-000081780000}"/>
    <cellStyle name="Comma 14 2 3 2 4 3 2" xfId="36404" xr:uid="{00000000-0005-0000-0000-000082780000}"/>
    <cellStyle name="Comma 14 2 3 2 4 3 3" xfId="36405" xr:uid="{00000000-0005-0000-0000-000083780000}"/>
    <cellStyle name="Comma 14 2 3 2 4 4" xfId="36406" xr:uid="{00000000-0005-0000-0000-000084780000}"/>
    <cellStyle name="Comma 14 2 3 2 4 4 2" xfId="36407" xr:uid="{00000000-0005-0000-0000-000085780000}"/>
    <cellStyle name="Comma 14 2 3 2 4 5" xfId="36408" xr:uid="{00000000-0005-0000-0000-000086780000}"/>
    <cellStyle name="Comma 14 2 3 2 4 6" xfId="36409" xr:uid="{00000000-0005-0000-0000-000087780000}"/>
    <cellStyle name="Comma 14 2 3 2 5" xfId="36410" xr:uid="{00000000-0005-0000-0000-000088780000}"/>
    <cellStyle name="Comma 14 2 3 2 5 2" xfId="36411" xr:uid="{00000000-0005-0000-0000-000089780000}"/>
    <cellStyle name="Comma 14 2 3 2 5 2 2" xfId="36412" xr:uid="{00000000-0005-0000-0000-00008A780000}"/>
    <cellStyle name="Comma 14 2 3 2 5 2 3" xfId="36413" xr:uid="{00000000-0005-0000-0000-00008B780000}"/>
    <cellStyle name="Comma 14 2 3 2 5 3" xfId="36414" xr:uid="{00000000-0005-0000-0000-00008C780000}"/>
    <cellStyle name="Comma 14 2 3 2 5 3 2" xfId="36415" xr:uid="{00000000-0005-0000-0000-00008D780000}"/>
    <cellStyle name="Comma 14 2 3 2 5 4" xfId="36416" xr:uid="{00000000-0005-0000-0000-00008E780000}"/>
    <cellStyle name="Comma 14 2 3 2 5 5" xfId="36417" xr:uid="{00000000-0005-0000-0000-00008F780000}"/>
    <cellStyle name="Comma 14 2 3 2 6" xfId="36418" xr:uid="{00000000-0005-0000-0000-000090780000}"/>
    <cellStyle name="Comma 14 2 3 2 6 2" xfId="36419" xr:uid="{00000000-0005-0000-0000-000091780000}"/>
    <cellStyle name="Comma 14 2 3 2 6 3" xfId="36420" xr:uid="{00000000-0005-0000-0000-000092780000}"/>
    <cellStyle name="Comma 14 2 3 2 7" xfId="36421" xr:uid="{00000000-0005-0000-0000-000093780000}"/>
    <cellStyle name="Comma 14 2 3 2 7 2" xfId="36422" xr:uid="{00000000-0005-0000-0000-000094780000}"/>
    <cellStyle name="Comma 14 2 3 2 7 3" xfId="36423" xr:uid="{00000000-0005-0000-0000-000095780000}"/>
    <cellStyle name="Comma 14 2 3 2 8" xfId="36424" xr:uid="{00000000-0005-0000-0000-000096780000}"/>
    <cellStyle name="Comma 14 2 3 2 8 2" xfId="36425" xr:uid="{00000000-0005-0000-0000-000097780000}"/>
    <cellStyle name="Comma 14 2 3 2 9" xfId="36426" xr:uid="{00000000-0005-0000-0000-000098780000}"/>
    <cellStyle name="Comma 14 2 3 3" xfId="36427" xr:uid="{00000000-0005-0000-0000-000099780000}"/>
    <cellStyle name="Comma 14 2 3 3 2" xfId="36428" xr:uid="{00000000-0005-0000-0000-00009A780000}"/>
    <cellStyle name="Comma 14 2 3 3 2 2" xfId="36429" xr:uid="{00000000-0005-0000-0000-00009B780000}"/>
    <cellStyle name="Comma 14 2 3 3 2 2 2" xfId="36430" xr:uid="{00000000-0005-0000-0000-00009C780000}"/>
    <cellStyle name="Comma 14 2 3 3 2 2 3" xfId="36431" xr:uid="{00000000-0005-0000-0000-00009D780000}"/>
    <cellStyle name="Comma 14 2 3 3 2 3" xfId="36432" xr:uid="{00000000-0005-0000-0000-00009E780000}"/>
    <cellStyle name="Comma 14 2 3 3 2 3 2" xfId="36433" xr:uid="{00000000-0005-0000-0000-00009F780000}"/>
    <cellStyle name="Comma 14 2 3 3 2 3 3" xfId="36434" xr:uid="{00000000-0005-0000-0000-0000A0780000}"/>
    <cellStyle name="Comma 14 2 3 3 2 4" xfId="36435" xr:uid="{00000000-0005-0000-0000-0000A1780000}"/>
    <cellStyle name="Comma 14 2 3 3 2 4 2" xfId="36436" xr:uid="{00000000-0005-0000-0000-0000A2780000}"/>
    <cellStyle name="Comma 14 2 3 3 2 5" xfId="36437" xr:uid="{00000000-0005-0000-0000-0000A3780000}"/>
    <cellStyle name="Comma 14 2 3 3 2 6" xfId="36438" xr:uid="{00000000-0005-0000-0000-0000A4780000}"/>
    <cellStyle name="Comma 14 2 3 3 3" xfId="36439" xr:uid="{00000000-0005-0000-0000-0000A5780000}"/>
    <cellStyle name="Comma 14 2 3 3 3 2" xfId="36440" xr:uid="{00000000-0005-0000-0000-0000A6780000}"/>
    <cellStyle name="Comma 14 2 3 3 3 2 2" xfId="36441" xr:uid="{00000000-0005-0000-0000-0000A7780000}"/>
    <cellStyle name="Comma 14 2 3 3 3 2 3" xfId="36442" xr:uid="{00000000-0005-0000-0000-0000A8780000}"/>
    <cellStyle name="Comma 14 2 3 3 3 3" xfId="36443" xr:uid="{00000000-0005-0000-0000-0000A9780000}"/>
    <cellStyle name="Comma 14 2 3 3 3 3 2" xfId="36444" xr:uid="{00000000-0005-0000-0000-0000AA780000}"/>
    <cellStyle name="Comma 14 2 3 3 3 3 3" xfId="36445" xr:uid="{00000000-0005-0000-0000-0000AB780000}"/>
    <cellStyle name="Comma 14 2 3 3 3 4" xfId="36446" xr:uid="{00000000-0005-0000-0000-0000AC780000}"/>
    <cellStyle name="Comma 14 2 3 3 3 4 2" xfId="36447" xr:uid="{00000000-0005-0000-0000-0000AD780000}"/>
    <cellStyle name="Comma 14 2 3 3 3 5" xfId="36448" xr:uid="{00000000-0005-0000-0000-0000AE780000}"/>
    <cellStyle name="Comma 14 2 3 3 3 6" xfId="36449" xr:uid="{00000000-0005-0000-0000-0000AF780000}"/>
    <cellStyle name="Comma 14 2 3 3 4" xfId="36450" xr:uid="{00000000-0005-0000-0000-0000B0780000}"/>
    <cellStyle name="Comma 14 2 3 3 4 2" xfId="36451" xr:uid="{00000000-0005-0000-0000-0000B1780000}"/>
    <cellStyle name="Comma 14 2 3 3 4 2 2" xfId="36452" xr:uid="{00000000-0005-0000-0000-0000B2780000}"/>
    <cellStyle name="Comma 14 2 3 3 4 2 3" xfId="36453" xr:uid="{00000000-0005-0000-0000-0000B3780000}"/>
    <cellStyle name="Comma 14 2 3 3 4 3" xfId="36454" xr:uid="{00000000-0005-0000-0000-0000B4780000}"/>
    <cellStyle name="Comma 14 2 3 3 4 3 2" xfId="36455" xr:uid="{00000000-0005-0000-0000-0000B5780000}"/>
    <cellStyle name="Comma 14 2 3 3 4 4" xfId="36456" xr:uid="{00000000-0005-0000-0000-0000B6780000}"/>
    <cellStyle name="Comma 14 2 3 3 4 5" xfId="36457" xr:uid="{00000000-0005-0000-0000-0000B7780000}"/>
    <cellStyle name="Comma 14 2 3 3 5" xfId="36458" xr:uid="{00000000-0005-0000-0000-0000B8780000}"/>
    <cellStyle name="Comma 14 2 3 3 5 2" xfId="36459" xr:uid="{00000000-0005-0000-0000-0000B9780000}"/>
    <cellStyle name="Comma 14 2 3 3 5 3" xfId="36460" xr:uid="{00000000-0005-0000-0000-0000BA780000}"/>
    <cellStyle name="Comma 14 2 3 3 6" xfId="36461" xr:uid="{00000000-0005-0000-0000-0000BB780000}"/>
    <cellStyle name="Comma 14 2 3 3 6 2" xfId="36462" xr:uid="{00000000-0005-0000-0000-0000BC780000}"/>
    <cellStyle name="Comma 14 2 3 3 6 3" xfId="36463" xr:uid="{00000000-0005-0000-0000-0000BD780000}"/>
    <cellStyle name="Comma 14 2 3 3 7" xfId="36464" xr:uid="{00000000-0005-0000-0000-0000BE780000}"/>
    <cellStyle name="Comma 14 2 3 3 7 2" xfId="36465" xr:uid="{00000000-0005-0000-0000-0000BF780000}"/>
    <cellStyle name="Comma 14 2 3 3 8" xfId="36466" xr:uid="{00000000-0005-0000-0000-0000C0780000}"/>
    <cellStyle name="Comma 14 2 3 3 9" xfId="36467" xr:uid="{00000000-0005-0000-0000-0000C1780000}"/>
    <cellStyle name="Comma 14 2 3 4" xfId="36468" xr:uid="{00000000-0005-0000-0000-0000C2780000}"/>
    <cellStyle name="Comma 14 2 3 4 2" xfId="36469" xr:uid="{00000000-0005-0000-0000-0000C3780000}"/>
    <cellStyle name="Comma 14 2 3 4 2 2" xfId="36470" xr:uid="{00000000-0005-0000-0000-0000C4780000}"/>
    <cellStyle name="Comma 14 2 3 4 2 2 2" xfId="36471" xr:uid="{00000000-0005-0000-0000-0000C5780000}"/>
    <cellStyle name="Comma 14 2 3 4 2 2 3" xfId="36472" xr:uid="{00000000-0005-0000-0000-0000C6780000}"/>
    <cellStyle name="Comma 14 2 3 4 2 3" xfId="36473" xr:uid="{00000000-0005-0000-0000-0000C7780000}"/>
    <cellStyle name="Comma 14 2 3 4 2 3 2" xfId="36474" xr:uid="{00000000-0005-0000-0000-0000C8780000}"/>
    <cellStyle name="Comma 14 2 3 4 2 3 3" xfId="36475" xr:uid="{00000000-0005-0000-0000-0000C9780000}"/>
    <cellStyle name="Comma 14 2 3 4 2 4" xfId="36476" xr:uid="{00000000-0005-0000-0000-0000CA780000}"/>
    <cellStyle name="Comma 14 2 3 4 2 4 2" xfId="36477" xr:uid="{00000000-0005-0000-0000-0000CB780000}"/>
    <cellStyle name="Comma 14 2 3 4 2 5" xfId="36478" xr:uid="{00000000-0005-0000-0000-0000CC780000}"/>
    <cellStyle name="Comma 14 2 3 4 2 6" xfId="36479" xr:uid="{00000000-0005-0000-0000-0000CD780000}"/>
    <cellStyle name="Comma 14 2 3 4 3" xfId="36480" xr:uid="{00000000-0005-0000-0000-0000CE780000}"/>
    <cellStyle name="Comma 14 2 3 4 3 2" xfId="36481" xr:uid="{00000000-0005-0000-0000-0000CF780000}"/>
    <cellStyle name="Comma 14 2 3 4 3 2 2" xfId="36482" xr:uid="{00000000-0005-0000-0000-0000D0780000}"/>
    <cellStyle name="Comma 14 2 3 4 3 2 3" xfId="36483" xr:uid="{00000000-0005-0000-0000-0000D1780000}"/>
    <cellStyle name="Comma 14 2 3 4 3 3" xfId="36484" xr:uid="{00000000-0005-0000-0000-0000D2780000}"/>
    <cellStyle name="Comma 14 2 3 4 3 3 2" xfId="36485" xr:uid="{00000000-0005-0000-0000-0000D3780000}"/>
    <cellStyle name="Comma 14 2 3 4 3 3 3" xfId="36486" xr:uid="{00000000-0005-0000-0000-0000D4780000}"/>
    <cellStyle name="Comma 14 2 3 4 3 4" xfId="36487" xr:uid="{00000000-0005-0000-0000-0000D5780000}"/>
    <cellStyle name="Comma 14 2 3 4 3 4 2" xfId="36488" xr:uid="{00000000-0005-0000-0000-0000D6780000}"/>
    <cellStyle name="Comma 14 2 3 4 3 5" xfId="36489" xr:uid="{00000000-0005-0000-0000-0000D7780000}"/>
    <cellStyle name="Comma 14 2 3 4 3 6" xfId="36490" xr:uid="{00000000-0005-0000-0000-0000D8780000}"/>
    <cellStyle name="Comma 14 2 3 4 4" xfId="36491" xr:uid="{00000000-0005-0000-0000-0000D9780000}"/>
    <cellStyle name="Comma 14 2 3 4 4 2" xfId="36492" xr:uid="{00000000-0005-0000-0000-0000DA780000}"/>
    <cellStyle name="Comma 14 2 3 4 4 2 2" xfId="36493" xr:uid="{00000000-0005-0000-0000-0000DB780000}"/>
    <cellStyle name="Comma 14 2 3 4 4 2 3" xfId="36494" xr:uid="{00000000-0005-0000-0000-0000DC780000}"/>
    <cellStyle name="Comma 14 2 3 4 4 3" xfId="36495" xr:uid="{00000000-0005-0000-0000-0000DD780000}"/>
    <cellStyle name="Comma 14 2 3 4 4 3 2" xfId="36496" xr:uid="{00000000-0005-0000-0000-0000DE780000}"/>
    <cellStyle name="Comma 14 2 3 4 4 4" xfId="36497" xr:uid="{00000000-0005-0000-0000-0000DF780000}"/>
    <cellStyle name="Comma 14 2 3 4 4 5" xfId="36498" xr:uid="{00000000-0005-0000-0000-0000E0780000}"/>
    <cellStyle name="Comma 14 2 3 4 5" xfId="36499" xr:uid="{00000000-0005-0000-0000-0000E1780000}"/>
    <cellStyle name="Comma 14 2 3 4 5 2" xfId="36500" xr:uid="{00000000-0005-0000-0000-0000E2780000}"/>
    <cellStyle name="Comma 14 2 3 4 5 3" xfId="36501" xr:uid="{00000000-0005-0000-0000-0000E3780000}"/>
    <cellStyle name="Comma 14 2 3 4 6" xfId="36502" xr:uid="{00000000-0005-0000-0000-0000E4780000}"/>
    <cellStyle name="Comma 14 2 3 4 6 2" xfId="36503" xr:uid="{00000000-0005-0000-0000-0000E5780000}"/>
    <cellStyle name="Comma 14 2 3 4 6 3" xfId="36504" xr:uid="{00000000-0005-0000-0000-0000E6780000}"/>
    <cellStyle name="Comma 14 2 3 4 7" xfId="36505" xr:uid="{00000000-0005-0000-0000-0000E7780000}"/>
    <cellStyle name="Comma 14 2 3 4 7 2" xfId="36506" xr:uid="{00000000-0005-0000-0000-0000E8780000}"/>
    <cellStyle name="Comma 14 2 3 4 8" xfId="36507" xr:uid="{00000000-0005-0000-0000-0000E9780000}"/>
    <cellStyle name="Comma 14 2 3 4 9" xfId="36508" xr:uid="{00000000-0005-0000-0000-0000EA780000}"/>
    <cellStyle name="Comma 14 2 3 5" xfId="36509" xr:uid="{00000000-0005-0000-0000-0000EB780000}"/>
    <cellStyle name="Comma 14 2 3 5 2" xfId="36510" xr:uid="{00000000-0005-0000-0000-0000EC780000}"/>
    <cellStyle name="Comma 14 2 3 5 2 2" xfId="36511" xr:uid="{00000000-0005-0000-0000-0000ED780000}"/>
    <cellStyle name="Comma 14 2 3 5 2 3" xfId="36512" xr:uid="{00000000-0005-0000-0000-0000EE780000}"/>
    <cellStyle name="Comma 14 2 3 5 3" xfId="36513" xr:uid="{00000000-0005-0000-0000-0000EF780000}"/>
    <cellStyle name="Comma 14 2 3 5 3 2" xfId="36514" xr:uid="{00000000-0005-0000-0000-0000F0780000}"/>
    <cellStyle name="Comma 14 2 3 5 3 3" xfId="36515" xr:uid="{00000000-0005-0000-0000-0000F1780000}"/>
    <cellStyle name="Comma 14 2 3 5 4" xfId="36516" xr:uid="{00000000-0005-0000-0000-0000F2780000}"/>
    <cellStyle name="Comma 14 2 3 5 4 2" xfId="36517" xr:uid="{00000000-0005-0000-0000-0000F3780000}"/>
    <cellStyle name="Comma 14 2 3 5 5" xfId="36518" xr:uid="{00000000-0005-0000-0000-0000F4780000}"/>
    <cellStyle name="Comma 14 2 3 5 6" xfId="36519" xr:uid="{00000000-0005-0000-0000-0000F5780000}"/>
    <cellStyle name="Comma 14 2 3 6" xfId="36520" xr:uid="{00000000-0005-0000-0000-0000F6780000}"/>
    <cellStyle name="Comma 14 2 3 6 2" xfId="36521" xr:uid="{00000000-0005-0000-0000-0000F7780000}"/>
    <cellStyle name="Comma 14 2 3 6 2 2" xfId="36522" xr:uid="{00000000-0005-0000-0000-0000F8780000}"/>
    <cellStyle name="Comma 14 2 3 6 2 3" xfId="36523" xr:uid="{00000000-0005-0000-0000-0000F9780000}"/>
    <cellStyle name="Comma 14 2 3 6 3" xfId="36524" xr:uid="{00000000-0005-0000-0000-0000FA780000}"/>
    <cellStyle name="Comma 14 2 3 6 3 2" xfId="36525" xr:uid="{00000000-0005-0000-0000-0000FB780000}"/>
    <cellStyle name="Comma 14 2 3 6 3 3" xfId="36526" xr:uid="{00000000-0005-0000-0000-0000FC780000}"/>
    <cellStyle name="Comma 14 2 3 6 4" xfId="36527" xr:uid="{00000000-0005-0000-0000-0000FD780000}"/>
    <cellStyle name="Comma 14 2 3 6 4 2" xfId="36528" xr:uid="{00000000-0005-0000-0000-0000FE780000}"/>
    <cellStyle name="Comma 14 2 3 6 5" xfId="36529" xr:uid="{00000000-0005-0000-0000-0000FF780000}"/>
    <cellStyle name="Comma 14 2 3 6 6" xfId="36530" xr:uid="{00000000-0005-0000-0000-000000790000}"/>
    <cellStyle name="Comma 14 2 3 7" xfId="36531" xr:uid="{00000000-0005-0000-0000-000001790000}"/>
    <cellStyle name="Comma 14 2 3 7 2" xfId="36532" xr:uid="{00000000-0005-0000-0000-000002790000}"/>
    <cellStyle name="Comma 14 2 3 7 2 2" xfId="36533" xr:uid="{00000000-0005-0000-0000-000003790000}"/>
    <cellStyle name="Comma 14 2 3 7 2 3" xfId="36534" xr:uid="{00000000-0005-0000-0000-000004790000}"/>
    <cellStyle name="Comma 14 2 3 7 3" xfId="36535" xr:uid="{00000000-0005-0000-0000-000005790000}"/>
    <cellStyle name="Comma 14 2 3 7 3 2" xfId="36536" xr:uid="{00000000-0005-0000-0000-000006790000}"/>
    <cellStyle name="Comma 14 2 3 7 4" xfId="36537" xr:uid="{00000000-0005-0000-0000-000007790000}"/>
    <cellStyle name="Comma 14 2 3 7 5" xfId="36538" xr:uid="{00000000-0005-0000-0000-000008790000}"/>
    <cellStyle name="Comma 14 2 3 8" xfId="36539" xr:uid="{00000000-0005-0000-0000-000009790000}"/>
    <cellStyle name="Comma 14 2 3 8 2" xfId="36540" xr:uid="{00000000-0005-0000-0000-00000A790000}"/>
    <cellStyle name="Comma 14 2 3 8 3" xfId="36541" xr:uid="{00000000-0005-0000-0000-00000B790000}"/>
    <cellStyle name="Comma 14 2 3 9" xfId="36542" xr:uid="{00000000-0005-0000-0000-00000C790000}"/>
    <cellStyle name="Comma 14 2 3 9 2" xfId="36543" xr:uid="{00000000-0005-0000-0000-00000D790000}"/>
    <cellStyle name="Comma 14 2 3 9 3" xfId="36544" xr:uid="{00000000-0005-0000-0000-00000E790000}"/>
    <cellStyle name="Comma 14 2 4" xfId="36545" xr:uid="{00000000-0005-0000-0000-00000F790000}"/>
    <cellStyle name="Comma 14 2 4 10" xfId="36546" xr:uid="{00000000-0005-0000-0000-000010790000}"/>
    <cellStyle name="Comma 14 2 4 2" xfId="36547" xr:uid="{00000000-0005-0000-0000-000011790000}"/>
    <cellStyle name="Comma 14 2 4 2 2" xfId="36548" xr:uid="{00000000-0005-0000-0000-000012790000}"/>
    <cellStyle name="Comma 14 2 4 2 2 2" xfId="36549" xr:uid="{00000000-0005-0000-0000-000013790000}"/>
    <cellStyle name="Comma 14 2 4 2 2 2 2" xfId="36550" xr:uid="{00000000-0005-0000-0000-000014790000}"/>
    <cellStyle name="Comma 14 2 4 2 2 2 3" xfId="36551" xr:uid="{00000000-0005-0000-0000-000015790000}"/>
    <cellStyle name="Comma 14 2 4 2 2 3" xfId="36552" xr:uid="{00000000-0005-0000-0000-000016790000}"/>
    <cellStyle name="Comma 14 2 4 2 2 3 2" xfId="36553" xr:uid="{00000000-0005-0000-0000-000017790000}"/>
    <cellStyle name="Comma 14 2 4 2 2 3 3" xfId="36554" xr:uid="{00000000-0005-0000-0000-000018790000}"/>
    <cellStyle name="Comma 14 2 4 2 2 4" xfId="36555" xr:uid="{00000000-0005-0000-0000-000019790000}"/>
    <cellStyle name="Comma 14 2 4 2 2 4 2" xfId="36556" xr:uid="{00000000-0005-0000-0000-00001A790000}"/>
    <cellStyle name="Comma 14 2 4 2 2 5" xfId="36557" xr:uid="{00000000-0005-0000-0000-00001B790000}"/>
    <cellStyle name="Comma 14 2 4 2 2 6" xfId="36558" xr:uid="{00000000-0005-0000-0000-00001C790000}"/>
    <cellStyle name="Comma 14 2 4 2 3" xfId="36559" xr:uid="{00000000-0005-0000-0000-00001D790000}"/>
    <cellStyle name="Comma 14 2 4 2 3 2" xfId="36560" xr:uid="{00000000-0005-0000-0000-00001E790000}"/>
    <cellStyle name="Comma 14 2 4 2 3 2 2" xfId="36561" xr:uid="{00000000-0005-0000-0000-00001F790000}"/>
    <cellStyle name="Comma 14 2 4 2 3 2 3" xfId="36562" xr:uid="{00000000-0005-0000-0000-000020790000}"/>
    <cellStyle name="Comma 14 2 4 2 3 3" xfId="36563" xr:uid="{00000000-0005-0000-0000-000021790000}"/>
    <cellStyle name="Comma 14 2 4 2 3 3 2" xfId="36564" xr:uid="{00000000-0005-0000-0000-000022790000}"/>
    <cellStyle name="Comma 14 2 4 2 3 3 3" xfId="36565" xr:uid="{00000000-0005-0000-0000-000023790000}"/>
    <cellStyle name="Comma 14 2 4 2 3 4" xfId="36566" xr:uid="{00000000-0005-0000-0000-000024790000}"/>
    <cellStyle name="Comma 14 2 4 2 3 4 2" xfId="36567" xr:uid="{00000000-0005-0000-0000-000025790000}"/>
    <cellStyle name="Comma 14 2 4 2 3 5" xfId="36568" xr:uid="{00000000-0005-0000-0000-000026790000}"/>
    <cellStyle name="Comma 14 2 4 2 3 6" xfId="36569" xr:uid="{00000000-0005-0000-0000-000027790000}"/>
    <cellStyle name="Comma 14 2 4 2 4" xfId="36570" xr:uid="{00000000-0005-0000-0000-000028790000}"/>
    <cellStyle name="Comma 14 2 4 2 4 2" xfId="36571" xr:uid="{00000000-0005-0000-0000-000029790000}"/>
    <cellStyle name="Comma 14 2 4 2 4 2 2" xfId="36572" xr:uid="{00000000-0005-0000-0000-00002A790000}"/>
    <cellStyle name="Comma 14 2 4 2 4 2 3" xfId="36573" xr:uid="{00000000-0005-0000-0000-00002B790000}"/>
    <cellStyle name="Comma 14 2 4 2 4 3" xfId="36574" xr:uid="{00000000-0005-0000-0000-00002C790000}"/>
    <cellStyle name="Comma 14 2 4 2 4 3 2" xfId="36575" xr:uid="{00000000-0005-0000-0000-00002D790000}"/>
    <cellStyle name="Comma 14 2 4 2 4 4" xfId="36576" xr:uid="{00000000-0005-0000-0000-00002E790000}"/>
    <cellStyle name="Comma 14 2 4 2 4 5" xfId="36577" xr:uid="{00000000-0005-0000-0000-00002F790000}"/>
    <cellStyle name="Comma 14 2 4 2 5" xfId="36578" xr:uid="{00000000-0005-0000-0000-000030790000}"/>
    <cellStyle name="Comma 14 2 4 2 5 2" xfId="36579" xr:uid="{00000000-0005-0000-0000-000031790000}"/>
    <cellStyle name="Comma 14 2 4 2 5 3" xfId="36580" xr:uid="{00000000-0005-0000-0000-000032790000}"/>
    <cellStyle name="Comma 14 2 4 2 6" xfId="36581" xr:uid="{00000000-0005-0000-0000-000033790000}"/>
    <cellStyle name="Comma 14 2 4 2 6 2" xfId="36582" xr:uid="{00000000-0005-0000-0000-000034790000}"/>
    <cellStyle name="Comma 14 2 4 2 6 3" xfId="36583" xr:uid="{00000000-0005-0000-0000-000035790000}"/>
    <cellStyle name="Comma 14 2 4 2 7" xfId="36584" xr:uid="{00000000-0005-0000-0000-000036790000}"/>
    <cellStyle name="Comma 14 2 4 2 7 2" xfId="36585" xr:uid="{00000000-0005-0000-0000-000037790000}"/>
    <cellStyle name="Comma 14 2 4 2 8" xfId="36586" xr:uid="{00000000-0005-0000-0000-000038790000}"/>
    <cellStyle name="Comma 14 2 4 2 9" xfId="36587" xr:uid="{00000000-0005-0000-0000-000039790000}"/>
    <cellStyle name="Comma 14 2 4 3" xfId="36588" xr:uid="{00000000-0005-0000-0000-00003A790000}"/>
    <cellStyle name="Comma 14 2 4 3 2" xfId="36589" xr:uid="{00000000-0005-0000-0000-00003B790000}"/>
    <cellStyle name="Comma 14 2 4 3 2 2" xfId="36590" xr:uid="{00000000-0005-0000-0000-00003C790000}"/>
    <cellStyle name="Comma 14 2 4 3 2 3" xfId="36591" xr:uid="{00000000-0005-0000-0000-00003D790000}"/>
    <cellStyle name="Comma 14 2 4 3 3" xfId="36592" xr:uid="{00000000-0005-0000-0000-00003E790000}"/>
    <cellStyle name="Comma 14 2 4 3 3 2" xfId="36593" xr:uid="{00000000-0005-0000-0000-00003F790000}"/>
    <cellStyle name="Comma 14 2 4 3 3 3" xfId="36594" xr:uid="{00000000-0005-0000-0000-000040790000}"/>
    <cellStyle name="Comma 14 2 4 3 4" xfId="36595" xr:uid="{00000000-0005-0000-0000-000041790000}"/>
    <cellStyle name="Comma 14 2 4 3 4 2" xfId="36596" xr:uid="{00000000-0005-0000-0000-000042790000}"/>
    <cellStyle name="Comma 14 2 4 3 5" xfId="36597" xr:uid="{00000000-0005-0000-0000-000043790000}"/>
    <cellStyle name="Comma 14 2 4 3 6" xfId="36598" xr:uid="{00000000-0005-0000-0000-000044790000}"/>
    <cellStyle name="Comma 14 2 4 4" xfId="36599" xr:uid="{00000000-0005-0000-0000-000045790000}"/>
    <cellStyle name="Comma 14 2 4 4 2" xfId="36600" xr:uid="{00000000-0005-0000-0000-000046790000}"/>
    <cellStyle name="Comma 14 2 4 4 2 2" xfId="36601" xr:uid="{00000000-0005-0000-0000-000047790000}"/>
    <cellStyle name="Comma 14 2 4 4 2 3" xfId="36602" xr:uid="{00000000-0005-0000-0000-000048790000}"/>
    <cellStyle name="Comma 14 2 4 4 3" xfId="36603" xr:uid="{00000000-0005-0000-0000-000049790000}"/>
    <cellStyle name="Comma 14 2 4 4 3 2" xfId="36604" xr:uid="{00000000-0005-0000-0000-00004A790000}"/>
    <cellStyle name="Comma 14 2 4 4 3 3" xfId="36605" xr:uid="{00000000-0005-0000-0000-00004B790000}"/>
    <cellStyle name="Comma 14 2 4 4 4" xfId="36606" xr:uid="{00000000-0005-0000-0000-00004C790000}"/>
    <cellStyle name="Comma 14 2 4 4 4 2" xfId="36607" xr:uid="{00000000-0005-0000-0000-00004D790000}"/>
    <cellStyle name="Comma 14 2 4 4 5" xfId="36608" xr:uid="{00000000-0005-0000-0000-00004E790000}"/>
    <cellStyle name="Comma 14 2 4 4 6" xfId="36609" xr:uid="{00000000-0005-0000-0000-00004F790000}"/>
    <cellStyle name="Comma 14 2 4 5" xfId="36610" xr:uid="{00000000-0005-0000-0000-000050790000}"/>
    <cellStyle name="Comma 14 2 4 5 2" xfId="36611" xr:uid="{00000000-0005-0000-0000-000051790000}"/>
    <cellStyle name="Comma 14 2 4 5 2 2" xfId="36612" xr:uid="{00000000-0005-0000-0000-000052790000}"/>
    <cellStyle name="Comma 14 2 4 5 2 3" xfId="36613" xr:uid="{00000000-0005-0000-0000-000053790000}"/>
    <cellStyle name="Comma 14 2 4 5 3" xfId="36614" xr:uid="{00000000-0005-0000-0000-000054790000}"/>
    <cellStyle name="Comma 14 2 4 5 3 2" xfId="36615" xr:uid="{00000000-0005-0000-0000-000055790000}"/>
    <cellStyle name="Comma 14 2 4 5 4" xfId="36616" xr:uid="{00000000-0005-0000-0000-000056790000}"/>
    <cellStyle name="Comma 14 2 4 5 5" xfId="36617" xr:uid="{00000000-0005-0000-0000-000057790000}"/>
    <cellStyle name="Comma 14 2 4 6" xfId="36618" xr:uid="{00000000-0005-0000-0000-000058790000}"/>
    <cellStyle name="Comma 14 2 4 6 2" xfId="36619" xr:uid="{00000000-0005-0000-0000-000059790000}"/>
    <cellStyle name="Comma 14 2 4 6 3" xfId="36620" xr:uid="{00000000-0005-0000-0000-00005A790000}"/>
    <cellStyle name="Comma 14 2 4 7" xfId="36621" xr:uid="{00000000-0005-0000-0000-00005B790000}"/>
    <cellStyle name="Comma 14 2 4 7 2" xfId="36622" xr:uid="{00000000-0005-0000-0000-00005C790000}"/>
    <cellStyle name="Comma 14 2 4 7 3" xfId="36623" xr:uid="{00000000-0005-0000-0000-00005D790000}"/>
    <cellStyle name="Comma 14 2 4 8" xfId="36624" xr:uid="{00000000-0005-0000-0000-00005E790000}"/>
    <cellStyle name="Comma 14 2 4 8 2" xfId="36625" xr:uid="{00000000-0005-0000-0000-00005F790000}"/>
    <cellStyle name="Comma 14 2 4 9" xfId="36626" xr:uid="{00000000-0005-0000-0000-000060790000}"/>
    <cellStyle name="Comma 14 2 5" xfId="36627" xr:uid="{00000000-0005-0000-0000-000061790000}"/>
    <cellStyle name="Comma 14 2 5 2" xfId="36628" xr:uid="{00000000-0005-0000-0000-000062790000}"/>
    <cellStyle name="Comma 14 2 5 2 2" xfId="36629" xr:uid="{00000000-0005-0000-0000-000063790000}"/>
    <cellStyle name="Comma 14 2 5 2 2 2" xfId="36630" xr:uid="{00000000-0005-0000-0000-000064790000}"/>
    <cellStyle name="Comma 14 2 5 2 2 3" xfId="36631" xr:uid="{00000000-0005-0000-0000-000065790000}"/>
    <cellStyle name="Comma 14 2 5 2 3" xfId="36632" xr:uid="{00000000-0005-0000-0000-000066790000}"/>
    <cellStyle name="Comma 14 2 5 2 3 2" xfId="36633" xr:uid="{00000000-0005-0000-0000-000067790000}"/>
    <cellStyle name="Comma 14 2 5 2 3 3" xfId="36634" xr:uid="{00000000-0005-0000-0000-000068790000}"/>
    <cellStyle name="Comma 14 2 5 2 4" xfId="36635" xr:uid="{00000000-0005-0000-0000-000069790000}"/>
    <cellStyle name="Comma 14 2 5 2 4 2" xfId="36636" xr:uid="{00000000-0005-0000-0000-00006A790000}"/>
    <cellStyle name="Comma 14 2 5 2 5" xfId="36637" xr:uid="{00000000-0005-0000-0000-00006B790000}"/>
    <cellStyle name="Comma 14 2 5 2 6" xfId="36638" xr:uid="{00000000-0005-0000-0000-00006C790000}"/>
    <cellStyle name="Comma 14 2 5 3" xfId="36639" xr:uid="{00000000-0005-0000-0000-00006D790000}"/>
    <cellStyle name="Comma 14 2 5 3 2" xfId="36640" xr:uid="{00000000-0005-0000-0000-00006E790000}"/>
    <cellStyle name="Comma 14 2 5 3 2 2" xfId="36641" xr:uid="{00000000-0005-0000-0000-00006F790000}"/>
    <cellStyle name="Comma 14 2 5 3 2 3" xfId="36642" xr:uid="{00000000-0005-0000-0000-000070790000}"/>
    <cellStyle name="Comma 14 2 5 3 3" xfId="36643" xr:uid="{00000000-0005-0000-0000-000071790000}"/>
    <cellStyle name="Comma 14 2 5 3 3 2" xfId="36644" xr:uid="{00000000-0005-0000-0000-000072790000}"/>
    <cellStyle name="Comma 14 2 5 3 3 3" xfId="36645" xr:uid="{00000000-0005-0000-0000-000073790000}"/>
    <cellStyle name="Comma 14 2 5 3 4" xfId="36646" xr:uid="{00000000-0005-0000-0000-000074790000}"/>
    <cellStyle name="Comma 14 2 5 3 4 2" xfId="36647" xr:uid="{00000000-0005-0000-0000-000075790000}"/>
    <cellStyle name="Comma 14 2 5 3 5" xfId="36648" xr:uid="{00000000-0005-0000-0000-000076790000}"/>
    <cellStyle name="Comma 14 2 5 3 6" xfId="36649" xr:uid="{00000000-0005-0000-0000-000077790000}"/>
    <cellStyle name="Comma 14 2 5 4" xfId="36650" xr:uid="{00000000-0005-0000-0000-000078790000}"/>
    <cellStyle name="Comma 14 2 5 4 2" xfId="36651" xr:uid="{00000000-0005-0000-0000-000079790000}"/>
    <cellStyle name="Comma 14 2 5 4 2 2" xfId="36652" xr:uid="{00000000-0005-0000-0000-00007A790000}"/>
    <cellStyle name="Comma 14 2 5 4 2 3" xfId="36653" xr:uid="{00000000-0005-0000-0000-00007B790000}"/>
    <cellStyle name="Comma 14 2 5 4 3" xfId="36654" xr:uid="{00000000-0005-0000-0000-00007C790000}"/>
    <cellStyle name="Comma 14 2 5 4 3 2" xfId="36655" xr:uid="{00000000-0005-0000-0000-00007D790000}"/>
    <cellStyle name="Comma 14 2 5 4 4" xfId="36656" xr:uid="{00000000-0005-0000-0000-00007E790000}"/>
    <cellStyle name="Comma 14 2 5 4 5" xfId="36657" xr:uid="{00000000-0005-0000-0000-00007F790000}"/>
    <cellStyle name="Comma 14 2 5 5" xfId="36658" xr:uid="{00000000-0005-0000-0000-000080790000}"/>
    <cellStyle name="Comma 14 2 5 5 2" xfId="36659" xr:uid="{00000000-0005-0000-0000-000081790000}"/>
    <cellStyle name="Comma 14 2 5 5 3" xfId="36660" xr:uid="{00000000-0005-0000-0000-000082790000}"/>
    <cellStyle name="Comma 14 2 5 6" xfId="36661" xr:uid="{00000000-0005-0000-0000-000083790000}"/>
    <cellStyle name="Comma 14 2 5 6 2" xfId="36662" xr:uid="{00000000-0005-0000-0000-000084790000}"/>
    <cellStyle name="Comma 14 2 5 6 3" xfId="36663" xr:uid="{00000000-0005-0000-0000-000085790000}"/>
    <cellStyle name="Comma 14 2 5 7" xfId="36664" xr:uid="{00000000-0005-0000-0000-000086790000}"/>
    <cellStyle name="Comma 14 2 5 7 2" xfId="36665" xr:uid="{00000000-0005-0000-0000-000087790000}"/>
    <cellStyle name="Comma 14 2 5 8" xfId="36666" xr:uid="{00000000-0005-0000-0000-000088790000}"/>
    <cellStyle name="Comma 14 2 5 9" xfId="36667" xr:uid="{00000000-0005-0000-0000-000089790000}"/>
    <cellStyle name="Comma 14 2 6" xfId="36668" xr:uid="{00000000-0005-0000-0000-00008A790000}"/>
    <cellStyle name="Comma 14 2 6 2" xfId="36669" xr:uid="{00000000-0005-0000-0000-00008B790000}"/>
    <cellStyle name="Comma 14 2 6 2 2" xfId="36670" xr:uid="{00000000-0005-0000-0000-00008C790000}"/>
    <cellStyle name="Comma 14 2 6 2 2 2" xfId="36671" xr:uid="{00000000-0005-0000-0000-00008D790000}"/>
    <cellStyle name="Comma 14 2 6 2 2 3" xfId="36672" xr:uid="{00000000-0005-0000-0000-00008E790000}"/>
    <cellStyle name="Comma 14 2 6 2 3" xfId="36673" xr:uid="{00000000-0005-0000-0000-00008F790000}"/>
    <cellStyle name="Comma 14 2 6 2 3 2" xfId="36674" xr:uid="{00000000-0005-0000-0000-000090790000}"/>
    <cellStyle name="Comma 14 2 6 2 3 3" xfId="36675" xr:uid="{00000000-0005-0000-0000-000091790000}"/>
    <cellStyle name="Comma 14 2 6 2 4" xfId="36676" xr:uid="{00000000-0005-0000-0000-000092790000}"/>
    <cellStyle name="Comma 14 2 6 2 4 2" xfId="36677" xr:uid="{00000000-0005-0000-0000-000093790000}"/>
    <cellStyle name="Comma 14 2 6 2 5" xfId="36678" xr:uid="{00000000-0005-0000-0000-000094790000}"/>
    <cellStyle name="Comma 14 2 6 2 6" xfId="36679" xr:uid="{00000000-0005-0000-0000-000095790000}"/>
    <cellStyle name="Comma 14 2 6 3" xfId="36680" xr:uid="{00000000-0005-0000-0000-000096790000}"/>
    <cellStyle name="Comma 14 2 6 3 2" xfId="36681" xr:uid="{00000000-0005-0000-0000-000097790000}"/>
    <cellStyle name="Comma 14 2 6 3 2 2" xfId="36682" xr:uid="{00000000-0005-0000-0000-000098790000}"/>
    <cellStyle name="Comma 14 2 6 3 2 3" xfId="36683" xr:uid="{00000000-0005-0000-0000-000099790000}"/>
    <cellStyle name="Comma 14 2 6 3 3" xfId="36684" xr:uid="{00000000-0005-0000-0000-00009A790000}"/>
    <cellStyle name="Comma 14 2 6 3 3 2" xfId="36685" xr:uid="{00000000-0005-0000-0000-00009B790000}"/>
    <cellStyle name="Comma 14 2 6 3 3 3" xfId="36686" xr:uid="{00000000-0005-0000-0000-00009C790000}"/>
    <cellStyle name="Comma 14 2 6 3 4" xfId="36687" xr:uid="{00000000-0005-0000-0000-00009D790000}"/>
    <cellStyle name="Comma 14 2 6 3 4 2" xfId="36688" xr:uid="{00000000-0005-0000-0000-00009E790000}"/>
    <cellStyle name="Comma 14 2 6 3 5" xfId="36689" xr:uid="{00000000-0005-0000-0000-00009F790000}"/>
    <cellStyle name="Comma 14 2 6 3 6" xfId="36690" xr:uid="{00000000-0005-0000-0000-0000A0790000}"/>
    <cellStyle name="Comma 14 2 6 4" xfId="36691" xr:uid="{00000000-0005-0000-0000-0000A1790000}"/>
    <cellStyle name="Comma 14 2 6 4 2" xfId="36692" xr:uid="{00000000-0005-0000-0000-0000A2790000}"/>
    <cellStyle name="Comma 14 2 6 4 2 2" xfId="36693" xr:uid="{00000000-0005-0000-0000-0000A3790000}"/>
    <cellStyle name="Comma 14 2 6 4 2 3" xfId="36694" xr:uid="{00000000-0005-0000-0000-0000A4790000}"/>
    <cellStyle name="Comma 14 2 6 4 3" xfId="36695" xr:uid="{00000000-0005-0000-0000-0000A5790000}"/>
    <cellStyle name="Comma 14 2 6 4 3 2" xfId="36696" xr:uid="{00000000-0005-0000-0000-0000A6790000}"/>
    <cellStyle name="Comma 14 2 6 4 4" xfId="36697" xr:uid="{00000000-0005-0000-0000-0000A7790000}"/>
    <cellStyle name="Comma 14 2 6 4 5" xfId="36698" xr:uid="{00000000-0005-0000-0000-0000A8790000}"/>
    <cellStyle name="Comma 14 2 6 5" xfId="36699" xr:uid="{00000000-0005-0000-0000-0000A9790000}"/>
    <cellStyle name="Comma 14 2 6 5 2" xfId="36700" xr:uid="{00000000-0005-0000-0000-0000AA790000}"/>
    <cellStyle name="Comma 14 2 6 5 3" xfId="36701" xr:uid="{00000000-0005-0000-0000-0000AB790000}"/>
    <cellStyle name="Comma 14 2 6 6" xfId="36702" xr:uid="{00000000-0005-0000-0000-0000AC790000}"/>
    <cellStyle name="Comma 14 2 6 6 2" xfId="36703" xr:uid="{00000000-0005-0000-0000-0000AD790000}"/>
    <cellStyle name="Comma 14 2 6 6 3" xfId="36704" xr:uid="{00000000-0005-0000-0000-0000AE790000}"/>
    <cellStyle name="Comma 14 2 6 7" xfId="36705" xr:uid="{00000000-0005-0000-0000-0000AF790000}"/>
    <cellStyle name="Comma 14 2 6 7 2" xfId="36706" xr:uid="{00000000-0005-0000-0000-0000B0790000}"/>
    <cellStyle name="Comma 14 2 6 8" xfId="36707" xr:uid="{00000000-0005-0000-0000-0000B1790000}"/>
    <cellStyle name="Comma 14 2 6 9" xfId="36708" xr:uid="{00000000-0005-0000-0000-0000B2790000}"/>
    <cellStyle name="Comma 14 2 7" xfId="36709" xr:uid="{00000000-0005-0000-0000-0000B3790000}"/>
    <cellStyle name="Comma 14 2 7 2" xfId="36710" xr:uid="{00000000-0005-0000-0000-0000B4790000}"/>
    <cellStyle name="Comma 14 2 7 2 2" xfId="36711" xr:uid="{00000000-0005-0000-0000-0000B5790000}"/>
    <cellStyle name="Comma 14 2 7 2 3" xfId="36712" xr:uid="{00000000-0005-0000-0000-0000B6790000}"/>
    <cellStyle name="Comma 14 2 7 3" xfId="36713" xr:uid="{00000000-0005-0000-0000-0000B7790000}"/>
    <cellStyle name="Comma 14 2 7 3 2" xfId="36714" xr:uid="{00000000-0005-0000-0000-0000B8790000}"/>
    <cellStyle name="Comma 14 2 7 3 3" xfId="36715" xr:uid="{00000000-0005-0000-0000-0000B9790000}"/>
    <cellStyle name="Comma 14 2 7 4" xfId="36716" xr:uid="{00000000-0005-0000-0000-0000BA790000}"/>
    <cellStyle name="Comma 14 2 7 4 2" xfId="36717" xr:uid="{00000000-0005-0000-0000-0000BB790000}"/>
    <cellStyle name="Comma 14 2 7 5" xfId="36718" xr:uid="{00000000-0005-0000-0000-0000BC790000}"/>
    <cellStyle name="Comma 14 2 7 6" xfId="36719" xr:uid="{00000000-0005-0000-0000-0000BD790000}"/>
    <cellStyle name="Comma 14 2 8" xfId="36720" xr:uid="{00000000-0005-0000-0000-0000BE790000}"/>
    <cellStyle name="Comma 14 2 8 2" xfId="36721" xr:uid="{00000000-0005-0000-0000-0000BF790000}"/>
    <cellStyle name="Comma 14 2 8 2 2" xfId="36722" xr:uid="{00000000-0005-0000-0000-0000C0790000}"/>
    <cellStyle name="Comma 14 2 8 2 3" xfId="36723" xr:uid="{00000000-0005-0000-0000-0000C1790000}"/>
    <cellStyle name="Comma 14 2 8 3" xfId="36724" xr:uid="{00000000-0005-0000-0000-0000C2790000}"/>
    <cellStyle name="Comma 14 2 8 3 2" xfId="36725" xr:uid="{00000000-0005-0000-0000-0000C3790000}"/>
    <cellStyle name="Comma 14 2 8 3 3" xfId="36726" xr:uid="{00000000-0005-0000-0000-0000C4790000}"/>
    <cellStyle name="Comma 14 2 8 4" xfId="36727" xr:uid="{00000000-0005-0000-0000-0000C5790000}"/>
    <cellStyle name="Comma 14 2 8 4 2" xfId="36728" xr:uid="{00000000-0005-0000-0000-0000C6790000}"/>
    <cellStyle name="Comma 14 2 8 5" xfId="36729" xr:uid="{00000000-0005-0000-0000-0000C7790000}"/>
    <cellStyle name="Comma 14 2 8 6" xfId="36730" xr:uid="{00000000-0005-0000-0000-0000C8790000}"/>
    <cellStyle name="Comma 14 2 9" xfId="36731" xr:uid="{00000000-0005-0000-0000-0000C9790000}"/>
    <cellStyle name="Comma 14 2 9 2" xfId="36732" xr:uid="{00000000-0005-0000-0000-0000CA790000}"/>
    <cellStyle name="Comma 14 2 9 2 2" xfId="36733" xr:uid="{00000000-0005-0000-0000-0000CB790000}"/>
    <cellStyle name="Comma 14 2 9 2 3" xfId="36734" xr:uid="{00000000-0005-0000-0000-0000CC790000}"/>
    <cellStyle name="Comma 14 2 9 3" xfId="36735" xr:uid="{00000000-0005-0000-0000-0000CD790000}"/>
    <cellStyle name="Comma 14 2 9 3 2" xfId="36736" xr:uid="{00000000-0005-0000-0000-0000CE790000}"/>
    <cellStyle name="Comma 14 2 9 4" xfId="36737" xr:uid="{00000000-0005-0000-0000-0000CF790000}"/>
    <cellStyle name="Comma 14 2 9 5" xfId="36738" xr:uid="{00000000-0005-0000-0000-0000D0790000}"/>
    <cellStyle name="Comma 14 3" xfId="36739" xr:uid="{00000000-0005-0000-0000-0000D1790000}"/>
    <cellStyle name="Comma 14 3 10" xfId="36740" xr:uid="{00000000-0005-0000-0000-0000D2790000}"/>
    <cellStyle name="Comma 14 3 10 2" xfId="36741" xr:uid="{00000000-0005-0000-0000-0000D3790000}"/>
    <cellStyle name="Comma 14 3 10 3" xfId="36742" xr:uid="{00000000-0005-0000-0000-0000D4790000}"/>
    <cellStyle name="Comma 14 3 11" xfId="36743" xr:uid="{00000000-0005-0000-0000-0000D5790000}"/>
    <cellStyle name="Comma 14 3 11 2" xfId="36744" xr:uid="{00000000-0005-0000-0000-0000D6790000}"/>
    <cellStyle name="Comma 14 3 12" xfId="36745" xr:uid="{00000000-0005-0000-0000-0000D7790000}"/>
    <cellStyle name="Comma 14 3 13" xfId="36746" xr:uid="{00000000-0005-0000-0000-0000D8790000}"/>
    <cellStyle name="Comma 14 3 2" xfId="36747" xr:uid="{00000000-0005-0000-0000-0000D9790000}"/>
    <cellStyle name="Comma 14 3 2 10" xfId="36748" xr:uid="{00000000-0005-0000-0000-0000DA790000}"/>
    <cellStyle name="Comma 14 3 2 10 2" xfId="36749" xr:uid="{00000000-0005-0000-0000-0000DB790000}"/>
    <cellStyle name="Comma 14 3 2 11" xfId="36750" xr:uid="{00000000-0005-0000-0000-0000DC790000}"/>
    <cellStyle name="Comma 14 3 2 12" xfId="36751" xr:uid="{00000000-0005-0000-0000-0000DD790000}"/>
    <cellStyle name="Comma 14 3 2 2" xfId="36752" xr:uid="{00000000-0005-0000-0000-0000DE790000}"/>
    <cellStyle name="Comma 14 3 2 2 10" xfId="36753" xr:uid="{00000000-0005-0000-0000-0000DF790000}"/>
    <cellStyle name="Comma 14 3 2 2 2" xfId="36754" xr:uid="{00000000-0005-0000-0000-0000E0790000}"/>
    <cellStyle name="Comma 14 3 2 2 2 2" xfId="36755" xr:uid="{00000000-0005-0000-0000-0000E1790000}"/>
    <cellStyle name="Comma 14 3 2 2 2 2 2" xfId="36756" xr:uid="{00000000-0005-0000-0000-0000E2790000}"/>
    <cellStyle name="Comma 14 3 2 2 2 2 2 2" xfId="36757" xr:uid="{00000000-0005-0000-0000-0000E3790000}"/>
    <cellStyle name="Comma 14 3 2 2 2 2 2 3" xfId="36758" xr:uid="{00000000-0005-0000-0000-0000E4790000}"/>
    <cellStyle name="Comma 14 3 2 2 2 2 3" xfId="36759" xr:uid="{00000000-0005-0000-0000-0000E5790000}"/>
    <cellStyle name="Comma 14 3 2 2 2 2 3 2" xfId="36760" xr:uid="{00000000-0005-0000-0000-0000E6790000}"/>
    <cellStyle name="Comma 14 3 2 2 2 2 3 3" xfId="36761" xr:uid="{00000000-0005-0000-0000-0000E7790000}"/>
    <cellStyle name="Comma 14 3 2 2 2 2 4" xfId="36762" xr:uid="{00000000-0005-0000-0000-0000E8790000}"/>
    <cellStyle name="Comma 14 3 2 2 2 2 4 2" xfId="36763" xr:uid="{00000000-0005-0000-0000-0000E9790000}"/>
    <cellStyle name="Comma 14 3 2 2 2 2 5" xfId="36764" xr:uid="{00000000-0005-0000-0000-0000EA790000}"/>
    <cellStyle name="Comma 14 3 2 2 2 2 6" xfId="36765" xr:uid="{00000000-0005-0000-0000-0000EB790000}"/>
    <cellStyle name="Comma 14 3 2 2 2 3" xfId="36766" xr:uid="{00000000-0005-0000-0000-0000EC790000}"/>
    <cellStyle name="Comma 14 3 2 2 2 3 2" xfId="36767" xr:uid="{00000000-0005-0000-0000-0000ED790000}"/>
    <cellStyle name="Comma 14 3 2 2 2 3 2 2" xfId="36768" xr:uid="{00000000-0005-0000-0000-0000EE790000}"/>
    <cellStyle name="Comma 14 3 2 2 2 3 2 3" xfId="36769" xr:uid="{00000000-0005-0000-0000-0000EF790000}"/>
    <cellStyle name="Comma 14 3 2 2 2 3 3" xfId="36770" xr:uid="{00000000-0005-0000-0000-0000F0790000}"/>
    <cellStyle name="Comma 14 3 2 2 2 3 3 2" xfId="36771" xr:uid="{00000000-0005-0000-0000-0000F1790000}"/>
    <cellStyle name="Comma 14 3 2 2 2 3 3 3" xfId="36772" xr:uid="{00000000-0005-0000-0000-0000F2790000}"/>
    <cellStyle name="Comma 14 3 2 2 2 3 4" xfId="36773" xr:uid="{00000000-0005-0000-0000-0000F3790000}"/>
    <cellStyle name="Comma 14 3 2 2 2 3 4 2" xfId="36774" xr:uid="{00000000-0005-0000-0000-0000F4790000}"/>
    <cellStyle name="Comma 14 3 2 2 2 3 5" xfId="36775" xr:uid="{00000000-0005-0000-0000-0000F5790000}"/>
    <cellStyle name="Comma 14 3 2 2 2 3 6" xfId="36776" xr:uid="{00000000-0005-0000-0000-0000F6790000}"/>
    <cellStyle name="Comma 14 3 2 2 2 4" xfId="36777" xr:uid="{00000000-0005-0000-0000-0000F7790000}"/>
    <cellStyle name="Comma 14 3 2 2 2 4 2" xfId="36778" xr:uid="{00000000-0005-0000-0000-0000F8790000}"/>
    <cellStyle name="Comma 14 3 2 2 2 4 2 2" xfId="36779" xr:uid="{00000000-0005-0000-0000-0000F9790000}"/>
    <cellStyle name="Comma 14 3 2 2 2 4 2 3" xfId="36780" xr:uid="{00000000-0005-0000-0000-0000FA790000}"/>
    <cellStyle name="Comma 14 3 2 2 2 4 3" xfId="36781" xr:uid="{00000000-0005-0000-0000-0000FB790000}"/>
    <cellStyle name="Comma 14 3 2 2 2 4 3 2" xfId="36782" xr:uid="{00000000-0005-0000-0000-0000FC790000}"/>
    <cellStyle name="Comma 14 3 2 2 2 4 4" xfId="36783" xr:uid="{00000000-0005-0000-0000-0000FD790000}"/>
    <cellStyle name="Comma 14 3 2 2 2 4 5" xfId="36784" xr:uid="{00000000-0005-0000-0000-0000FE790000}"/>
    <cellStyle name="Comma 14 3 2 2 2 5" xfId="36785" xr:uid="{00000000-0005-0000-0000-0000FF790000}"/>
    <cellStyle name="Comma 14 3 2 2 2 5 2" xfId="36786" xr:uid="{00000000-0005-0000-0000-0000007A0000}"/>
    <cellStyle name="Comma 14 3 2 2 2 5 3" xfId="36787" xr:uid="{00000000-0005-0000-0000-0000017A0000}"/>
    <cellStyle name="Comma 14 3 2 2 2 6" xfId="36788" xr:uid="{00000000-0005-0000-0000-0000027A0000}"/>
    <cellStyle name="Comma 14 3 2 2 2 6 2" xfId="36789" xr:uid="{00000000-0005-0000-0000-0000037A0000}"/>
    <cellStyle name="Comma 14 3 2 2 2 6 3" xfId="36790" xr:uid="{00000000-0005-0000-0000-0000047A0000}"/>
    <cellStyle name="Comma 14 3 2 2 2 7" xfId="36791" xr:uid="{00000000-0005-0000-0000-0000057A0000}"/>
    <cellStyle name="Comma 14 3 2 2 2 7 2" xfId="36792" xr:uid="{00000000-0005-0000-0000-0000067A0000}"/>
    <cellStyle name="Comma 14 3 2 2 2 8" xfId="36793" xr:uid="{00000000-0005-0000-0000-0000077A0000}"/>
    <cellStyle name="Comma 14 3 2 2 2 9" xfId="36794" xr:uid="{00000000-0005-0000-0000-0000087A0000}"/>
    <cellStyle name="Comma 14 3 2 2 3" xfId="36795" xr:uid="{00000000-0005-0000-0000-0000097A0000}"/>
    <cellStyle name="Comma 14 3 2 2 3 2" xfId="36796" xr:uid="{00000000-0005-0000-0000-00000A7A0000}"/>
    <cellStyle name="Comma 14 3 2 2 3 2 2" xfId="36797" xr:uid="{00000000-0005-0000-0000-00000B7A0000}"/>
    <cellStyle name="Comma 14 3 2 2 3 2 3" xfId="36798" xr:uid="{00000000-0005-0000-0000-00000C7A0000}"/>
    <cellStyle name="Comma 14 3 2 2 3 3" xfId="36799" xr:uid="{00000000-0005-0000-0000-00000D7A0000}"/>
    <cellStyle name="Comma 14 3 2 2 3 3 2" xfId="36800" xr:uid="{00000000-0005-0000-0000-00000E7A0000}"/>
    <cellStyle name="Comma 14 3 2 2 3 3 3" xfId="36801" xr:uid="{00000000-0005-0000-0000-00000F7A0000}"/>
    <cellStyle name="Comma 14 3 2 2 3 4" xfId="36802" xr:uid="{00000000-0005-0000-0000-0000107A0000}"/>
    <cellStyle name="Comma 14 3 2 2 3 4 2" xfId="36803" xr:uid="{00000000-0005-0000-0000-0000117A0000}"/>
    <cellStyle name="Comma 14 3 2 2 3 5" xfId="36804" xr:uid="{00000000-0005-0000-0000-0000127A0000}"/>
    <cellStyle name="Comma 14 3 2 2 3 6" xfId="36805" xr:uid="{00000000-0005-0000-0000-0000137A0000}"/>
    <cellStyle name="Comma 14 3 2 2 4" xfId="36806" xr:uid="{00000000-0005-0000-0000-0000147A0000}"/>
    <cellStyle name="Comma 14 3 2 2 4 2" xfId="36807" xr:uid="{00000000-0005-0000-0000-0000157A0000}"/>
    <cellStyle name="Comma 14 3 2 2 4 2 2" xfId="36808" xr:uid="{00000000-0005-0000-0000-0000167A0000}"/>
    <cellStyle name="Comma 14 3 2 2 4 2 3" xfId="36809" xr:uid="{00000000-0005-0000-0000-0000177A0000}"/>
    <cellStyle name="Comma 14 3 2 2 4 3" xfId="36810" xr:uid="{00000000-0005-0000-0000-0000187A0000}"/>
    <cellStyle name="Comma 14 3 2 2 4 3 2" xfId="36811" xr:uid="{00000000-0005-0000-0000-0000197A0000}"/>
    <cellStyle name="Comma 14 3 2 2 4 3 3" xfId="36812" xr:uid="{00000000-0005-0000-0000-00001A7A0000}"/>
    <cellStyle name="Comma 14 3 2 2 4 4" xfId="36813" xr:uid="{00000000-0005-0000-0000-00001B7A0000}"/>
    <cellStyle name="Comma 14 3 2 2 4 4 2" xfId="36814" xr:uid="{00000000-0005-0000-0000-00001C7A0000}"/>
    <cellStyle name="Comma 14 3 2 2 4 5" xfId="36815" xr:uid="{00000000-0005-0000-0000-00001D7A0000}"/>
    <cellStyle name="Comma 14 3 2 2 4 6" xfId="36816" xr:uid="{00000000-0005-0000-0000-00001E7A0000}"/>
    <cellStyle name="Comma 14 3 2 2 5" xfId="36817" xr:uid="{00000000-0005-0000-0000-00001F7A0000}"/>
    <cellStyle name="Comma 14 3 2 2 5 2" xfId="36818" xr:uid="{00000000-0005-0000-0000-0000207A0000}"/>
    <cellStyle name="Comma 14 3 2 2 5 2 2" xfId="36819" xr:uid="{00000000-0005-0000-0000-0000217A0000}"/>
    <cellStyle name="Comma 14 3 2 2 5 2 3" xfId="36820" xr:uid="{00000000-0005-0000-0000-0000227A0000}"/>
    <cellStyle name="Comma 14 3 2 2 5 3" xfId="36821" xr:uid="{00000000-0005-0000-0000-0000237A0000}"/>
    <cellStyle name="Comma 14 3 2 2 5 3 2" xfId="36822" xr:uid="{00000000-0005-0000-0000-0000247A0000}"/>
    <cellStyle name="Comma 14 3 2 2 5 4" xfId="36823" xr:uid="{00000000-0005-0000-0000-0000257A0000}"/>
    <cellStyle name="Comma 14 3 2 2 5 5" xfId="36824" xr:uid="{00000000-0005-0000-0000-0000267A0000}"/>
    <cellStyle name="Comma 14 3 2 2 6" xfId="36825" xr:uid="{00000000-0005-0000-0000-0000277A0000}"/>
    <cellStyle name="Comma 14 3 2 2 6 2" xfId="36826" xr:uid="{00000000-0005-0000-0000-0000287A0000}"/>
    <cellStyle name="Comma 14 3 2 2 6 3" xfId="36827" xr:uid="{00000000-0005-0000-0000-0000297A0000}"/>
    <cellStyle name="Comma 14 3 2 2 7" xfId="36828" xr:uid="{00000000-0005-0000-0000-00002A7A0000}"/>
    <cellStyle name="Comma 14 3 2 2 7 2" xfId="36829" xr:uid="{00000000-0005-0000-0000-00002B7A0000}"/>
    <cellStyle name="Comma 14 3 2 2 7 3" xfId="36830" xr:uid="{00000000-0005-0000-0000-00002C7A0000}"/>
    <cellStyle name="Comma 14 3 2 2 8" xfId="36831" xr:uid="{00000000-0005-0000-0000-00002D7A0000}"/>
    <cellStyle name="Comma 14 3 2 2 8 2" xfId="36832" xr:uid="{00000000-0005-0000-0000-00002E7A0000}"/>
    <cellStyle name="Comma 14 3 2 2 9" xfId="36833" xr:uid="{00000000-0005-0000-0000-00002F7A0000}"/>
    <cellStyle name="Comma 14 3 2 3" xfId="36834" xr:uid="{00000000-0005-0000-0000-0000307A0000}"/>
    <cellStyle name="Comma 14 3 2 3 2" xfId="36835" xr:uid="{00000000-0005-0000-0000-0000317A0000}"/>
    <cellStyle name="Comma 14 3 2 3 2 2" xfId="36836" xr:uid="{00000000-0005-0000-0000-0000327A0000}"/>
    <cellStyle name="Comma 14 3 2 3 2 2 2" xfId="36837" xr:uid="{00000000-0005-0000-0000-0000337A0000}"/>
    <cellStyle name="Comma 14 3 2 3 2 2 3" xfId="36838" xr:uid="{00000000-0005-0000-0000-0000347A0000}"/>
    <cellStyle name="Comma 14 3 2 3 2 3" xfId="36839" xr:uid="{00000000-0005-0000-0000-0000357A0000}"/>
    <cellStyle name="Comma 14 3 2 3 2 3 2" xfId="36840" xr:uid="{00000000-0005-0000-0000-0000367A0000}"/>
    <cellStyle name="Comma 14 3 2 3 2 3 3" xfId="36841" xr:uid="{00000000-0005-0000-0000-0000377A0000}"/>
    <cellStyle name="Comma 14 3 2 3 2 4" xfId="36842" xr:uid="{00000000-0005-0000-0000-0000387A0000}"/>
    <cellStyle name="Comma 14 3 2 3 2 4 2" xfId="36843" xr:uid="{00000000-0005-0000-0000-0000397A0000}"/>
    <cellStyle name="Comma 14 3 2 3 2 5" xfId="36844" xr:uid="{00000000-0005-0000-0000-00003A7A0000}"/>
    <cellStyle name="Comma 14 3 2 3 2 6" xfId="36845" xr:uid="{00000000-0005-0000-0000-00003B7A0000}"/>
    <cellStyle name="Comma 14 3 2 3 3" xfId="36846" xr:uid="{00000000-0005-0000-0000-00003C7A0000}"/>
    <cellStyle name="Comma 14 3 2 3 3 2" xfId="36847" xr:uid="{00000000-0005-0000-0000-00003D7A0000}"/>
    <cellStyle name="Comma 14 3 2 3 3 2 2" xfId="36848" xr:uid="{00000000-0005-0000-0000-00003E7A0000}"/>
    <cellStyle name="Comma 14 3 2 3 3 2 3" xfId="36849" xr:uid="{00000000-0005-0000-0000-00003F7A0000}"/>
    <cellStyle name="Comma 14 3 2 3 3 3" xfId="36850" xr:uid="{00000000-0005-0000-0000-0000407A0000}"/>
    <cellStyle name="Comma 14 3 2 3 3 3 2" xfId="36851" xr:uid="{00000000-0005-0000-0000-0000417A0000}"/>
    <cellStyle name="Comma 14 3 2 3 3 3 3" xfId="36852" xr:uid="{00000000-0005-0000-0000-0000427A0000}"/>
    <cellStyle name="Comma 14 3 2 3 3 4" xfId="36853" xr:uid="{00000000-0005-0000-0000-0000437A0000}"/>
    <cellStyle name="Comma 14 3 2 3 3 4 2" xfId="36854" xr:uid="{00000000-0005-0000-0000-0000447A0000}"/>
    <cellStyle name="Comma 14 3 2 3 3 5" xfId="36855" xr:uid="{00000000-0005-0000-0000-0000457A0000}"/>
    <cellStyle name="Comma 14 3 2 3 3 6" xfId="36856" xr:uid="{00000000-0005-0000-0000-0000467A0000}"/>
    <cellStyle name="Comma 14 3 2 3 4" xfId="36857" xr:uid="{00000000-0005-0000-0000-0000477A0000}"/>
    <cellStyle name="Comma 14 3 2 3 4 2" xfId="36858" xr:uid="{00000000-0005-0000-0000-0000487A0000}"/>
    <cellStyle name="Comma 14 3 2 3 4 2 2" xfId="36859" xr:uid="{00000000-0005-0000-0000-0000497A0000}"/>
    <cellStyle name="Comma 14 3 2 3 4 2 3" xfId="36860" xr:uid="{00000000-0005-0000-0000-00004A7A0000}"/>
    <cellStyle name="Comma 14 3 2 3 4 3" xfId="36861" xr:uid="{00000000-0005-0000-0000-00004B7A0000}"/>
    <cellStyle name="Comma 14 3 2 3 4 3 2" xfId="36862" xr:uid="{00000000-0005-0000-0000-00004C7A0000}"/>
    <cellStyle name="Comma 14 3 2 3 4 4" xfId="36863" xr:uid="{00000000-0005-0000-0000-00004D7A0000}"/>
    <cellStyle name="Comma 14 3 2 3 4 5" xfId="36864" xr:uid="{00000000-0005-0000-0000-00004E7A0000}"/>
    <cellStyle name="Comma 14 3 2 3 5" xfId="36865" xr:uid="{00000000-0005-0000-0000-00004F7A0000}"/>
    <cellStyle name="Comma 14 3 2 3 5 2" xfId="36866" xr:uid="{00000000-0005-0000-0000-0000507A0000}"/>
    <cellStyle name="Comma 14 3 2 3 5 3" xfId="36867" xr:uid="{00000000-0005-0000-0000-0000517A0000}"/>
    <cellStyle name="Comma 14 3 2 3 6" xfId="36868" xr:uid="{00000000-0005-0000-0000-0000527A0000}"/>
    <cellStyle name="Comma 14 3 2 3 6 2" xfId="36869" xr:uid="{00000000-0005-0000-0000-0000537A0000}"/>
    <cellStyle name="Comma 14 3 2 3 6 3" xfId="36870" xr:uid="{00000000-0005-0000-0000-0000547A0000}"/>
    <cellStyle name="Comma 14 3 2 3 7" xfId="36871" xr:uid="{00000000-0005-0000-0000-0000557A0000}"/>
    <cellStyle name="Comma 14 3 2 3 7 2" xfId="36872" xr:uid="{00000000-0005-0000-0000-0000567A0000}"/>
    <cellStyle name="Comma 14 3 2 3 8" xfId="36873" xr:uid="{00000000-0005-0000-0000-0000577A0000}"/>
    <cellStyle name="Comma 14 3 2 3 9" xfId="36874" xr:uid="{00000000-0005-0000-0000-0000587A0000}"/>
    <cellStyle name="Comma 14 3 2 4" xfId="36875" xr:uid="{00000000-0005-0000-0000-0000597A0000}"/>
    <cellStyle name="Comma 14 3 2 4 2" xfId="36876" xr:uid="{00000000-0005-0000-0000-00005A7A0000}"/>
    <cellStyle name="Comma 14 3 2 4 2 2" xfId="36877" xr:uid="{00000000-0005-0000-0000-00005B7A0000}"/>
    <cellStyle name="Comma 14 3 2 4 2 2 2" xfId="36878" xr:uid="{00000000-0005-0000-0000-00005C7A0000}"/>
    <cellStyle name="Comma 14 3 2 4 2 2 3" xfId="36879" xr:uid="{00000000-0005-0000-0000-00005D7A0000}"/>
    <cellStyle name="Comma 14 3 2 4 2 3" xfId="36880" xr:uid="{00000000-0005-0000-0000-00005E7A0000}"/>
    <cellStyle name="Comma 14 3 2 4 2 3 2" xfId="36881" xr:uid="{00000000-0005-0000-0000-00005F7A0000}"/>
    <cellStyle name="Comma 14 3 2 4 2 3 3" xfId="36882" xr:uid="{00000000-0005-0000-0000-0000607A0000}"/>
    <cellStyle name="Comma 14 3 2 4 2 4" xfId="36883" xr:uid="{00000000-0005-0000-0000-0000617A0000}"/>
    <cellStyle name="Comma 14 3 2 4 2 4 2" xfId="36884" xr:uid="{00000000-0005-0000-0000-0000627A0000}"/>
    <cellStyle name="Comma 14 3 2 4 2 5" xfId="36885" xr:uid="{00000000-0005-0000-0000-0000637A0000}"/>
    <cellStyle name="Comma 14 3 2 4 2 6" xfId="36886" xr:uid="{00000000-0005-0000-0000-0000647A0000}"/>
    <cellStyle name="Comma 14 3 2 4 3" xfId="36887" xr:uid="{00000000-0005-0000-0000-0000657A0000}"/>
    <cellStyle name="Comma 14 3 2 4 3 2" xfId="36888" xr:uid="{00000000-0005-0000-0000-0000667A0000}"/>
    <cellStyle name="Comma 14 3 2 4 3 2 2" xfId="36889" xr:uid="{00000000-0005-0000-0000-0000677A0000}"/>
    <cellStyle name="Comma 14 3 2 4 3 2 3" xfId="36890" xr:uid="{00000000-0005-0000-0000-0000687A0000}"/>
    <cellStyle name="Comma 14 3 2 4 3 3" xfId="36891" xr:uid="{00000000-0005-0000-0000-0000697A0000}"/>
    <cellStyle name="Comma 14 3 2 4 3 3 2" xfId="36892" xr:uid="{00000000-0005-0000-0000-00006A7A0000}"/>
    <cellStyle name="Comma 14 3 2 4 3 3 3" xfId="36893" xr:uid="{00000000-0005-0000-0000-00006B7A0000}"/>
    <cellStyle name="Comma 14 3 2 4 3 4" xfId="36894" xr:uid="{00000000-0005-0000-0000-00006C7A0000}"/>
    <cellStyle name="Comma 14 3 2 4 3 4 2" xfId="36895" xr:uid="{00000000-0005-0000-0000-00006D7A0000}"/>
    <cellStyle name="Comma 14 3 2 4 3 5" xfId="36896" xr:uid="{00000000-0005-0000-0000-00006E7A0000}"/>
    <cellStyle name="Comma 14 3 2 4 3 6" xfId="36897" xr:uid="{00000000-0005-0000-0000-00006F7A0000}"/>
    <cellStyle name="Comma 14 3 2 4 4" xfId="36898" xr:uid="{00000000-0005-0000-0000-0000707A0000}"/>
    <cellStyle name="Comma 14 3 2 4 4 2" xfId="36899" xr:uid="{00000000-0005-0000-0000-0000717A0000}"/>
    <cellStyle name="Comma 14 3 2 4 4 2 2" xfId="36900" xr:uid="{00000000-0005-0000-0000-0000727A0000}"/>
    <cellStyle name="Comma 14 3 2 4 4 2 3" xfId="36901" xr:uid="{00000000-0005-0000-0000-0000737A0000}"/>
    <cellStyle name="Comma 14 3 2 4 4 3" xfId="36902" xr:uid="{00000000-0005-0000-0000-0000747A0000}"/>
    <cellStyle name="Comma 14 3 2 4 4 3 2" xfId="36903" xr:uid="{00000000-0005-0000-0000-0000757A0000}"/>
    <cellStyle name="Comma 14 3 2 4 4 4" xfId="36904" xr:uid="{00000000-0005-0000-0000-0000767A0000}"/>
    <cellStyle name="Comma 14 3 2 4 4 5" xfId="36905" xr:uid="{00000000-0005-0000-0000-0000777A0000}"/>
    <cellStyle name="Comma 14 3 2 4 5" xfId="36906" xr:uid="{00000000-0005-0000-0000-0000787A0000}"/>
    <cellStyle name="Comma 14 3 2 4 5 2" xfId="36907" xr:uid="{00000000-0005-0000-0000-0000797A0000}"/>
    <cellStyle name="Comma 14 3 2 4 5 3" xfId="36908" xr:uid="{00000000-0005-0000-0000-00007A7A0000}"/>
    <cellStyle name="Comma 14 3 2 4 6" xfId="36909" xr:uid="{00000000-0005-0000-0000-00007B7A0000}"/>
    <cellStyle name="Comma 14 3 2 4 6 2" xfId="36910" xr:uid="{00000000-0005-0000-0000-00007C7A0000}"/>
    <cellStyle name="Comma 14 3 2 4 6 3" xfId="36911" xr:uid="{00000000-0005-0000-0000-00007D7A0000}"/>
    <cellStyle name="Comma 14 3 2 4 7" xfId="36912" xr:uid="{00000000-0005-0000-0000-00007E7A0000}"/>
    <cellStyle name="Comma 14 3 2 4 7 2" xfId="36913" xr:uid="{00000000-0005-0000-0000-00007F7A0000}"/>
    <cellStyle name="Comma 14 3 2 4 8" xfId="36914" xr:uid="{00000000-0005-0000-0000-0000807A0000}"/>
    <cellStyle name="Comma 14 3 2 4 9" xfId="36915" xr:uid="{00000000-0005-0000-0000-0000817A0000}"/>
    <cellStyle name="Comma 14 3 2 5" xfId="36916" xr:uid="{00000000-0005-0000-0000-0000827A0000}"/>
    <cellStyle name="Comma 14 3 2 5 2" xfId="36917" xr:uid="{00000000-0005-0000-0000-0000837A0000}"/>
    <cellStyle name="Comma 14 3 2 5 2 2" xfId="36918" xr:uid="{00000000-0005-0000-0000-0000847A0000}"/>
    <cellStyle name="Comma 14 3 2 5 2 3" xfId="36919" xr:uid="{00000000-0005-0000-0000-0000857A0000}"/>
    <cellStyle name="Comma 14 3 2 5 3" xfId="36920" xr:uid="{00000000-0005-0000-0000-0000867A0000}"/>
    <cellStyle name="Comma 14 3 2 5 3 2" xfId="36921" xr:uid="{00000000-0005-0000-0000-0000877A0000}"/>
    <cellStyle name="Comma 14 3 2 5 3 3" xfId="36922" xr:uid="{00000000-0005-0000-0000-0000887A0000}"/>
    <cellStyle name="Comma 14 3 2 5 4" xfId="36923" xr:uid="{00000000-0005-0000-0000-0000897A0000}"/>
    <cellStyle name="Comma 14 3 2 5 4 2" xfId="36924" xr:uid="{00000000-0005-0000-0000-00008A7A0000}"/>
    <cellStyle name="Comma 14 3 2 5 5" xfId="36925" xr:uid="{00000000-0005-0000-0000-00008B7A0000}"/>
    <cellStyle name="Comma 14 3 2 5 6" xfId="36926" xr:uid="{00000000-0005-0000-0000-00008C7A0000}"/>
    <cellStyle name="Comma 14 3 2 6" xfId="36927" xr:uid="{00000000-0005-0000-0000-00008D7A0000}"/>
    <cellStyle name="Comma 14 3 2 6 2" xfId="36928" xr:uid="{00000000-0005-0000-0000-00008E7A0000}"/>
    <cellStyle name="Comma 14 3 2 6 2 2" xfId="36929" xr:uid="{00000000-0005-0000-0000-00008F7A0000}"/>
    <cellStyle name="Comma 14 3 2 6 2 3" xfId="36930" xr:uid="{00000000-0005-0000-0000-0000907A0000}"/>
    <cellStyle name="Comma 14 3 2 6 3" xfId="36931" xr:uid="{00000000-0005-0000-0000-0000917A0000}"/>
    <cellStyle name="Comma 14 3 2 6 3 2" xfId="36932" xr:uid="{00000000-0005-0000-0000-0000927A0000}"/>
    <cellStyle name="Comma 14 3 2 6 3 3" xfId="36933" xr:uid="{00000000-0005-0000-0000-0000937A0000}"/>
    <cellStyle name="Comma 14 3 2 6 4" xfId="36934" xr:uid="{00000000-0005-0000-0000-0000947A0000}"/>
    <cellStyle name="Comma 14 3 2 6 4 2" xfId="36935" xr:uid="{00000000-0005-0000-0000-0000957A0000}"/>
    <cellStyle name="Comma 14 3 2 6 5" xfId="36936" xr:uid="{00000000-0005-0000-0000-0000967A0000}"/>
    <cellStyle name="Comma 14 3 2 6 6" xfId="36937" xr:uid="{00000000-0005-0000-0000-0000977A0000}"/>
    <cellStyle name="Comma 14 3 2 7" xfId="36938" xr:uid="{00000000-0005-0000-0000-0000987A0000}"/>
    <cellStyle name="Comma 14 3 2 7 2" xfId="36939" xr:uid="{00000000-0005-0000-0000-0000997A0000}"/>
    <cellStyle name="Comma 14 3 2 7 2 2" xfId="36940" xr:uid="{00000000-0005-0000-0000-00009A7A0000}"/>
    <cellStyle name="Comma 14 3 2 7 2 3" xfId="36941" xr:uid="{00000000-0005-0000-0000-00009B7A0000}"/>
    <cellStyle name="Comma 14 3 2 7 3" xfId="36942" xr:uid="{00000000-0005-0000-0000-00009C7A0000}"/>
    <cellStyle name="Comma 14 3 2 7 3 2" xfId="36943" xr:uid="{00000000-0005-0000-0000-00009D7A0000}"/>
    <cellStyle name="Comma 14 3 2 7 4" xfId="36944" xr:uid="{00000000-0005-0000-0000-00009E7A0000}"/>
    <cellStyle name="Comma 14 3 2 7 5" xfId="36945" xr:uid="{00000000-0005-0000-0000-00009F7A0000}"/>
    <cellStyle name="Comma 14 3 2 8" xfId="36946" xr:uid="{00000000-0005-0000-0000-0000A07A0000}"/>
    <cellStyle name="Comma 14 3 2 8 2" xfId="36947" xr:uid="{00000000-0005-0000-0000-0000A17A0000}"/>
    <cellStyle name="Comma 14 3 2 8 3" xfId="36948" xr:uid="{00000000-0005-0000-0000-0000A27A0000}"/>
    <cellStyle name="Comma 14 3 2 9" xfId="36949" xr:uid="{00000000-0005-0000-0000-0000A37A0000}"/>
    <cellStyle name="Comma 14 3 2 9 2" xfId="36950" xr:uid="{00000000-0005-0000-0000-0000A47A0000}"/>
    <cellStyle name="Comma 14 3 2 9 3" xfId="36951" xr:uid="{00000000-0005-0000-0000-0000A57A0000}"/>
    <cellStyle name="Comma 14 3 3" xfId="36952" xr:uid="{00000000-0005-0000-0000-0000A67A0000}"/>
    <cellStyle name="Comma 14 3 3 10" xfId="36953" xr:uid="{00000000-0005-0000-0000-0000A77A0000}"/>
    <cellStyle name="Comma 14 3 3 2" xfId="36954" xr:uid="{00000000-0005-0000-0000-0000A87A0000}"/>
    <cellStyle name="Comma 14 3 3 2 2" xfId="36955" xr:uid="{00000000-0005-0000-0000-0000A97A0000}"/>
    <cellStyle name="Comma 14 3 3 2 2 2" xfId="36956" xr:uid="{00000000-0005-0000-0000-0000AA7A0000}"/>
    <cellStyle name="Comma 14 3 3 2 2 2 2" xfId="36957" xr:uid="{00000000-0005-0000-0000-0000AB7A0000}"/>
    <cellStyle name="Comma 14 3 3 2 2 2 3" xfId="36958" xr:uid="{00000000-0005-0000-0000-0000AC7A0000}"/>
    <cellStyle name="Comma 14 3 3 2 2 3" xfId="36959" xr:uid="{00000000-0005-0000-0000-0000AD7A0000}"/>
    <cellStyle name="Comma 14 3 3 2 2 3 2" xfId="36960" xr:uid="{00000000-0005-0000-0000-0000AE7A0000}"/>
    <cellStyle name="Comma 14 3 3 2 2 3 3" xfId="36961" xr:uid="{00000000-0005-0000-0000-0000AF7A0000}"/>
    <cellStyle name="Comma 14 3 3 2 2 4" xfId="36962" xr:uid="{00000000-0005-0000-0000-0000B07A0000}"/>
    <cellStyle name="Comma 14 3 3 2 2 4 2" xfId="36963" xr:uid="{00000000-0005-0000-0000-0000B17A0000}"/>
    <cellStyle name="Comma 14 3 3 2 2 5" xfId="36964" xr:uid="{00000000-0005-0000-0000-0000B27A0000}"/>
    <cellStyle name="Comma 14 3 3 2 2 6" xfId="36965" xr:uid="{00000000-0005-0000-0000-0000B37A0000}"/>
    <cellStyle name="Comma 14 3 3 2 3" xfId="36966" xr:uid="{00000000-0005-0000-0000-0000B47A0000}"/>
    <cellStyle name="Comma 14 3 3 2 3 2" xfId="36967" xr:uid="{00000000-0005-0000-0000-0000B57A0000}"/>
    <cellStyle name="Comma 14 3 3 2 3 2 2" xfId="36968" xr:uid="{00000000-0005-0000-0000-0000B67A0000}"/>
    <cellStyle name="Comma 14 3 3 2 3 2 3" xfId="36969" xr:uid="{00000000-0005-0000-0000-0000B77A0000}"/>
    <cellStyle name="Comma 14 3 3 2 3 3" xfId="36970" xr:uid="{00000000-0005-0000-0000-0000B87A0000}"/>
    <cellStyle name="Comma 14 3 3 2 3 3 2" xfId="36971" xr:uid="{00000000-0005-0000-0000-0000B97A0000}"/>
    <cellStyle name="Comma 14 3 3 2 3 3 3" xfId="36972" xr:uid="{00000000-0005-0000-0000-0000BA7A0000}"/>
    <cellStyle name="Comma 14 3 3 2 3 4" xfId="36973" xr:uid="{00000000-0005-0000-0000-0000BB7A0000}"/>
    <cellStyle name="Comma 14 3 3 2 3 4 2" xfId="36974" xr:uid="{00000000-0005-0000-0000-0000BC7A0000}"/>
    <cellStyle name="Comma 14 3 3 2 3 5" xfId="36975" xr:uid="{00000000-0005-0000-0000-0000BD7A0000}"/>
    <cellStyle name="Comma 14 3 3 2 3 6" xfId="36976" xr:uid="{00000000-0005-0000-0000-0000BE7A0000}"/>
    <cellStyle name="Comma 14 3 3 2 4" xfId="36977" xr:uid="{00000000-0005-0000-0000-0000BF7A0000}"/>
    <cellStyle name="Comma 14 3 3 2 4 2" xfId="36978" xr:uid="{00000000-0005-0000-0000-0000C07A0000}"/>
    <cellStyle name="Comma 14 3 3 2 4 2 2" xfId="36979" xr:uid="{00000000-0005-0000-0000-0000C17A0000}"/>
    <cellStyle name="Comma 14 3 3 2 4 2 3" xfId="36980" xr:uid="{00000000-0005-0000-0000-0000C27A0000}"/>
    <cellStyle name="Comma 14 3 3 2 4 3" xfId="36981" xr:uid="{00000000-0005-0000-0000-0000C37A0000}"/>
    <cellStyle name="Comma 14 3 3 2 4 3 2" xfId="36982" xr:uid="{00000000-0005-0000-0000-0000C47A0000}"/>
    <cellStyle name="Comma 14 3 3 2 4 4" xfId="36983" xr:uid="{00000000-0005-0000-0000-0000C57A0000}"/>
    <cellStyle name="Comma 14 3 3 2 4 5" xfId="36984" xr:uid="{00000000-0005-0000-0000-0000C67A0000}"/>
    <cellStyle name="Comma 14 3 3 2 5" xfId="36985" xr:uid="{00000000-0005-0000-0000-0000C77A0000}"/>
    <cellStyle name="Comma 14 3 3 2 5 2" xfId="36986" xr:uid="{00000000-0005-0000-0000-0000C87A0000}"/>
    <cellStyle name="Comma 14 3 3 2 5 3" xfId="36987" xr:uid="{00000000-0005-0000-0000-0000C97A0000}"/>
    <cellStyle name="Comma 14 3 3 2 6" xfId="36988" xr:uid="{00000000-0005-0000-0000-0000CA7A0000}"/>
    <cellStyle name="Comma 14 3 3 2 6 2" xfId="36989" xr:uid="{00000000-0005-0000-0000-0000CB7A0000}"/>
    <cellStyle name="Comma 14 3 3 2 6 3" xfId="36990" xr:uid="{00000000-0005-0000-0000-0000CC7A0000}"/>
    <cellStyle name="Comma 14 3 3 2 7" xfId="36991" xr:uid="{00000000-0005-0000-0000-0000CD7A0000}"/>
    <cellStyle name="Comma 14 3 3 2 7 2" xfId="36992" xr:uid="{00000000-0005-0000-0000-0000CE7A0000}"/>
    <cellStyle name="Comma 14 3 3 2 8" xfId="36993" xr:uid="{00000000-0005-0000-0000-0000CF7A0000}"/>
    <cellStyle name="Comma 14 3 3 2 9" xfId="36994" xr:uid="{00000000-0005-0000-0000-0000D07A0000}"/>
    <cellStyle name="Comma 14 3 3 3" xfId="36995" xr:uid="{00000000-0005-0000-0000-0000D17A0000}"/>
    <cellStyle name="Comma 14 3 3 3 2" xfId="36996" xr:uid="{00000000-0005-0000-0000-0000D27A0000}"/>
    <cellStyle name="Comma 14 3 3 3 2 2" xfId="36997" xr:uid="{00000000-0005-0000-0000-0000D37A0000}"/>
    <cellStyle name="Comma 14 3 3 3 2 3" xfId="36998" xr:uid="{00000000-0005-0000-0000-0000D47A0000}"/>
    <cellStyle name="Comma 14 3 3 3 3" xfId="36999" xr:uid="{00000000-0005-0000-0000-0000D57A0000}"/>
    <cellStyle name="Comma 14 3 3 3 3 2" xfId="37000" xr:uid="{00000000-0005-0000-0000-0000D67A0000}"/>
    <cellStyle name="Comma 14 3 3 3 3 3" xfId="37001" xr:uid="{00000000-0005-0000-0000-0000D77A0000}"/>
    <cellStyle name="Comma 14 3 3 3 4" xfId="37002" xr:uid="{00000000-0005-0000-0000-0000D87A0000}"/>
    <cellStyle name="Comma 14 3 3 3 4 2" xfId="37003" xr:uid="{00000000-0005-0000-0000-0000D97A0000}"/>
    <cellStyle name="Comma 14 3 3 3 5" xfId="37004" xr:uid="{00000000-0005-0000-0000-0000DA7A0000}"/>
    <cellStyle name="Comma 14 3 3 3 6" xfId="37005" xr:uid="{00000000-0005-0000-0000-0000DB7A0000}"/>
    <cellStyle name="Comma 14 3 3 4" xfId="37006" xr:uid="{00000000-0005-0000-0000-0000DC7A0000}"/>
    <cellStyle name="Comma 14 3 3 4 2" xfId="37007" xr:uid="{00000000-0005-0000-0000-0000DD7A0000}"/>
    <cellStyle name="Comma 14 3 3 4 2 2" xfId="37008" xr:uid="{00000000-0005-0000-0000-0000DE7A0000}"/>
    <cellStyle name="Comma 14 3 3 4 2 3" xfId="37009" xr:uid="{00000000-0005-0000-0000-0000DF7A0000}"/>
    <cellStyle name="Comma 14 3 3 4 3" xfId="37010" xr:uid="{00000000-0005-0000-0000-0000E07A0000}"/>
    <cellStyle name="Comma 14 3 3 4 3 2" xfId="37011" xr:uid="{00000000-0005-0000-0000-0000E17A0000}"/>
    <cellStyle name="Comma 14 3 3 4 3 3" xfId="37012" xr:uid="{00000000-0005-0000-0000-0000E27A0000}"/>
    <cellStyle name="Comma 14 3 3 4 4" xfId="37013" xr:uid="{00000000-0005-0000-0000-0000E37A0000}"/>
    <cellStyle name="Comma 14 3 3 4 4 2" xfId="37014" xr:uid="{00000000-0005-0000-0000-0000E47A0000}"/>
    <cellStyle name="Comma 14 3 3 4 5" xfId="37015" xr:uid="{00000000-0005-0000-0000-0000E57A0000}"/>
    <cellStyle name="Comma 14 3 3 4 6" xfId="37016" xr:uid="{00000000-0005-0000-0000-0000E67A0000}"/>
    <cellStyle name="Comma 14 3 3 5" xfId="37017" xr:uid="{00000000-0005-0000-0000-0000E77A0000}"/>
    <cellStyle name="Comma 14 3 3 5 2" xfId="37018" xr:uid="{00000000-0005-0000-0000-0000E87A0000}"/>
    <cellStyle name="Comma 14 3 3 5 2 2" xfId="37019" xr:uid="{00000000-0005-0000-0000-0000E97A0000}"/>
    <cellStyle name="Comma 14 3 3 5 2 3" xfId="37020" xr:uid="{00000000-0005-0000-0000-0000EA7A0000}"/>
    <cellStyle name="Comma 14 3 3 5 3" xfId="37021" xr:uid="{00000000-0005-0000-0000-0000EB7A0000}"/>
    <cellStyle name="Comma 14 3 3 5 3 2" xfId="37022" xr:uid="{00000000-0005-0000-0000-0000EC7A0000}"/>
    <cellStyle name="Comma 14 3 3 5 4" xfId="37023" xr:uid="{00000000-0005-0000-0000-0000ED7A0000}"/>
    <cellStyle name="Comma 14 3 3 5 5" xfId="37024" xr:uid="{00000000-0005-0000-0000-0000EE7A0000}"/>
    <cellStyle name="Comma 14 3 3 6" xfId="37025" xr:uid="{00000000-0005-0000-0000-0000EF7A0000}"/>
    <cellStyle name="Comma 14 3 3 6 2" xfId="37026" xr:uid="{00000000-0005-0000-0000-0000F07A0000}"/>
    <cellStyle name="Comma 14 3 3 6 3" xfId="37027" xr:uid="{00000000-0005-0000-0000-0000F17A0000}"/>
    <cellStyle name="Comma 14 3 3 7" xfId="37028" xr:uid="{00000000-0005-0000-0000-0000F27A0000}"/>
    <cellStyle name="Comma 14 3 3 7 2" xfId="37029" xr:uid="{00000000-0005-0000-0000-0000F37A0000}"/>
    <cellStyle name="Comma 14 3 3 7 3" xfId="37030" xr:uid="{00000000-0005-0000-0000-0000F47A0000}"/>
    <cellStyle name="Comma 14 3 3 8" xfId="37031" xr:uid="{00000000-0005-0000-0000-0000F57A0000}"/>
    <cellStyle name="Comma 14 3 3 8 2" xfId="37032" xr:uid="{00000000-0005-0000-0000-0000F67A0000}"/>
    <cellStyle name="Comma 14 3 3 9" xfId="37033" xr:uid="{00000000-0005-0000-0000-0000F77A0000}"/>
    <cellStyle name="Comma 14 3 4" xfId="37034" xr:uid="{00000000-0005-0000-0000-0000F87A0000}"/>
    <cellStyle name="Comma 14 3 4 2" xfId="37035" xr:uid="{00000000-0005-0000-0000-0000F97A0000}"/>
    <cellStyle name="Comma 14 3 4 2 2" xfId="37036" xr:uid="{00000000-0005-0000-0000-0000FA7A0000}"/>
    <cellStyle name="Comma 14 3 4 2 2 2" xfId="37037" xr:uid="{00000000-0005-0000-0000-0000FB7A0000}"/>
    <cellStyle name="Comma 14 3 4 2 2 3" xfId="37038" xr:uid="{00000000-0005-0000-0000-0000FC7A0000}"/>
    <cellStyle name="Comma 14 3 4 2 3" xfId="37039" xr:uid="{00000000-0005-0000-0000-0000FD7A0000}"/>
    <cellStyle name="Comma 14 3 4 2 3 2" xfId="37040" xr:uid="{00000000-0005-0000-0000-0000FE7A0000}"/>
    <cellStyle name="Comma 14 3 4 2 3 3" xfId="37041" xr:uid="{00000000-0005-0000-0000-0000FF7A0000}"/>
    <cellStyle name="Comma 14 3 4 2 4" xfId="37042" xr:uid="{00000000-0005-0000-0000-0000007B0000}"/>
    <cellStyle name="Comma 14 3 4 2 4 2" xfId="37043" xr:uid="{00000000-0005-0000-0000-0000017B0000}"/>
    <cellStyle name="Comma 14 3 4 2 5" xfId="37044" xr:uid="{00000000-0005-0000-0000-0000027B0000}"/>
    <cellStyle name="Comma 14 3 4 2 6" xfId="37045" xr:uid="{00000000-0005-0000-0000-0000037B0000}"/>
    <cellStyle name="Comma 14 3 4 3" xfId="37046" xr:uid="{00000000-0005-0000-0000-0000047B0000}"/>
    <cellStyle name="Comma 14 3 4 3 2" xfId="37047" xr:uid="{00000000-0005-0000-0000-0000057B0000}"/>
    <cellStyle name="Comma 14 3 4 3 2 2" xfId="37048" xr:uid="{00000000-0005-0000-0000-0000067B0000}"/>
    <cellStyle name="Comma 14 3 4 3 2 3" xfId="37049" xr:uid="{00000000-0005-0000-0000-0000077B0000}"/>
    <cellStyle name="Comma 14 3 4 3 3" xfId="37050" xr:uid="{00000000-0005-0000-0000-0000087B0000}"/>
    <cellStyle name="Comma 14 3 4 3 3 2" xfId="37051" xr:uid="{00000000-0005-0000-0000-0000097B0000}"/>
    <cellStyle name="Comma 14 3 4 3 3 3" xfId="37052" xr:uid="{00000000-0005-0000-0000-00000A7B0000}"/>
    <cellStyle name="Comma 14 3 4 3 4" xfId="37053" xr:uid="{00000000-0005-0000-0000-00000B7B0000}"/>
    <cellStyle name="Comma 14 3 4 3 4 2" xfId="37054" xr:uid="{00000000-0005-0000-0000-00000C7B0000}"/>
    <cellStyle name="Comma 14 3 4 3 5" xfId="37055" xr:uid="{00000000-0005-0000-0000-00000D7B0000}"/>
    <cellStyle name="Comma 14 3 4 3 6" xfId="37056" xr:uid="{00000000-0005-0000-0000-00000E7B0000}"/>
    <cellStyle name="Comma 14 3 4 4" xfId="37057" xr:uid="{00000000-0005-0000-0000-00000F7B0000}"/>
    <cellStyle name="Comma 14 3 4 4 2" xfId="37058" xr:uid="{00000000-0005-0000-0000-0000107B0000}"/>
    <cellStyle name="Comma 14 3 4 4 2 2" xfId="37059" xr:uid="{00000000-0005-0000-0000-0000117B0000}"/>
    <cellStyle name="Comma 14 3 4 4 2 3" xfId="37060" xr:uid="{00000000-0005-0000-0000-0000127B0000}"/>
    <cellStyle name="Comma 14 3 4 4 3" xfId="37061" xr:uid="{00000000-0005-0000-0000-0000137B0000}"/>
    <cellStyle name="Comma 14 3 4 4 3 2" xfId="37062" xr:uid="{00000000-0005-0000-0000-0000147B0000}"/>
    <cellStyle name="Comma 14 3 4 4 4" xfId="37063" xr:uid="{00000000-0005-0000-0000-0000157B0000}"/>
    <cellStyle name="Comma 14 3 4 4 5" xfId="37064" xr:uid="{00000000-0005-0000-0000-0000167B0000}"/>
    <cellStyle name="Comma 14 3 4 5" xfId="37065" xr:uid="{00000000-0005-0000-0000-0000177B0000}"/>
    <cellStyle name="Comma 14 3 4 5 2" xfId="37066" xr:uid="{00000000-0005-0000-0000-0000187B0000}"/>
    <cellStyle name="Comma 14 3 4 5 3" xfId="37067" xr:uid="{00000000-0005-0000-0000-0000197B0000}"/>
    <cellStyle name="Comma 14 3 4 6" xfId="37068" xr:uid="{00000000-0005-0000-0000-00001A7B0000}"/>
    <cellStyle name="Comma 14 3 4 6 2" xfId="37069" xr:uid="{00000000-0005-0000-0000-00001B7B0000}"/>
    <cellStyle name="Comma 14 3 4 6 3" xfId="37070" xr:uid="{00000000-0005-0000-0000-00001C7B0000}"/>
    <cellStyle name="Comma 14 3 4 7" xfId="37071" xr:uid="{00000000-0005-0000-0000-00001D7B0000}"/>
    <cellStyle name="Comma 14 3 4 7 2" xfId="37072" xr:uid="{00000000-0005-0000-0000-00001E7B0000}"/>
    <cellStyle name="Comma 14 3 4 8" xfId="37073" xr:uid="{00000000-0005-0000-0000-00001F7B0000}"/>
    <cellStyle name="Comma 14 3 4 9" xfId="37074" xr:uid="{00000000-0005-0000-0000-0000207B0000}"/>
    <cellStyle name="Comma 14 3 5" xfId="37075" xr:uid="{00000000-0005-0000-0000-0000217B0000}"/>
    <cellStyle name="Comma 14 3 5 2" xfId="37076" xr:uid="{00000000-0005-0000-0000-0000227B0000}"/>
    <cellStyle name="Comma 14 3 5 2 2" xfId="37077" xr:uid="{00000000-0005-0000-0000-0000237B0000}"/>
    <cellStyle name="Comma 14 3 5 2 2 2" xfId="37078" xr:uid="{00000000-0005-0000-0000-0000247B0000}"/>
    <cellStyle name="Comma 14 3 5 2 2 3" xfId="37079" xr:uid="{00000000-0005-0000-0000-0000257B0000}"/>
    <cellStyle name="Comma 14 3 5 2 3" xfId="37080" xr:uid="{00000000-0005-0000-0000-0000267B0000}"/>
    <cellStyle name="Comma 14 3 5 2 3 2" xfId="37081" xr:uid="{00000000-0005-0000-0000-0000277B0000}"/>
    <cellStyle name="Comma 14 3 5 2 3 3" xfId="37082" xr:uid="{00000000-0005-0000-0000-0000287B0000}"/>
    <cellStyle name="Comma 14 3 5 2 4" xfId="37083" xr:uid="{00000000-0005-0000-0000-0000297B0000}"/>
    <cellStyle name="Comma 14 3 5 2 4 2" xfId="37084" xr:uid="{00000000-0005-0000-0000-00002A7B0000}"/>
    <cellStyle name="Comma 14 3 5 2 5" xfId="37085" xr:uid="{00000000-0005-0000-0000-00002B7B0000}"/>
    <cellStyle name="Comma 14 3 5 2 6" xfId="37086" xr:uid="{00000000-0005-0000-0000-00002C7B0000}"/>
    <cellStyle name="Comma 14 3 5 3" xfId="37087" xr:uid="{00000000-0005-0000-0000-00002D7B0000}"/>
    <cellStyle name="Comma 14 3 5 3 2" xfId="37088" xr:uid="{00000000-0005-0000-0000-00002E7B0000}"/>
    <cellStyle name="Comma 14 3 5 3 2 2" xfId="37089" xr:uid="{00000000-0005-0000-0000-00002F7B0000}"/>
    <cellStyle name="Comma 14 3 5 3 2 3" xfId="37090" xr:uid="{00000000-0005-0000-0000-0000307B0000}"/>
    <cellStyle name="Comma 14 3 5 3 3" xfId="37091" xr:uid="{00000000-0005-0000-0000-0000317B0000}"/>
    <cellStyle name="Comma 14 3 5 3 3 2" xfId="37092" xr:uid="{00000000-0005-0000-0000-0000327B0000}"/>
    <cellStyle name="Comma 14 3 5 3 3 3" xfId="37093" xr:uid="{00000000-0005-0000-0000-0000337B0000}"/>
    <cellStyle name="Comma 14 3 5 3 4" xfId="37094" xr:uid="{00000000-0005-0000-0000-0000347B0000}"/>
    <cellStyle name="Comma 14 3 5 3 4 2" xfId="37095" xr:uid="{00000000-0005-0000-0000-0000357B0000}"/>
    <cellStyle name="Comma 14 3 5 3 5" xfId="37096" xr:uid="{00000000-0005-0000-0000-0000367B0000}"/>
    <cellStyle name="Comma 14 3 5 3 6" xfId="37097" xr:uid="{00000000-0005-0000-0000-0000377B0000}"/>
    <cellStyle name="Comma 14 3 5 4" xfId="37098" xr:uid="{00000000-0005-0000-0000-0000387B0000}"/>
    <cellStyle name="Comma 14 3 5 4 2" xfId="37099" xr:uid="{00000000-0005-0000-0000-0000397B0000}"/>
    <cellStyle name="Comma 14 3 5 4 2 2" xfId="37100" xr:uid="{00000000-0005-0000-0000-00003A7B0000}"/>
    <cellStyle name="Comma 14 3 5 4 2 3" xfId="37101" xr:uid="{00000000-0005-0000-0000-00003B7B0000}"/>
    <cellStyle name="Comma 14 3 5 4 3" xfId="37102" xr:uid="{00000000-0005-0000-0000-00003C7B0000}"/>
    <cellStyle name="Comma 14 3 5 4 3 2" xfId="37103" xr:uid="{00000000-0005-0000-0000-00003D7B0000}"/>
    <cellStyle name="Comma 14 3 5 4 4" xfId="37104" xr:uid="{00000000-0005-0000-0000-00003E7B0000}"/>
    <cellStyle name="Comma 14 3 5 4 5" xfId="37105" xr:uid="{00000000-0005-0000-0000-00003F7B0000}"/>
    <cellStyle name="Comma 14 3 5 5" xfId="37106" xr:uid="{00000000-0005-0000-0000-0000407B0000}"/>
    <cellStyle name="Comma 14 3 5 5 2" xfId="37107" xr:uid="{00000000-0005-0000-0000-0000417B0000}"/>
    <cellStyle name="Comma 14 3 5 5 3" xfId="37108" xr:uid="{00000000-0005-0000-0000-0000427B0000}"/>
    <cellStyle name="Comma 14 3 5 6" xfId="37109" xr:uid="{00000000-0005-0000-0000-0000437B0000}"/>
    <cellStyle name="Comma 14 3 5 6 2" xfId="37110" xr:uid="{00000000-0005-0000-0000-0000447B0000}"/>
    <cellStyle name="Comma 14 3 5 6 3" xfId="37111" xr:uid="{00000000-0005-0000-0000-0000457B0000}"/>
    <cellStyle name="Comma 14 3 5 7" xfId="37112" xr:uid="{00000000-0005-0000-0000-0000467B0000}"/>
    <cellStyle name="Comma 14 3 5 7 2" xfId="37113" xr:uid="{00000000-0005-0000-0000-0000477B0000}"/>
    <cellStyle name="Comma 14 3 5 8" xfId="37114" xr:uid="{00000000-0005-0000-0000-0000487B0000}"/>
    <cellStyle name="Comma 14 3 5 9" xfId="37115" xr:uid="{00000000-0005-0000-0000-0000497B0000}"/>
    <cellStyle name="Comma 14 3 6" xfId="37116" xr:uid="{00000000-0005-0000-0000-00004A7B0000}"/>
    <cellStyle name="Comma 14 3 6 2" xfId="37117" xr:uid="{00000000-0005-0000-0000-00004B7B0000}"/>
    <cellStyle name="Comma 14 3 6 2 2" xfId="37118" xr:uid="{00000000-0005-0000-0000-00004C7B0000}"/>
    <cellStyle name="Comma 14 3 6 2 3" xfId="37119" xr:uid="{00000000-0005-0000-0000-00004D7B0000}"/>
    <cellStyle name="Comma 14 3 6 3" xfId="37120" xr:uid="{00000000-0005-0000-0000-00004E7B0000}"/>
    <cellStyle name="Comma 14 3 6 3 2" xfId="37121" xr:uid="{00000000-0005-0000-0000-00004F7B0000}"/>
    <cellStyle name="Comma 14 3 6 3 3" xfId="37122" xr:uid="{00000000-0005-0000-0000-0000507B0000}"/>
    <cellStyle name="Comma 14 3 6 4" xfId="37123" xr:uid="{00000000-0005-0000-0000-0000517B0000}"/>
    <cellStyle name="Comma 14 3 6 4 2" xfId="37124" xr:uid="{00000000-0005-0000-0000-0000527B0000}"/>
    <cellStyle name="Comma 14 3 6 5" xfId="37125" xr:uid="{00000000-0005-0000-0000-0000537B0000}"/>
    <cellStyle name="Comma 14 3 6 6" xfId="37126" xr:uid="{00000000-0005-0000-0000-0000547B0000}"/>
    <cellStyle name="Comma 14 3 7" xfId="37127" xr:uid="{00000000-0005-0000-0000-0000557B0000}"/>
    <cellStyle name="Comma 14 3 7 2" xfId="37128" xr:uid="{00000000-0005-0000-0000-0000567B0000}"/>
    <cellStyle name="Comma 14 3 7 2 2" xfId="37129" xr:uid="{00000000-0005-0000-0000-0000577B0000}"/>
    <cellStyle name="Comma 14 3 7 2 3" xfId="37130" xr:uid="{00000000-0005-0000-0000-0000587B0000}"/>
    <cellStyle name="Comma 14 3 7 3" xfId="37131" xr:uid="{00000000-0005-0000-0000-0000597B0000}"/>
    <cellStyle name="Comma 14 3 7 3 2" xfId="37132" xr:uid="{00000000-0005-0000-0000-00005A7B0000}"/>
    <cellStyle name="Comma 14 3 7 3 3" xfId="37133" xr:uid="{00000000-0005-0000-0000-00005B7B0000}"/>
    <cellStyle name="Comma 14 3 7 4" xfId="37134" xr:uid="{00000000-0005-0000-0000-00005C7B0000}"/>
    <cellStyle name="Comma 14 3 7 4 2" xfId="37135" xr:uid="{00000000-0005-0000-0000-00005D7B0000}"/>
    <cellStyle name="Comma 14 3 7 5" xfId="37136" xr:uid="{00000000-0005-0000-0000-00005E7B0000}"/>
    <cellStyle name="Comma 14 3 7 6" xfId="37137" xr:uid="{00000000-0005-0000-0000-00005F7B0000}"/>
    <cellStyle name="Comma 14 3 8" xfId="37138" xr:uid="{00000000-0005-0000-0000-0000607B0000}"/>
    <cellStyle name="Comma 14 3 8 2" xfId="37139" xr:uid="{00000000-0005-0000-0000-0000617B0000}"/>
    <cellStyle name="Comma 14 3 8 2 2" xfId="37140" xr:uid="{00000000-0005-0000-0000-0000627B0000}"/>
    <cellStyle name="Comma 14 3 8 2 3" xfId="37141" xr:uid="{00000000-0005-0000-0000-0000637B0000}"/>
    <cellStyle name="Comma 14 3 8 3" xfId="37142" xr:uid="{00000000-0005-0000-0000-0000647B0000}"/>
    <cellStyle name="Comma 14 3 8 3 2" xfId="37143" xr:uid="{00000000-0005-0000-0000-0000657B0000}"/>
    <cellStyle name="Comma 14 3 8 4" xfId="37144" xr:uid="{00000000-0005-0000-0000-0000667B0000}"/>
    <cellStyle name="Comma 14 3 8 5" xfId="37145" xr:uid="{00000000-0005-0000-0000-0000677B0000}"/>
    <cellStyle name="Comma 14 3 9" xfId="37146" xr:uid="{00000000-0005-0000-0000-0000687B0000}"/>
    <cellStyle name="Comma 14 3 9 2" xfId="37147" xr:uid="{00000000-0005-0000-0000-0000697B0000}"/>
    <cellStyle name="Comma 14 3 9 3" xfId="37148" xr:uid="{00000000-0005-0000-0000-00006A7B0000}"/>
    <cellStyle name="Comma 14 4" xfId="37149" xr:uid="{00000000-0005-0000-0000-00006B7B0000}"/>
    <cellStyle name="Comma 14 4 10" xfId="37150" xr:uid="{00000000-0005-0000-0000-00006C7B0000}"/>
    <cellStyle name="Comma 14 4 10 2" xfId="37151" xr:uid="{00000000-0005-0000-0000-00006D7B0000}"/>
    <cellStyle name="Comma 14 4 11" xfId="37152" xr:uid="{00000000-0005-0000-0000-00006E7B0000}"/>
    <cellStyle name="Comma 14 4 12" xfId="37153" xr:uid="{00000000-0005-0000-0000-00006F7B0000}"/>
    <cellStyle name="Comma 14 4 2" xfId="37154" xr:uid="{00000000-0005-0000-0000-0000707B0000}"/>
    <cellStyle name="Comma 14 4 2 10" xfId="37155" xr:uid="{00000000-0005-0000-0000-0000717B0000}"/>
    <cellStyle name="Comma 14 4 2 2" xfId="37156" xr:uid="{00000000-0005-0000-0000-0000727B0000}"/>
    <cellStyle name="Comma 14 4 2 2 2" xfId="37157" xr:uid="{00000000-0005-0000-0000-0000737B0000}"/>
    <cellStyle name="Comma 14 4 2 2 2 2" xfId="37158" xr:uid="{00000000-0005-0000-0000-0000747B0000}"/>
    <cellStyle name="Comma 14 4 2 2 2 2 2" xfId="37159" xr:uid="{00000000-0005-0000-0000-0000757B0000}"/>
    <cellStyle name="Comma 14 4 2 2 2 2 3" xfId="37160" xr:uid="{00000000-0005-0000-0000-0000767B0000}"/>
    <cellStyle name="Comma 14 4 2 2 2 3" xfId="37161" xr:uid="{00000000-0005-0000-0000-0000777B0000}"/>
    <cellStyle name="Comma 14 4 2 2 2 3 2" xfId="37162" xr:uid="{00000000-0005-0000-0000-0000787B0000}"/>
    <cellStyle name="Comma 14 4 2 2 2 3 3" xfId="37163" xr:uid="{00000000-0005-0000-0000-0000797B0000}"/>
    <cellStyle name="Comma 14 4 2 2 2 4" xfId="37164" xr:uid="{00000000-0005-0000-0000-00007A7B0000}"/>
    <cellStyle name="Comma 14 4 2 2 2 4 2" xfId="37165" xr:uid="{00000000-0005-0000-0000-00007B7B0000}"/>
    <cellStyle name="Comma 14 4 2 2 2 5" xfId="37166" xr:uid="{00000000-0005-0000-0000-00007C7B0000}"/>
    <cellStyle name="Comma 14 4 2 2 2 6" xfId="37167" xr:uid="{00000000-0005-0000-0000-00007D7B0000}"/>
    <cellStyle name="Comma 14 4 2 2 3" xfId="37168" xr:uid="{00000000-0005-0000-0000-00007E7B0000}"/>
    <cellStyle name="Comma 14 4 2 2 3 2" xfId="37169" xr:uid="{00000000-0005-0000-0000-00007F7B0000}"/>
    <cellStyle name="Comma 14 4 2 2 3 2 2" xfId="37170" xr:uid="{00000000-0005-0000-0000-0000807B0000}"/>
    <cellStyle name="Comma 14 4 2 2 3 2 3" xfId="37171" xr:uid="{00000000-0005-0000-0000-0000817B0000}"/>
    <cellStyle name="Comma 14 4 2 2 3 3" xfId="37172" xr:uid="{00000000-0005-0000-0000-0000827B0000}"/>
    <cellStyle name="Comma 14 4 2 2 3 3 2" xfId="37173" xr:uid="{00000000-0005-0000-0000-0000837B0000}"/>
    <cellStyle name="Comma 14 4 2 2 3 3 3" xfId="37174" xr:uid="{00000000-0005-0000-0000-0000847B0000}"/>
    <cellStyle name="Comma 14 4 2 2 3 4" xfId="37175" xr:uid="{00000000-0005-0000-0000-0000857B0000}"/>
    <cellStyle name="Comma 14 4 2 2 3 4 2" xfId="37176" xr:uid="{00000000-0005-0000-0000-0000867B0000}"/>
    <cellStyle name="Comma 14 4 2 2 3 5" xfId="37177" xr:uid="{00000000-0005-0000-0000-0000877B0000}"/>
    <cellStyle name="Comma 14 4 2 2 3 6" xfId="37178" xr:uid="{00000000-0005-0000-0000-0000887B0000}"/>
    <cellStyle name="Comma 14 4 2 2 4" xfId="37179" xr:uid="{00000000-0005-0000-0000-0000897B0000}"/>
    <cellStyle name="Comma 14 4 2 2 4 2" xfId="37180" xr:uid="{00000000-0005-0000-0000-00008A7B0000}"/>
    <cellStyle name="Comma 14 4 2 2 4 2 2" xfId="37181" xr:uid="{00000000-0005-0000-0000-00008B7B0000}"/>
    <cellStyle name="Comma 14 4 2 2 4 2 3" xfId="37182" xr:uid="{00000000-0005-0000-0000-00008C7B0000}"/>
    <cellStyle name="Comma 14 4 2 2 4 3" xfId="37183" xr:uid="{00000000-0005-0000-0000-00008D7B0000}"/>
    <cellStyle name="Comma 14 4 2 2 4 3 2" xfId="37184" xr:uid="{00000000-0005-0000-0000-00008E7B0000}"/>
    <cellStyle name="Comma 14 4 2 2 4 4" xfId="37185" xr:uid="{00000000-0005-0000-0000-00008F7B0000}"/>
    <cellStyle name="Comma 14 4 2 2 4 5" xfId="37186" xr:uid="{00000000-0005-0000-0000-0000907B0000}"/>
    <cellStyle name="Comma 14 4 2 2 5" xfId="37187" xr:uid="{00000000-0005-0000-0000-0000917B0000}"/>
    <cellStyle name="Comma 14 4 2 2 5 2" xfId="37188" xr:uid="{00000000-0005-0000-0000-0000927B0000}"/>
    <cellStyle name="Comma 14 4 2 2 5 3" xfId="37189" xr:uid="{00000000-0005-0000-0000-0000937B0000}"/>
    <cellStyle name="Comma 14 4 2 2 6" xfId="37190" xr:uid="{00000000-0005-0000-0000-0000947B0000}"/>
    <cellStyle name="Comma 14 4 2 2 6 2" xfId="37191" xr:uid="{00000000-0005-0000-0000-0000957B0000}"/>
    <cellStyle name="Comma 14 4 2 2 6 3" xfId="37192" xr:uid="{00000000-0005-0000-0000-0000967B0000}"/>
    <cellStyle name="Comma 14 4 2 2 7" xfId="37193" xr:uid="{00000000-0005-0000-0000-0000977B0000}"/>
    <cellStyle name="Comma 14 4 2 2 7 2" xfId="37194" xr:uid="{00000000-0005-0000-0000-0000987B0000}"/>
    <cellStyle name="Comma 14 4 2 2 8" xfId="37195" xr:uid="{00000000-0005-0000-0000-0000997B0000}"/>
    <cellStyle name="Comma 14 4 2 2 9" xfId="37196" xr:uid="{00000000-0005-0000-0000-00009A7B0000}"/>
    <cellStyle name="Comma 14 4 2 3" xfId="37197" xr:uid="{00000000-0005-0000-0000-00009B7B0000}"/>
    <cellStyle name="Comma 14 4 2 3 2" xfId="37198" xr:uid="{00000000-0005-0000-0000-00009C7B0000}"/>
    <cellStyle name="Comma 14 4 2 3 2 2" xfId="37199" xr:uid="{00000000-0005-0000-0000-00009D7B0000}"/>
    <cellStyle name="Comma 14 4 2 3 2 3" xfId="37200" xr:uid="{00000000-0005-0000-0000-00009E7B0000}"/>
    <cellStyle name="Comma 14 4 2 3 3" xfId="37201" xr:uid="{00000000-0005-0000-0000-00009F7B0000}"/>
    <cellStyle name="Comma 14 4 2 3 3 2" xfId="37202" xr:uid="{00000000-0005-0000-0000-0000A07B0000}"/>
    <cellStyle name="Comma 14 4 2 3 3 3" xfId="37203" xr:uid="{00000000-0005-0000-0000-0000A17B0000}"/>
    <cellStyle name="Comma 14 4 2 3 4" xfId="37204" xr:uid="{00000000-0005-0000-0000-0000A27B0000}"/>
    <cellStyle name="Comma 14 4 2 3 4 2" xfId="37205" xr:uid="{00000000-0005-0000-0000-0000A37B0000}"/>
    <cellStyle name="Comma 14 4 2 3 5" xfId="37206" xr:uid="{00000000-0005-0000-0000-0000A47B0000}"/>
    <cellStyle name="Comma 14 4 2 3 6" xfId="37207" xr:uid="{00000000-0005-0000-0000-0000A57B0000}"/>
    <cellStyle name="Comma 14 4 2 4" xfId="37208" xr:uid="{00000000-0005-0000-0000-0000A67B0000}"/>
    <cellStyle name="Comma 14 4 2 4 2" xfId="37209" xr:uid="{00000000-0005-0000-0000-0000A77B0000}"/>
    <cellStyle name="Comma 14 4 2 4 2 2" xfId="37210" xr:uid="{00000000-0005-0000-0000-0000A87B0000}"/>
    <cellStyle name="Comma 14 4 2 4 2 3" xfId="37211" xr:uid="{00000000-0005-0000-0000-0000A97B0000}"/>
    <cellStyle name="Comma 14 4 2 4 3" xfId="37212" xr:uid="{00000000-0005-0000-0000-0000AA7B0000}"/>
    <cellStyle name="Comma 14 4 2 4 3 2" xfId="37213" xr:uid="{00000000-0005-0000-0000-0000AB7B0000}"/>
    <cellStyle name="Comma 14 4 2 4 3 3" xfId="37214" xr:uid="{00000000-0005-0000-0000-0000AC7B0000}"/>
    <cellStyle name="Comma 14 4 2 4 4" xfId="37215" xr:uid="{00000000-0005-0000-0000-0000AD7B0000}"/>
    <cellStyle name="Comma 14 4 2 4 4 2" xfId="37216" xr:uid="{00000000-0005-0000-0000-0000AE7B0000}"/>
    <cellStyle name="Comma 14 4 2 4 5" xfId="37217" xr:uid="{00000000-0005-0000-0000-0000AF7B0000}"/>
    <cellStyle name="Comma 14 4 2 4 6" xfId="37218" xr:uid="{00000000-0005-0000-0000-0000B07B0000}"/>
    <cellStyle name="Comma 14 4 2 5" xfId="37219" xr:uid="{00000000-0005-0000-0000-0000B17B0000}"/>
    <cellStyle name="Comma 14 4 2 5 2" xfId="37220" xr:uid="{00000000-0005-0000-0000-0000B27B0000}"/>
    <cellStyle name="Comma 14 4 2 5 2 2" xfId="37221" xr:uid="{00000000-0005-0000-0000-0000B37B0000}"/>
    <cellStyle name="Comma 14 4 2 5 2 3" xfId="37222" xr:uid="{00000000-0005-0000-0000-0000B47B0000}"/>
    <cellStyle name="Comma 14 4 2 5 3" xfId="37223" xr:uid="{00000000-0005-0000-0000-0000B57B0000}"/>
    <cellStyle name="Comma 14 4 2 5 3 2" xfId="37224" xr:uid="{00000000-0005-0000-0000-0000B67B0000}"/>
    <cellStyle name="Comma 14 4 2 5 4" xfId="37225" xr:uid="{00000000-0005-0000-0000-0000B77B0000}"/>
    <cellStyle name="Comma 14 4 2 5 5" xfId="37226" xr:uid="{00000000-0005-0000-0000-0000B87B0000}"/>
    <cellStyle name="Comma 14 4 2 6" xfId="37227" xr:uid="{00000000-0005-0000-0000-0000B97B0000}"/>
    <cellStyle name="Comma 14 4 2 6 2" xfId="37228" xr:uid="{00000000-0005-0000-0000-0000BA7B0000}"/>
    <cellStyle name="Comma 14 4 2 6 3" xfId="37229" xr:uid="{00000000-0005-0000-0000-0000BB7B0000}"/>
    <cellStyle name="Comma 14 4 2 7" xfId="37230" xr:uid="{00000000-0005-0000-0000-0000BC7B0000}"/>
    <cellStyle name="Comma 14 4 2 7 2" xfId="37231" xr:uid="{00000000-0005-0000-0000-0000BD7B0000}"/>
    <cellStyle name="Comma 14 4 2 7 3" xfId="37232" xr:uid="{00000000-0005-0000-0000-0000BE7B0000}"/>
    <cellStyle name="Comma 14 4 2 8" xfId="37233" xr:uid="{00000000-0005-0000-0000-0000BF7B0000}"/>
    <cellStyle name="Comma 14 4 2 8 2" xfId="37234" xr:uid="{00000000-0005-0000-0000-0000C07B0000}"/>
    <cellStyle name="Comma 14 4 2 9" xfId="37235" xr:uid="{00000000-0005-0000-0000-0000C17B0000}"/>
    <cellStyle name="Comma 14 4 3" xfId="37236" xr:uid="{00000000-0005-0000-0000-0000C27B0000}"/>
    <cellStyle name="Comma 14 4 3 2" xfId="37237" xr:uid="{00000000-0005-0000-0000-0000C37B0000}"/>
    <cellStyle name="Comma 14 4 3 2 2" xfId="37238" xr:uid="{00000000-0005-0000-0000-0000C47B0000}"/>
    <cellStyle name="Comma 14 4 3 2 2 2" xfId="37239" xr:uid="{00000000-0005-0000-0000-0000C57B0000}"/>
    <cellStyle name="Comma 14 4 3 2 2 3" xfId="37240" xr:uid="{00000000-0005-0000-0000-0000C67B0000}"/>
    <cellStyle name="Comma 14 4 3 2 3" xfId="37241" xr:uid="{00000000-0005-0000-0000-0000C77B0000}"/>
    <cellStyle name="Comma 14 4 3 2 3 2" xfId="37242" xr:uid="{00000000-0005-0000-0000-0000C87B0000}"/>
    <cellStyle name="Comma 14 4 3 2 3 3" xfId="37243" xr:uid="{00000000-0005-0000-0000-0000C97B0000}"/>
    <cellStyle name="Comma 14 4 3 2 4" xfId="37244" xr:uid="{00000000-0005-0000-0000-0000CA7B0000}"/>
    <cellStyle name="Comma 14 4 3 2 4 2" xfId="37245" xr:uid="{00000000-0005-0000-0000-0000CB7B0000}"/>
    <cellStyle name="Comma 14 4 3 2 5" xfId="37246" xr:uid="{00000000-0005-0000-0000-0000CC7B0000}"/>
    <cellStyle name="Comma 14 4 3 2 6" xfId="37247" xr:uid="{00000000-0005-0000-0000-0000CD7B0000}"/>
    <cellStyle name="Comma 14 4 3 3" xfId="37248" xr:uid="{00000000-0005-0000-0000-0000CE7B0000}"/>
    <cellStyle name="Comma 14 4 3 3 2" xfId="37249" xr:uid="{00000000-0005-0000-0000-0000CF7B0000}"/>
    <cellStyle name="Comma 14 4 3 3 2 2" xfId="37250" xr:uid="{00000000-0005-0000-0000-0000D07B0000}"/>
    <cellStyle name="Comma 14 4 3 3 2 3" xfId="37251" xr:uid="{00000000-0005-0000-0000-0000D17B0000}"/>
    <cellStyle name="Comma 14 4 3 3 3" xfId="37252" xr:uid="{00000000-0005-0000-0000-0000D27B0000}"/>
    <cellStyle name="Comma 14 4 3 3 3 2" xfId="37253" xr:uid="{00000000-0005-0000-0000-0000D37B0000}"/>
    <cellStyle name="Comma 14 4 3 3 3 3" xfId="37254" xr:uid="{00000000-0005-0000-0000-0000D47B0000}"/>
    <cellStyle name="Comma 14 4 3 3 4" xfId="37255" xr:uid="{00000000-0005-0000-0000-0000D57B0000}"/>
    <cellStyle name="Comma 14 4 3 3 4 2" xfId="37256" xr:uid="{00000000-0005-0000-0000-0000D67B0000}"/>
    <cellStyle name="Comma 14 4 3 3 5" xfId="37257" xr:uid="{00000000-0005-0000-0000-0000D77B0000}"/>
    <cellStyle name="Comma 14 4 3 3 6" xfId="37258" xr:uid="{00000000-0005-0000-0000-0000D87B0000}"/>
    <cellStyle name="Comma 14 4 3 4" xfId="37259" xr:uid="{00000000-0005-0000-0000-0000D97B0000}"/>
    <cellStyle name="Comma 14 4 3 4 2" xfId="37260" xr:uid="{00000000-0005-0000-0000-0000DA7B0000}"/>
    <cellStyle name="Comma 14 4 3 4 2 2" xfId="37261" xr:uid="{00000000-0005-0000-0000-0000DB7B0000}"/>
    <cellStyle name="Comma 14 4 3 4 2 3" xfId="37262" xr:uid="{00000000-0005-0000-0000-0000DC7B0000}"/>
    <cellStyle name="Comma 14 4 3 4 3" xfId="37263" xr:uid="{00000000-0005-0000-0000-0000DD7B0000}"/>
    <cellStyle name="Comma 14 4 3 4 3 2" xfId="37264" xr:uid="{00000000-0005-0000-0000-0000DE7B0000}"/>
    <cellStyle name="Comma 14 4 3 4 4" xfId="37265" xr:uid="{00000000-0005-0000-0000-0000DF7B0000}"/>
    <cellStyle name="Comma 14 4 3 4 5" xfId="37266" xr:uid="{00000000-0005-0000-0000-0000E07B0000}"/>
    <cellStyle name="Comma 14 4 3 5" xfId="37267" xr:uid="{00000000-0005-0000-0000-0000E17B0000}"/>
    <cellStyle name="Comma 14 4 3 5 2" xfId="37268" xr:uid="{00000000-0005-0000-0000-0000E27B0000}"/>
    <cellStyle name="Comma 14 4 3 5 3" xfId="37269" xr:uid="{00000000-0005-0000-0000-0000E37B0000}"/>
    <cellStyle name="Comma 14 4 3 6" xfId="37270" xr:uid="{00000000-0005-0000-0000-0000E47B0000}"/>
    <cellStyle name="Comma 14 4 3 6 2" xfId="37271" xr:uid="{00000000-0005-0000-0000-0000E57B0000}"/>
    <cellStyle name="Comma 14 4 3 6 3" xfId="37272" xr:uid="{00000000-0005-0000-0000-0000E67B0000}"/>
    <cellStyle name="Comma 14 4 3 7" xfId="37273" xr:uid="{00000000-0005-0000-0000-0000E77B0000}"/>
    <cellStyle name="Comma 14 4 3 7 2" xfId="37274" xr:uid="{00000000-0005-0000-0000-0000E87B0000}"/>
    <cellStyle name="Comma 14 4 3 8" xfId="37275" xr:uid="{00000000-0005-0000-0000-0000E97B0000}"/>
    <cellStyle name="Comma 14 4 3 9" xfId="37276" xr:uid="{00000000-0005-0000-0000-0000EA7B0000}"/>
    <cellStyle name="Comma 14 4 4" xfId="37277" xr:uid="{00000000-0005-0000-0000-0000EB7B0000}"/>
    <cellStyle name="Comma 14 4 4 2" xfId="37278" xr:uid="{00000000-0005-0000-0000-0000EC7B0000}"/>
    <cellStyle name="Comma 14 4 4 2 2" xfId="37279" xr:uid="{00000000-0005-0000-0000-0000ED7B0000}"/>
    <cellStyle name="Comma 14 4 4 2 2 2" xfId="37280" xr:uid="{00000000-0005-0000-0000-0000EE7B0000}"/>
    <cellStyle name="Comma 14 4 4 2 2 3" xfId="37281" xr:uid="{00000000-0005-0000-0000-0000EF7B0000}"/>
    <cellStyle name="Comma 14 4 4 2 3" xfId="37282" xr:uid="{00000000-0005-0000-0000-0000F07B0000}"/>
    <cellStyle name="Comma 14 4 4 2 3 2" xfId="37283" xr:uid="{00000000-0005-0000-0000-0000F17B0000}"/>
    <cellStyle name="Comma 14 4 4 2 3 3" xfId="37284" xr:uid="{00000000-0005-0000-0000-0000F27B0000}"/>
    <cellStyle name="Comma 14 4 4 2 4" xfId="37285" xr:uid="{00000000-0005-0000-0000-0000F37B0000}"/>
    <cellStyle name="Comma 14 4 4 2 4 2" xfId="37286" xr:uid="{00000000-0005-0000-0000-0000F47B0000}"/>
    <cellStyle name="Comma 14 4 4 2 5" xfId="37287" xr:uid="{00000000-0005-0000-0000-0000F57B0000}"/>
    <cellStyle name="Comma 14 4 4 2 6" xfId="37288" xr:uid="{00000000-0005-0000-0000-0000F67B0000}"/>
    <cellStyle name="Comma 14 4 4 3" xfId="37289" xr:uid="{00000000-0005-0000-0000-0000F77B0000}"/>
    <cellStyle name="Comma 14 4 4 3 2" xfId="37290" xr:uid="{00000000-0005-0000-0000-0000F87B0000}"/>
    <cellStyle name="Comma 14 4 4 3 2 2" xfId="37291" xr:uid="{00000000-0005-0000-0000-0000F97B0000}"/>
    <cellStyle name="Comma 14 4 4 3 2 3" xfId="37292" xr:uid="{00000000-0005-0000-0000-0000FA7B0000}"/>
    <cellStyle name="Comma 14 4 4 3 3" xfId="37293" xr:uid="{00000000-0005-0000-0000-0000FB7B0000}"/>
    <cellStyle name="Comma 14 4 4 3 3 2" xfId="37294" xr:uid="{00000000-0005-0000-0000-0000FC7B0000}"/>
    <cellStyle name="Comma 14 4 4 3 3 3" xfId="37295" xr:uid="{00000000-0005-0000-0000-0000FD7B0000}"/>
    <cellStyle name="Comma 14 4 4 3 4" xfId="37296" xr:uid="{00000000-0005-0000-0000-0000FE7B0000}"/>
    <cellStyle name="Comma 14 4 4 3 4 2" xfId="37297" xr:uid="{00000000-0005-0000-0000-0000FF7B0000}"/>
    <cellStyle name="Comma 14 4 4 3 5" xfId="37298" xr:uid="{00000000-0005-0000-0000-0000007C0000}"/>
    <cellStyle name="Comma 14 4 4 3 6" xfId="37299" xr:uid="{00000000-0005-0000-0000-0000017C0000}"/>
    <cellStyle name="Comma 14 4 4 4" xfId="37300" xr:uid="{00000000-0005-0000-0000-0000027C0000}"/>
    <cellStyle name="Comma 14 4 4 4 2" xfId="37301" xr:uid="{00000000-0005-0000-0000-0000037C0000}"/>
    <cellStyle name="Comma 14 4 4 4 2 2" xfId="37302" xr:uid="{00000000-0005-0000-0000-0000047C0000}"/>
    <cellStyle name="Comma 14 4 4 4 2 3" xfId="37303" xr:uid="{00000000-0005-0000-0000-0000057C0000}"/>
    <cellStyle name="Comma 14 4 4 4 3" xfId="37304" xr:uid="{00000000-0005-0000-0000-0000067C0000}"/>
    <cellStyle name="Comma 14 4 4 4 3 2" xfId="37305" xr:uid="{00000000-0005-0000-0000-0000077C0000}"/>
    <cellStyle name="Comma 14 4 4 4 4" xfId="37306" xr:uid="{00000000-0005-0000-0000-0000087C0000}"/>
    <cellStyle name="Comma 14 4 4 4 5" xfId="37307" xr:uid="{00000000-0005-0000-0000-0000097C0000}"/>
    <cellStyle name="Comma 14 4 4 5" xfId="37308" xr:uid="{00000000-0005-0000-0000-00000A7C0000}"/>
    <cellStyle name="Comma 14 4 4 5 2" xfId="37309" xr:uid="{00000000-0005-0000-0000-00000B7C0000}"/>
    <cellStyle name="Comma 14 4 4 5 3" xfId="37310" xr:uid="{00000000-0005-0000-0000-00000C7C0000}"/>
    <cellStyle name="Comma 14 4 4 6" xfId="37311" xr:uid="{00000000-0005-0000-0000-00000D7C0000}"/>
    <cellStyle name="Comma 14 4 4 6 2" xfId="37312" xr:uid="{00000000-0005-0000-0000-00000E7C0000}"/>
    <cellStyle name="Comma 14 4 4 6 3" xfId="37313" xr:uid="{00000000-0005-0000-0000-00000F7C0000}"/>
    <cellStyle name="Comma 14 4 4 7" xfId="37314" xr:uid="{00000000-0005-0000-0000-0000107C0000}"/>
    <cellStyle name="Comma 14 4 4 7 2" xfId="37315" xr:uid="{00000000-0005-0000-0000-0000117C0000}"/>
    <cellStyle name="Comma 14 4 4 8" xfId="37316" xr:uid="{00000000-0005-0000-0000-0000127C0000}"/>
    <cellStyle name="Comma 14 4 4 9" xfId="37317" xr:uid="{00000000-0005-0000-0000-0000137C0000}"/>
    <cellStyle name="Comma 14 4 5" xfId="37318" xr:uid="{00000000-0005-0000-0000-0000147C0000}"/>
    <cellStyle name="Comma 14 4 5 2" xfId="37319" xr:uid="{00000000-0005-0000-0000-0000157C0000}"/>
    <cellStyle name="Comma 14 4 5 2 2" xfId="37320" xr:uid="{00000000-0005-0000-0000-0000167C0000}"/>
    <cellStyle name="Comma 14 4 5 2 3" xfId="37321" xr:uid="{00000000-0005-0000-0000-0000177C0000}"/>
    <cellStyle name="Comma 14 4 5 3" xfId="37322" xr:uid="{00000000-0005-0000-0000-0000187C0000}"/>
    <cellStyle name="Comma 14 4 5 3 2" xfId="37323" xr:uid="{00000000-0005-0000-0000-0000197C0000}"/>
    <cellStyle name="Comma 14 4 5 3 3" xfId="37324" xr:uid="{00000000-0005-0000-0000-00001A7C0000}"/>
    <cellStyle name="Comma 14 4 5 4" xfId="37325" xr:uid="{00000000-0005-0000-0000-00001B7C0000}"/>
    <cellStyle name="Comma 14 4 5 4 2" xfId="37326" xr:uid="{00000000-0005-0000-0000-00001C7C0000}"/>
    <cellStyle name="Comma 14 4 5 5" xfId="37327" xr:uid="{00000000-0005-0000-0000-00001D7C0000}"/>
    <cellStyle name="Comma 14 4 5 6" xfId="37328" xr:uid="{00000000-0005-0000-0000-00001E7C0000}"/>
    <cellStyle name="Comma 14 4 6" xfId="37329" xr:uid="{00000000-0005-0000-0000-00001F7C0000}"/>
    <cellStyle name="Comma 14 4 6 2" xfId="37330" xr:uid="{00000000-0005-0000-0000-0000207C0000}"/>
    <cellStyle name="Comma 14 4 6 2 2" xfId="37331" xr:uid="{00000000-0005-0000-0000-0000217C0000}"/>
    <cellStyle name="Comma 14 4 6 2 3" xfId="37332" xr:uid="{00000000-0005-0000-0000-0000227C0000}"/>
    <cellStyle name="Comma 14 4 6 3" xfId="37333" xr:uid="{00000000-0005-0000-0000-0000237C0000}"/>
    <cellStyle name="Comma 14 4 6 3 2" xfId="37334" xr:uid="{00000000-0005-0000-0000-0000247C0000}"/>
    <cellStyle name="Comma 14 4 6 3 3" xfId="37335" xr:uid="{00000000-0005-0000-0000-0000257C0000}"/>
    <cellStyle name="Comma 14 4 6 4" xfId="37336" xr:uid="{00000000-0005-0000-0000-0000267C0000}"/>
    <cellStyle name="Comma 14 4 6 4 2" xfId="37337" xr:uid="{00000000-0005-0000-0000-0000277C0000}"/>
    <cellStyle name="Comma 14 4 6 5" xfId="37338" xr:uid="{00000000-0005-0000-0000-0000287C0000}"/>
    <cellStyle name="Comma 14 4 6 6" xfId="37339" xr:uid="{00000000-0005-0000-0000-0000297C0000}"/>
    <cellStyle name="Comma 14 4 7" xfId="37340" xr:uid="{00000000-0005-0000-0000-00002A7C0000}"/>
    <cellStyle name="Comma 14 4 7 2" xfId="37341" xr:uid="{00000000-0005-0000-0000-00002B7C0000}"/>
    <cellStyle name="Comma 14 4 7 2 2" xfId="37342" xr:uid="{00000000-0005-0000-0000-00002C7C0000}"/>
    <cellStyle name="Comma 14 4 7 2 3" xfId="37343" xr:uid="{00000000-0005-0000-0000-00002D7C0000}"/>
    <cellStyle name="Comma 14 4 7 3" xfId="37344" xr:uid="{00000000-0005-0000-0000-00002E7C0000}"/>
    <cellStyle name="Comma 14 4 7 3 2" xfId="37345" xr:uid="{00000000-0005-0000-0000-00002F7C0000}"/>
    <cellStyle name="Comma 14 4 7 4" xfId="37346" xr:uid="{00000000-0005-0000-0000-0000307C0000}"/>
    <cellStyle name="Comma 14 4 7 5" xfId="37347" xr:uid="{00000000-0005-0000-0000-0000317C0000}"/>
    <cellStyle name="Comma 14 4 8" xfId="37348" xr:uid="{00000000-0005-0000-0000-0000327C0000}"/>
    <cellStyle name="Comma 14 4 8 2" xfId="37349" xr:uid="{00000000-0005-0000-0000-0000337C0000}"/>
    <cellStyle name="Comma 14 4 8 3" xfId="37350" xr:uid="{00000000-0005-0000-0000-0000347C0000}"/>
    <cellStyle name="Comma 14 4 9" xfId="37351" xr:uid="{00000000-0005-0000-0000-0000357C0000}"/>
    <cellStyle name="Comma 14 4 9 2" xfId="37352" xr:uid="{00000000-0005-0000-0000-0000367C0000}"/>
    <cellStyle name="Comma 14 4 9 3" xfId="37353" xr:uid="{00000000-0005-0000-0000-0000377C0000}"/>
    <cellStyle name="Comma 14 5" xfId="37354" xr:uid="{00000000-0005-0000-0000-0000387C0000}"/>
    <cellStyle name="Comma 14 5 10" xfId="37355" xr:uid="{00000000-0005-0000-0000-0000397C0000}"/>
    <cellStyle name="Comma 14 5 2" xfId="37356" xr:uid="{00000000-0005-0000-0000-00003A7C0000}"/>
    <cellStyle name="Comma 14 5 2 2" xfId="37357" xr:uid="{00000000-0005-0000-0000-00003B7C0000}"/>
    <cellStyle name="Comma 14 5 2 2 2" xfId="37358" xr:uid="{00000000-0005-0000-0000-00003C7C0000}"/>
    <cellStyle name="Comma 14 5 2 2 2 2" xfId="37359" xr:uid="{00000000-0005-0000-0000-00003D7C0000}"/>
    <cellStyle name="Comma 14 5 2 2 2 3" xfId="37360" xr:uid="{00000000-0005-0000-0000-00003E7C0000}"/>
    <cellStyle name="Comma 14 5 2 2 3" xfId="37361" xr:uid="{00000000-0005-0000-0000-00003F7C0000}"/>
    <cellStyle name="Comma 14 5 2 2 3 2" xfId="37362" xr:uid="{00000000-0005-0000-0000-0000407C0000}"/>
    <cellStyle name="Comma 14 5 2 2 3 3" xfId="37363" xr:uid="{00000000-0005-0000-0000-0000417C0000}"/>
    <cellStyle name="Comma 14 5 2 2 4" xfId="37364" xr:uid="{00000000-0005-0000-0000-0000427C0000}"/>
    <cellStyle name="Comma 14 5 2 2 4 2" xfId="37365" xr:uid="{00000000-0005-0000-0000-0000437C0000}"/>
    <cellStyle name="Comma 14 5 2 2 5" xfId="37366" xr:uid="{00000000-0005-0000-0000-0000447C0000}"/>
    <cellStyle name="Comma 14 5 2 2 6" xfId="37367" xr:uid="{00000000-0005-0000-0000-0000457C0000}"/>
    <cellStyle name="Comma 14 5 2 3" xfId="37368" xr:uid="{00000000-0005-0000-0000-0000467C0000}"/>
    <cellStyle name="Comma 14 5 2 3 2" xfId="37369" xr:uid="{00000000-0005-0000-0000-0000477C0000}"/>
    <cellStyle name="Comma 14 5 2 3 2 2" xfId="37370" xr:uid="{00000000-0005-0000-0000-0000487C0000}"/>
    <cellStyle name="Comma 14 5 2 3 2 3" xfId="37371" xr:uid="{00000000-0005-0000-0000-0000497C0000}"/>
    <cellStyle name="Comma 14 5 2 3 3" xfId="37372" xr:uid="{00000000-0005-0000-0000-00004A7C0000}"/>
    <cellStyle name="Comma 14 5 2 3 3 2" xfId="37373" xr:uid="{00000000-0005-0000-0000-00004B7C0000}"/>
    <cellStyle name="Comma 14 5 2 3 3 3" xfId="37374" xr:uid="{00000000-0005-0000-0000-00004C7C0000}"/>
    <cellStyle name="Comma 14 5 2 3 4" xfId="37375" xr:uid="{00000000-0005-0000-0000-00004D7C0000}"/>
    <cellStyle name="Comma 14 5 2 3 4 2" xfId="37376" xr:uid="{00000000-0005-0000-0000-00004E7C0000}"/>
    <cellStyle name="Comma 14 5 2 3 5" xfId="37377" xr:uid="{00000000-0005-0000-0000-00004F7C0000}"/>
    <cellStyle name="Comma 14 5 2 3 6" xfId="37378" xr:uid="{00000000-0005-0000-0000-0000507C0000}"/>
    <cellStyle name="Comma 14 5 2 4" xfId="37379" xr:uid="{00000000-0005-0000-0000-0000517C0000}"/>
    <cellStyle name="Comma 14 5 2 4 2" xfId="37380" xr:uid="{00000000-0005-0000-0000-0000527C0000}"/>
    <cellStyle name="Comma 14 5 2 4 2 2" xfId="37381" xr:uid="{00000000-0005-0000-0000-0000537C0000}"/>
    <cellStyle name="Comma 14 5 2 4 2 3" xfId="37382" xr:uid="{00000000-0005-0000-0000-0000547C0000}"/>
    <cellStyle name="Comma 14 5 2 4 3" xfId="37383" xr:uid="{00000000-0005-0000-0000-0000557C0000}"/>
    <cellStyle name="Comma 14 5 2 4 3 2" xfId="37384" xr:uid="{00000000-0005-0000-0000-0000567C0000}"/>
    <cellStyle name="Comma 14 5 2 4 4" xfId="37385" xr:uid="{00000000-0005-0000-0000-0000577C0000}"/>
    <cellStyle name="Comma 14 5 2 4 5" xfId="37386" xr:uid="{00000000-0005-0000-0000-0000587C0000}"/>
    <cellStyle name="Comma 14 5 2 5" xfId="37387" xr:uid="{00000000-0005-0000-0000-0000597C0000}"/>
    <cellStyle name="Comma 14 5 2 5 2" xfId="37388" xr:uid="{00000000-0005-0000-0000-00005A7C0000}"/>
    <cellStyle name="Comma 14 5 2 5 3" xfId="37389" xr:uid="{00000000-0005-0000-0000-00005B7C0000}"/>
    <cellStyle name="Comma 14 5 2 6" xfId="37390" xr:uid="{00000000-0005-0000-0000-00005C7C0000}"/>
    <cellStyle name="Comma 14 5 2 6 2" xfId="37391" xr:uid="{00000000-0005-0000-0000-00005D7C0000}"/>
    <cellStyle name="Comma 14 5 2 6 3" xfId="37392" xr:uid="{00000000-0005-0000-0000-00005E7C0000}"/>
    <cellStyle name="Comma 14 5 2 7" xfId="37393" xr:uid="{00000000-0005-0000-0000-00005F7C0000}"/>
    <cellStyle name="Comma 14 5 2 7 2" xfId="37394" xr:uid="{00000000-0005-0000-0000-0000607C0000}"/>
    <cellStyle name="Comma 14 5 2 8" xfId="37395" xr:uid="{00000000-0005-0000-0000-0000617C0000}"/>
    <cellStyle name="Comma 14 5 2 9" xfId="37396" xr:uid="{00000000-0005-0000-0000-0000627C0000}"/>
    <cellStyle name="Comma 14 5 3" xfId="37397" xr:uid="{00000000-0005-0000-0000-0000637C0000}"/>
    <cellStyle name="Comma 14 5 3 2" xfId="37398" xr:uid="{00000000-0005-0000-0000-0000647C0000}"/>
    <cellStyle name="Comma 14 5 3 2 2" xfId="37399" xr:uid="{00000000-0005-0000-0000-0000657C0000}"/>
    <cellStyle name="Comma 14 5 3 2 3" xfId="37400" xr:uid="{00000000-0005-0000-0000-0000667C0000}"/>
    <cellStyle name="Comma 14 5 3 3" xfId="37401" xr:uid="{00000000-0005-0000-0000-0000677C0000}"/>
    <cellStyle name="Comma 14 5 3 3 2" xfId="37402" xr:uid="{00000000-0005-0000-0000-0000687C0000}"/>
    <cellStyle name="Comma 14 5 3 3 3" xfId="37403" xr:uid="{00000000-0005-0000-0000-0000697C0000}"/>
    <cellStyle name="Comma 14 5 3 4" xfId="37404" xr:uid="{00000000-0005-0000-0000-00006A7C0000}"/>
    <cellStyle name="Comma 14 5 3 4 2" xfId="37405" xr:uid="{00000000-0005-0000-0000-00006B7C0000}"/>
    <cellStyle name="Comma 14 5 3 5" xfId="37406" xr:uid="{00000000-0005-0000-0000-00006C7C0000}"/>
    <cellStyle name="Comma 14 5 3 6" xfId="37407" xr:uid="{00000000-0005-0000-0000-00006D7C0000}"/>
    <cellStyle name="Comma 14 5 4" xfId="37408" xr:uid="{00000000-0005-0000-0000-00006E7C0000}"/>
    <cellStyle name="Comma 14 5 4 2" xfId="37409" xr:uid="{00000000-0005-0000-0000-00006F7C0000}"/>
    <cellStyle name="Comma 14 5 4 2 2" xfId="37410" xr:uid="{00000000-0005-0000-0000-0000707C0000}"/>
    <cellStyle name="Comma 14 5 4 2 3" xfId="37411" xr:uid="{00000000-0005-0000-0000-0000717C0000}"/>
    <cellStyle name="Comma 14 5 4 3" xfId="37412" xr:uid="{00000000-0005-0000-0000-0000727C0000}"/>
    <cellStyle name="Comma 14 5 4 3 2" xfId="37413" xr:uid="{00000000-0005-0000-0000-0000737C0000}"/>
    <cellStyle name="Comma 14 5 4 3 3" xfId="37414" xr:uid="{00000000-0005-0000-0000-0000747C0000}"/>
    <cellStyle name="Comma 14 5 4 4" xfId="37415" xr:uid="{00000000-0005-0000-0000-0000757C0000}"/>
    <cellStyle name="Comma 14 5 4 4 2" xfId="37416" xr:uid="{00000000-0005-0000-0000-0000767C0000}"/>
    <cellStyle name="Comma 14 5 4 5" xfId="37417" xr:uid="{00000000-0005-0000-0000-0000777C0000}"/>
    <cellStyle name="Comma 14 5 4 6" xfId="37418" xr:uid="{00000000-0005-0000-0000-0000787C0000}"/>
    <cellStyle name="Comma 14 5 5" xfId="37419" xr:uid="{00000000-0005-0000-0000-0000797C0000}"/>
    <cellStyle name="Comma 14 5 5 2" xfId="37420" xr:uid="{00000000-0005-0000-0000-00007A7C0000}"/>
    <cellStyle name="Comma 14 5 5 2 2" xfId="37421" xr:uid="{00000000-0005-0000-0000-00007B7C0000}"/>
    <cellStyle name="Comma 14 5 5 2 3" xfId="37422" xr:uid="{00000000-0005-0000-0000-00007C7C0000}"/>
    <cellStyle name="Comma 14 5 5 3" xfId="37423" xr:uid="{00000000-0005-0000-0000-00007D7C0000}"/>
    <cellStyle name="Comma 14 5 5 3 2" xfId="37424" xr:uid="{00000000-0005-0000-0000-00007E7C0000}"/>
    <cellStyle name="Comma 14 5 5 4" xfId="37425" xr:uid="{00000000-0005-0000-0000-00007F7C0000}"/>
    <cellStyle name="Comma 14 5 5 5" xfId="37426" xr:uid="{00000000-0005-0000-0000-0000807C0000}"/>
    <cellStyle name="Comma 14 5 6" xfId="37427" xr:uid="{00000000-0005-0000-0000-0000817C0000}"/>
    <cellStyle name="Comma 14 5 6 2" xfId="37428" xr:uid="{00000000-0005-0000-0000-0000827C0000}"/>
    <cellStyle name="Comma 14 5 6 3" xfId="37429" xr:uid="{00000000-0005-0000-0000-0000837C0000}"/>
    <cellStyle name="Comma 14 5 7" xfId="37430" xr:uid="{00000000-0005-0000-0000-0000847C0000}"/>
    <cellStyle name="Comma 14 5 7 2" xfId="37431" xr:uid="{00000000-0005-0000-0000-0000857C0000}"/>
    <cellStyle name="Comma 14 5 7 3" xfId="37432" xr:uid="{00000000-0005-0000-0000-0000867C0000}"/>
    <cellStyle name="Comma 14 5 8" xfId="37433" xr:uid="{00000000-0005-0000-0000-0000877C0000}"/>
    <cellStyle name="Comma 14 5 8 2" xfId="37434" xr:uid="{00000000-0005-0000-0000-0000887C0000}"/>
    <cellStyle name="Comma 14 5 9" xfId="37435" xr:uid="{00000000-0005-0000-0000-0000897C0000}"/>
    <cellStyle name="Comma 14 6" xfId="37436" xr:uid="{00000000-0005-0000-0000-00008A7C0000}"/>
    <cellStyle name="Comma 14 6 2" xfId="37437" xr:uid="{00000000-0005-0000-0000-00008B7C0000}"/>
    <cellStyle name="Comma 14 6 2 2" xfId="37438" xr:uid="{00000000-0005-0000-0000-00008C7C0000}"/>
    <cellStyle name="Comma 14 6 2 2 2" xfId="37439" xr:uid="{00000000-0005-0000-0000-00008D7C0000}"/>
    <cellStyle name="Comma 14 6 2 2 3" xfId="37440" xr:uid="{00000000-0005-0000-0000-00008E7C0000}"/>
    <cellStyle name="Comma 14 6 2 3" xfId="37441" xr:uid="{00000000-0005-0000-0000-00008F7C0000}"/>
    <cellStyle name="Comma 14 6 2 3 2" xfId="37442" xr:uid="{00000000-0005-0000-0000-0000907C0000}"/>
    <cellStyle name="Comma 14 6 2 3 3" xfId="37443" xr:uid="{00000000-0005-0000-0000-0000917C0000}"/>
    <cellStyle name="Comma 14 6 2 4" xfId="37444" xr:uid="{00000000-0005-0000-0000-0000927C0000}"/>
    <cellStyle name="Comma 14 6 2 4 2" xfId="37445" xr:uid="{00000000-0005-0000-0000-0000937C0000}"/>
    <cellStyle name="Comma 14 6 2 5" xfId="37446" xr:uid="{00000000-0005-0000-0000-0000947C0000}"/>
    <cellStyle name="Comma 14 6 2 6" xfId="37447" xr:uid="{00000000-0005-0000-0000-0000957C0000}"/>
    <cellStyle name="Comma 14 6 3" xfId="37448" xr:uid="{00000000-0005-0000-0000-0000967C0000}"/>
    <cellStyle name="Comma 14 6 3 2" xfId="37449" xr:uid="{00000000-0005-0000-0000-0000977C0000}"/>
    <cellStyle name="Comma 14 6 3 2 2" xfId="37450" xr:uid="{00000000-0005-0000-0000-0000987C0000}"/>
    <cellStyle name="Comma 14 6 3 2 3" xfId="37451" xr:uid="{00000000-0005-0000-0000-0000997C0000}"/>
    <cellStyle name="Comma 14 6 3 3" xfId="37452" xr:uid="{00000000-0005-0000-0000-00009A7C0000}"/>
    <cellStyle name="Comma 14 6 3 3 2" xfId="37453" xr:uid="{00000000-0005-0000-0000-00009B7C0000}"/>
    <cellStyle name="Comma 14 6 3 3 3" xfId="37454" xr:uid="{00000000-0005-0000-0000-00009C7C0000}"/>
    <cellStyle name="Comma 14 6 3 4" xfId="37455" xr:uid="{00000000-0005-0000-0000-00009D7C0000}"/>
    <cellStyle name="Comma 14 6 3 4 2" xfId="37456" xr:uid="{00000000-0005-0000-0000-00009E7C0000}"/>
    <cellStyle name="Comma 14 6 3 5" xfId="37457" xr:uid="{00000000-0005-0000-0000-00009F7C0000}"/>
    <cellStyle name="Comma 14 6 3 6" xfId="37458" xr:uid="{00000000-0005-0000-0000-0000A07C0000}"/>
    <cellStyle name="Comma 14 6 4" xfId="37459" xr:uid="{00000000-0005-0000-0000-0000A17C0000}"/>
    <cellStyle name="Comma 14 6 4 2" xfId="37460" xr:uid="{00000000-0005-0000-0000-0000A27C0000}"/>
    <cellStyle name="Comma 14 6 4 2 2" xfId="37461" xr:uid="{00000000-0005-0000-0000-0000A37C0000}"/>
    <cellStyle name="Comma 14 6 4 2 3" xfId="37462" xr:uid="{00000000-0005-0000-0000-0000A47C0000}"/>
    <cellStyle name="Comma 14 6 4 3" xfId="37463" xr:uid="{00000000-0005-0000-0000-0000A57C0000}"/>
    <cellStyle name="Comma 14 6 4 3 2" xfId="37464" xr:uid="{00000000-0005-0000-0000-0000A67C0000}"/>
    <cellStyle name="Comma 14 6 4 4" xfId="37465" xr:uid="{00000000-0005-0000-0000-0000A77C0000}"/>
    <cellStyle name="Comma 14 6 4 5" xfId="37466" xr:uid="{00000000-0005-0000-0000-0000A87C0000}"/>
    <cellStyle name="Comma 14 6 5" xfId="37467" xr:uid="{00000000-0005-0000-0000-0000A97C0000}"/>
    <cellStyle name="Comma 14 6 5 2" xfId="37468" xr:uid="{00000000-0005-0000-0000-0000AA7C0000}"/>
    <cellStyle name="Comma 14 6 5 3" xfId="37469" xr:uid="{00000000-0005-0000-0000-0000AB7C0000}"/>
    <cellStyle name="Comma 14 6 6" xfId="37470" xr:uid="{00000000-0005-0000-0000-0000AC7C0000}"/>
    <cellStyle name="Comma 14 6 6 2" xfId="37471" xr:uid="{00000000-0005-0000-0000-0000AD7C0000}"/>
    <cellStyle name="Comma 14 6 6 3" xfId="37472" xr:uid="{00000000-0005-0000-0000-0000AE7C0000}"/>
    <cellStyle name="Comma 14 6 7" xfId="37473" xr:uid="{00000000-0005-0000-0000-0000AF7C0000}"/>
    <cellStyle name="Comma 14 6 7 2" xfId="37474" xr:uid="{00000000-0005-0000-0000-0000B07C0000}"/>
    <cellStyle name="Comma 14 6 8" xfId="37475" xr:uid="{00000000-0005-0000-0000-0000B17C0000}"/>
    <cellStyle name="Comma 14 6 9" xfId="37476" xr:uid="{00000000-0005-0000-0000-0000B27C0000}"/>
    <cellStyle name="Comma 14 7" xfId="37477" xr:uid="{00000000-0005-0000-0000-0000B37C0000}"/>
    <cellStyle name="Comma 14 7 2" xfId="37478" xr:uid="{00000000-0005-0000-0000-0000B47C0000}"/>
    <cellStyle name="Comma 14 7 2 2" xfId="37479" xr:uid="{00000000-0005-0000-0000-0000B57C0000}"/>
    <cellStyle name="Comma 14 7 2 2 2" xfId="37480" xr:uid="{00000000-0005-0000-0000-0000B67C0000}"/>
    <cellStyle name="Comma 14 7 2 2 3" xfId="37481" xr:uid="{00000000-0005-0000-0000-0000B77C0000}"/>
    <cellStyle name="Comma 14 7 2 3" xfId="37482" xr:uid="{00000000-0005-0000-0000-0000B87C0000}"/>
    <cellStyle name="Comma 14 7 2 3 2" xfId="37483" xr:uid="{00000000-0005-0000-0000-0000B97C0000}"/>
    <cellStyle name="Comma 14 7 2 3 3" xfId="37484" xr:uid="{00000000-0005-0000-0000-0000BA7C0000}"/>
    <cellStyle name="Comma 14 7 2 4" xfId="37485" xr:uid="{00000000-0005-0000-0000-0000BB7C0000}"/>
    <cellStyle name="Comma 14 7 2 4 2" xfId="37486" xr:uid="{00000000-0005-0000-0000-0000BC7C0000}"/>
    <cellStyle name="Comma 14 7 2 5" xfId="37487" xr:uid="{00000000-0005-0000-0000-0000BD7C0000}"/>
    <cellStyle name="Comma 14 7 2 6" xfId="37488" xr:uid="{00000000-0005-0000-0000-0000BE7C0000}"/>
    <cellStyle name="Comma 14 7 3" xfId="37489" xr:uid="{00000000-0005-0000-0000-0000BF7C0000}"/>
    <cellStyle name="Comma 14 7 3 2" xfId="37490" xr:uid="{00000000-0005-0000-0000-0000C07C0000}"/>
    <cellStyle name="Comma 14 7 3 2 2" xfId="37491" xr:uid="{00000000-0005-0000-0000-0000C17C0000}"/>
    <cellStyle name="Comma 14 7 3 2 3" xfId="37492" xr:uid="{00000000-0005-0000-0000-0000C27C0000}"/>
    <cellStyle name="Comma 14 7 3 3" xfId="37493" xr:uid="{00000000-0005-0000-0000-0000C37C0000}"/>
    <cellStyle name="Comma 14 7 3 3 2" xfId="37494" xr:uid="{00000000-0005-0000-0000-0000C47C0000}"/>
    <cellStyle name="Comma 14 7 3 3 3" xfId="37495" xr:uid="{00000000-0005-0000-0000-0000C57C0000}"/>
    <cellStyle name="Comma 14 7 3 4" xfId="37496" xr:uid="{00000000-0005-0000-0000-0000C67C0000}"/>
    <cellStyle name="Comma 14 7 3 4 2" xfId="37497" xr:uid="{00000000-0005-0000-0000-0000C77C0000}"/>
    <cellStyle name="Comma 14 7 3 5" xfId="37498" xr:uid="{00000000-0005-0000-0000-0000C87C0000}"/>
    <cellStyle name="Comma 14 7 3 6" xfId="37499" xr:uid="{00000000-0005-0000-0000-0000C97C0000}"/>
    <cellStyle name="Comma 14 7 4" xfId="37500" xr:uid="{00000000-0005-0000-0000-0000CA7C0000}"/>
    <cellStyle name="Comma 14 7 4 2" xfId="37501" xr:uid="{00000000-0005-0000-0000-0000CB7C0000}"/>
    <cellStyle name="Comma 14 7 4 2 2" xfId="37502" xr:uid="{00000000-0005-0000-0000-0000CC7C0000}"/>
    <cellStyle name="Comma 14 7 4 2 3" xfId="37503" xr:uid="{00000000-0005-0000-0000-0000CD7C0000}"/>
    <cellStyle name="Comma 14 7 4 3" xfId="37504" xr:uid="{00000000-0005-0000-0000-0000CE7C0000}"/>
    <cellStyle name="Comma 14 7 4 3 2" xfId="37505" xr:uid="{00000000-0005-0000-0000-0000CF7C0000}"/>
    <cellStyle name="Comma 14 7 4 4" xfId="37506" xr:uid="{00000000-0005-0000-0000-0000D07C0000}"/>
    <cellStyle name="Comma 14 7 4 5" xfId="37507" xr:uid="{00000000-0005-0000-0000-0000D17C0000}"/>
    <cellStyle name="Comma 14 7 5" xfId="37508" xr:uid="{00000000-0005-0000-0000-0000D27C0000}"/>
    <cellStyle name="Comma 14 7 5 2" xfId="37509" xr:uid="{00000000-0005-0000-0000-0000D37C0000}"/>
    <cellStyle name="Comma 14 7 5 3" xfId="37510" xr:uid="{00000000-0005-0000-0000-0000D47C0000}"/>
    <cellStyle name="Comma 14 7 6" xfId="37511" xr:uid="{00000000-0005-0000-0000-0000D57C0000}"/>
    <cellStyle name="Comma 14 7 6 2" xfId="37512" xr:uid="{00000000-0005-0000-0000-0000D67C0000}"/>
    <cellStyle name="Comma 14 7 6 3" xfId="37513" xr:uid="{00000000-0005-0000-0000-0000D77C0000}"/>
    <cellStyle name="Comma 14 7 7" xfId="37514" xr:uid="{00000000-0005-0000-0000-0000D87C0000}"/>
    <cellStyle name="Comma 14 7 7 2" xfId="37515" xr:uid="{00000000-0005-0000-0000-0000D97C0000}"/>
    <cellStyle name="Comma 14 7 8" xfId="37516" xr:uid="{00000000-0005-0000-0000-0000DA7C0000}"/>
    <cellStyle name="Comma 14 7 9" xfId="37517" xr:uid="{00000000-0005-0000-0000-0000DB7C0000}"/>
    <cellStyle name="Comma 14 8" xfId="37518" xr:uid="{00000000-0005-0000-0000-0000DC7C0000}"/>
    <cellStyle name="Comma 14 8 2" xfId="37519" xr:uid="{00000000-0005-0000-0000-0000DD7C0000}"/>
    <cellStyle name="Comma 14 8 2 2" xfId="37520" xr:uid="{00000000-0005-0000-0000-0000DE7C0000}"/>
    <cellStyle name="Comma 14 8 2 3" xfId="37521" xr:uid="{00000000-0005-0000-0000-0000DF7C0000}"/>
    <cellStyle name="Comma 14 8 3" xfId="37522" xr:uid="{00000000-0005-0000-0000-0000E07C0000}"/>
    <cellStyle name="Comma 14 8 3 2" xfId="37523" xr:uid="{00000000-0005-0000-0000-0000E17C0000}"/>
    <cellStyle name="Comma 14 8 3 3" xfId="37524" xr:uid="{00000000-0005-0000-0000-0000E27C0000}"/>
    <cellStyle name="Comma 14 8 4" xfId="37525" xr:uid="{00000000-0005-0000-0000-0000E37C0000}"/>
    <cellStyle name="Comma 14 8 4 2" xfId="37526" xr:uid="{00000000-0005-0000-0000-0000E47C0000}"/>
    <cellStyle name="Comma 14 8 5" xfId="37527" xr:uid="{00000000-0005-0000-0000-0000E57C0000}"/>
    <cellStyle name="Comma 14 8 6" xfId="37528" xr:uid="{00000000-0005-0000-0000-0000E67C0000}"/>
    <cellStyle name="Comma 14 9" xfId="37529" xr:uid="{00000000-0005-0000-0000-0000E77C0000}"/>
    <cellStyle name="Comma 14 9 2" xfId="37530" xr:uid="{00000000-0005-0000-0000-0000E87C0000}"/>
    <cellStyle name="Comma 14 9 2 2" xfId="37531" xr:uid="{00000000-0005-0000-0000-0000E97C0000}"/>
    <cellStyle name="Comma 14 9 2 3" xfId="37532" xr:uid="{00000000-0005-0000-0000-0000EA7C0000}"/>
    <cellStyle name="Comma 14 9 3" xfId="37533" xr:uid="{00000000-0005-0000-0000-0000EB7C0000}"/>
    <cellStyle name="Comma 14 9 3 2" xfId="37534" xr:uid="{00000000-0005-0000-0000-0000EC7C0000}"/>
    <cellStyle name="Comma 14 9 3 3" xfId="37535" xr:uid="{00000000-0005-0000-0000-0000ED7C0000}"/>
    <cellStyle name="Comma 14 9 4" xfId="37536" xr:uid="{00000000-0005-0000-0000-0000EE7C0000}"/>
    <cellStyle name="Comma 14 9 4 2" xfId="37537" xr:uid="{00000000-0005-0000-0000-0000EF7C0000}"/>
    <cellStyle name="Comma 14 9 5" xfId="37538" xr:uid="{00000000-0005-0000-0000-0000F07C0000}"/>
    <cellStyle name="Comma 14 9 6" xfId="37539" xr:uid="{00000000-0005-0000-0000-0000F17C0000}"/>
    <cellStyle name="Comma 15" xfId="3242" xr:uid="{00000000-0005-0000-0000-0000F27C0000}"/>
    <cellStyle name="Comma 15 10" xfId="37540" xr:uid="{00000000-0005-0000-0000-0000F37C0000}"/>
    <cellStyle name="Comma 15 10 2" xfId="37541" xr:uid="{00000000-0005-0000-0000-0000F47C0000}"/>
    <cellStyle name="Comma 15 10 2 2" xfId="37542" xr:uid="{00000000-0005-0000-0000-0000F57C0000}"/>
    <cellStyle name="Comma 15 10 2 3" xfId="37543" xr:uid="{00000000-0005-0000-0000-0000F67C0000}"/>
    <cellStyle name="Comma 15 10 3" xfId="37544" xr:uid="{00000000-0005-0000-0000-0000F77C0000}"/>
    <cellStyle name="Comma 15 10 3 2" xfId="37545" xr:uid="{00000000-0005-0000-0000-0000F87C0000}"/>
    <cellStyle name="Comma 15 10 4" xfId="37546" xr:uid="{00000000-0005-0000-0000-0000F97C0000}"/>
    <cellStyle name="Comma 15 10 5" xfId="37547" xr:uid="{00000000-0005-0000-0000-0000FA7C0000}"/>
    <cellStyle name="Comma 15 11" xfId="37548" xr:uid="{00000000-0005-0000-0000-0000FB7C0000}"/>
    <cellStyle name="Comma 15 11 2" xfId="37549" xr:uid="{00000000-0005-0000-0000-0000FC7C0000}"/>
    <cellStyle name="Comma 15 11 3" xfId="37550" xr:uid="{00000000-0005-0000-0000-0000FD7C0000}"/>
    <cellStyle name="Comma 15 12" xfId="37551" xr:uid="{00000000-0005-0000-0000-0000FE7C0000}"/>
    <cellStyle name="Comma 15 12 2" xfId="37552" xr:uid="{00000000-0005-0000-0000-0000FF7C0000}"/>
    <cellStyle name="Comma 15 12 3" xfId="37553" xr:uid="{00000000-0005-0000-0000-0000007D0000}"/>
    <cellStyle name="Comma 15 13" xfId="37554" xr:uid="{00000000-0005-0000-0000-0000017D0000}"/>
    <cellStyle name="Comma 15 13 2" xfId="37555" xr:uid="{00000000-0005-0000-0000-0000027D0000}"/>
    <cellStyle name="Comma 15 14" xfId="37556" xr:uid="{00000000-0005-0000-0000-0000037D0000}"/>
    <cellStyle name="Comma 15 15" xfId="37557" xr:uid="{00000000-0005-0000-0000-0000047D0000}"/>
    <cellStyle name="Comma 15 16" xfId="37558" xr:uid="{00000000-0005-0000-0000-0000057D0000}"/>
    <cellStyle name="Comma 15 2" xfId="8228" xr:uid="{00000000-0005-0000-0000-0000067D0000}"/>
    <cellStyle name="Comma 15 2 10" xfId="37559" xr:uid="{00000000-0005-0000-0000-0000077D0000}"/>
    <cellStyle name="Comma 15 2 10 2" xfId="37560" xr:uid="{00000000-0005-0000-0000-0000087D0000}"/>
    <cellStyle name="Comma 15 2 10 3" xfId="37561" xr:uid="{00000000-0005-0000-0000-0000097D0000}"/>
    <cellStyle name="Comma 15 2 11" xfId="37562" xr:uid="{00000000-0005-0000-0000-00000A7D0000}"/>
    <cellStyle name="Comma 15 2 11 2" xfId="37563" xr:uid="{00000000-0005-0000-0000-00000B7D0000}"/>
    <cellStyle name="Comma 15 2 11 3" xfId="37564" xr:uid="{00000000-0005-0000-0000-00000C7D0000}"/>
    <cellStyle name="Comma 15 2 12" xfId="37565" xr:uid="{00000000-0005-0000-0000-00000D7D0000}"/>
    <cellStyle name="Comma 15 2 12 2" xfId="37566" xr:uid="{00000000-0005-0000-0000-00000E7D0000}"/>
    <cellStyle name="Comma 15 2 13" xfId="37567" xr:uid="{00000000-0005-0000-0000-00000F7D0000}"/>
    <cellStyle name="Comma 15 2 14" xfId="37568" xr:uid="{00000000-0005-0000-0000-0000107D0000}"/>
    <cellStyle name="Comma 15 2 15" xfId="37569" xr:uid="{00000000-0005-0000-0000-0000117D0000}"/>
    <cellStyle name="Comma 15 2 2" xfId="37570" xr:uid="{00000000-0005-0000-0000-0000127D0000}"/>
    <cellStyle name="Comma 15 2 2 10" xfId="37571" xr:uid="{00000000-0005-0000-0000-0000137D0000}"/>
    <cellStyle name="Comma 15 2 2 10 2" xfId="37572" xr:uid="{00000000-0005-0000-0000-0000147D0000}"/>
    <cellStyle name="Comma 15 2 2 10 3" xfId="37573" xr:uid="{00000000-0005-0000-0000-0000157D0000}"/>
    <cellStyle name="Comma 15 2 2 11" xfId="37574" xr:uid="{00000000-0005-0000-0000-0000167D0000}"/>
    <cellStyle name="Comma 15 2 2 11 2" xfId="37575" xr:uid="{00000000-0005-0000-0000-0000177D0000}"/>
    <cellStyle name="Comma 15 2 2 12" xfId="37576" xr:uid="{00000000-0005-0000-0000-0000187D0000}"/>
    <cellStyle name="Comma 15 2 2 13" xfId="37577" xr:uid="{00000000-0005-0000-0000-0000197D0000}"/>
    <cellStyle name="Comma 15 2 2 2" xfId="37578" xr:uid="{00000000-0005-0000-0000-00001A7D0000}"/>
    <cellStyle name="Comma 15 2 2 2 10" xfId="37579" xr:uid="{00000000-0005-0000-0000-00001B7D0000}"/>
    <cellStyle name="Comma 15 2 2 2 10 2" xfId="37580" xr:uid="{00000000-0005-0000-0000-00001C7D0000}"/>
    <cellStyle name="Comma 15 2 2 2 11" xfId="37581" xr:uid="{00000000-0005-0000-0000-00001D7D0000}"/>
    <cellStyle name="Comma 15 2 2 2 12" xfId="37582" xr:uid="{00000000-0005-0000-0000-00001E7D0000}"/>
    <cellStyle name="Comma 15 2 2 2 2" xfId="37583" xr:uid="{00000000-0005-0000-0000-00001F7D0000}"/>
    <cellStyle name="Comma 15 2 2 2 2 10" xfId="37584" xr:uid="{00000000-0005-0000-0000-0000207D0000}"/>
    <cellStyle name="Comma 15 2 2 2 2 2" xfId="37585" xr:uid="{00000000-0005-0000-0000-0000217D0000}"/>
    <cellStyle name="Comma 15 2 2 2 2 2 2" xfId="37586" xr:uid="{00000000-0005-0000-0000-0000227D0000}"/>
    <cellStyle name="Comma 15 2 2 2 2 2 2 2" xfId="37587" xr:uid="{00000000-0005-0000-0000-0000237D0000}"/>
    <cellStyle name="Comma 15 2 2 2 2 2 2 2 2" xfId="37588" xr:uid="{00000000-0005-0000-0000-0000247D0000}"/>
    <cellStyle name="Comma 15 2 2 2 2 2 2 2 3" xfId="37589" xr:uid="{00000000-0005-0000-0000-0000257D0000}"/>
    <cellStyle name="Comma 15 2 2 2 2 2 2 3" xfId="37590" xr:uid="{00000000-0005-0000-0000-0000267D0000}"/>
    <cellStyle name="Comma 15 2 2 2 2 2 2 3 2" xfId="37591" xr:uid="{00000000-0005-0000-0000-0000277D0000}"/>
    <cellStyle name="Comma 15 2 2 2 2 2 2 3 3" xfId="37592" xr:uid="{00000000-0005-0000-0000-0000287D0000}"/>
    <cellStyle name="Comma 15 2 2 2 2 2 2 4" xfId="37593" xr:uid="{00000000-0005-0000-0000-0000297D0000}"/>
    <cellStyle name="Comma 15 2 2 2 2 2 2 4 2" xfId="37594" xr:uid="{00000000-0005-0000-0000-00002A7D0000}"/>
    <cellStyle name="Comma 15 2 2 2 2 2 2 5" xfId="37595" xr:uid="{00000000-0005-0000-0000-00002B7D0000}"/>
    <cellStyle name="Comma 15 2 2 2 2 2 2 6" xfId="37596" xr:uid="{00000000-0005-0000-0000-00002C7D0000}"/>
    <cellStyle name="Comma 15 2 2 2 2 2 3" xfId="37597" xr:uid="{00000000-0005-0000-0000-00002D7D0000}"/>
    <cellStyle name="Comma 15 2 2 2 2 2 3 2" xfId="37598" xr:uid="{00000000-0005-0000-0000-00002E7D0000}"/>
    <cellStyle name="Comma 15 2 2 2 2 2 3 2 2" xfId="37599" xr:uid="{00000000-0005-0000-0000-00002F7D0000}"/>
    <cellStyle name="Comma 15 2 2 2 2 2 3 2 3" xfId="37600" xr:uid="{00000000-0005-0000-0000-0000307D0000}"/>
    <cellStyle name="Comma 15 2 2 2 2 2 3 3" xfId="37601" xr:uid="{00000000-0005-0000-0000-0000317D0000}"/>
    <cellStyle name="Comma 15 2 2 2 2 2 3 3 2" xfId="37602" xr:uid="{00000000-0005-0000-0000-0000327D0000}"/>
    <cellStyle name="Comma 15 2 2 2 2 2 3 3 3" xfId="37603" xr:uid="{00000000-0005-0000-0000-0000337D0000}"/>
    <cellStyle name="Comma 15 2 2 2 2 2 3 4" xfId="37604" xr:uid="{00000000-0005-0000-0000-0000347D0000}"/>
    <cellStyle name="Comma 15 2 2 2 2 2 3 4 2" xfId="37605" xr:uid="{00000000-0005-0000-0000-0000357D0000}"/>
    <cellStyle name="Comma 15 2 2 2 2 2 3 5" xfId="37606" xr:uid="{00000000-0005-0000-0000-0000367D0000}"/>
    <cellStyle name="Comma 15 2 2 2 2 2 3 6" xfId="37607" xr:uid="{00000000-0005-0000-0000-0000377D0000}"/>
    <cellStyle name="Comma 15 2 2 2 2 2 4" xfId="37608" xr:uid="{00000000-0005-0000-0000-0000387D0000}"/>
    <cellStyle name="Comma 15 2 2 2 2 2 4 2" xfId="37609" xr:uid="{00000000-0005-0000-0000-0000397D0000}"/>
    <cellStyle name="Comma 15 2 2 2 2 2 4 2 2" xfId="37610" xr:uid="{00000000-0005-0000-0000-00003A7D0000}"/>
    <cellStyle name="Comma 15 2 2 2 2 2 4 2 3" xfId="37611" xr:uid="{00000000-0005-0000-0000-00003B7D0000}"/>
    <cellStyle name="Comma 15 2 2 2 2 2 4 3" xfId="37612" xr:uid="{00000000-0005-0000-0000-00003C7D0000}"/>
    <cellStyle name="Comma 15 2 2 2 2 2 4 3 2" xfId="37613" xr:uid="{00000000-0005-0000-0000-00003D7D0000}"/>
    <cellStyle name="Comma 15 2 2 2 2 2 4 4" xfId="37614" xr:uid="{00000000-0005-0000-0000-00003E7D0000}"/>
    <cellStyle name="Comma 15 2 2 2 2 2 4 5" xfId="37615" xr:uid="{00000000-0005-0000-0000-00003F7D0000}"/>
    <cellStyle name="Comma 15 2 2 2 2 2 5" xfId="37616" xr:uid="{00000000-0005-0000-0000-0000407D0000}"/>
    <cellStyle name="Comma 15 2 2 2 2 2 5 2" xfId="37617" xr:uid="{00000000-0005-0000-0000-0000417D0000}"/>
    <cellStyle name="Comma 15 2 2 2 2 2 5 3" xfId="37618" xr:uid="{00000000-0005-0000-0000-0000427D0000}"/>
    <cellStyle name="Comma 15 2 2 2 2 2 6" xfId="37619" xr:uid="{00000000-0005-0000-0000-0000437D0000}"/>
    <cellStyle name="Comma 15 2 2 2 2 2 6 2" xfId="37620" xr:uid="{00000000-0005-0000-0000-0000447D0000}"/>
    <cellStyle name="Comma 15 2 2 2 2 2 6 3" xfId="37621" xr:uid="{00000000-0005-0000-0000-0000457D0000}"/>
    <cellStyle name="Comma 15 2 2 2 2 2 7" xfId="37622" xr:uid="{00000000-0005-0000-0000-0000467D0000}"/>
    <cellStyle name="Comma 15 2 2 2 2 2 7 2" xfId="37623" xr:uid="{00000000-0005-0000-0000-0000477D0000}"/>
    <cellStyle name="Comma 15 2 2 2 2 2 8" xfId="37624" xr:uid="{00000000-0005-0000-0000-0000487D0000}"/>
    <cellStyle name="Comma 15 2 2 2 2 2 9" xfId="37625" xr:uid="{00000000-0005-0000-0000-0000497D0000}"/>
    <cellStyle name="Comma 15 2 2 2 2 3" xfId="37626" xr:uid="{00000000-0005-0000-0000-00004A7D0000}"/>
    <cellStyle name="Comma 15 2 2 2 2 3 2" xfId="37627" xr:uid="{00000000-0005-0000-0000-00004B7D0000}"/>
    <cellStyle name="Comma 15 2 2 2 2 3 2 2" xfId="37628" xr:uid="{00000000-0005-0000-0000-00004C7D0000}"/>
    <cellStyle name="Comma 15 2 2 2 2 3 2 3" xfId="37629" xr:uid="{00000000-0005-0000-0000-00004D7D0000}"/>
    <cellStyle name="Comma 15 2 2 2 2 3 3" xfId="37630" xr:uid="{00000000-0005-0000-0000-00004E7D0000}"/>
    <cellStyle name="Comma 15 2 2 2 2 3 3 2" xfId="37631" xr:uid="{00000000-0005-0000-0000-00004F7D0000}"/>
    <cellStyle name="Comma 15 2 2 2 2 3 3 3" xfId="37632" xr:uid="{00000000-0005-0000-0000-0000507D0000}"/>
    <cellStyle name="Comma 15 2 2 2 2 3 4" xfId="37633" xr:uid="{00000000-0005-0000-0000-0000517D0000}"/>
    <cellStyle name="Comma 15 2 2 2 2 3 4 2" xfId="37634" xr:uid="{00000000-0005-0000-0000-0000527D0000}"/>
    <cellStyle name="Comma 15 2 2 2 2 3 5" xfId="37635" xr:uid="{00000000-0005-0000-0000-0000537D0000}"/>
    <cellStyle name="Comma 15 2 2 2 2 3 6" xfId="37636" xr:uid="{00000000-0005-0000-0000-0000547D0000}"/>
    <cellStyle name="Comma 15 2 2 2 2 4" xfId="37637" xr:uid="{00000000-0005-0000-0000-0000557D0000}"/>
    <cellStyle name="Comma 15 2 2 2 2 4 2" xfId="37638" xr:uid="{00000000-0005-0000-0000-0000567D0000}"/>
    <cellStyle name="Comma 15 2 2 2 2 4 2 2" xfId="37639" xr:uid="{00000000-0005-0000-0000-0000577D0000}"/>
    <cellStyle name="Comma 15 2 2 2 2 4 2 3" xfId="37640" xr:uid="{00000000-0005-0000-0000-0000587D0000}"/>
    <cellStyle name="Comma 15 2 2 2 2 4 3" xfId="37641" xr:uid="{00000000-0005-0000-0000-0000597D0000}"/>
    <cellStyle name="Comma 15 2 2 2 2 4 3 2" xfId="37642" xr:uid="{00000000-0005-0000-0000-00005A7D0000}"/>
    <cellStyle name="Comma 15 2 2 2 2 4 3 3" xfId="37643" xr:uid="{00000000-0005-0000-0000-00005B7D0000}"/>
    <cellStyle name="Comma 15 2 2 2 2 4 4" xfId="37644" xr:uid="{00000000-0005-0000-0000-00005C7D0000}"/>
    <cellStyle name="Comma 15 2 2 2 2 4 4 2" xfId="37645" xr:uid="{00000000-0005-0000-0000-00005D7D0000}"/>
    <cellStyle name="Comma 15 2 2 2 2 4 5" xfId="37646" xr:uid="{00000000-0005-0000-0000-00005E7D0000}"/>
    <cellStyle name="Comma 15 2 2 2 2 4 6" xfId="37647" xr:uid="{00000000-0005-0000-0000-00005F7D0000}"/>
    <cellStyle name="Comma 15 2 2 2 2 5" xfId="37648" xr:uid="{00000000-0005-0000-0000-0000607D0000}"/>
    <cellStyle name="Comma 15 2 2 2 2 5 2" xfId="37649" xr:uid="{00000000-0005-0000-0000-0000617D0000}"/>
    <cellStyle name="Comma 15 2 2 2 2 5 2 2" xfId="37650" xr:uid="{00000000-0005-0000-0000-0000627D0000}"/>
    <cellStyle name="Comma 15 2 2 2 2 5 2 3" xfId="37651" xr:uid="{00000000-0005-0000-0000-0000637D0000}"/>
    <cellStyle name="Comma 15 2 2 2 2 5 3" xfId="37652" xr:uid="{00000000-0005-0000-0000-0000647D0000}"/>
    <cellStyle name="Comma 15 2 2 2 2 5 3 2" xfId="37653" xr:uid="{00000000-0005-0000-0000-0000657D0000}"/>
    <cellStyle name="Comma 15 2 2 2 2 5 4" xfId="37654" xr:uid="{00000000-0005-0000-0000-0000667D0000}"/>
    <cellStyle name="Comma 15 2 2 2 2 5 5" xfId="37655" xr:uid="{00000000-0005-0000-0000-0000677D0000}"/>
    <cellStyle name="Comma 15 2 2 2 2 6" xfId="37656" xr:uid="{00000000-0005-0000-0000-0000687D0000}"/>
    <cellStyle name="Comma 15 2 2 2 2 6 2" xfId="37657" xr:uid="{00000000-0005-0000-0000-0000697D0000}"/>
    <cellStyle name="Comma 15 2 2 2 2 6 3" xfId="37658" xr:uid="{00000000-0005-0000-0000-00006A7D0000}"/>
    <cellStyle name="Comma 15 2 2 2 2 7" xfId="37659" xr:uid="{00000000-0005-0000-0000-00006B7D0000}"/>
    <cellStyle name="Comma 15 2 2 2 2 7 2" xfId="37660" xr:uid="{00000000-0005-0000-0000-00006C7D0000}"/>
    <cellStyle name="Comma 15 2 2 2 2 7 3" xfId="37661" xr:uid="{00000000-0005-0000-0000-00006D7D0000}"/>
    <cellStyle name="Comma 15 2 2 2 2 8" xfId="37662" xr:uid="{00000000-0005-0000-0000-00006E7D0000}"/>
    <cellStyle name="Comma 15 2 2 2 2 8 2" xfId="37663" xr:uid="{00000000-0005-0000-0000-00006F7D0000}"/>
    <cellStyle name="Comma 15 2 2 2 2 9" xfId="37664" xr:uid="{00000000-0005-0000-0000-0000707D0000}"/>
    <cellStyle name="Comma 15 2 2 2 3" xfId="37665" xr:uid="{00000000-0005-0000-0000-0000717D0000}"/>
    <cellStyle name="Comma 15 2 2 2 3 2" xfId="37666" xr:uid="{00000000-0005-0000-0000-0000727D0000}"/>
    <cellStyle name="Comma 15 2 2 2 3 2 2" xfId="37667" xr:uid="{00000000-0005-0000-0000-0000737D0000}"/>
    <cellStyle name="Comma 15 2 2 2 3 2 2 2" xfId="37668" xr:uid="{00000000-0005-0000-0000-0000747D0000}"/>
    <cellStyle name="Comma 15 2 2 2 3 2 2 3" xfId="37669" xr:uid="{00000000-0005-0000-0000-0000757D0000}"/>
    <cellStyle name="Comma 15 2 2 2 3 2 3" xfId="37670" xr:uid="{00000000-0005-0000-0000-0000767D0000}"/>
    <cellStyle name="Comma 15 2 2 2 3 2 3 2" xfId="37671" xr:uid="{00000000-0005-0000-0000-0000777D0000}"/>
    <cellStyle name="Comma 15 2 2 2 3 2 3 3" xfId="37672" xr:uid="{00000000-0005-0000-0000-0000787D0000}"/>
    <cellStyle name="Comma 15 2 2 2 3 2 4" xfId="37673" xr:uid="{00000000-0005-0000-0000-0000797D0000}"/>
    <cellStyle name="Comma 15 2 2 2 3 2 4 2" xfId="37674" xr:uid="{00000000-0005-0000-0000-00007A7D0000}"/>
    <cellStyle name="Comma 15 2 2 2 3 2 5" xfId="37675" xr:uid="{00000000-0005-0000-0000-00007B7D0000}"/>
    <cellStyle name="Comma 15 2 2 2 3 2 6" xfId="37676" xr:uid="{00000000-0005-0000-0000-00007C7D0000}"/>
    <cellStyle name="Comma 15 2 2 2 3 3" xfId="37677" xr:uid="{00000000-0005-0000-0000-00007D7D0000}"/>
    <cellStyle name="Comma 15 2 2 2 3 3 2" xfId="37678" xr:uid="{00000000-0005-0000-0000-00007E7D0000}"/>
    <cellStyle name="Comma 15 2 2 2 3 3 2 2" xfId="37679" xr:uid="{00000000-0005-0000-0000-00007F7D0000}"/>
    <cellStyle name="Comma 15 2 2 2 3 3 2 3" xfId="37680" xr:uid="{00000000-0005-0000-0000-0000807D0000}"/>
    <cellStyle name="Comma 15 2 2 2 3 3 3" xfId="37681" xr:uid="{00000000-0005-0000-0000-0000817D0000}"/>
    <cellStyle name="Comma 15 2 2 2 3 3 3 2" xfId="37682" xr:uid="{00000000-0005-0000-0000-0000827D0000}"/>
    <cellStyle name="Comma 15 2 2 2 3 3 3 3" xfId="37683" xr:uid="{00000000-0005-0000-0000-0000837D0000}"/>
    <cellStyle name="Comma 15 2 2 2 3 3 4" xfId="37684" xr:uid="{00000000-0005-0000-0000-0000847D0000}"/>
    <cellStyle name="Comma 15 2 2 2 3 3 4 2" xfId="37685" xr:uid="{00000000-0005-0000-0000-0000857D0000}"/>
    <cellStyle name="Comma 15 2 2 2 3 3 5" xfId="37686" xr:uid="{00000000-0005-0000-0000-0000867D0000}"/>
    <cellStyle name="Comma 15 2 2 2 3 3 6" xfId="37687" xr:uid="{00000000-0005-0000-0000-0000877D0000}"/>
    <cellStyle name="Comma 15 2 2 2 3 4" xfId="37688" xr:uid="{00000000-0005-0000-0000-0000887D0000}"/>
    <cellStyle name="Comma 15 2 2 2 3 4 2" xfId="37689" xr:uid="{00000000-0005-0000-0000-0000897D0000}"/>
    <cellStyle name="Comma 15 2 2 2 3 4 2 2" xfId="37690" xr:uid="{00000000-0005-0000-0000-00008A7D0000}"/>
    <cellStyle name="Comma 15 2 2 2 3 4 2 3" xfId="37691" xr:uid="{00000000-0005-0000-0000-00008B7D0000}"/>
    <cellStyle name="Comma 15 2 2 2 3 4 3" xfId="37692" xr:uid="{00000000-0005-0000-0000-00008C7D0000}"/>
    <cellStyle name="Comma 15 2 2 2 3 4 3 2" xfId="37693" xr:uid="{00000000-0005-0000-0000-00008D7D0000}"/>
    <cellStyle name="Comma 15 2 2 2 3 4 4" xfId="37694" xr:uid="{00000000-0005-0000-0000-00008E7D0000}"/>
    <cellStyle name="Comma 15 2 2 2 3 4 5" xfId="37695" xr:uid="{00000000-0005-0000-0000-00008F7D0000}"/>
    <cellStyle name="Comma 15 2 2 2 3 5" xfId="37696" xr:uid="{00000000-0005-0000-0000-0000907D0000}"/>
    <cellStyle name="Comma 15 2 2 2 3 5 2" xfId="37697" xr:uid="{00000000-0005-0000-0000-0000917D0000}"/>
    <cellStyle name="Comma 15 2 2 2 3 5 3" xfId="37698" xr:uid="{00000000-0005-0000-0000-0000927D0000}"/>
    <cellStyle name="Comma 15 2 2 2 3 6" xfId="37699" xr:uid="{00000000-0005-0000-0000-0000937D0000}"/>
    <cellStyle name="Comma 15 2 2 2 3 6 2" xfId="37700" xr:uid="{00000000-0005-0000-0000-0000947D0000}"/>
    <cellStyle name="Comma 15 2 2 2 3 6 3" xfId="37701" xr:uid="{00000000-0005-0000-0000-0000957D0000}"/>
    <cellStyle name="Comma 15 2 2 2 3 7" xfId="37702" xr:uid="{00000000-0005-0000-0000-0000967D0000}"/>
    <cellStyle name="Comma 15 2 2 2 3 7 2" xfId="37703" xr:uid="{00000000-0005-0000-0000-0000977D0000}"/>
    <cellStyle name="Comma 15 2 2 2 3 8" xfId="37704" xr:uid="{00000000-0005-0000-0000-0000987D0000}"/>
    <cellStyle name="Comma 15 2 2 2 3 9" xfId="37705" xr:uid="{00000000-0005-0000-0000-0000997D0000}"/>
    <cellStyle name="Comma 15 2 2 2 4" xfId="37706" xr:uid="{00000000-0005-0000-0000-00009A7D0000}"/>
    <cellStyle name="Comma 15 2 2 2 4 2" xfId="37707" xr:uid="{00000000-0005-0000-0000-00009B7D0000}"/>
    <cellStyle name="Comma 15 2 2 2 4 2 2" xfId="37708" xr:uid="{00000000-0005-0000-0000-00009C7D0000}"/>
    <cellStyle name="Comma 15 2 2 2 4 2 2 2" xfId="37709" xr:uid="{00000000-0005-0000-0000-00009D7D0000}"/>
    <cellStyle name="Comma 15 2 2 2 4 2 2 3" xfId="37710" xr:uid="{00000000-0005-0000-0000-00009E7D0000}"/>
    <cellStyle name="Comma 15 2 2 2 4 2 3" xfId="37711" xr:uid="{00000000-0005-0000-0000-00009F7D0000}"/>
    <cellStyle name="Comma 15 2 2 2 4 2 3 2" xfId="37712" xr:uid="{00000000-0005-0000-0000-0000A07D0000}"/>
    <cellStyle name="Comma 15 2 2 2 4 2 3 3" xfId="37713" xr:uid="{00000000-0005-0000-0000-0000A17D0000}"/>
    <cellStyle name="Comma 15 2 2 2 4 2 4" xfId="37714" xr:uid="{00000000-0005-0000-0000-0000A27D0000}"/>
    <cellStyle name="Comma 15 2 2 2 4 2 4 2" xfId="37715" xr:uid="{00000000-0005-0000-0000-0000A37D0000}"/>
    <cellStyle name="Comma 15 2 2 2 4 2 5" xfId="37716" xr:uid="{00000000-0005-0000-0000-0000A47D0000}"/>
    <cellStyle name="Comma 15 2 2 2 4 2 6" xfId="37717" xr:uid="{00000000-0005-0000-0000-0000A57D0000}"/>
    <cellStyle name="Comma 15 2 2 2 4 3" xfId="37718" xr:uid="{00000000-0005-0000-0000-0000A67D0000}"/>
    <cellStyle name="Comma 15 2 2 2 4 3 2" xfId="37719" xr:uid="{00000000-0005-0000-0000-0000A77D0000}"/>
    <cellStyle name="Comma 15 2 2 2 4 3 2 2" xfId="37720" xr:uid="{00000000-0005-0000-0000-0000A87D0000}"/>
    <cellStyle name="Comma 15 2 2 2 4 3 2 3" xfId="37721" xr:uid="{00000000-0005-0000-0000-0000A97D0000}"/>
    <cellStyle name="Comma 15 2 2 2 4 3 3" xfId="37722" xr:uid="{00000000-0005-0000-0000-0000AA7D0000}"/>
    <cellStyle name="Comma 15 2 2 2 4 3 3 2" xfId="37723" xr:uid="{00000000-0005-0000-0000-0000AB7D0000}"/>
    <cellStyle name="Comma 15 2 2 2 4 3 3 3" xfId="37724" xr:uid="{00000000-0005-0000-0000-0000AC7D0000}"/>
    <cellStyle name="Comma 15 2 2 2 4 3 4" xfId="37725" xr:uid="{00000000-0005-0000-0000-0000AD7D0000}"/>
    <cellStyle name="Comma 15 2 2 2 4 3 4 2" xfId="37726" xr:uid="{00000000-0005-0000-0000-0000AE7D0000}"/>
    <cellStyle name="Comma 15 2 2 2 4 3 5" xfId="37727" xr:uid="{00000000-0005-0000-0000-0000AF7D0000}"/>
    <cellStyle name="Comma 15 2 2 2 4 3 6" xfId="37728" xr:uid="{00000000-0005-0000-0000-0000B07D0000}"/>
    <cellStyle name="Comma 15 2 2 2 4 4" xfId="37729" xr:uid="{00000000-0005-0000-0000-0000B17D0000}"/>
    <cellStyle name="Comma 15 2 2 2 4 4 2" xfId="37730" xr:uid="{00000000-0005-0000-0000-0000B27D0000}"/>
    <cellStyle name="Comma 15 2 2 2 4 4 2 2" xfId="37731" xr:uid="{00000000-0005-0000-0000-0000B37D0000}"/>
    <cellStyle name="Comma 15 2 2 2 4 4 2 3" xfId="37732" xr:uid="{00000000-0005-0000-0000-0000B47D0000}"/>
    <cellStyle name="Comma 15 2 2 2 4 4 3" xfId="37733" xr:uid="{00000000-0005-0000-0000-0000B57D0000}"/>
    <cellStyle name="Comma 15 2 2 2 4 4 3 2" xfId="37734" xr:uid="{00000000-0005-0000-0000-0000B67D0000}"/>
    <cellStyle name="Comma 15 2 2 2 4 4 4" xfId="37735" xr:uid="{00000000-0005-0000-0000-0000B77D0000}"/>
    <cellStyle name="Comma 15 2 2 2 4 4 5" xfId="37736" xr:uid="{00000000-0005-0000-0000-0000B87D0000}"/>
    <cellStyle name="Comma 15 2 2 2 4 5" xfId="37737" xr:uid="{00000000-0005-0000-0000-0000B97D0000}"/>
    <cellStyle name="Comma 15 2 2 2 4 5 2" xfId="37738" xr:uid="{00000000-0005-0000-0000-0000BA7D0000}"/>
    <cellStyle name="Comma 15 2 2 2 4 5 3" xfId="37739" xr:uid="{00000000-0005-0000-0000-0000BB7D0000}"/>
    <cellStyle name="Comma 15 2 2 2 4 6" xfId="37740" xr:uid="{00000000-0005-0000-0000-0000BC7D0000}"/>
    <cellStyle name="Comma 15 2 2 2 4 6 2" xfId="37741" xr:uid="{00000000-0005-0000-0000-0000BD7D0000}"/>
    <cellStyle name="Comma 15 2 2 2 4 6 3" xfId="37742" xr:uid="{00000000-0005-0000-0000-0000BE7D0000}"/>
    <cellStyle name="Comma 15 2 2 2 4 7" xfId="37743" xr:uid="{00000000-0005-0000-0000-0000BF7D0000}"/>
    <cellStyle name="Comma 15 2 2 2 4 7 2" xfId="37744" xr:uid="{00000000-0005-0000-0000-0000C07D0000}"/>
    <cellStyle name="Comma 15 2 2 2 4 8" xfId="37745" xr:uid="{00000000-0005-0000-0000-0000C17D0000}"/>
    <cellStyle name="Comma 15 2 2 2 4 9" xfId="37746" xr:uid="{00000000-0005-0000-0000-0000C27D0000}"/>
    <cellStyle name="Comma 15 2 2 2 5" xfId="37747" xr:uid="{00000000-0005-0000-0000-0000C37D0000}"/>
    <cellStyle name="Comma 15 2 2 2 5 2" xfId="37748" xr:uid="{00000000-0005-0000-0000-0000C47D0000}"/>
    <cellStyle name="Comma 15 2 2 2 5 2 2" xfId="37749" xr:uid="{00000000-0005-0000-0000-0000C57D0000}"/>
    <cellStyle name="Comma 15 2 2 2 5 2 3" xfId="37750" xr:uid="{00000000-0005-0000-0000-0000C67D0000}"/>
    <cellStyle name="Comma 15 2 2 2 5 3" xfId="37751" xr:uid="{00000000-0005-0000-0000-0000C77D0000}"/>
    <cellStyle name="Comma 15 2 2 2 5 3 2" xfId="37752" xr:uid="{00000000-0005-0000-0000-0000C87D0000}"/>
    <cellStyle name="Comma 15 2 2 2 5 3 3" xfId="37753" xr:uid="{00000000-0005-0000-0000-0000C97D0000}"/>
    <cellStyle name="Comma 15 2 2 2 5 4" xfId="37754" xr:uid="{00000000-0005-0000-0000-0000CA7D0000}"/>
    <cellStyle name="Comma 15 2 2 2 5 4 2" xfId="37755" xr:uid="{00000000-0005-0000-0000-0000CB7D0000}"/>
    <cellStyle name="Comma 15 2 2 2 5 5" xfId="37756" xr:uid="{00000000-0005-0000-0000-0000CC7D0000}"/>
    <cellStyle name="Comma 15 2 2 2 5 6" xfId="37757" xr:uid="{00000000-0005-0000-0000-0000CD7D0000}"/>
    <cellStyle name="Comma 15 2 2 2 6" xfId="37758" xr:uid="{00000000-0005-0000-0000-0000CE7D0000}"/>
    <cellStyle name="Comma 15 2 2 2 6 2" xfId="37759" xr:uid="{00000000-0005-0000-0000-0000CF7D0000}"/>
    <cellStyle name="Comma 15 2 2 2 6 2 2" xfId="37760" xr:uid="{00000000-0005-0000-0000-0000D07D0000}"/>
    <cellStyle name="Comma 15 2 2 2 6 2 3" xfId="37761" xr:uid="{00000000-0005-0000-0000-0000D17D0000}"/>
    <cellStyle name="Comma 15 2 2 2 6 3" xfId="37762" xr:uid="{00000000-0005-0000-0000-0000D27D0000}"/>
    <cellStyle name="Comma 15 2 2 2 6 3 2" xfId="37763" xr:uid="{00000000-0005-0000-0000-0000D37D0000}"/>
    <cellStyle name="Comma 15 2 2 2 6 3 3" xfId="37764" xr:uid="{00000000-0005-0000-0000-0000D47D0000}"/>
    <cellStyle name="Comma 15 2 2 2 6 4" xfId="37765" xr:uid="{00000000-0005-0000-0000-0000D57D0000}"/>
    <cellStyle name="Comma 15 2 2 2 6 4 2" xfId="37766" xr:uid="{00000000-0005-0000-0000-0000D67D0000}"/>
    <cellStyle name="Comma 15 2 2 2 6 5" xfId="37767" xr:uid="{00000000-0005-0000-0000-0000D77D0000}"/>
    <cellStyle name="Comma 15 2 2 2 6 6" xfId="37768" xr:uid="{00000000-0005-0000-0000-0000D87D0000}"/>
    <cellStyle name="Comma 15 2 2 2 7" xfId="37769" xr:uid="{00000000-0005-0000-0000-0000D97D0000}"/>
    <cellStyle name="Comma 15 2 2 2 7 2" xfId="37770" xr:uid="{00000000-0005-0000-0000-0000DA7D0000}"/>
    <cellStyle name="Comma 15 2 2 2 7 2 2" xfId="37771" xr:uid="{00000000-0005-0000-0000-0000DB7D0000}"/>
    <cellStyle name="Comma 15 2 2 2 7 2 3" xfId="37772" xr:uid="{00000000-0005-0000-0000-0000DC7D0000}"/>
    <cellStyle name="Comma 15 2 2 2 7 3" xfId="37773" xr:uid="{00000000-0005-0000-0000-0000DD7D0000}"/>
    <cellStyle name="Comma 15 2 2 2 7 3 2" xfId="37774" xr:uid="{00000000-0005-0000-0000-0000DE7D0000}"/>
    <cellStyle name="Comma 15 2 2 2 7 4" xfId="37775" xr:uid="{00000000-0005-0000-0000-0000DF7D0000}"/>
    <cellStyle name="Comma 15 2 2 2 7 5" xfId="37776" xr:uid="{00000000-0005-0000-0000-0000E07D0000}"/>
    <cellStyle name="Comma 15 2 2 2 8" xfId="37777" xr:uid="{00000000-0005-0000-0000-0000E17D0000}"/>
    <cellStyle name="Comma 15 2 2 2 8 2" xfId="37778" xr:uid="{00000000-0005-0000-0000-0000E27D0000}"/>
    <cellStyle name="Comma 15 2 2 2 8 3" xfId="37779" xr:uid="{00000000-0005-0000-0000-0000E37D0000}"/>
    <cellStyle name="Comma 15 2 2 2 9" xfId="37780" xr:uid="{00000000-0005-0000-0000-0000E47D0000}"/>
    <cellStyle name="Comma 15 2 2 2 9 2" xfId="37781" xr:uid="{00000000-0005-0000-0000-0000E57D0000}"/>
    <cellStyle name="Comma 15 2 2 2 9 3" xfId="37782" xr:uid="{00000000-0005-0000-0000-0000E67D0000}"/>
    <cellStyle name="Comma 15 2 2 3" xfId="37783" xr:uid="{00000000-0005-0000-0000-0000E77D0000}"/>
    <cellStyle name="Comma 15 2 2 3 10" xfId="37784" xr:uid="{00000000-0005-0000-0000-0000E87D0000}"/>
    <cellStyle name="Comma 15 2 2 3 2" xfId="37785" xr:uid="{00000000-0005-0000-0000-0000E97D0000}"/>
    <cellStyle name="Comma 15 2 2 3 2 2" xfId="37786" xr:uid="{00000000-0005-0000-0000-0000EA7D0000}"/>
    <cellStyle name="Comma 15 2 2 3 2 2 2" xfId="37787" xr:uid="{00000000-0005-0000-0000-0000EB7D0000}"/>
    <cellStyle name="Comma 15 2 2 3 2 2 2 2" xfId="37788" xr:uid="{00000000-0005-0000-0000-0000EC7D0000}"/>
    <cellStyle name="Comma 15 2 2 3 2 2 2 3" xfId="37789" xr:uid="{00000000-0005-0000-0000-0000ED7D0000}"/>
    <cellStyle name="Comma 15 2 2 3 2 2 3" xfId="37790" xr:uid="{00000000-0005-0000-0000-0000EE7D0000}"/>
    <cellStyle name="Comma 15 2 2 3 2 2 3 2" xfId="37791" xr:uid="{00000000-0005-0000-0000-0000EF7D0000}"/>
    <cellStyle name="Comma 15 2 2 3 2 2 3 3" xfId="37792" xr:uid="{00000000-0005-0000-0000-0000F07D0000}"/>
    <cellStyle name="Comma 15 2 2 3 2 2 4" xfId="37793" xr:uid="{00000000-0005-0000-0000-0000F17D0000}"/>
    <cellStyle name="Comma 15 2 2 3 2 2 4 2" xfId="37794" xr:uid="{00000000-0005-0000-0000-0000F27D0000}"/>
    <cellStyle name="Comma 15 2 2 3 2 2 5" xfId="37795" xr:uid="{00000000-0005-0000-0000-0000F37D0000}"/>
    <cellStyle name="Comma 15 2 2 3 2 2 6" xfId="37796" xr:uid="{00000000-0005-0000-0000-0000F47D0000}"/>
    <cellStyle name="Comma 15 2 2 3 2 3" xfId="37797" xr:uid="{00000000-0005-0000-0000-0000F57D0000}"/>
    <cellStyle name="Comma 15 2 2 3 2 3 2" xfId="37798" xr:uid="{00000000-0005-0000-0000-0000F67D0000}"/>
    <cellStyle name="Comma 15 2 2 3 2 3 2 2" xfId="37799" xr:uid="{00000000-0005-0000-0000-0000F77D0000}"/>
    <cellStyle name="Comma 15 2 2 3 2 3 2 3" xfId="37800" xr:uid="{00000000-0005-0000-0000-0000F87D0000}"/>
    <cellStyle name="Comma 15 2 2 3 2 3 3" xfId="37801" xr:uid="{00000000-0005-0000-0000-0000F97D0000}"/>
    <cellStyle name="Comma 15 2 2 3 2 3 3 2" xfId="37802" xr:uid="{00000000-0005-0000-0000-0000FA7D0000}"/>
    <cellStyle name="Comma 15 2 2 3 2 3 3 3" xfId="37803" xr:uid="{00000000-0005-0000-0000-0000FB7D0000}"/>
    <cellStyle name="Comma 15 2 2 3 2 3 4" xfId="37804" xr:uid="{00000000-0005-0000-0000-0000FC7D0000}"/>
    <cellStyle name="Comma 15 2 2 3 2 3 4 2" xfId="37805" xr:uid="{00000000-0005-0000-0000-0000FD7D0000}"/>
    <cellStyle name="Comma 15 2 2 3 2 3 5" xfId="37806" xr:uid="{00000000-0005-0000-0000-0000FE7D0000}"/>
    <cellStyle name="Comma 15 2 2 3 2 3 6" xfId="37807" xr:uid="{00000000-0005-0000-0000-0000FF7D0000}"/>
    <cellStyle name="Comma 15 2 2 3 2 4" xfId="37808" xr:uid="{00000000-0005-0000-0000-0000007E0000}"/>
    <cellStyle name="Comma 15 2 2 3 2 4 2" xfId="37809" xr:uid="{00000000-0005-0000-0000-0000017E0000}"/>
    <cellStyle name="Comma 15 2 2 3 2 4 2 2" xfId="37810" xr:uid="{00000000-0005-0000-0000-0000027E0000}"/>
    <cellStyle name="Comma 15 2 2 3 2 4 2 3" xfId="37811" xr:uid="{00000000-0005-0000-0000-0000037E0000}"/>
    <cellStyle name="Comma 15 2 2 3 2 4 3" xfId="37812" xr:uid="{00000000-0005-0000-0000-0000047E0000}"/>
    <cellStyle name="Comma 15 2 2 3 2 4 3 2" xfId="37813" xr:uid="{00000000-0005-0000-0000-0000057E0000}"/>
    <cellStyle name="Comma 15 2 2 3 2 4 4" xfId="37814" xr:uid="{00000000-0005-0000-0000-0000067E0000}"/>
    <cellStyle name="Comma 15 2 2 3 2 4 5" xfId="37815" xr:uid="{00000000-0005-0000-0000-0000077E0000}"/>
    <cellStyle name="Comma 15 2 2 3 2 5" xfId="37816" xr:uid="{00000000-0005-0000-0000-0000087E0000}"/>
    <cellStyle name="Comma 15 2 2 3 2 5 2" xfId="37817" xr:uid="{00000000-0005-0000-0000-0000097E0000}"/>
    <cellStyle name="Comma 15 2 2 3 2 5 3" xfId="37818" xr:uid="{00000000-0005-0000-0000-00000A7E0000}"/>
    <cellStyle name="Comma 15 2 2 3 2 6" xfId="37819" xr:uid="{00000000-0005-0000-0000-00000B7E0000}"/>
    <cellStyle name="Comma 15 2 2 3 2 6 2" xfId="37820" xr:uid="{00000000-0005-0000-0000-00000C7E0000}"/>
    <cellStyle name="Comma 15 2 2 3 2 6 3" xfId="37821" xr:uid="{00000000-0005-0000-0000-00000D7E0000}"/>
    <cellStyle name="Comma 15 2 2 3 2 7" xfId="37822" xr:uid="{00000000-0005-0000-0000-00000E7E0000}"/>
    <cellStyle name="Comma 15 2 2 3 2 7 2" xfId="37823" xr:uid="{00000000-0005-0000-0000-00000F7E0000}"/>
    <cellStyle name="Comma 15 2 2 3 2 8" xfId="37824" xr:uid="{00000000-0005-0000-0000-0000107E0000}"/>
    <cellStyle name="Comma 15 2 2 3 2 9" xfId="37825" xr:uid="{00000000-0005-0000-0000-0000117E0000}"/>
    <cellStyle name="Comma 15 2 2 3 3" xfId="37826" xr:uid="{00000000-0005-0000-0000-0000127E0000}"/>
    <cellStyle name="Comma 15 2 2 3 3 2" xfId="37827" xr:uid="{00000000-0005-0000-0000-0000137E0000}"/>
    <cellStyle name="Comma 15 2 2 3 3 2 2" xfId="37828" xr:uid="{00000000-0005-0000-0000-0000147E0000}"/>
    <cellStyle name="Comma 15 2 2 3 3 2 3" xfId="37829" xr:uid="{00000000-0005-0000-0000-0000157E0000}"/>
    <cellStyle name="Comma 15 2 2 3 3 3" xfId="37830" xr:uid="{00000000-0005-0000-0000-0000167E0000}"/>
    <cellStyle name="Comma 15 2 2 3 3 3 2" xfId="37831" xr:uid="{00000000-0005-0000-0000-0000177E0000}"/>
    <cellStyle name="Comma 15 2 2 3 3 3 3" xfId="37832" xr:uid="{00000000-0005-0000-0000-0000187E0000}"/>
    <cellStyle name="Comma 15 2 2 3 3 4" xfId="37833" xr:uid="{00000000-0005-0000-0000-0000197E0000}"/>
    <cellStyle name="Comma 15 2 2 3 3 4 2" xfId="37834" xr:uid="{00000000-0005-0000-0000-00001A7E0000}"/>
    <cellStyle name="Comma 15 2 2 3 3 5" xfId="37835" xr:uid="{00000000-0005-0000-0000-00001B7E0000}"/>
    <cellStyle name="Comma 15 2 2 3 3 6" xfId="37836" xr:uid="{00000000-0005-0000-0000-00001C7E0000}"/>
    <cellStyle name="Comma 15 2 2 3 4" xfId="37837" xr:uid="{00000000-0005-0000-0000-00001D7E0000}"/>
    <cellStyle name="Comma 15 2 2 3 4 2" xfId="37838" xr:uid="{00000000-0005-0000-0000-00001E7E0000}"/>
    <cellStyle name="Comma 15 2 2 3 4 2 2" xfId="37839" xr:uid="{00000000-0005-0000-0000-00001F7E0000}"/>
    <cellStyle name="Comma 15 2 2 3 4 2 3" xfId="37840" xr:uid="{00000000-0005-0000-0000-0000207E0000}"/>
    <cellStyle name="Comma 15 2 2 3 4 3" xfId="37841" xr:uid="{00000000-0005-0000-0000-0000217E0000}"/>
    <cellStyle name="Comma 15 2 2 3 4 3 2" xfId="37842" xr:uid="{00000000-0005-0000-0000-0000227E0000}"/>
    <cellStyle name="Comma 15 2 2 3 4 3 3" xfId="37843" xr:uid="{00000000-0005-0000-0000-0000237E0000}"/>
    <cellStyle name="Comma 15 2 2 3 4 4" xfId="37844" xr:uid="{00000000-0005-0000-0000-0000247E0000}"/>
    <cellStyle name="Comma 15 2 2 3 4 4 2" xfId="37845" xr:uid="{00000000-0005-0000-0000-0000257E0000}"/>
    <cellStyle name="Comma 15 2 2 3 4 5" xfId="37846" xr:uid="{00000000-0005-0000-0000-0000267E0000}"/>
    <cellStyle name="Comma 15 2 2 3 4 6" xfId="37847" xr:uid="{00000000-0005-0000-0000-0000277E0000}"/>
    <cellStyle name="Comma 15 2 2 3 5" xfId="37848" xr:uid="{00000000-0005-0000-0000-0000287E0000}"/>
    <cellStyle name="Comma 15 2 2 3 5 2" xfId="37849" xr:uid="{00000000-0005-0000-0000-0000297E0000}"/>
    <cellStyle name="Comma 15 2 2 3 5 2 2" xfId="37850" xr:uid="{00000000-0005-0000-0000-00002A7E0000}"/>
    <cellStyle name="Comma 15 2 2 3 5 2 3" xfId="37851" xr:uid="{00000000-0005-0000-0000-00002B7E0000}"/>
    <cellStyle name="Comma 15 2 2 3 5 3" xfId="37852" xr:uid="{00000000-0005-0000-0000-00002C7E0000}"/>
    <cellStyle name="Comma 15 2 2 3 5 3 2" xfId="37853" xr:uid="{00000000-0005-0000-0000-00002D7E0000}"/>
    <cellStyle name="Comma 15 2 2 3 5 4" xfId="37854" xr:uid="{00000000-0005-0000-0000-00002E7E0000}"/>
    <cellStyle name="Comma 15 2 2 3 5 5" xfId="37855" xr:uid="{00000000-0005-0000-0000-00002F7E0000}"/>
    <cellStyle name="Comma 15 2 2 3 6" xfId="37856" xr:uid="{00000000-0005-0000-0000-0000307E0000}"/>
    <cellStyle name="Comma 15 2 2 3 6 2" xfId="37857" xr:uid="{00000000-0005-0000-0000-0000317E0000}"/>
    <cellStyle name="Comma 15 2 2 3 6 3" xfId="37858" xr:uid="{00000000-0005-0000-0000-0000327E0000}"/>
    <cellStyle name="Comma 15 2 2 3 7" xfId="37859" xr:uid="{00000000-0005-0000-0000-0000337E0000}"/>
    <cellStyle name="Comma 15 2 2 3 7 2" xfId="37860" xr:uid="{00000000-0005-0000-0000-0000347E0000}"/>
    <cellStyle name="Comma 15 2 2 3 7 3" xfId="37861" xr:uid="{00000000-0005-0000-0000-0000357E0000}"/>
    <cellStyle name="Comma 15 2 2 3 8" xfId="37862" xr:uid="{00000000-0005-0000-0000-0000367E0000}"/>
    <cellStyle name="Comma 15 2 2 3 8 2" xfId="37863" xr:uid="{00000000-0005-0000-0000-0000377E0000}"/>
    <cellStyle name="Comma 15 2 2 3 9" xfId="37864" xr:uid="{00000000-0005-0000-0000-0000387E0000}"/>
    <cellStyle name="Comma 15 2 2 4" xfId="37865" xr:uid="{00000000-0005-0000-0000-0000397E0000}"/>
    <cellStyle name="Comma 15 2 2 4 2" xfId="37866" xr:uid="{00000000-0005-0000-0000-00003A7E0000}"/>
    <cellStyle name="Comma 15 2 2 4 2 2" xfId="37867" xr:uid="{00000000-0005-0000-0000-00003B7E0000}"/>
    <cellStyle name="Comma 15 2 2 4 2 2 2" xfId="37868" xr:uid="{00000000-0005-0000-0000-00003C7E0000}"/>
    <cellStyle name="Comma 15 2 2 4 2 2 3" xfId="37869" xr:uid="{00000000-0005-0000-0000-00003D7E0000}"/>
    <cellStyle name="Comma 15 2 2 4 2 3" xfId="37870" xr:uid="{00000000-0005-0000-0000-00003E7E0000}"/>
    <cellStyle name="Comma 15 2 2 4 2 3 2" xfId="37871" xr:uid="{00000000-0005-0000-0000-00003F7E0000}"/>
    <cellStyle name="Comma 15 2 2 4 2 3 3" xfId="37872" xr:uid="{00000000-0005-0000-0000-0000407E0000}"/>
    <cellStyle name="Comma 15 2 2 4 2 4" xfId="37873" xr:uid="{00000000-0005-0000-0000-0000417E0000}"/>
    <cellStyle name="Comma 15 2 2 4 2 4 2" xfId="37874" xr:uid="{00000000-0005-0000-0000-0000427E0000}"/>
    <cellStyle name="Comma 15 2 2 4 2 5" xfId="37875" xr:uid="{00000000-0005-0000-0000-0000437E0000}"/>
    <cellStyle name="Comma 15 2 2 4 2 6" xfId="37876" xr:uid="{00000000-0005-0000-0000-0000447E0000}"/>
    <cellStyle name="Comma 15 2 2 4 3" xfId="37877" xr:uid="{00000000-0005-0000-0000-0000457E0000}"/>
    <cellStyle name="Comma 15 2 2 4 3 2" xfId="37878" xr:uid="{00000000-0005-0000-0000-0000467E0000}"/>
    <cellStyle name="Comma 15 2 2 4 3 2 2" xfId="37879" xr:uid="{00000000-0005-0000-0000-0000477E0000}"/>
    <cellStyle name="Comma 15 2 2 4 3 2 3" xfId="37880" xr:uid="{00000000-0005-0000-0000-0000487E0000}"/>
    <cellStyle name="Comma 15 2 2 4 3 3" xfId="37881" xr:uid="{00000000-0005-0000-0000-0000497E0000}"/>
    <cellStyle name="Comma 15 2 2 4 3 3 2" xfId="37882" xr:uid="{00000000-0005-0000-0000-00004A7E0000}"/>
    <cellStyle name="Comma 15 2 2 4 3 3 3" xfId="37883" xr:uid="{00000000-0005-0000-0000-00004B7E0000}"/>
    <cellStyle name="Comma 15 2 2 4 3 4" xfId="37884" xr:uid="{00000000-0005-0000-0000-00004C7E0000}"/>
    <cellStyle name="Comma 15 2 2 4 3 4 2" xfId="37885" xr:uid="{00000000-0005-0000-0000-00004D7E0000}"/>
    <cellStyle name="Comma 15 2 2 4 3 5" xfId="37886" xr:uid="{00000000-0005-0000-0000-00004E7E0000}"/>
    <cellStyle name="Comma 15 2 2 4 3 6" xfId="37887" xr:uid="{00000000-0005-0000-0000-00004F7E0000}"/>
    <cellStyle name="Comma 15 2 2 4 4" xfId="37888" xr:uid="{00000000-0005-0000-0000-0000507E0000}"/>
    <cellStyle name="Comma 15 2 2 4 4 2" xfId="37889" xr:uid="{00000000-0005-0000-0000-0000517E0000}"/>
    <cellStyle name="Comma 15 2 2 4 4 2 2" xfId="37890" xr:uid="{00000000-0005-0000-0000-0000527E0000}"/>
    <cellStyle name="Comma 15 2 2 4 4 2 3" xfId="37891" xr:uid="{00000000-0005-0000-0000-0000537E0000}"/>
    <cellStyle name="Comma 15 2 2 4 4 3" xfId="37892" xr:uid="{00000000-0005-0000-0000-0000547E0000}"/>
    <cellStyle name="Comma 15 2 2 4 4 3 2" xfId="37893" xr:uid="{00000000-0005-0000-0000-0000557E0000}"/>
    <cellStyle name="Comma 15 2 2 4 4 4" xfId="37894" xr:uid="{00000000-0005-0000-0000-0000567E0000}"/>
    <cellStyle name="Comma 15 2 2 4 4 5" xfId="37895" xr:uid="{00000000-0005-0000-0000-0000577E0000}"/>
    <cellStyle name="Comma 15 2 2 4 5" xfId="37896" xr:uid="{00000000-0005-0000-0000-0000587E0000}"/>
    <cellStyle name="Comma 15 2 2 4 5 2" xfId="37897" xr:uid="{00000000-0005-0000-0000-0000597E0000}"/>
    <cellStyle name="Comma 15 2 2 4 5 3" xfId="37898" xr:uid="{00000000-0005-0000-0000-00005A7E0000}"/>
    <cellStyle name="Comma 15 2 2 4 6" xfId="37899" xr:uid="{00000000-0005-0000-0000-00005B7E0000}"/>
    <cellStyle name="Comma 15 2 2 4 6 2" xfId="37900" xr:uid="{00000000-0005-0000-0000-00005C7E0000}"/>
    <cellStyle name="Comma 15 2 2 4 6 3" xfId="37901" xr:uid="{00000000-0005-0000-0000-00005D7E0000}"/>
    <cellStyle name="Comma 15 2 2 4 7" xfId="37902" xr:uid="{00000000-0005-0000-0000-00005E7E0000}"/>
    <cellStyle name="Comma 15 2 2 4 7 2" xfId="37903" xr:uid="{00000000-0005-0000-0000-00005F7E0000}"/>
    <cellStyle name="Comma 15 2 2 4 8" xfId="37904" xr:uid="{00000000-0005-0000-0000-0000607E0000}"/>
    <cellStyle name="Comma 15 2 2 4 9" xfId="37905" xr:uid="{00000000-0005-0000-0000-0000617E0000}"/>
    <cellStyle name="Comma 15 2 2 5" xfId="37906" xr:uid="{00000000-0005-0000-0000-0000627E0000}"/>
    <cellStyle name="Comma 15 2 2 5 2" xfId="37907" xr:uid="{00000000-0005-0000-0000-0000637E0000}"/>
    <cellStyle name="Comma 15 2 2 5 2 2" xfId="37908" xr:uid="{00000000-0005-0000-0000-0000647E0000}"/>
    <cellStyle name="Comma 15 2 2 5 2 2 2" xfId="37909" xr:uid="{00000000-0005-0000-0000-0000657E0000}"/>
    <cellStyle name="Comma 15 2 2 5 2 2 3" xfId="37910" xr:uid="{00000000-0005-0000-0000-0000667E0000}"/>
    <cellStyle name="Comma 15 2 2 5 2 3" xfId="37911" xr:uid="{00000000-0005-0000-0000-0000677E0000}"/>
    <cellStyle name="Comma 15 2 2 5 2 3 2" xfId="37912" xr:uid="{00000000-0005-0000-0000-0000687E0000}"/>
    <cellStyle name="Comma 15 2 2 5 2 3 3" xfId="37913" xr:uid="{00000000-0005-0000-0000-0000697E0000}"/>
    <cellStyle name="Comma 15 2 2 5 2 4" xfId="37914" xr:uid="{00000000-0005-0000-0000-00006A7E0000}"/>
    <cellStyle name="Comma 15 2 2 5 2 4 2" xfId="37915" xr:uid="{00000000-0005-0000-0000-00006B7E0000}"/>
    <cellStyle name="Comma 15 2 2 5 2 5" xfId="37916" xr:uid="{00000000-0005-0000-0000-00006C7E0000}"/>
    <cellStyle name="Comma 15 2 2 5 2 6" xfId="37917" xr:uid="{00000000-0005-0000-0000-00006D7E0000}"/>
    <cellStyle name="Comma 15 2 2 5 3" xfId="37918" xr:uid="{00000000-0005-0000-0000-00006E7E0000}"/>
    <cellStyle name="Comma 15 2 2 5 3 2" xfId="37919" xr:uid="{00000000-0005-0000-0000-00006F7E0000}"/>
    <cellStyle name="Comma 15 2 2 5 3 2 2" xfId="37920" xr:uid="{00000000-0005-0000-0000-0000707E0000}"/>
    <cellStyle name="Comma 15 2 2 5 3 2 3" xfId="37921" xr:uid="{00000000-0005-0000-0000-0000717E0000}"/>
    <cellStyle name="Comma 15 2 2 5 3 3" xfId="37922" xr:uid="{00000000-0005-0000-0000-0000727E0000}"/>
    <cellStyle name="Comma 15 2 2 5 3 3 2" xfId="37923" xr:uid="{00000000-0005-0000-0000-0000737E0000}"/>
    <cellStyle name="Comma 15 2 2 5 3 3 3" xfId="37924" xr:uid="{00000000-0005-0000-0000-0000747E0000}"/>
    <cellStyle name="Comma 15 2 2 5 3 4" xfId="37925" xr:uid="{00000000-0005-0000-0000-0000757E0000}"/>
    <cellStyle name="Comma 15 2 2 5 3 4 2" xfId="37926" xr:uid="{00000000-0005-0000-0000-0000767E0000}"/>
    <cellStyle name="Comma 15 2 2 5 3 5" xfId="37927" xr:uid="{00000000-0005-0000-0000-0000777E0000}"/>
    <cellStyle name="Comma 15 2 2 5 3 6" xfId="37928" xr:uid="{00000000-0005-0000-0000-0000787E0000}"/>
    <cellStyle name="Comma 15 2 2 5 4" xfId="37929" xr:uid="{00000000-0005-0000-0000-0000797E0000}"/>
    <cellStyle name="Comma 15 2 2 5 4 2" xfId="37930" xr:uid="{00000000-0005-0000-0000-00007A7E0000}"/>
    <cellStyle name="Comma 15 2 2 5 4 2 2" xfId="37931" xr:uid="{00000000-0005-0000-0000-00007B7E0000}"/>
    <cellStyle name="Comma 15 2 2 5 4 2 3" xfId="37932" xr:uid="{00000000-0005-0000-0000-00007C7E0000}"/>
    <cellStyle name="Comma 15 2 2 5 4 3" xfId="37933" xr:uid="{00000000-0005-0000-0000-00007D7E0000}"/>
    <cellStyle name="Comma 15 2 2 5 4 3 2" xfId="37934" xr:uid="{00000000-0005-0000-0000-00007E7E0000}"/>
    <cellStyle name="Comma 15 2 2 5 4 4" xfId="37935" xr:uid="{00000000-0005-0000-0000-00007F7E0000}"/>
    <cellStyle name="Comma 15 2 2 5 4 5" xfId="37936" xr:uid="{00000000-0005-0000-0000-0000807E0000}"/>
    <cellStyle name="Comma 15 2 2 5 5" xfId="37937" xr:uid="{00000000-0005-0000-0000-0000817E0000}"/>
    <cellStyle name="Comma 15 2 2 5 5 2" xfId="37938" xr:uid="{00000000-0005-0000-0000-0000827E0000}"/>
    <cellStyle name="Comma 15 2 2 5 5 3" xfId="37939" xr:uid="{00000000-0005-0000-0000-0000837E0000}"/>
    <cellStyle name="Comma 15 2 2 5 6" xfId="37940" xr:uid="{00000000-0005-0000-0000-0000847E0000}"/>
    <cellStyle name="Comma 15 2 2 5 6 2" xfId="37941" xr:uid="{00000000-0005-0000-0000-0000857E0000}"/>
    <cellStyle name="Comma 15 2 2 5 6 3" xfId="37942" xr:uid="{00000000-0005-0000-0000-0000867E0000}"/>
    <cellStyle name="Comma 15 2 2 5 7" xfId="37943" xr:uid="{00000000-0005-0000-0000-0000877E0000}"/>
    <cellStyle name="Comma 15 2 2 5 7 2" xfId="37944" xr:uid="{00000000-0005-0000-0000-0000887E0000}"/>
    <cellStyle name="Comma 15 2 2 5 8" xfId="37945" xr:uid="{00000000-0005-0000-0000-0000897E0000}"/>
    <cellStyle name="Comma 15 2 2 5 9" xfId="37946" xr:uid="{00000000-0005-0000-0000-00008A7E0000}"/>
    <cellStyle name="Comma 15 2 2 6" xfId="37947" xr:uid="{00000000-0005-0000-0000-00008B7E0000}"/>
    <cellStyle name="Comma 15 2 2 6 2" xfId="37948" xr:uid="{00000000-0005-0000-0000-00008C7E0000}"/>
    <cellStyle name="Comma 15 2 2 6 2 2" xfId="37949" xr:uid="{00000000-0005-0000-0000-00008D7E0000}"/>
    <cellStyle name="Comma 15 2 2 6 2 3" xfId="37950" xr:uid="{00000000-0005-0000-0000-00008E7E0000}"/>
    <cellStyle name="Comma 15 2 2 6 3" xfId="37951" xr:uid="{00000000-0005-0000-0000-00008F7E0000}"/>
    <cellStyle name="Comma 15 2 2 6 3 2" xfId="37952" xr:uid="{00000000-0005-0000-0000-0000907E0000}"/>
    <cellStyle name="Comma 15 2 2 6 3 3" xfId="37953" xr:uid="{00000000-0005-0000-0000-0000917E0000}"/>
    <cellStyle name="Comma 15 2 2 6 4" xfId="37954" xr:uid="{00000000-0005-0000-0000-0000927E0000}"/>
    <cellStyle name="Comma 15 2 2 6 4 2" xfId="37955" xr:uid="{00000000-0005-0000-0000-0000937E0000}"/>
    <cellStyle name="Comma 15 2 2 6 5" xfId="37956" xr:uid="{00000000-0005-0000-0000-0000947E0000}"/>
    <cellStyle name="Comma 15 2 2 6 6" xfId="37957" xr:uid="{00000000-0005-0000-0000-0000957E0000}"/>
    <cellStyle name="Comma 15 2 2 7" xfId="37958" xr:uid="{00000000-0005-0000-0000-0000967E0000}"/>
    <cellStyle name="Comma 15 2 2 7 2" xfId="37959" xr:uid="{00000000-0005-0000-0000-0000977E0000}"/>
    <cellStyle name="Comma 15 2 2 7 2 2" xfId="37960" xr:uid="{00000000-0005-0000-0000-0000987E0000}"/>
    <cellStyle name="Comma 15 2 2 7 2 3" xfId="37961" xr:uid="{00000000-0005-0000-0000-0000997E0000}"/>
    <cellStyle name="Comma 15 2 2 7 3" xfId="37962" xr:uid="{00000000-0005-0000-0000-00009A7E0000}"/>
    <cellStyle name="Comma 15 2 2 7 3 2" xfId="37963" xr:uid="{00000000-0005-0000-0000-00009B7E0000}"/>
    <cellStyle name="Comma 15 2 2 7 3 3" xfId="37964" xr:uid="{00000000-0005-0000-0000-00009C7E0000}"/>
    <cellStyle name="Comma 15 2 2 7 4" xfId="37965" xr:uid="{00000000-0005-0000-0000-00009D7E0000}"/>
    <cellStyle name="Comma 15 2 2 7 4 2" xfId="37966" xr:uid="{00000000-0005-0000-0000-00009E7E0000}"/>
    <cellStyle name="Comma 15 2 2 7 5" xfId="37967" xr:uid="{00000000-0005-0000-0000-00009F7E0000}"/>
    <cellStyle name="Comma 15 2 2 7 6" xfId="37968" xr:uid="{00000000-0005-0000-0000-0000A07E0000}"/>
    <cellStyle name="Comma 15 2 2 8" xfId="37969" xr:uid="{00000000-0005-0000-0000-0000A17E0000}"/>
    <cellStyle name="Comma 15 2 2 8 2" xfId="37970" xr:uid="{00000000-0005-0000-0000-0000A27E0000}"/>
    <cellStyle name="Comma 15 2 2 8 2 2" xfId="37971" xr:uid="{00000000-0005-0000-0000-0000A37E0000}"/>
    <cellStyle name="Comma 15 2 2 8 2 3" xfId="37972" xr:uid="{00000000-0005-0000-0000-0000A47E0000}"/>
    <cellStyle name="Comma 15 2 2 8 3" xfId="37973" xr:uid="{00000000-0005-0000-0000-0000A57E0000}"/>
    <cellStyle name="Comma 15 2 2 8 3 2" xfId="37974" xr:uid="{00000000-0005-0000-0000-0000A67E0000}"/>
    <cellStyle name="Comma 15 2 2 8 4" xfId="37975" xr:uid="{00000000-0005-0000-0000-0000A77E0000}"/>
    <cellStyle name="Comma 15 2 2 8 5" xfId="37976" xr:uid="{00000000-0005-0000-0000-0000A87E0000}"/>
    <cellStyle name="Comma 15 2 2 9" xfId="37977" xr:uid="{00000000-0005-0000-0000-0000A97E0000}"/>
    <cellStyle name="Comma 15 2 2 9 2" xfId="37978" xr:uid="{00000000-0005-0000-0000-0000AA7E0000}"/>
    <cellStyle name="Comma 15 2 2 9 3" xfId="37979" xr:uid="{00000000-0005-0000-0000-0000AB7E0000}"/>
    <cellStyle name="Comma 15 2 3" xfId="37980" xr:uid="{00000000-0005-0000-0000-0000AC7E0000}"/>
    <cellStyle name="Comma 15 2 3 10" xfId="37981" xr:uid="{00000000-0005-0000-0000-0000AD7E0000}"/>
    <cellStyle name="Comma 15 2 3 10 2" xfId="37982" xr:uid="{00000000-0005-0000-0000-0000AE7E0000}"/>
    <cellStyle name="Comma 15 2 3 11" xfId="37983" xr:uid="{00000000-0005-0000-0000-0000AF7E0000}"/>
    <cellStyle name="Comma 15 2 3 12" xfId="37984" xr:uid="{00000000-0005-0000-0000-0000B07E0000}"/>
    <cellStyle name="Comma 15 2 3 2" xfId="37985" xr:uid="{00000000-0005-0000-0000-0000B17E0000}"/>
    <cellStyle name="Comma 15 2 3 2 10" xfId="37986" xr:uid="{00000000-0005-0000-0000-0000B27E0000}"/>
    <cellStyle name="Comma 15 2 3 2 2" xfId="37987" xr:uid="{00000000-0005-0000-0000-0000B37E0000}"/>
    <cellStyle name="Comma 15 2 3 2 2 2" xfId="37988" xr:uid="{00000000-0005-0000-0000-0000B47E0000}"/>
    <cellStyle name="Comma 15 2 3 2 2 2 2" xfId="37989" xr:uid="{00000000-0005-0000-0000-0000B57E0000}"/>
    <cellStyle name="Comma 15 2 3 2 2 2 2 2" xfId="37990" xr:uid="{00000000-0005-0000-0000-0000B67E0000}"/>
    <cellStyle name="Comma 15 2 3 2 2 2 2 3" xfId="37991" xr:uid="{00000000-0005-0000-0000-0000B77E0000}"/>
    <cellStyle name="Comma 15 2 3 2 2 2 3" xfId="37992" xr:uid="{00000000-0005-0000-0000-0000B87E0000}"/>
    <cellStyle name="Comma 15 2 3 2 2 2 3 2" xfId="37993" xr:uid="{00000000-0005-0000-0000-0000B97E0000}"/>
    <cellStyle name="Comma 15 2 3 2 2 2 3 3" xfId="37994" xr:uid="{00000000-0005-0000-0000-0000BA7E0000}"/>
    <cellStyle name="Comma 15 2 3 2 2 2 4" xfId="37995" xr:uid="{00000000-0005-0000-0000-0000BB7E0000}"/>
    <cellStyle name="Comma 15 2 3 2 2 2 4 2" xfId="37996" xr:uid="{00000000-0005-0000-0000-0000BC7E0000}"/>
    <cellStyle name="Comma 15 2 3 2 2 2 5" xfId="37997" xr:uid="{00000000-0005-0000-0000-0000BD7E0000}"/>
    <cellStyle name="Comma 15 2 3 2 2 2 6" xfId="37998" xr:uid="{00000000-0005-0000-0000-0000BE7E0000}"/>
    <cellStyle name="Comma 15 2 3 2 2 3" xfId="37999" xr:uid="{00000000-0005-0000-0000-0000BF7E0000}"/>
    <cellStyle name="Comma 15 2 3 2 2 3 2" xfId="38000" xr:uid="{00000000-0005-0000-0000-0000C07E0000}"/>
    <cellStyle name="Comma 15 2 3 2 2 3 2 2" xfId="38001" xr:uid="{00000000-0005-0000-0000-0000C17E0000}"/>
    <cellStyle name="Comma 15 2 3 2 2 3 2 3" xfId="38002" xr:uid="{00000000-0005-0000-0000-0000C27E0000}"/>
    <cellStyle name="Comma 15 2 3 2 2 3 3" xfId="38003" xr:uid="{00000000-0005-0000-0000-0000C37E0000}"/>
    <cellStyle name="Comma 15 2 3 2 2 3 3 2" xfId="38004" xr:uid="{00000000-0005-0000-0000-0000C47E0000}"/>
    <cellStyle name="Comma 15 2 3 2 2 3 3 3" xfId="38005" xr:uid="{00000000-0005-0000-0000-0000C57E0000}"/>
    <cellStyle name="Comma 15 2 3 2 2 3 4" xfId="38006" xr:uid="{00000000-0005-0000-0000-0000C67E0000}"/>
    <cellStyle name="Comma 15 2 3 2 2 3 4 2" xfId="38007" xr:uid="{00000000-0005-0000-0000-0000C77E0000}"/>
    <cellStyle name="Comma 15 2 3 2 2 3 5" xfId="38008" xr:uid="{00000000-0005-0000-0000-0000C87E0000}"/>
    <cellStyle name="Comma 15 2 3 2 2 3 6" xfId="38009" xr:uid="{00000000-0005-0000-0000-0000C97E0000}"/>
    <cellStyle name="Comma 15 2 3 2 2 4" xfId="38010" xr:uid="{00000000-0005-0000-0000-0000CA7E0000}"/>
    <cellStyle name="Comma 15 2 3 2 2 4 2" xfId="38011" xr:uid="{00000000-0005-0000-0000-0000CB7E0000}"/>
    <cellStyle name="Comma 15 2 3 2 2 4 2 2" xfId="38012" xr:uid="{00000000-0005-0000-0000-0000CC7E0000}"/>
    <cellStyle name="Comma 15 2 3 2 2 4 2 3" xfId="38013" xr:uid="{00000000-0005-0000-0000-0000CD7E0000}"/>
    <cellStyle name="Comma 15 2 3 2 2 4 3" xfId="38014" xr:uid="{00000000-0005-0000-0000-0000CE7E0000}"/>
    <cellStyle name="Comma 15 2 3 2 2 4 3 2" xfId="38015" xr:uid="{00000000-0005-0000-0000-0000CF7E0000}"/>
    <cellStyle name="Comma 15 2 3 2 2 4 4" xfId="38016" xr:uid="{00000000-0005-0000-0000-0000D07E0000}"/>
    <cellStyle name="Comma 15 2 3 2 2 4 5" xfId="38017" xr:uid="{00000000-0005-0000-0000-0000D17E0000}"/>
    <cellStyle name="Comma 15 2 3 2 2 5" xfId="38018" xr:uid="{00000000-0005-0000-0000-0000D27E0000}"/>
    <cellStyle name="Comma 15 2 3 2 2 5 2" xfId="38019" xr:uid="{00000000-0005-0000-0000-0000D37E0000}"/>
    <cellStyle name="Comma 15 2 3 2 2 5 3" xfId="38020" xr:uid="{00000000-0005-0000-0000-0000D47E0000}"/>
    <cellStyle name="Comma 15 2 3 2 2 6" xfId="38021" xr:uid="{00000000-0005-0000-0000-0000D57E0000}"/>
    <cellStyle name="Comma 15 2 3 2 2 6 2" xfId="38022" xr:uid="{00000000-0005-0000-0000-0000D67E0000}"/>
    <cellStyle name="Comma 15 2 3 2 2 6 3" xfId="38023" xr:uid="{00000000-0005-0000-0000-0000D77E0000}"/>
    <cellStyle name="Comma 15 2 3 2 2 7" xfId="38024" xr:uid="{00000000-0005-0000-0000-0000D87E0000}"/>
    <cellStyle name="Comma 15 2 3 2 2 7 2" xfId="38025" xr:uid="{00000000-0005-0000-0000-0000D97E0000}"/>
    <cellStyle name="Comma 15 2 3 2 2 8" xfId="38026" xr:uid="{00000000-0005-0000-0000-0000DA7E0000}"/>
    <cellStyle name="Comma 15 2 3 2 2 9" xfId="38027" xr:uid="{00000000-0005-0000-0000-0000DB7E0000}"/>
    <cellStyle name="Comma 15 2 3 2 3" xfId="38028" xr:uid="{00000000-0005-0000-0000-0000DC7E0000}"/>
    <cellStyle name="Comma 15 2 3 2 3 2" xfId="38029" xr:uid="{00000000-0005-0000-0000-0000DD7E0000}"/>
    <cellStyle name="Comma 15 2 3 2 3 2 2" xfId="38030" xr:uid="{00000000-0005-0000-0000-0000DE7E0000}"/>
    <cellStyle name="Comma 15 2 3 2 3 2 3" xfId="38031" xr:uid="{00000000-0005-0000-0000-0000DF7E0000}"/>
    <cellStyle name="Comma 15 2 3 2 3 3" xfId="38032" xr:uid="{00000000-0005-0000-0000-0000E07E0000}"/>
    <cellStyle name="Comma 15 2 3 2 3 3 2" xfId="38033" xr:uid="{00000000-0005-0000-0000-0000E17E0000}"/>
    <cellStyle name="Comma 15 2 3 2 3 3 3" xfId="38034" xr:uid="{00000000-0005-0000-0000-0000E27E0000}"/>
    <cellStyle name="Comma 15 2 3 2 3 4" xfId="38035" xr:uid="{00000000-0005-0000-0000-0000E37E0000}"/>
    <cellStyle name="Comma 15 2 3 2 3 4 2" xfId="38036" xr:uid="{00000000-0005-0000-0000-0000E47E0000}"/>
    <cellStyle name="Comma 15 2 3 2 3 5" xfId="38037" xr:uid="{00000000-0005-0000-0000-0000E57E0000}"/>
    <cellStyle name="Comma 15 2 3 2 3 6" xfId="38038" xr:uid="{00000000-0005-0000-0000-0000E67E0000}"/>
    <cellStyle name="Comma 15 2 3 2 4" xfId="38039" xr:uid="{00000000-0005-0000-0000-0000E77E0000}"/>
    <cellStyle name="Comma 15 2 3 2 4 2" xfId="38040" xr:uid="{00000000-0005-0000-0000-0000E87E0000}"/>
    <cellStyle name="Comma 15 2 3 2 4 2 2" xfId="38041" xr:uid="{00000000-0005-0000-0000-0000E97E0000}"/>
    <cellStyle name="Comma 15 2 3 2 4 2 3" xfId="38042" xr:uid="{00000000-0005-0000-0000-0000EA7E0000}"/>
    <cellStyle name="Comma 15 2 3 2 4 3" xfId="38043" xr:uid="{00000000-0005-0000-0000-0000EB7E0000}"/>
    <cellStyle name="Comma 15 2 3 2 4 3 2" xfId="38044" xr:uid="{00000000-0005-0000-0000-0000EC7E0000}"/>
    <cellStyle name="Comma 15 2 3 2 4 3 3" xfId="38045" xr:uid="{00000000-0005-0000-0000-0000ED7E0000}"/>
    <cellStyle name="Comma 15 2 3 2 4 4" xfId="38046" xr:uid="{00000000-0005-0000-0000-0000EE7E0000}"/>
    <cellStyle name="Comma 15 2 3 2 4 4 2" xfId="38047" xr:uid="{00000000-0005-0000-0000-0000EF7E0000}"/>
    <cellStyle name="Comma 15 2 3 2 4 5" xfId="38048" xr:uid="{00000000-0005-0000-0000-0000F07E0000}"/>
    <cellStyle name="Comma 15 2 3 2 4 6" xfId="38049" xr:uid="{00000000-0005-0000-0000-0000F17E0000}"/>
    <cellStyle name="Comma 15 2 3 2 5" xfId="38050" xr:uid="{00000000-0005-0000-0000-0000F27E0000}"/>
    <cellStyle name="Comma 15 2 3 2 5 2" xfId="38051" xr:uid="{00000000-0005-0000-0000-0000F37E0000}"/>
    <cellStyle name="Comma 15 2 3 2 5 2 2" xfId="38052" xr:uid="{00000000-0005-0000-0000-0000F47E0000}"/>
    <cellStyle name="Comma 15 2 3 2 5 2 3" xfId="38053" xr:uid="{00000000-0005-0000-0000-0000F57E0000}"/>
    <cellStyle name="Comma 15 2 3 2 5 3" xfId="38054" xr:uid="{00000000-0005-0000-0000-0000F67E0000}"/>
    <cellStyle name="Comma 15 2 3 2 5 3 2" xfId="38055" xr:uid="{00000000-0005-0000-0000-0000F77E0000}"/>
    <cellStyle name="Comma 15 2 3 2 5 4" xfId="38056" xr:uid="{00000000-0005-0000-0000-0000F87E0000}"/>
    <cellStyle name="Comma 15 2 3 2 5 5" xfId="38057" xr:uid="{00000000-0005-0000-0000-0000F97E0000}"/>
    <cellStyle name="Comma 15 2 3 2 6" xfId="38058" xr:uid="{00000000-0005-0000-0000-0000FA7E0000}"/>
    <cellStyle name="Comma 15 2 3 2 6 2" xfId="38059" xr:uid="{00000000-0005-0000-0000-0000FB7E0000}"/>
    <cellStyle name="Comma 15 2 3 2 6 3" xfId="38060" xr:uid="{00000000-0005-0000-0000-0000FC7E0000}"/>
    <cellStyle name="Comma 15 2 3 2 7" xfId="38061" xr:uid="{00000000-0005-0000-0000-0000FD7E0000}"/>
    <cellStyle name="Comma 15 2 3 2 7 2" xfId="38062" xr:uid="{00000000-0005-0000-0000-0000FE7E0000}"/>
    <cellStyle name="Comma 15 2 3 2 7 3" xfId="38063" xr:uid="{00000000-0005-0000-0000-0000FF7E0000}"/>
    <cellStyle name="Comma 15 2 3 2 8" xfId="38064" xr:uid="{00000000-0005-0000-0000-0000007F0000}"/>
    <cellStyle name="Comma 15 2 3 2 8 2" xfId="38065" xr:uid="{00000000-0005-0000-0000-0000017F0000}"/>
    <cellStyle name="Comma 15 2 3 2 9" xfId="38066" xr:uid="{00000000-0005-0000-0000-0000027F0000}"/>
    <cellStyle name="Comma 15 2 3 3" xfId="38067" xr:uid="{00000000-0005-0000-0000-0000037F0000}"/>
    <cellStyle name="Comma 15 2 3 3 2" xfId="38068" xr:uid="{00000000-0005-0000-0000-0000047F0000}"/>
    <cellStyle name="Comma 15 2 3 3 2 2" xfId="38069" xr:uid="{00000000-0005-0000-0000-0000057F0000}"/>
    <cellStyle name="Comma 15 2 3 3 2 2 2" xfId="38070" xr:uid="{00000000-0005-0000-0000-0000067F0000}"/>
    <cellStyle name="Comma 15 2 3 3 2 2 3" xfId="38071" xr:uid="{00000000-0005-0000-0000-0000077F0000}"/>
    <cellStyle name="Comma 15 2 3 3 2 3" xfId="38072" xr:uid="{00000000-0005-0000-0000-0000087F0000}"/>
    <cellStyle name="Comma 15 2 3 3 2 3 2" xfId="38073" xr:uid="{00000000-0005-0000-0000-0000097F0000}"/>
    <cellStyle name="Comma 15 2 3 3 2 3 3" xfId="38074" xr:uid="{00000000-0005-0000-0000-00000A7F0000}"/>
    <cellStyle name="Comma 15 2 3 3 2 4" xfId="38075" xr:uid="{00000000-0005-0000-0000-00000B7F0000}"/>
    <cellStyle name="Comma 15 2 3 3 2 4 2" xfId="38076" xr:uid="{00000000-0005-0000-0000-00000C7F0000}"/>
    <cellStyle name="Comma 15 2 3 3 2 5" xfId="38077" xr:uid="{00000000-0005-0000-0000-00000D7F0000}"/>
    <cellStyle name="Comma 15 2 3 3 2 6" xfId="38078" xr:uid="{00000000-0005-0000-0000-00000E7F0000}"/>
    <cellStyle name="Comma 15 2 3 3 3" xfId="38079" xr:uid="{00000000-0005-0000-0000-00000F7F0000}"/>
    <cellStyle name="Comma 15 2 3 3 3 2" xfId="38080" xr:uid="{00000000-0005-0000-0000-0000107F0000}"/>
    <cellStyle name="Comma 15 2 3 3 3 2 2" xfId="38081" xr:uid="{00000000-0005-0000-0000-0000117F0000}"/>
    <cellStyle name="Comma 15 2 3 3 3 2 3" xfId="38082" xr:uid="{00000000-0005-0000-0000-0000127F0000}"/>
    <cellStyle name="Comma 15 2 3 3 3 3" xfId="38083" xr:uid="{00000000-0005-0000-0000-0000137F0000}"/>
    <cellStyle name="Comma 15 2 3 3 3 3 2" xfId="38084" xr:uid="{00000000-0005-0000-0000-0000147F0000}"/>
    <cellStyle name="Comma 15 2 3 3 3 3 3" xfId="38085" xr:uid="{00000000-0005-0000-0000-0000157F0000}"/>
    <cellStyle name="Comma 15 2 3 3 3 4" xfId="38086" xr:uid="{00000000-0005-0000-0000-0000167F0000}"/>
    <cellStyle name="Comma 15 2 3 3 3 4 2" xfId="38087" xr:uid="{00000000-0005-0000-0000-0000177F0000}"/>
    <cellStyle name="Comma 15 2 3 3 3 5" xfId="38088" xr:uid="{00000000-0005-0000-0000-0000187F0000}"/>
    <cellStyle name="Comma 15 2 3 3 3 6" xfId="38089" xr:uid="{00000000-0005-0000-0000-0000197F0000}"/>
    <cellStyle name="Comma 15 2 3 3 4" xfId="38090" xr:uid="{00000000-0005-0000-0000-00001A7F0000}"/>
    <cellStyle name="Comma 15 2 3 3 4 2" xfId="38091" xr:uid="{00000000-0005-0000-0000-00001B7F0000}"/>
    <cellStyle name="Comma 15 2 3 3 4 2 2" xfId="38092" xr:uid="{00000000-0005-0000-0000-00001C7F0000}"/>
    <cellStyle name="Comma 15 2 3 3 4 2 3" xfId="38093" xr:uid="{00000000-0005-0000-0000-00001D7F0000}"/>
    <cellStyle name="Comma 15 2 3 3 4 3" xfId="38094" xr:uid="{00000000-0005-0000-0000-00001E7F0000}"/>
    <cellStyle name="Comma 15 2 3 3 4 3 2" xfId="38095" xr:uid="{00000000-0005-0000-0000-00001F7F0000}"/>
    <cellStyle name="Comma 15 2 3 3 4 4" xfId="38096" xr:uid="{00000000-0005-0000-0000-0000207F0000}"/>
    <cellStyle name="Comma 15 2 3 3 4 5" xfId="38097" xr:uid="{00000000-0005-0000-0000-0000217F0000}"/>
    <cellStyle name="Comma 15 2 3 3 5" xfId="38098" xr:uid="{00000000-0005-0000-0000-0000227F0000}"/>
    <cellStyle name="Comma 15 2 3 3 5 2" xfId="38099" xr:uid="{00000000-0005-0000-0000-0000237F0000}"/>
    <cellStyle name="Comma 15 2 3 3 5 3" xfId="38100" xr:uid="{00000000-0005-0000-0000-0000247F0000}"/>
    <cellStyle name="Comma 15 2 3 3 6" xfId="38101" xr:uid="{00000000-0005-0000-0000-0000257F0000}"/>
    <cellStyle name="Comma 15 2 3 3 6 2" xfId="38102" xr:uid="{00000000-0005-0000-0000-0000267F0000}"/>
    <cellStyle name="Comma 15 2 3 3 6 3" xfId="38103" xr:uid="{00000000-0005-0000-0000-0000277F0000}"/>
    <cellStyle name="Comma 15 2 3 3 7" xfId="38104" xr:uid="{00000000-0005-0000-0000-0000287F0000}"/>
    <cellStyle name="Comma 15 2 3 3 7 2" xfId="38105" xr:uid="{00000000-0005-0000-0000-0000297F0000}"/>
    <cellStyle name="Comma 15 2 3 3 8" xfId="38106" xr:uid="{00000000-0005-0000-0000-00002A7F0000}"/>
    <cellStyle name="Comma 15 2 3 3 9" xfId="38107" xr:uid="{00000000-0005-0000-0000-00002B7F0000}"/>
    <cellStyle name="Comma 15 2 3 4" xfId="38108" xr:uid="{00000000-0005-0000-0000-00002C7F0000}"/>
    <cellStyle name="Comma 15 2 3 4 2" xfId="38109" xr:uid="{00000000-0005-0000-0000-00002D7F0000}"/>
    <cellStyle name="Comma 15 2 3 4 2 2" xfId="38110" xr:uid="{00000000-0005-0000-0000-00002E7F0000}"/>
    <cellStyle name="Comma 15 2 3 4 2 2 2" xfId="38111" xr:uid="{00000000-0005-0000-0000-00002F7F0000}"/>
    <cellStyle name="Comma 15 2 3 4 2 2 3" xfId="38112" xr:uid="{00000000-0005-0000-0000-0000307F0000}"/>
    <cellStyle name="Comma 15 2 3 4 2 3" xfId="38113" xr:uid="{00000000-0005-0000-0000-0000317F0000}"/>
    <cellStyle name="Comma 15 2 3 4 2 3 2" xfId="38114" xr:uid="{00000000-0005-0000-0000-0000327F0000}"/>
    <cellStyle name="Comma 15 2 3 4 2 3 3" xfId="38115" xr:uid="{00000000-0005-0000-0000-0000337F0000}"/>
    <cellStyle name="Comma 15 2 3 4 2 4" xfId="38116" xr:uid="{00000000-0005-0000-0000-0000347F0000}"/>
    <cellStyle name="Comma 15 2 3 4 2 4 2" xfId="38117" xr:uid="{00000000-0005-0000-0000-0000357F0000}"/>
    <cellStyle name="Comma 15 2 3 4 2 5" xfId="38118" xr:uid="{00000000-0005-0000-0000-0000367F0000}"/>
    <cellStyle name="Comma 15 2 3 4 2 6" xfId="38119" xr:uid="{00000000-0005-0000-0000-0000377F0000}"/>
    <cellStyle name="Comma 15 2 3 4 3" xfId="38120" xr:uid="{00000000-0005-0000-0000-0000387F0000}"/>
    <cellStyle name="Comma 15 2 3 4 3 2" xfId="38121" xr:uid="{00000000-0005-0000-0000-0000397F0000}"/>
    <cellStyle name="Comma 15 2 3 4 3 2 2" xfId="38122" xr:uid="{00000000-0005-0000-0000-00003A7F0000}"/>
    <cellStyle name="Comma 15 2 3 4 3 2 3" xfId="38123" xr:uid="{00000000-0005-0000-0000-00003B7F0000}"/>
    <cellStyle name="Comma 15 2 3 4 3 3" xfId="38124" xr:uid="{00000000-0005-0000-0000-00003C7F0000}"/>
    <cellStyle name="Comma 15 2 3 4 3 3 2" xfId="38125" xr:uid="{00000000-0005-0000-0000-00003D7F0000}"/>
    <cellStyle name="Comma 15 2 3 4 3 3 3" xfId="38126" xr:uid="{00000000-0005-0000-0000-00003E7F0000}"/>
    <cellStyle name="Comma 15 2 3 4 3 4" xfId="38127" xr:uid="{00000000-0005-0000-0000-00003F7F0000}"/>
    <cellStyle name="Comma 15 2 3 4 3 4 2" xfId="38128" xr:uid="{00000000-0005-0000-0000-0000407F0000}"/>
    <cellStyle name="Comma 15 2 3 4 3 5" xfId="38129" xr:uid="{00000000-0005-0000-0000-0000417F0000}"/>
    <cellStyle name="Comma 15 2 3 4 3 6" xfId="38130" xr:uid="{00000000-0005-0000-0000-0000427F0000}"/>
    <cellStyle name="Comma 15 2 3 4 4" xfId="38131" xr:uid="{00000000-0005-0000-0000-0000437F0000}"/>
    <cellStyle name="Comma 15 2 3 4 4 2" xfId="38132" xr:uid="{00000000-0005-0000-0000-0000447F0000}"/>
    <cellStyle name="Comma 15 2 3 4 4 2 2" xfId="38133" xr:uid="{00000000-0005-0000-0000-0000457F0000}"/>
    <cellStyle name="Comma 15 2 3 4 4 2 3" xfId="38134" xr:uid="{00000000-0005-0000-0000-0000467F0000}"/>
    <cellStyle name="Comma 15 2 3 4 4 3" xfId="38135" xr:uid="{00000000-0005-0000-0000-0000477F0000}"/>
    <cellStyle name="Comma 15 2 3 4 4 3 2" xfId="38136" xr:uid="{00000000-0005-0000-0000-0000487F0000}"/>
    <cellStyle name="Comma 15 2 3 4 4 4" xfId="38137" xr:uid="{00000000-0005-0000-0000-0000497F0000}"/>
    <cellStyle name="Comma 15 2 3 4 4 5" xfId="38138" xr:uid="{00000000-0005-0000-0000-00004A7F0000}"/>
    <cellStyle name="Comma 15 2 3 4 5" xfId="38139" xr:uid="{00000000-0005-0000-0000-00004B7F0000}"/>
    <cellStyle name="Comma 15 2 3 4 5 2" xfId="38140" xr:uid="{00000000-0005-0000-0000-00004C7F0000}"/>
    <cellStyle name="Comma 15 2 3 4 5 3" xfId="38141" xr:uid="{00000000-0005-0000-0000-00004D7F0000}"/>
    <cellStyle name="Comma 15 2 3 4 6" xfId="38142" xr:uid="{00000000-0005-0000-0000-00004E7F0000}"/>
    <cellStyle name="Comma 15 2 3 4 6 2" xfId="38143" xr:uid="{00000000-0005-0000-0000-00004F7F0000}"/>
    <cellStyle name="Comma 15 2 3 4 6 3" xfId="38144" xr:uid="{00000000-0005-0000-0000-0000507F0000}"/>
    <cellStyle name="Comma 15 2 3 4 7" xfId="38145" xr:uid="{00000000-0005-0000-0000-0000517F0000}"/>
    <cellStyle name="Comma 15 2 3 4 7 2" xfId="38146" xr:uid="{00000000-0005-0000-0000-0000527F0000}"/>
    <cellStyle name="Comma 15 2 3 4 8" xfId="38147" xr:uid="{00000000-0005-0000-0000-0000537F0000}"/>
    <cellStyle name="Comma 15 2 3 4 9" xfId="38148" xr:uid="{00000000-0005-0000-0000-0000547F0000}"/>
    <cellStyle name="Comma 15 2 3 5" xfId="38149" xr:uid="{00000000-0005-0000-0000-0000557F0000}"/>
    <cellStyle name="Comma 15 2 3 5 2" xfId="38150" xr:uid="{00000000-0005-0000-0000-0000567F0000}"/>
    <cellStyle name="Comma 15 2 3 5 2 2" xfId="38151" xr:uid="{00000000-0005-0000-0000-0000577F0000}"/>
    <cellStyle name="Comma 15 2 3 5 2 3" xfId="38152" xr:uid="{00000000-0005-0000-0000-0000587F0000}"/>
    <cellStyle name="Comma 15 2 3 5 3" xfId="38153" xr:uid="{00000000-0005-0000-0000-0000597F0000}"/>
    <cellStyle name="Comma 15 2 3 5 3 2" xfId="38154" xr:uid="{00000000-0005-0000-0000-00005A7F0000}"/>
    <cellStyle name="Comma 15 2 3 5 3 3" xfId="38155" xr:uid="{00000000-0005-0000-0000-00005B7F0000}"/>
    <cellStyle name="Comma 15 2 3 5 4" xfId="38156" xr:uid="{00000000-0005-0000-0000-00005C7F0000}"/>
    <cellStyle name="Comma 15 2 3 5 4 2" xfId="38157" xr:uid="{00000000-0005-0000-0000-00005D7F0000}"/>
    <cellStyle name="Comma 15 2 3 5 5" xfId="38158" xr:uid="{00000000-0005-0000-0000-00005E7F0000}"/>
    <cellStyle name="Comma 15 2 3 5 6" xfId="38159" xr:uid="{00000000-0005-0000-0000-00005F7F0000}"/>
    <cellStyle name="Comma 15 2 3 6" xfId="38160" xr:uid="{00000000-0005-0000-0000-0000607F0000}"/>
    <cellStyle name="Comma 15 2 3 6 2" xfId="38161" xr:uid="{00000000-0005-0000-0000-0000617F0000}"/>
    <cellStyle name="Comma 15 2 3 6 2 2" xfId="38162" xr:uid="{00000000-0005-0000-0000-0000627F0000}"/>
    <cellStyle name="Comma 15 2 3 6 2 3" xfId="38163" xr:uid="{00000000-0005-0000-0000-0000637F0000}"/>
    <cellStyle name="Comma 15 2 3 6 3" xfId="38164" xr:uid="{00000000-0005-0000-0000-0000647F0000}"/>
    <cellStyle name="Comma 15 2 3 6 3 2" xfId="38165" xr:uid="{00000000-0005-0000-0000-0000657F0000}"/>
    <cellStyle name="Comma 15 2 3 6 3 3" xfId="38166" xr:uid="{00000000-0005-0000-0000-0000667F0000}"/>
    <cellStyle name="Comma 15 2 3 6 4" xfId="38167" xr:uid="{00000000-0005-0000-0000-0000677F0000}"/>
    <cellStyle name="Comma 15 2 3 6 4 2" xfId="38168" xr:uid="{00000000-0005-0000-0000-0000687F0000}"/>
    <cellStyle name="Comma 15 2 3 6 5" xfId="38169" xr:uid="{00000000-0005-0000-0000-0000697F0000}"/>
    <cellStyle name="Comma 15 2 3 6 6" xfId="38170" xr:uid="{00000000-0005-0000-0000-00006A7F0000}"/>
    <cellStyle name="Comma 15 2 3 7" xfId="38171" xr:uid="{00000000-0005-0000-0000-00006B7F0000}"/>
    <cellStyle name="Comma 15 2 3 7 2" xfId="38172" xr:uid="{00000000-0005-0000-0000-00006C7F0000}"/>
    <cellStyle name="Comma 15 2 3 7 2 2" xfId="38173" xr:uid="{00000000-0005-0000-0000-00006D7F0000}"/>
    <cellStyle name="Comma 15 2 3 7 2 3" xfId="38174" xr:uid="{00000000-0005-0000-0000-00006E7F0000}"/>
    <cellStyle name="Comma 15 2 3 7 3" xfId="38175" xr:uid="{00000000-0005-0000-0000-00006F7F0000}"/>
    <cellStyle name="Comma 15 2 3 7 3 2" xfId="38176" xr:uid="{00000000-0005-0000-0000-0000707F0000}"/>
    <cellStyle name="Comma 15 2 3 7 4" xfId="38177" xr:uid="{00000000-0005-0000-0000-0000717F0000}"/>
    <cellStyle name="Comma 15 2 3 7 5" xfId="38178" xr:uid="{00000000-0005-0000-0000-0000727F0000}"/>
    <cellStyle name="Comma 15 2 3 8" xfId="38179" xr:uid="{00000000-0005-0000-0000-0000737F0000}"/>
    <cellStyle name="Comma 15 2 3 8 2" xfId="38180" xr:uid="{00000000-0005-0000-0000-0000747F0000}"/>
    <cellStyle name="Comma 15 2 3 8 3" xfId="38181" xr:uid="{00000000-0005-0000-0000-0000757F0000}"/>
    <cellStyle name="Comma 15 2 3 9" xfId="38182" xr:uid="{00000000-0005-0000-0000-0000767F0000}"/>
    <cellStyle name="Comma 15 2 3 9 2" xfId="38183" xr:uid="{00000000-0005-0000-0000-0000777F0000}"/>
    <cellStyle name="Comma 15 2 3 9 3" xfId="38184" xr:uid="{00000000-0005-0000-0000-0000787F0000}"/>
    <cellStyle name="Comma 15 2 4" xfId="38185" xr:uid="{00000000-0005-0000-0000-0000797F0000}"/>
    <cellStyle name="Comma 15 2 4 10" xfId="38186" xr:uid="{00000000-0005-0000-0000-00007A7F0000}"/>
    <cellStyle name="Comma 15 2 4 2" xfId="38187" xr:uid="{00000000-0005-0000-0000-00007B7F0000}"/>
    <cellStyle name="Comma 15 2 4 2 2" xfId="38188" xr:uid="{00000000-0005-0000-0000-00007C7F0000}"/>
    <cellStyle name="Comma 15 2 4 2 2 2" xfId="38189" xr:uid="{00000000-0005-0000-0000-00007D7F0000}"/>
    <cellStyle name="Comma 15 2 4 2 2 2 2" xfId="38190" xr:uid="{00000000-0005-0000-0000-00007E7F0000}"/>
    <cellStyle name="Comma 15 2 4 2 2 2 3" xfId="38191" xr:uid="{00000000-0005-0000-0000-00007F7F0000}"/>
    <cellStyle name="Comma 15 2 4 2 2 3" xfId="38192" xr:uid="{00000000-0005-0000-0000-0000807F0000}"/>
    <cellStyle name="Comma 15 2 4 2 2 3 2" xfId="38193" xr:uid="{00000000-0005-0000-0000-0000817F0000}"/>
    <cellStyle name="Comma 15 2 4 2 2 3 3" xfId="38194" xr:uid="{00000000-0005-0000-0000-0000827F0000}"/>
    <cellStyle name="Comma 15 2 4 2 2 4" xfId="38195" xr:uid="{00000000-0005-0000-0000-0000837F0000}"/>
    <cellStyle name="Comma 15 2 4 2 2 4 2" xfId="38196" xr:uid="{00000000-0005-0000-0000-0000847F0000}"/>
    <cellStyle name="Comma 15 2 4 2 2 5" xfId="38197" xr:uid="{00000000-0005-0000-0000-0000857F0000}"/>
    <cellStyle name="Comma 15 2 4 2 2 6" xfId="38198" xr:uid="{00000000-0005-0000-0000-0000867F0000}"/>
    <cellStyle name="Comma 15 2 4 2 3" xfId="38199" xr:uid="{00000000-0005-0000-0000-0000877F0000}"/>
    <cellStyle name="Comma 15 2 4 2 3 2" xfId="38200" xr:uid="{00000000-0005-0000-0000-0000887F0000}"/>
    <cellStyle name="Comma 15 2 4 2 3 2 2" xfId="38201" xr:uid="{00000000-0005-0000-0000-0000897F0000}"/>
    <cellStyle name="Comma 15 2 4 2 3 2 3" xfId="38202" xr:uid="{00000000-0005-0000-0000-00008A7F0000}"/>
    <cellStyle name="Comma 15 2 4 2 3 3" xfId="38203" xr:uid="{00000000-0005-0000-0000-00008B7F0000}"/>
    <cellStyle name="Comma 15 2 4 2 3 3 2" xfId="38204" xr:uid="{00000000-0005-0000-0000-00008C7F0000}"/>
    <cellStyle name="Comma 15 2 4 2 3 3 3" xfId="38205" xr:uid="{00000000-0005-0000-0000-00008D7F0000}"/>
    <cellStyle name="Comma 15 2 4 2 3 4" xfId="38206" xr:uid="{00000000-0005-0000-0000-00008E7F0000}"/>
    <cellStyle name="Comma 15 2 4 2 3 4 2" xfId="38207" xr:uid="{00000000-0005-0000-0000-00008F7F0000}"/>
    <cellStyle name="Comma 15 2 4 2 3 5" xfId="38208" xr:uid="{00000000-0005-0000-0000-0000907F0000}"/>
    <cellStyle name="Comma 15 2 4 2 3 6" xfId="38209" xr:uid="{00000000-0005-0000-0000-0000917F0000}"/>
    <cellStyle name="Comma 15 2 4 2 4" xfId="38210" xr:uid="{00000000-0005-0000-0000-0000927F0000}"/>
    <cellStyle name="Comma 15 2 4 2 4 2" xfId="38211" xr:uid="{00000000-0005-0000-0000-0000937F0000}"/>
    <cellStyle name="Comma 15 2 4 2 4 2 2" xfId="38212" xr:uid="{00000000-0005-0000-0000-0000947F0000}"/>
    <cellStyle name="Comma 15 2 4 2 4 2 3" xfId="38213" xr:uid="{00000000-0005-0000-0000-0000957F0000}"/>
    <cellStyle name="Comma 15 2 4 2 4 3" xfId="38214" xr:uid="{00000000-0005-0000-0000-0000967F0000}"/>
    <cellStyle name="Comma 15 2 4 2 4 3 2" xfId="38215" xr:uid="{00000000-0005-0000-0000-0000977F0000}"/>
    <cellStyle name="Comma 15 2 4 2 4 4" xfId="38216" xr:uid="{00000000-0005-0000-0000-0000987F0000}"/>
    <cellStyle name="Comma 15 2 4 2 4 5" xfId="38217" xr:uid="{00000000-0005-0000-0000-0000997F0000}"/>
    <cellStyle name="Comma 15 2 4 2 5" xfId="38218" xr:uid="{00000000-0005-0000-0000-00009A7F0000}"/>
    <cellStyle name="Comma 15 2 4 2 5 2" xfId="38219" xr:uid="{00000000-0005-0000-0000-00009B7F0000}"/>
    <cellStyle name="Comma 15 2 4 2 5 3" xfId="38220" xr:uid="{00000000-0005-0000-0000-00009C7F0000}"/>
    <cellStyle name="Comma 15 2 4 2 6" xfId="38221" xr:uid="{00000000-0005-0000-0000-00009D7F0000}"/>
    <cellStyle name="Comma 15 2 4 2 6 2" xfId="38222" xr:uid="{00000000-0005-0000-0000-00009E7F0000}"/>
    <cellStyle name="Comma 15 2 4 2 6 3" xfId="38223" xr:uid="{00000000-0005-0000-0000-00009F7F0000}"/>
    <cellStyle name="Comma 15 2 4 2 7" xfId="38224" xr:uid="{00000000-0005-0000-0000-0000A07F0000}"/>
    <cellStyle name="Comma 15 2 4 2 7 2" xfId="38225" xr:uid="{00000000-0005-0000-0000-0000A17F0000}"/>
    <cellStyle name="Comma 15 2 4 2 8" xfId="38226" xr:uid="{00000000-0005-0000-0000-0000A27F0000}"/>
    <cellStyle name="Comma 15 2 4 2 9" xfId="38227" xr:uid="{00000000-0005-0000-0000-0000A37F0000}"/>
    <cellStyle name="Comma 15 2 4 3" xfId="38228" xr:uid="{00000000-0005-0000-0000-0000A47F0000}"/>
    <cellStyle name="Comma 15 2 4 3 2" xfId="38229" xr:uid="{00000000-0005-0000-0000-0000A57F0000}"/>
    <cellStyle name="Comma 15 2 4 3 2 2" xfId="38230" xr:uid="{00000000-0005-0000-0000-0000A67F0000}"/>
    <cellStyle name="Comma 15 2 4 3 2 3" xfId="38231" xr:uid="{00000000-0005-0000-0000-0000A77F0000}"/>
    <cellStyle name="Comma 15 2 4 3 3" xfId="38232" xr:uid="{00000000-0005-0000-0000-0000A87F0000}"/>
    <cellStyle name="Comma 15 2 4 3 3 2" xfId="38233" xr:uid="{00000000-0005-0000-0000-0000A97F0000}"/>
    <cellStyle name="Comma 15 2 4 3 3 3" xfId="38234" xr:uid="{00000000-0005-0000-0000-0000AA7F0000}"/>
    <cellStyle name="Comma 15 2 4 3 4" xfId="38235" xr:uid="{00000000-0005-0000-0000-0000AB7F0000}"/>
    <cellStyle name="Comma 15 2 4 3 4 2" xfId="38236" xr:uid="{00000000-0005-0000-0000-0000AC7F0000}"/>
    <cellStyle name="Comma 15 2 4 3 5" xfId="38237" xr:uid="{00000000-0005-0000-0000-0000AD7F0000}"/>
    <cellStyle name="Comma 15 2 4 3 6" xfId="38238" xr:uid="{00000000-0005-0000-0000-0000AE7F0000}"/>
    <cellStyle name="Comma 15 2 4 4" xfId="38239" xr:uid="{00000000-0005-0000-0000-0000AF7F0000}"/>
    <cellStyle name="Comma 15 2 4 4 2" xfId="38240" xr:uid="{00000000-0005-0000-0000-0000B07F0000}"/>
    <cellStyle name="Comma 15 2 4 4 2 2" xfId="38241" xr:uid="{00000000-0005-0000-0000-0000B17F0000}"/>
    <cellStyle name="Comma 15 2 4 4 2 3" xfId="38242" xr:uid="{00000000-0005-0000-0000-0000B27F0000}"/>
    <cellStyle name="Comma 15 2 4 4 3" xfId="38243" xr:uid="{00000000-0005-0000-0000-0000B37F0000}"/>
    <cellStyle name="Comma 15 2 4 4 3 2" xfId="38244" xr:uid="{00000000-0005-0000-0000-0000B47F0000}"/>
    <cellStyle name="Comma 15 2 4 4 3 3" xfId="38245" xr:uid="{00000000-0005-0000-0000-0000B57F0000}"/>
    <cellStyle name="Comma 15 2 4 4 4" xfId="38246" xr:uid="{00000000-0005-0000-0000-0000B67F0000}"/>
    <cellStyle name="Comma 15 2 4 4 4 2" xfId="38247" xr:uid="{00000000-0005-0000-0000-0000B77F0000}"/>
    <cellStyle name="Comma 15 2 4 4 5" xfId="38248" xr:uid="{00000000-0005-0000-0000-0000B87F0000}"/>
    <cellStyle name="Comma 15 2 4 4 6" xfId="38249" xr:uid="{00000000-0005-0000-0000-0000B97F0000}"/>
    <cellStyle name="Comma 15 2 4 5" xfId="38250" xr:uid="{00000000-0005-0000-0000-0000BA7F0000}"/>
    <cellStyle name="Comma 15 2 4 5 2" xfId="38251" xr:uid="{00000000-0005-0000-0000-0000BB7F0000}"/>
    <cellStyle name="Comma 15 2 4 5 2 2" xfId="38252" xr:uid="{00000000-0005-0000-0000-0000BC7F0000}"/>
    <cellStyle name="Comma 15 2 4 5 2 3" xfId="38253" xr:uid="{00000000-0005-0000-0000-0000BD7F0000}"/>
    <cellStyle name="Comma 15 2 4 5 3" xfId="38254" xr:uid="{00000000-0005-0000-0000-0000BE7F0000}"/>
    <cellStyle name="Comma 15 2 4 5 3 2" xfId="38255" xr:uid="{00000000-0005-0000-0000-0000BF7F0000}"/>
    <cellStyle name="Comma 15 2 4 5 4" xfId="38256" xr:uid="{00000000-0005-0000-0000-0000C07F0000}"/>
    <cellStyle name="Comma 15 2 4 5 5" xfId="38257" xr:uid="{00000000-0005-0000-0000-0000C17F0000}"/>
    <cellStyle name="Comma 15 2 4 6" xfId="38258" xr:uid="{00000000-0005-0000-0000-0000C27F0000}"/>
    <cellStyle name="Comma 15 2 4 6 2" xfId="38259" xr:uid="{00000000-0005-0000-0000-0000C37F0000}"/>
    <cellStyle name="Comma 15 2 4 6 3" xfId="38260" xr:uid="{00000000-0005-0000-0000-0000C47F0000}"/>
    <cellStyle name="Comma 15 2 4 7" xfId="38261" xr:uid="{00000000-0005-0000-0000-0000C57F0000}"/>
    <cellStyle name="Comma 15 2 4 7 2" xfId="38262" xr:uid="{00000000-0005-0000-0000-0000C67F0000}"/>
    <cellStyle name="Comma 15 2 4 7 3" xfId="38263" xr:uid="{00000000-0005-0000-0000-0000C77F0000}"/>
    <cellStyle name="Comma 15 2 4 8" xfId="38264" xr:uid="{00000000-0005-0000-0000-0000C87F0000}"/>
    <cellStyle name="Comma 15 2 4 8 2" xfId="38265" xr:uid="{00000000-0005-0000-0000-0000C97F0000}"/>
    <cellStyle name="Comma 15 2 4 9" xfId="38266" xr:uid="{00000000-0005-0000-0000-0000CA7F0000}"/>
    <cellStyle name="Comma 15 2 5" xfId="38267" xr:uid="{00000000-0005-0000-0000-0000CB7F0000}"/>
    <cellStyle name="Comma 15 2 5 2" xfId="38268" xr:uid="{00000000-0005-0000-0000-0000CC7F0000}"/>
    <cellStyle name="Comma 15 2 5 2 2" xfId="38269" xr:uid="{00000000-0005-0000-0000-0000CD7F0000}"/>
    <cellStyle name="Comma 15 2 5 2 2 2" xfId="38270" xr:uid="{00000000-0005-0000-0000-0000CE7F0000}"/>
    <cellStyle name="Comma 15 2 5 2 2 3" xfId="38271" xr:uid="{00000000-0005-0000-0000-0000CF7F0000}"/>
    <cellStyle name="Comma 15 2 5 2 3" xfId="38272" xr:uid="{00000000-0005-0000-0000-0000D07F0000}"/>
    <cellStyle name="Comma 15 2 5 2 3 2" xfId="38273" xr:uid="{00000000-0005-0000-0000-0000D17F0000}"/>
    <cellStyle name="Comma 15 2 5 2 3 3" xfId="38274" xr:uid="{00000000-0005-0000-0000-0000D27F0000}"/>
    <cellStyle name="Comma 15 2 5 2 4" xfId="38275" xr:uid="{00000000-0005-0000-0000-0000D37F0000}"/>
    <cellStyle name="Comma 15 2 5 2 4 2" xfId="38276" xr:uid="{00000000-0005-0000-0000-0000D47F0000}"/>
    <cellStyle name="Comma 15 2 5 2 5" xfId="38277" xr:uid="{00000000-0005-0000-0000-0000D57F0000}"/>
    <cellStyle name="Comma 15 2 5 2 6" xfId="38278" xr:uid="{00000000-0005-0000-0000-0000D67F0000}"/>
    <cellStyle name="Comma 15 2 5 3" xfId="38279" xr:uid="{00000000-0005-0000-0000-0000D77F0000}"/>
    <cellStyle name="Comma 15 2 5 3 2" xfId="38280" xr:uid="{00000000-0005-0000-0000-0000D87F0000}"/>
    <cellStyle name="Comma 15 2 5 3 2 2" xfId="38281" xr:uid="{00000000-0005-0000-0000-0000D97F0000}"/>
    <cellStyle name="Comma 15 2 5 3 2 3" xfId="38282" xr:uid="{00000000-0005-0000-0000-0000DA7F0000}"/>
    <cellStyle name="Comma 15 2 5 3 3" xfId="38283" xr:uid="{00000000-0005-0000-0000-0000DB7F0000}"/>
    <cellStyle name="Comma 15 2 5 3 3 2" xfId="38284" xr:uid="{00000000-0005-0000-0000-0000DC7F0000}"/>
    <cellStyle name="Comma 15 2 5 3 3 3" xfId="38285" xr:uid="{00000000-0005-0000-0000-0000DD7F0000}"/>
    <cellStyle name="Comma 15 2 5 3 4" xfId="38286" xr:uid="{00000000-0005-0000-0000-0000DE7F0000}"/>
    <cellStyle name="Comma 15 2 5 3 4 2" xfId="38287" xr:uid="{00000000-0005-0000-0000-0000DF7F0000}"/>
    <cellStyle name="Comma 15 2 5 3 5" xfId="38288" xr:uid="{00000000-0005-0000-0000-0000E07F0000}"/>
    <cellStyle name="Comma 15 2 5 3 6" xfId="38289" xr:uid="{00000000-0005-0000-0000-0000E17F0000}"/>
    <cellStyle name="Comma 15 2 5 4" xfId="38290" xr:uid="{00000000-0005-0000-0000-0000E27F0000}"/>
    <cellStyle name="Comma 15 2 5 4 2" xfId="38291" xr:uid="{00000000-0005-0000-0000-0000E37F0000}"/>
    <cellStyle name="Comma 15 2 5 4 2 2" xfId="38292" xr:uid="{00000000-0005-0000-0000-0000E47F0000}"/>
    <cellStyle name="Comma 15 2 5 4 2 3" xfId="38293" xr:uid="{00000000-0005-0000-0000-0000E57F0000}"/>
    <cellStyle name="Comma 15 2 5 4 3" xfId="38294" xr:uid="{00000000-0005-0000-0000-0000E67F0000}"/>
    <cellStyle name="Comma 15 2 5 4 3 2" xfId="38295" xr:uid="{00000000-0005-0000-0000-0000E77F0000}"/>
    <cellStyle name="Comma 15 2 5 4 4" xfId="38296" xr:uid="{00000000-0005-0000-0000-0000E87F0000}"/>
    <cellStyle name="Comma 15 2 5 4 5" xfId="38297" xr:uid="{00000000-0005-0000-0000-0000E97F0000}"/>
    <cellStyle name="Comma 15 2 5 5" xfId="38298" xr:uid="{00000000-0005-0000-0000-0000EA7F0000}"/>
    <cellStyle name="Comma 15 2 5 5 2" xfId="38299" xr:uid="{00000000-0005-0000-0000-0000EB7F0000}"/>
    <cellStyle name="Comma 15 2 5 5 3" xfId="38300" xr:uid="{00000000-0005-0000-0000-0000EC7F0000}"/>
    <cellStyle name="Comma 15 2 5 6" xfId="38301" xr:uid="{00000000-0005-0000-0000-0000ED7F0000}"/>
    <cellStyle name="Comma 15 2 5 6 2" xfId="38302" xr:uid="{00000000-0005-0000-0000-0000EE7F0000}"/>
    <cellStyle name="Comma 15 2 5 6 3" xfId="38303" xr:uid="{00000000-0005-0000-0000-0000EF7F0000}"/>
    <cellStyle name="Comma 15 2 5 7" xfId="38304" xr:uid="{00000000-0005-0000-0000-0000F07F0000}"/>
    <cellStyle name="Comma 15 2 5 7 2" xfId="38305" xr:uid="{00000000-0005-0000-0000-0000F17F0000}"/>
    <cellStyle name="Comma 15 2 5 8" xfId="38306" xr:uid="{00000000-0005-0000-0000-0000F27F0000}"/>
    <cellStyle name="Comma 15 2 5 9" xfId="38307" xr:uid="{00000000-0005-0000-0000-0000F37F0000}"/>
    <cellStyle name="Comma 15 2 6" xfId="38308" xr:uid="{00000000-0005-0000-0000-0000F47F0000}"/>
    <cellStyle name="Comma 15 2 6 2" xfId="38309" xr:uid="{00000000-0005-0000-0000-0000F57F0000}"/>
    <cellStyle name="Comma 15 2 6 2 2" xfId="38310" xr:uid="{00000000-0005-0000-0000-0000F67F0000}"/>
    <cellStyle name="Comma 15 2 6 2 2 2" xfId="38311" xr:uid="{00000000-0005-0000-0000-0000F77F0000}"/>
    <cellStyle name="Comma 15 2 6 2 2 3" xfId="38312" xr:uid="{00000000-0005-0000-0000-0000F87F0000}"/>
    <cellStyle name="Comma 15 2 6 2 3" xfId="38313" xr:uid="{00000000-0005-0000-0000-0000F97F0000}"/>
    <cellStyle name="Comma 15 2 6 2 3 2" xfId="38314" xr:uid="{00000000-0005-0000-0000-0000FA7F0000}"/>
    <cellStyle name="Comma 15 2 6 2 3 3" xfId="38315" xr:uid="{00000000-0005-0000-0000-0000FB7F0000}"/>
    <cellStyle name="Comma 15 2 6 2 4" xfId="38316" xr:uid="{00000000-0005-0000-0000-0000FC7F0000}"/>
    <cellStyle name="Comma 15 2 6 2 4 2" xfId="38317" xr:uid="{00000000-0005-0000-0000-0000FD7F0000}"/>
    <cellStyle name="Comma 15 2 6 2 5" xfId="38318" xr:uid="{00000000-0005-0000-0000-0000FE7F0000}"/>
    <cellStyle name="Comma 15 2 6 2 6" xfId="38319" xr:uid="{00000000-0005-0000-0000-0000FF7F0000}"/>
    <cellStyle name="Comma 15 2 6 3" xfId="38320" xr:uid="{00000000-0005-0000-0000-000000800000}"/>
    <cellStyle name="Comma 15 2 6 3 2" xfId="38321" xr:uid="{00000000-0005-0000-0000-000001800000}"/>
    <cellStyle name="Comma 15 2 6 3 2 2" xfId="38322" xr:uid="{00000000-0005-0000-0000-000002800000}"/>
    <cellStyle name="Comma 15 2 6 3 2 3" xfId="38323" xr:uid="{00000000-0005-0000-0000-000003800000}"/>
    <cellStyle name="Comma 15 2 6 3 3" xfId="38324" xr:uid="{00000000-0005-0000-0000-000004800000}"/>
    <cellStyle name="Comma 15 2 6 3 3 2" xfId="38325" xr:uid="{00000000-0005-0000-0000-000005800000}"/>
    <cellStyle name="Comma 15 2 6 3 3 3" xfId="38326" xr:uid="{00000000-0005-0000-0000-000006800000}"/>
    <cellStyle name="Comma 15 2 6 3 4" xfId="38327" xr:uid="{00000000-0005-0000-0000-000007800000}"/>
    <cellStyle name="Comma 15 2 6 3 4 2" xfId="38328" xr:uid="{00000000-0005-0000-0000-000008800000}"/>
    <cellStyle name="Comma 15 2 6 3 5" xfId="38329" xr:uid="{00000000-0005-0000-0000-000009800000}"/>
    <cellStyle name="Comma 15 2 6 3 6" xfId="38330" xr:uid="{00000000-0005-0000-0000-00000A800000}"/>
    <cellStyle name="Comma 15 2 6 4" xfId="38331" xr:uid="{00000000-0005-0000-0000-00000B800000}"/>
    <cellStyle name="Comma 15 2 6 4 2" xfId="38332" xr:uid="{00000000-0005-0000-0000-00000C800000}"/>
    <cellStyle name="Comma 15 2 6 4 2 2" xfId="38333" xr:uid="{00000000-0005-0000-0000-00000D800000}"/>
    <cellStyle name="Comma 15 2 6 4 2 3" xfId="38334" xr:uid="{00000000-0005-0000-0000-00000E800000}"/>
    <cellStyle name="Comma 15 2 6 4 3" xfId="38335" xr:uid="{00000000-0005-0000-0000-00000F800000}"/>
    <cellStyle name="Comma 15 2 6 4 3 2" xfId="38336" xr:uid="{00000000-0005-0000-0000-000010800000}"/>
    <cellStyle name="Comma 15 2 6 4 4" xfId="38337" xr:uid="{00000000-0005-0000-0000-000011800000}"/>
    <cellStyle name="Comma 15 2 6 4 5" xfId="38338" xr:uid="{00000000-0005-0000-0000-000012800000}"/>
    <cellStyle name="Comma 15 2 6 5" xfId="38339" xr:uid="{00000000-0005-0000-0000-000013800000}"/>
    <cellStyle name="Comma 15 2 6 5 2" xfId="38340" xr:uid="{00000000-0005-0000-0000-000014800000}"/>
    <cellStyle name="Comma 15 2 6 5 3" xfId="38341" xr:uid="{00000000-0005-0000-0000-000015800000}"/>
    <cellStyle name="Comma 15 2 6 6" xfId="38342" xr:uid="{00000000-0005-0000-0000-000016800000}"/>
    <cellStyle name="Comma 15 2 6 6 2" xfId="38343" xr:uid="{00000000-0005-0000-0000-000017800000}"/>
    <cellStyle name="Comma 15 2 6 6 3" xfId="38344" xr:uid="{00000000-0005-0000-0000-000018800000}"/>
    <cellStyle name="Comma 15 2 6 7" xfId="38345" xr:uid="{00000000-0005-0000-0000-000019800000}"/>
    <cellStyle name="Comma 15 2 6 7 2" xfId="38346" xr:uid="{00000000-0005-0000-0000-00001A800000}"/>
    <cellStyle name="Comma 15 2 6 8" xfId="38347" xr:uid="{00000000-0005-0000-0000-00001B800000}"/>
    <cellStyle name="Comma 15 2 6 9" xfId="38348" xr:uid="{00000000-0005-0000-0000-00001C800000}"/>
    <cellStyle name="Comma 15 2 7" xfId="38349" xr:uid="{00000000-0005-0000-0000-00001D800000}"/>
    <cellStyle name="Comma 15 2 7 2" xfId="38350" xr:uid="{00000000-0005-0000-0000-00001E800000}"/>
    <cellStyle name="Comma 15 2 7 2 2" xfId="38351" xr:uid="{00000000-0005-0000-0000-00001F800000}"/>
    <cellStyle name="Comma 15 2 7 2 3" xfId="38352" xr:uid="{00000000-0005-0000-0000-000020800000}"/>
    <cellStyle name="Comma 15 2 7 3" xfId="38353" xr:uid="{00000000-0005-0000-0000-000021800000}"/>
    <cellStyle name="Comma 15 2 7 3 2" xfId="38354" xr:uid="{00000000-0005-0000-0000-000022800000}"/>
    <cellStyle name="Comma 15 2 7 3 3" xfId="38355" xr:uid="{00000000-0005-0000-0000-000023800000}"/>
    <cellStyle name="Comma 15 2 7 4" xfId="38356" xr:uid="{00000000-0005-0000-0000-000024800000}"/>
    <cellStyle name="Comma 15 2 7 4 2" xfId="38357" xr:uid="{00000000-0005-0000-0000-000025800000}"/>
    <cellStyle name="Comma 15 2 7 5" xfId="38358" xr:uid="{00000000-0005-0000-0000-000026800000}"/>
    <cellStyle name="Comma 15 2 7 6" xfId="38359" xr:uid="{00000000-0005-0000-0000-000027800000}"/>
    <cellStyle name="Comma 15 2 8" xfId="38360" xr:uid="{00000000-0005-0000-0000-000028800000}"/>
    <cellStyle name="Comma 15 2 8 2" xfId="38361" xr:uid="{00000000-0005-0000-0000-000029800000}"/>
    <cellStyle name="Comma 15 2 8 2 2" xfId="38362" xr:uid="{00000000-0005-0000-0000-00002A800000}"/>
    <cellStyle name="Comma 15 2 8 2 3" xfId="38363" xr:uid="{00000000-0005-0000-0000-00002B800000}"/>
    <cellStyle name="Comma 15 2 8 3" xfId="38364" xr:uid="{00000000-0005-0000-0000-00002C800000}"/>
    <cellStyle name="Comma 15 2 8 3 2" xfId="38365" xr:uid="{00000000-0005-0000-0000-00002D800000}"/>
    <cellStyle name="Comma 15 2 8 3 3" xfId="38366" xr:uid="{00000000-0005-0000-0000-00002E800000}"/>
    <cellStyle name="Comma 15 2 8 4" xfId="38367" xr:uid="{00000000-0005-0000-0000-00002F800000}"/>
    <cellStyle name="Comma 15 2 8 4 2" xfId="38368" xr:uid="{00000000-0005-0000-0000-000030800000}"/>
    <cellStyle name="Comma 15 2 8 5" xfId="38369" xr:uid="{00000000-0005-0000-0000-000031800000}"/>
    <cellStyle name="Comma 15 2 8 6" xfId="38370" xr:uid="{00000000-0005-0000-0000-000032800000}"/>
    <cellStyle name="Comma 15 2 9" xfId="38371" xr:uid="{00000000-0005-0000-0000-000033800000}"/>
    <cellStyle name="Comma 15 2 9 2" xfId="38372" xr:uid="{00000000-0005-0000-0000-000034800000}"/>
    <cellStyle name="Comma 15 2 9 2 2" xfId="38373" xr:uid="{00000000-0005-0000-0000-000035800000}"/>
    <cellStyle name="Comma 15 2 9 2 3" xfId="38374" xr:uid="{00000000-0005-0000-0000-000036800000}"/>
    <cellStyle name="Comma 15 2 9 3" xfId="38375" xr:uid="{00000000-0005-0000-0000-000037800000}"/>
    <cellStyle name="Comma 15 2 9 3 2" xfId="38376" xr:uid="{00000000-0005-0000-0000-000038800000}"/>
    <cellStyle name="Comma 15 2 9 4" xfId="38377" xr:uid="{00000000-0005-0000-0000-000039800000}"/>
    <cellStyle name="Comma 15 2 9 5" xfId="38378" xr:uid="{00000000-0005-0000-0000-00003A800000}"/>
    <cellStyle name="Comma 15 3" xfId="38379" xr:uid="{00000000-0005-0000-0000-00003B800000}"/>
    <cellStyle name="Comma 15 3 10" xfId="38380" xr:uid="{00000000-0005-0000-0000-00003C800000}"/>
    <cellStyle name="Comma 15 3 10 2" xfId="38381" xr:uid="{00000000-0005-0000-0000-00003D800000}"/>
    <cellStyle name="Comma 15 3 10 3" xfId="38382" xr:uid="{00000000-0005-0000-0000-00003E800000}"/>
    <cellStyle name="Comma 15 3 11" xfId="38383" xr:uid="{00000000-0005-0000-0000-00003F800000}"/>
    <cellStyle name="Comma 15 3 11 2" xfId="38384" xr:uid="{00000000-0005-0000-0000-000040800000}"/>
    <cellStyle name="Comma 15 3 12" xfId="38385" xr:uid="{00000000-0005-0000-0000-000041800000}"/>
    <cellStyle name="Comma 15 3 13" xfId="38386" xr:uid="{00000000-0005-0000-0000-000042800000}"/>
    <cellStyle name="Comma 15 3 2" xfId="38387" xr:uid="{00000000-0005-0000-0000-000043800000}"/>
    <cellStyle name="Comma 15 3 2 10" xfId="38388" xr:uid="{00000000-0005-0000-0000-000044800000}"/>
    <cellStyle name="Comma 15 3 2 10 2" xfId="38389" xr:uid="{00000000-0005-0000-0000-000045800000}"/>
    <cellStyle name="Comma 15 3 2 11" xfId="38390" xr:uid="{00000000-0005-0000-0000-000046800000}"/>
    <cellStyle name="Comma 15 3 2 12" xfId="38391" xr:uid="{00000000-0005-0000-0000-000047800000}"/>
    <cellStyle name="Comma 15 3 2 2" xfId="38392" xr:uid="{00000000-0005-0000-0000-000048800000}"/>
    <cellStyle name="Comma 15 3 2 2 10" xfId="38393" xr:uid="{00000000-0005-0000-0000-000049800000}"/>
    <cellStyle name="Comma 15 3 2 2 2" xfId="38394" xr:uid="{00000000-0005-0000-0000-00004A800000}"/>
    <cellStyle name="Comma 15 3 2 2 2 2" xfId="38395" xr:uid="{00000000-0005-0000-0000-00004B800000}"/>
    <cellStyle name="Comma 15 3 2 2 2 2 2" xfId="38396" xr:uid="{00000000-0005-0000-0000-00004C800000}"/>
    <cellStyle name="Comma 15 3 2 2 2 2 2 2" xfId="38397" xr:uid="{00000000-0005-0000-0000-00004D800000}"/>
    <cellStyle name="Comma 15 3 2 2 2 2 2 3" xfId="38398" xr:uid="{00000000-0005-0000-0000-00004E800000}"/>
    <cellStyle name="Comma 15 3 2 2 2 2 3" xfId="38399" xr:uid="{00000000-0005-0000-0000-00004F800000}"/>
    <cellStyle name="Comma 15 3 2 2 2 2 3 2" xfId="38400" xr:uid="{00000000-0005-0000-0000-000050800000}"/>
    <cellStyle name="Comma 15 3 2 2 2 2 3 3" xfId="38401" xr:uid="{00000000-0005-0000-0000-000051800000}"/>
    <cellStyle name="Comma 15 3 2 2 2 2 4" xfId="38402" xr:uid="{00000000-0005-0000-0000-000052800000}"/>
    <cellStyle name="Comma 15 3 2 2 2 2 4 2" xfId="38403" xr:uid="{00000000-0005-0000-0000-000053800000}"/>
    <cellStyle name="Comma 15 3 2 2 2 2 5" xfId="38404" xr:uid="{00000000-0005-0000-0000-000054800000}"/>
    <cellStyle name="Comma 15 3 2 2 2 2 6" xfId="38405" xr:uid="{00000000-0005-0000-0000-000055800000}"/>
    <cellStyle name="Comma 15 3 2 2 2 3" xfId="38406" xr:uid="{00000000-0005-0000-0000-000056800000}"/>
    <cellStyle name="Comma 15 3 2 2 2 3 2" xfId="38407" xr:uid="{00000000-0005-0000-0000-000057800000}"/>
    <cellStyle name="Comma 15 3 2 2 2 3 2 2" xfId="38408" xr:uid="{00000000-0005-0000-0000-000058800000}"/>
    <cellStyle name="Comma 15 3 2 2 2 3 2 3" xfId="38409" xr:uid="{00000000-0005-0000-0000-000059800000}"/>
    <cellStyle name="Comma 15 3 2 2 2 3 3" xfId="38410" xr:uid="{00000000-0005-0000-0000-00005A800000}"/>
    <cellStyle name="Comma 15 3 2 2 2 3 3 2" xfId="38411" xr:uid="{00000000-0005-0000-0000-00005B800000}"/>
    <cellStyle name="Comma 15 3 2 2 2 3 3 3" xfId="38412" xr:uid="{00000000-0005-0000-0000-00005C800000}"/>
    <cellStyle name="Comma 15 3 2 2 2 3 4" xfId="38413" xr:uid="{00000000-0005-0000-0000-00005D800000}"/>
    <cellStyle name="Comma 15 3 2 2 2 3 4 2" xfId="38414" xr:uid="{00000000-0005-0000-0000-00005E800000}"/>
    <cellStyle name="Comma 15 3 2 2 2 3 5" xfId="38415" xr:uid="{00000000-0005-0000-0000-00005F800000}"/>
    <cellStyle name="Comma 15 3 2 2 2 3 6" xfId="38416" xr:uid="{00000000-0005-0000-0000-000060800000}"/>
    <cellStyle name="Comma 15 3 2 2 2 4" xfId="38417" xr:uid="{00000000-0005-0000-0000-000061800000}"/>
    <cellStyle name="Comma 15 3 2 2 2 4 2" xfId="38418" xr:uid="{00000000-0005-0000-0000-000062800000}"/>
    <cellStyle name="Comma 15 3 2 2 2 4 2 2" xfId="38419" xr:uid="{00000000-0005-0000-0000-000063800000}"/>
    <cellStyle name="Comma 15 3 2 2 2 4 2 3" xfId="38420" xr:uid="{00000000-0005-0000-0000-000064800000}"/>
    <cellStyle name="Comma 15 3 2 2 2 4 3" xfId="38421" xr:uid="{00000000-0005-0000-0000-000065800000}"/>
    <cellStyle name="Comma 15 3 2 2 2 4 3 2" xfId="38422" xr:uid="{00000000-0005-0000-0000-000066800000}"/>
    <cellStyle name="Comma 15 3 2 2 2 4 4" xfId="38423" xr:uid="{00000000-0005-0000-0000-000067800000}"/>
    <cellStyle name="Comma 15 3 2 2 2 4 5" xfId="38424" xr:uid="{00000000-0005-0000-0000-000068800000}"/>
    <cellStyle name="Comma 15 3 2 2 2 5" xfId="38425" xr:uid="{00000000-0005-0000-0000-000069800000}"/>
    <cellStyle name="Comma 15 3 2 2 2 5 2" xfId="38426" xr:uid="{00000000-0005-0000-0000-00006A800000}"/>
    <cellStyle name="Comma 15 3 2 2 2 5 3" xfId="38427" xr:uid="{00000000-0005-0000-0000-00006B800000}"/>
    <cellStyle name="Comma 15 3 2 2 2 6" xfId="38428" xr:uid="{00000000-0005-0000-0000-00006C800000}"/>
    <cellStyle name="Comma 15 3 2 2 2 6 2" xfId="38429" xr:uid="{00000000-0005-0000-0000-00006D800000}"/>
    <cellStyle name="Comma 15 3 2 2 2 6 3" xfId="38430" xr:uid="{00000000-0005-0000-0000-00006E800000}"/>
    <cellStyle name="Comma 15 3 2 2 2 7" xfId="38431" xr:uid="{00000000-0005-0000-0000-00006F800000}"/>
    <cellStyle name="Comma 15 3 2 2 2 7 2" xfId="38432" xr:uid="{00000000-0005-0000-0000-000070800000}"/>
    <cellStyle name="Comma 15 3 2 2 2 8" xfId="38433" xr:uid="{00000000-0005-0000-0000-000071800000}"/>
    <cellStyle name="Comma 15 3 2 2 2 9" xfId="38434" xr:uid="{00000000-0005-0000-0000-000072800000}"/>
    <cellStyle name="Comma 15 3 2 2 3" xfId="38435" xr:uid="{00000000-0005-0000-0000-000073800000}"/>
    <cellStyle name="Comma 15 3 2 2 3 2" xfId="38436" xr:uid="{00000000-0005-0000-0000-000074800000}"/>
    <cellStyle name="Comma 15 3 2 2 3 2 2" xfId="38437" xr:uid="{00000000-0005-0000-0000-000075800000}"/>
    <cellStyle name="Comma 15 3 2 2 3 2 3" xfId="38438" xr:uid="{00000000-0005-0000-0000-000076800000}"/>
    <cellStyle name="Comma 15 3 2 2 3 3" xfId="38439" xr:uid="{00000000-0005-0000-0000-000077800000}"/>
    <cellStyle name="Comma 15 3 2 2 3 3 2" xfId="38440" xr:uid="{00000000-0005-0000-0000-000078800000}"/>
    <cellStyle name="Comma 15 3 2 2 3 3 3" xfId="38441" xr:uid="{00000000-0005-0000-0000-000079800000}"/>
    <cellStyle name="Comma 15 3 2 2 3 4" xfId="38442" xr:uid="{00000000-0005-0000-0000-00007A800000}"/>
    <cellStyle name="Comma 15 3 2 2 3 4 2" xfId="38443" xr:uid="{00000000-0005-0000-0000-00007B800000}"/>
    <cellStyle name="Comma 15 3 2 2 3 5" xfId="38444" xr:uid="{00000000-0005-0000-0000-00007C800000}"/>
    <cellStyle name="Comma 15 3 2 2 3 6" xfId="38445" xr:uid="{00000000-0005-0000-0000-00007D800000}"/>
    <cellStyle name="Comma 15 3 2 2 4" xfId="38446" xr:uid="{00000000-0005-0000-0000-00007E800000}"/>
    <cellStyle name="Comma 15 3 2 2 4 2" xfId="38447" xr:uid="{00000000-0005-0000-0000-00007F800000}"/>
    <cellStyle name="Comma 15 3 2 2 4 2 2" xfId="38448" xr:uid="{00000000-0005-0000-0000-000080800000}"/>
    <cellStyle name="Comma 15 3 2 2 4 2 3" xfId="38449" xr:uid="{00000000-0005-0000-0000-000081800000}"/>
    <cellStyle name="Comma 15 3 2 2 4 3" xfId="38450" xr:uid="{00000000-0005-0000-0000-000082800000}"/>
    <cellStyle name="Comma 15 3 2 2 4 3 2" xfId="38451" xr:uid="{00000000-0005-0000-0000-000083800000}"/>
    <cellStyle name="Comma 15 3 2 2 4 3 3" xfId="38452" xr:uid="{00000000-0005-0000-0000-000084800000}"/>
    <cellStyle name="Comma 15 3 2 2 4 4" xfId="38453" xr:uid="{00000000-0005-0000-0000-000085800000}"/>
    <cellStyle name="Comma 15 3 2 2 4 4 2" xfId="38454" xr:uid="{00000000-0005-0000-0000-000086800000}"/>
    <cellStyle name="Comma 15 3 2 2 4 5" xfId="38455" xr:uid="{00000000-0005-0000-0000-000087800000}"/>
    <cellStyle name="Comma 15 3 2 2 4 6" xfId="38456" xr:uid="{00000000-0005-0000-0000-000088800000}"/>
    <cellStyle name="Comma 15 3 2 2 5" xfId="38457" xr:uid="{00000000-0005-0000-0000-000089800000}"/>
    <cellStyle name="Comma 15 3 2 2 5 2" xfId="38458" xr:uid="{00000000-0005-0000-0000-00008A800000}"/>
    <cellStyle name="Comma 15 3 2 2 5 2 2" xfId="38459" xr:uid="{00000000-0005-0000-0000-00008B800000}"/>
    <cellStyle name="Comma 15 3 2 2 5 2 3" xfId="38460" xr:uid="{00000000-0005-0000-0000-00008C800000}"/>
    <cellStyle name="Comma 15 3 2 2 5 3" xfId="38461" xr:uid="{00000000-0005-0000-0000-00008D800000}"/>
    <cellStyle name="Comma 15 3 2 2 5 3 2" xfId="38462" xr:uid="{00000000-0005-0000-0000-00008E800000}"/>
    <cellStyle name="Comma 15 3 2 2 5 4" xfId="38463" xr:uid="{00000000-0005-0000-0000-00008F800000}"/>
    <cellStyle name="Comma 15 3 2 2 5 5" xfId="38464" xr:uid="{00000000-0005-0000-0000-000090800000}"/>
    <cellStyle name="Comma 15 3 2 2 6" xfId="38465" xr:uid="{00000000-0005-0000-0000-000091800000}"/>
    <cellStyle name="Comma 15 3 2 2 6 2" xfId="38466" xr:uid="{00000000-0005-0000-0000-000092800000}"/>
    <cellStyle name="Comma 15 3 2 2 6 3" xfId="38467" xr:uid="{00000000-0005-0000-0000-000093800000}"/>
    <cellStyle name="Comma 15 3 2 2 7" xfId="38468" xr:uid="{00000000-0005-0000-0000-000094800000}"/>
    <cellStyle name="Comma 15 3 2 2 7 2" xfId="38469" xr:uid="{00000000-0005-0000-0000-000095800000}"/>
    <cellStyle name="Comma 15 3 2 2 7 3" xfId="38470" xr:uid="{00000000-0005-0000-0000-000096800000}"/>
    <cellStyle name="Comma 15 3 2 2 8" xfId="38471" xr:uid="{00000000-0005-0000-0000-000097800000}"/>
    <cellStyle name="Comma 15 3 2 2 8 2" xfId="38472" xr:uid="{00000000-0005-0000-0000-000098800000}"/>
    <cellStyle name="Comma 15 3 2 2 9" xfId="38473" xr:uid="{00000000-0005-0000-0000-000099800000}"/>
    <cellStyle name="Comma 15 3 2 3" xfId="38474" xr:uid="{00000000-0005-0000-0000-00009A800000}"/>
    <cellStyle name="Comma 15 3 2 3 2" xfId="38475" xr:uid="{00000000-0005-0000-0000-00009B800000}"/>
    <cellStyle name="Comma 15 3 2 3 2 2" xfId="38476" xr:uid="{00000000-0005-0000-0000-00009C800000}"/>
    <cellStyle name="Comma 15 3 2 3 2 2 2" xfId="38477" xr:uid="{00000000-0005-0000-0000-00009D800000}"/>
    <cellStyle name="Comma 15 3 2 3 2 2 3" xfId="38478" xr:uid="{00000000-0005-0000-0000-00009E800000}"/>
    <cellStyle name="Comma 15 3 2 3 2 3" xfId="38479" xr:uid="{00000000-0005-0000-0000-00009F800000}"/>
    <cellStyle name="Comma 15 3 2 3 2 3 2" xfId="38480" xr:uid="{00000000-0005-0000-0000-0000A0800000}"/>
    <cellStyle name="Comma 15 3 2 3 2 3 3" xfId="38481" xr:uid="{00000000-0005-0000-0000-0000A1800000}"/>
    <cellStyle name="Comma 15 3 2 3 2 4" xfId="38482" xr:uid="{00000000-0005-0000-0000-0000A2800000}"/>
    <cellStyle name="Comma 15 3 2 3 2 4 2" xfId="38483" xr:uid="{00000000-0005-0000-0000-0000A3800000}"/>
    <cellStyle name="Comma 15 3 2 3 2 5" xfId="38484" xr:uid="{00000000-0005-0000-0000-0000A4800000}"/>
    <cellStyle name="Comma 15 3 2 3 2 6" xfId="38485" xr:uid="{00000000-0005-0000-0000-0000A5800000}"/>
    <cellStyle name="Comma 15 3 2 3 3" xfId="38486" xr:uid="{00000000-0005-0000-0000-0000A6800000}"/>
    <cellStyle name="Comma 15 3 2 3 3 2" xfId="38487" xr:uid="{00000000-0005-0000-0000-0000A7800000}"/>
    <cellStyle name="Comma 15 3 2 3 3 2 2" xfId="38488" xr:uid="{00000000-0005-0000-0000-0000A8800000}"/>
    <cellStyle name="Comma 15 3 2 3 3 2 3" xfId="38489" xr:uid="{00000000-0005-0000-0000-0000A9800000}"/>
    <cellStyle name="Comma 15 3 2 3 3 3" xfId="38490" xr:uid="{00000000-0005-0000-0000-0000AA800000}"/>
    <cellStyle name="Comma 15 3 2 3 3 3 2" xfId="38491" xr:uid="{00000000-0005-0000-0000-0000AB800000}"/>
    <cellStyle name="Comma 15 3 2 3 3 3 3" xfId="38492" xr:uid="{00000000-0005-0000-0000-0000AC800000}"/>
    <cellStyle name="Comma 15 3 2 3 3 4" xfId="38493" xr:uid="{00000000-0005-0000-0000-0000AD800000}"/>
    <cellStyle name="Comma 15 3 2 3 3 4 2" xfId="38494" xr:uid="{00000000-0005-0000-0000-0000AE800000}"/>
    <cellStyle name="Comma 15 3 2 3 3 5" xfId="38495" xr:uid="{00000000-0005-0000-0000-0000AF800000}"/>
    <cellStyle name="Comma 15 3 2 3 3 6" xfId="38496" xr:uid="{00000000-0005-0000-0000-0000B0800000}"/>
    <cellStyle name="Comma 15 3 2 3 4" xfId="38497" xr:uid="{00000000-0005-0000-0000-0000B1800000}"/>
    <cellStyle name="Comma 15 3 2 3 4 2" xfId="38498" xr:uid="{00000000-0005-0000-0000-0000B2800000}"/>
    <cellStyle name="Comma 15 3 2 3 4 2 2" xfId="38499" xr:uid="{00000000-0005-0000-0000-0000B3800000}"/>
    <cellStyle name="Comma 15 3 2 3 4 2 3" xfId="38500" xr:uid="{00000000-0005-0000-0000-0000B4800000}"/>
    <cellStyle name="Comma 15 3 2 3 4 3" xfId="38501" xr:uid="{00000000-0005-0000-0000-0000B5800000}"/>
    <cellStyle name="Comma 15 3 2 3 4 3 2" xfId="38502" xr:uid="{00000000-0005-0000-0000-0000B6800000}"/>
    <cellStyle name="Comma 15 3 2 3 4 4" xfId="38503" xr:uid="{00000000-0005-0000-0000-0000B7800000}"/>
    <cellStyle name="Comma 15 3 2 3 4 5" xfId="38504" xr:uid="{00000000-0005-0000-0000-0000B8800000}"/>
    <cellStyle name="Comma 15 3 2 3 5" xfId="38505" xr:uid="{00000000-0005-0000-0000-0000B9800000}"/>
    <cellStyle name="Comma 15 3 2 3 5 2" xfId="38506" xr:uid="{00000000-0005-0000-0000-0000BA800000}"/>
    <cellStyle name="Comma 15 3 2 3 5 3" xfId="38507" xr:uid="{00000000-0005-0000-0000-0000BB800000}"/>
    <cellStyle name="Comma 15 3 2 3 6" xfId="38508" xr:uid="{00000000-0005-0000-0000-0000BC800000}"/>
    <cellStyle name="Comma 15 3 2 3 6 2" xfId="38509" xr:uid="{00000000-0005-0000-0000-0000BD800000}"/>
    <cellStyle name="Comma 15 3 2 3 6 3" xfId="38510" xr:uid="{00000000-0005-0000-0000-0000BE800000}"/>
    <cellStyle name="Comma 15 3 2 3 7" xfId="38511" xr:uid="{00000000-0005-0000-0000-0000BF800000}"/>
    <cellStyle name="Comma 15 3 2 3 7 2" xfId="38512" xr:uid="{00000000-0005-0000-0000-0000C0800000}"/>
    <cellStyle name="Comma 15 3 2 3 8" xfId="38513" xr:uid="{00000000-0005-0000-0000-0000C1800000}"/>
    <cellStyle name="Comma 15 3 2 3 9" xfId="38514" xr:uid="{00000000-0005-0000-0000-0000C2800000}"/>
    <cellStyle name="Comma 15 3 2 4" xfId="38515" xr:uid="{00000000-0005-0000-0000-0000C3800000}"/>
    <cellStyle name="Comma 15 3 2 4 2" xfId="38516" xr:uid="{00000000-0005-0000-0000-0000C4800000}"/>
    <cellStyle name="Comma 15 3 2 4 2 2" xfId="38517" xr:uid="{00000000-0005-0000-0000-0000C5800000}"/>
    <cellStyle name="Comma 15 3 2 4 2 2 2" xfId="38518" xr:uid="{00000000-0005-0000-0000-0000C6800000}"/>
    <cellStyle name="Comma 15 3 2 4 2 2 3" xfId="38519" xr:uid="{00000000-0005-0000-0000-0000C7800000}"/>
    <cellStyle name="Comma 15 3 2 4 2 3" xfId="38520" xr:uid="{00000000-0005-0000-0000-0000C8800000}"/>
    <cellStyle name="Comma 15 3 2 4 2 3 2" xfId="38521" xr:uid="{00000000-0005-0000-0000-0000C9800000}"/>
    <cellStyle name="Comma 15 3 2 4 2 3 3" xfId="38522" xr:uid="{00000000-0005-0000-0000-0000CA800000}"/>
    <cellStyle name="Comma 15 3 2 4 2 4" xfId="38523" xr:uid="{00000000-0005-0000-0000-0000CB800000}"/>
    <cellStyle name="Comma 15 3 2 4 2 4 2" xfId="38524" xr:uid="{00000000-0005-0000-0000-0000CC800000}"/>
    <cellStyle name="Comma 15 3 2 4 2 5" xfId="38525" xr:uid="{00000000-0005-0000-0000-0000CD800000}"/>
    <cellStyle name="Comma 15 3 2 4 2 6" xfId="38526" xr:uid="{00000000-0005-0000-0000-0000CE800000}"/>
    <cellStyle name="Comma 15 3 2 4 3" xfId="38527" xr:uid="{00000000-0005-0000-0000-0000CF800000}"/>
    <cellStyle name="Comma 15 3 2 4 3 2" xfId="38528" xr:uid="{00000000-0005-0000-0000-0000D0800000}"/>
    <cellStyle name="Comma 15 3 2 4 3 2 2" xfId="38529" xr:uid="{00000000-0005-0000-0000-0000D1800000}"/>
    <cellStyle name="Comma 15 3 2 4 3 2 3" xfId="38530" xr:uid="{00000000-0005-0000-0000-0000D2800000}"/>
    <cellStyle name="Comma 15 3 2 4 3 3" xfId="38531" xr:uid="{00000000-0005-0000-0000-0000D3800000}"/>
    <cellStyle name="Comma 15 3 2 4 3 3 2" xfId="38532" xr:uid="{00000000-0005-0000-0000-0000D4800000}"/>
    <cellStyle name="Comma 15 3 2 4 3 3 3" xfId="38533" xr:uid="{00000000-0005-0000-0000-0000D5800000}"/>
    <cellStyle name="Comma 15 3 2 4 3 4" xfId="38534" xr:uid="{00000000-0005-0000-0000-0000D6800000}"/>
    <cellStyle name="Comma 15 3 2 4 3 4 2" xfId="38535" xr:uid="{00000000-0005-0000-0000-0000D7800000}"/>
    <cellStyle name="Comma 15 3 2 4 3 5" xfId="38536" xr:uid="{00000000-0005-0000-0000-0000D8800000}"/>
    <cellStyle name="Comma 15 3 2 4 3 6" xfId="38537" xr:uid="{00000000-0005-0000-0000-0000D9800000}"/>
    <cellStyle name="Comma 15 3 2 4 4" xfId="38538" xr:uid="{00000000-0005-0000-0000-0000DA800000}"/>
    <cellStyle name="Comma 15 3 2 4 4 2" xfId="38539" xr:uid="{00000000-0005-0000-0000-0000DB800000}"/>
    <cellStyle name="Comma 15 3 2 4 4 2 2" xfId="38540" xr:uid="{00000000-0005-0000-0000-0000DC800000}"/>
    <cellStyle name="Comma 15 3 2 4 4 2 3" xfId="38541" xr:uid="{00000000-0005-0000-0000-0000DD800000}"/>
    <cellStyle name="Comma 15 3 2 4 4 3" xfId="38542" xr:uid="{00000000-0005-0000-0000-0000DE800000}"/>
    <cellStyle name="Comma 15 3 2 4 4 3 2" xfId="38543" xr:uid="{00000000-0005-0000-0000-0000DF800000}"/>
    <cellStyle name="Comma 15 3 2 4 4 4" xfId="38544" xr:uid="{00000000-0005-0000-0000-0000E0800000}"/>
    <cellStyle name="Comma 15 3 2 4 4 5" xfId="38545" xr:uid="{00000000-0005-0000-0000-0000E1800000}"/>
    <cellStyle name="Comma 15 3 2 4 5" xfId="38546" xr:uid="{00000000-0005-0000-0000-0000E2800000}"/>
    <cellStyle name="Comma 15 3 2 4 5 2" xfId="38547" xr:uid="{00000000-0005-0000-0000-0000E3800000}"/>
    <cellStyle name="Comma 15 3 2 4 5 3" xfId="38548" xr:uid="{00000000-0005-0000-0000-0000E4800000}"/>
    <cellStyle name="Comma 15 3 2 4 6" xfId="38549" xr:uid="{00000000-0005-0000-0000-0000E5800000}"/>
    <cellStyle name="Comma 15 3 2 4 6 2" xfId="38550" xr:uid="{00000000-0005-0000-0000-0000E6800000}"/>
    <cellStyle name="Comma 15 3 2 4 6 3" xfId="38551" xr:uid="{00000000-0005-0000-0000-0000E7800000}"/>
    <cellStyle name="Comma 15 3 2 4 7" xfId="38552" xr:uid="{00000000-0005-0000-0000-0000E8800000}"/>
    <cellStyle name="Comma 15 3 2 4 7 2" xfId="38553" xr:uid="{00000000-0005-0000-0000-0000E9800000}"/>
    <cellStyle name="Comma 15 3 2 4 8" xfId="38554" xr:uid="{00000000-0005-0000-0000-0000EA800000}"/>
    <cellStyle name="Comma 15 3 2 4 9" xfId="38555" xr:uid="{00000000-0005-0000-0000-0000EB800000}"/>
    <cellStyle name="Comma 15 3 2 5" xfId="38556" xr:uid="{00000000-0005-0000-0000-0000EC800000}"/>
    <cellStyle name="Comma 15 3 2 5 2" xfId="38557" xr:uid="{00000000-0005-0000-0000-0000ED800000}"/>
    <cellStyle name="Comma 15 3 2 5 2 2" xfId="38558" xr:uid="{00000000-0005-0000-0000-0000EE800000}"/>
    <cellStyle name="Comma 15 3 2 5 2 3" xfId="38559" xr:uid="{00000000-0005-0000-0000-0000EF800000}"/>
    <cellStyle name="Comma 15 3 2 5 3" xfId="38560" xr:uid="{00000000-0005-0000-0000-0000F0800000}"/>
    <cellStyle name="Comma 15 3 2 5 3 2" xfId="38561" xr:uid="{00000000-0005-0000-0000-0000F1800000}"/>
    <cellStyle name="Comma 15 3 2 5 3 3" xfId="38562" xr:uid="{00000000-0005-0000-0000-0000F2800000}"/>
    <cellStyle name="Comma 15 3 2 5 4" xfId="38563" xr:uid="{00000000-0005-0000-0000-0000F3800000}"/>
    <cellStyle name="Comma 15 3 2 5 4 2" xfId="38564" xr:uid="{00000000-0005-0000-0000-0000F4800000}"/>
    <cellStyle name="Comma 15 3 2 5 5" xfId="38565" xr:uid="{00000000-0005-0000-0000-0000F5800000}"/>
    <cellStyle name="Comma 15 3 2 5 6" xfId="38566" xr:uid="{00000000-0005-0000-0000-0000F6800000}"/>
    <cellStyle name="Comma 15 3 2 6" xfId="38567" xr:uid="{00000000-0005-0000-0000-0000F7800000}"/>
    <cellStyle name="Comma 15 3 2 6 2" xfId="38568" xr:uid="{00000000-0005-0000-0000-0000F8800000}"/>
    <cellStyle name="Comma 15 3 2 6 2 2" xfId="38569" xr:uid="{00000000-0005-0000-0000-0000F9800000}"/>
    <cellStyle name="Comma 15 3 2 6 2 3" xfId="38570" xr:uid="{00000000-0005-0000-0000-0000FA800000}"/>
    <cellStyle name="Comma 15 3 2 6 3" xfId="38571" xr:uid="{00000000-0005-0000-0000-0000FB800000}"/>
    <cellStyle name="Comma 15 3 2 6 3 2" xfId="38572" xr:uid="{00000000-0005-0000-0000-0000FC800000}"/>
    <cellStyle name="Comma 15 3 2 6 3 3" xfId="38573" xr:uid="{00000000-0005-0000-0000-0000FD800000}"/>
    <cellStyle name="Comma 15 3 2 6 4" xfId="38574" xr:uid="{00000000-0005-0000-0000-0000FE800000}"/>
    <cellStyle name="Comma 15 3 2 6 4 2" xfId="38575" xr:uid="{00000000-0005-0000-0000-0000FF800000}"/>
    <cellStyle name="Comma 15 3 2 6 5" xfId="38576" xr:uid="{00000000-0005-0000-0000-000000810000}"/>
    <cellStyle name="Comma 15 3 2 6 6" xfId="38577" xr:uid="{00000000-0005-0000-0000-000001810000}"/>
    <cellStyle name="Comma 15 3 2 7" xfId="38578" xr:uid="{00000000-0005-0000-0000-000002810000}"/>
    <cellStyle name="Comma 15 3 2 7 2" xfId="38579" xr:uid="{00000000-0005-0000-0000-000003810000}"/>
    <cellStyle name="Comma 15 3 2 7 2 2" xfId="38580" xr:uid="{00000000-0005-0000-0000-000004810000}"/>
    <cellStyle name="Comma 15 3 2 7 2 3" xfId="38581" xr:uid="{00000000-0005-0000-0000-000005810000}"/>
    <cellStyle name="Comma 15 3 2 7 3" xfId="38582" xr:uid="{00000000-0005-0000-0000-000006810000}"/>
    <cellStyle name="Comma 15 3 2 7 3 2" xfId="38583" xr:uid="{00000000-0005-0000-0000-000007810000}"/>
    <cellStyle name="Comma 15 3 2 7 4" xfId="38584" xr:uid="{00000000-0005-0000-0000-000008810000}"/>
    <cellStyle name="Comma 15 3 2 7 5" xfId="38585" xr:uid="{00000000-0005-0000-0000-000009810000}"/>
    <cellStyle name="Comma 15 3 2 8" xfId="38586" xr:uid="{00000000-0005-0000-0000-00000A810000}"/>
    <cellStyle name="Comma 15 3 2 8 2" xfId="38587" xr:uid="{00000000-0005-0000-0000-00000B810000}"/>
    <cellStyle name="Comma 15 3 2 8 3" xfId="38588" xr:uid="{00000000-0005-0000-0000-00000C810000}"/>
    <cellStyle name="Comma 15 3 2 9" xfId="38589" xr:uid="{00000000-0005-0000-0000-00000D810000}"/>
    <cellStyle name="Comma 15 3 2 9 2" xfId="38590" xr:uid="{00000000-0005-0000-0000-00000E810000}"/>
    <cellStyle name="Comma 15 3 2 9 3" xfId="38591" xr:uid="{00000000-0005-0000-0000-00000F810000}"/>
    <cellStyle name="Comma 15 3 3" xfId="38592" xr:uid="{00000000-0005-0000-0000-000010810000}"/>
    <cellStyle name="Comma 15 3 3 10" xfId="38593" xr:uid="{00000000-0005-0000-0000-000011810000}"/>
    <cellStyle name="Comma 15 3 3 2" xfId="38594" xr:uid="{00000000-0005-0000-0000-000012810000}"/>
    <cellStyle name="Comma 15 3 3 2 2" xfId="38595" xr:uid="{00000000-0005-0000-0000-000013810000}"/>
    <cellStyle name="Comma 15 3 3 2 2 2" xfId="38596" xr:uid="{00000000-0005-0000-0000-000014810000}"/>
    <cellStyle name="Comma 15 3 3 2 2 2 2" xfId="38597" xr:uid="{00000000-0005-0000-0000-000015810000}"/>
    <cellStyle name="Comma 15 3 3 2 2 2 3" xfId="38598" xr:uid="{00000000-0005-0000-0000-000016810000}"/>
    <cellStyle name="Comma 15 3 3 2 2 3" xfId="38599" xr:uid="{00000000-0005-0000-0000-000017810000}"/>
    <cellStyle name="Comma 15 3 3 2 2 3 2" xfId="38600" xr:uid="{00000000-0005-0000-0000-000018810000}"/>
    <cellStyle name="Comma 15 3 3 2 2 3 3" xfId="38601" xr:uid="{00000000-0005-0000-0000-000019810000}"/>
    <cellStyle name="Comma 15 3 3 2 2 4" xfId="38602" xr:uid="{00000000-0005-0000-0000-00001A810000}"/>
    <cellStyle name="Comma 15 3 3 2 2 4 2" xfId="38603" xr:uid="{00000000-0005-0000-0000-00001B810000}"/>
    <cellStyle name="Comma 15 3 3 2 2 5" xfId="38604" xr:uid="{00000000-0005-0000-0000-00001C810000}"/>
    <cellStyle name="Comma 15 3 3 2 2 6" xfId="38605" xr:uid="{00000000-0005-0000-0000-00001D810000}"/>
    <cellStyle name="Comma 15 3 3 2 3" xfId="38606" xr:uid="{00000000-0005-0000-0000-00001E810000}"/>
    <cellStyle name="Comma 15 3 3 2 3 2" xfId="38607" xr:uid="{00000000-0005-0000-0000-00001F810000}"/>
    <cellStyle name="Comma 15 3 3 2 3 2 2" xfId="38608" xr:uid="{00000000-0005-0000-0000-000020810000}"/>
    <cellStyle name="Comma 15 3 3 2 3 2 3" xfId="38609" xr:uid="{00000000-0005-0000-0000-000021810000}"/>
    <cellStyle name="Comma 15 3 3 2 3 3" xfId="38610" xr:uid="{00000000-0005-0000-0000-000022810000}"/>
    <cellStyle name="Comma 15 3 3 2 3 3 2" xfId="38611" xr:uid="{00000000-0005-0000-0000-000023810000}"/>
    <cellStyle name="Comma 15 3 3 2 3 3 3" xfId="38612" xr:uid="{00000000-0005-0000-0000-000024810000}"/>
    <cellStyle name="Comma 15 3 3 2 3 4" xfId="38613" xr:uid="{00000000-0005-0000-0000-000025810000}"/>
    <cellStyle name="Comma 15 3 3 2 3 4 2" xfId="38614" xr:uid="{00000000-0005-0000-0000-000026810000}"/>
    <cellStyle name="Comma 15 3 3 2 3 5" xfId="38615" xr:uid="{00000000-0005-0000-0000-000027810000}"/>
    <cellStyle name="Comma 15 3 3 2 3 6" xfId="38616" xr:uid="{00000000-0005-0000-0000-000028810000}"/>
    <cellStyle name="Comma 15 3 3 2 4" xfId="38617" xr:uid="{00000000-0005-0000-0000-000029810000}"/>
    <cellStyle name="Comma 15 3 3 2 4 2" xfId="38618" xr:uid="{00000000-0005-0000-0000-00002A810000}"/>
    <cellStyle name="Comma 15 3 3 2 4 2 2" xfId="38619" xr:uid="{00000000-0005-0000-0000-00002B810000}"/>
    <cellStyle name="Comma 15 3 3 2 4 2 3" xfId="38620" xr:uid="{00000000-0005-0000-0000-00002C810000}"/>
    <cellStyle name="Comma 15 3 3 2 4 3" xfId="38621" xr:uid="{00000000-0005-0000-0000-00002D810000}"/>
    <cellStyle name="Comma 15 3 3 2 4 3 2" xfId="38622" xr:uid="{00000000-0005-0000-0000-00002E810000}"/>
    <cellStyle name="Comma 15 3 3 2 4 4" xfId="38623" xr:uid="{00000000-0005-0000-0000-00002F810000}"/>
    <cellStyle name="Comma 15 3 3 2 4 5" xfId="38624" xr:uid="{00000000-0005-0000-0000-000030810000}"/>
    <cellStyle name="Comma 15 3 3 2 5" xfId="38625" xr:uid="{00000000-0005-0000-0000-000031810000}"/>
    <cellStyle name="Comma 15 3 3 2 5 2" xfId="38626" xr:uid="{00000000-0005-0000-0000-000032810000}"/>
    <cellStyle name="Comma 15 3 3 2 5 3" xfId="38627" xr:uid="{00000000-0005-0000-0000-000033810000}"/>
    <cellStyle name="Comma 15 3 3 2 6" xfId="38628" xr:uid="{00000000-0005-0000-0000-000034810000}"/>
    <cellStyle name="Comma 15 3 3 2 6 2" xfId="38629" xr:uid="{00000000-0005-0000-0000-000035810000}"/>
    <cellStyle name="Comma 15 3 3 2 6 3" xfId="38630" xr:uid="{00000000-0005-0000-0000-000036810000}"/>
    <cellStyle name="Comma 15 3 3 2 7" xfId="38631" xr:uid="{00000000-0005-0000-0000-000037810000}"/>
    <cellStyle name="Comma 15 3 3 2 7 2" xfId="38632" xr:uid="{00000000-0005-0000-0000-000038810000}"/>
    <cellStyle name="Comma 15 3 3 2 8" xfId="38633" xr:uid="{00000000-0005-0000-0000-000039810000}"/>
    <cellStyle name="Comma 15 3 3 2 9" xfId="38634" xr:uid="{00000000-0005-0000-0000-00003A810000}"/>
    <cellStyle name="Comma 15 3 3 3" xfId="38635" xr:uid="{00000000-0005-0000-0000-00003B810000}"/>
    <cellStyle name="Comma 15 3 3 3 2" xfId="38636" xr:uid="{00000000-0005-0000-0000-00003C810000}"/>
    <cellStyle name="Comma 15 3 3 3 2 2" xfId="38637" xr:uid="{00000000-0005-0000-0000-00003D810000}"/>
    <cellStyle name="Comma 15 3 3 3 2 3" xfId="38638" xr:uid="{00000000-0005-0000-0000-00003E810000}"/>
    <cellStyle name="Comma 15 3 3 3 3" xfId="38639" xr:uid="{00000000-0005-0000-0000-00003F810000}"/>
    <cellStyle name="Comma 15 3 3 3 3 2" xfId="38640" xr:uid="{00000000-0005-0000-0000-000040810000}"/>
    <cellStyle name="Comma 15 3 3 3 3 3" xfId="38641" xr:uid="{00000000-0005-0000-0000-000041810000}"/>
    <cellStyle name="Comma 15 3 3 3 4" xfId="38642" xr:uid="{00000000-0005-0000-0000-000042810000}"/>
    <cellStyle name="Comma 15 3 3 3 4 2" xfId="38643" xr:uid="{00000000-0005-0000-0000-000043810000}"/>
    <cellStyle name="Comma 15 3 3 3 5" xfId="38644" xr:uid="{00000000-0005-0000-0000-000044810000}"/>
    <cellStyle name="Comma 15 3 3 3 6" xfId="38645" xr:uid="{00000000-0005-0000-0000-000045810000}"/>
    <cellStyle name="Comma 15 3 3 4" xfId="38646" xr:uid="{00000000-0005-0000-0000-000046810000}"/>
    <cellStyle name="Comma 15 3 3 4 2" xfId="38647" xr:uid="{00000000-0005-0000-0000-000047810000}"/>
    <cellStyle name="Comma 15 3 3 4 2 2" xfId="38648" xr:uid="{00000000-0005-0000-0000-000048810000}"/>
    <cellStyle name="Comma 15 3 3 4 2 3" xfId="38649" xr:uid="{00000000-0005-0000-0000-000049810000}"/>
    <cellStyle name="Comma 15 3 3 4 3" xfId="38650" xr:uid="{00000000-0005-0000-0000-00004A810000}"/>
    <cellStyle name="Comma 15 3 3 4 3 2" xfId="38651" xr:uid="{00000000-0005-0000-0000-00004B810000}"/>
    <cellStyle name="Comma 15 3 3 4 3 3" xfId="38652" xr:uid="{00000000-0005-0000-0000-00004C810000}"/>
    <cellStyle name="Comma 15 3 3 4 4" xfId="38653" xr:uid="{00000000-0005-0000-0000-00004D810000}"/>
    <cellStyle name="Comma 15 3 3 4 4 2" xfId="38654" xr:uid="{00000000-0005-0000-0000-00004E810000}"/>
    <cellStyle name="Comma 15 3 3 4 5" xfId="38655" xr:uid="{00000000-0005-0000-0000-00004F810000}"/>
    <cellStyle name="Comma 15 3 3 4 6" xfId="38656" xr:uid="{00000000-0005-0000-0000-000050810000}"/>
    <cellStyle name="Comma 15 3 3 5" xfId="38657" xr:uid="{00000000-0005-0000-0000-000051810000}"/>
    <cellStyle name="Comma 15 3 3 5 2" xfId="38658" xr:uid="{00000000-0005-0000-0000-000052810000}"/>
    <cellStyle name="Comma 15 3 3 5 2 2" xfId="38659" xr:uid="{00000000-0005-0000-0000-000053810000}"/>
    <cellStyle name="Comma 15 3 3 5 2 3" xfId="38660" xr:uid="{00000000-0005-0000-0000-000054810000}"/>
    <cellStyle name="Comma 15 3 3 5 3" xfId="38661" xr:uid="{00000000-0005-0000-0000-000055810000}"/>
    <cellStyle name="Comma 15 3 3 5 3 2" xfId="38662" xr:uid="{00000000-0005-0000-0000-000056810000}"/>
    <cellStyle name="Comma 15 3 3 5 4" xfId="38663" xr:uid="{00000000-0005-0000-0000-000057810000}"/>
    <cellStyle name="Comma 15 3 3 5 5" xfId="38664" xr:uid="{00000000-0005-0000-0000-000058810000}"/>
    <cellStyle name="Comma 15 3 3 6" xfId="38665" xr:uid="{00000000-0005-0000-0000-000059810000}"/>
    <cellStyle name="Comma 15 3 3 6 2" xfId="38666" xr:uid="{00000000-0005-0000-0000-00005A810000}"/>
    <cellStyle name="Comma 15 3 3 6 3" xfId="38667" xr:uid="{00000000-0005-0000-0000-00005B810000}"/>
    <cellStyle name="Comma 15 3 3 7" xfId="38668" xr:uid="{00000000-0005-0000-0000-00005C810000}"/>
    <cellStyle name="Comma 15 3 3 7 2" xfId="38669" xr:uid="{00000000-0005-0000-0000-00005D810000}"/>
    <cellStyle name="Comma 15 3 3 7 3" xfId="38670" xr:uid="{00000000-0005-0000-0000-00005E810000}"/>
    <cellStyle name="Comma 15 3 3 8" xfId="38671" xr:uid="{00000000-0005-0000-0000-00005F810000}"/>
    <cellStyle name="Comma 15 3 3 8 2" xfId="38672" xr:uid="{00000000-0005-0000-0000-000060810000}"/>
    <cellStyle name="Comma 15 3 3 9" xfId="38673" xr:uid="{00000000-0005-0000-0000-000061810000}"/>
    <cellStyle name="Comma 15 3 4" xfId="38674" xr:uid="{00000000-0005-0000-0000-000062810000}"/>
    <cellStyle name="Comma 15 3 4 2" xfId="38675" xr:uid="{00000000-0005-0000-0000-000063810000}"/>
    <cellStyle name="Comma 15 3 4 2 2" xfId="38676" xr:uid="{00000000-0005-0000-0000-000064810000}"/>
    <cellStyle name="Comma 15 3 4 2 2 2" xfId="38677" xr:uid="{00000000-0005-0000-0000-000065810000}"/>
    <cellStyle name="Comma 15 3 4 2 2 3" xfId="38678" xr:uid="{00000000-0005-0000-0000-000066810000}"/>
    <cellStyle name="Comma 15 3 4 2 3" xfId="38679" xr:uid="{00000000-0005-0000-0000-000067810000}"/>
    <cellStyle name="Comma 15 3 4 2 3 2" xfId="38680" xr:uid="{00000000-0005-0000-0000-000068810000}"/>
    <cellStyle name="Comma 15 3 4 2 3 3" xfId="38681" xr:uid="{00000000-0005-0000-0000-000069810000}"/>
    <cellStyle name="Comma 15 3 4 2 4" xfId="38682" xr:uid="{00000000-0005-0000-0000-00006A810000}"/>
    <cellStyle name="Comma 15 3 4 2 4 2" xfId="38683" xr:uid="{00000000-0005-0000-0000-00006B810000}"/>
    <cellStyle name="Comma 15 3 4 2 5" xfId="38684" xr:uid="{00000000-0005-0000-0000-00006C810000}"/>
    <cellStyle name="Comma 15 3 4 2 6" xfId="38685" xr:uid="{00000000-0005-0000-0000-00006D810000}"/>
    <cellStyle name="Comma 15 3 4 3" xfId="38686" xr:uid="{00000000-0005-0000-0000-00006E810000}"/>
    <cellStyle name="Comma 15 3 4 3 2" xfId="38687" xr:uid="{00000000-0005-0000-0000-00006F810000}"/>
    <cellStyle name="Comma 15 3 4 3 2 2" xfId="38688" xr:uid="{00000000-0005-0000-0000-000070810000}"/>
    <cellStyle name="Comma 15 3 4 3 2 3" xfId="38689" xr:uid="{00000000-0005-0000-0000-000071810000}"/>
    <cellStyle name="Comma 15 3 4 3 3" xfId="38690" xr:uid="{00000000-0005-0000-0000-000072810000}"/>
    <cellStyle name="Comma 15 3 4 3 3 2" xfId="38691" xr:uid="{00000000-0005-0000-0000-000073810000}"/>
    <cellStyle name="Comma 15 3 4 3 3 3" xfId="38692" xr:uid="{00000000-0005-0000-0000-000074810000}"/>
    <cellStyle name="Comma 15 3 4 3 4" xfId="38693" xr:uid="{00000000-0005-0000-0000-000075810000}"/>
    <cellStyle name="Comma 15 3 4 3 4 2" xfId="38694" xr:uid="{00000000-0005-0000-0000-000076810000}"/>
    <cellStyle name="Comma 15 3 4 3 5" xfId="38695" xr:uid="{00000000-0005-0000-0000-000077810000}"/>
    <cellStyle name="Comma 15 3 4 3 6" xfId="38696" xr:uid="{00000000-0005-0000-0000-000078810000}"/>
    <cellStyle name="Comma 15 3 4 4" xfId="38697" xr:uid="{00000000-0005-0000-0000-000079810000}"/>
    <cellStyle name="Comma 15 3 4 4 2" xfId="38698" xr:uid="{00000000-0005-0000-0000-00007A810000}"/>
    <cellStyle name="Comma 15 3 4 4 2 2" xfId="38699" xr:uid="{00000000-0005-0000-0000-00007B810000}"/>
    <cellStyle name="Comma 15 3 4 4 2 3" xfId="38700" xr:uid="{00000000-0005-0000-0000-00007C810000}"/>
    <cellStyle name="Comma 15 3 4 4 3" xfId="38701" xr:uid="{00000000-0005-0000-0000-00007D810000}"/>
    <cellStyle name="Comma 15 3 4 4 3 2" xfId="38702" xr:uid="{00000000-0005-0000-0000-00007E810000}"/>
    <cellStyle name="Comma 15 3 4 4 4" xfId="38703" xr:uid="{00000000-0005-0000-0000-00007F810000}"/>
    <cellStyle name="Comma 15 3 4 4 5" xfId="38704" xr:uid="{00000000-0005-0000-0000-000080810000}"/>
    <cellStyle name="Comma 15 3 4 5" xfId="38705" xr:uid="{00000000-0005-0000-0000-000081810000}"/>
    <cellStyle name="Comma 15 3 4 5 2" xfId="38706" xr:uid="{00000000-0005-0000-0000-000082810000}"/>
    <cellStyle name="Comma 15 3 4 5 3" xfId="38707" xr:uid="{00000000-0005-0000-0000-000083810000}"/>
    <cellStyle name="Comma 15 3 4 6" xfId="38708" xr:uid="{00000000-0005-0000-0000-000084810000}"/>
    <cellStyle name="Comma 15 3 4 6 2" xfId="38709" xr:uid="{00000000-0005-0000-0000-000085810000}"/>
    <cellStyle name="Comma 15 3 4 6 3" xfId="38710" xr:uid="{00000000-0005-0000-0000-000086810000}"/>
    <cellStyle name="Comma 15 3 4 7" xfId="38711" xr:uid="{00000000-0005-0000-0000-000087810000}"/>
    <cellStyle name="Comma 15 3 4 7 2" xfId="38712" xr:uid="{00000000-0005-0000-0000-000088810000}"/>
    <cellStyle name="Comma 15 3 4 8" xfId="38713" xr:uid="{00000000-0005-0000-0000-000089810000}"/>
    <cellStyle name="Comma 15 3 4 9" xfId="38714" xr:uid="{00000000-0005-0000-0000-00008A810000}"/>
    <cellStyle name="Comma 15 3 5" xfId="38715" xr:uid="{00000000-0005-0000-0000-00008B810000}"/>
    <cellStyle name="Comma 15 3 5 2" xfId="38716" xr:uid="{00000000-0005-0000-0000-00008C810000}"/>
    <cellStyle name="Comma 15 3 5 2 2" xfId="38717" xr:uid="{00000000-0005-0000-0000-00008D810000}"/>
    <cellStyle name="Comma 15 3 5 2 2 2" xfId="38718" xr:uid="{00000000-0005-0000-0000-00008E810000}"/>
    <cellStyle name="Comma 15 3 5 2 2 3" xfId="38719" xr:uid="{00000000-0005-0000-0000-00008F810000}"/>
    <cellStyle name="Comma 15 3 5 2 3" xfId="38720" xr:uid="{00000000-0005-0000-0000-000090810000}"/>
    <cellStyle name="Comma 15 3 5 2 3 2" xfId="38721" xr:uid="{00000000-0005-0000-0000-000091810000}"/>
    <cellStyle name="Comma 15 3 5 2 3 3" xfId="38722" xr:uid="{00000000-0005-0000-0000-000092810000}"/>
    <cellStyle name="Comma 15 3 5 2 4" xfId="38723" xr:uid="{00000000-0005-0000-0000-000093810000}"/>
    <cellStyle name="Comma 15 3 5 2 4 2" xfId="38724" xr:uid="{00000000-0005-0000-0000-000094810000}"/>
    <cellStyle name="Comma 15 3 5 2 5" xfId="38725" xr:uid="{00000000-0005-0000-0000-000095810000}"/>
    <cellStyle name="Comma 15 3 5 2 6" xfId="38726" xr:uid="{00000000-0005-0000-0000-000096810000}"/>
    <cellStyle name="Comma 15 3 5 3" xfId="38727" xr:uid="{00000000-0005-0000-0000-000097810000}"/>
    <cellStyle name="Comma 15 3 5 3 2" xfId="38728" xr:uid="{00000000-0005-0000-0000-000098810000}"/>
    <cellStyle name="Comma 15 3 5 3 2 2" xfId="38729" xr:uid="{00000000-0005-0000-0000-000099810000}"/>
    <cellStyle name="Comma 15 3 5 3 2 3" xfId="38730" xr:uid="{00000000-0005-0000-0000-00009A810000}"/>
    <cellStyle name="Comma 15 3 5 3 3" xfId="38731" xr:uid="{00000000-0005-0000-0000-00009B810000}"/>
    <cellStyle name="Comma 15 3 5 3 3 2" xfId="38732" xr:uid="{00000000-0005-0000-0000-00009C810000}"/>
    <cellStyle name="Comma 15 3 5 3 3 3" xfId="38733" xr:uid="{00000000-0005-0000-0000-00009D810000}"/>
    <cellStyle name="Comma 15 3 5 3 4" xfId="38734" xr:uid="{00000000-0005-0000-0000-00009E810000}"/>
    <cellStyle name="Comma 15 3 5 3 4 2" xfId="38735" xr:uid="{00000000-0005-0000-0000-00009F810000}"/>
    <cellStyle name="Comma 15 3 5 3 5" xfId="38736" xr:uid="{00000000-0005-0000-0000-0000A0810000}"/>
    <cellStyle name="Comma 15 3 5 3 6" xfId="38737" xr:uid="{00000000-0005-0000-0000-0000A1810000}"/>
    <cellStyle name="Comma 15 3 5 4" xfId="38738" xr:uid="{00000000-0005-0000-0000-0000A2810000}"/>
    <cellStyle name="Comma 15 3 5 4 2" xfId="38739" xr:uid="{00000000-0005-0000-0000-0000A3810000}"/>
    <cellStyle name="Comma 15 3 5 4 2 2" xfId="38740" xr:uid="{00000000-0005-0000-0000-0000A4810000}"/>
    <cellStyle name="Comma 15 3 5 4 2 3" xfId="38741" xr:uid="{00000000-0005-0000-0000-0000A5810000}"/>
    <cellStyle name="Comma 15 3 5 4 3" xfId="38742" xr:uid="{00000000-0005-0000-0000-0000A6810000}"/>
    <cellStyle name="Comma 15 3 5 4 3 2" xfId="38743" xr:uid="{00000000-0005-0000-0000-0000A7810000}"/>
    <cellStyle name="Comma 15 3 5 4 4" xfId="38744" xr:uid="{00000000-0005-0000-0000-0000A8810000}"/>
    <cellStyle name="Comma 15 3 5 4 5" xfId="38745" xr:uid="{00000000-0005-0000-0000-0000A9810000}"/>
    <cellStyle name="Comma 15 3 5 5" xfId="38746" xr:uid="{00000000-0005-0000-0000-0000AA810000}"/>
    <cellStyle name="Comma 15 3 5 5 2" xfId="38747" xr:uid="{00000000-0005-0000-0000-0000AB810000}"/>
    <cellStyle name="Comma 15 3 5 5 3" xfId="38748" xr:uid="{00000000-0005-0000-0000-0000AC810000}"/>
    <cellStyle name="Comma 15 3 5 6" xfId="38749" xr:uid="{00000000-0005-0000-0000-0000AD810000}"/>
    <cellStyle name="Comma 15 3 5 6 2" xfId="38750" xr:uid="{00000000-0005-0000-0000-0000AE810000}"/>
    <cellStyle name="Comma 15 3 5 6 3" xfId="38751" xr:uid="{00000000-0005-0000-0000-0000AF810000}"/>
    <cellStyle name="Comma 15 3 5 7" xfId="38752" xr:uid="{00000000-0005-0000-0000-0000B0810000}"/>
    <cellStyle name="Comma 15 3 5 7 2" xfId="38753" xr:uid="{00000000-0005-0000-0000-0000B1810000}"/>
    <cellStyle name="Comma 15 3 5 8" xfId="38754" xr:uid="{00000000-0005-0000-0000-0000B2810000}"/>
    <cellStyle name="Comma 15 3 5 9" xfId="38755" xr:uid="{00000000-0005-0000-0000-0000B3810000}"/>
    <cellStyle name="Comma 15 3 6" xfId="38756" xr:uid="{00000000-0005-0000-0000-0000B4810000}"/>
    <cellStyle name="Comma 15 3 6 2" xfId="38757" xr:uid="{00000000-0005-0000-0000-0000B5810000}"/>
    <cellStyle name="Comma 15 3 6 2 2" xfId="38758" xr:uid="{00000000-0005-0000-0000-0000B6810000}"/>
    <cellStyle name="Comma 15 3 6 2 3" xfId="38759" xr:uid="{00000000-0005-0000-0000-0000B7810000}"/>
    <cellStyle name="Comma 15 3 6 3" xfId="38760" xr:uid="{00000000-0005-0000-0000-0000B8810000}"/>
    <cellStyle name="Comma 15 3 6 3 2" xfId="38761" xr:uid="{00000000-0005-0000-0000-0000B9810000}"/>
    <cellStyle name="Comma 15 3 6 3 3" xfId="38762" xr:uid="{00000000-0005-0000-0000-0000BA810000}"/>
    <cellStyle name="Comma 15 3 6 4" xfId="38763" xr:uid="{00000000-0005-0000-0000-0000BB810000}"/>
    <cellStyle name="Comma 15 3 6 4 2" xfId="38764" xr:uid="{00000000-0005-0000-0000-0000BC810000}"/>
    <cellStyle name="Comma 15 3 6 5" xfId="38765" xr:uid="{00000000-0005-0000-0000-0000BD810000}"/>
    <cellStyle name="Comma 15 3 6 6" xfId="38766" xr:uid="{00000000-0005-0000-0000-0000BE810000}"/>
    <cellStyle name="Comma 15 3 7" xfId="38767" xr:uid="{00000000-0005-0000-0000-0000BF810000}"/>
    <cellStyle name="Comma 15 3 7 2" xfId="38768" xr:uid="{00000000-0005-0000-0000-0000C0810000}"/>
    <cellStyle name="Comma 15 3 7 2 2" xfId="38769" xr:uid="{00000000-0005-0000-0000-0000C1810000}"/>
    <cellStyle name="Comma 15 3 7 2 3" xfId="38770" xr:uid="{00000000-0005-0000-0000-0000C2810000}"/>
    <cellStyle name="Comma 15 3 7 3" xfId="38771" xr:uid="{00000000-0005-0000-0000-0000C3810000}"/>
    <cellStyle name="Comma 15 3 7 3 2" xfId="38772" xr:uid="{00000000-0005-0000-0000-0000C4810000}"/>
    <cellStyle name="Comma 15 3 7 3 3" xfId="38773" xr:uid="{00000000-0005-0000-0000-0000C5810000}"/>
    <cellStyle name="Comma 15 3 7 4" xfId="38774" xr:uid="{00000000-0005-0000-0000-0000C6810000}"/>
    <cellStyle name="Comma 15 3 7 4 2" xfId="38775" xr:uid="{00000000-0005-0000-0000-0000C7810000}"/>
    <cellStyle name="Comma 15 3 7 5" xfId="38776" xr:uid="{00000000-0005-0000-0000-0000C8810000}"/>
    <cellStyle name="Comma 15 3 7 6" xfId="38777" xr:uid="{00000000-0005-0000-0000-0000C9810000}"/>
    <cellStyle name="Comma 15 3 8" xfId="38778" xr:uid="{00000000-0005-0000-0000-0000CA810000}"/>
    <cellStyle name="Comma 15 3 8 2" xfId="38779" xr:uid="{00000000-0005-0000-0000-0000CB810000}"/>
    <cellStyle name="Comma 15 3 8 2 2" xfId="38780" xr:uid="{00000000-0005-0000-0000-0000CC810000}"/>
    <cellStyle name="Comma 15 3 8 2 3" xfId="38781" xr:uid="{00000000-0005-0000-0000-0000CD810000}"/>
    <cellStyle name="Comma 15 3 8 3" xfId="38782" xr:uid="{00000000-0005-0000-0000-0000CE810000}"/>
    <cellStyle name="Comma 15 3 8 3 2" xfId="38783" xr:uid="{00000000-0005-0000-0000-0000CF810000}"/>
    <cellStyle name="Comma 15 3 8 4" xfId="38784" xr:uid="{00000000-0005-0000-0000-0000D0810000}"/>
    <cellStyle name="Comma 15 3 8 5" xfId="38785" xr:uid="{00000000-0005-0000-0000-0000D1810000}"/>
    <cellStyle name="Comma 15 3 9" xfId="38786" xr:uid="{00000000-0005-0000-0000-0000D2810000}"/>
    <cellStyle name="Comma 15 3 9 2" xfId="38787" xr:uid="{00000000-0005-0000-0000-0000D3810000}"/>
    <cellStyle name="Comma 15 3 9 3" xfId="38788" xr:uid="{00000000-0005-0000-0000-0000D4810000}"/>
    <cellStyle name="Comma 15 4" xfId="38789" xr:uid="{00000000-0005-0000-0000-0000D5810000}"/>
    <cellStyle name="Comma 15 4 10" xfId="38790" xr:uid="{00000000-0005-0000-0000-0000D6810000}"/>
    <cellStyle name="Comma 15 4 10 2" xfId="38791" xr:uid="{00000000-0005-0000-0000-0000D7810000}"/>
    <cellStyle name="Comma 15 4 11" xfId="38792" xr:uid="{00000000-0005-0000-0000-0000D8810000}"/>
    <cellStyle name="Comma 15 4 12" xfId="38793" xr:uid="{00000000-0005-0000-0000-0000D9810000}"/>
    <cellStyle name="Comma 15 4 2" xfId="38794" xr:uid="{00000000-0005-0000-0000-0000DA810000}"/>
    <cellStyle name="Comma 15 4 2 10" xfId="38795" xr:uid="{00000000-0005-0000-0000-0000DB810000}"/>
    <cellStyle name="Comma 15 4 2 2" xfId="38796" xr:uid="{00000000-0005-0000-0000-0000DC810000}"/>
    <cellStyle name="Comma 15 4 2 2 2" xfId="38797" xr:uid="{00000000-0005-0000-0000-0000DD810000}"/>
    <cellStyle name="Comma 15 4 2 2 2 2" xfId="38798" xr:uid="{00000000-0005-0000-0000-0000DE810000}"/>
    <cellStyle name="Comma 15 4 2 2 2 2 2" xfId="38799" xr:uid="{00000000-0005-0000-0000-0000DF810000}"/>
    <cellStyle name="Comma 15 4 2 2 2 2 3" xfId="38800" xr:uid="{00000000-0005-0000-0000-0000E0810000}"/>
    <cellStyle name="Comma 15 4 2 2 2 3" xfId="38801" xr:uid="{00000000-0005-0000-0000-0000E1810000}"/>
    <cellStyle name="Comma 15 4 2 2 2 3 2" xfId="38802" xr:uid="{00000000-0005-0000-0000-0000E2810000}"/>
    <cellStyle name="Comma 15 4 2 2 2 3 3" xfId="38803" xr:uid="{00000000-0005-0000-0000-0000E3810000}"/>
    <cellStyle name="Comma 15 4 2 2 2 4" xfId="38804" xr:uid="{00000000-0005-0000-0000-0000E4810000}"/>
    <cellStyle name="Comma 15 4 2 2 2 4 2" xfId="38805" xr:uid="{00000000-0005-0000-0000-0000E5810000}"/>
    <cellStyle name="Comma 15 4 2 2 2 5" xfId="38806" xr:uid="{00000000-0005-0000-0000-0000E6810000}"/>
    <cellStyle name="Comma 15 4 2 2 2 6" xfId="38807" xr:uid="{00000000-0005-0000-0000-0000E7810000}"/>
    <cellStyle name="Comma 15 4 2 2 3" xfId="38808" xr:uid="{00000000-0005-0000-0000-0000E8810000}"/>
    <cellStyle name="Comma 15 4 2 2 3 2" xfId="38809" xr:uid="{00000000-0005-0000-0000-0000E9810000}"/>
    <cellStyle name="Comma 15 4 2 2 3 2 2" xfId="38810" xr:uid="{00000000-0005-0000-0000-0000EA810000}"/>
    <cellStyle name="Comma 15 4 2 2 3 2 3" xfId="38811" xr:uid="{00000000-0005-0000-0000-0000EB810000}"/>
    <cellStyle name="Comma 15 4 2 2 3 3" xfId="38812" xr:uid="{00000000-0005-0000-0000-0000EC810000}"/>
    <cellStyle name="Comma 15 4 2 2 3 3 2" xfId="38813" xr:uid="{00000000-0005-0000-0000-0000ED810000}"/>
    <cellStyle name="Comma 15 4 2 2 3 3 3" xfId="38814" xr:uid="{00000000-0005-0000-0000-0000EE810000}"/>
    <cellStyle name="Comma 15 4 2 2 3 4" xfId="38815" xr:uid="{00000000-0005-0000-0000-0000EF810000}"/>
    <cellStyle name="Comma 15 4 2 2 3 4 2" xfId="38816" xr:uid="{00000000-0005-0000-0000-0000F0810000}"/>
    <cellStyle name="Comma 15 4 2 2 3 5" xfId="38817" xr:uid="{00000000-0005-0000-0000-0000F1810000}"/>
    <cellStyle name="Comma 15 4 2 2 3 6" xfId="38818" xr:uid="{00000000-0005-0000-0000-0000F2810000}"/>
    <cellStyle name="Comma 15 4 2 2 4" xfId="38819" xr:uid="{00000000-0005-0000-0000-0000F3810000}"/>
    <cellStyle name="Comma 15 4 2 2 4 2" xfId="38820" xr:uid="{00000000-0005-0000-0000-0000F4810000}"/>
    <cellStyle name="Comma 15 4 2 2 4 2 2" xfId="38821" xr:uid="{00000000-0005-0000-0000-0000F5810000}"/>
    <cellStyle name="Comma 15 4 2 2 4 2 3" xfId="38822" xr:uid="{00000000-0005-0000-0000-0000F6810000}"/>
    <cellStyle name="Comma 15 4 2 2 4 3" xfId="38823" xr:uid="{00000000-0005-0000-0000-0000F7810000}"/>
    <cellStyle name="Comma 15 4 2 2 4 3 2" xfId="38824" xr:uid="{00000000-0005-0000-0000-0000F8810000}"/>
    <cellStyle name="Comma 15 4 2 2 4 4" xfId="38825" xr:uid="{00000000-0005-0000-0000-0000F9810000}"/>
    <cellStyle name="Comma 15 4 2 2 4 5" xfId="38826" xr:uid="{00000000-0005-0000-0000-0000FA810000}"/>
    <cellStyle name="Comma 15 4 2 2 5" xfId="38827" xr:uid="{00000000-0005-0000-0000-0000FB810000}"/>
    <cellStyle name="Comma 15 4 2 2 5 2" xfId="38828" xr:uid="{00000000-0005-0000-0000-0000FC810000}"/>
    <cellStyle name="Comma 15 4 2 2 5 3" xfId="38829" xr:uid="{00000000-0005-0000-0000-0000FD810000}"/>
    <cellStyle name="Comma 15 4 2 2 6" xfId="38830" xr:uid="{00000000-0005-0000-0000-0000FE810000}"/>
    <cellStyle name="Comma 15 4 2 2 6 2" xfId="38831" xr:uid="{00000000-0005-0000-0000-0000FF810000}"/>
    <cellStyle name="Comma 15 4 2 2 6 3" xfId="38832" xr:uid="{00000000-0005-0000-0000-000000820000}"/>
    <cellStyle name="Comma 15 4 2 2 7" xfId="38833" xr:uid="{00000000-0005-0000-0000-000001820000}"/>
    <cellStyle name="Comma 15 4 2 2 7 2" xfId="38834" xr:uid="{00000000-0005-0000-0000-000002820000}"/>
    <cellStyle name="Comma 15 4 2 2 8" xfId="38835" xr:uid="{00000000-0005-0000-0000-000003820000}"/>
    <cellStyle name="Comma 15 4 2 2 9" xfId="38836" xr:uid="{00000000-0005-0000-0000-000004820000}"/>
    <cellStyle name="Comma 15 4 2 3" xfId="38837" xr:uid="{00000000-0005-0000-0000-000005820000}"/>
    <cellStyle name="Comma 15 4 2 3 2" xfId="38838" xr:uid="{00000000-0005-0000-0000-000006820000}"/>
    <cellStyle name="Comma 15 4 2 3 2 2" xfId="38839" xr:uid="{00000000-0005-0000-0000-000007820000}"/>
    <cellStyle name="Comma 15 4 2 3 2 3" xfId="38840" xr:uid="{00000000-0005-0000-0000-000008820000}"/>
    <cellStyle name="Comma 15 4 2 3 3" xfId="38841" xr:uid="{00000000-0005-0000-0000-000009820000}"/>
    <cellStyle name="Comma 15 4 2 3 3 2" xfId="38842" xr:uid="{00000000-0005-0000-0000-00000A820000}"/>
    <cellStyle name="Comma 15 4 2 3 3 3" xfId="38843" xr:uid="{00000000-0005-0000-0000-00000B820000}"/>
    <cellStyle name="Comma 15 4 2 3 4" xfId="38844" xr:uid="{00000000-0005-0000-0000-00000C820000}"/>
    <cellStyle name="Comma 15 4 2 3 4 2" xfId="38845" xr:uid="{00000000-0005-0000-0000-00000D820000}"/>
    <cellStyle name="Comma 15 4 2 3 5" xfId="38846" xr:uid="{00000000-0005-0000-0000-00000E820000}"/>
    <cellStyle name="Comma 15 4 2 3 6" xfId="38847" xr:uid="{00000000-0005-0000-0000-00000F820000}"/>
    <cellStyle name="Comma 15 4 2 4" xfId="38848" xr:uid="{00000000-0005-0000-0000-000010820000}"/>
    <cellStyle name="Comma 15 4 2 4 2" xfId="38849" xr:uid="{00000000-0005-0000-0000-000011820000}"/>
    <cellStyle name="Comma 15 4 2 4 2 2" xfId="38850" xr:uid="{00000000-0005-0000-0000-000012820000}"/>
    <cellStyle name="Comma 15 4 2 4 2 3" xfId="38851" xr:uid="{00000000-0005-0000-0000-000013820000}"/>
    <cellStyle name="Comma 15 4 2 4 3" xfId="38852" xr:uid="{00000000-0005-0000-0000-000014820000}"/>
    <cellStyle name="Comma 15 4 2 4 3 2" xfId="38853" xr:uid="{00000000-0005-0000-0000-000015820000}"/>
    <cellStyle name="Comma 15 4 2 4 3 3" xfId="38854" xr:uid="{00000000-0005-0000-0000-000016820000}"/>
    <cellStyle name="Comma 15 4 2 4 4" xfId="38855" xr:uid="{00000000-0005-0000-0000-000017820000}"/>
    <cellStyle name="Comma 15 4 2 4 4 2" xfId="38856" xr:uid="{00000000-0005-0000-0000-000018820000}"/>
    <cellStyle name="Comma 15 4 2 4 5" xfId="38857" xr:uid="{00000000-0005-0000-0000-000019820000}"/>
    <cellStyle name="Comma 15 4 2 4 6" xfId="38858" xr:uid="{00000000-0005-0000-0000-00001A820000}"/>
    <cellStyle name="Comma 15 4 2 5" xfId="38859" xr:uid="{00000000-0005-0000-0000-00001B820000}"/>
    <cellStyle name="Comma 15 4 2 5 2" xfId="38860" xr:uid="{00000000-0005-0000-0000-00001C820000}"/>
    <cellStyle name="Comma 15 4 2 5 2 2" xfId="38861" xr:uid="{00000000-0005-0000-0000-00001D820000}"/>
    <cellStyle name="Comma 15 4 2 5 2 3" xfId="38862" xr:uid="{00000000-0005-0000-0000-00001E820000}"/>
    <cellStyle name="Comma 15 4 2 5 3" xfId="38863" xr:uid="{00000000-0005-0000-0000-00001F820000}"/>
    <cellStyle name="Comma 15 4 2 5 3 2" xfId="38864" xr:uid="{00000000-0005-0000-0000-000020820000}"/>
    <cellStyle name="Comma 15 4 2 5 4" xfId="38865" xr:uid="{00000000-0005-0000-0000-000021820000}"/>
    <cellStyle name="Comma 15 4 2 5 5" xfId="38866" xr:uid="{00000000-0005-0000-0000-000022820000}"/>
    <cellStyle name="Comma 15 4 2 6" xfId="38867" xr:uid="{00000000-0005-0000-0000-000023820000}"/>
    <cellStyle name="Comma 15 4 2 6 2" xfId="38868" xr:uid="{00000000-0005-0000-0000-000024820000}"/>
    <cellStyle name="Comma 15 4 2 6 3" xfId="38869" xr:uid="{00000000-0005-0000-0000-000025820000}"/>
    <cellStyle name="Comma 15 4 2 7" xfId="38870" xr:uid="{00000000-0005-0000-0000-000026820000}"/>
    <cellStyle name="Comma 15 4 2 7 2" xfId="38871" xr:uid="{00000000-0005-0000-0000-000027820000}"/>
    <cellStyle name="Comma 15 4 2 7 3" xfId="38872" xr:uid="{00000000-0005-0000-0000-000028820000}"/>
    <cellStyle name="Comma 15 4 2 8" xfId="38873" xr:uid="{00000000-0005-0000-0000-000029820000}"/>
    <cellStyle name="Comma 15 4 2 8 2" xfId="38874" xr:uid="{00000000-0005-0000-0000-00002A820000}"/>
    <cellStyle name="Comma 15 4 2 9" xfId="38875" xr:uid="{00000000-0005-0000-0000-00002B820000}"/>
    <cellStyle name="Comma 15 4 3" xfId="38876" xr:uid="{00000000-0005-0000-0000-00002C820000}"/>
    <cellStyle name="Comma 15 4 3 2" xfId="38877" xr:uid="{00000000-0005-0000-0000-00002D820000}"/>
    <cellStyle name="Comma 15 4 3 2 2" xfId="38878" xr:uid="{00000000-0005-0000-0000-00002E820000}"/>
    <cellStyle name="Comma 15 4 3 2 2 2" xfId="38879" xr:uid="{00000000-0005-0000-0000-00002F820000}"/>
    <cellStyle name="Comma 15 4 3 2 2 3" xfId="38880" xr:uid="{00000000-0005-0000-0000-000030820000}"/>
    <cellStyle name="Comma 15 4 3 2 3" xfId="38881" xr:uid="{00000000-0005-0000-0000-000031820000}"/>
    <cellStyle name="Comma 15 4 3 2 3 2" xfId="38882" xr:uid="{00000000-0005-0000-0000-000032820000}"/>
    <cellStyle name="Comma 15 4 3 2 3 3" xfId="38883" xr:uid="{00000000-0005-0000-0000-000033820000}"/>
    <cellStyle name="Comma 15 4 3 2 4" xfId="38884" xr:uid="{00000000-0005-0000-0000-000034820000}"/>
    <cellStyle name="Comma 15 4 3 2 4 2" xfId="38885" xr:uid="{00000000-0005-0000-0000-000035820000}"/>
    <cellStyle name="Comma 15 4 3 2 5" xfId="38886" xr:uid="{00000000-0005-0000-0000-000036820000}"/>
    <cellStyle name="Comma 15 4 3 2 6" xfId="38887" xr:uid="{00000000-0005-0000-0000-000037820000}"/>
    <cellStyle name="Comma 15 4 3 3" xfId="38888" xr:uid="{00000000-0005-0000-0000-000038820000}"/>
    <cellStyle name="Comma 15 4 3 3 2" xfId="38889" xr:uid="{00000000-0005-0000-0000-000039820000}"/>
    <cellStyle name="Comma 15 4 3 3 2 2" xfId="38890" xr:uid="{00000000-0005-0000-0000-00003A820000}"/>
    <cellStyle name="Comma 15 4 3 3 2 3" xfId="38891" xr:uid="{00000000-0005-0000-0000-00003B820000}"/>
    <cellStyle name="Comma 15 4 3 3 3" xfId="38892" xr:uid="{00000000-0005-0000-0000-00003C820000}"/>
    <cellStyle name="Comma 15 4 3 3 3 2" xfId="38893" xr:uid="{00000000-0005-0000-0000-00003D820000}"/>
    <cellStyle name="Comma 15 4 3 3 3 3" xfId="38894" xr:uid="{00000000-0005-0000-0000-00003E820000}"/>
    <cellStyle name="Comma 15 4 3 3 4" xfId="38895" xr:uid="{00000000-0005-0000-0000-00003F820000}"/>
    <cellStyle name="Comma 15 4 3 3 4 2" xfId="38896" xr:uid="{00000000-0005-0000-0000-000040820000}"/>
    <cellStyle name="Comma 15 4 3 3 5" xfId="38897" xr:uid="{00000000-0005-0000-0000-000041820000}"/>
    <cellStyle name="Comma 15 4 3 3 6" xfId="38898" xr:uid="{00000000-0005-0000-0000-000042820000}"/>
    <cellStyle name="Comma 15 4 3 4" xfId="38899" xr:uid="{00000000-0005-0000-0000-000043820000}"/>
    <cellStyle name="Comma 15 4 3 4 2" xfId="38900" xr:uid="{00000000-0005-0000-0000-000044820000}"/>
    <cellStyle name="Comma 15 4 3 4 2 2" xfId="38901" xr:uid="{00000000-0005-0000-0000-000045820000}"/>
    <cellStyle name="Comma 15 4 3 4 2 3" xfId="38902" xr:uid="{00000000-0005-0000-0000-000046820000}"/>
    <cellStyle name="Comma 15 4 3 4 3" xfId="38903" xr:uid="{00000000-0005-0000-0000-000047820000}"/>
    <cellStyle name="Comma 15 4 3 4 3 2" xfId="38904" xr:uid="{00000000-0005-0000-0000-000048820000}"/>
    <cellStyle name="Comma 15 4 3 4 4" xfId="38905" xr:uid="{00000000-0005-0000-0000-000049820000}"/>
    <cellStyle name="Comma 15 4 3 4 5" xfId="38906" xr:uid="{00000000-0005-0000-0000-00004A820000}"/>
    <cellStyle name="Comma 15 4 3 5" xfId="38907" xr:uid="{00000000-0005-0000-0000-00004B820000}"/>
    <cellStyle name="Comma 15 4 3 5 2" xfId="38908" xr:uid="{00000000-0005-0000-0000-00004C820000}"/>
    <cellStyle name="Comma 15 4 3 5 3" xfId="38909" xr:uid="{00000000-0005-0000-0000-00004D820000}"/>
    <cellStyle name="Comma 15 4 3 6" xfId="38910" xr:uid="{00000000-0005-0000-0000-00004E820000}"/>
    <cellStyle name="Comma 15 4 3 6 2" xfId="38911" xr:uid="{00000000-0005-0000-0000-00004F820000}"/>
    <cellStyle name="Comma 15 4 3 6 3" xfId="38912" xr:uid="{00000000-0005-0000-0000-000050820000}"/>
    <cellStyle name="Comma 15 4 3 7" xfId="38913" xr:uid="{00000000-0005-0000-0000-000051820000}"/>
    <cellStyle name="Comma 15 4 3 7 2" xfId="38914" xr:uid="{00000000-0005-0000-0000-000052820000}"/>
    <cellStyle name="Comma 15 4 3 8" xfId="38915" xr:uid="{00000000-0005-0000-0000-000053820000}"/>
    <cellStyle name="Comma 15 4 3 9" xfId="38916" xr:uid="{00000000-0005-0000-0000-000054820000}"/>
    <cellStyle name="Comma 15 4 4" xfId="38917" xr:uid="{00000000-0005-0000-0000-000055820000}"/>
    <cellStyle name="Comma 15 4 4 2" xfId="38918" xr:uid="{00000000-0005-0000-0000-000056820000}"/>
    <cellStyle name="Comma 15 4 4 2 2" xfId="38919" xr:uid="{00000000-0005-0000-0000-000057820000}"/>
    <cellStyle name="Comma 15 4 4 2 2 2" xfId="38920" xr:uid="{00000000-0005-0000-0000-000058820000}"/>
    <cellStyle name="Comma 15 4 4 2 2 3" xfId="38921" xr:uid="{00000000-0005-0000-0000-000059820000}"/>
    <cellStyle name="Comma 15 4 4 2 3" xfId="38922" xr:uid="{00000000-0005-0000-0000-00005A820000}"/>
    <cellStyle name="Comma 15 4 4 2 3 2" xfId="38923" xr:uid="{00000000-0005-0000-0000-00005B820000}"/>
    <cellStyle name="Comma 15 4 4 2 3 3" xfId="38924" xr:uid="{00000000-0005-0000-0000-00005C820000}"/>
    <cellStyle name="Comma 15 4 4 2 4" xfId="38925" xr:uid="{00000000-0005-0000-0000-00005D820000}"/>
    <cellStyle name="Comma 15 4 4 2 4 2" xfId="38926" xr:uid="{00000000-0005-0000-0000-00005E820000}"/>
    <cellStyle name="Comma 15 4 4 2 5" xfId="38927" xr:uid="{00000000-0005-0000-0000-00005F820000}"/>
    <cellStyle name="Comma 15 4 4 2 6" xfId="38928" xr:uid="{00000000-0005-0000-0000-000060820000}"/>
    <cellStyle name="Comma 15 4 4 3" xfId="38929" xr:uid="{00000000-0005-0000-0000-000061820000}"/>
    <cellStyle name="Comma 15 4 4 3 2" xfId="38930" xr:uid="{00000000-0005-0000-0000-000062820000}"/>
    <cellStyle name="Comma 15 4 4 3 2 2" xfId="38931" xr:uid="{00000000-0005-0000-0000-000063820000}"/>
    <cellStyle name="Comma 15 4 4 3 2 3" xfId="38932" xr:uid="{00000000-0005-0000-0000-000064820000}"/>
    <cellStyle name="Comma 15 4 4 3 3" xfId="38933" xr:uid="{00000000-0005-0000-0000-000065820000}"/>
    <cellStyle name="Comma 15 4 4 3 3 2" xfId="38934" xr:uid="{00000000-0005-0000-0000-000066820000}"/>
    <cellStyle name="Comma 15 4 4 3 3 3" xfId="38935" xr:uid="{00000000-0005-0000-0000-000067820000}"/>
    <cellStyle name="Comma 15 4 4 3 4" xfId="38936" xr:uid="{00000000-0005-0000-0000-000068820000}"/>
    <cellStyle name="Comma 15 4 4 3 4 2" xfId="38937" xr:uid="{00000000-0005-0000-0000-000069820000}"/>
    <cellStyle name="Comma 15 4 4 3 5" xfId="38938" xr:uid="{00000000-0005-0000-0000-00006A820000}"/>
    <cellStyle name="Comma 15 4 4 3 6" xfId="38939" xr:uid="{00000000-0005-0000-0000-00006B820000}"/>
    <cellStyle name="Comma 15 4 4 4" xfId="38940" xr:uid="{00000000-0005-0000-0000-00006C820000}"/>
    <cellStyle name="Comma 15 4 4 4 2" xfId="38941" xr:uid="{00000000-0005-0000-0000-00006D820000}"/>
    <cellStyle name="Comma 15 4 4 4 2 2" xfId="38942" xr:uid="{00000000-0005-0000-0000-00006E820000}"/>
    <cellStyle name="Comma 15 4 4 4 2 3" xfId="38943" xr:uid="{00000000-0005-0000-0000-00006F820000}"/>
    <cellStyle name="Comma 15 4 4 4 3" xfId="38944" xr:uid="{00000000-0005-0000-0000-000070820000}"/>
    <cellStyle name="Comma 15 4 4 4 3 2" xfId="38945" xr:uid="{00000000-0005-0000-0000-000071820000}"/>
    <cellStyle name="Comma 15 4 4 4 4" xfId="38946" xr:uid="{00000000-0005-0000-0000-000072820000}"/>
    <cellStyle name="Comma 15 4 4 4 5" xfId="38947" xr:uid="{00000000-0005-0000-0000-000073820000}"/>
    <cellStyle name="Comma 15 4 4 5" xfId="38948" xr:uid="{00000000-0005-0000-0000-000074820000}"/>
    <cellStyle name="Comma 15 4 4 5 2" xfId="38949" xr:uid="{00000000-0005-0000-0000-000075820000}"/>
    <cellStyle name="Comma 15 4 4 5 3" xfId="38950" xr:uid="{00000000-0005-0000-0000-000076820000}"/>
    <cellStyle name="Comma 15 4 4 6" xfId="38951" xr:uid="{00000000-0005-0000-0000-000077820000}"/>
    <cellStyle name="Comma 15 4 4 6 2" xfId="38952" xr:uid="{00000000-0005-0000-0000-000078820000}"/>
    <cellStyle name="Comma 15 4 4 6 3" xfId="38953" xr:uid="{00000000-0005-0000-0000-000079820000}"/>
    <cellStyle name="Comma 15 4 4 7" xfId="38954" xr:uid="{00000000-0005-0000-0000-00007A820000}"/>
    <cellStyle name="Comma 15 4 4 7 2" xfId="38955" xr:uid="{00000000-0005-0000-0000-00007B820000}"/>
    <cellStyle name="Comma 15 4 4 8" xfId="38956" xr:uid="{00000000-0005-0000-0000-00007C820000}"/>
    <cellStyle name="Comma 15 4 4 9" xfId="38957" xr:uid="{00000000-0005-0000-0000-00007D820000}"/>
    <cellStyle name="Comma 15 4 5" xfId="38958" xr:uid="{00000000-0005-0000-0000-00007E820000}"/>
    <cellStyle name="Comma 15 4 5 2" xfId="38959" xr:uid="{00000000-0005-0000-0000-00007F820000}"/>
    <cellStyle name="Comma 15 4 5 2 2" xfId="38960" xr:uid="{00000000-0005-0000-0000-000080820000}"/>
    <cellStyle name="Comma 15 4 5 2 3" xfId="38961" xr:uid="{00000000-0005-0000-0000-000081820000}"/>
    <cellStyle name="Comma 15 4 5 3" xfId="38962" xr:uid="{00000000-0005-0000-0000-000082820000}"/>
    <cellStyle name="Comma 15 4 5 3 2" xfId="38963" xr:uid="{00000000-0005-0000-0000-000083820000}"/>
    <cellStyle name="Comma 15 4 5 3 3" xfId="38964" xr:uid="{00000000-0005-0000-0000-000084820000}"/>
    <cellStyle name="Comma 15 4 5 4" xfId="38965" xr:uid="{00000000-0005-0000-0000-000085820000}"/>
    <cellStyle name="Comma 15 4 5 4 2" xfId="38966" xr:uid="{00000000-0005-0000-0000-000086820000}"/>
    <cellStyle name="Comma 15 4 5 5" xfId="38967" xr:uid="{00000000-0005-0000-0000-000087820000}"/>
    <cellStyle name="Comma 15 4 5 6" xfId="38968" xr:uid="{00000000-0005-0000-0000-000088820000}"/>
    <cellStyle name="Comma 15 4 6" xfId="38969" xr:uid="{00000000-0005-0000-0000-000089820000}"/>
    <cellStyle name="Comma 15 4 6 2" xfId="38970" xr:uid="{00000000-0005-0000-0000-00008A820000}"/>
    <cellStyle name="Comma 15 4 6 2 2" xfId="38971" xr:uid="{00000000-0005-0000-0000-00008B820000}"/>
    <cellStyle name="Comma 15 4 6 2 3" xfId="38972" xr:uid="{00000000-0005-0000-0000-00008C820000}"/>
    <cellStyle name="Comma 15 4 6 3" xfId="38973" xr:uid="{00000000-0005-0000-0000-00008D820000}"/>
    <cellStyle name="Comma 15 4 6 3 2" xfId="38974" xr:uid="{00000000-0005-0000-0000-00008E820000}"/>
    <cellStyle name="Comma 15 4 6 3 3" xfId="38975" xr:uid="{00000000-0005-0000-0000-00008F820000}"/>
    <cellStyle name="Comma 15 4 6 4" xfId="38976" xr:uid="{00000000-0005-0000-0000-000090820000}"/>
    <cellStyle name="Comma 15 4 6 4 2" xfId="38977" xr:uid="{00000000-0005-0000-0000-000091820000}"/>
    <cellStyle name="Comma 15 4 6 5" xfId="38978" xr:uid="{00000000-0005-0000-0000-000092820000}"/>
    <cellStyle name="Comma 15 4 6 6" xfId="38979" xr:uid="{00000000-0005-0000-0000-000093820000}"/>
    <cellStyle name="Comma 15 4 7" xfId="38980" xr:uid="{00000000-0005-0000-0000-000094820000}"/>
    <cellStyle name="Comma 15 4 7 2" xfId="38981" xr:uid="{00000000-0005-0000-0000-000095820000}"/>
    <cellStyle name="Comma 15 4 7 2 2" xfId="38982" xr:uid="{00000000-0005-0000-0000-000096820000}"/>
    <cellStyle name="Comma 15 4 7 2 3" xfId="38983" xr:uid="{00000000-0005-0000-0000-000097820000}"/>
    <cellStyle name="Comma 15 4 7 3" xfId="38984" xr:uid="{00000000-0005-0000-0000-000098820000}"/>
    <cellStyle name="Comma 15 4 7 3 2" xfId="38985" xr:uid="{00000000-0005-0000-0000-000099820000}"/>
    <cellStyle name="Comma 15 4 7 4" xfId="38986" xr:uid="{00000000-0005-0000-0000-00009A820000}"/>
    <cellStyle name="Comma 15 4 7 5" xfId="38987" xr:uid="{00000000-0005-0000-0000-00009B820000}"/>
    <cellStyle name="Comma 15 4 8" xfId="38988" xr:uid="{00000000-0005-0000-0000-00009C820000}"/>
    <cellStyle name="Comma 15 4 8 2" xfId="38989" xr:uid="{00000000-0005-0000-0000-00009D820000}"/>
    <cellStyle name="Comma 15 4 8 3" xfId="38990" xr:uid="{00000000-0005-0000-0000-00009E820000}"/>
    <cellStyle name="Comma 15 4 9" xfId="38991" xr:uid="{00000000-0005-0000-0000-00009F820000}"/>
    <cellStyle name="Comma 15 4 9 2" xfId="38992" xr:uid="{00000000-0005-0000-0000-0000A0820000}"/>
    <cellStyle name="Comma 15 4 9 3" xfId="38993" xr:uid="{00000000-0005-0000-0000-0000A1820000}"/>
    <cellStyle name="Comma 15 5" xfId="38994" xr:uid="{00000000-0005-0000-0000-0000A2820000}"/>
    <cellStyle name="Comma 15 5 10" xfId="38995" xr:uid="{00000000-0005-0000-0000-0000A3820000}"/>
    <cellStyle name="Comma 15 5 2" xfId="38996" xr:uid="{00000000-0005-0000-0000-0000A4820000}"/>
    <cellStyle name="Comma 15 5 2 2" xfId="38997" xr:uid="{00000000-0005-0000-0000-0000A5820000}"/>
    <cellStyle name="Comma 15 5 2 2 2" xfId="38998" xr:uid="{00000000-0005-0000-0000-0000A6820000}"/>
    <cellStyle name="Comma 15 5 2 2 2 2" xfId="38999" xr:uid="{00000000-0005-0000-0000-0000A7820000}"/>
    <cellStyle name="Comma 15 5 2 2 2 3" xfId="39000" xr:uid="{00000000-0005-0000-0000-0000A8820000}"/>
    <cellStyle name="Comma 15 5 2 2 3" xfId="39001" xr:uid="{00000000-0005-0000-0000-0000A9820000}"/>
    <cellStyle name="Comma 15 5 2 2 3 2" xfId="39002" xr:uid="{00000000-0005-0000-0000-0000AA820000}"/>
    <cellStyle name="Comma 15 5 2 2 3 3" xfId="39003" xr:uid="{00000000-0005-0000-0000-0000AB820000}"/>
    <cellStyle name="Comma 15 5 2 2 4" xfId="39004" xr:uid="{00000000-0005-0000-0000-0000AC820000}"/>
    <cellStyle name="Comma 15 5 2 2 4 2" xfId="39005" xr:uid="{00000000-0005-0000-0000-0000AD820000}"/>
    <cellStyle name="Comma 15 5 2 2 5" xfId="39006" xr:uid="{00000000-0005-0000-0000-0000AE820000}"/>
    <cellStyle name="Comma 15 5 2 2 6" xfId="39007" xr:uid="{00000000-0005-0000-0000-0000AF820000}"/>
    <cellStyle name="Comma 15 5 2 3" xfId="39008" xr:uid="{00000000-0005-0000-0000-0000B0820000}"/>
    <cellStyle name="Comma 15 5 2 3 2" xfId="39009" xr:uid="{00000000-0005-0000-0000-0000B1820000}"/>
    <cellStyle name="Comma 15 5 2 3 2 2" xfId="39010" xr:uid="{00000000-0005-0000-0000-0000B2820000}"/>
    <cellStyle name="Comma 15 5 2 3 2 3" xfId="39011" xr:uid="{00000000-0005-0000-0000-0000B3820000}"/>
    <cellStyle name="Comma 15 5 2 3 3" xfId="39012" xr:uid="{00000000-0005-0000-0000-0000B4820000}"/>
    <cellStyle name="Comma 15 5 2 3 3 2" xfId="39013" xr:uid="{00000000-0005-0000-0000-0000B5820000}"/>
    <cellStyle name="Comma 15 5 2 3 3 3" xfId="39014" xr:uid="{00000000-0005-0000-0000-0000B6820000}"/>
    <cellStyle name="Comma 15 5 2 3 4" xfId="39015" xr:uid="{00000000-0005-0000-0000-0000B7820000}"/>
    <cellStyle name="Comma 15 5 2 3 4 2" xfId="39016" xr:uid="{00000000-0005-0000-0000-0000B8820000}"/>
    <cellStyle name="Comma 15 5 2 3 5" xfId="39017" xr:uid="{00000000-0005-0000-0000-0000B9820000}"/>
    <cellStyle name="Comma 15 5 2 3 6" xfId="39018" xr:uid="{00000000-0005-0000-0000-0000BA820000}"/>
    <cellStyle name="Comma 15 5 2 4" xfId="39019" xr:uid="{00000000-0005-0000-0000-0000BB820000}"/>
    <cellStyle name="Comma 15 5 2 4 2" xfId="39020" xr:uid="{00000000-0005-0000-0000-0000BC820000}"/>
    <cellStyle name="Comma 15 5 2 4 2 2" xfId="39021" xr:uid="{00000000-0005-0000-0000-0000BD820000}"/>
    <cellStyle name="Comma 15 5 2 4 2 3" xfId="39022" xr:uid="{00000000-0005-0000-0000-0000BE820000}"/>
    <cellStyle name="Comma 15 5 2 4 3" xfId="39023" xr:uid="{00000000-0005-0000-0000-0000BF820000}"/>
    <cellStyle name="Comma 15 5 2 4 3 2" xfId="39024" xr:uid="{00000000-0005-0000-0000-0000C0820000}"/>
    <cellStyle name="Comma 15 5 2 4 4" xfId="39025" xr:uid="{00000000-0005-0000-0000-0000C1820000}"/>
    <cellStyle name="Comma 15 5 2 4 5" xfId="39026" xr:uid="{00000000-0005-0000-0000-0000C2820000}"/>
    <cellStyle name="Comma 15 5 2 5" xfId="39027" xr:uid="{00000000-0005-0000-0000-0000C3820000}"/>
    <cellStyle name="Comma 15 5 2 5 2" xfId="39028" xr:uid="{00000000-0005-0000-0000-0000C4820000}"/>
    <cellStyle name="Comma 15 5 2 5 3" xfId="39029" xr:uid="{00000000-0005-0000-0000-0000C5820000}"/>
    <cellStyle name="Comma 15 5 2 6" xfId="39030" xr:uid="{00000000-0005-0000-0000-0000C6820000}"/>
    <cellStyle name="Comma 15 5 2 6 2" xfId="39031" xr:uid="{00000000-0005-0000-0000-0000C7820000}"/>
    <cellStyle name="Comma 15 5 2 6 3" xfId="39032" xr:uid="{00000000-0005-0000-0000-0000C8820000}"/>
    <cellStyle name="Comma 15 5 2 7" xfId="39033" xr:uid="{00000000-0005-0000-0000-0000C9820000}"/>
    <cellStyle name="Comma 15 5 2 7 2" xfId="39034" xr:uid="{00000000-0005-0000-0000-0000CA820000}"/>
    <cellStyle name="Comma 15 5 2 8" xfId="39035" xr:uid="{00000000-0005-0000-0000-0000CB820000}"/>
    <cellStyle name="Comma 15 5 2 9" xfId="39036" xr:uid="{00000000-0005-0000-0000-0000CC820000}"/>
    <cellStyle name="Comma 15 5 3" xfId="39037" xr:uid="{00000000-0005-0000-0000-0000CD820000}"/>
    <cellStyle name="Comma 15 5 3 2" xfId="39038" xr:uid="{00000000-0005-0000-0000-0000CE820000}"/>
    <cellStyle name="Comma 15 5 3 2 2" xfId="39039" xr:uid="{00000000-0005-0000-0000-0000CF820000}"/>
    <cellStyle name="Comma 15 5 3 2 3" xfId="39040" xr:uid="{00000000-0005-0000-0000-0000D0820000}"/>
    <cellStyle name="Comma 15 5 3 3" xfId="39041" xr:uid="{00000000-0005-0000-0000-0000D1820000}"/>
    <cellStyle name="Comma 15 5 3 3 2" xfId="39042" xr:uid="{00000000-0005-0000-0000-0000D2820000}"/>
    <cellStyle name="Comma 15 5 3 3 3" xfId="39043" xr:uid="{00000000-0005-0000-0000-0000D3820000}"/>
    <cellStyle name="Comma 15 5 3 4" xfId="39044" xr:uid="{00000000-0005-0000-0000-0000D4820000}"/>
    <cellStyle name="Comma 15 5 3 4 2" xfId="39045" xr:uid="{00000000-0005-0000-0000-0000D5820000}"/>
    <cellStyle name="Comma 15 5 3 5" xfId="39046" xr:uid="{00000000-0005-0000-0000-0000D6820000}"/>
    <cellStyle name="Comma 15 5 3 6" xfId="39047" xr:uid="{00000000-0005-0000-0000-0000D7820000}"/>
    <cellStyle name="Comma 15 5 4" xfId="39048" xr:uid="{00000000-0005-0000-0000-0000D8820000}"/>
    <cellStyle name="Comma 15 5 4 2" xfId="39049" xr:uid="{00000000-0005-0000-0000-0000D9820000}"/>
    <cellStyle name="Comma 15 5 4 2 2" xfId="39050" xr:uid="{00000000-0005-0000-0000-0000DA820000}"/>
    <cellStyle name="Comma 15 5 4 2 3" xfId="39051" xr:uid="{00000000-0005-0000-0000-0000DB820000}"/>
    <cellStyle name="Comma 15 5 4 3" xfId="39052" xr:uid="{00000000-0005-0000-0000-0000DC820000}"/>
    <cellStyle name="Comma 15 5 4 3 2" xfId="39053" xr:uid="{00000000-0005-0000-0000-0000DD820000}"/>
    <cellStyle name="Comma 15 5 4 3 3" xfId="39054" xr:uid="{00000000-0005-0000-0000-0000DE820000}"/>
    <cellStyle name="Comma 15 5 4 4" xfId="39055" xr:uid="{00000000-0005-0000-0000-0000DF820000}"/>
    <cellStyle name="Comma 15 5 4 4 2" xfId="39056" xr:uid="{00000000-0005-0000-0000-0000E0820000}"/>
    <cellStyle name="Comma 15 5 4 5" xfId="39057" xr:uid="{00000000-0005-0000-0000-0000E1820000}"/>
    <cellStyle name="Comma 15 5 4 6" xfId="39058" xr:uid="{00000000-0005-0000-0000-0000E2820000}"/>
    <cellStyle name="Comma 15 5 5" xfId="39059" xr:uid="{00000000-0005-0000-0000-0000E3820000}"/>
    <cellStyle name="Comma 15 5 5 2" xfId="39060" xr:uid="{00000000-0005-0000-0000-0000E4820000}"/>
    <cellStyle name="Comma 15 5 5 2 2" xfId="39061" xr:uid="{00000000-0005-0000-0000-0000E5820000}"/>
    <cellStyle name="Comma 15 5 5 2 3" xfId="39062" xr:uid="{00000000-0005-0000-0000-0000E6820000}"/>
    <cellStyle name="Comma 15 5 5 3" xfId="39063" xr:uid="{00000000-0005-0000-0000-0000E7820000}"/>
    <cellStyle name="Comma 15 5 5 3 2" xfId="39064" xr:uid="{00000000-0005-0000-0000-0000E8820000}"/>
    <cellStyle name="Comma 15 5 5 4" xfId="39065" xr:uid="{00000000-0005-0000-0000-0000E9820000}"/>
    <cellStyle name="Comma 15 5 5 5" xfId="39066" xr:uid="{00000000-0005-0000-0000-0000EA820000}"/>
    <cellStyle name="Comma 15 5 6" xfId="39067" xr:uid="{00000000-0005-0000-0000-0000EB820000}"/>
    <cellStyle name="Comma 15 5 6 2" xfId="39068" xr:uid="{00000000-0005-0000-0000-0000EC820000}"/>
    <cellStyle name="Comma 15 5 6 3" xfId="39069" xr:uid="{00000000-0005-0000-0000-0000ED820000}"/>
    <cellStyle name="Comma 15 5 7" xfId="39070" xr:uid="{00000000-0005-0000-0000-0000EE820000}"/>
    <cellStyle name="Comma 15 5 7 2" xfId="39071" xr:uid="{00000000-0005-0000-0000-0000EF820000}"/>
    <cellStyle name="Comma 15 5 7 3" xfId="39072" xr:uid="{00000000-0005-0000-0000-0000F0820000}"/>
    <cellStyle name="Comma 15 5 8" xfId="39073" xr:uid="{00000000-0005-0000-0000-0000F1820000}"/>
    <cellStyle name="Comma 15 5 8 2" xfId="39074" xr:uid="{00000000-0005-0000-0000-0000F2820000}"/>
    <cellStyle name="Comma 15 5 9" xfId="39075" xr:uid="{00000000-0005-0000-0000-0000F3820000}"/>
    <cellStyle name="Comma 15 6" xfId="39076" xr:uid="{00000000-0005-0000-0000-0000F4820000}"/>
    <cellStyle name="Comma 15 6 2" xfId="39077" xr:uid="{00000000-0005-0000-0000-0000F5820000}"/>
    <cellStyle name="Comma 15 6 2 2" xfId="39078" xr:uid="{00000000-0005-0000-0000-0000F6820000}"/>
    <cellStyle name="Comma 15 6 2 2 2" xfId="39079" xr:uid="{00000000-0005-0000-0000-0000F7820000}"/>
    <cellStyle name="Comma 15 6 2 2 3" xfId="39080" xr:uid="{00000000-0005-0000-0000-0000F8820000}"/>
    <cellStyle name="Comma 15 6 2 3" xfId="39081" xr:uid="{00000000-0005-0000-0000-0000F9820000}"/>
    <cellStyle name="Comma 15 6 2 3 2" xfId="39082" xr:uid="{00000000-0005-0000-0000-0000FA820000}"/>
    <cellStyle name="Comma 15 6 2 3 3" xfId="39083" xr:uid="{00000000-0005-0000-0000-0000FB820000}"/>
    <cellStyle name="Comma 15 6 2 4" xfId="39084" xr:uid="{00000000-0005-0000-0000-0000FC820000}"/>
    <cellStyle name="Comma 15 6 2 4 2" xfId="39085" xr:uid="{00000000-0005-0000-0000-0000FD820000}"/>
    <cellStyle name="Comma 15 6 2 5" xfId="39086" xr:uid="{00000000-0005-0000-0000-0000FE820000}"/>
    <cellStyle name="Comma 15 6 2 6" xfId="39087" xr:uid="{00000000-0005-0000-0000-0000FF820000}"/>
    <cellStyle name="Comma 15 6 3" xfId="39088" xr:uid="{00000000-0005-0000-0000-000000830000}"/>
    <cellStyle name="Comma 15 6 3 2" xfId="39089" xr:uid="{00000000-0005-0000-0000-000001830000}"/>
    <cellStyle name="Comma 15 6 3 2 2" xfId="39090" xr:uid="{00000000-0005-0000-0000-000002830000}"/>
    <cellStyle name="Comma 15 6 3 2 3" xfId="39091" xr:uid="{00000000-0005-0000-0000-000003830000}"/>
    <cellStyle name="Comma 15 6 3 3" xfId="39092" xr:uid="{00000000-0005-0000-0000-000004830000}"/>
    <cellStyle name="Comma 15 6 3 3 2" xfId="39093" xr:uid="{00000000-0005-0000-0000-000005830000}"/>
    <cellStyle name="Comma 15 6 3 3 3" xfId="39094" xr:uid="{00000000-0005-0000-0000-000006830000}"/>
    <cellStyle name="Comma 15 6 3 4" xfId="39095" xr:uid="{00000000-0005-0000-0000-000007830000}"/>
    <cellStyle name="Comma 15 6 3 4 2" xfId="39096" xr:uid="{00000000-0005-0000-0000-000008830000}"/>
    <cellStyle name="Comma 15 6 3 5" xfId="39097" xr:uid="{00000000-0005-0000-0000-000009830000}"/>
    <cellStyle name="Comma 15 6 3 6" xfId="39098" xr:uid="{00000000-0005-0000-0000-00000A830000}"/>
    <cellStyle name="Comma 15 6 4" xfId="39099" xr:uid="{00000000-0005-0000-0000-00000B830000}"/>
    <cellStyle name="Comma 15 6 4 2" xfId="39100" xr:uid="{00000000-0005-0000-0000-00000C830000}"/>
    <cellStyle name="Comma 15 6 4 2 2" xfId="39101" xr:uid="{00000000-0005-0000-0000-00000D830000}"/>
    <cellStyle name="Comma 15 6 4 2 3" xfId="39102" xr:uid="{00000000-0005-0000-0000-00000E830000}"/>
    <cellStyle name="Comma 15 6 4 3" xfId="39103" xr:uid="{00000000-0005-0000-0000-00000F830000}"/>
    <cellStyle name="Comma 15 6 4 3 2" xfId="39104" xr:uid="{00000000-0005-0000-0000-000010830000}"/>
    <cellStyle name="Comma 15 6 4 4" xfId="39105" xr:uid="{00000000-0005-0000-0000-000011830000}"/>
    <cellStyle name="Comma 15 6 4 5" xfId="39106" xr:uid="{00000000-0005-0000-0000-000012830000}"/>
    <cellStyle name="Comma 15 6 5" xfId="39107" xr:uid="{00000000-0005-0000-0000-000013830000}"/>
    <cellStyle name="Comma 15 6 5 2" xfId="39108" xr:uid="{00000000-0005-0000-0000-000014830000}"/>
    <cellStyle name="Comma 15 6 5 3" xfId="39109" xr:uid="{00000000-0005-0000-0000-000015830000}"/>
    <cellStyle name="Comma 15 6 6" xfId="39110" xr:uid="{00000000-0005-0000-0000-000016830000}"/>
    <cellStyle name="Comma 15 6 6 2" xfId="39111" xr:uid="{00000000-0005-0000-0000-000017830000}"/>
    <cellStyle name="Comma 15 6 6 3" xfId="39112" xr:uid="{00000000-0005-0000-0000-000018830000}"/>
    <cellStyle name="Comma 15 6 7" xfId="39113" xr:uid="{00000000-0005-0000-0000-000019830000}"/>
    <cellStyle name="Comma 15 6 7 2" xfId="39114" xr:uid="{00000000-0005-0000-0000-00001A830000}"/>
    <cellStyle name="Comma 15 6 8" xfId="39115" xr:uid="{00000000-0005-0000-0000-00001B830000}"/>
    <cellStyle name="Comma 15 6 9" xfId="39116" xr:uid="{00000000-0005-0000-0000-00001C830000}"/>
    <cellStyle name="Comma 15 7" xfId="39117" xr:uid="{00000000-0005-0000-0000-00001D830000}"/>
    <cellStyle name="Comma 15 7 2" xfId="39118" xr:uid="{00000000-0005-0000-0000-00001E830000}"/>
    <cellStyle name="Comma 15 7 2 2" xfId="39119" xr:uid="{00000000-0005-0000-0000-00001F830000}"/>
    <cellStyle name="Comma 15 7 2 2 2" xfId="39120" xr:uid="{00000000-0005-0000-0000-000020830000}"/>
    <cellStyle name="Comma 15 7 2 2 3" xfId="39121" xr:uid="{00000000-0005-0000-0000-000021830000}"/>
    <cellStyle name="Comma 15 7 2 3" xfId="39122" xr:uid="{00000000-0005-0000-0000-000022830000}"/>
    <cellStyle name="Comma 15 7 2 3 2" xfId="39123" xr:uid="{00000000-0005-0000-0000-000023830000}"/>
    <cellStyle name="Comma 15 7 2 3 3" xfId="39124" xr:uid="{00000000-0005-0000-0000-000024830000}"/>
    <cellStyle name="Comma 15 7 2 4" xfId="39125" xr:uid="{00000000-0005-0000-0000-000025830000}"/>
    <cellStyle name="Comma 15 7 2 4 2" xfId="39126" xr:uid="{00000000-0005-0000-0000-000026830000}"/>
    <cellStyle name="Comma 15 7 2 5" xfId="39127" xr:uid="{00000000-0005-0000-0000-000027830000}"/>
    <cellStyle name="Comma 15 7 2 6" xfId="39128" xr:uid="{00000000-0005-0000-0000-000028830000}"/>
    <cellStyle name="Comma 15 7 3" xfId="39129" xr:uid="{00000000-0005-0000-0000-000029830000}"/>
    <cellStyle name="Comma 15 7 3 2" xfId="39130" xr:uid="{00000000-0005-0000-0000-00002A830000}"/>
    <cellStyle name="Comma 15 7 3 2 2" xfId="39131" xr:uid="{00000000-0005-0000-0000-00002B830000}"/>
    <cellStyle name="Comma 15 7 3 2 3" xfId="39132" xr:uid="{00000000-0005-0000-0000-00002C830000}"/>
    <cellStyle name="Comma 15 7 3 3" xfId="39133" xr:uid="{00000000-0005-0000-0000-00002D830000}"/>
    <cellStyle name="Comma 15 7 3 3 2" xfId="39134" xr:uid="{00000000-0005-0000-0000-00002E830000}"/>
    <cellStyle name="Comma 15 7 3 3 3" xfId="39135" xr:uid="{00000000-0005-0000-0000-00002F830000}"/>
    <cellStyle name="Comma 15 7 3 4" xfId="39136" xr:uid="{00000000-0005-0000-0000-000030830000}"/>
    <cellStyle name="Comma 15 7 3 4 2" xfId="39137" xr:uid="{00000000-0005-0000-0000-000031830000}"/>
    <cellStyle name="Comma 15 7 3 5" xfId="39138" xr:uid="{00000000-0005-0000-0000-000032830000}"/>
    <cellStyle name="Comma 15 7 3 6" xfId="39139" xr:uid="{00000000-0005-0000-0000-000033830000}"/>
    <cellStyle name="Comma 15 7 4" xfId="39140" xr:uid="{00000000-0005-0000-0000-000034830000}"/>
    <cellStyle name="Comma 15 7 4 2" xfId="39141" xr:uid="{00000000-0005-0000-0000-000035830000}"/>
    <cellStyle name="Comma 15 7 4 2 2" xfId="39142" xr:uid="{00000000-0005-0000-0000-000036830000}"/>
    <cellStyle name="Comma 15 7 4 2 3" xfId="39143" xr:uid="{00000000-0005-0000-0000-000037830000}"/>
    <cellStyle name="Comma 15 7 4 3" xfId="39144" xr:uid="{00000000-0005-0000-0000-000038830000}"/>
    <cellStyle name="Comma 15 7 4 3 2" xfId="39145" xr:uid="{00000000-0005-0000-0000-000039830000}"/>
    <cellStyle name="Comma 15 7 4 4" xfId="39146" xr:uid="{00000000-0005-0000-0000-00003A830000}"/>
    <cellStyle name="Comma 15 7 4 5" xfId="39147" xr:uid="{00000000-0005-0000-0000-00003B830000}"/>
    <cellStyle name="Comma 15 7 5" xfId="39148" xr:uid="{00000000-0005-0000-0000-00003C830000}"/>
    <cellStyle name="Comma 15 7 5 2" xfId="39149" xr:uid="{00000000-0005-0000-0000-00003D830000}"/>
    <cellStyle name="Comma 15 7 5 3" xfId="39150" xr:uid="{00000000-0005-0000-0000-00003E830000}"/>
    <cellStyle name="Comma 15 7 6" xfId="39151" xr:uid="{00000000-0005-0000-0000-00003F830000}"/>
    <cellStyle name="Comma 15 7 6 2" xfId="39152" xr:uid="{00000000-0005-0000-0000-000040830000}"/>
    <cellStyle name="Comma 15 7 6 3" xfId="39153" xr:uid="{00000000-0005-0000-0000-000041830000}"/>
    <cellStyle name="Comma 15 7 7" xfId="39154" xr:uid="{00000000-0005-0000-0000-000042830000}"/>
    <cellStyle name="Comma 15 7 7 2" xfId="39155" xr:uid="{00000000-0005-0000-0000-000043830000}"/>
    <cellStyle name="Comma 15 7 8" xfId="39156" xr:uid="{00000000-0005-0000-0000-000044830000}"/>
    <cellStyle name="Comma 15 7 9" xfId="39157" xr:uid="{00000000-0005-0000-0000-000045830000}"/>
    <cellStyle name="Comma 15 8" xfId="39158" xr:uid="{00000000-0005-0000-0000-000046830000}"/>
    <cellStyle name="Comma 15 8 2" xfId="39159" xr:uid="{00000000-0005-0000-0000-000047830000}"/>
    <cellStyle name="Comma 15 8 2 2" xfId="39160" xr:uid="{00000000-0005-0000-0000-000048830000}"/>
    <cellStyle name="Comma 15 8 2 3" xfId="39161" xr:uid="{00000000-0005-0000-0000-000049830000}"/>
    <cellStyle name="Comma 15 8 3" xfId="39162" xr:uid="{00000000-0005-0000-0000-00004A830000}"/>
    <cellStyle name="Comma 15 8 3 2" xfId="39163" xr:uid="{00000000-0005-0000-0000-00004B830000}"/>
    <cellStyle name="Comma 15 8 3 3" xfId="39164" xr:uid="{00000000-0005-0000-0000-00004C830000}"/>
    <cellStyle name="Comma 15 8 4" xfId="39165" xr:uid="{00000000-0005-0000-0000-00004D830000}"/>
    <cellStyle name="Comma 15 8 4 2" xfId="39166" xr:uid="{00000000-0005-0000-0000-00004E830000}"/>
    <cellStyle name="Comma 15 8 5" xfId="39167" xr:uid="{00000000-0005-0000-0000-00004F830000}"/>
    <cellStyle name="Comma 15 8 6" xfId="39168" xr:uid="{00000000-0005-0000-0000-000050830000}"/>
    <cellStyle name="Comma 15 9" xfId="39169" xr:uid="{00000000-0005-0000-0000-000051830000}"/>
    <cellStyle name="Comma 15 9 2" xfId="39170" xr:uid="{00000000-0005-0000-0000-000052830000}"/>
    <cellStyle name="Comma 15 9 2 2" xfId="39171" xr:uid="{00000000-0005-0000-0000-000053830000}"/>
    <cellStyle name="Comma 15 9 2 3" xfId="39172" xr:uid="{00000000-0005-0000-0000-000054830000}"/>
    <cellStyle name="Comma 15 9 3" xfId="39173" xr:uid="{00000000-0005-0000-0000-000055830000}"/>
    <cellStyle name="Comma 15 9 3 2" xfId="39174" xr:uid="{00000000-0005-0000-0000-000056830000}"/>
    <cellStyle name="Comma 15 9 3 3" xfId="39175" xr:uid="{00000000-0005-0000-0000-000057830000}"/>
    <cellStyle name="Comma 15 9 4" xfId="39176" xr:uid="{00000000-0005-0000-0000-000058830000}"/>
    <cellStyle name="Comma 15 9 4 2" xfId="39177" xr:uid="{00000000-0005-0000-0000-000059830000}"/>
    <cellStyle name="Comma 15 9 5" xfId="39178" xr:uid="{00000000-0005-0000-0000-00005A830000}"/>
    <cellStyle name="Comma 15 9 6" xfId="39179" xr:uid="{00000000-0005-0000-0000-00005B830000}"/>
    <cellStyle name="Comma 16" xfId="3243" xr:uid="{00000000-0005-0000-0000-00005C830000}"/>
    <cellStyle name="Comma 16 10" xfId="39180" xr:uid="{00000000-0005-0000-0000-00005D830000}"/>
    <cellStyle name="Comma 16 10 2" xfId="39181" xr:uid="{00000000-0005-0000-0000-00005E830000}"/>
    <cellStyle name="Comma 16 10 2 2" xfId="39182" xr:uid="{00000000-0005-0000-0000-00005F830000}"/>
    <cellStyle name="Comma 16 10 2 3" xfId="39183" xr:uid="{00000000-0005-0000-0000-000060830000}"/>
    <cellStyle name="Comma 16 10 3" xfId="39184" xr:uid="{00000000-0005-0000-0000-000061830000}"/>
    <cellStyle name="Comma 16 10 3 2" xfId="39185" xr:uid="{00000000-0005-0000-0000-000062830000}"/>
    <cellStyle name="Comma 16 10 4" xfId="39186" xr:uid="{00000000-0005-0000-0000-000063830000}"/>
    <cellStyle name="Comma 16 10 5" xfId="39187" xr:uid="{00000000-0005-0000-0000-000064830000}"/>
    <cellStyle name="Comma 16 11" xfId="39188" xr:uid="{00000000-0005-0000-0000-000065830000}"/>
    <cellStyle name="Comma 16 11 2" xfId="39189" xr:uid="{00000000-0005-0000-0000-000066830000}"/>
    <cellStyle name="Comma 16 11 3" xfId="39190" xr:uid="{00000000-0005-0000-0000-000067830000}"/>
    <cellStyle name="Comma 16 12" xfId="39191" xr:uid="{00000000-0005-0000-0000-000068830000}"/>
    <cellStyle name="Comma 16 12 2" xfId="39192" xr:uid="{00000000-0005-0000-0000-000069830000}"/>
    <cellStyle name="Comma 16 12 3" xfId="39193" xr:uid="{00000000-0005-0000-0000-00006A830000}"/>
    <cellStyle name="Comma 16 13" xfId="39194" xr:uid="{00000000-0005-0000-0000-00006B830000}"/>
    <cellStyle name="Comma 16 13 2" xfId="39195" xr:uid="{00000000-0005-0000-0000-00006C830000}"/>
    <cellStyle name="Comma 16 14" xfId="39196" xr:uid="{00000000-0005-0000-0000-00006D830000}"/>
    <cellStyle name="Comma 16 15" xfId="39197" xr:uid="{00000000-0005-0000-0000-00006E830000}"/>
    <cellStyle name="Comma 16 16" xfId="39198" xr:uid="{00000000-0005-0000-0000-00006F830000}"/>
    <cellStyle name="Comma 16 2" xfId="3244" xr:uid="{00000000-0005-0000-0000-000070830000}"/>
    <cellStyle name="Comma 16 2 10" xfId="39199" xr:uid="{00000000-0005-0000-0000-000071830000}"/>
    <cellStyle name="Comma 16 2 10 2" xfId="39200" xr:uid="{00000000-0005-0000-0000-000072830000}"/>
    <cellStyle name="Comma 16 2 10 3" xfId="39201" xr:uid="{00000000-0005-0000-0000-000073830000}"/>
    <cellStyle name="Comma 16 2 11" xfId="39202" xr:uid="{00000000-0005-0000-0000-000074830000}"/>
    <cellStyle name="Comma 16 2 11 2" xfId="39203" xr:uid="{00000000-0005-0000-0000-000075830000}"/>
    <cellStyle name="Comma 16 2 11 3" xfId="39204" xr:uid="{00000000-0005-0000-0000-000076830000}"/>
    <cellStyle name="Comma 16 2 12" xfId="39205" xr:uid="{00000000-0005-0000-0000-000077830000}"/>
    <cellStyle name="Comma 16 2 12 2" xfId="39206" xr:uid="{00000000-0005-0000-0000-000078830000}"/>
    <cellStyle name="Comma 16 2 13" xfId="39207" xr:uid="{00000000-0005-0000-0000-000079830000}"/>
    <cellStyle name="Comma 16 2 14" xfId="39208" xr:uid="{00000000-0005-0000-0000-00007A830000}"/>
    <cellStyle name="Comma 16 2 2" xfId="39209" xr:uid="{00000000-0005-0000-0000-00007B830000}"/>
    <cellStyle name="Comma 16 2 2 10" xfId="39210" xr:uid="{00000000-0005-0000-0000-00007C830000}"/>
    <cellStyle name="Comma 16 2 2 10 2" xfId="39211" xr:uid="{00000000-0005-0000-0000-00007D830000}"/>
    <cellStyle name="Comma 16 2 2 10 3" xfId="39212" xr:uid="{00000000-0005-0000-0000-00007E830000}"/>
    <cellStyle name="Comma 16 2 2 11" xfId="39213" xr:uid="{00000000-0005-0000-0000-00007F830000}"/>
    <cellStyle name="Comma 16 2 2 11 2" xfId="39214" xr:uid="{00000000-0005-0000-0000-000080830000}"/>
    <cellStyle name="Comma 16 2 2 12" xfId="39215" xr:uid="{00000000-0005-0000-0000-000081830000}"/>
    <cellStyle name="Comma 16 2 2 13" xfId="39216" xr:uid="{00000000-0005-0000-0000-000082830000}"/>
    <cellStyle name="Comma 16 2 2 2" xfId="39217" xr:uid="{00000000-0005-0000-0000-000083830000}"/>
    <cellStyle name="Comma 16 2 2 2 10" xfId="39218" xr:uid="{00000000-0005-0000-0000-000084830000}"/>
    <cellStyle name="Comma 16 2 2 2 10 2" xfId="39219" xr:uid="{00000000-0005-0000-0000-000085830000}"/>
    <cellStyle name="Comma 16 2 2 2 11" xfId="39220" xr:uid="{00000000-0005-0000-0000-000086830000}"/>
    <cellStyle name="Comma 16 2 2 2 12" xfId="39221" xr:uid="{00000000-0005-0000-0000-000087830000}"/>
    <cellStyle name="Comma 16 2 2 2 2" xfId="39222" xr:uid="{00000000-0005-0000-0000-000088830000}"/>
    <cellStyle name="Comma 16 2 2 2 2 10" xfId="39223" xr:uid="{00000000-0005-0000-0000-000089830000}"/>
    <cellStyle name="Comma 16 2 2 2 2 2" xfId="39224" xr:uid="{00000000-0005-0000-0000-00008A830000}"/>
    <cellStyle name="Comma 16 2 2 2 2 2 2" xfId="39225" xr:uid="{00000000-0005-0000-0000-00008B830000}"/>
    <cellStyle name="Comma 16 2 2 2 2 2 2 2" xfId="39226" xr:uid="{00000000-0005-0000-0000-00008C830000}"/>
    <cellStyle name="Comma 16 2 2 2 2 2 2 2 2" xfId="39227" xr:uid="{00000000-0005-0000-0000-00008D830000}"/>
    <cellStyle name="Comma 16 2 2 2 2 2 2 2 3" xfId="39228" xr:uid="{00000000-0005-0000-0000-00008E830000}"/>
    <cellStyle name="Comma 16 2 2 2 2 2 2 3" xfId="39229" xr:uid="{00000000-0005-0000-0000-00008F830000}"/>
    <cellStyle name="Comma 16 2 2 2 2 2 2 3 2" xfId="39230" xr:uid="{00000000-0005-0000-0000-000090830000}"/>
    <cellStyle name="Comma 16 2 2 2 2 2 2 3 3" xfId="39231" xr:uid="{00000000-0005-0000-0000-000091830000}"/>
    <cellStyle name="Comma 16 2 2 2 2 2 2 4" xfId="39232" xr:uid="{00000000-0005-0000-0000-000092830000}"/>
    <cellStyle name="Comma 16 2 2 2 2 2 2 4 2" xfId="39233" xr:uid="{00000000-0005-0000-0000-000093830000}"/>
    <cellStyle name="Comma 16 2 2 2 2 2 2 5" xfId="39234" xr:uid="{00000000-0005-0000-0000-000094830000}"/>
    <cellStyle name="Comma 16 2 2 2 2 2 2 6" xfId="39235" xr:uid="{00000000-0005-0000-0000-000095830000}"/>
    <cellStyle name="Comma 16 2 2 2 2 2 3" xfId="39236" xr:uid="{00000000-0005-0000-0000-000096830000}"/>
    <cellStyle name="Comma 16 2 2 2 2 2 3 2" xfId="39237" xr:uid="{00000000-0005-0000-0000-000097830000}"/>
    <cellStyle name="Comma 16 2 2 2 2 2 3 2 2" xfId="39238" xr:uid="{00000000-0005-0000-0000-000098830000}"/>
    <cellStyle name="Comma 16 2 2 2 2 2 3 2 3" xfId="39239" xr:uid="{00000000-0005-0000-0000-000099830000}"/>
    <cellStyle name="Comma 16 2 2 2 2 2 3 3" xfId="39240" xr:uid="{00000000-0005-0000-0000-00009A830000}"/>
    <cellStyle name="Comma 16 2 2 2 2 2 3 3 2" xfId="39241" xr:uid="{00000000-0005-0000-0000-00009B830000}"/>
    <cellStyle name="Comma 16 2 2 2 2 2 3 3 3" xfId="39242" xr:uid="{00000000-0005-0000-0000-00009C830000}"/>
    <cellStyle name="Comma 16 2 2 2 2 2 3 4" xfId="39243" xr:uid="{00000000-0005-0000-0000-00009D830000}"/>
    <cellStyle name="Comma 16 2 2 2 2 2 3 4 2" xfId="39244" xr:uid="{00000000-0005-0000-0000-00009E830000}"/>
    <cellStyle name="Comma 16 2 2 2 2 2 3 5" xfId="39245" xr:uid="{00000000-0005-0000-0000-00009F830000}"/>
    <cellStyle name="Comma 16 2 2 2 2 2 3 6" xfId="39246" xr:uid="{00000000-0005-0000-0000-0000A0830000}"/>
    <cellStyle name="Comma 16 2 2 2 2 2 4" xfId="39247" xr:uid="{00000000-0005-0000-0000-0000A1830000}"/>
    <cellStyle name="Comma 16 2 2 2 2 2 4 2" xfId="39248" xr:uid="{00000000-0005-0000-0000-0000A2830000}"/>
    <cellStyle name="Comma 16 2 2 2 2 2 4 2 2" xfId="39249" xr:uid="{00000000-0005-0000-0000-0000A3830000}"/>
    <cellStyle name="Comma 16 2 2 2 2 2 4 2 3" xfId="39250" xr:uid="{00000000-0005-0000-0000-0000A4830000}"/>
    <cellStyle name="Comma 16 2 2 2 2 2 4 3" xfId="39251" xr:uid="{00000000-0005-0000-0000-0000A5830000}"/>
    <cellStyle name="Comma 16 2 2 2 2 2 4 3 2" xfId="39252" xr:uid="{00000000-0005-0000-0000-0000A6830000}"/>
    <cellStyle name="Comma 16 2 2 2 2 2 4 4" xfId="39253" xr:uid="{00000000-0005-0000-0000-0000A7830000}"/>
    <cellStyle name="Comma 16 2 2 2 2 2 4 5" xfId="39254" xr:uid="{00000000-0005-0000-0000-0000A8830000}"/>
    <cellStyle name="Comma 16 2 2 2 2 2 5" xfId="39255" xr:uid="{00000000-0005-0000-0000-0000A9830000}"/>
    <cellStyle name="Comma 16 2 2 2 2 2 5 2" xfId="39256" xr:uid="{00000000-0005-0000-0000-0000AA830000}"/>
    <cellStyle name="Comma 16 2 2 2 2 2 5 3" xfId="39257" xr:uid="{00000000-0005-0000-0000-0000AB830000}"/>
    <cellStyle name="Comma 16 2 2 2 2 2 6" xfId="39258" xr:uid="{00000000-0005-0000-0000-0000AC830000}"/>
    <cellStyle name="Comma 16 2 2 2 2 2 6 2" xfId="39259" xr:uid="{00000000-0005-0000-0000-0000AD830000}"/>
    <cellStyle name="Comma 16 2 2 2 2 2 6 3" xfId="39260" xr:uid="{00000000-0005-0000-0000-0000AE830000}"/>
    <cellStyle name="Comma 16 2 2 2 2 2 7" xfId="39261" xr:uid="{00000000-0005-0000-0000-0000AF830000}"/>
    <cellStyle name="Comma 16 2 2 2 2 2 7 2" xfId="39262" xr:uid="{00000000-0005-0000-0000-0000B0830000}"/>
    <cellStyle name="Comma 16 2 2 2 2 2 8" xfId="39263" xr:uid="{00000000-0005-0000-0000-0000B1830000}"/>
    <cellStyle name="Comma 16 2 2 2 2 2 9" xfId="39264" xr:uid="{00000000-0005-0000-0000-0000B2830000}"/>
    <cellStyle name="Comma 16 2 2 2 2 3" xfId="39265" xr:uid="{00000000-0005-0000-0000-0000B3830000}"/>
    <cellStyle name="Comma 16 2 2 2 2 3 2" xfId="39266" xr:uid="{00000000-0005-0000-0000-0000B4830000}"/>
    <cellStyle name="Comma 16 2 2 2 2 3 2 2" xfId="39267" xr:uid="{00000000-0005-0000-0000-0000B5830000}"/>
    <cellStyle name="Comma 16 2 2 2 2 3 2 3" xfId="39268" xr:uid="{00000000-0005-0000-0000-0000B6830000}"/>
    <cellStyle name="Comma 16 2 2 2 2 3 3" xfId="39269" xr:uid="{00000000-0005-0000-0000-0000B7830000}"/>
    <cellStyle name="Comma 16 2 2 2 2 3 3 2" xfId="39270" xr:uid="{00000000-0005-0000-0000-0000B8830000}"/>
    <cellStyle name="Comma 16 2 2 2 2 3 3 3" xfId="39271" xr:uid="{00000000-0005-0000-0000-0000B9830000}"/>
    <cellStyle name="Comma 16 2 2 2 2 3 4" xfId="39272" xr:uid="{00000000-0005-0000-0000-0000BA830000}"/>
    <cellStyle name="Comma 16 2 2 2 2 3 4 2" xfId="39273" xr:uid="{00000000-0005-0000-0000-0000BB830000}"/>
    <cellStyle name="Comma 16 2 2 2 2 3 5" xfId="39274" xr:uid="{00000000-0005-0000-0000-0000BC830000}"/>
    <cellStyle name="Comma 16 2 2 2 2 3 6" xfId="39275" xr:uid="{00000000-0005-0000-0000-0000BD830000}"/>
    <cellStyle name="Comma 16 2 2 2 2 4" xfId="39276" xr:uid="{00000000-0005-0000-0000-0000BE830000}"/>
    <cellStyle name="Comma 16 2 2 2 2 4 2" xfId="39277" xr:uid="{00000000-0005-0000-0000-0000BF830000}"/>
    <cellStyle name="Comma 16 2 2 2 2 4 2 2" xfId="39278" xr:uid="{00000000-0005-0000-0000-0000C0830000}"/>
    <cellStyle name="Comma 16 2 2 2 2 4 2 3" xfId="39279" xr:uid="{00000000-0005-0000-0000-0000C1830000}"/>
    <cellStyle name="Comma 16 2 2 2 2 4 3" xfId="39280" xr:uid="{00000000-0005-0000-0000-0000C2830000}"/>
    <cellStyle name="Comma 16 2 2 2 2 4 3 2" xfId="39281" xr:uid="{00000000-0005-0000-0000-0000C3830000}"/>
    <cellStyle name="Comma 16 2 2 2 2 4 3 3" xfId="39282" xr:uid="{00000000-0005-0000-0000-0000C4830000}"/>
    <cellStyle name="Comma 16 2 2 2 2 4 4" xfId="39283" xr:uid="{00000000-0005-0000-0000-0000C5830000}"/>
    <cellStyle name="Comma 16 2 2 2 2 4 4 2" xfId="39284" xr:uid="{00000000-0005-0000-0000-0000C6830000}"/>
    <cellStyle name="Comma 16 2 2 2 2 4 5" xfId="39285" xr:uid="{00000000-0005-0000-0000-0000C7830000}"/>
    <cellStyle name="Comma 16 2 2 2 2 4 6" xfId="39286" xr:uid="{00000000-0005-0000-0000-0000C8830000}"/>
    <cellStyle name="Comma 16 2 2 2 2 5" xfId="39287" xr:uid="{00000000-0005-0000-0000-0000C9830000}"/>
    <cellStyle name="Comma 16 2 2 2 2 5 2" xfId="39288" xr:uid="{00000000-0005-0000-0000-0000CA830000}"/>
    <cellStyle name="Comma 16 2 2 2 2 5 2 2" xfId="39289" xr:uid="{00000000-0005-0000-0000-0000CB830000}"/>
    <cellStyle name="Comma 16 2 2 2 2 5 2 3" xfId="39290" xr:uid="{00000000-0005-0000-0000-0000CC830000}"/>
    <cellStyle name="Comma 16 2 2 2 2 5 3" xfId="39291" xr:uid="{00000000-0005-0000-0000-0000CD830000}"/>
    <cellStyle name="Comma 16 2 2 2 2 5 3 2" xfId="39292" xr:uid="{00000000-0005-0000-0000-0000CE830000}"/>
    <cellStyle name="Comma 16 2 2 2 2 5 4" xfId="39293" xr:uid="{00000000-0005-0000-0000-0000CF830000}"/>
    <cellStyle name="Comma 16 2 2 2 2 5 5" xfId="39294" xr:uid="{00000000-0005-0000-0000-0000D0830000}"/>
    <cellStyle name="Comma 16 2 2 2 2 6" xfId="39295" xr:uid="{00000000-0005-0000-0000-0000D1830000}"/>
    <cellStyle name="Comma 16 2 2 2 2 6 2" xfId="39296" xr:uid="{00000000-0005-0000-0000-0000D2830000}"/>
    <cellStyle name="Comma 16 2 2 2 2 6 3" xfId="39297" xr:uid="{00000000-0005-0000-0000-0000D3830000}"/>
    <cellStyle name="Comma 16 2 2 2 2 7" xfId="39298" xr:uid="{00000000-0005-0000-0000-0000D4830000}"/>
    <cellStyle name="Comma 16 2 2 2 2 7 2" xfId="39299" xr:uid="{00000000-0005-0000-0000-0000D5830000}"/>
    <cellStyle name="Comma 16 2 2 2 2 7 3" xfId="39300" xr:uid="{00000000-0005-0000-0000-0000D6830000}"/>
    <cellStyle name="Comma 16 2 2 2 2 8" xfId="39301" xr:uid="{00000000-0005-0000-0000-0000D7830000}"/>
    <cellStyle name="Comma 16 2 2 2 2 8 2" xfId="39302" xr:uid="{00000000-0005-0000-0000-0000D8830000}"/>
    <cellStyle name="Comma 16 2 2 2 2 9" xfId="39303" xr:uid="{00000000-0005-0000-0000-0000D9830000}"/>
    <cellStyle name="Comma 16 2 2 2 3" xfId="39304" xr:uid="{00000000-0005-0000-0000-0000DA830000}"/>
    <cellStyle name="Comma 16 2 2 2 3 2" xfId="39305" xr:uid="{00000000-0005-0000-0000-0000DB830000}"/>
    <cellStyle name="Comma 16 2 2 2 3 2 2" xfId="39306" xr:uid="{00000000-0005-0000-0000-0000DC830000}"/>
    <cellStyle name="Comma 16 2 2 2 3 2 2 2" xfId="39307" xr:uid="{00000000-0005-0000-0000-0000DD830000}"/>
    <cellStyle name="Comma 16 2 2 2 3 2 2 3" xfId="39308" xr:uid="{00000000-0005-0000-0000-0000DE830000}"/>
    <cellStyle name="Comma 16 2 2 2 3 2 3" xfId="39309" xr:uid="{00000000-0005-0000-0000-0000DF830000}"/>
    <cellStyle name="Comma 16 2 2 2 3 2 3 2" xfId="39310" xr:uid="{00000000-0005-0000-0000-0000E0830000}"/>
    <cellStyle name="Comma 16 2 2 2 3 2 3 3" xfId="39311" xr:uid="{00000000-0005-0000-0000-0000E1830000}"/>
    <cellStyle name="Comma 16 2 2 2 3 2 4" xfId="39312" xr:uid="{00000000-0005-0000-0000-0000E2830000}"/>
    <cellStyle name="Comma 16 2 2 2 3 2 4 2" xfId="39313" xr:uid="{00000000-0005-0000-0000-0000E3830000}"/>
    <cellStyle name="Comma 16 2 2 2 3 2 5" xfId="39314" xr:uid="{00000000-0005-0000-0000-0000E4830000}"/>
    <cellStyle name="Comma 16 2 2 2 3 2 6" xfId="39315" xr:uid="{00000000-0005-0000-0000-0000E5830000}"/>
    <cellStyle name="Comma 16 2 2 2 3 3" xfId="39316" xr:uid="{00000000-0005-0000-0000-0000E6830000}"/>
    <cellStyle name="Comma 16 2 2 2 3 3 2" xfId="39317" xr:uid="{00000000-0005-0000-0000-0000E7830000}"/>
    <cellStyle name="Comma 16 2 2 2 3 3 2 2" xfId="39318" xr:uid="{00000000-0005-0000-0000-0000E8830000}"/>
    <cellStyle name="Comma 16 2 2 2 3 3 2 3" xfId="39319" xr:uid="{00000000-0005-0000-0000-0000E9830000}"/>
    <cellStyle name="Comma 16 2 2 2 3 3 3" xfId="39320" xr:uid="{00000000-0005-0000-0000-0000EA830000}"/>
    <cellStyle name="Comma 16 2 2 2 3 3 3 2" xfId="39321" xr:uid="{00000000-0005-0000-0000-0000EB830000}"/>
    <cellStyle name="Comma 16 2 2 2 3 3 3 3" xfId="39322" xr:uid="{00000000-0005-0000-0000-0000EC830000}"/>
    <cellStyle name="Comma 16 2 2 2 3 3 4" xfId="39323" xr:uid="{00000000-0005-0000-0000-0000ED830000}"/>
    <cellStyle name="Comma 16 2 2 2 3 3 4 2" xfId="39324" xr:uid="{00000000-0005-0000-0000-0000EE830000}"/>
    <cellStyle name="Comma 16 2 2 2 3 3 5" xfId="39325" xr:uid="{00000000-0005-0000-0000-0000EF830000}"/>
    <cellStyle name="Comma 16 2 2 2 3 3 6" xfId="39326" xr:uid="{00000000-0005-0000-0000-0000F0830000}"/>
    <cellStyle name="Comma 16 2 2 2 3 4" xfId="39327" xr:uid="{00000000-0005-0000-0000-0000F1830000}"/>
    <cellStyle name="Comma 16 2 2 2 3 4 2" xfId="39328" xr:uid="{00000000-0005-0000-0000-0000F2830000}"/>
    <cellStyle name="Comma 16 2 2 2 3 4 2 2" xfId="39329" xr:uid="{00000000-0005-0000-0000-0000F3830000}"/>
    <cellStyle name="Comma 16 2 2 2 3 4 2 3" xfId="39330" xr:uid="{00000000-0005-0000-0000-0000F4830000}"/>
    <cellStyle name="Comma 16 2 2 2 3 4 3" xfId="39331" xr:uid="{00000000-0005-0000-0000-0000F5830000}"/>
    <cellStyle name="Comma 16 2 2 2 3 4 3 2" xfId="39332" xr:uid="{00000000-0005-0000-0000-0000F6830000}"/>
    <cellStyle name="Comma 16 2 2 2 3 4 4" xfId="39333" xr:uid="{00000000-0005-0000-0000-0000F7830000}"/>
    <cellStyle name="Comma 16 2 2 2 3 4 5" xfId="39334" xr:uid="{00000000-0005-0000-0000-0000F8830000}"/>
    <cellStyle name="Comma 16 2 2 2 3 5" xfId="39335" xr:uid="{00000000-0005-0000-0000-0000F9830000}"/>
    <cellStyle name="Comma 16 2 2 2 3 5 2" xfId="39336" xr:uid="{00000000-0005-0000-0000-0000FA830000}"/>
    <cellStyle name="Comma 16 2 2 2 3 5 3" xfId="39337" xr:uid="{00000000-0005-0000-0000-0000FB830000}"/>
    <cellStyle name="Comma 16 2 2 2 3 6" xfId="39338" xr:uid="{00000000-0005-0000-0000-0000FC830000}"/>
    <cellStyle name="Comma 16 2 2 2 3 6 2" xfId="39339" xr:uid="{00000000-0005-0000-0000-0000FD830000}"/>
    <cellStyle name="Comma 16 2 2 2 3 6 3" xfId="39340" xr:uid="{00000000-0005-0000-0000-0000FE830000}"/>
    <cellStyle name="Comma 16 2 2 2 3 7" xfId="39341" xr:uid="{00000000-0005-0000-0000-0000FF830000}"/>
    <cellStyle name="Comma 16 2 2 2 3 7 2" xfId="39342" xr:uid="{00000000-0005-0000-0000-000000840000}"/>
    <cellStyle name="Comma 16 2 2 2 3 8" xfId="39343" xr:uid="{00000000-0005-0000-0000-000001840000}"/>
    <cellStyle name="Comma 16 2 2 2 3 9" xfId="39344" xr:uid="{00000000-0005-0000-0000-000002840000}"/>
    <cellStyle name="Comma 16 2 2 2 4" xfId="39345" xr:uid="{00000000-0005-0000-0000-000003840000}"/>
    <cellStyle name="Comma 16 2 2 2 4 2" xfId="39346" xr:uid="{00000000-0005-0000-0000-000004840000}"/>
    <cellStyle name="Comma 16 2 2 2 4 2 2" xfId="39347" xr:uid="{00000000-0005-0000-0000-000005840000}"/>
    <cellStyle name="Comma 16 2 2 2 4 2 2 2" xfId="39348" xr:uid="{00000000-0005-0000-0000-000006840000}"/>
    <cellStyle name="Comma 16 2 2 2 4 2 2 3" xfId="39349" xr:uid="{00000000-0005-0000-0000-000007840000}"/>
    <cellStyle name="Comma 16 2 2 2 4 2 3" xfId="39350" xr:uid="{00000000-0005-0000-0000-000008840000}"/>
    <cellStyle name="Comma 16 2 2 2 4 2 3 2" xfId="39351" xr:uid="{00000000-0005-0000-0000-000009840000}"/>
    <cellStyle name="Comma 16 2 2 2 4 2 3 3" xfId="39352" xr:uid="{00000000-0005-0000-0000-00000A840000}"/>
    <cellStyle name="Comma 16 2 2 2 4 2 4" xfId="39353" xr:uid="{00000000-0005-0000-0000-00000B840000}"/>
    <cellStyle name="Comma 16 2 2 2 4 2 4 2" xfId="39354" xr:uid="{00000000-0005-0000-0000-00000C840000}"/>
    <cellStyle name="Comma 16 2 2 2 4 2 5" xfId="39355" xr:uid="{00000000-0005-0000-0000-00000D840000}"/>
    <cellStyle name="Comma 16 2 2 2 4 2 6" xfId="39356" xr:uid="{00000000-0005-0000-0000-00000E840000}"/>
    <cellStyle name="Comma 16 2 2 2 4 3" xfId="39357" xr:uid="{00000000-0005-0000-0000-00000F840000}"/>
    <cellStyle name="Comma 16 2 2 2 4 3 2" xfId="39358" xr:uid="{00000000-0005-0000-0000-000010840000}"/>
    <cellStyle name="Comma 16 2 2 2 4 3 2 2" xfId="39359" xr:uid="{00000000-0005-0000-0000-000011840000}"/>
    <cellStyle name="Comma 16 2 2 2 4 3 2 3" xfId="39360" xr:uid="{00000000-0005-0000-0000-000012840000}"/>
    <cellStyle name="Comma 16 2 2 2 4 3 3" xfId="39361" xr:uid="{00000000-0005-0000-0000-000013840000}"/>
    <cellStyle name="Comma 16 2 2 2 4 3 3 2" xfId="39362" xr:uid="{00000000-0005-0000-0000-000014840000}"/>
    <cellStyle name="Comma 16 2 2 2 4 3 3 3" xfId="39363" xr:uid="{00000000-0005-0000-0000-000015840000}"/>
    <cellStyle name="Comma 16 2 2 2 4 3 4" xfId="39364" xr:uid="{00000000-0005-0000-0000-000016840000}"/>
    <cellStyle name="Comma 16 2 2 2 4 3 4 2" xfId="39365" xr:uid="{00000000-0005-0000-0000-000017840000}"/>
    <cellStyle name="Comma 16 2 2 2 4 3 5" xfId="39366" xr:uid="{00000000-0005-0000-0000-000018840000}"/>
    <cellStyle name="Comma 16 2 2 2 4 3 6" xfId="39367" xr:uid="{00000000-0005-0000-0000-000019840000}"/>
    <cellStyle name="Comma 16 2 2 2 4 4" xfId="39368" xr:uid="{00000000-0005-0000-0000-00001A840000}"/>
    <cellStyle name="Comma 16 2 2 2 4 4 2" xfId="39369" xr:uid="{00000000-0005-0000-0000-00001B840000}"/>
    <cellStyle name="Comma 16 2 2 2 4 4 2 2" xfId="39370" xr:uid="{00000000-0005-0000-0000-00001C840000}"/>
    <cellStyle name="Comma 16 2 2 2 4 4 2 3" xfId="39371" xr:uid="{00000000-0005-0000-0000-00001D840000}"/>
    <cellStyle name="Comma 16 2 2 2 4 4 3" xfId="39372" xr:uid="{00000000-0005-0000-0000-00001E840000}"/>
    <cellStyle name="Comma 16 2 2 2 4 4 3 2" xfId="39373" xr:uid="{00000000-0005-0000-0000-00001F840000}"/>
    <cellStyle name="Comma 16 2 2 2 4 4 4" xfId="39374" xr:uid="{00000000-0005-0000-0000-000020840000}"/>
    <cellStyle name="Comma 16 2 2 2 4 4 5" xfId="39375" xr:uid="{00000000-0005-0000-0000-000021840000}"/>
    <cellStyle name="Comma 16 2 2 2 4 5" xfId="39376" xr:uid="{00000000-0005-0000-0000-000022840000}"/>
    <cellStyle name="Comma 16 2 2 2 4 5 2" xfId="39377" xr:uid="{00000000-0005-0000-0000-000023840000}"/>
    <cellStyle name="Comma 16 2 2 2 4 5 3" xfId="39378" xr:uid="{00000000-0005-0000-0000-000024840000}"/>
    <cellStyle name="Comma 16 2 2 2 4 6" xfId="39379" xr:uid="{00000000-0005-0000-0000-000025840000}"/>
    <cellStyle name="Comma 16 2 2 2 4 6 2" xfId="39380" xr:uid="{00000000-0005-0000-0000-000026840000}"/>
    <cellStyle name="Comma 16 2 2 2 4 6 3" xfId="39381" xr:uid="{00000000-0005-0000-0000-000027840000}"/>
    <cellStyle name="Comma 16 2 2 2 4 7" xfId="39382" xr:uid="{00000000-0005-0000-0000-000028840000}"/>
    <cellStyle name="Comma 16 2 2 2 4 7 2" xfId="39383" xr:uid="{00000000-0005-0000-0000-000029840000}"/>
    <cellStyle name="Comma 16 2 2 2 4 8" xfId="39384" xr:uid="{00000000-0005-0000-0000-00002A840000}"/>
    <cellStyle name="Comma 16 2 2 2 4 9" xfId="39385" xr:uid="{00000000-0005-0000-0000-00002B840000}"/>
    <cellStyle name="Comma 16 2 2 2 5" xfId="39386" xr:uid="{00000000-0005-0000-0000-00002C840000}"/>
    <cellStyle name="Comma 16 2 2 2 5 2" xfId="39387" xr:uid="{00000000-0005-0000-0000-00002D840000}"/>
    <cellStyle name="Comma 16 2 2 2 5 2 2" xfId="39388" xr:uid="{00000000-0005-0000-0000-00002E840000}"/>
    <cellStyle name="Comma 16 2 2 2 5 2 3" xfId="39389" xr:uid="{00000000-0005-0000-0000-00002F840000}"/>
    <cellStyle name="Comma 16 2 2 2 5 3" xfId="39390" xr:uid="{00000000-0005-0000-0000-000030840000}"/>
    <cellStyle name="Comma 16 2 2 2 5 3 2" xfId="39391" xr:uid="{00000000-0005-0000-0000-000031840000}"/>
    <cellStyle name="Comma 16 2 2 2 5 3 3" xfId="39392" xr:uid="{00000000-0005-0000-0000-000032840000}"/>
    <cellStyle name="Comma 16 2 2 2 5 4" xfId="39393" xr:uid="{00000000-0005-0000-0000-000033840000}"/>
    <cellStyle name="Comma 16 2 2 2 5 4 2" xfId="39394" xr:uid="{00000000-0005-0000-0000-000034840000}"/>
    <cellStyle name="Comma 16 2 2 2 5 5" xfId="39395" xr:uid="{00000000-0005-0000-0000-000035840000}"/>
    <cellStyle name="Comma 16 2 2 2 5 6" xfId="39396" xr:uid="{00000000-0005-0000-0000-000036840000}"/>
    <cellStyle name="Comma 16 2 2 2 6" xfId="39397" xr:uid="{00000000-0005-0000-0000-000037840000}"/>
    <cellStyle name="Comma 16 2 2 2 6 2" xfId="39398" xr:uid="{00000000-0005-0000-0000-000038840000}"/>
    <cellStyle name="Comma 16 2 2 2 6 2 2" xfId="39399" xr:uid="{00000000-0005-0000-0000-000039840000}"/>
    <cellStyle name="Comma 16 2 2 2 6 2 3" xfId="39400" xr:uid="{00000000-0005-0000-0000-00003A840000}"/>
    <cellStyle name="Comma 16 2 2 2 6 3" xfId="39401" xr:uid="{00000000-0005-0000-0000-00003B840000}"/>
    <cellStyle name="Comma 16 2 2 2 6 3 2" xfId="39402" xr:uid="{00000000-0005-0000-0000-00003C840000}"/>
    <cellStyle name="Comma 16 2 2 2 6 3 3" xfId="39403" xr:uid="{00000000-0005-0000-0000-00003D840000}"/>
    <cellStyle name="Comma 16 2 2 2 6 4" xfId="39404" xr:uid="{00000000-0005-0000-0000-00003E840000}"/>
    <cellStyle name="Comma 16 2 2 2 6 4 2" xfId="39405" xr:uid="{00000000-0005-0000-0000-00003F840000}"/>
    <cellStyle name="Comma 16 2 2 2 6 5" xfId="39406" xr:uid="{00000000-0005-0000-0000-000040840000}"/>
    <cellStyle name="Comma 16 2 2 2 6 6" xfId="39407" xr:uid="{00000000-0005-0000-0000-000041840000}"/>
    <cellStyle name="Comma 16 2 2 2 7" xfId="39408" xr:uid="{00000000-0005-0000-0000-000042840000}"/>
    <cellStyle name="Comma 16 2 2 2 7 2" xfId="39409" xr:uid="{00000000-0005-0000-0000-000043840000}"/>
    <cellStyle name="Comma 16 2 2 2 7 2 2" xfId="39410" xr:uid="{00000000-0005-0000-0000-000044840000}"/>
    <cellStyle name="Comma 16 2 2 2 7 2 3" xfId="39411" xr:uid="{00000000-0005-0000-0000-000045840000}"/>
    <cellStyle name="Comma 16 2 2 2 7 3" xfId="39412" xr:uid="{00000000-0005-0000-0000-000046840000}"/>
    <cellStyle name="Comma 16 2 2 2 7 3 2" xfId="39413" xr:uid="{00000000-0005-0000-0000-000047840000}"/>
    <cellStyle name="Comma 16 2 2 2 7 4" xfId="39414" xr:uid="{00000000-0005-0000-0000-000048840000}"/>
    <cellStyle name="Comma 16 2 2 2 7 5" xfId="39415" xr:uid="{00000000-0005-0000-0000-000049840000}"/>
    <cellStyle name="Comma 16 2 2 2 8" xfId="39416" xr:uid="{00000000-0005-0000-0000-00004A840000}"/>
    <cellStyle name="Comma 16 2 2 2 8 2" xfId="39417" xr:uid="{00000000-0005-0000-0000-00004B840000}"/>
    <cellStyle name="Comma 16 2 2 2 8 3" xfId="39418" xr:uid="{00000000-0005-0000-0000-00004C840000}"/>
    <cellStyle name="Comma 16 2 2 2 9" xfId="39419" xr:uid="{00000000-0005-0000-0000-00004D840000}"/>
    <cellStyle name="Comma 16 2 2 2 9 2" xfId="39420" xr:uid="{00000000-0005-0000-0000-00004E840000}"/>
    <cellStyle name="Comma 16 2 2 2 9 3" xfId="39421" xr:uid="{00000000-0005-0000-0000-00004F840000}"/>
    <cellStyle name="Comma 16 2 2 3" xfId="39422" xr:uid="{00000000-0005-0000-0000-000050840000}"/>
    <cellStyle name="Comma 16 2 2 3 10" xfId="39423" xr:uid="{00000000-0005-0000-0000-000051840000}"/>
    <cellStyle name="Comma 16 2 2 3 2" xfId="39424" xr:uid="{00000000-0005-0000-0000-000052840000}"/>
    <cellStyle name="Comma 16 2 2 3 2 2" xfId="39425" xr:uid="{00000000-0005-0000-0000-000053840000}"/>
    <cellStyle name="Comma 16 2 2 3 2 2 2" xfId="39426" xr:uid="{00000000-0005-0000-0000-000054840000}"/>
    <cellStyle name="Comma 16 2 2 3 2 2 2 2" xfId="39427" xr:uid="{00000000-0005-0000-0000-000055840000}"/>
    <cellStyle name="Comma 16 2 2 3 2 2 2 3" xfId="39428" xr:uid="{00000000-0005-0000-0000-000056840000}"/>
    <cellStyle name="Comma 16 2 2 3 2 2 3" xfId="39429" xr:uid="{00000000-0005-0000-0000-000057840000}"/>
    <cellStyle name="Comma 16 2 2 3 2 2 3 2" xfId="39430" xr:uid="{00000000-0005-0000-0000-000058840000}"/>
    <cellStyle name="Comma 16 2 2 3 2 2 3 3" xfId="39431" xr:uid="{00000000-0005-0000-0000-000059840000}"/>
    <cellStyle name="Comma 16 2 2 3 2 2 4" xfId="39432" xr:uid="{00000000-0005-0000-0000-00005A840000}"/>
    <cellStyle name="Comma 16 2 2 3 2 2 4 2" xfId="39433" xr:uid="{00000000-0005-0000-0000-00005B840000}"/>
    <cellStyle name="Comma 16 2 2 3 2 2 5" xfId="39434" xr:uid="{00000000-0005-0000-0000-00005C840000}"/>
    <cellStyle name="Comma 16 2 2 3 2 2 6" xfId="39435" xr:uid="{00000000-0005-0000-0000-00005D840000}"/>
    <cellStyle name="Comma 16 2 2 3 2 3" xfId="39436" xr:uid="{00000000-0005-0000-0000-00005E840000}"/>
    <cellStyle name="Comma 16 2 2 3 2 3 2" xfId="39437" xr:uid="{00000000-0005-0000-0000-00005F840000}"/>
    <cellStyle name="Comma 16 2 2 3 2 3 2 2" xfId="39438" xr:uid="{00000000-0005-0000-0000-000060840000}"/>
    <cellStyle name="Comma 16 2 2 3 2 3 2 3" xfId="39439" xr:uid="{00000000-0005-0000-0000-000061840000}"/>
    <cellStyle name="Comma 16 2 2 3 2 3 3" xfId="39440" xr:uid="{00000000-0005-0000-0000-000062840000}"/>
    <cellStyle name="Comma 16 2 2 3 2 3 3 2" xfId="39441" xr:uid="{00000000-0005-0000-0000-000063840000}"/>
    <cellStyle name="Comma 16 2 2 3 2 3 3 3" xfId="39442" xr:uid="{00000000-0005-0000-0000-000064840000}"/>
    <cellStyle name="Comma 16 2 2 3 2 3 4" xfId="39443" xr:uid="{00000000-0005-0000-0000-000065840000}"/>
    <cellStyle name="Comma 16 2 2 3 2 3 4 2" xfId="39444" xr:uid="{00000000-0005-0000-0000-000066840000}"/>
    <cellStyle name="Comma 16 2 2 3 2 3 5" xfId="39445" xr:uid="{00000000-0005-0000-0000-000067840000}"/>
    <cellStyle name="Comma 16 2 2 3 2 3 6" xfId="39446" xr:uid="{00000000-0005-0000-0000-000068840000}"/>
    <cellStyle name="Comma 16 2 2 3 2 4" xfId="39447" xr:uid="{00000000-0005-0000-0000-000069840000}"/>
    <cellStyle name="Comma 16 2 2 3 2 4 2" xfId="39448" xr:uid="{00000000-0005-0000-0000-00006A840000}"/>
    <cellStyle name="Comma 16 2 2 3 2 4 2 2" xfId="39449" xr:uid="{00000000-0005-0000-0000-00006B840000}"/>
    <cellStyle name="Comma 16 2 2 3 2 4 2 3" xfId="39450" xr:uid="{00000000-0005-0000-0000-00006C840000}"/>
    <cellStyle name="Comma 16 2 2 3 2 4 3" xfId="39451" xr:uid="{00000000-0005-0000-0000-00006D840000}"/>
    <cellStyle name="Comma 16 2 2 3 2 4 3 2" xfId="39452" xr:uid="{00000000-0005-0000-0000-00006E840000}"/>
    <cellStyle name="Comma 16 2 2 3 2 4 4" xfId="39453" xr:uid="{00000000-0005-0000-0000-00006F840000}"/>
    <cellStyle name="Comma 16 2 2 3 2 4 5" xfId="39454" xr:uid="{00000000-0005-0000-0000-000070840000}"/>
    <cellStyle name="Comma 16 2 2 3 2 5" xfId="39455" xr:uid="{00000000-0005-0000-0000-000071840000}"/>
    <cellStyle name="Comma 16 2 2 3 2 5 2" xfId="39456" xr:uid="{00000000-0005-0000-0000-000072840000}"/>
    <cellStyle name="Comma 16 2 2 3 2 5 3" xfId="39457" xr:uid="{00000000-0005-0000-0000-000073840000}"/>
    <cellStyle name="Comma 16 2 2 3 2 6" xfId="39458" xr:uid="{00000000-0005-0000-0000-000074840000}"/>
    <cellStyle name="Comma 16 2 2 3 2 6 2" xfId="39459" xr:uid="{00000000-0005-0000-0000-000075840000}"/>
    <cellStyle name="Comma 16 2 2 3 2 6 3" xfId="39460" xr:uid="{00000000-0005-0000-0000-000076840000}"/>
    <cellStyle name="Comma 16 2 2 3 2 7" xfId="39461" xr:uid="{00000000-0005-0000-0000-000077840000}"/>
    <cellStyle name="Comma 16 2 2 3 2 7 2" xfId="39462" xr:uid="{00000000-0005-0000-0000-000078840000}"/>
    <cellStyle name="Comma 16 2 2 3 2 8" xfId="39463" xr:uid="{00000000-0005-0000-0000-000079840000}"/>
    <cellStyle name="Comma 16 2 2 3 2 9" xfId="39464" xr:uid="{00000000-0005-0000-0000-00007A840000}"/>
    <cellStyle name="Comma 16 2 2 3 3" xfId="39465" xr:uid="{00000000-0005-0000-0000-00007B840000}"/>
    <cellStyle name="Comma 16 2 2 3 3 2" xfId="39466" xr:uid="{00000000-0005-0000-0000-00007C840000}"/>
    <cellStyle name="Comma 16 2 2 3 3 2 2" xfId="39467" xr:uid="{00000000-0005-0000-0000-00007D840000}"/>
    <cellStyle name="Comma 16 2 2 3 3 2 3" xfId="39468" xr:uid="{00000000-0005-0000-0000-00007E840000}"/>
    <cellStyle name="Comma 16 2 2 3 3 3" xfId="39469" xr:uid="{00000000-0005-0000-0000-00007F840000}"/>
    <cellStyle name="Comma 16 2 2 3 3 3 2" xfId="39470" xr:uid="{00000000-0005-0000-0000-000080840000}"/>
    <cellStyle name="Comma 16 2 2 3 3 3 3" xfId="39471" xr:uid="{00000000-0005-0000-0000-000081840000}"/>
    <cellStyle name="Comma 16 2 2 3 3 4" xfId="39472" xr:uid="{00000000-0005-0000-0000-000082840000}"/>
    <cellStyle name="Comma 16 2 2 3 3 4 2" xfId="39473" xr:uid="{00000000-0005-0000-0000-000083840000}"/>
    <cellStyle name="Comma 16 2 2 3 3 5" xfId="39474" xr:uid="{00000000-0005-0000-0000-000084840000}"/>
    <cellStyle name="Comma 16 2 2 3 3 6" xfId="39475" xr:uid="{00000000-0005-0000-0000-000085840000}"/>
    <cellStyle name="Comma 16 2 2 3 4" xfId="39476" xr:uid="{00000000-0005-0000-0000-000086840000}"/>
    <cellStyle name="Comma 16 2 2 3 4 2" xfId="39477" xr:uid="{00000000-0005-0000-0000-000087840000}"/>
    <cellStyle name="Comma 16 2 2 3 4 2 2" xfId="39478" xr:uid="{00000000-0005-0000-0000-000088840000}"/>
    <cellStyle name="Comma 16 2 2 3 4 2 3" xfId="39479" xr:uid="{00000000-0005-0000-0000-000089840000}"/>
    <cellStyle name="Comma 16 2 2 3 4 3" xfId="39480" xr:uid="{00000000-0005-0000-0000-00008A840000}"/>
    <cellStyle name="Comma 16 2 2 3 4 3 2" xfId="39481" xr:uid="{00000000-0005-0000-0000-00008B840000}"/>
    <cellStyle name="Comma 16 2 2 3 4 3 3" xfId="39482" xr:uid="{00000000-0005-0000-0000-00008C840000}"/>
    <cellStyle name="Comma 16 2 2 3 4 4" xfId="39483" xr:uid="{00000000-0005-0000-0000-00008D840000}"/>
    <cellStyle name="Comma 16 2 2 3 4 4 2" xfId="39484" xr:uid="{00000000-0005-0000-0000-00008E840000}"/>
    <cellStyle name="Comma 16 2 2 3 4 5" xfId="39485" xr:uid="{00000000-0005-0000-0000-00008F840000}"/>
    <cellStyle name="Comma 16 2 2 3 4 6" xfId="39486" xr:uid="{00000000-0005-0000-0000-000090840000}"/>
    <cellStyle name="Comma 16 2 2 3 5" xfId="39487" xr:uid="{00000000-0005-0000-0000-000091840000}"/>
    <cellStyle name="Comma 16 2 2 3 5 2" xfId="39488" xr:uid="{00000000-0005-0000-0000-000092840000}"/>
    <cellStyle name="Comma 16 2 2 3 5 2 2" xfId="39489" xr:uid="{00000000-0005-0000-0000-000093840000}"/>
    <cellStyle name="Comma 16 2 2 3 5 2 3" xfId="39490" xr:uid="{00000000-0005-0000-0000-000094840000}"/>
    <cellStyle name="Comma 16 2 2 3 5 3" xfId="39491" xr:uid="{00000000-0005-0000-0000-000095840000}"/>
    <cellStyle name="Comma 16 2 2 3 5 3 2" xfId="39492" xr:uid="{00000000-0005-0000-0000-000096840000}"/>
    <cellStyle name="Comma 16 2 2 3 5 4" xfId="39493" xr:uid="{00000000-0005-0000-0000-000097840000}"/>
    <cellStyle name="Comma 16 2 2 3 5 5" xfId="39494" xr:uid="{00000000-0005-0000-0000-000098840000}"/>
    <cellStyle name="Comma 16 2 2 3 6" xfId="39495" xr:uid="{00000000-0005-0000-0000-000099840000}"/>
    <cellStyle name="Comma 16 2 2 3 6 2" xfId="39496" xr:uid="{00000000-0005-0000-0000-00009A840000}"/>
    <cellStyle name="Comma 16 2 2 3 6 3" xfId="39497" xr:uid="{00000000-0005-0000-0000-00009B840000}"/>
    <cellStyle name="Comma 16 2 2 3 7" xfId="39498" xr:uid="{00000000-0005-0000-0000-00009C840000}"/>
    <cellStyle name="Comma 16 2 2 3 7 2" xfId="39499" xr:uid="{00000000-0005-0000-0000-00009D840000}"/>
    <cellStyle name="Comma 16 2 2 3 7 3" xfId="39500" xr:uid="{00000000-0005-0000-0000-00009E840000}"/>
    <cellStyle name="Comma 16 2 2 3 8" xfId="39501" xr:uid="{00000000-0005-0000-0000-00009F840000}"/>
    <cellStyle name="Comma 16 2 2 3 8 2" xfId="39502" xr:uid="{00000000-0005-0000-0000-0000A0840000}"/>
    <cellStyle name="Comma 16 2 2 3 9" xfId="39503" xr:uid="{00000000-0005-0000-0000-0000A1840000}"/>
    <cellStyle name="Comma 16 2 2 4" xfId="39504" xr:uid="{00000000-0005-0000-0000-0000A2840000}"/>
    <cellStyle name="Comma 16 2 2 4 2" xfId="39505" xr:uid="{00000000-0005-0000-0000-0000A3840000}"/>
    <cellStyle name="Comma 16 2 2 4 2 2" xfId="39506" xr:uid="{00000000-0005-0000-0000-0000A4840000}"/>
    <cellStyle name="Comma 16 2 2 4 2 2 2" xfId="39507" xr:uid="{00000000-0005-0000-0000-0000A5840000}"/>
    <cellStyle name="Comma 16 2 2 4 2 2 3" xfId="39508" xr:uid="{00000000-0005-0000-0000-0000A6840000}"/>
    <cellStyle name="Comma 16 2 2 4 2 3" xfId="39509" xr:uid="{00000000-0005-0000-0000-0000A7840000}"/>
    <cellStyle name="Comma 16 2 2 4 2 3 2" xfId="39510" xr:uid="{00000000-0005-0000-0000-0000A8840000}"/>
    <cellStyle name="Comma 16 2 2 4 2 3 3" xfId="39511" xr:uid="{00000000-0005-0000-0000-0000A9840000}"/>
    <cellStyle name="Comma 16 2 2 4 2 4" xfId="39512" xr:uid="{00000000-0005-0000-0000-0000AA840000}"/>
    <cellStyle name="Comma 16 2 2 4 2 4 2" xfId="39513" xr:uid="{00000000-0005-0000-0000-0000AB840000}"/>
    <cellStyle name="Comma 16 2 2 4 2 5" xfId="39514" xr:uid="{00000000-0005-0000-0000-0000AC840000}"/>
    <cellStyle name="Comma 16 2 2 4 2 6" xfId="39515" xr:uid="{00000000-0005-0000-0000-0000AD840000}"/>
    <cellStyle name="Comma 16 2 2 4 3" xfId="39516" xr:uid="{00000000-0005-0000-0000-0000AE840000}"/>
    <cellStyle name="Comma 16 2 2 4 3 2" xfId="39517" xr:uid="{00000000-0005-0000-0000-0000AF840000}"/>
    <cellStyle name="Comma 16 2 2 4 3 2 2" xfId="39518" xr:uid="{00000000-0005-0000-0000-0000B0840000}"/>
    <cellStyle name="Comma 16 2 2 4 3 2 3" xfId="39519" xr:uid="{00000000-0005-0000-0000-0000B1840000}"/>
    <cellStyle name="Comma 16 2 2 4 3 3" xfId="39520" xr:uid="{00000000-0005-0000-0000-0000B2840000}"/>
    <cellStyle name="Comma 16 2 2 4 3 3 2" xfId="39521" xr:uid="{00000000-0005-0000-0000-0000B3840000}"/>
    <cellStyle name="Comma 16 2 2 4 3 3 3" xfId="39522" xr:uid="{00000000-0005-0000-0000-0000B4840000}"/>
    <cellStyle name="Comma 16 2 2 4 3 4" xfId="39523" xr:uid="{00000000-0005-0000-0000-0000B5840000}"/>
    <cellStyle name="Comma 16 2 2 4 3 4 2" xfId="39524" xr:uid="{00000000-0005-0000-0000-0000B6840000}"/>
    <cellStyle name="Comma 16 2 2 4 3 5" xfId="39525" xr:uid="{00000000-0005-0000-0000-0000B7840000}"/>
    <cellStyle name="Comma 16 2 2 4 3 6" xfId="39526" xr:uid="{00000000-0005-0000-0000-0000B8840000}"/>
    <cellStyle name="Comma 16 2 2 4 4" xfId="39527" xr:uid="{00000000-0005-0000-0000-0000B9840000}"/>
    <cellStyle name="Comma 16 2 2 4 4 2" xfId="39528" xr:uid="{00000000-0005-0000-0000-0000BA840000}"/>
    <cellStyle name="Comma 16 2 2 4 4 2 2" xfId="39529" xr:uid="{00000000-0005-0000-0000-0000BB840000}"/>
    <cellStyle name="Comma 16 2 2 4 4 2 3" xfId="39530" xr:uid="{00000000-0005-0000-0000-0000BC840000}"/>
    <cellStyle name="Comma 16 2 2 4 4 3" xfId="39531" xr:uid="{00000000-0005-0000-0000-0000BD840000}"/>
    <cellStyle name="Comma 16 2 2 4 4 3 2" xfId="39532" xr:uid="{00000000-0005-0000-0000-0000BE840000}"/>
    <cellStyle name="Comma 16 2 2 4 4 4" xfId="39533" xr:uid="{00000000-0005-0000-0000-0000BF840000}"/>
    <cellStyle name="Comma 16 2 2 4 4 5" xfId="39534" xr:uid="{00000000-0005-0000-0000-0000C0840000}"/>
    <cellStyle name="Comma 16 2 2 4 5" xfId="39535" xr:uid="{00000000-0005-0000-0000-0000C1840000}"/>
    <cellStyle name="Comma 16 2 2 4 5 2" xfId="39536" xr:uid="{00000000-0005-0000-0000-0000C2840000}"/>
    <cellStyle name="Comma 16 2 2 4 5 3" xfId="39537" xr:uid="{00000000-0005-0000-0000-0000C3840000}"/>
    <cellStyle name="Comma 16 2 2 4 6" xfId="39538" xr:uid="{00000000-0005-0000-0000-0000C4840000}"/>
    <cellStyle name="Comma 16 2 2 4 6 2" xfId="39539" xr:uid="{00000000-0005-0000-0000-0000C5840000}"/>
    <cellStyle name="Comma 16 2 2 4 6 3" xfId="39540" xr:uid="{00000000-0005-0000-0000-0000C6840000}"/>
    <cellStyle name="Comma 16 2 2 4 7" xfId="39541" xr:uid="{00000000-0005-0000-0000-0000C7840000}"/>
    <cellStyle name="Comma 16 2 2 4 7 2" xfId="39542" xr:uid="{00000000-0005-0000-0000-0000C8840000}"/>
    <cellStyle name="Comma 16 2 2 4 8" xfId="39543" xr:uid="{00000000-0005-0000-0000-0000C9840000}"/>
    <cellStyle name="Comma 16 2 2 4 9" xfId="39544" xr:uid="{00000000-0005-0000-0000-0000CA840000}"/>
    <cellStyle name="Comma 16 2 2 5" xfId="39545" xr:uid="{00000000-0005-0000-0000-0000CB840000}"/>
    <cellStyle name="Comma 16 2 2 5 2" xfId="39546" xr:uid="{00000000-0005-0000-0000-0000CC840000}"/>
    <cellStyle name="Comma 16 2 2 5 2 2" xfId="39547" xr:uid="{00000000-0005-0000-0000-0000CD840000}"/>
    <cellStyle name="Comma 16 2 2 5 2 2 2" xfId="39548" xr:uid="{00000000-0005-0000-0000-0000CE840000}"/>
    <cellStyle name="Comma 16 2 2 5 2 2 3" xfId="39549" xr:uid="{00000000-0005-0000-0000-0000CF840000}"/>
    <cellStyle name="Comma 16 2 2 5 2 3" xfId="39550" xr:uid="{00000000-0005-0000-0000-0000D0840000}"/>
    <cellStyle name="Comma 16 2 2 5 2 3 2" xfId="39551" xr:uid="{00000000-0005-0000-0000-0000D1840000}"/>
    <cellStyle name="Comma 16 2 2 5 2 3 3" xfId="39552" xr:uid="{00000000-0005-0000-0000-0000D2840000}"/>
    <cellStyle name="Comma 16 2 2 5 2 4" xfId="39553" xr:uid="{00000000-0005-0000-0000-0000D3840000}"/>
    <cellStyle name="Comma 16 2 2 5 2 4 2" xfId="39554" xr:uid="{00000000-0005-0000-0000-0000D4840000}"/>
    <cellStyle name="Comma 16 2 2 5 2 5" xfId="39555" xr:uid="{00000000-0005-0000-0000-0000D5840000}"/>
    <cellStyle name="Comma 16 2 2 5 2 6" xfId="39556" xr:uid="{00000000-0005-0000-0000-0000D6840000}"/>
    <cellStyle name="Comma 16 2 2 5 3" xfId="39557" xr:uid="{00000000-0005-0000-0000-0000D7840000}"/>
    <cellStyle name="Comma 16 2 2 5 3 2" xfId="39558" xr:uid="{00000000-0005-0000-0000-0000D8840000}"/>
    <cellStyle name="Comma 16 2 2 5 3 2 2" xfId="39559" xr:uid="{00000000-0005-0000-0000-0000D9840000}"/>
    <cellStyle name="Comma 16 2 2 5 3 2 3" xfId="39560" xr:uid="{00000000-0005-0000-0000-0000DA840000}"/>
    <cellStyle name="Comma 16 2 2 5 3 3" xfId="39561" xr:uid="{00000000-0005-0000-0000-0000DB840000}"/>
    <cellStyle name="Comma 16 2 2 5 3 3 2" xfId="39562" xr:uid="{00000000-0005-0000-0000-0000DC840000}"/>
    <cellStyle name="Comma 16 2 2 5 3 3 3" xfId="39563" xr:uid="{00000000-0005-0000-0000-0000DD840000}"/>
    <cellStyle name="Comma 16 2 2 5 3 4" xfId="39564" xr:uid="{00000000-0005-0000-0000-0000DE840000}"/>
    <cellStyle name="Comma 16 2 2 5 3 4 2" xfId="39565" xr:uid="{00000000-0005-0000-0000-0000DF840000}"/>
    <cellStyle name="Comma 16 2 2 5 3 5" xfId="39566" xr:uid="{00000000-0005-0000-0000-0000E0840000}"/>
    <cellStyle name="Comma 16 2 2 5 3 6" xfId="39567" xr:uid="{00000000-0005-0000-0000-0000E1840000}"/>
    <cellStyle name="Comma 16 2 2 5 4" xfId="39568" xr:uid="{00000000-0005-0000-0000-0000E2840000}"/>
    <cellStyle name="Comma 16 2 2 5 4 2" xfId="39569" xr:uid="{00000000-0005-0000-0000-0000E3840000}"/>
    <cellStyle name="Comma 16 2 2 5 4 2 2" xfId="39570" xr:uid="{00000000-0005-0000-0000-0000E4840000}"/>
    <cellStyle name="Comma 16 2 2 5 4 2 3" xfId="39571" xr:uid="{00000000-0005-0000-0000-0000E5840000}"/>
    <cellStyle name="Comma 16 2 2 5 4 3" xfId="39572" xr:uid="{00000000-0005-0000-0000-0000E6840000}"/>
    <cellStyle name="Comma 16 2 2 5 4 3 2" xfId="39573" xr:uid="{00000000-0005-0000-0000-0000E7840000}"/>
    <cellStyle name="Comma 16 2 2 5 4 4" xfId="39574" xr:uid="{00000000-0005-0000-0000-0000E8840000}"/>
    <cellStyle name="Comma 16 2 2 5 4 5" xfId="39575" xr:uid="{00000000-0005-0000-0000-0000E9840000}"/>
    <cellStyle name="Comma 16 2 2 5 5" xfId="39576" xr:uid="{00000000-0005-0000-0000-0000EA840000}"/>
    <cellStyle name="Comma 16 2 2 5 5 2" xfId="39577" xr:uid="{00000000-0005-0000-0000-0000EB840000}"/>
    <cellStyle name="Comma 16 2 2 5 5 3" xfId="39578" xr:uid="{00000000-0005-0000-0000-0000EC840000}"/>
    <cellStyle name="Comma 16 2 2 5 6" xfId="39579" xr:uid="{00000000-0005-0000-0000-0000ED840000}"/>
    <cellStyle name="Comma 16 2 2 5 6 2" xfId="39580" xr:uid="{00000000-0005-0000-0000-0000EE840000}"/>
    <cellStyle name="Comma 16 2 2 5 6 3" xfId="39581" xr:uid="{00000000-0005-0000-0000-0000EF840000}"/>
    <cellStyle name="Comma 16 2 2 5 7" xfId="39582" xr:uid="{00000000-0005-0000-0000-0000F0840000}"/>
    <cellStyle name="Comma 16 2 2 5 7 2" xfId="39583" xr:uid="{00000000-0005-0000-0000-0000F1840000}"/>
    <cellStyle name="Comma 16 2 2 5 8" xfId="39584" xr:uid="{00000000-0005-0000-0000-0000F2840000}"/>
    <cellStyle name="Comma 16 2 2 5 9" xfId="39585" xr:uid="{00000000-0005-0000-0000-0000F3840000}"/>
    <cellStyle name="Comma 16 2 2 6" xfId="39586" xr:uid="{00000000-0005-0000-0000-0000F4840000}"/>
    <cellStyle name="Comma 16 2 2 6 2" xfId="39587" xr:uid="{00000000-0005-0000-0000-0000F5840000}"/>
    <cellStyle name="Comma 16 2 2 6 2 2" xfId="39588" xr:uid="{00000000-0005-0000-0000-0000F6840000}"/>
    <cellStyle name="Comma 16 2 2 6 2 3" xfId="39589" xr:uid="{00000000-0005-0000-0000-0000F7840000}"/>
    <cellStyle name="Comma 16 2 2 6 3" xfId="39590" xr:uid="{00000000-0005-0000-0000-0000F8840000}"/>
    <cellStyle name="Comma 16 2 2 6 3 2" xfId="39591" xr:uid="{00000000-0005-0000-0000-0000F9840000}"/>
    <cellStyle name="Comma 16 2 2 6 3 3" xfId="39592" xr:uid="{00000000-0005-0000-0000-0000FA840000}"/>
    <cellStyle name="Comma 16 2 2 6 4" xfId="39593" xr:uid="{00000000-0005-0000-0000-0000FB840000}"/>
    <cellStyle name="Comma 16 2 2 6 4 2" xfId="39594" xr:uid="{00000000-0005-0000-0000-0000FC840000}"/>
    <cellStyle name="Comma 16 2 2 6 5" xfId="39595" xr:uid="{00000000-0005-0000-0000-0000FD840000}"/>
    <cellStyle name="Comma 16 2 2 6 6" xfId="39596" xr:uid="{00000000-0005-0000-0000-0000FE840000}"/>
    <cellStyle name="Comma 16 2 2 7" xfId="39597" xr:uid="{00000000-0005-0000-0000-0000FF840000}"/>
    <cellStyle name="Comma 16 2 2 7 2" xfId="39598" xr:uid="{00000000-0005-0000-0000-000000850000}"/>
    <cellStyle name="Comma 16 2 2 7 2 2" xfId="39599" xr:uid="{00000000-0005-0000-0000-000001850000}"/>
    <cellStyle name="Comma 16 2 2 7 2 3" xfId="39600" xr:uid="{00000000-0005-0000-0000-000002850000}"/>
    <cellStyle name="Comma 16 2 2 7 3" xfId="39601" xr:uid="{00000000-0005-0000-0000-000003850000}"/>
    <cellStyle name="Comma 16 2 2 7 3 2" xfId="39602" xr:uid="{00000000-0005-0000-0000-000004850000}"/>
    <cellStyle name="Comma 16 2 2 7 3 3" xfId="39603" xr:uid="{00000000-0005-0000-0000-000005850000}"/>
    <cellStyle name="Comma 16 2 2 7 4" xfId="39604" xr:uid="{00000000-0005-0000-0000-000006850000}"/>
    <cellStyle name="Comma 16 2 2 7 4 2" xfId="39605" xr:uid="{00000000-0005-0000-0000-000007850000}"/>
    <cellStyle name="Comma 16 2 2 7 5" xfId="39606" xr:uid="{00000000-0005-0000-0000-000008850000}"/>
    <cellStyle name="Comma 16 2 2 7 6" xfId="39607" xr:uid="{00000000-0005-0000-0000-000009850000}"/>
    <cellStyle name="Comma 16 2 2 8" xfId="39608" xr:uid="{00000000-0005-0000-0000-00000A850000}"/>
    <cellStyle name="Comma 16 2 2 8 2" xfId="39609" xr:uid="{00000000-0005-0000-0000-00000B850000}"/>
    <cellStyle name="Comma 16 2 2 8 2 2" xfId="39610" xr:uid="{00000000-0005-0000-0000-00000C850000}"/>
    <cellStyle name="Comma 16 2 2 8 2 3" xfId="39611" xr:uid="{00000000-0005-0000-0000-00000D850000}"/>
    <cellStyle name="Comma 16 2 2 8 3" xfId="39612" xr:uid="{00000000-0005-0000-0000-00000E850000}"/>
    <cellStyle name="Comma 16 2 2 8 3 2" xfId="39613" xr:uid="{00000000-0005-0000-0000-00000F850000}"/>
    <cellStyle name="Comma 16 2 2 8 4" xfId="39614" xr:uid="{00000000-0005-0000-0000-000010850000}"/>
    <cellStyle name="Comma 16 2 2 8 5" xfId="39615" xr:uid="{00000000-0005-0000-0000-000011850000}"/>
    <cellStyle name="Comma 16 2 2 9" xfId="39616" xr:uid="{00000000-0005-0000-0000-000012850000}"/>
    <cellStyle name="Comma 16 2 2 9 2" xfId="39617" xr:uid="{00000000-0005-0000-0000-000013850000}"/>
    <cellStyle name="Comma 16 2 2 9 3" xfId="39618" xr:uid="{00000000-0005-0000-0000-000014850000}"/>
    <cellStyle name="Comma 16 2 3" xfId="39619" xr:uid="{00000000-0005-0000-0000-000015850000}"/>
    <cellStyle name="Comma 16 2 3 10" xfId="39620" xr:uid="{00000000-0005-0000-0000-000016850000}"/>
    <cellStyle name="Comma 16 2 3 10 2" xfId="39621" xr:uid="{00000000-0005-0000-0000-000017850000}"/>
    <cellStyle name="Comma 16 2 3 11" xfId="39622" xr:uid="{00000000-0005-0000-0000-000018850000}"/>
    <cellStyle name="Comma 16 2 3 12" xfId="39623" xr:uid="{00000000-0005-0000-0000-000019850000}"/>
    <cellStyle name="Comma 16 2 3 2" xfId="39624" xr:uid="{00000000-0005-0000-0000-00001A850000}"/>
    <cellStyle name="Comma 16 2 3 2 10" xfId="39625" xr:uid="{00000000-0005-0000-0000-00001B850000}"/>
    <cellStyle name="Comma 16 2 3 2 2" xfId="39626" xr:uid="{00000000-0005-0000-0000-00001C850000}"/>
    <cellStyle name="Comma 16 2 3 2 2 2" xfId="39627" xr:uid="{00000000-0005-0000-0000-00001D850000}"/>
    <cellStyle name="Comma 16 2 3 2 2 2 2" xfId="39628" xr:uid="{00000000-0005-0000-0000-00001E850000}"/>
    <cellStyle name="Comma 16 2 3 2 2 2 2 2" xfId="39629" xr:uid="{00000000-0005-0000-0000-00001F850000}"/>
    <cellStyle name="Comma 16 2 3 2 2 2 2 3" xfId="39630" xr:uid="{00000000-0005-0000-0000-000020850000}"/>
    <cellStyle name="Comma 16 2 3 2 2 2 3" xfId="39631" xr:uid="{00000000-0005-0000-0000-000021850000}"/>
    <cellStyle name="Comma 16 2 3 2 2 2 3 2" xfId="39632" xr:uid="{00000000-0005-0000-0000-000022850000}"/>
    <cellStyle name="Comma 16 2 3 2 2 2 3 3" xfId="39633" xr:uid="{00000000-0005-0000-0000-000023850000}"/>
    <cellStyle name="Comma 16 2 3 2 2 2 4" xfId="39634" xr:uid="{00000000-0005-0000-0000-000024850000}"/>
    <cellStyle name="Comma 16 2 3 2 2 2 4 2" xfId="39635" xr:uid="{00000000-0005-0000-0000-000025850000}"/>
    <cellStyle name="Comma 16 2 3 2 2 2 5" xfId="39636" xr:uid="{00000000-0005-0000-0000-000026850000}"/>
    <cellStyle name="Comma 16 2 3 2 2 2 6" xfId="39637" xr:uid="{00000000-0005-0000-0000-000027850000}"/>
    <cellStyle name="Comma 16 2 3 2 2 3" xfId="39638" xr:uid="{00000000-0005-0000-0000-000028850000}"/>
    <cellStyle name="Comma 16 2 3 2 2 3 2" xfId="39639" xr:uid="{00000000-0005-0000-0000-000029850000}"/>
    <cellStyle name="Comma 16 2 3 2 2 3 2 2" xfId="39640" xr:uid="{00000000-0005-0000-0000-00002A850000}"/>
    <cellStyle name="Comma 16 2 3 2 2 3 2 3" xfId="39641" xr:uid="{00000000-0005-0000-0000-00002B850000}"/>
    <cellStyle name="Comma 16 2 3 2 2 3 3" xfId="39642" xr:uid="{00000000-0005-0000-0000-00002C850000}"/>
    <cellStyle name="Comma 16 2 3 2 2 3 3 2" xfId="39643" xr:uid="{00000000-0005-0000-0000-00002D850000}"/>
    <cellStyle name="Comma 16 2 3 2 2 3 3 3" xfId="39644" xr:uid="{00000000-0005-0000-0000-00002E850000}"/>
    <cellStyle name="Comma 16 2 3 2 2 3 4" xfId="39645" xr:uid="{00000000-0005-0000-0000-00002F850000}"/>
    <cellStyle name="Comma 16 2 3 2 2 3 4 2" xfId="39646" xr:uid="{00000000-0005-0000-0000-000030850000}"/>
    <cellStyle name="Comma 16 2 3 2 2 3 5" xfId="39647" xr:uid="{00000000-0005-0000-0000-000031850000}"/>
    <cellStyle name="Comma 16 2 3 2 2 3 6" xfId="39648" xr:uid="{00000000-0005-0000-0000-000032850000}"/>
    <cellStyle name="Comma 16 2 3 2 2 4" xfId="39649" xr:uid="{00000000-0005-0000-0000-000033850000}"/>
    <cellStyle name="Comma 16 2 3 2 2 4 2" xfId="39650" xr:uid="{00000000-0005-0000-0000-000034850000}"/>
    <cellStyle name="Comma 16 2 3 2 2 4 2 2" xfId="39651" xr:uid="{00000000-0005-0000-0000-000035850000}"/>
    <cellStyle name="Comma 16 2 3 2 2 4 2 3" xfId="39652" xr:uid="{00000000-0005-0000-0000-000036850000}"/>
    <cellStyle name="Comma 16 2 3 2 2 4 3" xfId="39653" xr:uid="{00000000-0005-0000-0000-000037850000}"/>
    <cellStyle name="Comma 16 2 3 2 2 4 3 2" xfId="39654" xr:uid="{00000000-0005-0000-0000-000038850000}"/>
    <cellStyle name="Comma 16 2 3 2 2 4 4" xfId="39655" xr:uid="{00000000-0005-0000-0000-000039850000}"/>
    <cellStyle name="Comma 16 2 3 2 2 4 5" xfId="39656" xr:uid="{00000000-0005-0000-0000-00003A850000}"/>
    <cellStyle name="Comma 16 2 3 2 2 5" xfId="39657" xr:uid="{00000000-0005-0000-0000-00003B850000}"/>
    <cellStyle name="Comma 16 2 3 2 2 5 2" xfId="39658" xr:uid="{00000000-0005-0000-0000-00003C850000}"/>
    <cellStyle name="Comma 16 2 3 2 2 5 3" xfId="39659" xr:uid="{00000000-0005-0000-0000-00003D850000}"/>
    <cellStyle name="Comma 16 2 3 2 2 6" xfId="39660" xr:uid="{00000000-0005-0000-0000-00003E850000}"/>
    <cellStyle name="Comma 16 2 3 2 2 6 2" xfId="39661" xr:uid="{00000000-0005-0000-0000-00003F850000}"/>
    <cellStyle name="Comma 16 2 3 2 2 6 3" xfId="39662" xr:uid="{00000000-0005-0000-0000-000040850000}"/>
    <cellStyle name="Comma 16 2 3 2 2 7" xfId="39663" xr:uid="{00000000-0005-0000-0000-000041850000}"/>
    <cellStyle name="Comma 16 2 3 2 2 7 2" xfId="39664" xr:uid="{00000000-0005-0000-0000-000042850000}"/>
    <cellStyle name="Comma 16 2 3 2 2 8" xfId="39665" xr:uid="{00000000-0005-0000-0000-000043850000}"/>
    <cellStyle name="Comma 16 2 3 2 2 9" xfId="39666" xr:uid="{00000000-0005-0000-0000-000044850000}"/>
    <cellStyle name="Comma 16 2 3 2 3" xfId="39667" xr:uid="{00000000-0005-0000-0000-000045850000}"/>
    <cellStyle name="Comma 16 2 3 2 3 2" xfId="39668" xr:uid="{00000000-0005-0000-0000-000046850000}"/>
    <cellStyle name="Comma 16 2 3 2 3 2 2" xfId="39669" xr:uid="{00000000-0005-0000-0000-000047850000}"/>
    <cellStyle name="Comma 16 2 3 2 3 2 3" xfId="39670" xr:uid="{00000000-0005-0000-0000-000048850000}"/>
    <cellStyle name="Comma 16 2 3 2 3 3" xfId="39671" xr:uid="{00000000-0005-0000-0000-000049850000}"/>
    <cellStyle name="Comma 16 2 3 2 3 3 2" xfId="39672" xr:uid="{00000000-0005-0000-0000-00004A850000}"/>
    <cellStyle name="Comma 16 2 3 2 3 3 3" xfId="39673" xr:uid="{00000000-0005-0000-0000-00004B850000}"/>
    <cellStyle name="Comma 16 2 3 2 3 4" xfId="39674" xr:uid="{00000000-0005-0000-0000-00004C850000}"/>
    <cellStyle name="Comma 16 2 3 2 3 4 2" xfId="39675" xr:uid="{00000000-0005-0000-0000-00004D850000}"/>
    <cellStyle name="Comma 16 2 3 2 3 5" xfId="39676" xr:uid="{00000000-0005-0000-0000-00004E850000}"/>
    <cellStyle name="Comma 16 2 3 2 3 6" xfId="39677" xr:uid="{00000000-0005-0000-0000-00004F850000}"/>
    <cellStyle name="Comma 16 2 3 2 4" xfId="39678" xr:uid="{00000000-0005-0000-0000-000050850000}"/>
    <cellStyle name="Comma 16 2 3 2 4 2" xfId="39679" xr:uid="{00000000-0005-0000-0000-000051850000}"/>
    <cellStyle name="Comma 16 2 3 2 4 2 2" xfId="39680" xr:uid="{00000000-0005-0000-0000-000052850000}"/>
    <cellStyle name="Comma 16 2 3 2 4 2 3" xfId="39681" xr:uid="{00000000-0005-0000-0000-000053850000}"/>
    <cellStyle name="Comma 16 2 3 2 4 3" xfId="39682" xr:uid="{00000000-0005-0000-0000-000054850000}"/>
    <cellStyle name="Comma 16 2 3 2 4 3 2" xfId="39683" xr:uid="{00000000-0005-0000-0000-000055850000}"/>
    <cellStyle name="Comma 16 2 3 2 4 3 3" xfId="39684" xr:uid="{00000000-0005-0000-0000-000056850000}"/>
    <cellStyle name="Comma 16 2 3 2 4 4" xfId="39685" xr:uid="{00000000-0005-0000-0000-000057850000}"/>
    <cellStyle name="Comma 16 2 3 2 4 4 2" xfId="39686" xr:uid="{00000000-0005-0000-0000-000058850000}"/>
    <cellStyle name="Comma 16 2 3 2 4 5" xfId="39687" xr:uid="{00000000-0005-0000-0000-000059850000}"/>
    <cellStyle name="Comma 16 2 3 2 4 6" xfId="39688" xr:uid="{00000000-0005-0000-0000-00005A850000}"/>
    <cellStyle name="Comma 16 2 3 2 5" xfId="39689" xr:uid="{00000000-0005-0000-0000-00005B850000}"/>
    <cellStyle name="Comma 16 2 3 2 5 2" xfId="39690" xr:uid="{00000000-0005-0000-0000-00005C850000}"/>
    <cellStyle name="Comma 16 2 3 2 5 2 2" xfId="39691" xr:uid="{00000000-0005-0000-0000-00005D850000}"/>
    <cellStyle name="Comma 16 2 3 2 5 2 3" xfId="39692" xr:uid="{00000000-0005-0000-0000-00005E850000}"/>
    <cellStyle name="Comma 16 2 3 2 5 3" xfId="39693" xr:uid="{00000000-0005-0000-0000-00005F850000}"/>
    <cellStyle name="Comma 16 2 3 2 5 3 2" xfId="39694" xr:uid="{00000000-0005-0000-0000-000060850000}"/>
    <cellStyle name="Comma 16 2 3 2 5 4" xfId="39695" xr:uid="{00000000-0005-0000-0000-000061850000}"/>
    <cellStyle name="Comma 16 2 3 2 5 5" xfId="39696" xr:uid="{00000000-0005-0000-0000-000062850000}"/>
    <cellStyle name="Comma 16 2 3 2 6" xfId="39697" xr:uid="{00000000-0005-0000-0000-000063850000}"/>
    <cellStyle name="Comma 16 2 3 2 6 2" xfId="39698" xr:uid="{00000000-0005-0000-0000-000064850000}"/>
    <cellStyle name="Comma 16 2 3 2 6 3" xfId="39699" xr:uid="{00000000-0005-0000-0000-000065850000}"/>
    <cellStyle name="Comma 16 2 3 2 7" xfId="39700" xr:uid="{00000000-0005-0000-0000-000066850000}"/>
    <cellStyle name="Comma 16 2 3 2 7 2" xfId="39701" xr:uid="{00000000-0005-0000-0000-000067850000}"/>
    <cellStyle name="Comma 16 2 3 2 7 3" xfId="39702" xr:uid="{00000000-0005-0000-0000-000068850000}"/>
    <cellStyle name="Comma 16 2 3 2 8" xfId="39703" xr:uid="{00000000-0005-0000-0000-000069850000}"/>
    <cellStyle name="Comma 16 2 3 2 8 2" xfId="39704" xr:uid="{00000000-0005-0000-0000-00006A850000}"/>
    <cellStyle name="Comma 16 2 3 2 9" xfId="39705" xr:uid="{00000000-0005-0000-0000-00006B850000}"/>
    <cellStyle name="Comma 16 2 3 3" xfId="39706" xr:uid="{00000000-0005-0000-0000-00006C850000}"/>
    <cellStyle name="Comma 16 2 3 3 2" xfId="39707" xr:uid="{00000000-0005-0000-0000-00006D850000}"/>
    <cellStyle name="Comma 16 2 3 3 2 2" xfId="39708" xr:uid="{00000000-0005-0000-0000-00006E850000}"/>
    <cellStyle name="Comma 16 2 3 3 2 2 2" xfId="39709" xr:uid="{00000000-0005-0000-0000-00006F850000}"/>
    <cellStyle name="Comma 16 2 3 3 2 2 3" xfId="39710" xr:uid="{00000000-0005-0000-0000-000070850000}"/>
    <cellStyle name="Comma 16 2 3 3 2 3" xfId="39711" xr:uid="{00000000-0005-0000-0000-000071850000}"/>
    <cellStyle name="Comma 16 2 3 3 2 3 2" xfId="39712" xr:uid="{00000000-0005-0000-0000-000072850000}"/>
    <cellStyle name="Comma 16 2 3 3 2 3 3" xfId="39713" xr:uid="{00000000-0005-0000-0000-000073850000}"/>
    <cellStyle name="Comma 16 2 3 3 2 4" xfId="39714" xr:uid="{00000000-0005-0000-0000-000074850000}"/>
    <cellStyle name="Comma 16 2 3 3 2 4 2" xfId="39715" xr:uid="{00000000-0005-0000-0000-000075850000}"/>
    <cellStyle name="Comma 16 2 3 3 2 5" xfId="39716" xr:uid="{00000000-0005-0000-0000-000076850000}"/>
    <cellStyle name="Comma 16 2 3 3 2 6" xfId="39717" xr:uid="{00000000-0005-0000-0000-000077850000}"/>
    <cellStyle name="Comma 16 2 3 3 3" xfId="39718" xr:uid="{00000000-0005-0000-0000-000078850000}"/>
    <cellStyle name="Comma 16 2 3 3 3 2" xfId="39719" xr:uid="{00000000-0005-0000-0000-000079850000}"/>
    <cellStyle name="Comma 16 2 3 3 3 2 2" xfId="39720" xr:uid="{00000000-0005-0000-0000-00007A850000}"/>
    <cellStyle name="Comma 16 2 3 3 3 2 3" xfId="39721" xr:uid="{00000000-0005-0000-0000-00007B850000}"/>
    <cellStyle name="Comma 16 2 3 3 3 3" xfId="39722" xr:uid="{00000000-0005-0000-0000-00007C850000}"/>
    <cellStyle name="Comma 16 2 3 3 3 3 2" xfId="39723" xr:uid="{00000000-0005-0000-0000-00007D850000}"/>
    <cellStyle name="Comma 16 2 3 3 3 3 3" xfId="39724" xr:uid="{00000000-0005-0000-0000-00007E850000}"/>
    <cellStyle name="Comma 16 2 3 3 3 4" xfId="39725" xr:uid="{00000000-0005-0000-0000-00007F850000}"/>
    <cellStyle name="Comma 16 2 3 3 3 4 2" xfId="39726" xr:uid="{00000000-0005-0000-0000-000080850000}"/>
    <cellStyle name="Comma 16 2 3 3 3 5" xfId="39727" xr:uid="{00000000-0005-0000-0000-000081850000}"/>
    <cellStyle name="Comma 16 2 3 3 3 6" xfId="39728" xr:uid="{00000000-0005-0000-0000-000082850000}"/>
    <cellStyle name="Comma 16 2 3 3 4" xfId="39729" xr:uid="{00000000-0005-0000-0000-000083850000}"/>
    <cellStyle name="Comma 16 2 3 3 4 2" xfId="39730" xr:uid="{00000000-0005-0000-0000-000084850000}"/>
    <cellStyle name="Comma 16 2 3 3 4 2 2" xfId="39731" xr:uid="{00000000-0005-0000-0000-000085850000}"/>
    <cellStyle name="Comma 16 2 3 3 4 2 3" xfId="39732" xr:uid="{00000000-0005-0000-0000-000086850000}"/>
    <cellStyle name="Comma 16 2 3 3 4 3" xfId="39733" xr:uid="{00000000-0005-0000-0000-000087850000}"/>
    <cellStyle name="Comma 16 2 3 3 4 3 2" xfId="39734" xr:uid="{00000000-0005-0000-0000-000088850000}"/>
    <cellStyle name="Comma 16 2 3 3 4 4" xfId="39735" xr:uid="{00000000-0005-0000-0000-000089850000}"/>
    <cellStyle name="Comma 16 2 3 3 4 5" xfId="39736" xr:uid="{00000000-0005-0000-0000-00008A850000}"/>
    <cellStyle name="Comma 16 2 3 3 5" xfId="39737" xr:uid="{00000000-0005-0000-0000-00008B850000}"/>
    <cellStyle name="Comma 16 2 3 3 5 2" xfId="39738" xr:uid="{00000000-0005-0000-0000-00008C850000}"/>
    <cellStyle name="Comma 16 2 3 3 5 3" xfId="39739" xr:uid="{00000000-0005-0000-0000-00008D850000}"/>
    <cellStyle name="Comma 16 2 3 3 6" xfId="39740" xr:uid="{00000000-0005-0000-0000-00008E850000}"/>
    <cellStyle name="Comma 16 2 3 3 6 2" xfId="39741" xr:uid="{00000000-0005-0000-0000-00008F850000}"/>
    <cellStyle name="Comma 16 2 3 3 6 3" xfId="39742" xr:uid="{00000000-0005-0000-0000-000090850000}"/>
    <cellStyle name="Comma 16 2 3 3 7" xfId="39743" xr:uid="{00000000-0005-0000-0000-000091850000}"/>
    <cellStyle name="Comma 16 2 3 3 7 2" xfId="39744" xr:uid="{00000000-0005-0000-0000-000092850000}"/>
    <cellStyle name="Comma 16 2 3 3 8" xfId="39745" xr:uid="{00000000-0005-0000-0000-000093850000}"/>
    <cellStyle name="Comma 16 2 3 3 9" xfId="39746" xr:uid="{00000000-0005-0000-0000-000094850000}"/>
    <cellStyle name="Comma 16 2 3 4" xfId="39747" xr:uid="{00000000-0005-0000-0000-000095850000}"/>
    <cellStyle name="Comma 16 2 3 4 2" xfId="39748" xr:uid="{00000000-0005-0000-0000-000096850000}"/>
    <cellStyle name="Comma 16 2 3 4 2 2" xfId="39749" xr:uid="{00000000-0005-0000-0000-000097850000}"/>
    <cellStyle name="Comma 16 2 3 4 2 2 2" xfId="39750" xr:uid="{00000000-0005-0000-0000-000098850000}"/>
    <cellStyle name="Comma 16 2 3 4 2 2 3" xfId="39751" xr:uid="{00000000-0005-0000-0000-000099850000}"/>
    <cellStyle name="Comma 16 2 3 4 2 3" xfId="39752" xr:uid="{00000000-0005-0000-0000-00009A850000}"/>
    <cellStyle name="Comma 16 2 3 4 2 3 2" xfId="39753" xr:uid="{00000000-0005-0000-0000-00009B850000}"/>
    <cellStyle name="Comma 16 2 3 4 2 3 3" xfId="39754" xr:uid="{00000000-0005-0000-0000-00009C850000}"/>
    <cellStyle name="Comma 16 2 3 4 2 4" xfId="39755" xr:uid="{00000000-0005-0000-0000-00009D850000}"/>
    <cellStyle name="Comma 16 2 3 4 2 4 2" xfId="39756" xr:uid="{00000000-0005-0000-0000-00009E850000}"/>
    <cellStyle name="Comma 16 2 3 4 2 5" xfId="39757" xr:uid="{00000000-0005-0000-0000-00009F850000}"/>
    <cellStyle name="Comma 16 2 3 4 2 6" xfId="39758" xr:uid="{00000000-0005-0000-0000-0000A0850000}"/>
    <cellStyle name="Comma 16 2 3 4 3" xfId="39759" xr:uid="{00000000-0005-0000-0000-0000A1850000}"/>
    <cellStyle name="Comma 16 2 3 4 3 2" xfId="39760" xr:uid="{00000000-0005-0000-0000-0000A2850000}"/>
    <cellStyle name="Comma 16 2 3 4 3 2 2" xfId="39761" xr:uid="{00000000-0005-0000-0000-0000A3850000}"/>
    <cellStyle name="Comma 16 2 3 4 3 2 3" xfId="39762" xr:uid="{00000000-0005-0000-0000-0000A4850000}"/>
    <cellStyle name="Comma 16 2 3 4 3 3" xfId="39763" xr:uid="{00000000-0005-0000-0000-0000A5850000}"/>
    <cellStyle name="Comma 16 2 3 4 3 3 2" xfId="39764" xr:uid="{00000000-0005-0000-0000-0000A6850000}"/>
    <cellStyle name="Comma 16 2 3 4 3 3 3" xfId="39765" xr:uid="{00000000-0005-0000-0000-0000A7850000}"/>
    <cellStyle name="Comma 16 2 3 4 3 4" xfId="39766" xr:uid="{00000000-0005-0000-0000-0000A8850000}"/>
    <cellStyle name="Comma 16 2 3 4 3 4 2" xfId="39767" xr:uid="{00000000-0005-0000-0000-0000A9850000}"/>
    <cellStyle name="Comma 16 2 3 4 3 5" xfId="39768" xr:uid="{00000000-0005-0000-0000-0000AA850000}"/>
    <cellStyle name="Comma 16 2 3 4 3 6" xfId="39769" xr:uid="{00000000-0005-0000-0000-0000AB850000}"/>
    <cellStyle name="Comma 16 2 3 4 4" xfId="39770" xr:uid="{00000000-0005-0000-0000-0000AC850000}"/>
    <cellStyle name="Comma 16 2 3 4 4 2" xfId="39771" xr:uid="{00000000-0005-0000-0000-0000AD850000}"/>
    <cellStyle name="Comma 16 2 3 4 4 2 2" xfId="39772" xr:uid="{00000000-0005-0000-0000-0000AE850000}"/>
    <cellStyle name="Comma 16 2 3 4 4 2 3" xfId="39773" xr:uid="{00000000-0005-0000-0000-0000AF850000}"/>
    <cellStyle name="Comma 16 2 3 4 4 3" xfId="39774" xr:uid="{00000000-0005-0000-0000-0000B0850000}"/>
    <cellStyle name="Comma 16 2 3 4 4 3 2" xfId="39775" xr:uid="{00000000-0005-0000-0000-0000B1850000}"/>
    <cellStyle name="Comma 16 2 3 4 4 4" xfId="39776" xr:uid="{00000000-0005-0000-0000-0000B2850000}"/>
    <cellStyle name="Comma 16 2 3 4 4 5" xfId="39777" xr:uid="{00000000-0005-0000-0000-0000B3850000}"/>
    <cellStyle name="Comma 16 2 3 4 5" xfId="39778" xr:uid="{00000000-0005-0000-0000-0000B4850000}"/>
    <cellStyle name="Comma 16 2 3 4 5 2" xfId="39779" xr:uid="{00000000-0005-0000-0000-0000B5850000}"/>
    <cellStyle name="Comma 16 2 3 4 5 3" xfId="39780" xr:uid="{00000000-0005-0000-0000-0000B6850000}"/>
    <cellStyle name="Comma 16 2 3 4 6" xfId="39781" xr:uid="{00000000-0005-0000-0000-0000B7850000}"/>
    <cellStyle name="Comma 16 2 3 4 6 2" xfId="39782" xr:uid="{00000000-0005-0000-0000-0000B8850000}"/>
    <cellStyle name="Comma 16 2 3 4 6 3" xfId="39783" xr:uid="{00000000-0005-0000-0000-0000B9850000}"/>
    <cellStyle name="Comma 16 2 3 4 7" xfId="39784" xr:uid="{00000000-0005-0000-0000-0000BA850000}"/>
    <cellStyle name="Comma 16 2 3 4 7 2" xfId="39785" xr:uid="{00000000-0005-0000-0000-0000BB850000}"/>
    <cellStyle name="Comma 16 2 3 4 8" xfId="39786" xr:uid="{00000000-0005-0000-0000-0000BC850000}"/>
    <cellStyle name="Comma 16 2 3 4 9" xfId="39787" xr:uid="{00000000-0005-0000-0000-0000BD850000}"/>
    <cellStyle name="Comma 16 2 3 5" xfId="39788" xr:uid="{00000000-0005-0000-0000-0000BE850000}"/>
    <cellStyle name="Comma 16 2 3 5 2" xfId="39789" xr:uid="{00000000-0005-0000-0000-0000BF850000}"/>
    <cellStyle name="Comma 16 2 3 5 2 2" xfId="39790" xr:uid="{00000000-0005-0000-0000-0000C0850000}"/>
    <cellStyle name="Comma 16 2 3 5 2 3" xfId="39791" xr:uid="{00000000-0005-0000-0000-0000C1850000}"/>
    <cellStyle name="Comma 16 2 3 5 3" xfId="39792" xr:uid="{00000000-0005-0000-0000-0000C2850000}"/>
    <cellStyle name="Comma 16 2 3 5 3 2" xfId="39793" xr:uid="{00000000-0005-0000-0000-0000C3850000}"/>
    <cellStyle name="Comma 16 2 3 5 3 3" xfId="39794" xr:uid="{00000000-0005-0000-0000-0000C4850000}"/>
    <cellStyle name="Comma 16 2 3 5 4" xfId="39795" xr:uid="{00000000-0005-0000-0000-0000C5850000}"/>
    <cellStyle name="Comma 16 2 3 5 4 2" xfId="39796" xr:uid="{00000000-0005-0000-0000-0000C6850000}"/>
    <cellStyle name="Comma 16 2 3 5 5" xfId="39797" xr:uid="{00000000-0005-0000-0000-0000C7850000}"/>
    <cellStyle name="Comma 16 2 3 5 6" xfId="39798" xr:uid="{00000000-0005-0000-0000-0000C8850000}"/>
    <cellStyle name="Comma 16 2 3 6" xfId="39799" xr:uid="{00000000-0005-0000-0000-0000C9850000}"/>
    <cellStyle name="Comma 16 2 3 6 2" xfId="39800" xr:uid="{00000000-0005-0000-0000-0000CA850000}"/>
    <cellStyle name="Comma 16 2 3 6 2 2" xfId="39801" xr:uid="{00000000-0005-0000-0000-0000CB850000}"/>
    <cellStyle name="Comma 16 2 3 6 2 3" xfId="39802" xr:uid="{00000000-0005-0000-0000-0000CC850000}"/>
    <cellStyle name="Comma 16 2 3 6 3" xfId="39803" xr:uid="{00000000-0005-0000-0000-0000CD850000}"/>
    <cellStyle name="Comma 16 2 3 6 3 2" xfId="39804" xr:uid="{00000000-0005-0000-0000-0000CE850000}"/>
    <cellStyle name="Comma 16 2 3 6 3 3" xfId="39805" xr:uid="{00000000-0005-0000-0000-0000CF850000}"/>
    <cellStyle name="Comma 16 2 3 6 4" xfId="39806" xr:uid="{00000000-0005-0000-0000-0000D0850000}"/>
    <cellStyle name="Comma 16 2 3 6 4 2" xfId="39807" xr:uid="{00000000-0005-0000-0000-0000D1850000}"/>
    <cellStyle name="Comma 16 2 3 6 5" xfId="39808" xr:uid="{00000000-0005-0000-0000-0000D2850000}"/>
    <cellStyle name="Comma 16 2 3 6 6" xfId="39809" xr:uid="{00000000-0005-0000-0000-0000D3850000}"/>
    <cellStyle name="Comma 16 2 3 7" xfId="39810" xr:uid="{00000000-0005-0000-0000-0000D4850000}"/>
    <cellStyle name="Comma 16 2 3 7 2" xfId="39811" xr:uid="{00000000-0005-0000-0000-0000D5850000}"/>
    <cellStyle name="Comma 16 2 3 7 2 2" xfId="39812" xr:uid="{00000000-0005-0000-0000-0000D6850000}"/>
    <cellStyle name="Comma 16 2 3 7 2 3" xfId="39813" xr:uid="{00000000-0005-0000-0000-0000D7850000}"/>
    <cellStyle name="Comma 16 2 3 7 3" xfId="39814" xr:uid="{00000000-0005-0000-0000-0000D8850000}"/>
    <cellStyle name="Comma 16 2 3 7 3 2" xfId="39815" xr:uid="{00000000-0005-0000-0000-0000D9850000}"/>
    <cellStyle name="Comma 16 2 3 7 4" xfId="39816" xr:uid="{00000000-0005-0000-0000-0000DA850000}"/>
    <cellStyle name="Comma 16 2 3 7 5" xfId="39817" xr:uid="{00000000-0005-0000-0000-0000DB850000}"/>
    <cellStyle name="Comma 16 2 3 8" xfId="39818" xr:uid="{00000000-0005-0000-0000-0000DC850000}"/>
    <cellStyle name="Comma 16 2 3 8 2" xfId="39819" xr:uid="{00000000-0005-0000-0000-0000DD850000}"/>
    <cellStyle name="Comma 16 2 3 8 3" xfId="39820" xr:uid="{00000000-0005-0000-0000-0000DE850000}"/>
    <cellStyle name="Comma 16 2 3 9" xfId="39821" xr:uid="{00000000-0005-0000-0000-0000DF850000}"/>
    <cellStyle name="Comma 16 2 3 9 2" xfId="39822" xr:uid="{00000000-0005-0000-0000-0000E0850000}"/>
    <cellStyle name="Comma 16 2 3 9 3" xfId="39823" xr:uid="{00000000-0005-0000-0000-0000E1850000}"/>
    <cellStyle name="Comma 16 2 4" xfId="39824" xr:uid="{00000000-0005-0000-0000-0000E2850000}"/>
    <cellStyle name="Comma 16 2 4 10" xfId="39825" xr:uid="{00000000-0005-0000-0000-0000E3850000}"/>
    <cellStyle name="Comma 16 2 4 2" xfId="39826" xr:uid="{00000000-0005-0000-0000-0000E4850000}"/>
    <cellStyle name="Comma 16 2 4 2 2" xfId="39827" xr:uid="{00000000-0005-0000-0000-0000E5850000}"/>
    <cellStyle name="Comma 16 2 4 2 2 2" xfId="39828" xr:uid="{00000000-0005-0000-0000-0000E6850000}"/>
    <cellStyle name="Comma 16 2 4 2 2 2 2" xfId="39829" xr:uid="{00000000-0005-0000-0000-0000E7850000}"/>
    <cellStyle name="Comma 16 2 4 2 2 2 3" xfId="39830" xr:uid="{00000000-0005-0000-0000-0000E8850000}"/>
    <cellStyle name="Comma 16 2 4 2 2 3" xfId="39831" xr:uid="{00000000-0005-0000-0000-0000E9850000}"/>
    <cellStyle name="Comma 16 2 4 2 2 3 2" xfId="39832" xr:uid="{00000000-0005-0000-0000-0000EA850000}"/>
    <cellStyle name="Comma 16 2 4 2 2 3 3" xfId="39833" xr:uid="{00000000-0005-0000-0000-0000EB850000}"/>
    <cellStyle name="Comma 16 2 4 2 2 4" xfId="39834" xr:uid="{00000000-0005-0000-0000-0000EC850000}"/>
    <cellStyle name="Comma 16 2 4 2 2 4 2" xfId="39835" xr:uid="{00000000-0005-0000-0000-0000ED850000}"/>
    <cellStyle name="Comma 16 2 4 2 2 5" xfId="39836" xr:uid="{00000000-0005-0000-0000-0000EE850000}"/>
    <cellStyle name="Comma 16 2 4 2 2 6" xfId="39837" xr:uid="{00000000-0005-0000-0000-0000EF850000}"/>
    <cellStyle name="Comma 16 2 4 2 3" xfId="39838" xr:uid="{00000000-0005-0000-0000-0000F0850000}"/>
    <cellStyle name="Comma 16 2 4 2 3 2" xfId="39839" xr:uid="{00000000-0005-0000-0000-0000F1850000}"/>
    <cellStyle name="Comma 16 2 4 2 3 2 2" xfId="39840" xr:uid="{00000000-0005-0000-0000-0000F2850000}"/>
    <cellStyle name="Comma 16 2 4 2 3 2 3" xfId="39841" xr:uid="{00000000-0005-0000-0000-0000F3850000}"/>
    <cellStyle name="Comma 16 2 4 2 3 3" xfId="39842" xr:uid="{00000000-0005-0000-0000-0000F4850000}"/>
    <cellStyle name="Comma 16 2 4 2 3 3 2" xfId="39843" xr:uid="{00000000-0005-0000-0000-0000F5850000}"/>
    <cellStyle name="Comma 16 2 4 2 3 3 3" xfId="39844" xr:uid="{00000000-0005-0000-0000-0000F6850000}"/>
    <cellStyle name="Comma 16 2 4 2 3 4" xfId="39845" xr:uid="{00000000-0005-0000-0000-0000F7850000}"/>
    <cellStyle name="Comma 16 2 4 2 3 4 2" xfId="39846" xr:uid="{00000000-0005-0000-0000-0000F8850000}"/>
    <cellStyle name="Comma 16 2 4 2 3 5" xfId="39847" xr:uid="{00000000-0005-0000-0000-0000F9850000}"/>
    <cellStyle name="Comma 16 2 4 2 3 6" xfId="39848" xr:uid="{00000000-0005-0000-0000-0000FA850000}"/>
    <cellStyle name="Comma 16 2 4 2 4" xfId="39849" xr:uid="{00000000-0005-0000-0000-0000FB850000}"/>
    <cellStyle name="Comma 16 2 4 2 4 2" xfId="39850" xr:uid="{00000000-0005-0000-0000-0000FC850000}"/>
    <cellStyle name="Comma 16 2 4 2 4 2 2" xfId="39851" xr:uid="{00000000-0005-0000-0000-0000FD850000}"/>
    <cellStyle name="Comma 16 2 4 2 4 2 3" xfId="39852" xr:uid="{00000000-0005-0000-0000-0000FE850000}"/>
    <cellStyle name="Comma 16 2 4 2 4 3" xfId="39853" xr:uid="{00000000-0005-0000-0000-0000FF850000}"/>
    <cellStyle name="Comma 16 2 4 2 4 3 2" xfId="39854" xr:uid="{00000000-0005-0000-0000-000000860000}"/>
    <cellStyle name="Comma 16 2 4 2 4 4" xfId="39855" xr:uid="{00000000-0005-0000-0000-000001860000}"/>
    <cellStyle name="Comma 16 2 4 2 4 5" xfId="39856" xr:uid="{00000000-0005-0000-0000-000002860000}"/>
    <cellStyle name="Comma 16 2 4 2 5" xfId="39857" xr:uid="{00000000-0005-0000-0000-000003860000}"/>
    <cellStyle name="Comma 16 2 4 2 5 2" xfId="39858" xr:uid="{00000000-0005-0000-0000-000004860000}"/>
    <cellStyle name="Comma 16 2 4 2 5 3" xfId="39859" xr:uid="{00000000-0005-0000-0000-000005860000}"/>
    <cellStyle name="Comma 16 2 4 2 6" xfId="39860" xr:uid="{00000000-0005-0000-0000-000006860000}"/>
    <cellStyle name="Comma 16 2 4 2 6 2" xfId="39861" xr:uid="{00000000-0005-0000-0000-000007860000}"/>
    <cellStyle name="Comma 16 2 4 2 6 3" xfId="39862" xr:uid="{00000000-0005-0000-0000-000008860000}"/>
    <cellStyle name="Comma 16 2 4 2 7" xfId="39863" xr:uid="{00000000-0005-0000-0000-000009860000}"/>
    <cellStyle name="Comma 16 2 4 2 7 2" xfId="39864" xr:uid="{00000000-0005-0000-0000-00000A860000}"/>
    <cellStyle name="Comma 16 2 4 2 8" xfId="39865" xr:uid="{00000000-0005-0000-0000-00000B860000}"/>
    <cellStyle name="Comma 16 2 4 2 9" xfId="39866" xr:uid="{00000000-0005-0000-0000-00000C860000}"/>
    <cellStyle name="Comma 16 2 4 3" xfId="39867" xr:uid="{00000000-0005-0000-0000-00000D860000}"/>
    <cellStyle name="Comma 16 2 4 3 2" xfId="39868" xr:uid="{00000000-0005-0000-0000-00000E860000}"/>
    <cellStyle name="Comma 16 2 4 3 2 2" xfId="39869" xr:uid="{00000000-0005-0000-0000-00000F860000}"/>
    <cellStyle name="Comma 16 2 4 3 2 3" xfId="39870" xr:uid="{00000000-0005-0000-0000-000010860000}"/>
    <cellStyle name="Comma 16 2 4 3 3" xfId="39871" xr:uid="{00000000-0005-0000-0000-000011860000}"/>
    <cellStyle name="Comma 16 2 4 3 3 2" xfId="39872" xr:uid="{00000000-0005-0000-0000-000012860000}"/>
    <cellStyle name="Comma 16 2 4 3 3 3" xfId="39873" xr:uid="{00000000-0005-0000-0000-000013860000}"/>
    <cellStyle name="Comma 16 2 4 3 4" xfId="39874" xr:uid="{00000000-0005-0000-0000-000014860000}"/>
    <cellStyle name="Comma 16 2 4 3 4 2" xfId="39875" xr:uid="{00000000-0005-0000-0000-000015860000}"/>
    <cellStyle name="Comma 16 2 4 3 5" xfId="39876" xr:uid="{00000000-0005-0000-0000-000016860000}"/>
    <cellStyle name="Comma 16 2 4 3 6" xfId="39877" xr:uid="{00000000-0005-0000-0000-000017860000}"/>
    <cellStyle name="Comma 16 2 4 4" xfId="39878" xr:uid="{00000000-0005-0000-0000-000018860000}"/>
    <cellStyle name="Comma 16 2 4 4 2" xfId="39879" xr:uid="{00000000-0005-0000-0000-000019860000}"/>
    <cellStyle name="Comma 16 2 4 4 2 2" xfId="39880" xr:uid="{00000000-0005-0000-0000-00001A860000}"/>
    <cellStyle name="Comma 16 2 4 4 2 3" xfId="39881" xr:uid="{00000000-0005-0000-0000-00001B860000}"/>
    <cellStyle name="Comma 16 2 4 4 3" xfId="39882" xr:uid="{00000000-0005-0000-0000-00001C860000}"/>
    <cellStyle name="Comma 16 2 4 4 3 2" xfId="39883" xr:uid="{00000000-0005-0000-0000-00001D860000}"/>
    <cellStyle name="Comma 16 2 4 4 3 3" xfId="39884" xr:uid="{00000000-0005-0000-0000-00001E860000}"/>
    <cellStyle name="Comma 16 2 4 4 4" xfId="39885" xr:uid="{00000000-0005-0000-0000-00001F860000}"/>
    <cellStyle name="Comma 16 2 4 4 4 2" xfId="39886" xr:uid="{00000000-0005-0000-0000-000020860000}"/>
    <cellStyle name="Comma 16 2 4 4 5" xfId="39887" xr:uid="{00000000-0005-0000-0000-000021860000}"/>
    <cellStyle name="Comma 16 2 4 4 6" xfId="39888" xr:uid="{00000000-0005-0000-0000-000022860000}"/>
    <cellStyle name="Comma 16 2 4 5" xfId="39889" xr:uid="{00000000-0005-0000-0000-000023860000}"/>
    <cellStyle name="Comma 16 2 4 5 2" xfId="39890" xr:uid="{00000000-0005-0000-0000-000024860000}"/>
    <cellStyle name="Comma 16 2 4 5 2 2" xfId="39891" xr:uid="{00000000-0005-0000-0000-000025860000}"/>
    <cellStyle name="Comma 16 2 4 5 2 3" xfId="39892" xr:uid="{00000000-0005-0000-0000-000026860000}"/>
    <cellStyle name="Comma 16 2 4 5 3" xfId="39893" xr:uid="{00000000-0005-0000-0000-000027860000}"/>
    <cellStyle name="Comma 16 2 4 5 3 2" xfId="39894" xr:uid="{00000000-0005-0000-0000-000028860000}"/>
    <cellStyle name="Comma 16 2 4 5 4" xfId="39895" xr:uid="{00000000-0005-0000-0000-000029860000}"/>
    <cellStyle name="Comma 16 2 4 5 5" xfId="39896" xr:uid="{00000000-0005-0000-0000-00002A860000}"/>
    <cellStyle name="Comma 16 2 4 6" xfId="39897" xr:uid="{00000000-0005-0000-0000-00002B860000}"/>
    <cellStyle name="Comma 16 2 4 6 2" xfId="39898" xr:uid="{00000000-0005-0000-0000-00002C860000}"/>
    <cellStyle name="Comma 16 2 4 6 3" xfId="39899" xr:uid="{00000000-0005-0000-0000-00002D860000}"/>
    <cellStyle name="Comma 16 2 4 7" xfId="39900" xr:uid="{00000000-0005-0000-0000-00002E860000}"/>
    <cellStyle name="Comma 16 2 4 7 2" xfId="39901" xr:uid="{00000000-0005-0000-0000-00002F860000}"/>
    <cellStyle name="Comma 16 2 4 7 3" xfId="39902" xr:uid="{00000000-0005-0000-0000-000030860000}"/>
    <cellStyle name="Comma 16 2 4 8" xfId="39903" xr:uid="{00000000-0005-0000-0000-000031860000}"/>
    <cellStyle name="Comma 16 2 4 8 2" xfId="39904" xr:uid="{00000000-0005-0000-0000-000032860000}"/>
    <cellStyle name="Comma 16 2 4 9" xfId="39905" xr:uid="{00000000-0005-0000-0000-000033860000}"/>
    <cellStyle name="Comma 16 2 5" xfId="39906" xr:uid="{00000000-0005-0000-0000-000034860000}"/>
    <cellStyle name="Comma 16 2 5 2" xfId="39907" xr:uid="{00000000-0005-0000-0000-000035860000}"/>
    <cellStyle name="Comma 16 2 5 2 2" xfId="39908" xr:uid="{00000000-0005-0000-0000-000036860000}"/>
    <cellStyle name="Comma 16 2 5 2 2 2" xfId="39909" xr:uid="{00000000-0005-0000-0000-000037860000}"/>
    <cellStyle name="Comma 16 2 5 2 2 3" xfId="39910" xr:uid="{00000000-0005-0000-0000-000038860000}"/>
    <cellStyle name="Comma 16 2 5 2 3" xfId="39911" xr:uid="{00000000-0005-0000-0000-000039860000}"/>
    <cellStyle name="Comma 16 2 5 2 3 2" xfId="39912" xr:uid="{00000000-0005-0000-0000-00003A860000}"/>
    <cellStyle name="Comma 16 2 5 2 3 3" xfId="39913" xr:uid="{00000000-0005-0000-0000-00003B860000}"/>
    <cellStyle name="Comma 16 2 5 2 4" xfId="39914" xr:uid="{00000000-0005-0000-0000-00003C860000}"/>
    <cellStyle name="Comma 16 2 5 2 4 2" xfId="39915" xr:uid="{00000000-0005-0000-0000-00003D860000}"/>
    <cellStyle name="Comma 16 2 5 2 5" xfId="39916" xr:uid="{00000000-0005-0000-0000-00003E860000}"/>
    <cellStyle name="Comma 16 2 5 2 6" xfId="39917" xr:uid="{00000000-0005-0000-0000-00003F860000}"/>
    <cellStyle name="Comma 16 2 5 3" xfId="39918" xr:uid="{00000000-0005-0000-0000-000040860000}"/>
    <cellStyle name="Comma 16 2 5 3 2" xfId="39919" xr:uid="{00000000-0005-0000-0000-000041860000}"/>
    <cellStyle name="Comma 16 2 5 3 2 2" xfId="39920" xr:uid="{00000000-0005-0000-0000-000042860000}"/>
    <cellStyle name="Comma 16 2 5 3 2 3" xfId="39921" xr:uid="{00000000-0005-0000-0000-000043860000}"/>
    <cellStyle name="Comma 16 2 5 3 3" xfId="39922" xr:uid="{00000000-0005-0000-0000-000044860000}"/>
    <cellStyle name="Comma 16 2 5 3 3 2" xfId="39923" xr:uid="{00000000-0005-0000-0000-000045860000}"/>
    <cellStyle name="Comma 16 2 5 3 3 3" xfId="39924" xr:uid="{00000000-0005-0000-0000-000046860000}"/>
    <cellStyle name="Comma 16 2 5 3 4" xfId="39925" xr:uid="{00000000-0005-0000-0000-000047860000}"/>
    <cellStyle name="Comma 16 2 5 3 4 2" xfId="39926" xr:uid="{00000000-0005-0000-0000-000048860000}"/>
    <cellStyle name="Comma 16 2 5 3 5" xfId="39927" xr:uid="{00000000-0005-0000-0000-000049860000}"/>
    <cellStyle name="Comma 16 2 5 3 6" xfId="39928" xr:uid="{00000000-0005-0000-0000-00004A860000}"/>
    <cellStyle name="Comma 16 2 5 4" xfId="39929" xr:uid="{00000000-0005-0000-0000-00004B860000}"/>
    <cellStyle name="Comma 16 2 5 4 2" xfId="39930" xr:uid="{00000000-0005-0000-0000-00004C860000}"/>
    <cellStyle name="Comma 16 2 5 4 2 2" xfId="39931" xr:uid="{00000000-0005-0000-0000-00004D860000}"/>
    <cellStyle name="Comma 16 2 5 4 2 3" xfId="39932" xr:uid="{00000000-0005-0000-0000-00004E860000}"/>
    <cellStyle name="Comma 16 2 5 4 3" xfId="39933" xr:uid="{00000000-0005-0000-0000-00004F860000}"/>
    <cellStyle name="Comma 16 2 5 4 3 2" xfId="39934" xr:uid="{00000000-0005-0000-0000-000050860000}"/>
    <cellStyle name="Comma 16 2 5 4 4" xfId="39935" xr:uid="{00000000-0005-0000-0000-000051860000}"/>
    <cellStyle name="Comma 16 2 5 4 5" xfId="39936" xr:uid="{00000000-0005-0000-0000-000052860000}"/>
    <cellStyle name="Comma 16 2 5 5" xfId="39937" xr:uid="{00000000-0005-0000-0000-000053860000}"/>
    <cellStyle name="Comma 16 2 5 5 2" xfId="39938" xr:uid="{00000000-0005-0000-0000-000054860000}"/>
    <cellStyle name="Comma 16 2 5 5 3" xfId="39939" xr:uid="{00000000-0005-0000-0000-000055860000}"/>
    <cellStyle name="Comma 16 2 5 6" xfId="39940" xr:uid="{00000000-0005-0000-0000-000056860000}"/>
    <cellStyle name="Comma 16 2 5 6 2" xfId="39941" xr:uid="{00000000-0005-0000-0000-000057860000}"/>
    <cellStyle name="Comma 16 2 5 6 3" xfId="39942" xr:uid="{00000000-0005-0000-0000-000058860000}"/>
    <cellStyle name="Comma 16 2 5 7" xfId="39943" xr:uid="{00000000-0005-0000-0000-000059860000}"/>
    <cellStyle name="Comma 16 2 5 7 2" xfId="39944" xr:uid="{00000000-0005-0000-0000-00005A860000}"/>
    <cellStyle name="Comma 16 2 5 8" xfId="39945" xr:uid="{00000000-0005-0000-0000-00005B860000}"/>
    <cellStyle name="Comma 16 2 5 9" xfId="39946" xr:uid="{00000000-0005-0000-0000-00005C860000}"/>
    <cellStyle name="Comma 16 2 6" xfId="39947" xr:uid="{00000000-0005-0000-0000-00005D860000}"/>
    <cellStyle name="Comma 16 2 6 2" xfId="39948" xr:uid="{00000000-0005-0000-0000-00005E860000}"/>
    <cellStyle name="Comma 16 2 6 2 2" xfId="39949" xr:uid="{00000000-0005-0000-0000-00005F860000}"/>
    <cellStyle name="Comma 16 2 6 2 2 2" xfId="39950" xr:uid="{00000000-0005-0000-0000-000060860000}"/>
    <cellStyle name="Comma 16 2 6 2 2 3" xfId="39951" xr:uid="{00000000-0005-0000-0000-000061860000}"/>
    <cellStyle name="Comma 16 2 6 2 3" xfId="39952" xr:uid="{00000000-0005-0000-0000-000062860000}"/>
    <cellStyle name="Comma 16 2 6 2 3 2" xfId="39953" xr:uid="{00000000-0005-0000-0000-000063860000}"/>
    <cellStyle name="Comma 16 2 6 2 3 3" xfId="39954" xr:uid="{00000000-0005-0000-0000-000064860000}"/>
    <cellStyle name="Comma 16 2 6 2 4" xfId="39955" xr:uid="{00000000-0005-0000-0000-000065860000}"/>
    <cellStyle name="Comma 16 2 6 2 4 2" xfId="39956" xr:uid="{00000000-0005-0000-0000-000066860000}"/>
    <cellStyle name="Comma 16 2 6 2 5" xfId="39957" xr:uid="{00000000-0005-0000-0000-000067860000}"/>
    <cellStyle name="Comma 16 2 6 2 6" xfId="39958" xr:uid="{00000000-0005-0000-0000-000068860000}"/>
    <cellStyle name="Comma 16 2 6 3" xfId="39959" xr:uid="{00000000-0005-0000-0000-000069860000}"/>
    <cellStyle name="Comma 16 2 6 3 2" xfId="39960" xr:uid="{00000000-0005-0000-0000-00006A860000}"/>
    <cellStyle name="Comma 16 2 6 3 2 2" xfId="39961" xr:uid="{00000000-0005-0000-0000-00006B860000}"/>
    <cellStyle name="Comma 16 2 6 3 2 3" xfId="39962" xr:uid="{00000000-0005-0000-0000-00006C860000}"/>
    <cellStyle name="Comma 16 2 6 3 3" xfId="39963" xr:uid="{00000000-0005-0000-0000-00006D860000}"/>
    <cellStyle name="Comma 16 2 6 3 3 2" xfId="39964" xr:uid="{00000000-0005-0000-0000-00006E860000}"/>
    <cellStyle name="Comma 16 2 6 3 3 3" xfId="39965" xr:uid="{00000000-0005-0000-0000-00006F860000}"/>
    <cellStyle name="Comma 16 2 6 3 4" xfId="39966" xr:uid="{00000000-0005-0000-0000-000070860000}"/>
    <cellStyle name="Comma 16 2 6 3 4 2" xfId="39967" xr:uid="{00000000-0005-0000-0000-000071860000}"/>
    <cellStyle name="Comma 16 2 6 3 5" xfId="39968" xr:uid="{00000000-0005-0000-0000-000072860000}"/>
    <cellStyle name="Comma 16 2 6 3 6" xfId="39969" xr:uid="{00000000-0005-0000-0000-000073860000}"/>
    <cellStyle name="Comma 16 2 6 4" xfId="39970" xr:uid="{00000000-0005-0000-0000-000074860000}"/>
    <cellStyle name="Comma 16 2 6 4 2" xfId="39971" xr:uid="{00000000-0005-0000-0000-000075860000}"/>
    <cellStyle name="Comma 16 2 6 4 2 2" xfId="39972" xr:uid="{00000000-0005-0000-0000-000076860000}"/>
    <cellStyle name="Comma 16 2 6 4 2 3" xfId="39973" xr:uid="{00000000-0005-0000-0000-000077860000}"/>
    <cellStyle name="Comma 16 2 6 4 3" xfId="39974" xr:uid="{00000000-0005-0000-0000-000078860000}"/>
    <cellStyle name="Comma 16 2 6 4 3 2" xfId="39975" xr:uid="{00000000-0005-0000-0000-000079860000}"/>
    <cellStyle name="Comma 16 2 6 4 4" xfId="39976" xr:uid="{00000000-0005-0000-0000-00007A860000}"/>
    <cellStyle name="Comma 16 2 6 4 5" xfId="39977" xr:uid="{00000000-0005-0000-0000-00007B860000}"/>
    <cellStyle name="Comma 16 2 6 5" xfId="39978" xr:uid="{00000000-0005-0000-0000-00007C860000}"/>
    <cellStyle name="Comma 16 2 6 5 2" xfId="39979" xr:uid="{00000000-0005-0000-0000-00007D860000}"/>
    <cellStyle name="Comma 16 2 6 5 3" xfId="39980" xr:uid="{00000000-0005-0000-0000-00007E860000}"/>
    <cellStyle name="Comma 16 2 6 6" xfId="39981" xr:uid="{00000000-0005-0000-0000-00007F860000}"/>
    <cellStyle name="Comma 16 2 6 6 2" xfId="39982" xr:uid="{00000000-0005-0000-0000-000080860000}"/>
    <cellStyle name="Comma 16 2 6 6 3" xfId="39983" xr:uid="{00000000-0005-0000-0000-000081860000}"/>
    <cellStyle name="Comma 16 2 6 7" xfId="39984" xr:uid="{00000000-0005-0000-0000-000082860000}"/>
    <cellStyle name="Comma 16 2 6 7 2" xfId="39985" xr:uid="{00000000-0005-0000-0000-000083860000}"/>
    <cellStyle name="Comma 16 2 6 8" xfId="39986" xr:uid="{00000000-0005-0000-0000-000084860000}"/>
    <cellStyle name="Comma 16 2 6 9" xfId="39987" xr:uid="{00000000-0005-0000-0000-000085860000}"/>
    <cellStyle name="Comma 16 2 7" xfId="39988" xr:uid="{00000000-0005-0000-0000-000086860000}"/>
    <cellStyle name="Comma 16 2 7 2" xfId="39989" xr:uid="{00000000-0005-0000-0000-000087860000}"/>
    <cellStyle name="Comma 16 2 7 2 2" xfId="39990" xr:uid="{00000000-0005-0000-0000-000088860000}"/>
    <cellStyle name="Comma 16 2 7 2 3" xfId="39991" xr:uid="{00000000-0005-0000-0000-000089860000}"/>
    <cellStyle name="Comma 16 2 7 3" xfId="39992" xr:uid="{00000000-0005-0000-0000-00008A860000}"/>
    <cellStyle name="Comma 16 2 7 3 2" xfId="39993" xr:uid="{00000000-0005-0000-0000-00008B860000}"/>
    <cellStyle name="Comma 16 2 7 3 3" xfId="39994" xr:uid="{00000000-0005-0000-0000-00008C860000}"/>
    <cellStyle name="Comma 16 2 7 4" xfId="39995" xr:uid="{00000000-0005-0000-0000-00008D860000}"/>
    <cellStyle name="Comma 16 2 7 4 2" xfId="39996" xr:uid="{00000000-0005-0000-0000-00008E860000}"/>
    <cellStyle name="Comma 16 2 7 5" xfId="39997" xr:uid="{00000000-0005-0000-0000-00008F860000}"/>
    <cellStyle name="Comma 16 2 7 6" xfId="39998" xr:uid="{00000000-0005-0000-0000-000090860000}"/>
    <cellStyle name="Comma 16 2 8" xfId="39999" xr:uid="{00000000-0005-0000-0000-000091860000}"/>
    <cellStyle name="Comma 16 2 8 2" xfId="40000" xr:uid="{00000000-0005-0000-0000-000092860000}"/>
    <cellStyle name="Comma 16 2 8 2 2" xfId="40001" xr:uid="{00000000-0005-0000-0000-000093860000}"/>
    <cellStyle name="Comma 16 2 8 2 3" xfId="40002" xr:uid="{00000000-0005-0000-0000-000094860000}"/>
    <cellStyle name="Comma 16 2 8 3" xfId="40003" xr:uid="{00000000-0005-0000-0000-000095860000}"/>
    <cellStyle name="Comma 16 2 8 3 2" xfId="40004" xr:uid="{00000000-0005-0000-0000-000096860000}"/>
    <cellStyle name="Comma 16 2 8 3 3" xfId="40005" xr:uid="{00000000-0005-0000-0000-000097860000}"/>
    <cellStyle name="Comma 16 2 8 4" xfId="40006" xr:uid="{00000000-0005-0000-0000-000098860000}"/>
    <cellStyle name="Comma 16 2 8 4 2" xfId="40007" xr:uid="{00000000-0005-0000-0000-000099860000}"/>
    <cellStyle name="Comma 16 2 8 5" xfId="40008" xr:uid="{00000000-0005-0000-0000-00009A860000}"/>
    <cellStyle name="Comma 16 2 8 6" xfId="40009" xr:uid="{00000000-0005-0000-0000-00009B860000}"/>
    <cellStyle name="Comma 16 2 9" xfId="40010" xr:uid="{00000000-0005-0000-0000-00009C860000}"/>
    <cellStyle name="Comma 16 2 9 2" xfId="40011" xr:uid="{00000000-0005-0000-0000-00009D860000}"/>
    <cellStyle name="Comma 16 2 9 2 2" xfId="40012" xr:uid="{00000000-0005-0000-0000-00009E860000}"/>
    <cellStyle name="Comma 16 2 9 2 3" xfId="40013" xr:uid="{00000000-0005-0000-0000-00009F860000}"/>
    <cellStyle name="Comma 16 2 9 3" xfId="40014" xr:uid="{00000000-0005-0000-0000-0000A0860000}"/>
    <cellStyle name="Comma 16 2 9 3 2" xfId="40015" xr:uid="{00000000-0005-0000-0000-0000A1860000}"/>
    <cellStyle name="Comma 16 2 9 4" xfId="40016" xr:uid="{00000000-0005-0000-0000-0000A2860000}"/>
    <cellStyle name="Comma 16 2 9 5" xfId="40017" xr:uid="{00000000-0005-0000-0000-0000A3860000}"/>
    <cellStyle name="Comma 16 3" xfId="40018" xr:uid="{00000000-0005-0000-0000-0000A4860000}"/>
    <cellStyle name="Comma 16 3 10" xfId="40019" xr:uid="{00000000-0005-0000-0000-0000A5860000}"/>
    <cellStyle name="Comma 16 3 10 2" xfId="40020" xr:uid="{00000000-0005-0000-0000-0000A6860000}"/>
    <cellStyle name="Comma 16 3 10 3" xfId="40021" xr:uid="{00000000-0005-0000-0000-0000A7860000}"/>
    <cellStyle name="Comma 16 3 11" xfId="40022" xr:uid="{00000000-0005-0000-0000-0000A8860000}"/>
    <cellStyle name="Comma 16 3 11 2" xfId="40023" xr:uid="{00000000-0005-0000-0000-0000A9860000}"/>
    <cellStyle name="Comma 16 3 12" xfId="40024" xr:uid="{00000000-0005-0000-0000-0000AA860000}"/>
    <cellStyle name="Comma 16 3 13" xfId="40025" xr:uid="{00000000-0005-0000-0000-0000AB860000}"/>
    <cellStyle name="Comma 16 3 2" xfId="40026" xr:uid="{00000000-0005-0000-0000-0000AC860000}"/>
    <cellStyle name="Comma 16 3 2 10" xfId="40027" xr:uid="{00000000-0005-0000-0000-0000AD860000}"/>
    <cellStyle name="Comma 16 3 2 10 2" xfId="40028" xr:uid="{00000000-0005-0000-0000-0000AE860000}"/>
    <cellStyle name="Comma 16 3 2 11" xfId="40029" xr:uid="{00000000-0005-0000-0000-0000AF860000}"/>
    <cellStyle name="Comma 16 3 2 12" xfId="40030" xr:uid="{00000000-0005-0000-0000-0000B0860000}"/>
    <cellStyle name="Comma 16 3 2 2" xfId="40031" xr:uid="{00000000-0005-0000-0000-0000B1860000}"/>
    <cellStyle name="Comma 16 3 2 2 10" xfId="40032" xr:uid="{00000000-0005-0000-0000-0000B2860000}"/>
    <cellStyle name="Comma 16 3 2 2 2" xfId="40033" xr:uid="{00000000-0005-0000-0000-0000B3860000}"/>
    <cellStyle name="Comma 16 3 2 2 2 2" xfId="40034" xr:uid="{00000000-0005-0000-0000-0000B4860000}"/>
    <cellStyle name="Comma 16 3 2 2 2 2 2" xfId="40035" xr:uid="{00000000-0005-0000-0000-0000B5860000}"/>
    <cellStyle name="Comma 16 3 2 2 2 2 2 2" xfId="40036" xr:uid="{00000000-0005-0000-0000-0000B6860000}"/>
    <cellStyle name="Comma 16 3 2 2 2 2 2 3" xfId="40037" xr:uid="{00000000-0005-0000-0000-0000B7860000}"/>
    <cellStyle name="Comma 16 3 2 2 2 2 3" xfId="40038" xr:uid="{00000000-0005-0000-0000-0000B8860000}"/>
    <cellStyle name="Comma 16 3 2 2 2 2 3 2" xfId="40039" xr:uid="{00000000-0005-0000-0000-0000B9860000}"/>
    <cellStyle name="Comma 16 3 2 2 2 2 3 3" xfId="40040" xr:uid="{00000000-0005-0000-0000-0000BA860000}"/>
    <cellStyle name="Comma 16 3 2 2 2 2 4" xfId="40041" xr:uid="{00000000-0005-0000-0000-0000BB860000}"/>
    <cellStyle name="Comma 16 3 2 2 2 2 4 2" xfId="40042" xr:uid="{00000000-0005-0000-0000-0000BC860000}"/>
    <cellStyle name="Comma 16 3 2 2 2 2 5" xfId="40043" xr:uid="{00000000-0005-0000-0000-0000BD860000}"/>
    <cellStyle name="Comma 16 3 2 2 2 2 6" xfId="40044" xr:uid="{00000000-0005-0000-0000-0000BE860000}"/>
    <cellStyle name="Comma 16 3 2 2 2 3" xfId="40045" xr:uid="{00000000-0005-0000-0000-0000BF860000}"/>
    <cellStyle name="Comma 16 3 2 2 2 3 2" xfId="40046" xr:uid="{00000000-0005-0000-0000-0000C0860000}"/>
    <cellStyle name="Comma 16 3 2 2 2 3 2 2" xfId="40047" xr:uid="{00000000-0005-0000-0000-0000C1860000}"/>
    <cellStyle name="Comma 16 3 2 2 2 3 2 3" xfId="40048" xr:uid="{00000000-0005-0000-0000-0000C2860000}"/>
    <cellStyle name="Comma 16 3 2 2 2 3 3" xfId="40049" xr:uid="{00000000-0005-0000-0000-0000C3860000}"/>
    <cellStyle name="Comma 16 3 2 2 2 3 3 2" xfId="40050" xr:uid="{00000000-0005-0000-0000-0000C4860000}"/>
    <cellStyle name="Comma 16 3 2 2 2 3 3 3" xfId="40051" xr:uid="{00000000-0005-0000-0000-0000C5860000}"/>
    <cellStyle name="Comma 16 3 2 2 2 3 4" xfId="40052" xr:uid="{00000000-0005-0000-0000-0000C6860000}"/>
    <cellStyle name="Comma 16 3 2 2 2 3 4 2" xfId="40053" xr:uid="{00000000-0005-0000-0000-0000C7860000}"/>
    <cellStyle name="Comma 16 3 2 2 2 3 5" xfId="40054" xr:uid="{00000000-0005-0000-0000-0000C8860000}"/>
    <cellStyle name="Comma 16 3 2 2 2 3 6" xfId="40055" xr:uid="{00000000-0005-0000-0000-0000C9860000}"/>
    <cellStyle name="Comma 16 3 2 2 2 4" xfId="40056" xr:uid="{00000000-0005-0000-0000-0000CA860000}"/>
    <cellStyle name="Comma 16 3 2 2 2 4 2" xfId="40057" xr:uid="{00000000-0005-0000-0000-0000CB860000}"/>
    <cellStyle name="Comma 16 3 2 2 2 4 2 2" xfId="40058" xr:uid="{00000000-0005-0000-0000-0000CC860000}"/>
    <cellStyle name="Comma 16 3 2 2 2 4 2 3" xfId="40059" xr:uid="{00000000-0005-0000-0000-0000CD860000}"/>
    <cellStyle name="Comma 16 3 2 2 2 4 3" xfId="40060" xr:uid="{00000000-0005-0000-0000-0000CE860000}"/>
    <cellStyle name="Comma 16 3 2 2 2 4 3 2" xfId="40061" xr:uid="{00000000-0005-0000-0000-0000CF860000}"/>
    <cellStyle name="Comma 16 3 2 2 2 4 4" xfId="40062" xr:uid="{00000000-0005-0000-0000-0000D0860000}"/>
    <cellStyle name="Comma 16 3 2 2 2 4 5" xfId="40063" xr:uid="{00000000-0005-0000-0000-0000D1860000}"/>
    <cellStyle name="Comma 16 3 2 2 2 5" xfId="40064" xr:uid="{00000000-0005-0000-0000-0000D2860000}"/>
    <cellStyle name="Comma 16 3 2 2 2 5 2" xfId="40065" xr:uid="{00000000-0005-0000-0000-0000D3860000}"/>
    <cellStyle name="Comma 16 3 2 2 2 5 3" xfId="40066" xr:uid="{00000000-0005-0000-0000-0000D4860000}"/>
    <cellStyle name="Comma 16 3 2 2 2 6" xfId="40067" xr:uid="{00000000-0005-0000-0000-0000D5860000}"/>
    <cellStyle name="Comma 16 3 2 2 2 6 2" xfId="40068" xr:uid="{00000000-0005-0000-0000-0000D6860000}"/>
    <cellStyle name="Comma 16 3 2 2 2 6 3" xfId="40069" xr:uid="{00000000-0005-0000-0000-0000D7860000}"/>
    <cellStyle name="Comma 16 3 2 2 2 7" xfId="40070" xr:uid="{00000000-0005-0000-0000-0000D8860000}"/>
    <cellStyle name="Comma 16 3 2 2 2 7 2" xfId="40071" xr:uid="{00000000-0005-0000-0000-0000D9860000}"/>
    <cellStyle name="Comma 16 3 2 2 2 8" xfId="40072" xr:uid="{00000000-0005-0000-0000-0000DA860000}"/>
    <cellStyle name="Comma 16 3 2 2 2 9" xfId="40073" xr:uid="{00000000-0005-0000-0000-0000DB860000}"/>
    <cellStyle name="Comma 16 3 2 2 3" xfId="40074" xr:uid="{00000000-0005-0000-0000-0000DC860000}"/>
    <cellStyle name="Comma 16 3 2 2 3 2" xfId="40075" xr:uid="{00000000-0005-0000-0000-0000DD860000}"/>
    <cellStyle name="Comma 16 3 2 2 3 2 2" xfId="40076" xr:uid="{00000000-0005-0000-0000-0000DE860000}"/>
    <cellStyle name="Comma 16 3 2 2 3 2 3" xfId="40077" xr:uid="{00000000-0005-0000-0000-0000DF860000}"/>
    <cellStyle name="Comma 16 3 2 2 3 3" xfId="40078" xr:uid="{00000000-0005-0000-0000-0000E0860000}"/>
    <cellStyle name="Comma 16 3 2 2 3 3 2" xfId="40079" xr:uid="{00000000-0005-0000-0000-0000E1860000}"/>
    <cellStyle name="Comma 16 3 2 2 3 3 3" xfId="40080" xr:uid="{00000000-0005-0000-0000-0000E2860000}"/>
    <cellStyle name="Comma 16 3 2 2 3 4" xfId="40081" xr:uid="{00000000-0005-0000-0000-0000E3860000}"/>
    <cellStyle name="Comma 16 3 2 2 3 4 2" xfId="40082" xr:uid="{00000000-0005-0000-0000-0000E4860000}"/>
    <cellStyle name="Comma 16 3 2 2 3 5" xfId="40083" xr:uid="{00000000-0005-0000-0000-0000E5860000}"/>
    <cellStyle name="Comma 16 3 2 2 3 6" xfId="40084" xr:uid="{00000000-0005-0000-0000-0000E6860000}"/>
    <cellStyle name="Comma 16 3 2 2 4" xfId="40085" xr:uid="{00000000-0005-0000-0000-0000E7860000}"/>
    <cellStyle name="Comma 16 3 2 2 4 2" xfId="40086" xr:uid="{00000000-0005-0000-0000-0000E8860000}"/>
    <cellStyle name="Comma 16 3 2 2 4 2 2" xfId="40087" xr:uid="{00000000-0005-0000-0000-0000E9860000}"/>
    <cellStyle name="Comma 16 3 2 2 4 2 3" xfId="40088" xr:uid="{00000000-0005-0000-0000-0000EA860000}"/>
    <cellStyle name="Comma 16 3 2 2 4 3" xfId="40089" xr:uid="{00000000-0005-0000-0000-0000EB860000}"/>
    <cellStyle name="Comma 16 3 2 2 4 3 2" xfId="40090" xr:uid="{00000000-0005-0000-0000-0000EC860000}"/>
    <cellStyle name="Comma 16 3 2 2 4 3 3" xfId="40091" xr:uid="{00000000-0005-0000-0000-0000ED860000}"/>
    <cellStyle name="Comma 16 3 2 2 4 4" xfId="40092" xr:uid="{00000000-0005-0000-0000-0000EE860000}"/>
    <cellStyle name="Comma 16 3 2 2 4 4 2" xfId="40093" xr:uid="{00000000-0005-0000-0000-0000EF860000}"/>
    <cellStyle name="Comma 16 3 2 2 4 5" xfId="40094" xr:uid="{00000000-0005-0000-0000-0000F0860000}"/>
    <cellStyle name="Comma 16 3 2 2 4 6" xfId="40095" xr:uid="{00000000-0005-0000-0000-0000F1860000}"/>
    <cellStyle name="Comma 16 3 2 2 5" xfId="40096" xr:uid="{00000000-0005-0000-0000-0000F2860000}"/>
    <cellStyle name="Comma 16 3 2 2 5 2" xfId="40097" xr:uid="{00000000-0005-0000-0000-0000F3860000}"/>
    <cellStyle name="Comma 16 3 2 2 5 2 2" xfId="40098" xr:uid="{00000000-0005-0000-0000-0000F4860000}"/>
    <cellStyle name="Comma 16 3 2 2 5 2 3" xfId="40099" xr:uid="{00000000-0005-0000-0000-0000F5860000}"/>
    <cellStyle name="Comma 16 3 2 2 5 3" xfId="40100" xr:uid="{00000000-0005-0000-0000-0000F6860000}"/>
    <cellStyle name="Comma 16 3 2 2 5 3 2" xfId="40101" xr:uid="{00000000-0005-0000-0000-0000F7860000}"/>
    <cellStyle name="Comma 16 3 2 2 5 4" xfId="40102" xr:uid="{00000000-0005-0000-0000-0000F8860000}"/>
    <cellStyle name="Comma 16 3 2 2 5 5" xfId="40103" xr:uid="{00000000-0005-0000-0000-0000F9860000}"/>
    <cellStyle name="Comma 16 3 2 2 6" xfId="40104" xr:uid="{00000000-0005-0000-0000-0000FA860000}"/>
    <cellStyle name="Comma 16 3 2 2 6 2" xfId="40105" xr:uid="{00000000-0005-0000-0000-0000FB860000}"/>
    <cellStyle name="Comma 16 3 2 2 6 3" xfId="40106" xr:uid="{00000000-0005-0000-0000-0000FC860000}"/>
    <cellStyle name="Comma 16 3 2 2 7" xfId="40107" xr:uid="{00000000-0005-0000-0000-0000FD860000}"/>
    <cellStyle name="Comma 16 3 2 2 7 2" xfId="40108" xr:uid="{00000000-0005-0000-0000-0000FE860000}"/>
    <cellStyle name="Comma 16 3 2 2 7 3" xfId="40109" xr:uid="{00000000-0005-0000-0000-0000FF860000}"/>
    <cellStyle name="Comma 16 3 2 2 8" xfId="40110" xr:uid="{00000000-0005-0000-0000-000000870000}"/>
    <cellStyle name="Comma 16 3 2 2 8 2" xfId="40111" xr:uid="{00000000-0005-0000-0000-000001870000}"/>
    <cellStyle name="Comma 16 3 2 2 9" xfId="40112" xr:uid="{00000000-0005-0000-0000-000002870000}"/>
    <cellStyle name="Comma 16 3 2 3" xfId="40113" xr:uid="{00000000-0005-0000-0000-000003870000}"/>
    <cellStyle name="Comma 16 3 2 3 2" xfId="40114" xr:uid="{00000000-0005-0000-0000-000004870000}"/>
    <cellStyle name="Comma 16 3 2 3 2 2" xfId="40115" xr:uid="{00000000-0005-0000-0000-000005870000}"/>
    <cellStyle name="Comma 16 3 2 3 2 2 2" xfId="40116" xr:uid="{00000000-0005-0000-0000-000006870000}"/>
    <cellStyle name="Comma 16 3 2 3 2 2 3" xfId="40117" xr:uid="{00000000-0005-0000-0000-000007870000}"/>
    <cellStyle name="Comma 16 3 2 3 2 3" xfId="40118" xr:uid="{00000000-0005-0000-0000-000008870000}"/>
    <cellStyle name="Comma 16 3 2 3 2 3 2" xfId="40119" xr:uid="{00000000-0005-0000-0000-000009870000}"/>
    <cellStyle name="Comma 16 3 2 3 2 3 3" xfId="40120" xr:uid="{00000000-0005-0000-0000-00000A870000}"/>
    <cellStyle name="Comma 16 3 2 3 2 4" xfId="40121" xr:uid="{00000000-0005-0000-0000-00000B870000}"/>
    <cellStyle name="Comma 16 3 2 3 2 4 2" xfId="40122" xr:uid="{00000000-0005-0000-0000-00000C870000}"/>
    <cellStyle name="Comma 16 3 2 3 2 5" xfId="40123" xr:uid="{00000000-0005-0000-0000-00000D870000}"/>
    <cellStyle name="Comma 16 3 2 3 2 6" xfId="40124" xr:uid="{00000000-0005-0000-0000-00000E870000}"/>
    <cellStyle name="Comma 16 3 2 3 3" xfId="40125" xr:uid="{00000000-0005-0000-0000-00000F870000}"/>
    <cellStyle name="Comma 16 3 2 3 3 2" xfId="40126" xr:uid="{00000000-0005-0000-0000-000010870000}"/>
    <cellStyle name="Comma 16 3 2 3 3 2 2" xfId="40127" xr:uid="{00000000-0005-0000-0000-000011870000}"/>
    <cellStyle name="Comma 16 3 2 3 3 2 3" xfId="40128" xr:uid="{00000000-0005-0000-0000-000012870000}"/>
    <cellStyle name="Comma 16 3 2 3 3 3" xfId="40129" xr:uid="{00000000-0005-0000-0000-000013870000}"/>
    <cellStyle name="Comma 16 3 2 3 3 3 2" xfId="40130" xr:uid="{00000000-0005-0000-0000-000014870000}"/>
    <cellStyle name="Comma 16 3 2 3 3 3 3" xfId="40131" xr:uid="{00000000-0005-0000-0000-000015870000}"/>
    <cellStyle name="Comma 16 3 2 3 3 4" xfId="40132" xr:uid="{00000000-0005-0000-0000-000016870000}"/>
    <cellStyle name="Comma 16 3 2 3 3 4 2" xfId="40133" xr:uid="{00000000-0005-0000-0000-000017870000}"/>
    <cellStyle name="Comma 16 3 2 3 3 5" xfId="40134" xr:uid="{00000000-0005-0000-0000-000018870000}"/>
    <cellStyle name="Comma 16 3 2 3 3 6" xfId="40135" xr:uid="{00000000-0005-0000-0000-000019870000}"/>
    <cellStyle name="Comma 16 3 2 3 4" xfId="40136" xr:uid="{00000000-0005-0000-0000-00001A870000}"/>
    <cellStyle name="Comma 16 3 2 3 4 2" xfId="40137" xr:uid="{00000000-0005-0000-0000-00001B870000}"/>
    <cellStyle name="Comma 16 3 2 3 4 2 2" xfId="40138" xr:uid="{00000000-0005-0000-0000-00001C870000}"/>
    <cellStyle name="Comma 16 3 2 3 4 2 3" xfId="40139" xr:uid="{00000000-0005-0000-0000-00001D870000}"/>
    <cellStyle name="Comma 16 3 2 3 4 3" xfId="40140" xr:uid="{00000000-0005-0000-0000-00001E870000}"/>
    <cellStyle name="Comma 16 3 2 3 4 3 2" xfId="40141" xr:uid="{00000000-0005-0000-0000-00001F870000}"/>
    <cellStyle name="Comma 16 3 2 3 4 4" xfId="40142" xr:uid="{00000000-0005-0000-0000-000020870000}"/>
    <cellStyle name="Comma 16 3 2 3 4 5" xfId="40143" xr:uid="{00000000-0005-0000-0000-000021870000}"/>
    <cellStyle name="Comma 16 3 2 3 5" xfId="40144" xr:uid="{00000000-0005-0000-0000-000022870000}"/>
    <cellStyle name="Comma 16 3 2 3 5 2" xfId="40145" xr:uid="{00000000-0005-0000-0000-000023870000}"/>
    <cellStyle name="Comma 16 3 2 3 5 3" xfId="40146" xr:uid="{00000000-0005-0000-0000-000024870000}"/>
    <cellStyle name="Comma 16 3 2 3 6" xfId="40147" xr:uid="{00000000-0005-0000-0000-000025870000}"/>
    <cellStyle name="Comma 16 3 2 3 6 2" xfId="40148" xr:uid="{00000000-0005-0000-0000-000026870000}"/>
    <cellStyle name="Comma 16 3 2 3 6 3" xfId="40149" xr:uid="{00000000-0005-0000-0000-000027870000}"/>
    <cellStyle name="Comma 16 3 2 3 7" xfId="40150" xr:uid="{00000000-0005-0000-0000-000028870000}"/>
    <cellStyle name="Comma 16 3 2 3 7 2" xfId="40151" xr:uid="{00000000-0005-0000-0000-000029870000}"/>
    <cellStyle name="Comma 16 3 2 3 8" xfId="40152" xr:uid="{00000000-0005-0000-0000-00002A870000}"/>
    <cellStyle name="Comma 16 3 2 3 9" xfId="40153" xr:uid="{00000000-0005-0000-0000-00002B870000}"/>
    <cellStyle name="Comma 16 3 2 4" xfId="40154" xr:uid="{00000000-0005-0000-0000-00002C870000}"/>
    <cellStyle name="Comma 16 3 2 4 2" xfId="40155" xr:uid="{00000000-0005-0000-0000-00002D870000}"/>
    <cellStyle name="Comma 16 3 2 4 2 2" xfId="40156" xr:uid="{00000000-0005-0000-0000-00002E870000}"/>
    <cellStyle name="Comma 16 3 2 4 2 2 2" xfId="40157" xr:uid="{00000000-0005-0000-0000-00002F870000}"/>
    <cellStyle name="Comma 16 3 2 4 2 2 3" xfId="40158" xr:uid="{00000000-0005-0000-0000-000030870000}"/>
    <cellStyle name="Comma 16 3 2 4 2 3" xfId="40159" xr:uid="{00000000-0005-0000-0000-000031870000}"/>
    <cellStyle name="Comma 16 3 2 4 2 3 2" xfId="40160" xr:uid="{00000000-0005-0000-0000-000032870000}"/>
    <cellStyle name="Comma 16 3 2 4 2 3 3" xfId="40161" xr:uid="{00000000-0005-0000-0000-000033870000}"/>
    <cellStyle name="Comma 16 3 2 4 2 4" xfId="40162" xr:uid="{00000000-0005-0000-0000-000034870000}"/>
    <cellStyle name="Comma 16 3 2 4 2 4 2" xfId="40163" xr:uid="{00000000-0005-0000-0000-000035870000}"/>
    <cellStyle name="Comma 16 3 2 4 2 5" xfId="40164" xr:uid="{00000000-0005-0000-0000-000036870000}"/>
    <cellStyle name="Comma 16 3 2 4 2 6" xfId="40165" xr:uid="{00000000-0005-0000-0000-000037870000}"/>
    <cellStyle name="Comma 16 3 2 4 3" xfId="40166" xr:uid="{00000000-0005-0000-0000-000038870000}"/>
    <cellStyle name="Comma 16 3 2 4 3 2" xfId="40167" xr:uid="{00000000-0005-0000-0000-000039870000}"/>
    <cellStyle name="Comma 16 3 2 4 3 2 2" xfId="40168" xr:uid="{00000000-0005-0000-0000-00003A870000}"/>
    <cellStyle name="Comma 16 3 2 4 3 2 3" xfId="40169" xr:uid="{00000000-0005-0000-0000-00003B870000}"/>
    <cellStyle name="Comma 16 3 2 4 3 3" xfId="40170" xr:uid="{00000000-0005-0000-0000-00003C870000}"/>
    <cellStyle name="Comma 16 3 2 4 3 3 2" xfId="40171" xr:uid="{00000000-0005-0000-0000-00003D870000}"/>
    <cellStyle name="Comma 16 3 2 4 3 3 3" xfId="40172" xr:uid="{00000000-0005-0000-0000-00003E870000}"/>
    <cellStyle name="Comma 16 3 2 4 3 4" xfId="40173" xr:uid="{00000000-0005-0000-0000-00003F870000}"/>
    <cellStyle name="Comma 16 3 2 4 3 4 2" xfId="40174" xr:uid="{00000000-0005-0000-0000-000040870000}"/>
    <cellStyle name="Comma 16 3 2 4 3 5" xfId="40175" xr:uid="{00000000-0005-0000-0000-000041870000}"/>
    <cellStyle name="Comma 16 3 2 4 3 6" xfId="40176" xr:uid="{00000000-0005-0000-0000-000042870000}"/>
    <cellStyle name="Comma 16 3 2 4 4" xfId="40177" xr:uid="{00000000-0005-0000-0000-000043870000}"/>
    <cellStyle name="Comma 16 3 2 4 4 2" xfId="40178" xr:uid="{00000000-0005-0000-0000-000044870000}"/>
    <cellStyle name="Comma 16 3 2 4 4 2 2" xfId="40179" xr:uid="{00000000-0005-0000-0000-000045870000}"/>
    <cellStyle name="Comma 16 3 2 4 4 2 3" xfId="40180" xr:uid="{00000000-0005-0000-0000-000046870000}"/>
    <cellStyle name="Comma 16 3 2 4 4 3" xfId="40181" xr:uid="{00000000-0005-0000-0000-000047870000}"/>
    <cellStyle name="Comma 16 3 2 4 4 3 2" xfId="40182" xr:uid="{00000000-0005-0000-0000-000048870000}"/>
    <cellStyle name="Comma 16 3 2 4 4 4" xfId="40183" xr:uid="{00000000-0005-0000-0000-000049870000}"/>
    <cellStyle name="Comma 16 3 2 4 4 5" xfId="40184" xr:uid="{00000000-0005-0000-0000-00004A870000}"/>
    <cellStyle name="Comma 16 3 2 4 5" xfId="40185" xr:uid="{00000000-0005-0000-0000-00004B870000}"/>
    <cellStyle name="Comma 16 3 2 4 5 2" xfId="40186" xr:uid="{00000000-0005-0000-0000-00004C870000}"/>
    <cellStyle name="Comma 16 3 2 4 5 3" xfId="40187" xr:uid="{00000000-0005-0000-0000-00004D870000}"/>
    <cellStyle name="Comma 16 3 2 4 6" xfId="40188" xr:uid="{00000000-0005-0000-0000-00004E870000}"/>
    <cellStyle name="Comma 16 3 2 4 6 2" xfId="40189" xr:uid="{00000000-0005-0000-0000-00004F870000}"/>
    <cellStyle name="Comma 16 3 2 4 6 3" xfId="40190" xr:uid="{00000000-0005-0000-0000-000050870000}"/>
    <cellStyle name="Comma 16 3 2 4 7" xfId="40191" xr:uid="{00000000-0005-0000-0000-000051870000}"/>
    <cellStyle name="Comma 16 3 2 4 7 2" xfId="40192" xr:uid="{00000000-0005-0000-0000-000052870000}"/>
    <cellStyle name="Comma 16 3 2 4 8" xfId="40193" xr:uid="{00000000-0005-0000-0000-000053870000}"/>
    <cellStyle name="Comma 16 3 2 4 9" xfId="40194" xr:uid="{00000000-0005-0000-0000-000054870000}"/>
    <cellStyle name="Comma 16 3 2 5" xfId="40195" xr:uid="{00000000-0005-0000-0000-000055870000}"/>
    <cellStyle name="Comma 16 3 2 5 2" xfId="40196" xr:uid="{00000000-0005-0000-0000-000056870000}"/>
    <cellStyle name="Comma 16 3 2 5 2 2" xfId="40197" xr:uid="{00000000-0005-0000-0000-000057870000}"/>
    <cellStyle name="Comma 16 3 2 5 2 3" xfId="40198" xr:uid="{00000000-0005-0000-0000-000058870000}"/>
    <cellStyle name="Comma 16 3 2 5 3" xfId="40199" xr:uid="{00000000-0005-0000-0000-000059870000}"/>
    <cellStyle name="Comma 16 3 2 5 3 2" xfId="40200" xr:uid="{00000000-0005-0000-0000-00005A870000}"/>
    <cellStyle name="Comma 16 3 2 5 3 3" xfId="40201" xr:uid="{00000000-0005-0000-0000-00005B870000}"/>
    <cellStyle name="Comma 16 3 2 5 4" xfId="40202" xr:uid="{00000000-0005-0000-0000-00005C870000}"/>
    <cellStyle name="Comma 16 3 2 5 4 2" xfId="40203" xr:uid="{00000000-0005-0000-0000-00005D870000}"/>
    <cellStyle name="Comma 16 3 2 5 5" xfId="40204" xr:uid="{00000000-0005-0000-0000-00005E870000}"/>
    <cellStyle name="Comma 16 3 2 5 6" xfId="40205" xr:uid="{00000000-0005-0000-0000-00005F870000}"/>
    <cellStyle name="Comma 16 3 2 6" xfId="40206" xr:uid="{00000000-0005-0000-0000-000060870000}"/>
    <cellStyle name="Comma 16 3 2 6 2" xfId="40207" xr:uid="{00000000-0005-0000-0000-000061870000}"/>
    <cellStyle name="Comma 16 3 2 6 2 2" xfId="40208" xr:uid="{00000000-0005-0000-0000-000062870000}"/>
    <cellStyle name="Comma 16 3 2 6 2 3" xfId="40209" xr:uid="{00000000-0005-0000-0000-000063870000}"/>
    <cellStyle name="Comma 16 3 2 6 3" xfId="40210" xr:uid="{00000000-0005-0000-0000-000064870000}"/>
    <cellStyle name="Comma 16 3 2 6 3 2" xfId="40211" xr:uid="{00000000-0005-0000-0000-000065870000}"/>
    <cellStyle name="Comma 16 3 2 6 3 3" xfId="40212" xr:uid="{00000000-0005-0000-0000-000066870000}"/>
    <cellStyle name="Comma 16 3 2 6 4" xfId="40213" xr:uid="{00000000-0005-0000-0000-000067870000}"/>
    <cellStyle name="Comma 16 3 2 6 4 2" xfId="40214" xr:uid="{00000000-0005-0000-0000-000068870000}"/>
    <cellStyle name="Comma 16 3 2 6 5" xfId="40215" xr:uid="{00000000-0005-0000-0000-000069870000}"/>
    <cellStyle name="Comma 16 3 2 6 6" xfId="40216" xr:uid="{00000000-0005-0000-0000-00006A870000}"/>
    <cellStyle name="Comma 16 3 2 7" xfId="40217" xr:uid="{00000000-0005-0000-0000-00006B870000}"/>
    <cellStyle name="Comma 16 3 2 7 2" xfId="40218" xr:uid="{00000000-0005-0000-0000-00006C870000}"/>
    <cellStyle name="Comma 16 3 2 7 2 2" xfId="40219" xr:uid="{00000000-0005-0000-0000-00006D870000}"/>
    <cellStyle name="Comma 16 3 2 7 2 3" xfId="40220" xr:uid="{00000000-0005-0000-0000-00006E870000}"/>
    <cellStyle name="Comma 16 3 2 7 3" xfId="40221" xr:uid="{00000000-0005-0000-0000-00006F870000}"/>
    <cellStyle name="Comma 16 3 2 7 3 2" xfId="40222" xr:uid="{00000000-0005-0000-0000-000070870000}"/>
    <cellStyle name="Comma 16 3 2 7 4" xfId="40223" xr:uid="{00000000-0005-0000-0000-000071870000}"/>
    <cellStyle name="Comma 16 3 2 7 5" xfId="40224" xr:uid="{00000000-0005-0000-0000-000072870000}"/>
    <cellStyle name="Comma 16 3 2 8" xfId="40225" xr:uid="{00000000-0005-0000-0000-000073870000}"/>
    <cellStyle name="Comma 16 3 2 8 2" xfId="40226" xr:uid="{00000000-0005-0000-0000-000074870000}"/>
    <cellStyle name="Comma 16 3 2 8 3" xfId="40227" xr:uid="{00000000-0005-0000-0000-000075870000}"/>
    <cellStyle name="Comma 16 3 2 9" xfId="40228" xr:uid="{00000000-0005-0000-0000-000076870000}"/>
    <cellStyle name="Comma 16 3 2 9 2" xfId="40229" xr:uid="{00000000-0005-0000-0000-000077870000}"/>
    <cellStyle name="Comma 16 3 2 9 3" xfId="40230" xr:uid="{00000000-0005-0000-0000-000078870000}"/>
    <cellStyle name="Comma 16 3 3" xfId="40231" xr:uid="{00000000-0005-0000-0000-000079870000}"/>
    <cellStyle name="Comma 16 3 3 10" xfId="40232" xr:uid="{00000000-0005-0000-0000-00007A870000}"/>
    <cellStyle name="Comma 16 3 3 2" xfId="40233" xr:uid="{00000000-0005-0000-0000-00007B870000}"/>
    <cellStyle name="Comma 16 3 3 2 2" xfId="40234" xr:uid="{00000000-0005-0000-0000-00007C870000}"/>
    <cellStyle name="Comma 16 3 3 2 2 2" xfId="40235" xr:uid="{00000000-0005-0000-0000-00007D870000}"/>
    <cellStyle name="Comma 16 3 3 2 2 2 2" xfId="40236" xr:uid="{00000000-0005-0000-0000-00007E870000}"/>
    <cellStyle name="Comma 16 3 3 2 2 2 3" xfId="40237" xr:uid="{00000000-0005-0000-0000-00007F870000}"/>
    <cellStyle name="Comma 16 3 3 2 2 3" xfId="40238" xr:uid="{00000000-0005-0000-0000-000080870000}"/>
    <cellStyle name="Comma 16 3 3 2 2 3 2" xfId="40239" xr:uid="{00000000-0005-0000-0000-000081870000}"/>
    <cellStyle name="Comma 16 3 3 2 2 3 3" xfId="40240" xr:uid="{00000000-0005-0000-0000-000082870000}"/>
    <cellStyle name="Comma 16 3 3 2 2 4" xfId="40241" xr:uid="{00000000-0005-0000-0000-000083870000}"/>
    <cellStyle name="Comma 16 3 3 2 2 4 2" xfId="40242" xr:uid="{00000000-0005-0000-0000-000084870000}"/>
    <cellStyle name="Comma 16 3 3 2 2 5" xfId="40243" xr:uid="{00000000-0005-0000-0000-000085870000}"/>
    <cellStyle name="Comma 16 3 3 2 2 6" xfId="40244" xr:uid="{00000000-0005-0000-0000-000086870000}"/>
    <cellStyle name="Comma 16 3 3 2 3" xfId="40245" xr:uid="{00000000-0005-0000-0000-000087870000}"/>
    <cellStyle name="Comma 16 3 3 2 3 2" xfId="40246" xr:uid="{00000000-0005-0000-0000-000088870000}"/>
    <cellStyle name="Comma 16 3 3 2 3 2 2" xfId="40247" xr:uid="{00000000-0005-0000-0000-000089870000}"/>
    <cellStyle name="Comma 16 3 3 2 3 2 3" xfId="40248" xr:uid="{00000000-0005-0000-0000-00008A870000}"/>
    <cellStyle name="Comma 16 3 3 2 3 3" xfId="40249" xr:uid="{00000000-0005-0000-0000-00008B870000}"/>
    <cellStyle name="Comma 16 3 3 2 3 3 2" xfId="40250" xr:uid="{00000000-0005-0000-0000-00008C870000}"/>
    <cellStyle name="Comma 16 3 3 2 3 3 3" xfId="40251" xr:uid="{00000000-0005-0000-0000-00008D870000}"/>
    <cellStyle name="Comma 16 3 3 2 3 4" xfId="40252" xr:uid="{00000000-0005-0000-0000-00008E870000}"/>
    <cellStyle name="Comma 16 3 3 2 3 4 2" xfId="40253" xr:uid="{00000000-0005-0000-0000-00008F870000}"/>
    <cellStyle name="Comma 16 3 3 2 3 5" xfId="40254" xr:uid="{00000000-0005-0000-0000-000090870000}"/>
    <cellStyle name="Comma 16 3 3 2 3 6" xfId="40255" xr:uid="{00000000-0005-0000-0000-000091870000}"/>
    <cellStyle name="Comma 16 3 3 2 4" xfId="40256" xr:uid="{00000000-0005-0000-0000-000092870000}"/>
    <cellStyle name="Comma 16 3 3 2 4 2" xfId="40257" xr:uid="{00000000-0005-0000-0000-000093870000}"/>
    <cellStyle name="Comma 16 3 3 2 4 2 2" xfId="40258" xr:uid="{00000000-0005-0000-0000-000094870000}"/>
    <cellStyle name="Comma 16 3 3 2 4 2 3" xfId="40259" xr:uid="{00000000-0005-0000-0000-000095870000}"/>
    <cellStyle name="Comma 16 3 3 2 4 3" xfId="40260" xr:uid="{00000000-0005-0000-0000-000096870000}"/>
    <cellStyle name="Comma 16 3 3 2 4 3 2" xfId="40261" xr:uid="{00000000-0005-0000-0000-000097870000}"/>
    <cellStyle name="Comma 16 3 3 2 4 4" xfId="40262" xr:uid="{00000000-0005-0000-0000-000098870000}"/>
    <cellStyle name="Comma 16 3 3 2 4 5" xfId="40263" xr:uid="{00000000-0005-0000-0000-000099870000}"/>
    <cellStyle name="Comma 16 3 3 2 5" xfId="40264" xr:uid="{00000000-0005-0000-0000-00009A870000}"/>
    <cellStyle name="Comma 16 3 3 2 5 2" xfId="40265" xr:uid="{00000000-0005-0000-0000-00009B870000}"/>
    <cellStyle name="Comma 16 3 3 2 5 3" xfId="40266" xr:uid="{00000000-0005-0000-0000-00009C870000}"/>
    <cellStyle name="Comma 16 3 3 2 6" xfId="40267" xr:uid="{00000000-0005-0000-0000-00009D870000}"/>
    <cellStyle name="Comma 16 3 3 2 6 2" xfId="40268" xr:uid="{00000000-0005-0000-0000-00009E870000}"/>
    <cellStyle name="Comma 16 3 3 2 6 3" xfId="40269" xr:uid="{00000000-0005-0000-0000-00009F870000}"/>
    <cellStyle name="Comma 16 3 3 2 7" xfId="40270" xr:uid="{00000000-0005-0000-0000-0000A0870000}"/>
    <cellStyle name="Comma 16 3 3 2 7 2" xfId="40271" xr:uid="{00000000-0005-0000-0000-0000A1870000}"/>
    <cellStyle name="Comma 16 3 3 2 8" xfId="40272" xr:uid="{00000000-0005-0000-0000-0000A2870000}"/>
    <cellStyle name="Comma 16 3 3 2 9" xfId="40273" xr:uid="{00000000-0005-0000-0000-0000A3870000}"/>
    <cellStyle name="Comma 16 3 3 3" xfId="40274" xr:uid="{00000000-0005-0000-0000-0000A4870000}"/>
    <cellStyle name="Comma 16 3 3 3 2" xfId="40275" xr:uid="{00000000-0005-0000-0000-0000A5870000}"/>
    <cellStyle name="Comma 16 3 3 3 2 2" xfId="40276" xr:uid="{00000000-0005-0000-0000-0000A6870000}"/>
    <cellStyle name="Comma 16 3 3 3 2 3" xfId="40277" xr:uid="{00000000-0005-0000-0000-0000A7870000}"/>
    <cellStyle name="Comma 16 3 3 3 3" xfId="40278" xr:uid="{00000000-0005-0000-0000-0000A8870000}"/>
    <cellStyle name="Comma 16 3 3 3 3 2" xfId="40279" xr:uid="{00000000-0005-0000-0000-0000A9870000}"/>
    <cellStyle name="Comma 16 3 3 3 3 3" xfId="40280" xr:uid="{00000000-0005-0000-0000-0000AA870000}"/>
    <cellStyle name="Comma 16 3 3 3 4" xfId="40281" xr:uid="{00000000-0005-0000-0000-0000AB870000}"/>
    <cellStyle name="Comma 16 3 3 3 4 2" xfId="40282" xr:uid="{00000000-0005-0000-0000-0000AC870000}"/>
    <cellStyle name="Comma 16 3 3 3 5" xfId="40283" xr:uid="{00000000-0005-0000-0000-0000AD870000}"/>
    <cellStyle name="Comma 16 3 3 3 6" xfId="40284" xr:uid="{00000000-0005-0000-0000-0000AE870000}"/>
    <cellStyle name="Comma 16 3 3 4" xfId="40285" xr:uid="{00000000-0005-0000-0000-0000AF870000}"/>
    <cellStyle name="Comma 16 3 3 4 2" xfId="40286" xr:uid="{00000000-0005-0000-0000-0000B0870000}"/>
    <cellStyle name="Comma 16 3 3 4 2 2" xfId="40287" xr:uid="{00000000-0005-0000-0000-0000B1870000}"/>
    <cellStyle name="Comma 16 3 3 4 2 3" xfId="40288" xr:uid="{00000000-0005-0000-0000-0000B2870000}"/>
    <cellStyle name="Comma 16 3 3 4 3" xfId="40289" xr:uid="{00000000-0005-0000-0000-0000B3870000}"/>
    <cellStyle name="Comma 16 3 3 4 3 2" xfId="40290" xr:uid="{00000000-0005-0000-0000-0000B4870000}"/>
    <cellStyle name="Comma 16 3 3 4 3 3" xfId="40291" xr:uid="{00000000-0005-0000-0000-0000B5870000}"/>
    <cellStyle name="Comma 16 3 3 4 4" xfId="40292" xr:uid="{00000000-0005-0000-0000-0000B6870000}"/>
    <cellStyle name="Comma 16 3 3 4 4 2" xfId="40293" xr:uid="{00000000-0005-0000-0000-0000B7870000}"/>
    <cellStyle name="Comma 16 3 3 4 5" xfId="40294" xr:uid="{00000000-0005-0000-0000-0000B8870000}"/>
    <cellStyle name="Comma 16 3 3 4 6" xfId="40295" xr:uid="{00000000-0005-0000-0000-0000B9870000}"/>
    <cellStyle name="Comma 16 3 3 5" xfId="40296" xr:uid="{00000000-0005-0000-0000-0000BA870000}"/>
    <cellStyle name="Comma 16 3 3 5 2" xfId="40297" xr:uid="{00000000-0005-0000-0000-0000BB870000}"/>
    <cellStyle name="Comma 16 3 3 5 2 2" xfId="40298" xr:uid="{00000000-0005-0000-0000-0000BC870000}"/>
    <cellStyle name="Comma 16 3 3 5 2 3" xfId="40299" xr:uid="{00000000-0005-0000-0000-0000BD870000}"/>
    <cellStyle name="Comma 16 3 3 5 3" xfId="40300" xr:uid="{00000000-0005-0000-0000-0000BE870000}"/>
    <cellStyle name="Comma 16 3 3 5 3 2" xfId="40301" xr:uid="{00000000-0005-0000-0000-0000BF870000}"/>
    <cellStyle name="Comma 16 3 3 5 4" xfId="40302" xr:uid="{00000000-0005-0000-0000-0000C0870000}"/>
    <cellStyle name="Comma 16 3 3 5 5" xfId="40303" xr:uid="{00000000-0005-0000-0000-0000C1870000}"/>
    <cellStyle name="Comma 16 3 3 6" xfId="40304" xr:uid="{00000000-0005-0000-0000-0000C2870000}"/>
    <cellStyle name="Comma 16 3 3 6 2" xfId="40305" xr:uid="{00000000-0005-0000-0000-0000C3870000}"/>
    <cellStyle name="Comma 16 3 3 6 3" xfId="40306" xr:uid="{00000000-0005-0000-0000-0000C4870000}"/>
    <cellStyle name="Comma 16 3 3 7" xfId="40307" xr:uid="{00000000-0005-0000-0000-0000C5870000}"/>
    <cellStyle name="Comma 16 3 3 7 2" xfId="40308" xr:uid="{00000000-0005-0000-0000-0000C6870000}"/>
    <cellStyle name="Comma 16 3 3 7 3" xfId="40309" xr:uid="{00000000-0005-0000-0000-0000C7870000}"/>
    <cellStyle name="Comma 16 3 3 8" xfId="40310" xr:uid="{00000000-0005-0000-0000-0000C8870000}"/>
    <cellStyle name="Comma 16 3 3 8 2" xfId="40311" xr:uid="{00000000-0005-0000-0000-0000C9870000}"/>
    <cellStyle name="Comma 16 3 3 9" xfId="40312" xr:uid="{00000000-0005-0000-0000-0000CA870000}"/>
    <cellStyle name="Comma 16 3 4" xfId="40313" xr:uid="{00000000-0005-0000-0000-0000CB870000}"/>
    <cellStyle name="Comma 16 3 4 2" xfId="40314" xr:uid="{00000000-0005-0000-0000-0000CC870000}"/>
    <cellStyle name="Comma 16 3 4 2 2" xfId="40315" xr:uid="{00000000-0005-0000-0000-0000CD870000}"/>
    <cellStyle name="Comma 16 3 4 2 2 2" xfId="40316" xr:uid="{00000000-0005-0000-0000-0000CE870000}"/>
    <cellStyle name="Comma 16 3 4 2 2 3" xfId="40317" xr:uid="{00000000-0005-0000-0000-0000CF870000}"/>
    <cellStyle name="Comma 16 3 4 2 3" xfId="40318" xr:uid="{00000000-0005-0000-0000-0000D0870000}"/>
    <cellStyle name="Comma 16 3 4 2 3 2" xfId="40319" xr:uid="{00000000-0005-0000-0000-0000D1870000}"/>
    <cellStyle name="Comma 16 3 4 2 3 3" xfId="40320" xr:uid="{00000000-0005-0000-0000-0000D2870000}"/>
    <cellStyle name="Comma 16 3 4 2 4" xfId="40321" xr:uid="{00000000-0005-0000-0000-0000D3870000}"/>
    <cellStyle name="Comma 16 3 4 2 4 2" xfId="40322" xr:uid="{00000000-0005-0000-0000-0000D4870000}"/>
    <cellStyle name="Comma 16 3 4 2 5" xfId="40323" xr:uid="{00000000-0005-0000-0000-0000D5870000}"/>
    <cellStyle name="Comma 16 3 4 2 6" xfId="40324" xr:uid="{00000000-0005-0000-0000-0000D6870000}"/>
    <cellStyle name="Comma 16 3 4 3" xfId="40325" xr:uid="{00000000-0005-0000-0000-0000D7870000}"/>
    <cellStyle name="Comma 16 3 4 3 2" xfId="40326" xr:uid="{00000000-0005-0000-0000-0000D8870000}"/>
    <cellStyle name="Comma 16 3 4 3 2 2" xfId="40327" xr:uid="{00000000-0005-0000-0000-0000D9870000}"/>
    <cellStyle name="Comma 16 3 4 3 2 3" xfId="40328" xr:uid="{00000000-0005-0000-0000-0000DA870000}"/>
    <cellStyle name="Comma 16 3 4 3 3" xfId="40329" xr:uid="{00000000-0005-0000-0000-0000DB870000}"/>
    <cellStyle name="Comma 16 3 4 3 3 2" xfId="40330" xr:uid="{00000000-0005-0000-0000-0000DC870000}"/>
    <cellStyle name="Comma 16 3 4 3 3 3" xfId="40331" xr:uid="{00000000-0005-0000-0000-0000DD870000}"/>
    <cellStyle name="Comma 16 3 4 3 4" xfId="40332" xr:uid="{00000000-0005-0000-0000-0000DE870000}"/>
    <cellStyle name="Comma 16 3 4 3 4 2" xfId="40333" xr:uid="{00000000-0005-0000-0000-0000DF870000}"/>
    <cellStyle name="Comma 16 3 4 3 5" xfId="40334" xr:uid="{00000000-0005-0000-0000-0000E0870000}"/>
    <cellStyle name="Comma 16 3 4 3 6" xfId="40335" xr:uid="{00000000-0005-0000-0000-0000E1870000}"/>
    <cellStyle name="Comma 16 3 4 4" xfId="40336" xr:uid="{00000000-0005-0000-0000-0000E2870000}"/>
    <cellStyle name="Comma 16 3 4 4 2" xfId="40337" xr:uid="{00000000-0005-0000-0000-0000E3870000}"/>
    <cellStyle name="Comma 16 3 4 4 2 2" xfId="40338" xr:uid="{00000000-0005-0000-0000-0000E4870000}"/>
    <cellStyle name="Comma 16 3 4 4 2 3" xfId="40339" xr:uid="{00000000-0005-0000-0000-0000E5870000}"/>
    <cellStyle name="Comma 16 3 4 4 3" xfId="40340" xr:uid="{00000000-0005-0000-0000-0000E6870000}"/>
    <cellStyle name="Comma 16 3 4 4 3 2" xfId="40341" xr:uid="{00000000-0005-0000-0000-0000E7870000}"/>
    <cellStyle name="Comma 16 3 4 4 4" xfId="40342" xr:uid="{00000000-0005-0000-0000-0000E8870000}"/>
    <cellStyle name="Comma 16 3 4 4 5" xfId="40343" xr:uid="{00000000-0005-0000-0000-0000E9870000}"/>
    <cellStyle name="Comma 16 3 4 5" xfId="40344" xr:uid="{00000000-0005-0000-0000-0000EA870000}"/>
    <cellStyle name="Comma 16 3 4 5 2" xfId="40345" xr:uid="{00000000-0005-0000-0000-0000EB870000}"/>
    <cellStyle name="Comma 16 3 4 5 3" xfId="40346" xr:uid="{00000000-0005-0000-0000-0000EC870000}"/>
    <cellStyle name="Comma 16 3 4 6" xfId="40347" xr:uid="{00000000-0005-0000-0000-0000ED870000}"/>
    <cellStyle name="Comma 16 3 4 6 2" xfId="40348" xr:uid="{00000000-0005-0000-0000-0000EE870000}"/>
    <cellStyle name="Comma 16 3 4 6 3" xfId="40349" xr:uid="{00000000-0005-0000-0000-0000EF870000}"/>
    <cellStyle name="Comma 16 3 4 7" xfId="40350" xr:uid="{00000000-0005-0000-0000-0000F0870000}"/>
    <cellStyle name="Comma 16 3 4 7 2" xfId="40351" xr:uid="{00000000-0005-0000-0000-0000F1870000}"/>
    <cellStyle name="Comma 16 3 4 8" xfId="40352" xr:uid="{00000000-0005-0000-0000-0000F2870000}"/>
    <cellStyle name="Comma 16 3 4 9" xfId="40353" xr:uid="{00000000-0005-0000-0000-0000F3870000}"/>
    <cellStyle name="Comma 16 3 5" xfId="40354" xr:uid="{00000000-0005-0000-0000-0000F4870000}"/>
    <cellStyle name="Comma 16 3 5 2" xfId="40355" xr:uid="{00000000-0005-0000-0000-0000F5870000}"/>
    <cellStyle name="Comma 16 3 5 2 2" xfId="40356" xr:uid="{00000000-0005-0000-0000-0000F6870000}"/>
    <cellStyle name="Comma 16 3 5 2 2 2" xfId="40357" xr:uid="{00000000-0005-0000-0000-0000F7870000}"/>
    <cellStyle name="Comma 16 3 5 2 2 3" xfId="40358" xr:uid="{00000000-0005-0000-0000-0000F8870000}"/>
    <cellStyle name="Comma 16 3 5 2 3" xfId="40359" xr:uid="{00000000-0005-0000-0000-0000F9870000}"/>
    <cellStyle name="Comma 16 3 5 2 3 2" xfId="40360" xr:uid="{00000000-0005-0000-0000-0000FA870000}"/>
    <cellStyle name="Comma 16 3 5 2 3 3" xfId="40361" xr:uid="{00000000-0005-0000-0000-0000FB870000}"/>
    <cellStyle name="Comma 16 3 5 2 4" xfId="40362" xr:uid="{00000000-0005-0000-0000-0000FC870000}"/>
    <cellStyle name="Comma 16 3 5 2 4 2" xfId="40363" xr:uid="{00000000-0005-0000-0000-0000FD870000}"/>
    <cellStyle name="Comma 16 3 5 2 5" xfId="40364" xr:uid="{00000000-0005-0000-0000-0000FE870000}"/>
    <cellStyle name="Comma 16 3 5 2 6" xfId="40365" xr:uid="{00000000-0005-0000-0000-0000FF870000}"/>
    <cellStyle name="Comma 16 3 5 3" xfId="40366" xr:uid="{00000000-0005-0000-0000-000000880000}"/>
    <cellStyle name="Comma 16 3 5 3 2" xfId="40367" xr:uid="{00000000-0005-0000-0000-000001880000}"/>
    <cellStyle name="Comma 16 3 5 3 2 2" xfId="40368" xr:uid="{00000000-0005-0000-0000-000002880000}"/>
    <cellStyle name="Comma 16 3 5 3 2 3" xfId="40369" xr:uid="{00000000-0005-0000-0000-000003880000}"/>
    <cellStyle name="Comma 16 3 5 3 3" xfId="40370" xr:uid="{00000000-0005-0000-0000-000004880000}"/>
    <cellStyle name="Comma 16 3 5 3 3 2" xfId="40371" xr:uid="{00000000-0005-0000-0000-000005880000}"/>
    <cellStyle name="Comma 16 3 5 3 3 3" xfId="40372" xr:uid="{00000000-0005-0000-0000-000006880000}"/>
    <cellStyle name="Comma 16 3 5 3 4" xfId="40373" xr:uid="{00000000-0005-0000-0000-000007880000}"/>
    <cellStyle name="Comma 16 3 5 3 4 2" xfId="40374" xr:uid="{00000000-0005-0000-0000-000008880000}"/>
    <cellStyle name="Comma 16 3 5 3 5" xfId="40375" xr:uid="{00000000-0005-0000-0000-000009880000}"/>
    <cellStyle name="Comma 16 3 5 3 6" xfId="40376" xr:uid="{00000000-0005-0000-0000-00000A880000}"/>
    <cellStyle name="Comma 16 3 5 4" xfId="40377" xr:uid="{00000000-0005-0000-0000-00000B880000}"/>
    <cellStyle name="Comma 16 3 5 4 2" xfId="40378" xr:uid="{00000000-0005-0000-0000-00000C880000}"/>
    <cellStyle name="Comma 16 3 5 4 2 2" xfId="40379" xr:uid="{00000000-0005-0000-0000-00000D880000}"/>
    <cellStyle name="Comma 16 3 5 4 2 3" xfId="40380" xr:uid="{00000000-0005-0000-0000-00000E880000}"/>
    <cellStyle name="Comma 16 3 5 4 3" xfId="40381" xr:uid="{00000000-0005-0000-0000-00000F880000}"/>
    <cellStyle name="Comma 16 3 5 4 3 2" xfId="40382" xr:uid="{00000000-0005-0000-0000-000010880000}"/>
    <cellStyle name="Comma 16 3 5 4 4" xfId="40383" xr:uid="{00000000-0005-0000-0000-000011880000}"/>
    <cellStyle name="Comma 16 3 5 4 5" xfId="40384" xr:uid="{00000000-0005-0000-0000-000012880000}"/>
    <cellStyle name="Comma 16 3 5 5" xfId="40385" xr:uid="{00000000-0005-0000-0000-000013880000}"/>
    <cellStyle name="Comma 16 3 5 5 2" xfId="40386" xr:uid="{00000000-0005-0000-0000-000014880000}"/>
    <cellStyle name="Comma 16 3 5 5 3" xfId="40387" xr:uid="{00000000-0005-0000-0000-000015880000}"/>
    <cellStyle name="Comma 16 3 5 6" xfId="40388" xr:uid="{00000000-0005-0000-0000-000016880000}"/>
    <cellStyle name="Comma 16 3 5 6 2" xfId="40389" xr:uid="{00000000-0005-0000-0000-000017880000}"/>
    <cellStyle name="Comma 16 3 5 6 3" xfId="40390" xr:uid="{00000000-0005-0000-0000-000018880000}"/>
    <cellStyle name="Comma 16 3 5 7" xfId="40391" xr:uid="{00000000-0005-0000-0000-000019880000}"/>
    <cellStyle name="Comma 16 3 5 7 2" xfId="40392" xr:uid="{00000000-0005-0000-0000-00001A880000}"/>
    <cellStyle name="Comma 16 3 5 8" xfId="40393" xr:uid="{00000000-0005-0000-0000-00001B880000}"/>
    <cellStyle name="Comma 16 3 5 9" xfId="40394" xr:uid="{00000000-0005-0000-0000-00001C880000}"/>
    <cellStyle name="Comma 16 3 6" xfId="40395" xr:uid="{00000000-0005-0000-0000-00001D880000}"/>
    <cellStyle name="Comma 16 3 6 2" xfId="40396" xr:uid="{00000000-0005-0000-0000-00001E880000}"/>
    <cellStyle name="Comma 16 3 6 2 2" xfId="40397" xr:uid="{00000000-0005-0000-0000-00001F880000}"/>
    <cellStyle name="Comma 16 3 6 2 3" xfId="40398" xr:uid="{00000000-0005-0000-0000-000020880000}"/>
    <cellStyle name="Comma 16 3 6 3" xfId="40399" xr:uid="{00000000-0005-0000-0000-000021880000}"/>
    <cellStyle name="Comma 16 3 6 3 2" xfId="40400" xr:uid="{00000000-0005-0000-0000-000022880000}"/>
    <cellStyle name="Comma 16 3 6 3 3" xfId="40401" xr:uid="{00000000-0005-0000-0000-000023880000}"/>
    <cellStyle name="Comma 16 3 6 4" xfId="40402" xr:uid="{00000000-0005-0000-0000-000024880000}"/>
    <cellStyle name="Comma 16 3 6 4 2" xfId="40403" xr:uid="{00000000-0005-0000-0000-000025880000}"/>
    <cellStyle name="Comma 16 3 6 5" xfId="40404" xr:uid="{00000000-0005-0000-0000-000026880000}"/>
    <cellStyle name="Comma 16 3 6 6" xfId="40405" xr:uid="{00000000-0005-0000-0000-000027880000}"/>
    <cellStyle name="Comma 16 3 7" xfId="40406" xr:uid="{00000000-0005-0000-0000-000028880000}"/>
    <cellStyle name="Comma 16 3 7 2" xfId="40407" xr:uid="{00000000-0005-0000-0000-000029880000}"/>
    <cellStyle name="Comma 16 3 7 2 2" xfId="40408" xr:uid="{00000000-0005-0000-0000-00002A880000}"/>
    <cellStyle name="Comma 16 3 7 2 3" xfId="40409" xr:uid="{00000000-0005-0000-0000-00002B880000}"/>
    <cellStyle name="Comma 16 3 7 3" xfId="40410" xr:uid="{00000000-0005-0000-0000-00002C880000}"/>
    <cellStyle name="Comma 16 3 7 3 2" xfId="40411" xr:uid="{00000000-0005-0000-0000-00002D880000}"/>
    <cellStyle name="Comma 16 3 7 3 3" xfId="40412" xr:uid="{00000000-0005-0000-0000-00002E880000}"/>
    <cellStyle name="Comma 16 3 7 4" xfId="40413" xr:uid="{00000000-0005-0000-0000-00002F880000}"/>
    <cellStyle name="Comma 16 3 7 4 2" xfId="40414" xr:uid="{00000000-0005-0000-0000-000030880000}"/>
    <cellStyle name="Comma 16 3 7 5" xfId="40415" xr:uid="{00000000-0005-0000-0000-000031880000}"/>
    <cellStyle name="Comma 16 3 7 6" xfId="40416" xr:uid="{00000000-0005-0000-0000-000032880000}"/>
    <cellStyle name="Comma 16 3 8" xfId="40417" xr:uid="{00000000-0005-0000-0000-000033880000}"/>
    <cellStyle name="Comma 16 3 8 2" xfId="40418" xr:uid="{00000000-0005-0000-0000-000034880000}"/>
    <cellStyle name="Comma 16 3 8 2 2" xfId="40419" xr:uid="{00000000-0005-0000-0000-000035880000}"/>
    <cellStyle name="Comma 16 3 8 2 3" xfId="40420" xr:uid="{00000000-0005-0000-0000-000036880000}"/>
    <cellStyle name="Comma 16 3 8 3" xfId="40421" xr:uid="{00000000-0005-0000-0000-000037880000}"/>
    <cellStyle name="Comma 16 3 8 3 2" xfId="40422" xr:uid="{00000000-0005-0000-0000-000038880000}"/>
    <cellStyle name="Comma 16 3 8 4" xfId="40423" xr:uid="{00000000-0005-0000-0000-000039880000}"/>
    <cellStyle name="Comma 16 3 8 5" xfId="40424" xr:uid="{00000000-0005-0000-0000-00003A880000}"/>
    <cellStyle name="Comma 16 3 9" xfId="40425" xr:uid="{00000000-0005-0000-0000-00003B880000}"/>
    <cellStyle name="Comma 16 3 9 2" xfId="40426" xr:uid="{00000000-0005-0000-0000-00003C880000}"/>
    <cellStyle name="Comma 16 3 9 3" xfId="40427" xr:uid="{00000000-0005-0000-0000-00003D880000}"/>
    <cellStyle name="Comma 16 4" xfId="40428" xr:uid="{00000000-0005-0000-0000-00003E880000}"/>
    <cellStyle name="Comma 16 4 10" xfId="40429" xr:uid="{00000000-0005-0000-0000-00003F880000}"/>
    <cellStyle name="Comma 16 4 10 2" xfId="40430" xr:uid="{00000000-0005-0000-0000-000040880000}"/>
    <cellStyle name="Comma 16 4 11" xfId="40431" xr:uid="{00000000-0005-0000-0000-000041880000}"/>
    <cellStyle name="Comma 16 4 12" xfId="40432" xr:uid="{00000000-0005-0000-0000-000042880000}"/>
    <cellStyle name="Comma 16 4 2" xfId="40433" xr:uid="{00000000-0005-0000-0000-000043880000}"/>
    <cellStyle name="Comma 16 4 2 10" xfId="40434" xr:uid="{00000000-0005-0000-0000-000044880000}"/>
    <cellStyle name="Comma 16 4 2 2" xfId="40435" xr:uid="{00000000-0005-0000-0000-000045880000}"/>
    <cellStyle name="Comma 16 4 2 2 2" xfId="40436" xr:uid="{00000000-0005-0000-0000-000046880000}"/>
    <cellStyle name="Comma 16 4 2 2 2 2" xfId="40437" xr:uid="{00000000-0005-0000-0000-000047880000}"/>
    <cellStyle name="Comma 16 4 2 2 2 2 2" xfId="40438" xr:uid="{00000000-0005-0000-0000-000048880000}"/>
    <cellStyle name="Comma 16 4 2 2 2 2 3" xfId="40439" xr:uid="{00000000-0005-0000-0000-000049880000}"/>
    <cellStyle name="Comma 16 4 2 2 2 3" xfId="40440" xr:uid="{00000000-0005-0000-0000-00004A880000}"/>
    <cellStyle name="Comma 16 4 2 2 2 3 2" xfId="40441" xr:uid="{00000000-0005-0000-0000-00004B880000}"/>
    <cellStyle name="Comma 16 4 2 2 2 3 3" xfId="40442" xr:uid="{00000000-0005-0000-0000-00004C880000}"/>
    <cellStyle name="Comma 16 4 2 2 2 4" xfId="40443" xr:uid="{00000000-0005-0000-0000-00004D880000}"/>
    <cellStyle name="Comma 16 4 2 2 2 4 2" xfId="40444" xr:uid="{00000000-0005-0000-0000-00004E880000}"/>
    <cellStyle name="Comma 16 4 2 2 2 5" xfId="40445" xr:uid="{00000000-0005-0000-0000-00004F880000}"/>
    <cellStyle name="Comma 16 4 2 2 2 6" xfId="40446" xr:uid="{00000000-0005-0000-0000-000050880000}"/>
    <cellStyle name="Comma 16 4 2 2 3" xfId="40447" xr:uid="{00000000-0005-0000-0000-000051880000}"/>
    <cellStyle name="Comma 16 4 2 2 3 2" xfId="40448" xr:uid="{00000000-0005-0000-0000-000052880000}"/>
    <cellStyle name="Comma 16 4 2 2 3 2 2" xfId="40449" xr:uid="{00000000-0005-0000-0000-000053880000}"/>
    <cellStyle name="Comma 16 4 2 2 3 2 3" xfId="40450" xr:uid="{00000000-0005-0000-0000-000054880000}"/>
    <cellStyle name="Comma 16 4 2 2 3 3" xfId="40451" xr:uid="{00000000-0005-0000-0000-000055880000}"/>
    <cellStyle name="Comma 16 4 2 2 3 3 2" xfId="40452" xr:uid="{00000000-0005-0000-0000-000056880000}"/>
    <cellStyle name="Comma 16 4 2 2 3 3 3" xfId="40453" xr:uid="{00000000-0005-0000-0000-000057880000}"/>
    <cellStyle name="Comma 16 4 2 2 3 4" xfId="40454" xr:uid="{00000000-0005-0000-0000-000058880000}"/>
    <cellStyle name="Comma 16 4 2 2 3 4 2" xfId="40455" xr:uid="{00000000-0005-0000-0000-000059880000}"/>
    <cellStyle name="Comma 16 4 2 2 3 5" xfId="40456" xr:uid="{00000000-0005-0000-0000-00005A880000}"/>
    <cellStyle name="Comma 16 4 2 2 3 6" xfId="40457" xr:uid="{00000000-0005-0000-0000-00005B880000}"/>
    <cellStyle name="Comma 16 4 2 2 4" xfId="40458" xr:uid="{00000000-0005-0000-0000-00005C880000}"/>
    <cellStyle name="Comma 16 4 2 2 4 2" xfId="40459" xr:uid="{00000000-0005-0000-0000-00005D880000}"/>
    <cellStyle name="Comma 16 4 2 2 4 2 2" xfId="40460" xr:uid="{00000000-0005-0000-0000-00005E880000}"/>
    <cellStyle name="Comma 16 4 2 2 4 2 3" xfId="40461" xr:uid="{00000000-0005-0000-0000-00005F880000}"/>
    <cellStyle name="Comma 16 4 2 2 4 3" xfId="40462" xr:uid="{00000000-0005-0000-0000-000060880000}"/>
    <cellStyle name="Comma 16 4 2 2 4 3 2" xfId="40463" xr:uid="{00000000-0005-0000-0000-000061880000}"/>
    <cellStyle name="Comma 16 4 2 2 4 4" xfId="40464" xr:uid="{00000000-0005-0000-0000-000062880000}"/>
    <cellStyle name="Comma 16 4 2 2 4 5" xfId="40465" xr:uid="{00000000-0005-0000-0000-000063880000}"/>
    <cellStyle name="Comma 16 4 2 2 5" xfId="40466" xr:uid="{00000000-0005-0000-0000-000064880000}"/>
    <cellStyle name="Comma 16 4 2 2 5 2" xfId="40467" xr:uid="{00000000-0005-0000-0000-000065880000}"/>
    <cellStyle name="Comma 16 4 2 2 5 3" xfId="40468" xr:uid="{00000000-0005-0000-0000-000066880000}"/>
    <cellStyle name="Comma 16 4 2 2 6" xfId="40469" xr:uid="{00000000-0005-0000-0000-000067880000}"/>
    <cellStyle name="Comma 16 4 2 2 6 2" xfId="40470" xr:uid="{00000000-0005-0000-0000-000068880000}"/>
    <cellStyle name="Comma 16 4 2 2 6 3" xfId="40471" xr:uid="{00000000-0005-0000-0000-000069880000}"/>
    <cellStyle name="Comma 16 4 2 2 7" xfId="40472" xr:uid="{00000000-0005-0000-0000-00006A880000}"/>
    <cellStyle name="Comma 16 4 2 2 7 2" xfId="40473" xr:uid="{00000000-0005-0000-0000-00006B880000}"/>
    <cellStyle name="Comma 16 4 2 2 8" xfId="40474" xr:uid="{00000000-0005-0000-0000-00006C880000}"/>
    <cellStyle name="Comma 16 4 2 2 9" xfId="40475" xr:uid="{00000000-0005-0000-0000-00006D880000}"/>
    <cellStyle name="Comma 16 4 2 3" xfId="40476" xr:uid="{00000000-0005-0000-0000-00006E880000}"/>
    <cellStyle name="Comma 16 4 2 3 2" xfId="40477" xr:uid="{00000000-0005-0000-0000-00006F880000}"/>
    <cellStyle name="Comma 16 4 2 3 2 2" xfId="40478" xr:uid="{00000000-0005-0000-0000-000070880000}"/>
    <cellStyle name="Comma 16 4 2 3 2 3" xfId="40479" xr:uid="{00000000-0005-0000-0000-000071880000}"/>
    <cellStyle name="Comma 16 4 2 3 3" xfId="40480" xr:uid="{00000000-0005-0000-0000-000072880000}"/>
    <cellStyle name="Comma 16 4 2 3 3 2" xfId="40481" xr:uid="{00000000-0005-0000-0000-000073880000}"/>
    <cellStyle name="Comma 16 4 2 3 3 3" xfId="40482" xr:uid="{00000000-0005-0000-0000-000074880000}"/>
    <cellStyle name="Comma 16 4 2 3 4" xfId="40483" xr:uid="{00000000-0005-0000-0000-000075880000}"/>
    <cellStyle name="Comma 16 4 2 3 4 2" xfId="40484" xr:uid="{00000000-0005-0000-0000-000076880000}"/>
    <cellStyle name="Comma 16 4 2 3 5" xfId="40485" xr:uid="{00000000-0005-0000-0000-000077880000}"/>
    <cellStyle name="Comma 16 4 2 3 6" xfId="40486" xr:uid="{00000000-0005-0000-0000-000078880000}"/>
    <cellStyle name="Comma 16 4 2 4" xfId="40487" xr:uid="{00000000-0005-0000-0000-000079880000}"/>
    <cellStyle name="Comma 16 4 2 4 2" xfId="40488" xr:uid="{00000000-0005-0000-0000-00007A880000}"/>
    <cellStyle name="Comma 16 4 2 4 2 2" xfId="40489" xr:uid="{00000000-0005-0000-0000-00007B880000}"/>
    <cellStyle name="Comma 16 4 2 4 2 3" xfId="40490" xr:uid="{00000000-0005-0000-0000-00007C880000}"/>
    <cellStyle name="Comma 16 4 2 4 3" xfId="40491" xr:uid="{00000000-0005-0000-0000-00007D880000}"/>
    <cellStyle name="Comma 16 4 2 4 3 2" xfId="40492" xr:uid="{00000000-0005-0000-0000-00007E880000}"/>
    <cellStyle name="Comma 16 4 2 4 3 3" xfId="40493" xr:uid="{00000000-0005-0000-0000-00007F880000}"/>
    <cellStyle name="Comma 16 4 2 4 4" xfId="40494" xr:uid="{00000000-0005-0000-0000-000080880000}"/>
    <cellStyle name="Comma 16 4 2 4 4 2" xfId="40495" xr:uid="{00000000-0005-0000-0000-000081880000}"/>
    <cellStyle name="Comma 16 4 2 4 5" xfId="40496" xr:uid="{00000000-0005-0000-0000-000082880000}"/>
    <cellStyle name="Comma 16 4 2 4 6" xfId="40497" xr:uid="{00000000-0005-0000-0000-000083880000}"/>
    <cellStyle name="Comma 16 4 2 5" xfId="40498" xr:uid="{00000000-0005-0000-0000-000084880000}"/>
    <cellStyle name="Comma 16 4 2 5 2" xfId="40499" xr:uid="{00000000-0005-0000-0000-000085880000}"/>
    <cellStyle name="Comma 16 4 2 5 2 2" xfId="40500" xr:uid="{00000000-0005-0000-0000-000086880000}"/>
    <cellStyle name="Comma 16 4 2 5 2 3" xfId="40501" xr:uid="{00000000-0005-0000-0000-000087880000}"/>
    <cellStyle name="Comma 16 4 2 5 3" xfId="40502" xr:uid="{00000000-0005-0000-0000-000088880000}"/>
    <cellStyle name="Comma 16 4 2 5 3 2" xfId="40503" xr:uid="{00000000-0005-0000-0000-000089880000}"/>
    <cellStyle name="Comma 16 4 2 5 4" xfId="40504" xr:uid="{00000000-0005-0000-0000-00008A880000}"/>
    <cellStyle name="Comma 16 4 2 5 5" xfId="40505" xr:uid="{00000000-0005-0000-0000-00008B880000}"/>
    <cellStyle name="Comma 16 4 2 6" xfId="40506" xr:uid="{00000000-0005-0000-0000-00008C880000}"/>
    <cellStyle name="Comma 16 4 2 6 2" xfId="40507" xr:uid="{00000000-0005-0000-0000-00008D880000}"/>
    <cellStyle name="Comma 16 4 2 6 3" xfId="40508" xr:uid="{00000000-0005-0000-0000-00008E880000}"/>
    <cellStyle name="Comma 16 4 2 7" xfId="40509" xr:uid="{00000000-0005-0000-0000-00008F880000}"/>
    <cellStyle name="Comma 16 4 2 7 2" xfId="40510" xr:uid="{00000000-0005-0000-0000-000090880000}"/>
    <cellStyle name="Comma 16 4 2 7 3" xfId="40511" xr:uid="{00000000-0005-0000-0000-000091880000}"/>
    <cellStyle name="Comma 16 4 2 8" xfId="40512" xr:uid="{00000000-0005-0000-0000-000092880000}"/>
    <cellStyle name="Comma 16 4 2 8 2" xfId="40513" xr:uid="{00000000-0005-0000-0000-000093880000}"/>
    <cellStyle name="Comma 16 4 2 9" xfId="40514" xr:uid="{00000000-0005-0000-0000-000094880000}"/>
    <cellStyle name="Comma 16 4 3" xfId="40515" xr:uid="{00000000-0005-0000-0000-000095880000}"/>
    <cellStyle name="Comma 16 4 3 2" xfId="40516" xr:uid="{00000000-0005-0000-0000-000096880000}"/>
    <cellStyle name="Comma 16 4 3 2 2" xfId="40517" xr:uid="{00000000-0005-0000-0000-000097880000}"/>
    <cellStyle name="Comma 16 4 3 2 2 2" xfId="40518" xr:uid="{00000000-0005-0000-0000-000098880000}"/>
    <cellStyle name="Comma 16 4 3 2 2 3" xfId="40519" xr:uid="{00000000-0005-0000-0000-000099880000}"/>
    <cellStyle name="Comma 16 4 3 2 3" xfId="40520" xr:uid="{00000000-0005-0000-0000-00009A880000}"/>
    <cellStyle name="Comma 16 4 3 2 3 2" xfId="40521" xr:uid="{00000000-0005-0000-0000-00009B880000}"/>
    <cellStyle name="Comma 16 4 3 2 3 3" xfId="40522" xr:uid="{00000000-0005-0000-0000-00009C880000}"/>
    <cellStyle name="Comma 16 4 3 2 4" xfId="40523" xr:uid="{00000000-0005-0000-0000-00009D880000}"/>
    <cellStyle name="Comma 16 4 3 2 4 2" xfId="40524" xr:uid="{00000000-0005-0000-0000-00009E880000}"/>
    <cellStyle name="Comma 16 4 3 2 5" xfId="40525" xr:uid="{00000000-0005-0000-0000-00009F880000}"/>
    <cellStyle name="Comma 16 4 3 2 6" xfId="40526" xr:uid="{00000000-0005-0000-0000-0000A0880000}"/>
    <cellStyle name="Comma 16 4 3 3" xfId="40527" xr:uid="{00000000-0005-0000-0000-0000A1880000}"/>
    <cellStyle name="Comma 16 4 3 3 2" xfId="40528" xr:uid="{00000000-0005-0000-0000-0000A2880000}"/>
    <cellStyle name="Comma 16 4 3 3 2 2" xfId="40529" xr:uid="{00000000-0005-0000-0000-0000A3880000}"/>
    <cellStyle name="Comma 16 4 3 3 2 3" xfId="40530" xr:uid="{00000000-0005-0000-0000-0000A4880000}"/>
    <cellStyle name="Comma 16 4 3 3 3" xfId="40531" xr:uid="{00000000-0005-0000-0000-0000A5880000}"/>
    <cellStyle name="Comma 16 4 3 3 3 2" xfId="40532" xr:uid="{00000000-0005-0000-0000-0000A6880000}"/>
    <cellStyle name="Comma 16 4 3 3 3 3" xfId="40533" xr:uid="{00000000-0005-0000-0000-0000A7880000}"/>
    <cellStyle name="Comma 16 4 3 3 4" xfId="40534" xr:uid="{00000000-0005-0000-0000-0000A8880000}"/>
    <cellStyle name="Comma 16 4 3 3 4 2" xfId="40535" xr:uid="{00000000-0005-0000-0000-0000A9880000}"/>
    <cellStyle name="Comma 16 4 3 3 5" xfId="40536" xr:uid="{00000000-0005-0000-0000-0000AA880000}"/>
    <cellStyle name="Comma 16 4 3 3 6" xfId="40537" xr:uid="{00000000-0005-0000-0000-0000AB880000}"/>
    <cellStyle name="Comma 16 4 3 4" xfId="40538" xr:uid="{00000000-0005-0000-0000-0000AC880000}"/>
    <cellStyle name="Comma 16 4 3 4 2" xfId="40539" xr:uid="{00000000-0005-0000-0000-0000AD880000}"/>
    <cellStyle name="Comma 16 4 3 4 2 2" xfId="40540" xr:uid="{00000000-0005-0000-0000-0000AE880000}"/>
    <cellStyle name="Comma 16 4 3 4 2 3" xfId="40541" xr:uid="{00000000-0005-0000-0000-0000AF880000}"/>
    <cellStyle name="Comma 16 4 3 4 3" xfId="40542" xr:uid="{00000000-0005-0000-0000-0000B0880000}"/>
    <cellStyle name="Comma 16 4 3 4 3 2" xfId="40543" xr:uid="{00000000-0005-0000-0000-0000B1880000}"/>
    <cellStyle name="Comma 16 4 3 4 4" xfId="40544" xr:uid="{00000000-0005-0000-0000-0000B2880000}"/>
    <cellStyle name="Comma 16 4 3 4 5" xfId="40545" xr:uid="{00000000-0005-0000-0000-0000B3880000}"/>
    <cellStyle name="Comma 16 4 3 5" xfId="40546" xr:uid="{00000000-0005-0000-0000-0000B4880000}"/>
    <cellStyle name="Comma 16 4 3 5 2" xfId="40547" xr:uid="{00000000-0005-0000-0000-0000B5880000}"/>
    <cellStyle name="Comma 16 4 3 5 3" xfId="40548" xr:uid="{00000000-0005-0000-0000-0000B6880000}"/>
    <cellStyle name="Comma 16 4 3 6" xfId="40549" xr:uid="{00000000-0005-0000-0000-0000B7880000}"/>
    <cellStyle name="Comma 16 4 3 6 2" xfId="40550" xr:uid="{00000000-0005-0000-0000-0000B8880000}"/>
    <cellStyle name="Comma 16 4 3 6 3" xfId="40551" xr:uid="{00000000-0005-0000-0000-0000B9880000}"/>
    <cellStyle name="Comma 16 4 3 7" xfId="40552" xr:uid="{00000000-0005-0000-0000-0000BA880000}"/>
    <cellStyle name="Comma 16 4 3 7 2" xfId="40553" xr:uid="{00000000-0005-0000-0000-0000BB880000}"/>
    <cellStyle name="Comma 16 4 3 8" xfId="40554" xr:uid="{00000000-0005-0000-0000-0000BC880000}"/>
    <cellStyle name="Comma 16 4 3 9" xfId="40555" xr:uid="{00000000-0005-0000-0000-0000BD880000}"/>
    <cellStyle name="Comma 16 4 4" xfId="40556" xr:uid="{00000000-0005-0000-0000-0000BE880000}"/>
    <cellStyle name="Comma 16 4 4 2" xfId="40557" xr:uid="{00000000-0005-0000-0000-0000BF880000}"/>
    <cellStyle name="Comma 16 4 4 2 2" xfId="40558" xr:uid="{00000000-0005-0000-0000-0000C0880000}"/>
    <cellStyle name="Comma 16 4 4 2 2 2" xfId="40559" xr:uid="{00000000-0005-0000-0000-0000C1880000}"/>
    <cellStyle name="Comma 16 4 4 2 2 3" xfId="40560" xr:uid="{00000000-0005-0000-0000-0000C2880000}"/>
    <cellStyle name="Comma 16 4 4 2 3" xfId="40561" xr:uid="{00000000-0005-0000-0000-0000C3880000}"/>
    <cellStyle name="Comma 16 4 4 2 3 2" xfId="40562" xr:uid="{00000000-0005-0000-0000-0000C4880000}"/>
    <cellStyle name="Comma 16 4 4 2 3 3" xfId="40563" xr:uid="{00000000-0005-0000-0000-0000C5880000}"/>
    <cellStyle name="Comma 16 4 4 2 4" xfId="40564" xr:uid="{00000000-0005-0000-0000-0000C6880000}"/>
    <cellStyle name="Comma 16 4 4 2 4 2" xfId="40565" xr:uid="{00000000-0005-0000-0000-0000C7880000}"/>
    <cellStyle name="Comma 16 4 4 2 5" xfId="40566" xr:uid="{00000000-0005-0000-0000-0000C8880000}"/>
    <cellStyle name="Comma 16 4 4 2 6" xfId="40567" xr:uid="{00000000-0005-0000-0000-0000C9880000}"/>
    <cellStyle name="Comma 16 4 4 3" xfId="40568" xr:uid="{00000000-0005-0000-0000-0000CA880000}"/>
    <cellStyle name="Comma 16 4 4 3 2" xfId="40569" xr:uid="{00000000-0005-0000-0000-0000CB880000}"/>
    <cellStyle name="Comma 16 4 4 3 2 2" xfId="40570" xr:uid="{00000000-0005-0000-0000-0000CC880000}"/>
    <cellStyle name="Comma 16 4 4 3 2 3" xfId="40571" xr:uid="{00000000-0005-0000-0000-0000CD880000}"/>
    <cellStyle name="Comma 16 4 4 3 3" xfId="40572" xr:uid="{00000000-0005-0000-0000-0000CE880000}"/>
    <cellStyle name="Comma 16 4 4 3 3 2" xfId="40573" xr:uid="{00000000-0005-0000-0000-0000CF880000}"/>
    <cellStyle name="Comma 16 4 4 3 3 3" xfId="40574" xr:uid="{00000000-0005-0000-0000-0000D0880000}"/>
    <cellStyle name="Comma 16 4 4 3 4" xfId="40575" xr:uid="{00000000-0005-0000-0000-0000D1880000}"/>
    <cellStyle name="Comma 16 4 4 3 4 2" xfId="40576" xr:uid="{00000000-0005-0000-0000-0000D2880000}"/>
    <cellStyle name="Comma 16 4 4 3 5" xfId="40577" xr:uid="{00000000-0005-0000-0000-0000D3880000}"/>
    <cellStyle name="Comma 16 4 4 3 6" xfId="40578" xr:uid="{00000000-0005-0000-0000-0000D4880000}"/>
    <cellStyle name="Comma 16 4 4 4" xfId="40579" xr:uid="{00000000-0005-0000-0000-0000D5880000}"/>
    <cellStyle name="Comma 16 4 4 4 2" xfId="40580" xr:uid="{00000000-0005-0000-0000-0000D6880000}"/>
    <cellStyle name="Comma 16 4 4 4 2 2" xfId="40581" xr:uid="{00000000-0005-0000-0000-0000D7880000}"/>
    <cellStyle name="Comma 16 4 4 4 2 3" xfId="40582" xr:uid="{00000000-0005-0000-0000-0000D8880000}"/>
    <cellStyle name="Comma 16 4 4 4 3" xfId="40583" xr:uid="{00000000-0005-0000-0000-0000D9880000}"/>
    <cellStyle name="Comma 16 4 4 4 3 2" xfId="40584" xr:uid="{00000000-0005-0000-0000-0000DA880000}"/>
    <cellStyle name="Comma 16 4 4 4 4" xfId="40585" xr:uid="{00000000-0005-0000-0000-0000DB880000}"/>
    <cellStyle name="Comma 16 4 4 4 5" xfId="40586" xr:uid="{00000000-0005-0000-0000-0000DC880000}"/>
    <cellStyle name="Comma 16 4 4 5" xfId="40587" xr:uid="{00000000-0005-0000-0000-0000DD880000}"/>
    <cellStyle name="Comma 16 4 4 5 2" xfId="40588" xr:uid="{00000000-0005-0000-0000-0000DE880000}"/>
    <cellStyle name="Comma 16 4 4 5 3" xfId="40589" xr:uid="{00000000-0005-0000-0000-0000DF880000}"/>
    <cellStyle name="Comma 16 4 4 6" xfId="40590" xr:uid="{00000000-0005-0000-0000-0000E0880000}"/>
    <cellStyle name="Comma 16 4 4 6 2" xfId="40591" xr:uid="{00000000-0005-0000-0000-0000E1880000}"/>
    <cellStyle name="Comma 16 4 4 6 3" xfId="40592" xr:uid="{00000000-0005-0000-0000-0000E2880000}"/>
    <cellStyle name="Comma 16 4 4 7" xfId="40593" xr:uid="{00000000-0005-0000-0000-0000E3880000}"/>
    <cellStyle name="Comma 16 4 4 7 2" xfId="40594" xr:uid="{00000000-0005-0000-0000-0000E4880000}"/>
    <cellStyle name="Comma 16 4 4 8" xfId="40595" xr:uid="{00000000-0005-0000-0000-0000E5880000}"/>
    <cellStyle name="Comma 16 4 4 9" xfId="40596" xr:uid="{00000000-0005-0000-0000-0000E6880000}"/>
    <cellStyle name="Comma 16 4 5" xfId="40597" xr:uid="{00000000-0005-0000-0000-0000E7880000}"/>
    <cellStyle name="Comma 16 4 5 2" xfId="40598" xr:uid="{00000000-0005-0000-0000-0000E8880000}"/>
    <cellStyle name="Comma 16 4 5 2 2" xfId="40599" xr:uid="{00000000-0005-0000-0000-0000E9880000}"/>
    <cellStyle name="Comma 16 4 5 2 3" xfId="40600" xr:uid="{00000000-0005-0000-0000-0000EA880000}"/>
    <cellStyle name="Comma 16 4 5 3" xfId="40601" xr:uid="{00000000-0005-0000-0000-0000EB880000}"/>
    <cellStyle name="Comma 16 4 5 3 2" xfId="40602" xr:uid="{00000000-0005-0000-0000-0000EC880000}"/>
    <cellStyle name="Comma 16 4 5 3 3" xfId="40603" xr:uid="{00000000-0005-0000-0000-0000ED880000}"/>
    <cellStyle name="Comma 16 4 5 4" xfId="40604" xr:uid="{00000000-0005-0000-0000-0000EE880000}"/>
    <cellStyle name="Comma 16 4 5 4 2" xfId="40605" xr:uid="{00000000-0005-0000-0000-0000EF880000}"/>
    <cellStyle name="Comma 16 4 5 5" xfId="40606" xr:uid="{00000000-0005-0000-0000-0000F0880000}"/>
    <cellStyle name="Comma 16 4 5 6" xfId="40607" xr:uid="{00000000-0005-0000-0000-0000F1880000}"/>
    <cellStyle name="Comma 16 4 6" xfId="40608" xr:uid="{00000000-0005-0000-0000-0000F2880000}"/>
    <cellStyle name="Comma 16 4 6 2" xfId="40609" xr:uid="{00000000-0005-0000-0000-0000F3880000}"/>
    <cellStyle name="Comma 16 4 6 2 2" xfId="40610" xr:uid="{00000000-0005-0000-0000-0000F4880000}"/>
    <cellStyle name="Comma 16 4 6 2 3" xfId="40611" xr:uid="{00000000-0005-0000-0000-0000F5880000}"/>
    <cellStyle name="Comma 16 4 6 3" xfId="40612" xr:uid="{00000000-0005-0000-0000-0000F6880000}"/>
    <cellStyle name="Comma 16 4 6 3 2" xfId="40613" xr:uid="{00000000-0005-0000-0000-0000F7880000}"/>
    <cellStyle name="Comma 16 4 6 3 3" xfId="40614" xr:uid="{00000000-0005-0000-0000-0000F8880000}"/>
    <cellStyle name="Comma 16 4 6 4" xfId="40615" xr:uid="{00000000-0005-0000-0000-0000F9880000}"/>
    <cellStyle name="Comma 16 4 6 4 2" xfId="40616" xr:uid="{00000000-0005-0000-0000-0000FA880000}"/>
    <cellStyle name="Comma 16 4 6 5" xfId="40617" xr:uid="{00000000-0005-0000-0000-0000FB880000}"/>
    <cellStyle name="Comma 16 4 6 6" xfId="40618" xr:uid="{00000000-0005-0000-0000-0000FC880000}"/>
    <cellStyle name="Comma 16 4 7" xfId="40619" xr:uid="{00000000-0005-0000-0000-0000FD880000}"/>
    <cellStyle name="Comma 16 4 7 2" xfId="40620" xr:uid="{00000000-0005-0000-0000-0000FE880000}"/>
    <cellStyle name="Comma 16 4 7 2 2" xfId="40621" xr:uid="{00000000-0005-0000-0000-0000FF880000}"/>
    <cellStyle name="Comma 16 4 7 2 3" xfId="40622" xr:uid="{00000000-0005-0000-0000-000000890000}"/>
    <cellStyle name="Comma 16 4 7 3" xfId="40623" xr:uid="{00000000-0005-0000-0000-000001890000}"/>
    <cellStyle name="Comma 16 4 7 3 2" xfId="40624" xr:uid="{00000000-0005-0000-0000-000002890000}"/>
    <cellStyle name="Comma 16 4 7 4" xfId="40625" xr:uid="{00000000-0005-0000-0000-000003890000}"/>
    <cellStyle name="Comma 16 4 7 5" xfId="40626" xr:uid="{00000000-0005-0000-0000-000004890000}"/>
    <cellStyle name="Comma 16 4 8" xfId="40627" xr:uid="{00000000-0005-0000-0000-000005890000}"/>
    <cellStyle name="Comma 16 4 8 2" xfId="40628" xr:uid="{00000000-0005-0000-0000-000006890000}"/>
    <cellStyle name="Comma 16 4 8 3" xfId="40629" xr:uid="{00000000-0005-0000-0000-000007890000}"/>
    <cellStyle name="Comma 16 4 9" xfId="40630" xr:uid="{00000000-0005-0000-0000-000008890000}"/>
    <cellStyle name="Comma 16 4 9 2" xfId="40631" xr:uid="{00000000-0005-0000-0000-000009890000}"/>
    <cellStyle name="Comma 16 4 9 3" xfId="40632" xr:uid="{00000000-0005-0000-0000-00000A890000}"/>
    <cellStyle name="Comma 16 5" xfId="40633" xr:uid="{00000000-0005-0000-0000-00000B890000}"/>
    <cellStyle name="Comma 16 5 10" xfId="40634" xr:uid="{00000000-0005-0000-0000-00000C890000}"/>
    <cellStyle name="Comma 16 5 2" xfId="40635" xr:uid="{00000000-0005-0000-0000-00000D890000}"/>
    <cellStyle name="Comma 16 5 2 2" xfId="40636" xr:uid="{00000000-0005-0000-0000-00000E890000}"/>
    <cellStyle name="Comma 16 5 2 2 2" xfId="40637" xr:uid="{00000000-0005-0000-0000-00000F890000}"/>
    <cellStyle name="Comma 16 5 2 2 2 2" xfId="40638" xr:uid="{00000000-0005-0000-0000-000010890000}"/>
    <cellStyle name="Comma 16 5 2 2 2 3" xfId="40639" xr:uid="{00000000-0005-0000-0000-000011890000}"/>
    <cellStyle name="Comma 16 5 2 2 3" xfId="40640" xr:uid="{00000000-0005-0000-0000-000012890000}"/>
    <cellStyle name="Comma 16 5 2 2 3 2" xfId="40641" xr:uid="{00000000-0005-0000-0000-000013890000}"/>
    <cellStyle name="Comma 16 5 2 2 3 3" xfId="40642" xr:uid="{00000000-0005-0000-0000-000014890000}"/>
    <cellStyle name="Comma 16 5 2 2 4" xfId="40643" xr:uid="{00000000-0005-0000-0000-000015890000}"/>
    <cellStyle name="Comma 16 5 2 2 4 2" xfId="40644" xr:uid="{00000000-0005-0000-0000-000016890000}"/>
    <cellStyle name="Comma 16 5 2 2 5" xfId="40645" xr:uid="{00000000-0005-0000-0000-000017890000}"/>
    <cellStyle name="Comma 16 5 2 2 6" xfId="40646" xr:uid="{00000000-0005-0000-0000-000018890000}"/>
    <cellStyle name="Comma 16 5 2 3" xfId="40647" xr:uid="{00000000-0005-0000-0000-000019890000}"/>
    <cellStyle name="Comma 16 5 2 3 2" xfId="40648" xr:uid="{00000000-0005-0000-0000-00001A890000}"/>
    <cellStyle name="Comma 16 5 2 3 2 2" xfId="40649" xr:uid="{00000000-0005-0000-0000-00001B890000}"/>
    <cellStyle name="Comma 16 5 2 3 2 3" xfId="40650" xr:uid="{00000000-0005-0000-0000-00001C890000}"/>
    <cellStyle name="Comma 16 5 2 3 3" xfId="40651" xr:uid="{00000000-0005-0000-0000-00001D890000}"/>
    <cellStyle name="Comma 16 5 2 3 3 2" xfId="40652" xr:uid="{00000000-0005-0000-0000-00001E890000}"/>
    <cellStyle name="Comma 16 5 2 3 3 3" xfId="40653" xr:uid="{00000000-0005-0000-0000-00001F890000}"/>
    <cellStyle name="Comma 16 5 2 3 4" xfId="40654" xr:uid="{00000000-0005-0000-0000-000020890000}"/>
    <cellStyle name="Comma 16 5 2 3 4 2" xfId="40655" xr:uid="{00000000-0005-0000-0000-000021890000}"/>
    <cellStyle name="Comma 16 5 2 3 5" xfId="40656" xr:uid="{00000000-0005-0000-0000-000022890000}"/>
    <cellStyle name="Comma 16 5 2 3 6" xfId="40657" xr:uid="{00000000-0005-0000-0000-000023890000}"/>
    <cellStyle name="Comma 16 5 2 4" xfId="40658" xr:uid="{00000000-0005-0000-0000-000024890000}"/>
    <cellStyle name="Comma 16 5 2 4 2" xfId="40659" xr:uid="{00000000-0005-0000-0000-000025890000}"/>
    <cellStyle name="Comma 16 5 2 4 2 2" xfId="40660" xr:uid="{00000000-0005-0000-0000-000026890000}"/>
    <cellStyle name="Comma 16 5 2 4 2 3" xfId="40661" xr:uid="{00000000-0005-0000-0000-000027890000}"/>
    <cellStyle name="Comma 16 5 2 4 3" xfId="40662" xr:uid="{00000000-0005-0000-0000-000028890000}"/>
    <cellStyle name="Comma 16 5 2 4 3 2" xfId="40663" xr:uid="{00000000-0005-0000-0000-000029890000}"/>
    <cellStyle name="Comma 16 5 2 4 4" xfId="40664" xr:uid="{00000000-0005-0000-0000-00002A890000}"/>
    <cellStyle name="Comma 16 5 2 4 5" xfId="40665" xr:uid="{00000000-0005-0000-0000-00002B890000}"/>
    <cellStyle name="Comma 16 5 2 5" xfId="40666" xr:uid="{00000000-0005-0000-0000-00002C890000}"/>
    <cellStyle name="Comma 16 5 2 5 2" xfId="40667" xr:uid="{00000000-0005-0000-0000-00002D890000}"/>
    <cellStyle name="Comma 16 5 2 5 3" xfId="40668" xr:uid="{00000000-0005-0000-0000-00002E890000}"/>
    <cellStyle name="Comma 16 5 2 6" xfId="40669" xr:uid="{00000000-0005-0000-0000-00002F890000}"/>
    <cellStyle name="Comma 16 5 2 6 2" xfId="40670" xr:uid="{00000000-0005-0000-0000-000030890000}"/>
    <cellStyle name="Comma 16 5 2 6 3" xfId="40671" xr:uid="{00000000-0005-0000-0000-000031890000}"/>
    <cellStyle name="Comma 16 5 2 7" xfId="40672" xr:uid="{00000000-0005-0000-0000-000032890000}"/>
    <cellStyle name="Comma 16 5 2 7 2" xfId="40673" xr:uid="{00000000-0005-0000-0000-000033890000}"/>
    <cellStyle name="Comma 16 5 2 8" xfId="40674" xr:uid="{00000000-0005-0000-0000-000034890000}"/>
    <cellStyle name="Comma 16 5 2 9" xfId="40675" xr:uid="{00000000-0005-0000-0000-000035890000}"/>
    <cellStyle name="Comma 16 5 3" xfId="40676" xr:uid="{00000000-0005-0000-0000-000036890000}"/>
    <cellStyle name="Comma 16 5 3 2" xfId="40677" xr:uid="{00000000-0005-0000-0000-000037890000}"/>
    <cellStyle name="Comma 16 5 3 2 2" xfId="40678" xr:uid="{00000000-0005-0000-0000-000038890000}"/>
    <cellStyle name="Comma 16 5 3 2 3" xfId="40679" xr:uid="{00000000-0005-0000-0000-000039890000}"/>
    <cellStyle name="Comma 16 5 3 3" xfId="40680" xr:uid="{00000000-0005-0000-0000-00003A890000}"/>
    <cellStyle name="Comma 16 5 3 3 2" xfId="40681" xr:uid="{00000000-0005-0000-0000-00003B890000}"/>
    <cellStyle name="Comma 16 5 3 3 3" xfId="40682" xr:uid="{00000000-0005-0000-0000-00003C890000}"/>
    <cellStyle name="Comma 16 5 3 4" xfId="40683" xr:uid="{00000000-0005-0000-0000-00003D890000}"/>
    <cellStyle name="Comma 16 5 3 4 2" xfId="40684" xr:uid="{00000000-0005-0000-0000-00003E890000}"/>
    <cellStyle name="Comma 16 5 3 5" xfId="40685" xr:uid="{00000000-0005-0000-0000-00003F890000}"/>
    <cellStyle name="Comma 16 5 3 6" xfId="40686" xr:uid="{00000000-0005-0000-0000-000040890000}"/>
    <cellStyle name="Comma 16 5 4" xfId="40687" xr:uid="{00000000-0005-0000-0000-000041890000}"/>
    <cellStyle name="Comma 16 5 4 2" xfId="40688" xr:uid="{00000000-0005-0000-0000-000042890000}"/>
    <cellStyle name="Comma 16 5 4 2 2" xfId="40689" xr:uid="{00000000-0005-0000-0000-000043890000}"/>
    <cellStyle name="Comma 16 5 4 2 3" xfId="40690" xr:uid="{00000000-0005-0000-0000-000044890000}"/>
    <cellStyle name="Comma 16 5 4 3" xfId="40691" xr:uid="{00000000-0005-0000-0000-000045890000}"/>
    <cellStyle name="Comma 16 5 4 3 2" xfId="40692" xr:uid="{00000000-0005-0000-0000-000046890000}"/>
    <cellStyle name="Comma 16 5 4 3 3" xfId="40693" xr:uid="{00000000-0005-0000-0000-000047890000}"/>
    <cellStyle name="Comma 16 5 4 4" xfId="40694" xr:uid="{00000000-0005-0000-0000-000048890000}"/>
    <cellStyle name="Comma 16 5 4 4 2" xfId="40695" xr:uid="{00000000-0005-0000-0000-000049890000}"/>
    <cellStyle name="Comma 16 5 4 5" xfId="40696" xr:uid="{00000000-0005-0000-0000-00004A890000}"/>
    <cellStyle name="Comma 16 5 4 6" xfId="40697" xr:uid="{00000000-0005-0000-0000-00004B890000}"/>
    <cellStyle name="Comma 16 5 5" xfId="40698" xr:uid="{00000000-0005-0000-0000-00004C890000}"/>
    <cellStyle name="Comma 16 5 5 2" xfId="40699" xr:uid="{00000000-0005-0000-0000-00004D890000}"/>
    <cellStyle name="Comma 16 5 5 2 2" xfId="40700" xr:uid="{00000000-0005-0000-0000-00004E890000}"/>
    <cellStyle name="Comma 16 5 5 2 3" xfId="40701" xr:uid="{00000000-0005-0000-0000-00004F890000}"/>
    <cellStyle name="Comma 16 5 5 3" xfId="40702" xr:uid="{00000000-0005-0000-0000-000050890000}"/>
    <cellStyle name="Comma 16 5 5 3 2" xfId="40703" xr:uid="{00000000-0005-0000-0000-000051890000}"/>
    <cellStyle name="Comma 16 5 5 4" xfId="40704" xr:uid="{00000000-0005-0000-0000-000052890000}"/>
    <cellStyle name="Comma 16 5 5 5" xfId="40705" xr:uid="{00000000-0005-0000-0000-000053890000}"/>
    <cellStyle name="Comma 16 5 6" xfId="40706" xr:uid="{00000000-0005-0000-0000-000054890000}"/>
    <cellStyle name="Comma 16 5 6 2" xfId="40707" xr:uid="{00000000-0005-0000-0000-000055890000}"/>
    <cellStyle name="Comma 16 5 6 3" xfId="40708" xr:uid="{00000000-0005-0000-0000-000056890000}"/>
    <cellStyle name="Comma 16 5 7" xfId="40709" xr:uid="{00000000-0005-0000-0000-000057890000}"/>
    <cellStyle name="Comma 16 5 7 2" xfId="40710" xr:uid="{00000000-0005-0000-0000-000058890000}"/>
    <cellStyle name="Comma 16 5 7 3" xfId="40711" xr:uid="{00000000-0005-0000-0000-000059890000}"/>
    <cellStyle name="Comma 16 5 8" xfId="40712" xr:uid="{00000000-0005-0000-0000-00005A890000}"/>
    <cellStyle name="Comma 16 5 8 2" xfId="40713" xr:uid="{00000000-0005-0000-0000-00005B890000}"/>
    <cellStyle name="Comma 16 5 9" xfId="40714" xr:uid="{00000000-0005-0000-0000-00005C890000}"/>
    <cellStyle name="Comma 16 6" xfId="40715" xr:uid="{00000000-0005-0000-0000-00005D890000}"/>
    <cellStyle name="Comma 16 6 2" xfId="40716" xr:uid="{00000000-0005-0000-0000-00005E890000}"/>
    <cellStyle name="Comma 16 6 2 2" xfId="40717" xr:uid="{00000000-0005-0000-0000-00005F890000}"/>
    <cellStyle name="Comma 16 6 2 2 2" xfId="40718" xr:uid="{00000000-0005-0000-0000-000060890000}"/>
    <cellStyle name="Comma 16 6 2 2 3" xfId="40719" xr:uid="{00000000-0005-0000-0000-000061890000}"/>
    <cellStyle name="Comma 16 6 2 3" xfId="40720" xr:uid="{00000000-0005-0000-0000-000062890000}"/>
    <cellStyle name="Comma 16 6 2 3 2" xfId="40721" xr:uid="{00000000-0005-0000-0000-000063890000}"/>
    <cellStyle name="Comma 16 6 2 3 3" xfId="40722" xr:uid="{00000000-0005-0000-0000-000064890000}"/>
    <cellStyle name="Comma 16 6 2 4" xfId="40723" xr:uid="{00000000-0005-0000-0000-000065890000}"/>
    <cellStyle name="Comma 16 6 2 4 2" xfId="40724" xr:uid="{00000000-0005-0000-0000-000066890000}"/>
    <cellStyle name="Comma 16 6 2 5" xfId="40725" xr:uid="{00000000-0005-0000-0000-000067890000}"/>
    <cellStyle name="Comma 16 6 2 6" xfId="40726" xr:uid="{00000000-0005-0000-0000-000068890000}"/>
    <cellStyle name="Comma 16 6 3" xfId="40727" xr:uid="{00000000-0005-0000-0000-000069890000}"/>
    <cellStyle name="Comma 16 6 3 2" xfId="40728" xr:uid="{00000000-0005-0000-0000-00006A890000}"/>
    <cellStyle name="Comma 16 6 3 2 2" xfId="40729" xr:uid="{00000000-0005-0000-0000-00006B890000}"/>
    <cellStyle name="Comma 16 6 3 2 3" xfId="40730" xr:uid="{00000000-0005-0000-0000-00006C890000}"/>
    <cellStyle name="Comma 16 6 3 3" xfId="40731" xr:uid="{00000000-0005-0000-0000-00006D890000}"/>
    <cellStyle name="Comma 16 6 3 3 2" xfId="40732" xr:uid="{00000000-0005-0000-0000-00006E890000}"/>
    <cellStyle name="Comma 16 6 3 3 3" xfId="40733" xr:uid="{00000000-0005-0000-0000-00006F890000}"/>
    <cellStyle name="Comma 16 6 3 4" xfId="40734" xr:uid="{00000000-0005-0000-0000-000070890000}"/>
    <cellStyle name="Comma 16 6 3 4 2" xfId="40735" xr:uid="{00000000-0005-0000-0000-000071890000}"/>
    <cellStyle name="Comma 16 6 3 5" xfId="40736" xr:uid="{00000000-0005-0000-0000-000072890000}"/>
    <cellStyle name="Comma 16 6 3 6" xfId="40737" xr:uid="{00000000-0005-0000-0000-000073890000}"/>
    <cellStyle name="Comma 16 6 4" xfId="40738" xr:uid="{00000000-0005-0000-0000-000074890000}"/>
    <cellStyle name="Comma 16 6 4 2" xfId="40739" xr:uid="{00000000-0005-0000-0000-000075890000}"/>
    <cellStyle name="Comma 16 6 4 2 2" xfId="40740" xr:uid="{00000000-0005-0000-0000-000076890000}"/>
    <cellStyle name="Comma 16 6 4 2 3" xfId="40741" xr:uid="{00000000-0005-0000-0000-000077890000}"/>
    <cellStyle name="Comma 16 6 4 3" xfId="40742" xr:uid="{00000000-0005-0000-0000-000078890000}"/>
    <cellStyle name="Comma 16 6 4 3 2" xfId="40743" xr:uid="{00000000-0005-0000-0000-000079890000}"/>
    <cellStyle name="Comma 16 6 4 4" xfId="40744" xr:uid="{00000000-0005-0000-0000-00007A890000}"/>
    <cellStyle name="Comma 16 6 4 5" xfId="40745" xr:uid="{00000000-0005-0000-0000-00007B890000}"/>
    <cellStyle name="Comma 16 6 5" xfId="40746" xr:uid="{00000000-0005-0000-0000-00007C890000}"/>
    <cellStyle name="Comma 16 6 5 2" xfId="40747" xr:uid="{00000000-0005-0000-0000-00007D890000}"/>
    <cellStyle name="Comma 16 6 5 3" xfId="40748" xr:uid="{00000000-0005-0000-0000-00007E890000}"/>
    <cellStyle name="Comma 16 6 6" xfId="40749" xr:uid="{00000000-0005-0000-0000-00007F890000}"/>
    <cellStyle name="Comma 16 6 6 2" xfId="40750" xr:uid="{00000000-0005-0000-0000-000080890000}"/>
    <cellStyle name="Comma 16 6 6 3" xfId="40751" xr:uid="{00000000-0005-0000-0000-000081890000}"/>
    <cellStyle name="Comma 16 6 7" xfId="40752" xr:uid="{00000000-0005-0000-0000-000082890000}"/>
    <cellStyle name="Comma 16 6 7 2" xfId="40753" xr:uid="{00000000-0005-0000-0000-000083890000}"/>
    <cellStyle name="Comma 16 6 8" xfId="40754" xr:uid="{00000000-0005-0000-0000-000084890000}"/>
    <cellStyle name="Comma 16 6 9" xfId="40755" xr:uid="{00000000-0005-0000-0000-000085890000}"/>
    <cellStyle name="Comma 16 7" xfId="40756" xr:uid="{00000000-0005-0000-0000-000086890000}"/>
    <cellStyle name="Comma 16 7 2" xfId="40757" xr:uid="{00000000-0005-0000-0000-000087890000}"/>
    <cellStyle name="Comma 16 7 2 2" xfId="40758" xr:uid="{00000000-0005-0000-0000-000088890000}"/>
    <cellStyle name="Comma 16 7 2 2 2" xfId="40759" xr:uid="{00000000-0005-0000-0000-000089890000}"/>
    <cellStyle name="Comma 16 7 2 2 3" xfId="40760" xr:uid="{00000000-0005-0000-0000-00008A890000}"/>
    <cellStyle name="Comma 16 7 2 3" xfId="40761" xr:uid="{00000000-0005-0000-0000-00008B890000}"/>
    <cellStyle name="Comma 16 7 2 3 2" xfId="40762" xr:uid="{00000000-0005-0000-0000-00008C890000}"/>
    <cellStyle name="Comma 16 7 2 3 3" xfId="40763" xr:uid="{00000000-0005-0000-0000-00008D890000}"/>
    <cellStyle name="Comma 16 7 2 4" xfId="40764" xr:uid="{00000000-0005-0000-0000-00008E890000}"/>
    <cellStyle name="Comma 16 7 2 4 2" xfId="40765" xr:uid="{00000000-0005-0000-0000-00008F890000}"/>
    <cellStyle name="Comma 16 7 2 5" xfId="40766" xr:uid="{00000000-0005-0000-0000-000090890000}"/>
    <cellStyle name="Comma 16 7 2 6" xfId="40767" xr:uid="{00000000-0005-0000-0000-000091890000}"/>
    <cellStyle name="Comma 16 7 3" xfId="40768" xr:uid="{00000000-0005-0000-0000-000092890000}"/>
    <cellStyle name="Comma 16 7 3 2" xfId="40769" xr:uid="{00000000-0005-0000-0000-000093890000}"/>
    <cellStyle name="Comma 16 7 3 2 2" xfId="40770" xr:uid="{00000000-0005-0000-0000-000094890000}"/>
    <cellStyle name="Comma 16 7 3 2 3" xfId="40771" xr:uid="{00000000-0005-0000-0000-000095890000}"/>
    <cellStyle name="Comma 16 7 3 3" xfId="40772" xr:uid="{00000000-0005-0000-0000-000096890000}"/>
    <cellStyle name="Comma 16 7 3 3 2" xfId="40773" xr:uid="{00000000-0005-0000-0000-000097890000}"/>
    <cellStyle name="Comma 16 7 3 3 3" xfId="40774" xr:uid="{00000000-0005-0000-0000-000098890000}"/>
    <cellStyle name="Comma 16 7 3 4" xfId="40775" xr:uid="{00000000-0005-0000-0000-000099890000}"/>
    <cellStyle name="Comma 16 7 3 4 2" xfId="40776" xr:uid="{00000000-0005-0000-0000-00009A890000}"/>
    <cellStyle name="Comma 16 7 3 5" xfId="40777" xr:uid="{00000000-0005-0000-0000-00009B890000}"/>
    <cellStyle name="Comma 16 7 3 6" xfId="40778" xr:uid="{00000000-0005-0000-0000-00009C890000}"/>
    <cellStyle name="Comma 16 7 4" xfId="40779" xr:uid="{00000000-0005-0000-0000-00009D890000}"/>
    <cellStyle name="Comma 16 7 4 2" xfId="40780" xr:uid="{00000000-0005-0000-0000-00009E890000}"/>
    <cellStyle name="Comma 16 7 4 2 2" xfId="40781" xr:uid="{00000000-0005-0000-0000-00009F890000}"/>
    <cellStyle name="Comma 16 7 4 2 3" xfId="40782" xr:uid="{00000000-0005-0000-0000-0000A0890000}"/>
    <cellStyle name="Comma 16 7 4 3" xfId="40783" xr:uid="{00000000-0005-0000-0000-0000A1890000}"/>
    <cellStyle name="Comma 16 7 4 3 2" xfId="40784" xr:uid="{00000000-0005-0000-0000-0000A2890000}"/>
    <cellStyle name="Comma 16 7 4 4" xfId="40785" xr:uid="{00000000-0005-0000-0000-0000A3890000}"/>
    <cellStyle name="Comma 16 7 4 5" xfId="40786" xr:uid="{00000000-0005-0000-0000-0000A4890000}"/>
    <cellStyle name="Comma 16 7 5" xfId="40787" xr:uid="{00000000-0005-0000-0000-0000A5890000}"/>
    <cellStyle name="Comma 16 7 5 2" xfId="40788" xr:uid="{00000000-0005-0000-0000-0000A6890000}"/>
    <cellStyle name="Comma 16 7 5 3" xfId="40789" xr:uid="{00000000-0005-0000-0000-0000A7890000}"/>
    <cellStyle name="Comma 16 7 6" xfId="40790" xr:uid="{00000000-0005-0000-0000-0000A8890000}"/>
    <cellStyle name="Comma 16 7 6 2" xfId="40791" xr:uid="{00000000-0005-0000-0000-0000A9890000}"/>
    <cellStyle name="Comma 16 7 6 3" xfId="40792" xr:uid="{00000000-0005-0000-0000-0000AA890000}"/>
    <cellStyle name="Comma 16 7 7" xfId="40793" xr:uid="{00000000-0005-0000-0000-0000AB890000}"/>
    <cellStyle name="Comma 16 7 7 2" xfId="40794" xr:uid="{00000000-0005-0000-0000-0000AC890000}"/>
    <cellStyle name="Comma 16 7 8" xfId="40795" xr:uid="{00000000-0005-0000-0000-0000AD890000}"/>
    <cellStyle name="Comma 16 7 9" xfId="40796" xr:uid="{00000000-0005-0000-0000-0000AE890000}"/>
    <cellStyle name="Comma 16 8" xfId="40797" xr:uid="{00000000-0005-0000-0000-0000AF890000}"/>
    <cellStyle name="Comma 16 8 2" xfId="40798" xr:uid="{00000000-0005-0000-0000-0000B0890000}"/>
    <cellStyle name="Comma 16 8 2 2" xfId="40799" xr:uid="{00000000-0005-0000-0000-0000B1890000}"/>
    <cellStyle name="Comma 16 8 2 3" xfId="40800" xr:uid="{00000000-0005-0000-0000-0000B2890000}"/>
    <cellStyle name="Comma 16 8 3" xfId="40801" xr:uid="{00000000-0005-0000-0000-0000B3890000}"/>
    <cellStyle name="Comma 16 8 3 2" xfId="40802" xr:uid="{00000000-0005-0000-0000-0000B4890000}"/>
    <cellStyle name="Comma 16 8 3 3" xfId="40803" xr:uid="{00000000-0005-0000-0000-0000B5890000}"/>
    <cellStyle name="Comma 16 8 4" xfId="40804" xr:uid="{00000000-0005-0000-0000-0000B6890000}"/>
    <cellStyle name="Comma 16 8 4 2" xfId="40805" xr:uid="{00000000-0005-0000-0000-0000B7890000}"/>
    <cellStyle name="Comma 16 8 5" xfId="40806" xr:uid="{00000000-0005-0000-0000-0000B8890000}"/>
    <cellStyle name="Comma 16 8 6" xfId="40807" xr:uid="{00000000-0005-0000-0000-0000B9890000}"/>
    <cellStyle name="Comma 16 9" xfId="40808" xr:uid="{00000000-0005-0000-0000-0000BA890000}"/>
    <cellStyle name="Comma 16 9 2" xfId="40809" xr:uid="{00000000-0005-0000-0000-0000BB890000}"/>
    <cellStyle name="Comma 16 9 2 2" xfId="40810" xr:uid="{00000000-0005-0000-0000-0000BC890000}"/>
    <cellStyle name="Comma 16 9 2 3" xfId="40811" xr:uid="{00000000-0005-0000-0000-0000BD890000}"/>
    <cellStyle name="Comma 16 9 3" xfId="40812" xr:uid="{00000000-0005-0000-0000-0000BE890000}"/>
    <cellStyle name="Comma 16 9 3 2" xfId="40813" xr:uid="{00000000-0005-0000-0000-0000BF890000}"/>
    <cellStyle name="Comma 16 9 3 3" xfId="40814" xr:uid="{00000000-0005-0000-0000-0000C0890000}"/>
    <cellStyle name="Comma 16 9 4" xfId="40815" xr:uid="{00000000-0005-0000-0000-0000C1890000}"/>
    <cellStyle name="Comma 16 9 4 2" xfId="40816" xr:uid="{00000000-0005-0000-0000-0000C2890000}"/>
    <cellStyle name="Comma 16 9 5" xfId="40817" xr:uid="{00000000-0005-0000-0000-0000C3890000}"/>
    <cellStyle name="Comma 16 9 6" xfId="40818" xr:uid="{00000000-0005-0000-0000-0000C4890000}"/>
    <cellStyle name="Comma 17" xfId="3245" xr:uid="{00000000-0005-0000-0000-0000C5890000}"/>
    <cellStyle name="Comma 17 10" xfId="40819" xr:uid="{00000000-0005-0000-0000-0000C6890000}"/>
    <cellStyle name="Comma 17 10 2" xfId="40820" xr:uid="{00000000-0005-0000-0000-0000C7890000}"/>
    <cellStyle name="Comma 17 10 2 2" xfId="40821" xr:uid="{00000000-0005-0000-0000-0000C8890000}"/>
    <cellStyle name="Comma 17 10 2 3" xfId="40822" xr:uid="{00000000-0005-0000-0000-0000C9890000}"/>
    <cellStyle name="Comma 17 10 3" xfId="40823" xr:uid="{00000000-0005-0000-0000-0000CA890000}"/>
    <cellStyle name="Comma 17 10 3 2" xfId="40824" xr:uid="{00000000-0005-0000-0000-0000CB890000}"/>
    <cellStyle name="Comma 17 10 4" xfId="40825" xr:uid="{00000000-0005-0000-0000-0000CC890000}"/>
    <cellStyle name="Comma 17 10 5" xfId="40826" xr:uid="{00000000-0005-0000-0000-0000CD890000}"/>
    <cellStyle name="Comma 17 11" xfId="40827" xr:uid="{00000000-0005-0000-0000-0000CE890000}"/>
    <cellStyle name="Comma 17 11 2" xfId="40828" xr:uid="{00000000-0005-0000-0000-0000CF890000}"/>
    <cellStyle name="Comma 17 11 3" xfId="40829" xr:uid="{00000000-0005-0000-0000-0000D0890000}"/>
    <cellStyle name="Comma 17 12" xfId="40830" xr:uid="{00000000-0005-0000-0000-0000D1890000}"/>
    <cellStyle name="Comma 17 12 2" xfId="40831" xr:uid="{00000000-0005-0000-0000-0000D2890000}"/>
    <cellStyle name="Comma 17 12 3" xfId="40832" xr:uid="{00000000-0005-0000-0000-0000D3890000}"/>
    <cellStyle name="Comma 17 13" xfId="40833" xr:uid="{00000000-0005-0000-0000-0000D4890000}"/>
    <cellStyle name="Comma 17 13 2" xfId="40834" xr:uid="{00000000-0005-0000-0000-0000D5890000}"/>
    <cellStyle name="Comma 17 14" xfId="40835" xr:uid="{00000000-0005-0000-0000-0000D6890000}"/>
    <cellStyle name="Comma 17 15" xfId="40836" xr:uid="{00000000-0005-0000-0000-0000D7890000}"/>
    <cellStyle name="Comma 17 16" xfId="40837" xr:uid="{00000000-0005-0000-0000-0000D8890000}"/>
    <cellStyle name="Comma 17 2" xfId="3246" xr:uid="{00000000-0005-0000-0000-0000D9890000}"/>
    <cellStyle name="Comma 17 2 10" xfId="40838" xr:uid="{00000000-0005-0000-0000-0000DA890000}"/>
    <cellStyle name="Comma 17 2 10 2" xfId="40839" xr:uid="{00000000-0005-0000-0000-0000DB890000}"/>
    <cellStyle name="Comma 17 2 10 3" xfId="40840" xr:uid="{00000000-0005-0000-0000-0000DC890000}"/>
    <cellStyle name="Comma 17 2 11" xfId="40841" xr:uid="{00000000-0005-0000-0000-0000DD890000}"/>
    <cellStyle name="Comma 17 2 11 2" xfId="40842" xr:uid="{00000000-0005-0000-0000-0000DE890000}"/>
    <cellStyle name="Comma 17 2 11 3" xfId="40843" xr:uid="{00000000-0005-0000-0000-0000DF890000}"/>
    <cellStyle name="Comma 17 2 12" xfId="40844" xr:uid="{00000000-0005-0000-0000-0000E0890000}"/>
    <cellStyle name="Comma 17 2 12 2" xfId="40845" xr:uid="{00000000-0005-0000-0000-0000E1890000}"/>
    <cellStyle name="Comma 17 2 13" xfId="40846" xr:uid="{00000000-0005-0000-0000-0000E2890000}"/>
    <cellStyle name="Comma 17 2 14" xfId="40847" xr:uid="{00000000-0005-0000-0000-0000E3890000}"/>
    <cellStyle name="Comma 17 2 2" xfId="40848" xr:uid="{00000000-0005-0000-0000-0000E4890000}"/>
    <cellStyle name="Comma 17 2 2 10" xfId="40849" xr:uid="{00000000-0005-0000-0000-0000E5890000}"/>
    <cellStyle name="Comma 17 2 2 10 2" xfId="40850" xr:uid="{00000000-0005-0000-0000-0000E6890000}"/>
    <cellStyle name="Comma 17 2 2 10 3" xfId="40851" xr:uid="{00000000-0005-0000-0000-0000E7890000}"/>
    <cellStyle name="Comma 17 2 2 11" xfId="40852" xr:uid="{00000000-0005-0000-0000-0000E8890000}"/>
    <cellStyle name="Comma 17 2 2 11 2" xfId="40853" xr:uid="{00000000-0005-0000-0000-0000E9890000}"/>
    <cellStyle name="Comma 17 2 2 12" xfId="40854" xr:uid="{00000000-0005-0000-0000-0000EA890000}"/>
    <cellStyle name="Comma 17 2 2 13" xfId="40855" xr:uid="{00000000-0005-0000-0000-0000EB890000}"/>
    <cellStyle name="Comma 17 2 2 2" xfId="40856" xr:uid="{00000000-0005-0000-0000-0000EC890000}"/>
    <cellStyle name="Comma 17 2 2 2 10" xfId="40857" xr:uid="{00000000-0005-0000-0000-0000ED890000}"/>
    <cellStyle name="Comma 17 2 2 2 10 2" xfId="40858" xr:uid="{00000000-0005-0000-0000-0000EE890000}"/>
    <cellStyle name="Comma 17 2 2 2 11" xfId="40859" xr:uid="{00000000-0005-0000-0000-0000EF890000}"/>
    <cellStyle name="Comma 17 2 2 2 12" xfId="40860" xr:uid="{00000000-0005-0000-0000-0000F0890000}"/>
    <cellStyle name="Comma 17 2 2 2 2" xfId="40861" xr:uid="{00000000-0005-0000-0000-0000F1890000}"/>
    <cellStyle name="Comma 17 2 2 2 2 10" xfId="40862" xr:uid="{00000000-0005-0000-0000-0000F2890000}"/>
    <cellStyle name="Comma 17 2 2 2 2 2" xfId="40863" xr:uid="{00000000-0005-0000-0000-0000F3890000}"/>
    <cellStyle name="Comma 17 2 2 2 2 2 2" xfId="40864" xr:uid="{00000000-0005-0000-0000-0000F4890000}"/>
    <cellStyle name="Comma 17 2 2 2 2 2 2 2" xfId="40865" xr:uid="{00000000-0005-0000-0000-0000F5890000}"/>
    <cellStyle name="Comma 17 2 2 2 2 2 2 2 2" xfId="40866" xr:uid="{00000000-0005-0000-0000-0000F6890000}"/>
    <cellStyle name="Comma 17 2 2 2 2 2 2 2 3" xfId="40867" xr:uid="{00000000-0005-0000-0000-0000F7890000}"/>
    <cellStyle name="Comma 17 2 2 2 2 2 2 3" xfId="40868" xr:uid="{00000000-0005-0000-0000-0000F8890000}"/>
    <cellStyle name="Comma 17 2 2 2 2 2 2 3 2" xfId="40869" xr:uid="{00000000-0005-0000-0000-0000F9890000}"/>
    <cellStyle name="Comma 17 2 2 2 2 2 2 3 3" xfId="40870" xr:uid="{00000000-0005-0000-0000-0000FA890000}"/>
    <cellStyle name="Comma 17 2 2 2 2 2 2 4" xfId="40871" xr:uid="{00000000-0005-0000-0000-0000FB890000}"/>
    <cellStyle name="Comma 17 2 2 2 2 2 2 4 2" xfId="40872" xr:uid="{00000000-0005-0000-0000-0000FC890000}"/>
    <cellStyle name="Comma 17 2 2 2 2 2 2 5" xfId="40873" xr:uid="{00000000-0005-0000-0000-0000FD890000}"/>
    <cellStyle name="Comma 17 2 2 2 2 2 2 6" xfId="40874" xr:uid="{00000000-0005-0000-0000-0000FE890000}"/>
    <cellStyle name="Comma 17 2 2 2 2 2 3" xfId="40875" xr:uid="{00000000-0005-0000-0000-0000FF890000}"/>
    <cellStyle name="Comma 17 2 2 2 2 2 3 2" xfId="40876" xr:uid="{00000000-0005-0000-0000-0000008A0000}"/>
    <cellStyle name="Comma 17 2 2 2 2 2 3 2 2" xfId="40877" xr:uid="{00000000-0005-0000-0000-0000018A0000}"/>
    <cellStyle name="Comma 17 2 2 2 2 2 3 2 3" xfId="40878" xr:uid="{00000000-0005-0000-0000-0000028A0000}"/>
    <cellStyle name="Comma 17 2 2 2 2 2 3 3" xfId="40879" xr:uid="{00000000-0005-0000-0000-0000038A0000}"/>
    <cellStyle name="Comma 17 2 2 2 2 2 3 3 2" xfId="40880" xr:uid="{00000000-0005-0000-0000-0000048A0000}"/>
    <cellStyle name="Comma 17 2 2 2 2 2 3 3 3" xfId="40881" xr:uid="{00000000-0005-0000-0000-0000058A0000}"/>
    <cellStyle name="Comma 17 2 2 2 2 2 3 4" xfId="40882" xr:uid="{00000000-0005-0000-0000-0000068A0000}"/>
    <cellStyle name="Comma 17 2 2 2 2 2 3 4 2" xfId="40883" xr:uid="{00000000-0005-0000-0000-0000078A0000}"/>
    <cellStyle name="Comma 17 2 2 2 2 2 3 5" xfId="40884" xr:uid="{00000000-0005-0000-0000-0000088A0000}"/>
    <cellStyle name="Comma 17 2 2 2 2 2 3 6" xfId="40885" xr:uid="{00000000-0005-0000-0000-0000098A0000}"/>
    <cellStyle name="Comma 17 2 2 2 2 2 4" xfId="40886" xr:uid="{00000000-0005-0000-0000-00000A8A0000}"/>
    <cellStyle name="Comma 17 2 2 2 2 2 4 2" xfId="40887" xr:uid="{00000000-0005-0000-0000-00000B8A0000}"/>
    <cellStyle name="Comma 17 2 2 2 2 2 4 2 2" xfId="40888" xr:uid="{00000000-0005-0000-0000-00000C8A0000}"/>
    <cellStyle name="Comma 17 2 2 2 2 2 4 2 3" xfId="40889" xr:uid="{00000000-0005-0000-0000-00000D8A0000}"/>
    <cellStyle name="Comma 17 2 2 2 2 2 4 3" xfId="40890" xr:uid="{00000000-0005-0000-0000-00000E8A0000}"/>
    <cellStyle name="Comma 17 2 2 2 2 2 4 3 2" xfId="40891" xr:uid="{00000000-0005-0000-0000-00000F8A0000}"/>
    <cellStyle name="Comma 17 2 2 2 2 2 4 4" xfId="40892" xr:uid="{00000000-0005-0000-0000-0000108A0000}"/>
    <cellStyle name="Comma 17 2 2 2 2 2 4 5" xfId="40893" xr:uid="{00000000-0005-0000-0000-0000118A0000}"/>
    <cellStyle name="Comma 17 2 2 2 2 2 5" xfId="40894" xr:uid="{00000000-0005-0000-0000-0000128A0000}"/>
    <cellStyle name="Comma 17 2 2 2 2 2 5 2" xfId="40895" xr:uid="{00000000-0005-0000-0000-0000138A0000}"/>
    <cellStyle name="Comma 17 2 2 2 2 2 5 3" xfId="40896" xr:uid="{00000000-0005-0000-0000-0000148A0000}"/>
    <cellStyle name="Comma 17 2 2 2 2 2 6" xfId="40897" xr:uid="{00000000-0005-0000-0000-0000158A0000}"/>
    <cellStyle name="Comma 17 2 2 2 2 2 6 2" xfId="40898" xr:uid="{00000000-0005-0000-0000-0000168A0000}"/>
    <cellStyle name="Comma 17 2 2 2 2 2 6 3" xfId="40899" xr:uid="{00000000-0005-0000-0000-0000178A0000}"/>
    <cellStyle name="Comma 17 2 2 2 2 2 7" xfId="40900" xr:uid="{00000000-0005-0000-0000-0000188A0000}"/>
    <cellStyle name="Comma 17 2 2 2 2 2 7 2" xfId="40901" xr:uid="{00000000-0005-0000-0000-0000198A0000}"/>
    <cellStyle name="Comma 17 2 2 2 2 2 8" xfId="40902" xr:uid="{00000000-0005-0000-0000-00001A8A0000}"/>
    <cellStyle name="Comma 17 2 2 2 2 2 9" xfId="40903" xr:uid="{00000000-0005-0000-0000-00001B8A0000}"/>
    <cellStyle name="Comma 17 2 2 2 2 3" xfId="40904" xr:uid="{00000000-0005-0000-0000-00001C8A0000}"/>
    <cellStyle name="Comma 17 2 2 2 2 3 2" xfId="40905" xr:uid="{00000000-0005-0000-0000-00001D8A0000}"/>
    <cellStyle name="Comma 17 2 2 2 2 3 2 2" xfId="40906" xr:uid="{00000000-0005-0000-0000-00001E8A0000}"/>
    <cellStyle name="Comma 17 2 2 2 2 3 2 3" xfId="40907" xr:uid="{00000000-0005-0000-0000-00001F8A0000}"/>
    <cellStyle name="Comma 17 2 2 2 2 3 3" xfId="40908" xr:uid="{00000000-0005-0000-0000-0000208A0000}"/>
    <cellStyle name="Comma 17 2 2 2 2 3 3 2" xfId="40909" xr:uid="{00000000-0005-0000-0000-0000218A0000}"/>
    <cellStyle name="Comma 17 2 2 2 2 3 3 3" xfId="40910" xr:uid="{00000000-0005-0000-0000-0000228A0000}"/>
    <cellStyle name="Comma 17 2 2 2 2 3 4" xfId="40911" xr:uid="{00000000-0005-0000-0000-0000238A0000}"/>
    <cellStyle name="Comma 17 2 2 2 2 3 4 2" xfId="40912" xr:uid="{00000000-0005-0000-0000-0000248A0000}"/>
    <cellStyle name="Comma 17 2 2 2 2 3 5" xfId="40913" xr:uid="{00000000-0005-0000-0000-0000258A0000}"/>
    <cellStyle name="Comma 17 2 2 2 2 3 6" xfId="40914" xr:uid="{00000000-0005-0000-0000-0000268A0000}"/>
    <cellStyle name="Comma 17 2 2 2 2 4" xfId="40915" xr:uid="{00000000-0005-0000-0000-0000278A0000}"/>
    <cellStyle name="Comma 17 2 2 2 2 4 2" xfId="40916" xr:uid="{00000000-0005-0000-0000-0000288A0000}"/>
    <cellStyle name="Comma 17 2 2 2 2 4 2 2" xfId="40917" xr:uid="{00000000-0005-0000-0000-0000298A0000}"/>
    <cellStyle name="Comma 17 2 2 2 2 4 2 3" xfId="40918" xr:uid="{00000000-0005-0000-0000-00002A8A0000}"/>
    <cellStyle name="Comma 17 2 2 2 2 4 3" xfId="40919" xr:uid="{00000000-0005-0000-0000-00002B8A0000}"/>
    <cellStyle name="Comma 17 2 2 2 2 4 3 2" xfId="40920" xr:uid="{00000000-0005-0000-0000-00002C8A0000}"/>
    <cellStyle name="Comma 17 2 2 2 2 4 3 3" xfId="40921" xr:uid="{00000000-0005-0000-0000-00002D8A0000}"/>
    <cellStyle name="Comma 17 2 2 2 2 4 4" xfId="40922" xr:uid="{00000000-0005-0000-0000-00002E8A0000}"/>
    <cellStyle name="Comma 17 2 2 2 2 4 4 2" xfId="40923" xr:uid="{00000000-0005-0000-0000-00002F8A0000}"/>
    <cellStyle name="Comma 17 2 2 2 2 4 5" xfId="40924" xr:uid="{00000000-0005-0000-0000-0000308A0000}"/>
    <cellStyle name="Comma 17 2 2 2 2 4 6" xfId="40925" xr:uid="{00000000-0005-0000-0000-0000318A0000}"/>
    <cellStyle name="Comma 17 2 2 2 2 5" xfId="40926" xr:uid="{00000000-0005-0000-0000-0000328A0000}"/>
    <cellStyle name="Comma 17 2 2 2 2 5 2" xfId="40927" xr:uid="{00000000-0005-0000-0000-0000338A0000}"/>
    <cellStyle name="Comma 17 2 2 2 2 5 2 2" xfId="40928" xr:uid="{00000000-0005-0000-0000-0000348A0000}"/>
    <cellStyle name="Comma 17 2 2 2 2 5 2 3" xfId="40929" xr:uid="{00000000-0005-0000-0000-0000358A0000}"/>
    <cellStyle name="Comma 17 2 2 2 2 5 3" xfId="40930" xr:uid="{00000000-0005-0000-0000-0000368A0000}"/>
    <cellStyle name="Comma 17 2 2 2 2 5 3 2" xfId="40931" xr:uid="{00000000-0005-0000-0000-0000378A0000}"/>
    <cellStyle name="Comma 17 2 2 2 2 5 4" xfId="40932" xr:uid="{00000000-0005-0000-0000-0000388A0000}"/>
    <cellStyle name="Comma 17 2 2 2 2 5 5" xfId="40933" xr:uid="{00000000-0005-0000-0000-0000398A0000}"/>
    <cellStyle name="Comma 17 2 2 2 2 6" xfId="40934" xr:uid="{00000000-0005-0000-0000-00003A8A0000}"/>
    <cellStyle name="Comma 17 2 2 2 2 6 2" xfId="40935" xr:uid="{00000000-0005-0000-0000-00003B8A0000}"/>
    <cellStyle name="Comma 17 2 2 2 2 6 3" xfId="40936" xr:uid="{00000000-0005-0000-0000-00003C8A0000}"/>
    <cellStyle name="Comma 17 2 2 2 2 7" xfId="40937" xr:uid="{00000000-0005-0000-0000-00003D8A0000}"/>
    <cellStyle name="Comma 17 2 2 2 2 7 2" xfId="40938" xr:uid="{00000000-0005-0000-0000-00003E8A0000}"/>
    <cellStyle name="Comma 17 2 2 2 2 7 3" xfId="40939" xr:uid="{00000000-0005-0000-0000-00003F8A0000}"/>
    <cellStyle name="Comma 17 2 2 2 2 8" xfId="40940" xr:uid="{00000000-0005-0000-0000-0000408A0000}"/>
    <cellStyle name="Comma 17 2 2 2 2 8 2" xfId="40941" xr:uid="{00000000-0005-0000-0000-0000418A0000}"/>
    <cellStyle name="Comma 17 2 2 2 2 9" xfId="40942" xr:uid="{00000000-0005-0000-0000-0000428A0000}"/>
    <cellStyle name="Comma 17 2 2 2 3" xfId="40943" xr:uid="{00000000-0005-0000-0000-0000438A0000}"/>
    <cellStyle name="Comma 17 2 2 2 3 2" xfId="40944" xr:uid="{00000000-0005-0000-0000-0000448A0000}"/>
    <cellStyle name="Comma 17 2 2 2 3 2 2" xfId="40945" xr:uid="{00000000-0005-0000-0000-0000458A0000}"/>
    <cellStyle name="Comma 17 2 2 2 3 2 2 2" xfId="40946" xr:uid="{00000000-0005-0000-0000-0000468A0000}"/>
    <cellStyle name="Comma 17 2 2 2 3 2 2 3" xfId="40947" xr:uid="{00000000-0005-0000-0000-0000478A0000}"/>
    <cellStyle name="Comma 17 2 2 2 3 2 3" xfId="40948" xr:uid="{00000000-0005-0000-0000-0000488A0000}"/>
    <cellStyle name="Comma 17 2 2 2 3 2 3 2" xfId="40949" xr:uid="{00000000-0005-0000-0000-0000498A0000}"/>
    <cellStyle name="Comma 17 2 2 2 3 2 3 3" xfId="40950" xr:uid="{00000000-0005-0000-0000-00004A8A0000}"/>
    <cellStyle name="Comma 17 2 2 2 3 2 4" xfId="40951" xr:uid="{00000000-0005-0000-0000-00004B8A0000}"/>
    <cellStyle name="Comma 17 2 2 2 3 2 4 2" xfId="40952" xr:uid="{00000000-0005-0000-0000-00004C8A0000}"/>
    <cellStyle name="Comma 17 2 2 2 3 2 5" xfId="40953" xr:uid="{00000000-0005-0000-0000-00004D8A0000}"/>
    <cellStyle name="Comma 17 2 2 2 3 2 6" xfId="40954" xr:uid="{00000000-0005-0000-0000-00004E8A0000}"/>
    <cellStyle name="Comma 17 2 2 2 3 3" xfId="40955" xr:uid="{00000000-0005-0000-0000-00004F8A0000}"/>
    <cellStyle name="Comma 17 2 2 2 3 3 2" xfId="40956" xr:uid="{00000000-0005-0000-0000-0000508A0000}"/>
    <cellStyle name="Comma 17 2 2 2 3 3 2 2" xfId="40957" xr:uid="{00000000-0005-0000-0000-0000518A0000}"/>
    <cellStyle name="Comma 17 2 2 2 3 3 2 3" xfId="40958" xr:uid="{00000000-0005-0000-0000-0000528A0000}"/>
    <cellStyle name="Comma 17 2 2 2 3 3 3" xfId="40959" xr:uid="{00000000-0005-0000-0000-0000538A0000}"/>
    <cellStyle name="Comma 17 2 2 2 3 3 3 2" xfId="40960" xr:uid="{00000000-0005-0000-0000-0000548A0000}"/>
    <cellStyle name="Comma 17 2 2 2 3 3 3 3" xfId="40961" xr:uid="{00000000-0005-0000-0000-0000558A0000}"/>
    <cellStyle name="Comma 17 2 2 2 3 3 4" xfId="40962" xr:uid="{00000000-0005-0000-0000-0000568A0000}"/>
    <cellStyle name="Comma 17 2 2 2 3 3 4 2" xfId="40963" xr:uid="{00000000-0005-0000-0000-0000578A0000}"/>
    <cellStyle name="Comma 17 2 2 2 3 3 5" xfId="40964" xr:uid="{00000000-0005-0000-0000-0000588A0000}"/>
    <cellStyle name="Comma 17 2 2 2 3 3 6" xfId="40965" xr:uid="{00000000-0005-0000-0000-0000598A0000}"/>
    <cellStyle name="Comma 17 2 2 2 3 4" xfId="40966" xr:uid="{00000000-0005-0000-0000-00005A8A0000}"/>
    <cellStyle name="Comma 17 2 2 2 3 4 2" xfId="40967" xr:uid="{00000000-0005-0000-0000-00005B8A0000}"/>
    <cellStyle name="Comma 17 2 2 2 3 4 2 2" xfId="40968" xr:uid="{00000000-0005-0000-0000-00005C8A0000}"/>
    <cellStyle name="Comma 17 2 2 2 3 4 2 3" xfId="40969" xr:uid="{00000000-0005-0000-0000-00005D8A0000}"/>
    <cellStyle name="Comma 17 2 2 2 3 4 3" xfId="40970" xr:uid="{00000000-0005-0000-0000-00005E8A0000}"/>
    <cellStyle name="Comma 17 2 2 2 3 4 3 2" xfId="40971" xr:uid="{00000000-0005-0000-0000-00005F8A0000}"/>
    <cellStyle name="Comma 17 2 2 2 3 4 4" xfId="40972" xr:uid="{00000000-0005-0000-0000-0000608A0000}"/>
    <cellStyle name="Comma 17 2 2 2 3 4 5" xfId="40973" xr:uid="{00000000-0005-0000-0000-0000618A0000}"/>
    <cellStyle name="Comma 17 2 2 2 3 5" xfId="40974" xr:uid="{00000000-0005-0000-0000-0000628A0000}"/>
    <cellStyle name="Comma 17 2 2 2 3 5 2" xfId="40975" xr:uid="{00000000-0005-0000-0000-0000638A0000}"/>
    <cellStyle name="Comma 17 2 2 2 3 5 3" xfId="40976" xr:uid="{00000000-0005-0000-0000-0000648A0000}"/>
    <cellStyle name="Comma 17 2 2 2 3 6" xfId="40977" xr:uid="{00000000-0005-0000-0000-0000658A0000}"/>
    <cellStyle name="Comma 17 2 2 2 3 6 2" xfId="40978" xr:uid="{00000000-0005-0000-0000-0000668A0000}"/>
    <cellStyle name="Comma 17 2 2 2 3 6 3" xfId="40979" xr:uid="{00000000-0005-0000-0000-0000678A0000}"/>
    <cellStyle name="Comma 17 2 2 2 3 7" xfId="40980" xr:uid="{00000000-0005-0000-0000-0000688A0000}"/>
    <cellStyle name="Comma 17 2 2 2 3 7 2" xfId="40981" xr:uid="{00000000-0005-0000-0000-0000698A0000}"/>
    <cellStyle name="Comma 17 2 2 2 3 8" xfId="40982" xr:uid="{00000000-0005-0000-0000-00006A8A0000}"/>
    <cellStyle name="Comma 17 2 2 2 3 9" xfId="40983" xr:uid="{00000000-0005-0000-0000-00006B8A0000}"/>
    <cellStyle name="Comma 17 2 2 2 4" xfId="40984" xr:uid="{00000000-0005-0000-0000-00006C8A0000}"/>
    <cellStyle name="Comma 17 2 2 2 4 2" xfId="40985" xr:uid="{00000000-0005-0000-0000-00006D8A0000}"/>
    <cellStyle name="Comma 17 2 2 2 4 2 2" xfId="40986" xr:uid="{00000000-0005-0000-0000-00006E8A0000}"/>
    <cellStyle name="Comma 17 2 2 2 4 2 2 2" xfId="40987" xr:uid="{00000000-0005-0000-0000-00006F8A0000}"/>
    <cellStyle name="Comma 17 2 2 2 4 2 2 3" xfId="40988" xr:uid="{00000000-0005-0000-0000-0000708A0000}"/>
    <cellStyle name="Comma 17 2 2 2 4 2 3" xfId="40989" xr:uid="{00000000-0005-0000-0000-0000718A0000}"/>
    <cellStyle name="Comma 17 2 2 2 4 2 3 2" xfId="40990" xr:uid="{00000000-0005-0000-0000-0000728A0000}"/>
    <cellStyle name="Comma 17 2 2 2 4 2 3 3" xfId="40991" xr:uid="{00000000-0005-0000-0000-0000738A0000}"/>
    <cellStyle name="Comma 17 2 2 2 4 2 4" xfId="40992" xr:uid="{00000000-0005-0000-0000-0000748A0000}"/>
    <cellStyle name="Comma 17 2 2 2 4 2 4 2" xfId="40993" xr:uid="{00000000-0005-0000-0000-0000758A0000}"/>
    <cellStyle name="Comma 17 2 2 2 4 2 5" xfId="40994" xr:uid="{00000000-0005-0000-0000-0000768A0000}"/>
    <cellStyle name="Comma 17 2 2 2 4 2 6" xfId="40995" xr:uid="{00000000-0005-0000-0000-0000778A0000}"/>
    <cellStyle name="Comma 17 2 2 2 4 3" xfId="40996" xr:uid="{00000000-0005-0000-0000-0000788A0000}"/>
    <cellStyle name="Comma 17 2 2 2 4 3 2" xfId="40997" xr:uid="{00000000-0005-0000-0000-0000798A0000}"/>
    <cellStyle name="Comma 17 2 2 2 4 3 2 2" xfId="40998" xr:uid="{00000000-0005-0000-0000-00007A8A0000}"/>
    <cellStyle name="Comma 17 2 2 2 4 3 2 3" xfId="40999" xr:uid="{00000000-0005-0000-0000-00007B8A0000}"/>
    <cellStyle name="Comma 17 2 2 2 4 3 3" xfId="41000" xr:uid="{00000000-0005-0000-0000-00007C8A0000}"/>
    <cellStyle name="Comma 17 2 2 2 4 3 3 2" xfId="41001" xr:uid="{00000000-0005-0000-0000-00007D8A0000}"/>
    <cellStyle name="Comma 17 2 2 2 4 3 3 3" xfId="41002" xr:uid="{00000000-0005-0000-0000-00007E8A0000}"/>
    <cellStyle name="Comma 17 2 2 2 4 3 4" xfId="41003" xr:uid="{00000000-0005-0000-0000-00007F8A0000}"/>
    <cellStyle name="Comma 17 2 2 2 4 3 4 2" xfId="41004" xr:uid="{00000000-0005-0000-0000-0000808A0000}"/>
    <cellStyle name="Comma 17 2 2 2 4 3 5" xfId="41005" xr:uid="{00000000-0005-0000-0000-0000818A0000}"/>
    <cellStyle name="Comma 17 2 2 2 4 3 6" xfId="41006" xr:uid="{00000000-0005-0000-0000-0000828A0000}"/>
    <cellStyle name="Comma 17 2 2 2 4 4" xfId="41007" xr:uid="{00000000-0005-0000-0000-0000838A0000}"/>
    <cellStyle name="Comma 17 2 2 2 4 4 2" xfId="41008" xr:uid="{00000000-0005-0000-0000-0000848A0000}"/>
    <cellStyle name="Comma 17 2 2 2 4 4 2 2" xfId="41009" xr:uid="{00000000-0005-0000-0000-0000858A0000}"/>
    <cellStyle name="Comma 17 2 2 2 4 4 2 3" xfId="41010" xr:uid="{00000000-0005-0000-0000-0000868A0000}"/>
    <cellStyle name="Comma 17 2 2 2 4 4 3" xfId="41011" xr:uid="{00000000-0005-0000-0000-0000878A0000}"/>
    <cellStyle name="Comma 17 2 2 2 4 4 3 2" xfId="41012" xr:uid="{00000000-0005-0000-0000-0000888A0000}"/>
    <cellStyle name="Comma 17 2 2 2 4 4 4" xfId="41013" xr:uid="{00000000-0005-0000-0000-0000898A0000}"/>
    <cellStyle name="Comma 17 2 2 2 4 4 5" xfId="41014" xr:uid="{00000000-0005-0000-0000-00008A8A0000}"/>
    <cellStyle name="Comma 17 2 2 2 4 5" xfId="41015" xr:uid="{00000000-0005-0000-0000-00008B8A0000}"/>
    <cellStyle name="Comma 17 2 2 2 4 5 2" xfId="41016" xr:uid="{00000000-0005-0000-0000-00008C8A0000}"/>
    <cellStyle name="Comma 17 2 2 2 4 5 3" xfId="41017" xr:uid="{00000000-0005-0000-0000-00008D8A0000}"/>
    <cellStyle name="Comma 17 2 2 2 4 6" xfId="41018" xr:uid="{00000000-0005-0000-0000-00008E8A0000}"/>
    <cellStyle name="Comma 17 2 2 2 4 6 2" xfId="41019" xr:uid="{00000000-0005-0000-0000-00008F8A0000}"/>
    <cellStyle name="Comma 17 2 2 2 4 6 3" xfId="41020" xr:uid="{00000000-0005-0000-0000-0000908A0000}"/>
    <cellStyle name="Comma 17 2 2 2 4 7" xfId="41021" xr:uid="{00000000-0005-0000-0000-0000918A0000}"/>
    <cellStyle name="Comma 17 2 2 2 4 7 2" xfId="41022" xr:uid="{00000000-0005-0000-0000-0000928A0000}"/>
    <cellStyle name="Comma 17 2 2 2 4 8" xfId="41023" xr:uid="{00000000-0005-0000-0000-0000938A0000}"/>
    <cellStyle name="Comma 17 2 2 2 4 9" xfId="41024" xr:uid="{00000000-0005-0000-0000-0000948A0000}"/>
    <cellStyle name="Comma 17 2 2 2 5" xfId="41025" xr:uid="{00000000-0005-0000-0000-0000958A0000}"/>
    <cellStyle name="Comma 17 2 2 2 5 2" xfId="41026" xr:uid="{00000000-0005-0000-0000-0000968A0000}"/>
    <cellStyle name="Comma 17 2 2 2 5 2 2" xfId="41027" xr:uid="{00000000-0005-0000-0000-0000978A0000}"/>
    <cellStyle name="Comma 17 2 2 2 5 2 3" xfId="41028" xr:uid="{00000000-0005-0000-0000-0000988A0000}"/>
    <cellStyle name="Comma 17 2 2 2 5 3" xfId="41029" xr:uid="{00000000-0005-0000-0000-0000998A0000}"/>
    <cellStyle name="Comma 17 2 2 2 5 3 2" xfId="41030" xr:uid="{00000000-0005-0000-0000-00009A8A0000}"/>
    <cellStyle name="Comma 17 2 2 2 5 3 3" xfId="41031" xr:uid="{00000000-0005-0000-0000-00009B8A0000}"/>
    <cellStyle name="Comma 17 2 2 2 5 4" xfId="41032" xr:uid="{00000000-0005-0000-0000-00009C8A0000}"/>
    <cellStyle name="Comma 17 2 2 2 5 4 2" xfId="41033" xr:uid="{00000000-0005-0000-0000-00009D8A0000}"/>
    <cellStyle name="Comma 17 2 2 2 5 5" xfId="41034" xr:uid="{00000000-0005-0000-0000-00009E8A0000}"/>
    <cellStyle name="Comma 17 2 2 2 5 6" xfId="41035" xr:uid="{00000000-0005-0000-0000-00009F8A0000}"/>
    <cellStyle name="Comma 17 2 2 2 6" xfId="41036" xr:uid="{00000000-0005-0000-0000-0000A08A0000}"/>
    <cellStyle name="Comma 17 2 2 2 6 2" xfId="41037" xr:uid="{00000000-0005-0000-0000-0000A18A0000}"/>
    <cellStyle name="Comma 17 2 2 2 6 2 2" xfId="41038" xr:uid="{00000000-0005-0000-0000-0000A28A0000}"/>
    <cellStyle name="Comma 17 2 2 2 6 2 3" xfId="41039" xr:uid="{00000000-0005-0000-0000-0000A38A0000}"/>
    <cellStyle name="Comma 17 2 2 2 6 3" xfId="41040" xr:uid="{00000000-0005-0000-0000-0000A48A0000}"/>
    <cellStyle name="Comma 17 2 2 2 6 3 2" xfId="41041" xr:uid="{00000000-0005-0000-0000-0000A58A0000}"/>
    <cellStyle name="Comma 17 2 2 2 6 3 3" xfId="41042" xr:uid="{00000000-0005-0000-0000-0000A68A0000}"/>
    <cellStyle name="Comma 17 2 2 2 6 4" xfId="41043" xr:uid="{00000000-0005-0000-0000-0000A78A0000}"/>
    <cellStyle name="Comma 17 2 2 2 6 4 2" xfId="41044" xr:uid="{00000000-0005-0000-0000-0000A88A0000}"/>
    <cellStyle name="Comma 17 2 2 2 6 5" xfId="41045" xr:uid="{00000000-0005-0000-0000-0000A98A0000}"/>
    <cellStyle name="Comma 17 2 2 2 6 6" xfId="41046" xr:uid="{00000000-0005-0000-0000-0000AA8A0000}"/>
    <cellStyle name="Comma 17 2 2 2 7" xfId="41047" xr:uid="{00000000-0005-0000-0000-0000AB8A0000}"/>
    <cellStyle name="Comma 17 2 2 2 7 2" xfId="41048" xr:uid="{00000000-0005-0000-0000-0000AC8A0000}"/>
    <cellStyle name="Comma 17 2 2 2 7 2 2" xfId="41049" xr:uid="{00000000-0005-0000-0000-0000AD8A0000}"/>
    <cellStyle name="Comma 17 2 2 2 7 2 3" xfId="41050" xr:uid="{00000000-0005-0000-0000-0000AE8A0000}"/>
    <cellStyle name="Comma 17 2 2 2 7 3" xfId="41051" xr:uid="{00000000-0005-0000-0000-0000AF8A0000}"/>
    <cellStyle name="Comma 17 2 2 2 7 3 2" xfId="41052" xr:uid="{00000000-0005-0000-0000-0000B08A0000}"/>
    <cellStyle name="Comma 17 2 2 2 7 4" xfId="41053" xr:uid="{00000000-0005-0000-0000-0000B18A0000}"/>
    <cellStyle name="Comma 17 2 2 2 7 5" xfId="41054" xr:uid="{00000000-0005-0000-0000-0000B28A0000}"/>
    <cellStyle name="Comma 17 2 2 2 8" xfId="41055" xr:uid="{00000000-0005-0000-0000-0000B38A0000}"/>
    <cellStyle name="Comma 17 2 2 2 8 2" xfId="41056" xr:uid="{00000000-0005-0000-0000-0000B48A0000}"/>
    <cellStyle name="Comma 17 2 2 2 8 3" xfId="41057" xr:uid="{00000000-0005-0000-0000-0000B58A0000}"/>
    <cellStyle name="Comma 17 2 2 2 9" xfId="41058" xr:uid="{00000000-0005-0000-0000-0000B68A0000}"/>
    <cellStyle name="Comma 17 2 2 2 9 2" xfId="41059" xr:uid="{00000000-0005-0000-0000-0000B78A0000}"/>
    <cellStyle name="Comma 17 2 2 2 9 3" xfId="41060" xr:uid="{00000000-0005-0000-0000-0000B88A0000}"/>
    <cellStyle name="Comma 17 2 2 3" xfId="41061" xr:uid="{00000000-0005-0000-0000-0000B98A0000}"/>
    <cellStyle name="Comma 17 2 2 3 10" xfId="41062" xr:uid="{00000000-0005-0000-0000-0000BA8A0000}"/>
    <cellStyle name="Comma 17 2 2 3 2" xfId="41063" xr:uid="{00000000-0005-0000-0000-0000BB8A0000}"/>
    <cellStyle name="Comma 17 2 2 3 2 2" xfId="41064" xr:uid="{00000000-0005-0000-0000-0000BC8A0000}"/>
    <cellStyle name="Comma 17 2 2 3 2 2 2" xfId="41065" xr:uid="{00000000-0005-0000-0000-0000BD8A0000}"/>
    <cellStyle name="Comma 17 2 2 3 2 2 2 2" xfId="41066" xr:uid="{00000000-0005-0000-0000-0000BE8A0000}"/>
    <cellStyle name="Comma 17 2 2 3 2 2 2 3" xfId="41067" xr:uid="{00000000-0005-0000-0000-0000BF8A0000}"/>
    <cellStyle name="Comma 17 2 2 3 2 2 3" xfId="41068" xr:uid="{00000000-0005-0000-0000-0000C08A0000}"/>
    <cellStyle name="Comma 17 2 2 3 2 2 3 2" xfId="41069" xr:uid="{00000000-0005-0000-0000-0000C18A0000}"/>
    <cellStyle name="Comma 17 2 2 3 2 2 3 3" xfId="41070" xr:uid="{00000000-0005-0000-0000-0000C28A0000}"/>
    <cellStyle name="Comma 17 2 2 3 2 2 4" xfId="41071" xr:uid="{00000000-0005-0000-0000-0000C38A0000}"/>
    <cellStyle name="Comma 17 2 2 3 2 2 4 2" xfId="41072" xr:uid="{00000000-0005-0000-0000-0000C48A0000}"/>
    <cellStyle name="Comma 17 2 2 3 2 2 5" xfId="41073" xr:uid="{00000000-0005-0000-0000-0000C58A0000}"/>
    <cellStyle name="Comma 17 2 2 3 2 2 6" xfId="41074" xr:uid="{00000000-0005-0000-0000-0000C68A0000}"/>
    <cellStyle name="Comma 17 2 2 3 2 3" xfId="41075" xr:uid="{00000000-0005-0000-0000-0000C78A0000}"/>
    <cellStyle name="Comma 17 2 2 3 2 3 2" xfId="41076" xr:uid="{00000000-0005-0000-0000-0000C88A0000}"/>
    <cellStyle name="Comma 17 2 2 3 2 3 2 2" xfId="41077" xr:uid="{00000000-0005-0000-0000-0000C98A0000}"/>
    <cellStyle name="Comma 17 2 2 3 2 3 2 3" xfId="41078" xr:uid="{00000000-0005-0000-0000-0000CA8A0000}"/>
    <cellStyle name="Comma 17 2 2 3 2 3 3" xfId="41079" xr:uid="{00000000-0005-0000-0000-0000CB8A0000}"/>
    <cellStyle name="Comma 17 2 2 3 2 3 3 2" xfId="41080" xr:uid="{00000000-0005-0000-0000-0000CC8A0000}"/>
    <cellStyle name="Comma 17 2 2 3 2 3 3 3" xfId="41081" xr:uid="{00000000-0005-0000-0000-0000CD8A0000}"/>
    <cellStyle name="Comma 17 2 2 3 2 3 4" xfId="41082" xr:uid="{00000000-0005-0000-0000-0000CE8A0000}"/>
    <cellStyle name="Comma 17 2 2 3 2 3 4 2" xfId="41083" xr:uid="{00000000-0005-0000-0000-0000CF8A0000}"/>
    <cellStyle name="Comma 17 2 2 3 2 3 5" xfId="41084" xr:uid="{00000000-0005-0000-0000-0000D08A0000}"/>
    <cellStyle name="Comma 17 2 2 3 2 3 6" xfId="41085" xr:uid="{00000000-0005-0000-0000-0000D18A0000}"/>
    <cellStyle name="Comma 17 2 2 3 2 4" xfId="41086" xr:uid="{00000000-0005-0000-0000-0000D28A0000}"/>
    <cellStyle name="Comma 17 2 2 3 2 4 2" xfId="41087" xr:uid="{00000000-0005-0000-0000-0000D38A0000}"/>
    <cellStyle name="Comma 17 2 2 3 2 4 2 2" xfId="41088" xr:uid="{00000000-0005-0000-0000-0000D48A0000}"/>
    <cellStyle name="Comma 17 2 2 3 2 4 2 3" xfId="41089" xr:uid="{00000000-0005-0000-0000-0000D58A0000}"/>
    <cellStyle name="Comma 17 2 2 3 2 4 3" xfId="41090" xr:uid="{00000000-0005-0000-0000-0000D68A0000}"/>
    <cellStyle name="Comma 17 2 2 3 2 4 3 2" xfId="41091" xr:uid="{00000000-0005-0000-0000-0000D78A0000}"/>
    <cellStyle name="Comma 17 2 2 3 2 4 4" xfId="41092" xr:uid="{00000000-0005-0000-0000-0000D88A0000}"/>
    <cellStyle name="Comma 17 2 2 3 2 4 5" xfId="41093" xr:uid="{00000000-0005-0000-0000-0000D98A0000}"/>
    <cellStyle name="Comma 17 2 2 3 2 5" xfId="41094" xr:uid="{00000000-0005-0000-0000-0000DA8A0000}"/>
    <cellStyle name="Comma 17 2 2 3 2 5 2" xfId="41095" xr:uid="{00000000-0005-0000-0000-0000DB8A0000}"/>
    <cellStyle name="Comma 17 2 2 3 2 5 3" xfId="41096" xr:uid="{00000000-0005-0000-0000-0000DC8A0000}"/>
    <cellStyle name="Comma 17 2 2 3 2 6" xfId="41097" xr:uid="{00000000-0005-0000-0000-0000DD8A0000}"/>
    <cellStyle name="Comma 17 2 2 3 2 6 2" xfId="41098" xr:uid="{00000000-0005-0000-0000-0000DE8A0000}"/>
    <cellStyle name="Comma 17 2 2 3 2 6 3" xfId="41099" xr:uid="{00000000-0005-0000-0000-0000DF8A0000}"/>
    <cellStyle name="Comma 17 2 2 3 2 7" xfId="41100" xr:uid="{00000000-0005-0000-0000-0000E08A0000}"/>
    <cellStyle name="Comma 17 2 2 3 2 7 2" xfId="41101" xr:uid="{00000000-0005-0000-0000-0000E18A0000}"/>
    <cellStyle name="Comma 17 2 2 3 2 8" xfId="41102" xr:uid="{00000000-0005-0000-0000-0000E28A0000}"/>
    <cellStyle name="Comma 17 2 2 3 2 9" xfId="41103" xr:uid="{00000000-0005-0000-0000-0000E38A0000}"/>
    <cellStyle name="Comma 17 2 2 3 3" xfId="41104" xr:uid="{00000000-0005-0000-0000-0000E48A0000}"/>
    <cellStyle name="Comma 17 2 2 3 3 2" xfId="41105" xr:uid="{00000000-0005-0000-0000-0000E58A0000}"/>
    <cellStyle name="Comma 17 2 2 3 3 2 2" xfId="41106" xr:uid="{00000000-0005-0000-0000-0000E68A0000}"/>
    <cellStyle name="Comma 17 2 2 3 3 2 3" xfId="41107" xr:uid="{00000000-0005-0000-0000-0000E78A0000}"/>
    <cellStyle name="Comma 17 2 2 3 3 3" xfId="41108" xr:uid="{00000000-0005-0000-0000-0000E88A0000}"/>
    <cellStyle name="Comma 17 2 2 3 3 3 2" xfId="41109" xr:uid="{00000000-0005-0000-0000-0000E98A0000}"/>
    <cellStyle name="Comma 17 2 2 3 3 3 3" xfId="41110" xr:uid="{00000000-0005-0000-0000-0000EA8A0000}"/>
    <cellStyle name="Comma 17 2 2 3 3 4" xfId="41111" xr:uid="{00000000-0005-0000-0000-0000EB8A0000}"/>
    <cellStyle name="Comma 17 2 2 3 3 4 2" xfId="41112" xr:uid="{00000000-0005-0000-0000-0000EC8A0000}"/>
    <cellStyle name="Comma 17 2 2 3 3 5" xfId="41113" xr:uid="{00000000-0005-0000-0000-0000ED8A0000}"/>
    <cellStyle name="Comma 17 2 2 3 3 6" xfId="41114" xr:uid="{00000000-0005-0000-0000-0000EE8A0000}"/>
    <cellStyle name="Comma 17 2 2 3 4" xfId="41115" xr:uid="{00000000-0005-0000-0000-0000EF8A0000}"/>
    <cellStyle name="Comma 17 2 2 3 4 2" xfId="41116" xr:uid="{00000000-0005-0000-0000-0000F08A0000}"/>
    <cellStyle name="Comma 17 2 2 3 4 2 2" xfId="41117" xr:uid="{00000000-0005-0000-0000-0000F18A0000}"/>
    <cellStyle name="Comma 17 2 2 3 4 2 3" xfId="41118" xr:uid="{00000000-0005-0000-0000-0000F28A0000}"/>
    <cellStyle name="Comma 17 2 2 3 4 3" xfId="41119" xr:uid="{00000000-0005-0000-0000-0000F38A0000}"/>
    <cellStyle name="Comma 17 2 2 3 4 3 2" xfId="41120" xr:uid="{00000000-0005-0000-0000-0000F48A0000}"/>
    <cellStyle name="Comma 17 2 2 3 4 3 3" xfId="41121" xr:uid="{00000000-0005-0000-0000-0000F58A0000}"/>
    <cellStyle name="Comma 17 2 2 3 4 4" xfId="41122" xr:uid="{00000000-0005-0000-0000-0000F68A0000}"/>
    <cellStyle name="Comma 17 2 2 3 4 4 2" xfId="41123" xr:uid="{00000000-0005-0000-0000-0000F78A0000}"/>
    <cellStyle name="Comma 17 2 2 3 4 5" xfId="41124" xr:uid="{00000000-0005-0000-0000-0000F88A0000}"/>
    <cellStyle name="Comma 17 2 2 3 4 6" xfId="41125" xr:uid="{00000000-0005-0000-0000-0000F98A0000}"/>
    <cellStyle name="Comma 17 2 2 3 5" xfId="41126" xr:uid="{00000000-0005-0000-0000-0000FA8A0000}"/>
    <cellStyle name="Comma 17 2 2 3 5 2" xfId="41127" xr:uid="{00000000-0005-0000-0000-0000FB8A0000}"/>
    <cellStyle name="Comma 17 2 2 3 5 2 2" xfId="41128" xr:uid="{00000000-0005-0000-0000-0000FC8A0000}"/>
    <cellStyle name="Comma 17 2 2 3 5 2 3" xfId="41129" xr:uid="{00000000-0005-0000-0000-0000FD8A0000}"/>
    <cellStyle name="Comma 17 2 2 3 5 3" xfId="41130" xr:uid="{00000000-0005-0000-0000-0000FE8A0000}"/>
    <cellStyle name="Comma 17 2 2 3 5 3 2" xfId="41131" xr:uid="{00000000-0005-0000-0000-0000FF8A0000}"/>
    <cellStyle name="Comma 17 2 2 3 5 4" xfId="41132" xr:uid="{00000000-0005-0000-0000-0000008B0000}"/>
    <cellStyle name="Comma 17 2 2 3 5 5" xfId="41133" xr:uid="{00000000-0005-0000-0000-0000018B0000}"/>
    <cellStyle name="Comma 17 2 2 3 6" xfId="41134" xr:uid="{00000000-0005-0000-0000-0000028B0000}"/>
    <cellStyle name="Comma 17 2 2 3 6 2" xfId="41135" xr:uid="{00000000-0005-0000-0000-0000038B0000}"/>
    <cellStyle name="Comma 17 2 2 3 6 3" xfId="41136" xr:uid="{00000000-0005-0000-0000-0000048B0000}"/>
    <cellStyle name="Comma 17 2 2 3 7" xfId="41137" xr:uid="{00000000-0005-0000-0000-0000058B0000}"/>
    <cellStyle name="Comma 17 2 2 3 7 2" xfId="41138" xr:uid="{00000000-0005-0000-0000-0000068B0000}"/>
    <cellStyle name="Comma 17 2 2 3 7 3" xfId="41139" xr:uid="{00000000-0005-0000-0000-0000078B0000}"/>
    <cellStyle name="Comma 17 2 2 3 8" xfId="41140" xr:uid="{00000000-0005-0000-0000-0000088B0000}"/>
    <cellStyle name="Comma 17 2 2 3 8 2" xfId="41141" xr:uid="{00000000-0005-0000-0000-0000098B0000}"/>
    <cellStyle name="Comma 17 2 2 3 9" xfId="41142" xr:uid="{00000000-0005-0000-0000-00000A8B0000}"/>
    <cellStyle name="Comma 17 2 2 4" xfId="41143" xr:uid="{00000000-0005-0000-0000-00000B8B0000}"/>
    <cellStyle name="Comma 17 2 2 4 2" xfId="41144" xr:uid="{00000000-0005-0000-0000-00000C8B0000}"/>
    <cellStyle name="Comma 17 2 2 4 2 2" xfId="41145" xr:uid="{00000000-0005-0000-0000-00000D8B0000}"/>
    <cellStyle name="Comma 17 2 2 4 2 2 2" xfId="41146" xr:uid="{00000000-0005-0000-0000-00000E8B0000}"/>
    <cellStyle name="Comma 17 2 2 4 2 2 3" xfId="41147" xr:uid="{00000000-0005-0000-0000-00000F8B0000}"/>
    <cellStyle name="Comma 17 2 2 4 2 3" xfId="41148" xr:uid="{00000000-0005-0000-0000-0000108B0000}"/>
    <cellStyle name="Comma 17 2 2 4 2 3 2" xfId="41149" xr:uid="{00000000-0005-0000-0000-0000118B0000}"/>
    <cellStyle name="Comma 17 2 2 4 2 3 3" xfId="41150" xr:uid="{00000000-0005-0000-0000-0000128B0000}"/>
    <cellStyle name="Comma 17 2 2 4 2 4" xfId="41151" xr:uid="{00000000-0005-0000-0000-0000138B0000}"/>
    <cellStyle name="Comma 17 2 2 4 2 4 2" xfId="41152" xr:uid="{00000000-0005-0000-0000-0000148B0000}"/>
    <cellStyle name="Comma 17 2 2 4 2 5" xfId="41153" xr:uid="{00000000-0005-0000-0000-0000158B0000}"/>
    <cellStyle name="Comma 17 2 2 4 2 6" xfId="41154" xr:uid="{00000000-0005-0000-0000-0000168B0000}"/>
    <cellStyle name="Comma 17 2 2 4 3" xfId="41155" xr:uid="{00000000-0005-0000-0000-0000178B0000}"/>
    <cellStyle name="Comma 17 2 2 4 3 2" xfId="41156" xr:uid="{00000000-0005-0000-0000-0000188B0000}"/>
    <cellStyle name="Comma 17 2 2 4 3 2 2" xfId="41157" xr:uid="{00000000-0005-0000-0000-0000198B0000}"/>
    <cellStyle name="Comma 17 2 2 4 3 2 3" xfId="41158" xr:uid="{00000000-0005-0000-0000-00001A8B0000}"/>
    <cellStyle name="Comma 17 2 2 4 3 3" xfId="41159" xr:uid="{00000000-0005-0000-0000-00001B8B0000}"/>
    <cellStyle name="Comma 17 2 2 4 3 3 2" xfId="41160" xr:uid="{00000000-0005-0000-0000-00001C8B0000}"/>
    <cellStyle name="Comma 17 2 2 4 3 3 3" xfId="41161" xr:uid="{00000000-0005-0000-0000-00001D8B0000}"/>
    <cellStyle name="Comma 17 2 2 4 3 4" xfId="41162" xr:uid="{00000000-0005-0000-0000-00001E8B0000}"/>
    <cellStyle name="Comma 17 2 2 4 3 4 2" xfId="41163" xr:uid="{00000000-0005-0000-0000-00001F8B0000}"/>
    <cellStyle name="Comma 17 2 2 4 3 5" xfId="41164" xr:uid="{00000000-0005-0000-0000-0000208B0000}"/>
    <cellStyle name="Comma 17 2 2 4 3 6" xfId="41165" xr:uid="{00000000-0005-0000-0000-0000218B0000}"/>
    <cellStyle name="Comma 17 2 2 4 4" xfId="41166" xr:uid="{00000000-0005-0000-0000-0000228B0000}"/>
    <cellStyle name="Comma 17 2 2 4 4 2" xfId="41167" xr:uid="{00000000-0005-0000-0000-0000238B0000}"/>
    <cellStyle name="Comma 17 2 2 4 4 2 2" xfId="41168" xr:uid="{00000000-0005-0000-0000-0000248B0000}"/>
    <cellStyle name="Comma 17 2 2 4 4 2 3" xfId="41169" xr:uid="{00000000-0005-0000-0000-0000258B0000}"/>
    <cellStyle name="Comma 17 2 2 4 4 3" xfId="41170" xr:uid="{00000000-0005-0000-0000-0000268B0000}"/>
    <cellStyle name="Comma 17 2 2 4 4 3 2" xfId="41171" xr:uid="{00000000-0005-0000-0000-0000278B0000}"/>
    <cellStyle name="Comma 17 2 2 4 4 4" xfId="41172" xr:uid="{00000000-0005-0000-0000-0000288B0000}"/>
    <cellStyle name="Comma 17 2 2 4 4 5" xfId="41173" xr:uid="{00000000-0005-0000-0000-0000298B0000}"/>
    <cellStyle name="Comma 17 2 2 4 5" xfId="41174" xr:uid="{00000000-0005-0000-0000-00002A8B0000}"/>
    <cellStyle name="Comma 17 2 2 4 5 2" xfId="41175" xr:uid="{00000000-0005-0000-0000-00002B8B0000}"/>
    <cellStyle name="Comma 17 2 2 4 5 3" xfId="41176" xr:uid="{00000000-0005-0000-0000-00002C8B0000}"/>
    <cellStyle name="Comma 17 2 2 4 6" xfId="41177" xr:uid="{00000000-0005-0000-0000-00002D8B0000}"/>
    <cellStyle name="Comma 17 2 2 4 6 2" xfId="41178" xr:uid="{00000000-0005-0000-0000-00002E8B0000}"/>
    <cellStyle name="Comma 17 2 2 4 6 3" xfId="41179" xr:uid="{00000000-0005-0000-0000-00002F8B0000}"/>
    <cellStyle name="Comma 17 2 2 4 7" xfId="41180" xr:uid="{00000000-0005-0000-0000-0000308B0000}"/>
    <cellStyle name="Comma 17 2 2 4 7 2" xfId="41181" xr:uid="{00000000-0005-0000-0000-0000318B0000}"/>
    <cellStyle name="Comma 17 2 2 4 8" xfId="41182" xr:uid="{00000000-0005-0000-0000-0000328B0000}"/>
    <cellStyle name="Comma 17 2 2 4 9" xfId="41183" xr:uid="{00000000-0005-0000-0000-0000338B0000}"/>
    <cellStyle name="Comma 17 2 2 5" xfId="41184" xr:uid="{00000000-0005-0000-0000-0000348B0000}"/>
    <cellStyle name="Comma 17 2 2 5 2" xfId="41185" xr:uid="{00000000-0005-0000-0000-0000358B0000}"/>
    <cellStyle name="Comma 17 2 2 5 2 2" xfId="41186" xr:uid="{00000000-0005-0000-0000-0000368B0000}"/>
    <cellStyle name="Comma 17 2 2 5 2 2 2" xfId="41187" xr:uid="{00000000-0005-0000-0000-0000378B0000}"/>
    <cellStyle name="Comma 17 2 2 5 2 2 3" xfId="41188" xr:uid="{00000000-0005-0000-0000-0000388B0000}"/>
    <cellStyle name="Comma 17 2 2 5 2 3" xfId="41189" xr:uid="{00000000-0005-0000-0000-0000398B0000}"/>
    <cellStyle name="Comma 17 2 2 5 2 3 2" xfId="41190" xr:uid="{00000000-0005-0000-0000-00003A8B0000}"/>
    <cellStyle name="Comma 17 2 2 5 2 3 3" xfId="41191" xr:uid="{00000000-0005-0000-0000-00003B8B0000}"/>
    <cellStyle name="Comma 17 2 2 5 2 4" xfId="41192" xr:uid="{00000000-0005-0000-0000-00003C8B0000}"/>
    <cellStyle name="Comma 17 2 2 5 2 4 2" xfId="41193" xr:uid="{00000000-0005-0000-0000-00003D8B0000}"/>
    <cellStyle name="Comma 17 2 2 5 2 5" xfId="41194" xr:uid="{00000000-0005-0000-0000-00003E8B0000}"/>
    <cellStyle name="Comma 17 2 2 5 2 6" xfId="41195" xr:uid="{00000000-0005-0000-0000-00003F8B0000}"/>
    <cellStyle name="Comma 17 2 2 5 3" xfId="41196" xr:uid="{00000000-0005-0000-0000-0000408B0000}"/>
    <cellStyle name="Comma 17 2 2 5 3 2" xfId="41197" xr:uid="{00000000-0005-0000-0000-0000418B0000}"/>
    <cellStyle name="Comma 17 2 2 5 3 2 2" xfId="41198" xr:uid="{00000000-0005-0000-0000-0000428B0000}"/>
    <cellStyle name="Comma 17 2 2 5 3 2 3" xfId="41199" xr:uid="{00000000-0005-0000-0000-0000438B0000}"/>
    <cellStyle name="Comma 17 2 2 5 3 3" xfId="41200" xr:uid="{00000000-0005-0000-0000-0000448B0000}"/>
    <cellStyle name="Comma 17 2 2 5 3 3 2" xfId="41201" xr:uid="{00000000-0005-0000-0000-0000458B0000}"/>
    <cellStyle name="Comma 17 2 2 5 3 3 3" xfId="41202" xr:uid="{00000000-0005-0000-0000-0000468B0000}"/>
    <cellStyle name="Comma 17 2 2 5 3 4" xfId="41203" xr:uid="{00000000-0005-0000-0000-0000478B0000}"/>
    <cellStyle name="Comma 17 2 2 5 3 4 2" xfId="41204" xr:uid="{00000000-0005-0000-0000-0000488B0000}"/>
    <cellStyle name="Comma 17 2 2 5 3 5" xfId="41205" xr:uid="{00000000-0005-0000-0000-0000498B0000}"/>
    <cellStyle name="Comma 17 2 2 5 3 6" xfId="41206" xr:uid="{00000000-0005-0000-0000-00004A8B0000}"/>
    <cellStyle name="Comma 17 2 2 5 4" xfId="41207" xr:uid="{00000000-0005-0000-0000-00004B8B0000}"/>
    <cellStyle name="Comma 17 2 2 5 4 2" xfId="41208" xr:uid="{00000000-0005-0000-0000-00004C8B0000}"/>
    <cellStyle name="Comma 17 2 2 5 4 2 2" xfId="41209" xr:uid="{00000000-0005-0000-0000-00004D8B0000}"/>
    <cellStyle name="Comma 17 2 2 5 4 2 3" xfId="41210" xr:uid="{00000000-0005-0000-0000-00004E8B0000}"/>
    <cellStyle name="Comma 17 2 2 5 4 3" xfId="41211" xr:uid="{00000000-0005-0000-0000-00004F8B0000}"/>
    <cellStyle name="Comma 17 2 2 5 4 3 2" xfId="41212" xr:uid="{00000000-0005-0000-0000-0000508B0000}"/>
    <cellStyle name="Comma 17 2 2 5 4 4" xfId="41213" xr:uid="{00000000-0005-0000-0000-0000518B0000}"/>
    <cellStyle name="Comma 17 2 2 5 4 5" xfId="41214" xr:uid="{00000000-0005-0000-0000-0000528B0000}"/>
    <cellStyle name="Comma 17 2 2 5 5" xfId="41215" xr:uid="{00000000-0005-0000-0000-0000538B0000}"/>
    <cellStyle name="Comma 17 2 2 5 5 2" xfId="41216" xr:uid="{00000000-0005-0000-0000-0000548B0000}"/>
    <cellStyle name="Comma 17 2 2 5 5 3" xfId="41217" xr:uid="{00000000-0005-0000-0000-0000558B0000}"/>
    <cellStyle name="Comma 17 2 2 5 6" xfId="41218" xr:uid="{00000000-0005-0000-0000-0000568B0000}"/>
    <cellStyle name="Comma 17 2 2 5 6 2" xfId="41219" xr:uid="{00000000-0005-0000-0000-0000578B0000}"/>
    <cellStyle name="Comma 17 2 2 5 6 3" xfId="41220" xr:uid="{00000000-0005-0000-0000-0000588B0000}"/>
    <cellStyle name="Comma 17 2 2 5 7" xfId="41221" xr:uid="{00000000-0005-0000-0000-0000598B0000}"/>
    <cellStyle name="Comma 17 2 2 5 7 2" xfId="41222" xr:uid="{00000000-0005-0000-0000-00005A8B0000}"/>
    <cellStyle name="Comma 17 2 2 5 8" xfId="41223" xr:uid="{00000000-0005-0000-0000-00005B8B0000}"/>
    <cellStyle name="Comma 17 2 2 5 9" xfId="41224" xr:uid="{00000000-0005-0000-0000-00005C8B0000}"/>
    <cellStyle name="Comma 17 2 2 6" xfId="41225" xr:uid="{00000000-0005-0000-0000-00005D8B0000}"/>
    <cellStyle name="Comma 17 2 2 6 2" xfId="41226" xr:uid="{00000000-0005-0000-0000-00005E8B0000}"/>
    <cellStyle name="Comma 17 2 2 6 2 2" xfId="41227" xr:uid="{00000000-0005-0000-0000-00005F8B0000}"/>
    <cellStyle name="Comma 17 2 2 6 2 3" xfId="41228" xr:uid="{00000000-0005-0000-0000-0000608B0000}"/>
    <cellStyle name="Comma 17 2 2 6 3" xfId="41229" xr:uid="{00000000-0005-0000-0000-0000618B0000}"/>
    <cellStyle name="Comma 17 2 2 6 3 2" xfId="41230" xr:uid="{00000000-0005-0000-0000-0000628B0000}"/>
    <cellStyle name="Comma 17 2 2 6 3 3" xfId="41231" xr:uid="{00000000-0005-0000-0000-0000638B0000}"/>
    <cellStyle name="Comma 17 2 2 6 4" xfId="41232" xr:uid="{00000000-0005-0000-0000-0000648B0000}"/>
    <cellStyle name="Comma 17 2 2 6 4 2" xfId="41233" xr:uid="{00000000-0005-0000-0000-0000658B0000}"/>
    <cellStyle name="Comma 17 2 2 6 5" xfId="41234" xr:uid="{00000000-0005-0000-0000-0000668B0000}"/>
    <cellStyle name="Comma 17 2 2 6 6" xfId="41235" xr:uid="{00000000-0005-0000-0000-0000678B0000}"/>
    <cellStyle name="Comma 17 2 2 7" xfId="41236" xr:uid="{00000000-0005-0000-0000-0000688B0000}"/>
    <cellStyle name="Comma 17 2 2 7 2" xfId="41237" xr:uid="{00000000-0005-0000-0000-0000698B0000}"/>
    <cellStyle name="Comma 17 2 2 7 2 2" xfId="41238" xr:uid="{00000000-0005-0000-0000-00006A8B0000}"/>
    <cellStyle name="Comma 17 2 2 7 2 3" xfId="41239" xr:uid="{00000000-0005-0000-0000-00006B8B0000}"/>
    <cellStyle name="Comma 17 2 2 7 3" xfId="41240" xr:uid="{00000000-0005-0000-0000-00006C8B0000}"/>
    <cellStyle name="Comma 17 2 2 7 3 2" xfId="41241" xr:uid="{00000000-0005-0000-0000-00006D8B0000}"/>
    <cellStyle name="Comma 17 2 2 7 3 3" xfId="41242" xr:uid="{00000000-0005-0000-0000-00006E8B0000}"/>
    <cellStyle name="Comma 17 2 2 7 4" xfId="41243" xr:uid="{00000000-0005-0000-0000-00006F8B0000}"/>
    <cellStyle name="Comma 17 2 2 7 4 2" xfId="41244" xr:uid="{00000000-0005-0000-0000-0000708B0000}"/>
    <cellStyle name="Comma 17 2 2 7 5" xfId="41245" xr:uid="{00000000-0005-0000-0000-0000718B0000}"/>
    <cellStyle name="Comma 17 2 2 7 6" xfId="41246" xr:uid="{00000000-0005-0000-0000-0000728B0000}"/>
    <cellStyle name="Comma 17 2 2 8" xfId="41247" xr:uid="{00000000-0005-0000-0000-0000738B0000}"/>
    <cellStyle name="Comma 17 2 2 8 2" xfId="41248" xr:uid="{00000000-0005-0000-0000-0000748B0000}"/>
    <cellStyle name="Comma 17 2 2 8 2 2" xfId="41249" xr:uid="{00000000-0005-0000-0000-0000758B0000}"/>
    <cellStyle name="Comma 17 2 2 8 2 3" xfId="41250" xr:uid="{00000000-0005-0000-0000-0000768B0000}"/>
    <cellStyle name="Comma 17 2 2 8 3" xfId="41251" xr:uid="{00000000-0005-0000-0000-0000778B0000}"/>
    <cellStyle name="Comma 17 2 2 8 3 2" xfId="41252" xr:uid="{00000000-0005-0000-0000-0000788B0000}"/>
    <cellStyle name="Comma 17 2 2 8 4" xfId="41253" xr:uid="{00000000-0005-0000-0000-0000798B0000}"/>
    <cellStyle name="Comma 17 2 2 8 5" xfId="41254" xr:uid="{00000000-0005-0000-0000-00007A8B0000}"/>
    <cellStyle name="Comma 17 2 2 9" xfId="41255" xr:uid="{00000000-0005-0000-0000-00007B8B0000}"/>
    <cellStyle name="Comma 17 2 2 9 2" xfId="41256" xr:uid="{00000000-0005-0000-0000-00007C8B0000}"/>
    <cellStyle name="Comma 17 2 2 9 3" xfId="41257" xr:uid="{00000000-0005-0000-0000-00007D8B0000}"/>
    <cellStyle name="Comma 17 2 3" xfId="41258" xr:uid="{00000000-0005-0000-0000-00007E8B0000}"/>
    <cellStyle name="Comma 17 2 3 10" xfId="41259" xr:uid="{00000000-0005-0000-0000-00007F8B0000}"/>
    <cellStyle name="Comma 17 2 3 10 2" xfId="41260" xr:uid="{00000000-0005-0000-0000-0000808B0000}"/>
    <cellStyle name="Comma 17 2 3 11" xfId="41261" xr:uid="{00000000-0005-0000-0000-0000818B0000}"/>
    <cellStyle name="Comma 17 2 3 12" xfId="41262" xr:uid="{00000000-0005-0000-0000-0000828B0000}"/>
    <cellStyle name="Comma 17 2 3 2" xfId="41263" xr:uid="{00000000-0005-0000-0000-0000838B0000}"/>
    <cellStyle name="Comma 17 2 3 2 10" xfId="41264" xr:uid="{00000000-0005-0000-0000-0000848B0000}"/>
    <cellStyle name="Comma 17 2 3 2 2" xfId="41265" xr:uid="{00000000-0005-0000-0000-0000858B0000}"/>
    <cellStyle name="Comma 17 2 3 2 2 2" xfId="41266" xr:uid="{00000000-0005-0000-0000-0000868B0000}"/>
    <cellStyle name="Comma 17 2 3 2 2 2 2" xfId="41267" xr:uid="{00000000-0005-0000-0000-0000878B0000}"/>
    <cellStyle name="Comma 17 2 3 2 2 2 2 2" xfId="41268" xr:uid="{00000000-0005-0000-0000-0000888B0000}"/>
    <cellStyle name="Comma 17 2 3 2 2 2 2 3" xfId="41269" xr:uid="{00000000-0005-0000-0000-0000898B0000}"/>
    <cellStyle name="Comma 17 2 3 2 2 2 3" xfId="41270" xr:uid="{00000000-0005-0000-0000-00008A8B0000}"/>
    <cellStyle name="Comma 17 2 3 2 2 2 3 2" xfId="41271" xr:uid="{00000000-0005-0000-0000-00008B8B0000}"/>
    <cellStyle name="Comma 17 2 3 2 2 2 3 3" xfId="41272" xr:uid="{00000000-0005-0000-0000-00008C8B0000}"/>
    <cellStyle name="Comma 17 2 3 2 2 2 4" xfId="41273" xr:uid="{00000000-0005-0000-0000-00008D8B0000}"/>
    <cellStyle name="Comma 17 2 3 2 2 2 4 2" xfId="41274" xr:uid="{00000000-0005-0000-0000-00008E8B0000}"/>
    <cellStyle name="Comma 17 2 3 2 2 2 5" xfId="41275" xr:uid="{00000000-0005-0000-0000-00008F8B0000}"/>
    <cellStyle name="Comma 17 2 3 2 2 2 6" xfId="41276" xr:uid="{00000000-0005-0000-0000-0000908B0000}"/>
    <cellStyle name="Comma 17 2 3 2 2 3" xfId="41277" xr:uid="{00000000-0005-0000-0000-0000918B0000}"/>
    <cellStyle name="Comma 17 2 3 2 2 3 2" xfId="41278" xr:uid="{00000000-0005-0000-0000-0000928B0000}"/>
    <cellStyle name="Comma 17 2 3 2 2 3 2 2" xfId="41279" xr:uid="{00000000-0005-0000-0000-0000938B0000}"/>
    <cellStyle name="Comma 17 2 3 2 2 3 2 3" xfId="41280" xr:uid="{00000000-0005-0000-0000-0000948B0000}"/>
    <cellStyle name="Comma 17 2 3 2 2 3 3" xfId="41281" xr:uid="{00000000-0005-0000-0000-0000958B0000}"/>
    <cellStyle name="Comma 17 2 3 2 2 3 3 2" xfId="41282" xr:uid="{00000000-0005-0000-0000-0000968B0000}"/>
    <cellStyle name="Comma 17 2 3 2 2 3 3 3" xfId="41283" xr:uid="{00000000-0005-0000-0000-0000978B0000}"/>
    <cellStyle name="Comma 17 2 3 2 2 3 4" xfId="41284" xr:uid="{00000000-0005-0000-0000-0000988B0000}"/>
    <cellStyle name="Comma 17 2 3 2 2 3 4 2" xfId="41285" xr:uid="{00000000-0005-0000-0000-0000998B0000}"/>
    <cellStyle name="Comma 17 2 3 2 2 3 5" xfId="41286" xr:uid="{00000000-0005-0000-0000-00009A8B0000}"/>
    <cellStyle name="Comma 17 2 3 2 2 3 6" xfId="41287" xr:uid="{00000000-0005-0000-0000-00009B8B0000}"/>
    <cellStyle name="Comma 17 2 3 2 2 4" xfId="41288" xr:uid="{00000000-0005-0000-0000-00009C8B0000}"/>
    <cellStyle name="Comma 17 2 3 2 2 4 2" xfId="41289" xr:uid="{00000000-0005-0000-0000-00009D8B0000}"/>
    <cellStyle name="Comma 17 2 3 2 2 4 2 2" xfId="41290" xr:uid="{00000000-0005-0000-0000-00009E8B0000}"/>
    <cellStyle name="Comma 17 2 3 2 2 4 2 3" xfId="41291" xr:uid="{00000000-0005-0000-0000-00009F8B0000}"/>
    <cellStyle name="Comma 17 2 3 2 2 4 3" xfId="41292" xr:uid="{00000000-0005-0000-0000-0000A08B0000}"/>
    <cellStyle name="Comma 17 2 3 2 2 4 3 2" xfId="41293" xr:uid="{00000000-0005-0000-0000-0000A18B0000}"/>
    <cellStyle name="Comma 17 2 3 2 2 4 4" xfId="41294" xr:uid="{00000000-0005-0000-0000-0000A28B0000}"/>
    <cellStyle name="Comma 17 2 3 2 2 4 5" xfId="41295" xr:uid="{00000000-0005-0000-0000-0000A38B0000}"/>
    <cellStyle name="Comma 17 2 3 2 2 5" xfId="41296" xr:uid="{00000000-0005-0000-0000-0000A48B0000}"/>
    <cellStyle name="Comma 17 2 3 2 2 5 2" xfId="41297" xr:uid="{00000000-0005-0000-0000-0000A58B0000}"/>
    <cellStyle name="Comma 17 2 3 2 2 5 3" xfId="41298" xr:uid="{00000000-0005-0000-0000-0000A68B0000}"/>
    <cellStyle name="Comma 17 2 3 2 2 6" xfId="41299" xr:uid="{00000000-0005-0000-0000-0000A78B0000}"/>
    <cellStyle name="Comma 17 2 3 2 2 6 2" xfId="41300" xr:uid="{00000000-0005-0000-0000-0000A88B0000}"/>
    <cellStyle name="Comma 17 2 3 2 2 6 3" xfId="41301" xr:uid="{00000000-0005-0000-0000-0000A98B0000}"/>
    <cellStyle name="Comma 17 2 3 2 2 7" xfId="41302" xr:uid="{00000000-0005-0000-0000-0000AA8B0000}"/>
    <cellStyle name="Comma 17 2 3 2 2 7 2" xfId="41303" xr:uid="{00000000-0005-0000-0000-0000AB8B0000}"/>
    <cellStyle name="Comma 17 2 3 2 2 8" xfId="41304" xr:uid="{00000000-0005-0000-0000-0000AC8B0000}"/>
    <cellStyle name="Comma 17 2 3 2 2 9" xfId="41305" xr:uid="{00000000-0005-0000-0000-0000AD8B0000}"/>
    <cellStyle name="Comma 17 2 3 2 3" xfId="41306" xr:uid="{00000000-0005-0000-0000-0000AE8B0000}"/>
    <cellStyle name="Comma 17 2 3 2 3 2" xfId="41307" xr:uid="{00000000-0005-0000-0000-0000AF8B0000}"/>
    <cellStyle name="Comma 17 2 3 2 3 2 2" xfId="41308" xr:uid="{00000000-0005-0000-0000-0000B08B0000}"/>
    <cellStyle name="Comma 17 2 3 2 3 2 3" xfId="41309" xr:uid="{00000000-0005-0000-0000-0000B18B0000}"/>
    <cellStyle name="Comma 17 2 3 2 3 3" xfId="41310" xr:uid="{00000000-0005-0000-0000-0000B28B0000}"/>
    <cellStyle name="Comma 17 2 3 2 3 3 2" xfId="41311" xr:uid="{00000000-0005-0000-0000-0000B38B0000}"/>
    <cellStyle name="Comma 17 2 3 2 3 3 3" xfId="41312" xr:uid="{00000000-0005-0000-0000-0000B48B0000}"/>
    <cellStyle name="Comma 17 2 3 2 3 4" xfId="41313" xr:uid="{00000000-0005-0000-0000-0000B58B0000}"/>
    <cellStyle name="Comma 17 2 3 2 3 4 2" xfId="41314" xr:uid="{00000000-0005-0000-0000-0000B68B0000}"/>
    <cellStyle name="Comma 17 2 3 2 3 5" xfId="41315" xr:uid="{00000000-0005-0000-0000-0000B78B0000}"/>
    <cellStyle name="Comma 17 2 3 2 3 6" xfId="41316" xr:uid="{00000000-0005-0000-0000-0000B88B0000}"/>
    <cellStyle name="Comma 17 2 3 2 4" xfId="41317" xr:uid="{00000000-0005-0000-0000-0000B98B0000}"/>
    <cellStyle name="Comma 17 2 3 2 4 2" xfId="41318" xr:uid="{00000000-0005-0000-0000-0000BA8B0000}"/>
    <cellStyle name="Comma 17 2 3 2 4 2 2" xfId="41319" xr:uid="{00000000-0005-0000-0000-0000BB8B0000}"/>
    <cellStyle name="Comma 17 2 3 2 4 2 3" xfId="41320" xr:uid="{00000000-0005-0000-0000-0000BC8B0000}"/>
    <cellStyle name="Comma 17 2 3 2 4 3" xfId="41321" xr:uid="{00000000-0005-0000-0000-0000BD8B0000}"/>
    <cellStyle name="Comma 17 2 3 2 4 3 2" xfId="41322" xr:uid="{00000000-0005-0000-0000-0000BE8B0000}"/>
    <cellStyle name="Comma 17 2 3 2 4 3 3" xfId="41323" xr:uid="{00000000-0005-0000-0000-0000BF8B0000}"/>
    <cellStyle name="Comma 17 2 3 2 4 4" xfId="41324" xr:uid="{00000000-0005-0000-0000-0000C08B0000}"/>
    <cellStyle name="Comma 17 2 3 2 4 4 2" xfId="41325" xr:uid="{00000000-0005-0000-0000-0000C18B0000}"/>
    <cellStyle name="Comma 17 2 3 2 4 5" xfId="41326" xr:uid="{00000000-0005-0000-0000-0000C28B0000}"/>
    <cellStyle name="Comma 17 2 3 2 4 6" xfId="41327" xr:uid="{00000000-0005-0000-0000-0000C38B0000}"/>
    <cellStyle name="Comma 17 2 3 2 5" xfId="41328" xr:uid="{00000000-0005-0000-0000-0000C48B0000}"/>
    <cellStyle name="Comma 17 2 3 2 5 2" xfId="41329" xr:uid="{00000000-0005-0000-0000-0000C58B0000}"/>
    <cellStyle name="Comma 17 2 3 2 5 2 2" xfId="41330" xr:uid="{00000000-0005-0000-0000-0000C68B0000}"/>
    <cellStyle name="Comma 17 2 3 2 5 2 3" xfId="41331" xr:uid="{00000000-0005-0000-0000-0000C78B0000}"/>
    <cellStyle name="Comma 17 2 3 2 5 3" xfId="41332" xr:uid="{00000000-0005-0000-0000-0000C88B0000}"/>
    <cellStyle name="Comma 17 2 3 2 5 3 2" xfId="41333" xr:uid="{00000000-0005-0000-0000-0000C98B0000}"/>
    <cellStyle name="Comma 17 2 3 2 5 4" xfId="41334" xr:uid="{00000000-0005-0000-0000-0000CA8B0000}"/>
    <cellStyle name="Comma 17 2 3 2 5 5" xfId="41335" xr:uid="{00000000-0005-0000-0000-0000CB8B0000}"/>
    <cellStyle name="Comma 17 2 3 2 6" xfId="41336" xr:uid="{00000000-0005-0000-0000-0000CC8B0000}"/>
    <cellStyle name="Comma 17 2 3 2 6 2" xfId="41337" xr:uid="{00000000-0005-0000-0000-0000CD8B0000}"/>
    <cellStyle name="Comma 17 2 3 2 6 3" xfId="41338" xr:uid="{00000000-0005-0000-0000-0000CE8B0000}"/>
    <cellStyle name="Comma 17 2 3 2 7" xfId="41339" xr:uid="{00000000-0005-0000-0000-0000CF8B0000}"/>
    <cellStyle name="Comma 17 2 3 2 7 2" xfId="41340" xr:uid="{00000000-0005-0000-0000-0000D08B0000}"/>
    <cellStyle name="Comma 17 2 3 2 7 3" xfId="41341" xr:uid="{00000000-0005-0000-0000-0000D18B0000}"/>
    <cellStyle name="Comma 17 2 3 2 8" xfId="41342" xr:uid="{00000000-0005-0000-0000-0000D28B0000}"/>
    <cellStyle name="Comma 17 2 3 2 8 2" xfId="41343" xr:uid="{00000000-0005-0000-0000-0000D38B0000}"/>
    <cellStyle name="Comma 17 2 3 2 9" xfId="41344" xr:uid="{00000000-0005-0000-0000-0000D48B0000}"/>
    <cellStyle name="Comma 17 2 3 3" xfId="41345" xr:uid="{00000000-0005-0000-0000-0000D58B0000}"/>
    <cellStyle name="Comma 17 2 3 3 2" xfId="41346" xr:uid="{00000000-0005-0000-0000-0000D68B0000}"/>
    <cellStyle name="Comma 17 2 3 3 2 2" xfId="41347" xr:uid="{00000000-0005-0000-0000-0000D78B0000}"/>
    <cellStyle name="Comma 17 2 3 3 2 2 2" xfId="41348" xr:uid="{00000000-0005-0000-0000-0000D88B0000}"/>
    <cellStyle name="Comma 17 2 3 3 2 2 3" xfId="41349" xr:uid="{00000000-0005-0000-0000-0000D98B0000}"/>
    <cellStyle name="Comma 17 2 3 3 2 3" xfId="41350" xr:uid="{00000000-0005-0000-0000-0000DA8B0000}"/>
    <cellStyle name="Comma 17 2 3 3 2 3 2" xfId="41351" xr:uid="{00000000-0005-0000-0000-0000DB8B0000}"/>
    <cellStyle name="Comma 17 2 3 3 2 3 3" xfId="41352" xr:uid="{00000000-0005-0000-0000-0000DC8B0000}"/>
    <cellStyle name="Comma 17 2 3 3 2 4" xfId="41353" xr:uid="{00000000-0005-0000-0000-0000DD8B0000}"/>
    <cellStyle name="Comma 17 2 3 3 2 4 2" xfId="41354" xr:uid="{00000000-0005-0000-0000-0000DE8B0000}"/>
    <cellStyle name="Comma 17 2 3 3 2 5" xfId="41355" xr:uid="{00000000-0005-0000-0000-0000DF8B0000}"/>
    <cellStyle name="Comma 17 2 3 3 2 6" xfId="41356" xr:uid="{00000000-0005-0000-0000-0000E08B0000}"/>
    <cellStyle name="Comma 17 2 3 3 3" xfId="41357" xr:uid="{00000000-0005-0000-0000-0000E18B0000}"/>
    <cellStyle name="Comma 17 2 3 3 3 2" xfId="41358" xr:uid="{00000000-0005-0000-0000-0000E28B0000}"/>
    <cellStyle name="Comma 17 2 3 3 3 2 2" xfId="41359" xr:uid="{00000000-0005-0000-0000-0000E38B0000}"/>
    <cellStyle name="Comma 17 2 3 3 3 2 3" xfId="41360" xr:uid="{00000000-0005-0000-0000-0000E48B0000}"/>
    <cellStyle name="Comma 17 2 3 3 3 3" xfId="41361" xr:uid="{00000000-0005-0000-0000-0000E58B0000}"/>
    <cellStyle name="Comma 17 2 3 3 3 3 2" xfId="41362" xr:uid="{00000000-0005-0000-0000-0000E68B0000}"/>
    <cellStyle name="Comma 17 2 3 3 3 3 3" xfId="41363" xr:uid="{00000000-0005-0000-0000-0000E78B0000}"/>
    <cellStyle name="Comma 17 2 3 3 3 4" xfId="41364" xr:uid="{00000000-0005-0000-0000-0000E88B0000}"/>
    <cellStyle name="Comma 17 2 3 3 3 4 2" xfId="41365" xr:uid="{00000000-0005-0000-0000-0000E98B0000}"/>
    <cellStyle name="Comma 17 2 3 3 3 5" xfId="41366" xr:uid="{00000000-0005-0000-0000-0000EA8B0000}"/>
    <cellStyle name="Comma 17 2 3 3 3 6" xfId="41367" xr:uid="{00000000-0005-0000-0000-0000EB8B0000}"/>
    <cellStyle name="Comma 17 2 3 3 4" xfId="41368" xr:uid="{00000000-0005-0000-0000-0000EC8B0000}"/>
    <cellStyle name="Comma 17 2 3 3 4 2" xfId="41369" xr:uid="{00000000-0005-0000-0000-0000ED8B0000}"/>
    <cellStyle name="Comma 17 2 3 3 4 2 2" xfId="41370" xr:uid="{00000000-0005-0000-0000-0000EE8B0000}"/>
    <cellStyle name="Comma 17 2 3 3 4 2 3" xfId="41371" xr:uid="{00000000-0005-0000-0000-0000EF8B0000}"/>
    <cellStyle name="Comma 17 2 3 3 4 3" xfId="41372" xr:uid="{00000000-0005-0000-0000-0000F08B0000}"/>
    <cellStyle name="Comma 17 2 3 3 4 3 2" xfId="41373" xr:uid="{00000000-0005-0000-0000-0000F18B0000}"/>
    <cellStyle name="Comma 17 2 3 3 4 4" xfId="41374" xr:uid="{00000000-0005-0000-0000-0000F28B0000}"/>
    <cellStyle name="Comma 17 2 3 3 4 5" xfId="41375" xr:uid="{00000000-0005-0000-0000-0000F38B0000}"/>
    <cellStyle name="Comma 17 2 3 3 5" xfId="41376" xr:uid="{00000000-0005-0000-0000-0000F48B0000}"/>
    <cellStyle name="Comma 17 2 3 3 5 2" xfId="41377" xr:uid="{00000000-0005-0000-0000-0000F58B0000}"/>
    <cellStyle name="Comma 17 2 3 3 5 3" xfId="41378" xr:uid="{00000000-0005-0000-0000-0000F68B0000}"/>
    <cellStyle name="Comma 17 2 3 3 6" xfId="41379" xr:uid="{00000000-0005-0000-0000-0000F78B0000}"/>
    <cellStyle name="Comma 17 2 3 3 6 2" xfId="41380" xr:uid="{00000000-0005-0000-0000-0000F88B0000}"/>
    <cellStyle name="Comma 17 2 3 3 6 3" xfId="41381" xr:uid="{00000000-0005-0000-0000-0000F98B0000}"/>
    <cellStyle name="Comma 17 2 3 3 7" xfId="41382" xr:uid="{00000000-0005-0000-0000-0000FA8B0000}"/>
    <cellStyle name="Comma 17 2 3 3 7 2" xfId="41383" xr:uid="{00000000-0005-0000-0000-0000FB8B0000}"/>
    <cellStyle name="Comma 17 2 3 3 8" xfId="41384" xr:uid="{00000000-0005-0000-0000-0000FC8B0000}"/>
    <cellStyle name="Comma 17 2 3 3 9" xfId="41385" xr:uid="{00000000-0005-0000-0000-0000FD8B0000}"/>
    <cellStyle name="Comma 17 2 3 4" xfId="41386" xr:uid="{00000000-0005-0000-0000-0000FE8B0000}"/>
    <cellStyle name="Comma 17 2 3 4 2" xfId="41387" xr:uid="{00000000-0005-0000-0000-0000FF8B0000}"/>
    <cellStyle name="Comma 17 2 3 4 2 2" xfId="41388" xr:uid="{00000000-0005-0000-0000-0000008C0000}"/>
    <cellStyle name="Comma 17 2 3 4 2 2 2" xfId="41389" xr:uid="{00000000-0005-0000-0000-0000018C0000}"/>
    <cellStyle name="Comma 17 2 3 4 2 2 3" xfId="41390" xr:uid="{00000000-0005-0000-0000-0000028C0000}"/>
    <cellStyle name="Comma 17 2 3 4 2 3" xfId="41391" xr:uid="{00000000-0005-0000-0000-0000038C0000}"/>
    <cellStyle name="Comma 17 2 3 4 2 3 2" xfId="41392" xr:uid="{00000000-0005-0000-0000-0000048C0000}"/>
    <cellStyle name="Comma 17 2 3 4 2 3 3" xfId="41393" xr:uid="{00000000-0005-0000-0000-0000058C0000}"/>
    <cellStyle name="Comma 17 2 3 4 2 4" xfId="41394" xr:uid="{00000000-0005-0000-0000-0000068C0000}"/>
    <cellStyle name="Comma 17 2 3 4 2 4 2" xfId="41395" xr:uid="{00000000-0005-0000-0000-0000078C0000}"/>
    <cellStyle name="Comma 17 2 3 4 2 5" xfId="41396" xr:uid="{00000000-0005-0000-0000-0000088C0000}"/>
    <cellStyle name="Comma 17 2 3 4 2 6" xfId="41397" xr:uid="{00000000-0005-0000-0000-0000098C0000}"/>
    <cellStyle name="Comma 17 2 3 4 3" xfId="41398" xr:uid="{00000000-0005-0000-0000-00000A8C0000}"/>
    <cellStyle name="Comma 17 2 3 4 3 2" xfId="41399" xr:uid="{00000000-0005-0000-0000-00000B8C0000}"/>
    <cellStyle name="Comma 17 2 3 4 3 2 2" xfId="41400" xr:uid="{00000000-0005-0000-0000-00000C8C0000}"/>
    <cellStyle name="Comma 17 2 3 4 3 2 3" xfId="41401" xr:uid="{00000000-0005-0000-0000-00000D8C0000}"/>
    <cellStyle name="Comma 17 2 3 4 3 3" xfId="41402" xr:uid="{00000000-0005-0000-0000-00000E8C0000}"/>
    <cellStyle name="Comma 17 2 3 4 3 3 2" xfId="41403" xr:uid="{00000000-0005-0000-0000-00000F8C0000}"/>
    <cellStyle name="Comma 17 2 3 4 3 3 3" xfId="41404" xr:uid="{00000000-0005-0000-0000-0000108C0000}"/>
    <cellStyle name="Comma 17 2 3 4 3 4" xfId="41405" xr:uid="{00000000-0005-0000-0000-0000118C0000}"/>
    <cellStyle name="Comma 17 2 3 4 3 4 2" xfId="41406" xr:uid="{00000000-0005-0000-0000-0000128C0000}"/>
    <cellStyle name="Comma 17 2 3 4 3 5" xfId="41407" xr:uid="{00000000-0005-0000-0000-0000138C0000}"/>
    <cellStyle name="Comma 17 2 3 4 3 6" xfId="41408" xr:uid="{00000000-0005-0000-0000-0000148C0000}"/>
    <cellStyle name="Comma 17 2 3 4 4" xfId="41409" xr:uid="{00000000-0005-0000-0000-0000158C0000}"/>
    <cellStyle name="Comma 17 2 3 4 4 2" xfId="41410" xr:uid="{00000000-0005-0000-0000-0000168C0000}"/>
    <cellStyle name="Comma 17 2 3 4 4 2 2" xfId="41411" xr:uid="{00000000-0005-0000-0000-0000178C0000}"/>
    <cellStyle name="Comma 17 2 3 4 4 2 3" xfId="41412" xr:uid="{00000000-0005-0000-0000-0000188C0000}"/>
    <cellStyle name="Comma 17 2 3 4 4 3" xfId="41413" xr:uid="{00000000-0005-0000-0000-0000198C0000}"/>
    <cellStyle name="Comma 17 2 3 4 4 3 2" xfId="41414" xr:uid="{00000000-0005-0000-0000-00001A8C0000}"/>
    <cellStyle name="Comma 17 2 3 4 4 4" xfId="41415" xr:uid="{00000000-0005-0000-0000-00001B8C0000}"/>
    <cellStyle name="Comma 17 2 3 4 4 5" xfId="41416" xr:uid="{00000000-0005-0000-0000-00001C8C0000}"/>
    <cellStyle name="Comma 17 2 3 4 5" xfId="41417" xr:uid="{00000000-0005-0000-0000-00001D8C0000}"/>
    <cellStyle name="Comma 17 2 3 4 5 2" xfId="41418" xr:uid="{00000000-0005-0000-0000-00001E8C0000}"/>
    <cellStyle name="Comma 17 2 3 4 5 3" xfId="41419" xr:uid="{00000000-0005-0000-0000-00001F8C0000}"/>
    <cellStyle name="Comma 17 2 3 4 6" xfId="41420" xr:uid="{00000000-0005-0000-0000-0000208C0000}"/>
    <cellStyle name="Comma 17 2 3 4 6 2" xfId="41421" xr:uid="{00000000-0005-0000-0000-0000218C0000}"/>
    <cellStyle name="Comma 17 2 3 4 6 3" xfId="41422" xr:uid="{00000000-0005-0000-0000-0000228C0000}"/>
    <cellStyle name="Comma 17 2 3 4 7" xfId="41423" xr:uid="{00000000-0005-0000-0000-0000238C0000}"/>
    <cellStyle name="Comma 17 2 3 4 7 2" xfId="41424" xr:uid="{00000000-0005-0000-0000-0000248C0000}"/>
    <cellStyle name="Comma 17 2 3 4 8" xfId="41425" xr:uid="{00000000-0005-0000-0000-0000258C0000}"/>
    <cellStyle name="Comma 17 2 3 4 9" xfId="41426" xr:uid="{00000000-0005-0000-0000-0000268C0000}"/>
    <cellStyle name="Comma 17 2 3 5" xfId="41427" xr:uid="{00000000-0005-0000-0000-0000278C0000}"/>
    <cellStyle name="Comma 17 2 3 5 2" xfId="41428" xr:uid="{00000000-0005-0000-0000-0000288C0000}"/>
    <cellStyle name="Comma 17 2 3 5 2 2" xfId="41429" xr:uid="{00000000-0005-0000-0000-0000298C0000}"/>
    <cellStyle name="Comma 17 2 3 5 2 3" xfId="41430" xr:uid="{00000000-0005-0000-0000-00002A8C0000}"/>
    <cellStyle name="Comma 17 2 3 5 3" xfId="41431" xr:uid="{00000000-0005-0000-0000-00002B8C0000}"/>
    <cellStyle name="Comma 17 2 3 5 3 2" xfId="41432" xr:uid="{00000000-0005-0000-0000-00002C8C0000}"/>
    <cellStyle name="Comma 17 2 3 5 3 3" xfId="41433" xr:uid="{00000000-0005-0000-0000-00002D8C0000}"/>
    <cellStyle name="Comma 17 2 3 5 4" xfId="41434" xr:uid="{00000000-0005-0000-0000-00002E8C0000}"/>
    <cellStyle name="Comma 17 2 3 5 4 2" xfId="41435" xr:uid="{00000000-0005-0000-0000-00002F8C0000}"/>
    <cellStyle name="Comma 17 2 3 5 5" xfId="41436" xr:uid="{00000000-0005-0000-0000-0000308C0000}"/>
    <cellStyle name="Comma 17 2 3 5 6" xfId="41437" xr:uid="{00000000-0005-0000-0000-0000318C0000}"/>
    <cellStyle name="Comma 17 2 3 6" xfId="41438" xr:uid="{00000000-0005-0000-0000-0000328C0000}"/>
    <cellStyle name="Comma 17 2 3 6 2" xfId="41439" xr:uid="{00000000-0005-0000-0000-0000338C0000}"/>
    <cellStyle name="Comma 17 2 3 6 2 2" xfId="41440" xr:uid="{00000000-0005-0000-0000-0000348C0000}"/>
    <cellStyle name="Comma 17 2 3 6 2 3" xfId="41441" xr:uid="{00000000-0005-0000-0000-0000358C0000}"/>
    <cellStyle name="Comma 17 2 3 6 3" xfId="41442" xr:uid="{00000000-0005-0000-0000-0000368C0000}"/>
    <cellStyle name="Comma 17 2 3 6 3 2" xfId="41443" xr:uid="{00000000-0005-0000-0000-0000378C0000}"/>
    <cellStyle name="Comma 17 2 3 6 3 3" xfId="41444" xr:uid="{00000000-0005-0000-0000-0000388C0000}"/>
    <cellStyle name="Comma 17 2 3 6 4" xfId="41445" xr:uid="{00000000-0005-0000-0000-0000398C0000}"/>
    <cellStyle name="Comma 17 2 3 6 4 2" xfId="41446" xr:uid="{00000000-0005-0000-0000-00003A8C0000}"/>
    <cellStyle name="Comma 17 2 3 6 5" xfId="41447" xr:uid="{00000000-0005-0000-0000-00003B8C0000}"/>
    <cellStyle name="Comma 17 2 3 6 6" xfId="41448" xr:uid="{00000000-0005-0000-0000-00003C8C0000}"/>
    <cellStyle name="Comma 17 2 3 7" xfId="41449" xr:uid="{00000000-0005-0000-0000-00003D8C0000}"/>
    <cellStyle name="Comma 17 2 3 7 2" xfId="41450" xr:uid="{00000000-0005-0000-0000-00003E8C0000}"/>
    <cellStyle name="Comma 17 2 3 7 2 2" xfId="41451" xr:uid="{00000000-0005-0000-0000-00003F8C0000}"/>
    <cellStyle name="Comma 17 2 3 7 2 3" xfId="41452" xr:uid="{00000000-0005-0000-0000-0000408C0000}"/>
    <cellStyle name="Comma 17 2 3 7 3" xfId="41453" xr:uid="{00000000-0005-0000-0000-0000418C0000}"/>
    <cellStyle name="Comma 17 2 3 7 3 2" xfId="41454" xr:uid="{00000000-0005-0000-0000-0000428C0000}"/>
    <cellStyle name="Comma 17 2 3 7 4" xfId="41455" xr:uid="{00000000-0005-0000-0000-0000438C0000}"/>
    <cellStyle name="Comma 17 2 3 7 5" xfId="41456" xr:uid="{00000000-0005-0000-0000-0000448C0000}"/>
    <cellStyle name="Comma 17 2 3 8" xfId="41457" xr:uid="{00000000-0005-0000-0000-0000458C0000}"/>
    <cellStyle name="Comma 17 2 3 8 2" xfId="41458" xr:uid="{00000000-0005-0000-0000-0000468C0000}"/>
    <cellStyle name="Comma 17 2 3 8 3" xfId="41459" xr:uid="{00000000-0005-0000-0000-0000478C0000}"/>
    <cellStyle name="Comma 17 2 3 9" xfId="41460" xr:uid="{00000000-0005-0000-0000-0000488C0000}"/>
    <cellStyle name="Comma 17 2 3 9 2" xfId="41461" xr:uid="{00000000-0005-0000-0000-0000498C0000}"/>
    <cellStyle name="Comma 17 2 3 9 3" xfId="41462" xr:uid="{00000000-0005-0000-0000-00004A8C0000}"/>
    <cellStyle name="Comma 17 2 4" xfId="41463" xr:uid="{00000000-0005-0000-0000-00004B8C0000}"/>
    <cellStyle name="Comma 17 2 4 10" xfId="41464" xr:uid="{00000000-0005-0000-0000-00004C8C0000}"/>
    <cellStyle name="Comma 17 2 4 2" xfId="41465" xr:uid="{00000000-0005-0000-0000-00004D8C0000}"/>
    <cellStyle name="Comma 17 2 4 2 2" xfId="41466" xr:uid="{00000000-0005-0000-0000-00004E8C0000}"/>
    <cellStyle name="Comma 17 2 4 2 2 2" xfId="41467" xr:uid="{00000000-0005-0000-0000-00004F8C0000}"/>
    <cellStyle name="Comma 17 2 4 2 2 2 2" xfId="41468" xr:uid="{00000000-0005-0000-0000-0000508C0000}"/>
    <cellStyle name="Comma 17 2 4 2 2 2 3" xfId="41469" xr:uid="{00000000-0005-0000-0000-0000518C0000}"/>
    <cellStyle name="Comma 17 2 4 2 2 3" xfId="41470" xr:uid="{00000000-0005-0000-0000-0000528C0000}"/>
    <cellStyle name="Comma 17 2 4 2 2 3 2" xfId="41471" xr:uid="{00000000-0005-0000-0000-0000538C0000}"/>
    <cellStyle name="Comma 17 2 4 2 2 3 3" xfId="41472" xr:uid="{00000000-0005-0000-0000-0000548C0000}"/>
    <cellStyle name="Comma 17 2 4 2 2 4" xfId="41473" xr:uid="{00000000-0005-0000-0000-0000558C0000}"/>
    <cellStyle name="Comma 17 2 4 2 2 4 2" xfId="41474" xr:uid="{00000000-0005-0000-0000-0000568C0000}"/>
    <cellStyle name="Comma 17 2 4 2 2 5" xfId="41475" xr:uid="{00000000-0005-0000-0000-0000578C0000}"/>
    <cellStyle name="Comma 17 2 4 2 2 6" xfId="41476" xr:uid="{00000000-0005-0000-0000-0000588C0000}"/>
    <cellStyle name="Comma 17 2 4 2 3" xfId="41477" xr:uid="{00000000-0005-0000-0000-0000598C0000}"/>
    <cellStyle name="Comma 17 2 4 2 3 2" xfId="41478" xr:uid="{00000000-0005-0000-0000-00005A8C0000}"/>
    <cellStyle name="Comma 17 2 4 2 3 2 2" xfId="41479" xr:uid="{00000000-0005-0000-0000-00005B8C0000}"/>
    <cellStyle name="Comma 17 2 4 2 3 2 3" xfId="41480" xr:uid="{00000000-0005-0000-0000-00005C8C0000}"/>
    <cellStyle name="Comma 17 2 4 2 3 3" xfId="41481" xr:uid="{00000000-0005-0000-0000-00005D8C0000}"/>
    <cellStyle name="Comma 17 2 4 2 3 3 2" xfId="41482" xr:uid="{00000000-0005-0000-0000-00005E8C0000}"/>
    <cellStyle name="Comma 17 2 4 2 3 3 3" xfId="41483" xr:uid="{00000000-0005-0000-0000-00005F8C0000}"/>
    <cellStyle name="Comma 17 2 4 2 3 4" xfId="41484" xr:uid="{00000000-0005-0000-0000-0000608C0000}"/>
    <cellStyle name="Comma 17 2 4 2 3 4 2" xfId="41485" xr:uid="{00000000-0005-0000-0000-0000618C0000}"/>
    <cellStyle name="Comma 17 2 4 2 3 5" xfId="41486" xr:uid="{00000000-0005-0000-0000-0000628C0000}"/>
    <cellStyle name="Comma 17 2 4 2 3 6" xfId="41487" xr:uid="{00000000-0005-0000-0000-0000638C0000}"/>
    <cellStyle name="Comma 17 2 4 2 4" xfId="41488" xr:uid="{00000000-0005-0000-0000-0000648C0000}"/>
    <cellStyle name="Comma 17 2 4 2 4 2" xfId="41489" xr:uid="{00000000-0005-0000-0000-0000658C0000}"/>
    <cellStyle name="Comma 17 2 4 2 4 2 2" xfId="41490" xr:uid="{00000000-0005-0000-0000-0000668C0000}"/>
    <cellStyle name="Comma 17 2 4 2 4 2 3" xfId="41491" xr:uid="{00000000-0005-0000-0000-0000678C0000}"/>
    <cellStyle name="Comma 17 2 4 2 4 3" xfId="41492" xr:uid="{00000000-0005-0000-0000-0000688C0000}"/>
    <cellStyle name="Comma 17 2 4 2 4 3 2" xfId="41493" xr:uid="{00000000-0005-0000-0000-0000698C0000}"/>
    <cellStyle name="Comma 17 2 4 2 4 4" xfId="41494" xr:uid="{00000000-0005-0000-0000-00006A8C0000}"/>
    <cellStyle name="Comma 17 2 4 2 4 5" xfId="41495" xr:uid="{00000000-0005-0000-0000-00006B8C0000}"/>
    <cellStyle name="Comma 17 2 4 2 5" xfId="41496" xr:uid="{00000000-0005-0000-0000-00006C8C0000}"/>
    <cellStyle name="Comma 17 2 4 2 5 2" xfId="41497" xr:uid="{00000000-0005-0000-0000-00006D8C0000}"/>
    <cellStyle name="Comma 17 2 4 2 5 3" xfId="41498" xr:uid="{00000000-0005-0000-0000-00006E8C0000}"/>
    <cellStyle name="Comma 17 2 4 2 6" xfId="41499" xr:uid="{00000000-0005-0000-0000-00006F8C0000}"/>
    <cellStyle name="Comma 17 2 4 2 6 2" xfId="41500" xr:uid="{00000000-0005-0000-0000-0000708C0000}"/>
    <cellStyle name="Comma 17 2 4 2 6 3" xfId="41501" xr:uid="{00000000-0005-0000-0000-0000718C0000}"/>
    <cellStyle name="Comma 17 2 4 2 7" xfId="41502" xr:uid="{00000000-0005-0000-0000-0000728C0000}"/>
    <cellStyle name="Comma 17 2 4 2 7 2" xfId="41503" xr:uid="{00000000-0005-0000-0000-0000738C0000}"/>
    <cellStyle name="Comma 17 2 4 2 8" xfId="41504" xr:uid="{00000000-0005-0000-0000-0000748C0000}"/>
    <cellStyle name="Comma 17 2 4 2 9" xfId="41505" xr:uid="{00000000-0005-0000-0000-0000758C0000}"/>
    <cellStyle name="Comma 17 2 4 3" xfId="41506" xr:uid="{00000000-0005-0000-0000-0000768C0000}"/>
    <cellStyle name="Comma 17 2 4 3 2" xfId="41507" xr:uid="{00000000-0005-0000-0000-0000778C0000}"/>
    <cellStyle name="Comma 17 2 4 3 2 2" xfId="41508" xr:uid="{00000000-0005-0000-0000-0000788C0000}"/>
    <cellStyle name="Comma 17 2 4 3 2 3" xfId="41509" xr:uid="{00000000-0005-0000-0000-0000798C0000}"/>
    <cellStyle name="Comma 17 2 4 3 3" xfId="41510" xr:uid="{00000000-0005-0000-0000-00007A8C0000}"/>
    <cellStyle name="Comma 17 2 4 3 3 2" xfId="41511" xr:uid="{00000000-0005-0000-0000-00007B8C0000}"/>
    <cellStyle name="Comma 17 2 4 3 3 3" xfId="41512" xr:uid="{00000000-0005-0000-0000-00007C8C0000}"/>
    <cellStyle name="Comma 17 2 4 3 4" xfId="41513" xr:uid="{00000000-0005-0000-0000-00007D8C0000}"/>
    <cellStyle name="Comma 17 2 4 3 4 2" xfId="41514" xr:uid="{00000000-0005-0000-0000-00007E8C0000}"/>
    <cellStyle name="Comma 17 2 4 3 5" xfId="41515" xr:uid="{00000000-0005-0000-0000-00007F8C0000}"/>
    <cellStyle name="Comma 17 2 4 3 6" xfId="41516" xr:uid="{00000000-0005-0000-0000-0000808C0000}"/>
    <cellStyle name="Comma 17 2 4 4" xfId="41517" xr:uid="{00000000-0005-0000-0000-0000818C0000}"/>
    <cellStyle name="Comma 17 2 4 4 2" xfId="41518" xr:uid="{00000000-0005-0000-0000-0000828C0000}"/>
    <cellStyle name="Comma 17 2 4 4 2 2" xfId="41519" xr:uid="{00000000-0005-0000-0000-0000838C0000}"/>
    <cellStyle name="Comma 17 2 4 4 2 3" xfId="41520" xr:uid="{00000000-0005-0000-0000-0000848C0000}"/>
    <cellStyle name="Comma 17 2 4 4 3" xfId="41521" xr:uid="{00000000-0005-0000-0000-0000858C0000}"/>
    <cellStyle name="Comma 17 2 4 4 3 2" xfId="41522" xr:uid="{00000000-0005-0000-0000-0000868C0000}"/>
    <cellStyle name="Comma 17 2 4 4 3 3" xfId="41523" xr:uid="{00000000-0005-0000-0000-0000878C0000}"/>
    <cellStyle name="Comma 17 2 4 4 4" xfId="41524" xr:uid="{00000000-0005-0000-0000-0000888C0000}"/>
    <cellStyle name="Comma 17 2 4 4 4 2" xfId="41525" xr:uid="{00000000-0005-0000-0000-0000898C0000}"/>
    <cellStyle name="Comma 17 2 4 4 5" xfId="41526" xr:uid="{00000000-0005-0000-0000-00008A8C0000}"/>
    <cellStyle name="Comma 17 2 4 4 6" xfId="41527" xr:uid="{00000000-0005-0000-0000-00008B8C0000}"/>
    <cellStyle name="Comma 17 2 4 5" xfId="41528" xr:uid="{00000000-0005-0000-0000-00008C8C0000}"/>
    <cellStyle name="Comma 17 2 4 5 2" xfId="41529" xr:uid="{00000000-0005-0000-0000-00008D8C0000}"/>
    <cellStyle name="Comma 17 2 4 5 2 2" xfId="41530" xr:uid="{00000000-0005-0000-0000-00008E8C0000}"/>
    <cellStyle name="Comma 17 2 4 5 2 3" xfId="41531" xr:uid="{00000000-0005-0000-0000-00008F8C0000}"/>
    <cellStyle name="Comma 17 2 4 5 3" xfId="41532" xr:uid="{00000000-0005-0000-0000-0000908C0000}"/>
    <cellStyle name="Comma 17 2 4 5 3 2" xfId="41533" xr:uid="{00000000-0005-0000-0000-0000918C0000}"/>
    <cellStyle name="Comma 17 2 4 5 4" xfId="41534" xr:uid="{00000000-0005-0000-0000-0000928C0000}"/>
    <cellStyle name="Comma 17 2 4 5 5" xfId="41535" xr:uid="{00000000-0005-0000-0000-0000938C0000}"/>
    <cellStyle name="Comma 17 2 4 6" xfId="41536" xr:uid="{00000000-0005-0000-0000-0000948C0000}"/>
    <cellStyle name="Comma 17 2 4 6 2" xfId="41537" xr:uid="{00000000-0005-0000-0000-0000958C0000}"/>
    <cellStyle name="Comma 17 2 4 6 3" xfId="41538" xr:uid="{00000000-0005-0000-0000-0000968C0000}"/>
    <cellStyle name="Comma 17 2 4 7" xfId="41539" xr:uid="{00000000-0005-0000-0000-0000978C0000}"/>
    <cellStyle name="Comma 17 2 4 7 2" xfId="41540" xr:uid="{00000000-0005-0000-0000-0000988C0000}"/>
    <cellStyle name="Comma 17 2 4 7 3" xfId="41541" xr:uid="{00000000-0005-0000-0000-0000998C0000}"/>
    <cellStyle name="Comma 17 2 4 8" xfId="41542" xr:uid="{00000000-0005-0000-0000-00009A8C0000}"/>
    <cellStyle name="Comma 17 2 4 8 2" xfId="41543" xr:uid="{00000000-0005-0000-0000-00009B8C0000}"/>
    <cellStyle name="Comma 17 2 4 9" xfId="41544" xr:uid="{00000000-0005-0000-0000-00009C8C0000}"/>
    <cellStyle name="Comma 17 2 5" xfId="41545" xr:uid="{00000000-0005-0000-0000-00009D8C0000}"/>
    <cellStyle name="Comma 17 2 5 2" xfId="41546" xr:uid="{00000000-0005-0000-0000-00009E8C0000}"/>
    <cellStyle name="Comma 17 2 5 2 2" xfId="41547" xr:uid="{00000000-0005-0000-0000-00009F8C0000}"/>
    <cellStyle name="Comma 17 2 5 2 2 2" xfId="41548" xr:uid="{00000000-0005-0000-0000-0000A08C0000}"/>
    <cellStyle name="Comma 17 2 5 2 2 3" xfId="41549" xr:uid="{00000000-0005-0000-0000-0000A18C0000}"/>
    <cellStyle name="Comma 17 2 5 2 3" xfId="41550" xr:uid="{00000000-0005-0000-0000-0000A28C0000}"/>
    <cellStyle name="Comma 17 2 5 2 3 2" xfId="41551" xr:uid="{00000000-0005-0000-0000-0000A38C0000}"/>
    <cellStyle name="Comma 17 2 5 2 3 3" xfId="41552" xr:uid="{00000000-0005-0000-0000-0000A48C0000}"/>
    <cellStyle name="Comma 17 2 5 2 4" xfId="41553" xr:uid="{00000000-0005-0000-0000-0000A58C0000}"/>
    <cellStyle name="Comma 17 2 5 2 4 2" xfId="41554" xr:uid="{00000000-0005-0000-0000-0000A68C0000}"/>
    <cellStyle name="Comma 17 2 5 2 5" xfId="41555" xr:uid="{00000000-0005-0000-0000-0000A78C0000}"/>
    <cellStyle name="Comma 17 2 5 2 6" xfId="41556" xr:uid="{00000000-0005-0000-0000-0000A88C0000}"/>
    <cellStyle name="Comma 17 2 5 3" xfId="41557" xr:uid="{00000000-0005-0000-0000-0000A98C0000}"/>
    <cellStyle name="Comma 17 2 5 3 2" xfId="41558" xr:uid="{00000000-0005-0000-0000-0000AA8C0000}"/>
    <cellStyle name="Comma 17 2 5 3 2 2" xfId="41559" xr:uid="{00000000-0005-0000-0000-0000AB8C0000}"/>
    <cellStyle name="Comma 17 2 5 3 2 3" xfId="41560" xr:uid="{00000000-0005-0000-0000-0000AC8C0000}"/>
    <cellStyle name="Comma 17 2 5 3 3" xfId="41561" xr:uid="{00000000-0005-0000-0000-0000AD8C0000}"/>
    <cellStyle name="Comma 17 2 5 3 3 2" xfId="41562" xr:uid="{00000000-0005-0000-0000-0000AE8C0000}"/>
    <cellStyle name="Comma 17 2 5 3 3 3" xfId="41563" xr:uid="{00000000-0005-0000-0000-0000AF8C0000}"/>
    <cellStyle name="Comma 17 2 5 3 4" xfId="41564" xr:uid="{00000000-0005-0000-0000-0000B08C0000}"/>
    <cellStyle name="Comma 17 2 5 3 4 2" xfId="41565" xr:uid="{00000000-0005-0000-0000-0000B18C0000}"/>
    <cellStyle name="Comma 17 2 5 3 5" xfId="41566" xr:uid="{00000000-0005-0000-0000-0000B28C0000}"/>
    <cellStyle name="Comma 17 2 5 3 6" xfId="41567" xr:uid="{00000000-0005-0000-0000-0000B38C0000}"/>
    <cellStyle name="Comma 17 2 5 4" xfId="41568" xr:uid="{00000000-0005-0000-0000-0000B48C0000}"/>
    <cellStyle name="Comma 17 2 5 4 2" xfId="41569" xr:uid="{00000000-0005-0000-0000-0000B58C0000}"/>
    <cellStyle name="Comma 17 2 5 4 2 2" xfId="41570" xr:uid="{00000000-0005-0000-0000-0000B68C0000}"/>
    <cellStyle name="Comma 17 2 5 4 2 3" xfId="41571" xr:uid="{00000000-0005-0000-0000-0000B78C0000}"/>
    <cellStyle name="Comma 17 2 5 4 3" xfId="41572" xr:uid="{00000000-0005-0000-0000-0000B88C0000}"/>
    <cellStyle name="Comma 17 2 5 4 3 2" xfId="41573" xr:uid="{00000000-0005-0000-0000-0000B98C0000}"/>
    <cellStyle name="Comma 17 2 5 4 4" xfId="41574" xr:uid="{00000000-0005-0000-0000-0000BA8C0000}"/>
    <cellStyle name="Comma 17 2 5 4 5" xfId="41575" xr:uid="{00000000-0005-0000-0000-0000BB8C0000}"/>
    <cellStyle name="Comma 17 2 5 5" xfId="41576" xr:uid="{00000000-0005-0000-0000-0000BC8C0000}"/>
    <cellStyle name="Comma 17 2 5 5 2" xfId="41577" xr:uid="{00000000-0005-0000-0000-0000BD8C0000}"/>
    <cellStyle name="Comma 17 2 5 5 3" xfId="41578" xr:uid="{00000000-0005-0000-0000-0000BE8C0000}"/>
    <cellStyle name="Comma 17 2 5 6" xfId="41579" xr:uid="{00000000-0005-0000-0000-0000BF8C0000}"/>
    <cellStyle name="Comma 17 2 5 6 2" xfId="41580" xr:uid="{00000000-0005-0000-0000-0000C08C0000}"/>
    <cellStyle name="Comma 17 2 5 6 3" xfId="41581" xr:uid="{00000000-0005-0000-0000-0000C18C0000}"/>
    <cellStyle name="Comma 17 2 5 7" xfId="41582" xr:uid="{00000000-0005-0000-0000-0000C28C0000}"/>
    <cellStyle name="Comma 17 2 5 7 2" xfId="41583" xr:uid="{00000000-0005-0000-0000-0000C38C0000}"/>
    <cellStyle name="Comma 17 2 5 8" xfId="41584" xr:uid="{00000000-0005-0000-0000-0000C48C0000}"/>
    <cellStyle name="Comma 17 2 5 9" xfId="41585" xr:uid="{00000000-0005-0000-0000-0000C58C0000}"/>
    <cellStyle name="Comma 17 2 6" xfId="41586" xr:uid="{00000000-0005-0000-0000-0000C68C0000}"/>
    <cellStyle name="Comma 17 2 6 2" xfId="41587" xr:uid="{00000000-0005-0000-0000-0000C78C0000}"/>
    <cellStyle name="Comma 17 2 6 2 2" xfId="41588" xr:uid="{00000000-0005-0000-0000-0000C88C0000}"/>
    <cellStyle name="Comma 17 2 6 2 2 2" xfId="41589" xr:uid="{00000000-0005-0000-0000-0000C98C0000}"/>
    <cellStyle name="Comma 17 2 6 2 2 3" xfId="41590" xr:uid="{00000000-0005-0000-0000-0000CA8C0000}"/>
    <cellStyle name="Comma 17 2 6 2 3" xfId="41591" xr:uid="{00000000-0005-0000-0000-0000CB8C0000}"/>
    <cellStyle name="Comma 17 2 6 2 3 2" xfId="41592" xr:uid="{00000000-0005-0000-0000-0000CC8C0000}"/>
    <cellStyle name="Comma 17 2 6 2 3 3" xfId="41593" xr:uid="{00000000-0005-0000-0000-0000CD8C0000}"/>
    <cellStyle name="Comma 17 2 6 2 4" xfId="41594" xr:uid="{00000000-0005-0000-0000-0000CE8C0000}"/>
    <cellStyle name="Comma 17 2 6 2 4 2" xfId="41595" xr:uid="{00000000-0005-0000-0000-0000CF8C0000}"/>
    <cellStyle name="Comma 17 2 6 2 5" xfId="41596" xr:uid="{00000000-0005-0000-0000-0000D08C0000}"/>
    <cellStyle name="Comma 17 2 6 2 6" xfId="41597" xr:uid="{00000000-0005-0000-0000-0000D18C0000}"/>
    <cellStyle name="Comma 17 2 6 3" xfId="41598" xr:uid="{00000000-0005-0000-0000-0000D28C0000}"/>
    <cellStyle name="Comma 17 2 6 3 2" xfId="41599" xr:uid="{00000000-0005-0000-0000-0000D38C0000}"/>
    <cellStyle name="Comma 17 2 6 3 2 2" xfId="41600" xr:uid="{00000000-0005-0000-0000-0000D48C0000}"/>
    <cellStyle name="Comma 17 2 6 3 2 3" xfId="41601" xr:uid="{00000000-0005-0000-0000-0000D58C0000}"/>
    <cellStyle name="Comma 17 2 6 3 3" xfId="41602" xr:uid="{00000000-0005-0000-0000-0000D68C0000}"/>
    <cellStyle name="Comma 17 2 6 3 3 2" xfId="41603" xr:uid="{00000000-0005-0000-0000-0000D78C0000}"/>
    <cellStyle name="Comma 17 2 6 3 3 3" xfId="41604" xr:uid="{00000000-0005-0000-0000-0000D88C0000}"/>
    <cellStyle name="Comma 17 2 6 3 4" xfId="41605" xr:uid="{00000000-0005-0000-0000-0000D98C0000}"/>
    <cellStyle name="Comma 17 2 6 3 4 2" xfId="41606" xr:uid="{00000000-0005-0000-0000-0000DA8C0000}"/>
    <cellStyle name="Comma 17 2 6 3 5" xfId="41607" xr:uid="{00000000-0005-0000-0000-0000DB8C0000}"/>
    <cellStyle name="Comma 17 2 6 3 6" xfId="41608" xr:uid="{00000000-0005-0000-0000-0000DC8C0000}"/>
    <cellStyle name="Comma 17 2 6 4" xfId="41609" xr:uid="{00000000-0005-0000-0000-0000DD8C0000}"/>
    <cellStyle name="Comma 17 2 6 4 2" xfId="41610" xr:uid="{00000000-0005-0000-0000-0000DE8C0000}"/>
    <cellStyle name="Comma 17 2 6 4 2 2" xfId="41611" xr:uid="{00000000-0005-0000-0000-0000DF8C0000}"/>
    <cellStyle name="Comma 17 2 6 4 2 3" xfId="41612" xr:uid="{00000000-0005-0000-0000-0000E08C0000}"/>
    <cellStyle name="Comma 17 2 6 4 3" xfId="41613" xr:uid="{00000000-0005-0000-0000-0000E18C0000}"/>
    <cellStyle name="Comma 17 2 6 4 3 2" xfId="41614" xr:uid="{00000000-0005-0000-0000-0000E28C0000}"/>
    <cellStyle name="Comma 17 2 6 4 4" xfId="41615" xr:uid="{00000000-0005-0000-0000-0000E38C0000}"/>
    <cellStyle name="Comma 17 2 6 4 5" xfId="41616" xr:uid="{00000000-0005-0000-0000-0000E48C0000}"/>
    <cellStyle name="Comma 17 2 6 5" xfId="41617" xr:uid="{00000000-0005-0000-0000-0000E58C0000}"/>
    <cellStyle name="Comma 17 2 6 5 2" xfId="41618" xr:uid="{00000000-0005-0000-0000-0000E68C0000}"/>
    <cellStyle name="Comma 17 2 6 5 3" xfId="41619" xr:uid="{00000000-0005-0000-0000-0000E78C0000}"/>
    <cellStyle name="Comma 17 2 6 6" xfId="41620" xr:uid="{00000000-0005-0000-0000-0000E88C0000}"/>
    <cellStyle name="Comma 17 2 6 6 2" xfId="41621" xr:uid="{00000000-0005-0000-0000-0000E98C0000}"/>
    <cellStyle name="Comma 17 2 6 6 3" xfId="41622" xr:uid="{00000000-0005-0000-0000-0000EA8C0000}"/>
    <cellStyle name="Comma 17 2 6 7" xfId="41623" xr:uid="{00000000-0005-0000-0000-0000EB8C0000}"/>
    <cellStyle name="Comma 17 2 6 7 2" xfId="41624" xr:uid="{00000000-0005-0000-0000-0000EC8C0000}"/>
    <cellStyle name="Comma 17 2 6 8" xfId="41625" xr:uid="{00000000-0005-0000-0000-0000ED8C0000}"/>
    <cellStyle name="Comma 17 2 6 9" xfId="41626" xr:uid="{00000000-0005-0000-0000-0000EE8C0000}"/>
    <cellStyle name="Comma 17 2 7" xfId="41627" xr:uid="{00000000-0005-0000-0000-0000EF8C0000}"/>
    <cellStyle name="Comma 17 2 7 2" xfId="41628" xr:uid="{00000000-0005-0000-0000-0000F08C0000}"/>
    <cellStyle name="Comma 17 2 7 2 2" xfId="41629" xr:uid="{00000000-0005-0000-0000-0000F18C0000}"/>
    <cellStyle name="Comma 17 2 7 2 3" xfId="41630" xr:uid="{00000000-0005-0000-0000-0000F28C0000}"/>
    <cellStyle name="Comma 17 2 7 3" xfId="41631" xr:uid="{00000000-0005-0000-0000-0000F38C0000}"/>
    <cellStyle name="Comma 17 2 7 3 2" xfId="41632" xr:uid="{00000000-0005-0000-0000-0000F48C0000}"/>
    <cellStyle name="Comma 17 2 7 3 3" xfId="41633" xr:uid="{00000000-0005-0000-0000-0000F58C0000}"/>
    <cellStyle name="Comma 17 2 7 4" xfId="41634" xr:uid="{00000000-0005-0000-0000-0000F68C0000}"/>
    <cellStyle name="Comma 17 2 7 4 2" xfId="41635" xr:uid="{00000000-0005-0000-0000-0000F78C0000}"/>
    <cellStyle name="Comma 17 2 7 5" xfId="41636" xr:uid="{00000000-0005-0000-0000-0000F88C0000}"/>
    <cellStyle name="Comma 17 2 7 6" xfId="41637" xr:uid="{00000000-0005-0000-0000-0000F98C0000}"/>
    <cellStyle name="Comma 17 2 8" xfId="41638" xr:uid="{00000000-0005-0000-0000-0000FA8C0000}"/>
    <cellStyle name="Comma 17 2 8 2" xfId="41639" xr:uid="{00000000-0005-0000-0000-0000FB8C0000}"/>
    <cellStyle name="Comma 17 2 8 2 2" xfId="41640" xr:uid="{00000000-0005-0000-0000-0000FC8C0000}"/>
    <cellStyle name="Comma 17 2 8 2 3" xfId="41641" xr:uid="{00000000-0005-0000-0000-0000FD8C0000}"/>
    <cellStyle name="Comma 17 2 8 3" xfId="41642" xr:uid="{00000000-0005-0000-0000-0000FE8C0000}"/>
    <cellStyle name="Comma 17 2 8 3 2" xfId="41643" xr:uid="{00000000-0005-0000-0000-0000FF8C0000}"/>
    <cellStyle name="Comma 17 2 8 3 3" xfId="41644" xr:uid="{00000000-0005-0000-0000-0000008D0000}"/>
    <cellStyle name="Comma 17 2 8 4" xfId="41645" xr:uid="{00000000-0005-0000-0000-0000018D0000}"/>
    <cellStyle name="Comma 17 2 8 4 2" xfId="41646" xr:uid="{00000000-0005-0000-0000-0000028D0000}"/>
    <cellStyle name="Comma 17 2 8 5" xfId="41647" xr:uid="{00000000-0005-0000-0000-0000038D0000}"/>
    <cellStyle name="Comma 17 2 8 6" xfId="41648" xr:uid="{00000000-0005-0000-0000-0000048D0000}"/>
    <cellStyle name="Comma 17 2 9" xfId="41649" xr:uid="{00000000-0005-0000-0000-0000058D0000}"/>
    <cellStyle name="Comma 17 2 9 2" xfId="41650" xr:uid="{00000000-0005-0000-0000-0000068D0000}"/>
    <cellStyle name="Comma 17 2 9 2 2" xfId="41651" xr:uid="{00000000-0005-0000-0000-0000078D0000}"/>
    <cellStyle name="Comma 17 2 9 2 3" xfId="41652" xr:uid="{00000000-0005-0000-0000-0000088D0000}"/>
    <cellStyle name="Comma 17 2 9 3" xfId="41653" xr:uid="{00000000-0005-0000-0000-0000098D0000}"/>
    <cellStyle name="Comma 17 2 9 3 2" xfId="41654" xr:uid="{00000000-0005-0000-0000-00000A8D0000}"/>
    <cellStyle name="Comma 17 2 9 4" xfId="41655" xr:uid="{00000000-0005-0000-0000-00000B8D0000}"/>
    <cellStyle name="Comma 17 2 9 5" xfId="41656" xr:uid="{00000000-0005-0000-0000-00000C8D0000}"/>
    <cellStyle name="Comma 17 3" xfId="41657" xr:uid="{00000000-0005-0000-0000-00000D8D0000}"/>
    <cellStyle name="Comma 17 3 10" xfId="41658" xr:uid="{00000000-0005-0000-0000-00000E8D0000}"/>
    <cellStyle name="Comma 17 3 10 2" xfId="41659" xr:uid="{00000000-0005-0000-0000-00000F8D0000}"/>
    <cellStyle name="Comma 17 3 10 3" xfId="41660" xr:uid="{00000000-0005-0000-0000-0000108D0000}"/>
    <cellStyle name="Comma 17 3 11" xfId="41661" xr:uid="{00000000-0005-0000-0000-0000118D0000}"/>
    <cellStyle name="Comma 17 3 11 2" xfId="41662" xr:uid="{00000000-0005-0000-0000-0000128D0000}"/>
    <cellStyle name="Comma 17 3 12" xfId="41663" xr:uid="{00000000-0005-0000-0000-0000138D0000}"/>
    <cellStyle name="Comma 17 3 13" xfId="41664" xr:uid="{00000000-0005-0000-0000-0000148D0000}"/>
    <cellStyle name="Comma 17 3 2" xfId="41665" xr:uid="{00000000-0005-0000-0000-0000158D0000}"/>
    <cellStyle name="Comma 17 3 2 10" xfId="41666" xr:uid="{00000000-0005-0000-0000-0000168D0000}"/>
    <cellStyle name="Comma 17 3 2 10 2" xfId="41667" xr:uid="{00000000-0005-0000-0000-0000178D0000}"/>
    <cellStyle name="Comma 17 3 2 11" xfId="41668" xr:uid="{00000000-0005-0000-0000-0000188D0000}"/>
    <cellStyle name="Comma 17 3 2 12" xfId="41669" xr:uid="{00000000-0005-0000-0000-0000198D0000}"/>
    <cellStyle name="Comma 17 3 2 2" xfId="41670" xr:uid="{00000000-0005-0000-0000-00001A8D0000}"/>
    <cellStyle name="Comma 17 3 2 2 10" xfId="41671" xr:uid="{00000000-0005-0000-0000-00001B8D0000}"/>
    <cellStyle name="Comma 17 3 2 2 2" xfId="41672" xr:uid="{00000000-0005-0000-0000-00001C8D0000}"/>
    <cellStyle name="Comma 17 3 2 2 2 2" xfId="41673" xr:uid="{00000000-0005-0000-0000-00001D8D0000}"/>
    <cellStyle name="Comma 17 3 2 2 2 2 2" xfId="41674" xr:uid="{00000000-0005-0000-0000-00001E8D0000}"/>
    <cellStyle name="Comma 17 3 2 2 2 2 2 2" xfId="41675" xr:uid="{00000000-0005-0000-0000-00001F8D0000}"/>
    <cellStyle name="Comma 17 3 2 2 2 2 2 3" xfId="41676" xr:uid="{00000000-0005-0000-0000-0000208D0000}"/>
    <cellStyle name="Comma 17 3 2 2 2 2 3" xfId="41677" xr:uid="{00000000-0005-0000-0000-0000218D0000}"/>
    <cellStyle name="Comma 17 3 2 2 2 2 3 2" xfId="41678" xr:uid="{00000000-0005-0000-0000-0000228D0000}"/>
    <cellStyle name="Comma 17 3 2 2 2 2 3 3" xfId="41679" xr:uid="{00000000-0005-0000-0000-0000238D0000}"/>
    <cellStyle name="Comma 17 3 2 2 2 2 4" xfId="41680" xr:uid="{00000000-0005-0000-0000-0000248D0000}"/>
    <cellStyle name="Comma 17 3 2 2 2 2 4 2" xfId="41681" xr:uid="{00000000-0005-0000-0000-0000258D0000}"/>
    <cellStyle name="Comma 17 3 2 2 2 2 5" xfId="41682" xr:uid="{00000000-0005-0000-0000-0000268D0000}"/>
    <cellStyle name="Comma 17 3 2 2 2 2 6" xfId="41683" xr:uid="{00000000-0005-0000-0000-0000278D0000}"/>
    <cellStyle name="Comma 17 3 2 2 2 3" xfId="41684" xr:uid="{00000000-0005-0000-0000-0000288D0000}"/>
    <cellStyle name="Comma 17 3 2 2 2 3 2" xfId="41685" xr:uid="{00000000-0005-0000-0000-0000298D0000}"/>
    <cellStyle name="Comma 17 3 2 2 2 3 2 2" xfId="41686" xr:uid="{00000000-0005-0000-0000-00002A8D0000}"/>
    <cellStyle name="Comma 17 3 2 2 2 3 2 3" xfId="41687" xr:uid="{00000000-0005-0000-0000-00002B8D0000}"/>
    <cellStyle name="Comma 17 3 2 2 2 3 3" xfId="41688" xr:uid="{00000000-0005-0000-0000-00002C8D0000}"/>
    <cellStyle name="Comma 17 3 2 2 2 3 3 2" xfId="41689" xr:uid="{00000000-0005-0000-0000-00002D8D0000}"/>
    <cellStyle name="Comma 17 3 2 2 2 3 3 3" xfId="41690" xr:uid="{00000000-0005-0000-0000-00002E8D0000}"/>
    <cellStyle name="Comma 17 3 2 2 2 3 4" xfId="41691" xr:uid="{00000000-0005-0000-0000-00002F8D0000}"/>
    <cellStyle name="Comma 17 3 2 2 2 3 4 2" xfId="41692" xr:uid="{00000000-0005-0000-0000-0000308D0000}"/>
    <cellStyle name="Comma 17 3 2 2 2 3 5" xfId="41693" xr:uid="{00000000-0005-0000-0000-0000318D0000}"/>
    <cellStyle name="Comma 17 3 2 2 2 3 6" xfId="41694" xr:uid="{00000000-0005-0000-0000-0000328D0000}"/>
    <cellStyle name="Comma 17 3 2 2 2 4" xfId="41695" xr:uid="{00000000-0005-0000-0000-0000338D0000}"/>
    <cellStyle name="Comma 17 3 2 2 2 4 2" xfId="41696" xr:uid="{00000000-0005-0000-0000-0000348D0000}"/>
    <cellStyle name="Comma 17 3 2 2 2 4 2 2" xfId="41697" xr:uid="{00000000-0005-0000-0000-0000358D0000}"/>
    <cellStyle name="Comma 17 3 2 2 2 4 2 3" xfId="41698" xr:uid="{00000000-0005-0000-0000-0000368D0000}"/>
    <cellStyle name="Comma 17 3 2 2 2 4 3" xfId="41699" xr:uid="{00000000-0005-0000-0000-0000378D0000}"/>
    <cellStyle name="Comma 17 3 2 2 2 4 3 2" xfId="41700" xr:uid="{00000000-0005-0000-0000-0000388D0000}"/>
    <cellStyle name="Comma 17 3 2 2 2 4 4" xfId="41701" xr:uid="{00000000-0005-0000-0000-0000398D0000}"/>
    <cellStyle name="Comma 17 3 2 2 2 4 5" xfId="41702" xr:uid="{00000000-0005-0000-0000-00003A8D0000}"/>
    <cellStyle name="Comma 17 3 2 2 2 5" xfId="41703" xr:uid="{00000000-0005-0000-0000-00003B8D0000}"/>
    <cellStyle name="Comma 17 3 2 2 2 5 2" xfId="41704" xr:uid="{00000000-0005-0000-0000-00003C8D0000}"/>
    <cellStyle name="Comma 17 3 2 2 2 5 3" xfId="41705" xr:uid="{00000000-0005-0000-0000-00003D8D0000}"/>
    <cellStyle name="Comma 17 3 2 2 2 6" xfId="41706" xr:uid="{00000000-0005-0000-0000-00003E8D0000}"/>
    <cellStyle name="Comma 17 3 2 2 2 6 2" xfId="41707" xr:uid="{00000000-0005-0000-0000-00003F8D0000}"/>
    <cellStyle name="Comma 17 3 2 2 2 6 3" xfId="41708" xr:uid="{00000000-0005-0000-0000-0000408D0000}"/>
    <cellStyle name="Comma 17 3 2 2 2 7" xfId="41709" xr:uid="{00000000-0005-0000-0000-0000418D0000}"/>
    <cellStyle name="Comma 17 3 2 2 2 7 2" xfId="41710" xr:uid="{00000000-0005-0000-0000-0000428D0000}"/>
    <cellStyle name="Comma 17 3 2 2 2 8" xfId="41711" xr:uid="{00000000-0005-0000-0000-0000438D0000}"/>
    <cellStyle name="Comma 17 3 2 2 2 9" xfId="41712" xr:uid="{00000000-0005-0000-0000-0000448D0000}"/>
    <cellStyle name="Comma 17 3 2 2 3" xfId="41713" xr:uid="{00000000-0005-0000-0000-0000458D0000}"/>
    <cellStyle name="Comma 17 3 2 2 3 2" xfId="41714" xr:uid="{00000000-0005-0000-0000-0000468D0000}"/>
    <cellStyle name="Comma 17 3 2 2 3 2 2" xfId="41715" xr:uid="{00000000-0005-0000-0000-0000478D0000}"/>
    <cellStyle name="Comma 17 3 2 2 3 2 3" xfId="41716" xr:uid="{00000000-0005-0000-0000-0000488D0000}"/>
    <cellStyle name="Comma 17 3 2 2 3 3" xfId="41717" xr:uid="{00000000-0005-0000-0000-0000498D0000}"/>
    <cellStyle name="Comma 17 3 2 2 3 3 2" xfId="41718" xr:uid="{00000000-0005-0000-0000-00004A8D0000}"/>
    <cellStyle name="Comma 17 3 2 2 3 3 3" xfId="41719" xr:uid="{00000000-0005-0000-0000-00004B8D0000}"/>
    <cellStyle name="Comma 17 3 2 2 3 4" xfId="41720" xr:uid="{00000000-0005-0000-0000-00004C8D0000}"/>
    <cellStyle name="Comma 17 3 2 2 3 4 2" xfId="41721" xr:uid="{00000000-0005-0000-0000-00004D8D0000}"/>
    <cellStyle name="Comma 17 3 2 2 3 5" xfId="41722" xr:uid="{00000000-0005-0000-0000-00004E8D0000}"/>
    <cellStyle name="Comma 17 3 2 2 3 6" xfId="41723" xr:uid="{00000000-0005-0000-0000-00004F8D0000}"/>
    <cellStyle name="Comma 17 3 2 2 4" xfId="41724" xr:uid="{00000000-0005-0000-0000-0000508D0000}"/>
    <cellStyle name="Comma 17 3 2 2 4 2" xfId="41725" xr:uid="{00000000-0005-0000-0000-0000518D0000}"/>
    <cellStyle name="Comma 17 3 2 2 4 2 2" xfId="41726" xr:uid="{00000000-0005-0000-0000-0000528D0000}"/>
    <cellStyle name="Comma 17 3 2 2 4 2 3" xfId="41727" xr:uid="{00000000-0005-0000-0000-0000538D0000}"/>
    <cellStyle name="Comma 17 3 2 2 4 3" xfId="41728" xr:uid="{00000000-0005-0000-0000-0000548D0000}"/>
    <cellStyle name="Comma 17 3 2 2 4 3 2" xfId="41729" xr:uid="{00000000-0005-0000-0000-0000558D0000}"/>
    <cellStyle name="Comma 17 3 2 2 4 3 3" xfId="41730" xr:uid="{00000000-0005-0000-0000-0000568D0000}"/>
    <cellStyle name="Comma 17 3 2 2 4 4" xfId="41731" xr:uid="{00000000-0005-0000-0000-0000578D0000}"/>
    <cellStyle name="Comma 17 3 2 2 4 4 2" xfId="41732" xr:uid="{00000000-0005-0000-0000-0000588D0000}"/>
    <cellStyle name="Comma 17 3 2 2 4 5" xfId="41733" xr:uid="{00000000-0005-0000-0000-0000598D0000}"/>
    <cellStyle name="Comma 17 3 2 2 4 6" xfId="41734" xr:uid="{00000000-0005-0000-0000-00005A8D0000}"/>
    <cellStyle name="Comma 17 3 2 2 5" xfId="41735" xr:uid="{00000000-0005-0000-0000-00005B8D0000}"/>
    <cellStyle name="Comma 17 3 2 2 5 2" xfId="41736" xr:uid="{00000000-0005-0000-0000-00005C8D0000}"/>
    <cellStyle name="Comma 17 3 2 2 5 2 2" xfId="41737" xr:uid="{00000000-0005-0000-0000-00005D8D0000}"/>
    <cellStyle name="Comma 17 3 2 2 5 2 3" xfId="41738" xr:uid="{00000000-0005-0000-0000-00005E8D0000}"/>
    <cellStyle name="Comma 17 3 2 2 5 3" xfId="41739" xr:uid="{00000000-0005-0000-0000-00005F8D0000}"/>
    <cellStyle name="Comma 17 3 2 2 5 3 2" xfId="41740" xr:uid="{00000000-0005-0000-0000-0000608D0000}"/>
    <cellStyle name="Comma 17 3 2 2 5 4" xfId="41741" xr:uid="{00000000-0005-0000-0000-0000618D0000}"/>
    <cellStyle name="Comma 17 3 2 2 5 5" xfId="41742" xr:uid="{00000000-0005-0000-0000-0000628D0000}"/>
    <cellStyle name="Comma 17 3 2 2 6" xfId="41743" xr:uid="{00000000-0005-0000-0000-0000638D0000}"/>
    <cellStyle name="Comma 17 3 2 2 6 2" xfId="41744" xr:uid="{00000000-0005-0000-0000-0000648D0000}"/>
    <cellStyle name="Comma 17 3 2 2 6 3" xfId="41745" xr:uid="{00000000-0005-0000-0000-0000658D0000}"/>
    <cellStyle name="Comma 17 3 2 2 7" xfId="41746" xr:uid="{00000000-0005-0000-0000-0000668D0000}"/>
    <cellStyle name="Comma 17 3 2 2 7 2" xfId="41747" xr:uid="{00000000-0005-0000-0000-0000678D0000}"/>
    <cellStyle name="Comma 17 3 2 2 7 3" xfId="41748" xr:uid="{00000000-0005-0000-0000-0000688D0000}"/>
    <cellStyle name="Comma 17 3 2 2 8" xfId="41749" xr:uid="{00000000-0005-0000-0000-0000698D0000}"/>
    <cellStyle name="Comma 17 3 2 2 8 2" xfId="41750" xr:uid="{00000000-0005-0000-0000-00006A8D0000}"/>
    <cellStyle name="Comma 17 3 2 2 9" xfId="41751" xr:uid="{00000000-0005-0000-0000-00006B8D0000}"/>
    <cellStyle name="Comma 17 3 2 3" xfId="41752" xr:uid="{00000000-0005-0000-0000-00006C8D0000}"/>
    <cellStyle name="Comma 17 3 2 3 2" xfId="41753" xr:uid="{00000000-0005-0000-0000-00006D8D0000}"/>
    <cellStyle name="Comma 17 3 2 3 2 2" xfId="41754" xr:uid="{00000000-0005-0000-0000-00006E8D0000}"/>
    <cellStyle name="Comma 17 3 2 3 2 2 2" xfId="41755" xr:uid="{00000000-0005-0000-0000-00006F8D0000}"/>
    <cellStyle name="Comma 17 3 2 3 2 2 3" xfId="41756" xr:uid="{00000000-0005-0000-0000-0000708D0000}"/>
    <cellStyle name="Comma 17 3 2 3 2 3" xfId="41757" xr:uid="{00000000-0005-0000-0000-0000718D0000}"/>
    <cellStyle name="Comma 17 3 2 3 2 3 2" xfId="41758" xr:uid="{00000000-0005-0000-0000-0000728D0000}"/>
    <cellStyle name="Comma 17 3 2 3 2 3 3" xfId="41759" xr:uid="{00000000-0005-0000-0000-0000738D0000}"/>
    <cellStyle name="Comma 17 3 2 3 2 4" xfId="41760" xr:uid="{00000000-0005-0000-0000-0000748D0000}"/>
    <cellStyle name="Comma 17 3 2 3 2 4 2" xfId="41761" xr:uid="{00000000-0005-0000-0000-0000758D0000}"/>
    <cellStyle name="Comma 17 3 2 3 2 5" xfId="41762" xr:uid="{00000000-0005-0000-0000-0000768D0000}"/>
    <cellStyle name="Comma 17 3 2 3 2 6" xfId="41763" xr:uid="{00000000-0005-0000-0000-0000778D0000}"/>
    <cellStyle name="Comma 17 3 2 3 3" xfId="41764" xr:uid="{00000000-0005-0000-0000-0000788D0000}"/>
    <cellStyle name="Comma 17 3 2 3 3 2" xfId="41765" xr:uid="{00000000-0005-0000-0000-0000798D0000}"/>
    <cellStyle name="Comma 17 3 2 3 3 2 2" xfId="41766" xr:uid="{00000000-0005-0000-0000-00007A8D0000}"/>
    <cellStyle name="Comma 17 3 2 3 3 2 3" xfId="41767" xr:uid="{00000000-0005-0000-0000-00007B8D0000}"/>
    <cellStyle name="Comma 17 3 2 3 3 3" xfId="41768" xr:uid="{00000000-0005-0000-0000-00007C8D0000}"/>
    <cellStyle name="Comma 17 3 2 3 3 3 2" xfId="41769" xr:uid="{00000000-0005-0000-0000-00007D8D0000}"/>
    <cellStyle name="Comma 17 3 2 3 3 3 3" xfId="41770" xr:uid="{00000000-0005-0000-0000-00007E8D0000}"/>
    <cellStyle name="Comma 17 3 2 3 3 4" xfId="41771" xr:uid="{00000000-0005-0000-0000-00007F8D0000}"/>
    <cellStyle name="Comma 17 3 2 3 3 4 2" xfId="41772" xr:uid="{00000000-0005-0000-0000-0000808D0000}"/>
    <cellStyle name="Comma 17 3 2 3 3 5" xfId="41773" xr:uid="{00000000-0005-0000-0000-0000818D0000}"/>
    <cellStyle name="Comma 17 3 2 3 3 6" xfId="41774" xr:uid="{00000000-0005-0000-0000-0000828D0000}"/>
    <cellStyle name="Comma 17 3 2 3 4" xfId="41775" xr:uid="{00000000-0005-0000-0000-0000838D0000}"/>
    <cellStyle name="Comma 17 3 2 3 4 2" xfId="41776" xr:uid="{00000000-0005-0000-0000-0000848D0000}"/>
    <cellStyle name="Comma 17 3 2 3 4 2 2" xfId="41777" xr:uid="{00000000-0005-0000-0000-0000858D0000}"/>
    <cellStyle name="Comma 17 3 2 3 4 2 3" xfId="41778" xr:uid="{00000000-0005-0000-0000-0000868D0000}"/>
    <cellStyle name="Comma 17 3 2 3 4 3" xfId="41779" xr:uid="{00000000-0005-0000-0000-0000878D0000}"/>
    <cellStyle name="Comma 17 3 2 3 4 3 2" xfId="41780" xr:uid="{00000000-0005-0000-0000-0000888D0000}"/>
    <cellStyle name="Comma 17 3 2 3 4 4" xfId="41781" xr:uid="{00000000-0005-0000-0000-0000898D0000}"/>
    <cellStyle name="Comma 17 3 2 3 4 5" xfId="41782" xr:uid="{00000000-0005-0000-0000-00008A8D0000}"/>
    <cellStyle name="Comma 17 3 2 3 5" xfId="41783" xr:uid="{00000000-0005-0000-0000-00008B8D0000}"/>
    <cellStyle name="Comma 17 3 2 3 5 2" xfId="41784" xr:uid="{00000000-0005-0000-0000-00008C8D0000}"/>
    <cellStyle name="Comma 17 3 2 3 5 3" xfId="41785" xr:uid="{00000000-0005-0000-0000-00008D8D0000}"/>
    <cellStyle name="Comma 17 3 2 3 6" xfId="41786" xr:uid="{00000000-0005-0000-0000-00008E8D0000}"/>
    <cellStyle name="Comma 17 3 2 3 6 2" xfId="41787" xr:uid="{00000000-0005-0000-0000-00008F8D0000}"/>
    <cellStyle name="Comma 17 3 2 3 6 3" xfId="41788" xr:uid="{00000000-0005-0000-0000-0000908D0000}"/>
    <cellStyle name="Comma 17 3 2 3 7" xfId="41789" xr:uid="{00000000-0005-0000-0000-0000918D0000}"/>
    <cellStyle name="Comma 17 3 2 3 7 2" xfId="41790" xr:uid="{00000000-0005-0000-0000-0000928D0000}"/>
    <cellStyle name="Comma 17 3 2 3 8" xfId="41791" xr:uid="{00000000-0005-0000-0000-0000938D0000}"/>
    <cellStyle name="Comma 17 3 2 3 9" xfId="41792" xr:uid="{00000000-0005-0000-0000-0000948D0000}"/>
    <cellStyle name="Comma 17 3 2 4" xfId="41793" xr:uid="{00000000-0005-0000-0000-0000958D0000}"/>
    <cellStyle name="Comma 17 3 2 4 2" xfId="41794" xr:uid="{00000000-0005-0000-0000-0000968D0000}"/>
    <cellStyle name="Comma 17 3 2 4 2 2" xfId="41795" xr:uid="{00000000-0005-0000-0000-0000978D0000}"/>
    <cellStyle name="Comma 17 3 2 4 2 2 2" xfId="41796" xr:uid="{00000000-0005-0000-0000-0000988D0000}"/>
    <cellStyle name="Comma 17 3 2 4 2 2 3" xfId="41797" xr:uid="{00000000-0005-0000-0000-0000998D0000}"/>
    <cellStyle name="Comma 17 3 2 4 2 3" xfId="41798" xr:uid="{00000000-0005-0000-0000-00009A8D0000}"/>
    <cellStyle name="Comma 17 3 2 4 2 3 2" xfId="41799" xr:uid="{00000000-0005-0000-0000-00009B8D0000}"/>
    <cellStyle name="Comma 17 3 2 4 2 3 3" xfId="41800" xr:uid="{00000000-0005-0000-0000-00009C8D0000}"/>
    <cellStyle name="Comma 17 3 2 4 2 4" xfId="41801" xr:uid="{00000000-0005-0000-0000-00009D8D0000}"/>
    <cellStyle name="Comma 17 3 2 4 2 4 2" xfId="41802" xr:uid="{00000000-0005-0000-0000-00009E8D0000}"/>
    <cellStyle name="Comma 17 3 2 4 2 5" xfId="41803" xr:uid="{00000000-0005-0000-0000-00009F8D0000}"/>
    <cellStyle name="Comma 17 3 2 4 2 6" xfId="41804" xr:uid="{00000000-0005-0000-0000-0000A08D0000}"/>
    <cellStyle name="Comma 17 3 2 4 3" xfId="41805" xr:uid="{00000000-0005-0000-0000-0000A18D0000}"/>
    <cellStyle name="Comma 17 3 2 4 3 2" xfId="41806" xr:uid="{00000000-0005-0000-0000-0000A28D0000}"/>
    <cellStyle name="Comma 17 3 2 4 3 2 2" xfId="41807" xr:uid="{00000000-0005-0000-0000-0000A38D0000}"/>
    <cellStyle name="Comma 17 3 2 4 3 2 3" xfId="41808" xr:uid="{00000000-0005-0000-0000-0000A48D0000}"/>
    <cellStyle name="Comma 17 3 2 4 3 3" xfId="41809" xr:uid="{00000000-0005-0000-0000-0000A58D0000}"/>
    <cellStyle name="Comma 17 3 2 4 3 3 2" xfId="41810" xr:uid="{00000000-0005-0000-0000-0000A68D0000}"/>
    <cellStyle name="Comma 17 3 2 4 3 3 3" xfId="41811" xr:uid="{00000000-0005-0000-0000-0000A78D0000}"/>
    <cellStyle name="Comma 17 3 2 4 3 4" xfId="41812" xr:uid="{00000000-0005-0000-0000-0000A88D0000}"/>
    <cellStyle name="Comma 17 3 2 4 3 4 2" xfId="41813" xr:uid="{00000000-0005-0000-0000-0000A98D0000}"/>
    <cellStyle name="Comma 17 3 2 4 3 5" xfId="41814" xr:uid="{00000000-0005-0000-0000-0000AA8D0000}"/>
    <cellStyle name="Comma 17 3 2 4 3 6" xfId="41815" xr:uid="{00000000-0005-0000-0000-0000AB8D0000}"/>
    <cellStyle name="Comma 17 3 2 4 4" xfId="41816" xr:uid="{00000000-0005-0000-0000-0000AC8D0000}"/>
    <cellStyle name="Comma 17 3 2 4 4 2" xfId="41817" xr:uid="{00000000-0005-0000-0000-0000AD8D0000}"/>
    <cellStyle name="Comma 17 3 2 4 4 2 2" xfId="41818" xr:uid="{00000000-0005-0000-0000-0000AE8D0000}"/>
    <cellStyle name="Comma 17 3 2 4 4 2 3" xfId="41819" xr:uid="{00000000-0005-0000-0000-0000AF8D0000}"/>
    <cellStyle name="Comma 17 3 2 4 4 3" xfId="41820" xr:uid="{00000000-0005-0000-0000-0000B08D0000}"/>
    <cellStyle name="Comma 17 3 2 4 4 3 2" xfId="41821" xr:uid="{00000000-0005-0000-0000-0000B18D0000}"/>
    <cellStyle name="Comma 17 3 2 4 4 4" xfId="41822" xr:uid="{00000000-0005-0000-0000-0000B28D0000}"/>
    <cellStyle name="Comma 17 3 2 4 4 5" xfId="41823" xr:uid="{00000000-0005-0000-0000-0000B38D0000}"/>
    <cellStyle name="Comma 17 3 2 4 5" xfId="41824" xr:uid="{00000000-0005-0000-0000-0000B48D0000}"/>
    <cellStyle name="Comma 17 3 2 4 5 2" xfId="41825" xr:uid="{00000000-0005-0000-0000-0000B58D0000}"/>
    <cellStyle name="Comma 17 3 2 4 5 3" xfId="41826" xr:uid="{00000000-0005-0000-0000-0000B68D0000}"/>
    <cellStyle name="Comma 17 3 2 4 6" xfId="41827" xr:uid="{00000000-0005-0000-0000-0000B78D0000}"/>
    <cellStyle name="Comma 17 3 2 4 6 2" xfId="41828" xr:uid="{00000000-0005-0000-0000-0000B88D0000}"/>
    <cellStyle name="Comma 17 3 2 4 6 3" xfId="41829" xr:uid="{00000000-0005-0000-0000-0000B98D0000}"/>
    <cellStyle name="Comma 17 3 2 4 7" xfId="41830" xr:uid="{00000000-0005-0000-0000-0000BA8D0000}"/>
    <cellStyle name="Comma 17 3 2 4 7 2" xfId="41831" xr:uid="{00000000-0005-0000-0000-0000BB8D0000}"/>
    <cellStyle name="Comma 17 3 2 4 8" xfId="41832" xr:uid="{00000000-0005-0000-0000-0000BC8D0000}"/>
    <cellStyle name="Comma 17 3 2 4 9" xfId="41833" xr:uid="{00000000-0005-0000-0000-0000BD8D0000}"/>
    <cellStyle name="Comma 17 3 2 5" xfId="41834" xr:uid="{00000000-0005-0000-0000-0000BE8D0000}"/>
    <cellStyle name="Comma 17 3 2 5 2" xfId="41835" xr:uid="{00000000-0005-0000-0000-0000BF8D0000}"/>
    <cellStyle name="Comma 17 3 2 5 2 2" xfId="41836" xr:uid="{00000000-0005-0000-0000-0000C08D0000}"/>
    <cellStyle name="Comma 17 3 2 5 2 3" xfId="41837" xr:uid="{00000000-0005-0000-0000-0000C18D0000}"/>
    <cellStyle name="Comma 17 3 2 5 3" xfId="41838" xr:uid="{00000000-0005-0000-0000-0000C28D0000}"/>
    <cellStyle name="Comma 17 3 2 5 3 2" xfId="41839" xr:uid="{00000000-0005-0000-0000-0000C38D0000}"/>
    <cellStyle name="Comma 17 3 2 5 3 3" xfId="41840" xr:uid="{00000000-0005-0000-0000-0000C48D0000}"/>
    <cellStyle name="Comma 17 3 2 5 4" xfId="41841" xr:uid="{00000000-0005-0000-0000-0000C58D0000}"/>
    <cellStyle name="Comma 17 3 2 5 4 2" xfId="41842" xr:uid="{00000000-0005-0000-0000-0000C68D0000}"/>
    <cellStyle name="Comma 17 3 2 5 5" xfId="41843" xr:uid="{00000000-0005-0000-0000-0000C78D0000}"/>
    <cellStyle name="Comma 17 3 2 5 6" xfId="41844" xr:uid="{00000000-0005-0000-0000-0000C88D0000}"/>
    <cellStyle name="Comma 17 3 2 6" xfId="41845" xr:uid="{00000000-0005-0000-0000-0000C98D0000}"/>
    <cellStyle name="Comma 17 3 2 6 2" xfId="41846" xr:uid="{00000000-0005-0000-0000-0000CA8D0000}"/>
    <cellStyle name="Comma 17 3 2 6 2 2" xfId="41847" xr:uid="{00000000-0005-0000-0000-0000CB8D0000}"/>
    <cellStyle name="Comma 17 3 2 6 2 3" xfId="41848" xr:uid="{00000000-0005-0000-0000-0000CC8D0000}"/>
    <cellStyle name="Comma 17 3 2 6 3" xfId="41849" xr:uid="{00000000-0005-0000-0000-0000CD8D0000}"/>
    <cellStyle name="Comma 17 3 2 6 3 2" xfId="41850" xr:uid="{00000000-0005-0000-0000-0000CE8D0000}"/>
    <cellStyle name="Comma 17 3 2 6 3 3" xfId="41851" xr:uid="{00000000-0005-0000-0000-0000CF8D0000}"/>
    <cellStyle name="Comma 17 3 2 6 4" xfId="41852" xr:uid="{00000000-0005-0000-0000-0000D08D0000}"/>
    <cellStyle name="Comma 17 3 2 6 4 2" xfId="41853" xr:uid="{00000000-0005-0000-0000-0000D18D0000}"/>
    <cellStyle name="Comma 17 3 2 6 5" xfId="41854" xr:uid="{00000000-0005-0000-0000-0000D28D0000}"/>
    <cellStyle name="Comma 17 3 2 6 6" xfId="41855" xr:uid="{00000000-0005-0000-0000-0000D38D0000}"/>
    <cellStyle name="Comma 17 3 2 7" xfId="41856" xr:uid="{00000000-0005-0000-0000-0000D48D0000}"/>
    <cellStyle name="Comma 17 3 2 7 2" xfId="41857" xr:uid="{00000000-0005-0000-0000-0000D58D0000}"/>
    <cellStyle name="Comma 17 3 2 7 2 2" xfId="41858" xr:uid="{00000000-0005-0000-0000-0000D68D0000}"/>
    <cellStyle name="Comma 17 3 2 7 2 3" xfId="41859" xr:uid="{00000000-0005-0000-0000-0000D78D0000}"/>
    <cellStyle name="Comma 17 3 2 7 3" xfId="41860" xr:uid="{00000000-0005-0000-0000-0000D88D0000}"/>
    <cellStyle name="Comma 17 3 2 7 3 2" xfId="41861" xr:uid="{00000000-0005-0000-0000-0000D98D0000}"/>
    <cellStyle name="Comma 17 3 2 7 4" xfId="41862" xr:uid="{00000000-0005-0000-0000-0000DA8D0000}"/>
    <cellStyle name="Comma 17 3 2 7 5" xfId="41863" xr:uid="{00000000-0005-0000-0000-0000DB8D0000}"/>
    <cellStyle name="Comma 17 3 2 8" xfId="41864" xr:uid="{00000000-0005-0000-0000-0000DC8D0000}"/>
    <cellStyle name="Comma 17 3 2 8 2" xfId="41865" xr:uid="{00000000-0005-0000-0000-0000DD8D0000}"/>
    <cellStyle name="Comma 17 3 2 8 3" xfId="41866" xr:uid="{00000000-0005-0000-0000-0000DE8D0000}"/>
    <cellStyle name="Comma 17 3 2 9" xfId="41867" xr:uid="{00000000-0005-0000-0000-0000DF8D0000}"/>
    <cellStyle name="Comma 17 3 2 9 2" xfId="41868" xr:uid="{00000000-0005-0000-0000-0000E08D0000}"/>
    <cellStyle name="Comma 17 3 2 9 3" xfId="41869" xr:uid="{00000000-0005-0000-0000-0000E18D0000}"/>
    <cellStyle name="Comma 17 3 3" xfId="41870" xr:uid="{00000000-0005-0000-0000-0000E28D0000}"/>
    <cellStyle name="Comma 17 3 3 10" xfId="41871" xr:uid="{00000000-0005-0000-0000-0000E38D0000}"/>
    <cellStyle name="Comma 17 3 3 2" xfId="41872" xr:uid="{00000000-0005-0000-0000-0000E48D0000}"/>
    <cellStyle name="Comma 17 3 3 2 2" xfId="41873" xr:uid="{00000000-0005-0000-0000-0000E58D0000}"/>
    <cellStyle name="Comma 17 3 3 2 2 2" xfId="41874" xr:uid="{00000000-0005-0000-0000-0000E68D0000}"/>
    <cellStyle name="Comma 17 3 3 2 2 2 2" xfId="41875" xr:uid="{00000000-0005-0000-0000-0000E78D0000}"/>
    <cellStyle name="Comma 17 3 3 2 2 2 3" xfId="41876" xr:uid="{00000000-0005-0000-0000-0000E88D0000}"/>
    <cellStyle name="Comma 17 3 3 2 2 3" xfId="41877" xr:uid="{00000000-0005-0000-0000-0000E98D0000}"/>
    <cellStyle name="Comma 17 3 3 2 2 3 2" xfId="41878" xr:uid="{00000000-0005-0000-0000-0000EA8D0000}"/>
    <cellStyle name="Comma 17 3 3 2 2 3 3" xfId="41879" xr:uid="{00000000-0005-0000-0000-0000EB8D0000}"/>
    <cellStyle name="Comma 17 3 3 2 2 4" xfId="41880" xr:uid="{00000000-0005-0000-0000-0000EC8D0000}"/>
    <cellStyle name="Comma 17 3 3 2 2 4 2" xfId="41881" xr:uid="{00000000-0005-0000-0000-0000ED8D0000}"/>
    <cellStyle name="Comma 17 3 3 2 2 5" xfId="41882" xr:uid="{00000000-0005-0000-0000-0000EE8D0000}"/>
    <cellStyle name="Comma 17 3 3 2 2 6" xfId="41883" xr:uid="{00000000-0005-0000-0000-0000EF8D0000}"/>
    <cellStyle name="Comma 17 3 3 2 3" xfId="41884" xr:uid="{00000000-0005-0000-0000-0000F08D0000}"/>
    <cellStyle name="Comma 17 3 3 2 3 2" xfId="41885" xr:uid="{00000000-0005-0000-0000-0000F18D0000}"/>
    <cellStyle name="Comma 17 3 3 2 3 2 2" xfId="41886" xr:uid="{00000000-0005-0000-0000-0000F28D0000}"/>
    <cellStyle name="Comma 17 3 3 2 3 2 3" xfId="41887" xr:uid="{00000000-0005-0000-0000-0000F38D0000}"/>
    <cellStyle name="Comma 17 3 3 2 3 3" xfId="41888" xr:uid="{00000000-0005-0000-0000-0000F48D0000}"/>
    <cellStyle name="Comma 17 3 3 2 3 3 2" xfId="41889" xr:uid="{00000000-0005-0000-0000-0000F58D0000}"/>
    <cellStyle name="Comma 17 3 3 2 3 3 3" xfId="41890" xr:uid="{00000000-0005-0000-0000-0000F68D0000}"/>
    <cellStyle name="Comma 17 3 3 2 3 4" xfId="41891" xr:uid="{00000000-0005-0000-0000-0000F78D0000}"/>
    <cellStyle name="Comma 17 3 3 2 3 4 2" xfId="41892" xr:uid="{00000000-0005-0000-0000-0000F88D0000}"/>
    <cellStyle name="Comma 17 3 3 2 3 5" xfId="41893" xr:uid="{00000000-0005-0000-0000-0000F98D0000}"/>
    <cellStyle name="Comma 17 3 3 2 3 6" xfId="41894" xr:uid="{00000000-0005-0000-0000-0000FA8D0000}"/>
    <cellStyle name="Comma 17 3 3 2 4" xfId="41895" xr:uid="{00000000-0005-0000-0000-0000FB8D0000}"/>
    <cellStyle name="Comma 17 3 3 2 4 2" xfId="41896" xr:uid="{00000000-0005-0000-0000-0000FC8D0000}"/>
    <cellStyle name="Comma 17 3 3 2 4 2 2" xfId="41897" xr:uid="{00000000-0005-0000-0000-0000FD8D0000}"/>
    <cellStyle name="Comma 17 3 3 2 4 2 3" xfId="41898" xr:uid="{00000000-0005-0000-0000-0000FE8D0000}"/>
    <cellStyle name="Comma 17 3 3 2 4 3" xfId="41899" xr:uid="{00000000-0005-0000-0000-0000FF8D0000}"/>
    <cellStyle name="Comma 17 3 3 2 4 3 2" xfId="41900" xr:uid="{00000000-0005-0000-0000-0000008E0000}"/>
    <cellStyle name="Comma 17 3 3 2 4 4" xfId="41901" xr:uid="{00000000-0005-0000-0000-0000018E0000}"/>
    <cellStyle name="Comma 17 3 3 2 4 5" xfId="41902" xr:uid="{00000000-0005-0000-0000-0000028E0000}"/>
    <cellStyle name="Comma 17 3 3 2 5" xfId="41903" xr:uid="{00000000-0005-0000-0000-0000038E0000}"/>
    <cellStyle name="Comma 17 3 3 2 5 2" xfId="41904" xr:uid="{00000000-0005-0000-0000-0000048E0000}"/>
    <cellStyle name="Comma 17 3 3 2 5 3" xfId="41905" xr:uid="{00000000-0005-0000-0000-0000058E0000}"/>
    <cellStyle name="Comma 17 3 3 2 6" xfId="41906" xr:uid="{00000000-0005-0000-0000-0000068E0000}"/>
    <cellStyle name="Comma 17 3 3 2 6 2" xfId="41907" xr:uid="{00000000-0005-0000-0000-0000078E0000}"/>
    <cellStyle name="Comma 17 3 3 2 6 3" xfId="41908" xr:uid="{00000000-0005-0000-0000-0000088E0000}"/>
    <cellStyle name="Comma 17 3 3 2 7" xfId="41909" xr:uid="{00000000-0005-0000-0000-0000098E0000}"/>
    <cellStyle name="Comma 17 3 3 2 7 2" xfId="41910" xr:uid="{00000000-0005-0000-0000-00000A8E0000}"/>
    <cellStyle name="Comma 17 3 3 2 8" xfId="41911" xr:uid="{00000000-0005-0000-0000-00000B8E0000}"/>
    <cellStyle name="Comma 17 3 3 2 9" xfId="41912" xr:uid="{00000000-0005-0000-0000-00000C8E0000}"/>
    <cellStyle name="Comma 17 3 3 3" xfId="41913" xr:uid="{00000000-0005-0000-0000-00000D8E0000}"/>
    <cellStyle name="Comma 17 3 3 3 2" xfId="41914" xr:uid="{00000000-0005-0000-0000-00000E8E0000}"/>
    <cellStyle name="Comma 17 3 3 3 2 2" xfId="41915" xr:uid="{00000000-0005-0000-0000-00000F8E0000}"/>
    <cellStyle name="Comma 17 3 3 3 2 3" xfId="41916" xr:uid="{00000000-0005-0000-0000-0000108E0000}"/>
    <cellStyle name="Comma 17 3 3 3 3" xfId="41917" xr:uid="{00000000-0005-0000-0000-0000118E0000}"/>
    <cellStyle name="Comma 17 3 3 3 3 2" xfId="41918" xr:uid="{00000000-0005-0000-0000-0000128E0000}"/>
    <cellStyle name="Comma 17 3 3 3 3 3" xfId="41919" xr:uid="{00000000-0005-0000-0000-0000138E0000}"/>
    <cellStyle name="Comma 17 3 3 3 4" xfId="41920" xr:uid="{00000000-0005-0000-0000-0000148E0000}"/>
    <cellStyle name="Comma 17 3 3 3 4 2" xfId="41921" xr:uid="{00000000-0005-0000-0000-0000158E0000}"/>
    <cellStyle name="Comma 17 3 3 3 5" xfId="41922" xr:uid="{00000000-0005-0000-0000-0000168E0000}"/>
    <cellStyle name="Comma 17 3 3 3 6" xfId="41923" xr:uid="{00000000-0005-0000-0000-0000178E0000}"/>
    <cellStyle name="Comma 17 3 3 4" xfId="41924" xr:uid="{00000000-0005-0000-0000-0000188E0000}"/>
    <cellStyle name="Comma 17 3 3 4 2" xfId="41925" xr:uid="{00000000-0005-0000-0000-0000198E0000}"/>
    <cellStyle name="Comma 17 3 3 4 2 2" xfId="41926" xr:uid="{00000000-0005-0000-0000-00001A8E0000}"/>
    <cellStyle name="Comma 17 3 3 4 2 3" xfId="41927" xr:uid="{00000000-0005-0000-0000-00001B8E0000}"/>
    <cellStyle name="Comma 17 3 3 4 3" xfId="41928" xr:uid="{00000000-0005-0000-0000-00001C8E0000}"/>
    <cellStyle name="Comma 17 3 3 4 3 2" xfId="41929" xr:uid="{00000000-0005-0000-0000-00001D8E0000}"/>
    <cellStyle name="Comma 17 3 3 4 3 3" xfId="41930" xr:uid="{00000000-0005-0000-0000-00001E8E0000}"/>
    <cellStyle name="Comma 17 3 3 4 4" xfId="41931" xr:uid="{00000000-0005-0000-0000-00001F8E0000}"/>
    <cellStyle name="Comma 17 3 3 4 4 2" xfId="41932" xr:uid="{00000000-0005-0000-0000-0000208E0000}"/>
    <cellStyle name="Comma 17 3 3 4 5" xfId="41933" xr:uid="{00000000-0005-0000-0000-0000218E0000}"/>
    <cellStyle name="Comma 17 3 3 4 6" xfId="41934" xr:uid="{00000000-0005-0000-0000-0000228E0000}"/>
    <cellStyle name="Comma 17 3 3 5" xfId="41935" xr:uid="{00000000-0005-0000-0000-0000238E0000}"/>
    <cellStyle name="Comma 17 3 3 5 2" xfId="41936" xr:uid="{00000000-0005-0000-0000-0000248E0000}"/>
    <cellStyle name="Comma 17 3 3 5 2 2" xfId="41937" xr:uid="{00000000-0005-0000-0000-0000258E0000}"/>
    <cellStyle name="Comma 17 3 3 5 2 3" xfId="41938" xr:uid="{00000000-0005-0000-0000-0000268E0000}"/>
    <cellStyle name="Comma 17 3 3 5 3" xfId="41939" xr:uid="{00000000-0005-0000-0000-0000278E0000}"/>
    <cellStyle name="Comma 17 3 3 5 3 2" xfId="41940" xr:uid="{00000000-0005-0000-0000-0000288E0000}"/>
    <cellStyle name="Comma 17 3 3 5 4" xfId="41941" xr:uid="{00000000-0005-0000-0000-0000298E0000}"/>
    <cellStyle name="Comma 17 3 3 5 5" xfId="41942" xr:uid="{00000000-0005-0000-0000-00002A8E0000}"/>
    <cellStyle name="Comma 17 3 3 6" xfId="41943" xr:uid="{00000000-0005-0000-0000-00002B8E0000}"/>
    <cellStyle name="Comma 17 3 3 6 2" xfId="41944" xr:uid="{00000000-0005-0000-0000-00002C8E0000}"/>
    <cellStyle name="Comma 17 3 3 6 3" xfId="41945" xr:uid="{00000000-0005-0000-0000-00002D8E0000}"/>
    <cellStyle name="Comma 17 3 3 7" xfId="41946" xr:uid="{00000000-0005-0000-0000-00002E8E0000}"/>
    <cellStyle name="Comma 17 3 3 7 2" xfId="41947" xr:uid="{00000000-0005-0000-0000-00002F8E0000}"/>
    <cellStyle name="Comma 17 3 3 7 3" xfId="41948" xr:uid="{00000000-0005-0000-0000-0000308E0000}"/>
    <cellStyle name="Comma 17 3 3 8" xfId="41949" xr:uid="{00000000-0005-0000-0000-0000318E0000}"/>
    <cellStyle name="Comma 17 3 3 8 2" xfId="41950" xr:uid="{00000000-0005-0000-0000-0000328E0000}"/>
    <cellStyle name="Comma 17 3 3 9" xfId="41951" xr:uid="{00000000-0005-0000-0000-0000338E0000}"/>
    <cellStyle name="Comma 17 3 4" xfId="41952" xr:uid="{00000000-0005-0000-0000-0000348E0000}"/>
    <cellStyle name="Comma 17 3 4 2" xfId="41953" xr:uid="{00000000-0005-0000-0000-0000358E0000}"/>
    <cellStyle name="Comma 17 3 4 2 2" xfId="41954" xr:uid="{00000000-0005-0000-0000-0000368E0000}"/>
    <cellStyle name="Comma 17 3 4 2 2 2" xfId="41955" xr:uid="{00000000-0005-0000-0000-0000378E0000}"/>
    <cellStyle name="Comma 17 3 4 2 2 3" xfId="41956" xr:uid="{00000000-0005-0000-0000-0000388E0000}"/>
    <cellStyle name="Comma 17 3 4 2 3" xfId="41957" xr:uid="{00000000-0005-0000-0000-0000398E0000}"/>
    <cellStyle name="Comma 17 3 4 2 3 2" xfId="41958" xr:uid="{00000000-0005-0000-0000-00003A8E0000}"/>
    <cellStyle name="Comma 17 3 4 2 3 3" xfId="41959" xr:uid="{00000000-0005-0000-0000-00003B8E0000}"/>
    <cellStyle name="Comma 17 3 4 2 4" xfId="41960" xr:uid="{00000000-0005-0000-0000-00003C8E0000}"/>
    <cellStyle name="Comma 17 3 4 2 4 2" xfId="41961" xr:uid="{00000000-0005-0000-0000-00003D8E0000}"/>
    <cellStyle name="Comma 17 3 4 2 5" xfId="41962" xr:uid="{00000000-0005-0000-0000-00003E8E0000}"/>
    <cellStyle name="Comma 17 3 4 2 6" xfId="41963" xr:uid="{00000000-0005-0000-0000-00003F8E0000}"/>
    <cellStyle name="Comma 17 3 4 3" xfId="41964" xr:uid="{00000000-0005-0000-0000-0000408E0000}"/>
    <cellStyle name="Comma 17 3 4 3 2" xfId="41965" xr:uid="{00000000-0005-0000-0000-0000418E0000}"/>
    <cellStyle name="Comma 17 3 4 3 2 2" xfId="41966" xr:uid="{00000000-0005-0000-0000-0000428E0000}"/>
    <cellStyle name="Comma 17 3 4 3 2 3" xfId="41967" xr:uid="{00000000-0005-0000-0000-0000438E0000}"/>
    <cellStyle name="Comma 17 3 4 3 3" xfId="41968" xr:uid="{00000000-0005-0000-0000-0000448E0000}"/>
    <cellStyle name="Comma 17 3 4 3 3 2" xfId="41969" xr:uid="{00000000-0005-0000-0000-0000458E0000}"/>
    <cellStyle name="Comma 17 3 4 3 3 3" xfId="41970" xr:uid="{00000000-0005-0000-0000-0000468E0000}"/>
    <cellStyle name="Comma 17 3 4 3 4" xfId="41971" xr:uid="{00000000-0005-0000-0000-0000478E0000}"/>
    <cellStyle name="Comma 17 3 4 3 4 2" xfId="41972" xr:uid="{00000000-0005-0000-0000-0000488E0000}"/>
    <cellStyle name="Comma 17 3 4 3 5" xfId="41973" xr:uid="{00000000-0005-0000-0000-0000498E0000}"/>
    <cellStyle name="Comma 17 3 4 3 6" xfId="41974" xr:uid="{00000000-0005-0000-0000-00004A8E0000}"/>
    <cellStyle name="Comma 17 3 4 4" xfId="41975" xr:uid="{00000000-0005-0000-0000-00004B8E0000}"/>
    <cellStyle name="Comma 17 3 4 4 2" xfId="41976" xr:uid="{00000000-0005-0000-0000-00004C8E0000}"/>
    <cellStyle name="Comma 17 3 4 4 2 2" xfId="41977" xr:uid="{00000000-0005-0000-0000-00004D8E0000}"/>
    <cellStyle name="Comma 17 3 4 4 2 3" xfId="41978" xr:uid="{00000000-0005-0000-0000-00004E8E0000}"/>
    <cellStyle name="Comma 17 3 4 4 3" xfId="41979" xr:uid="{00000000-0005-0000-0000-00004F8E0000}"/>
    <cellStyle name="Comma 17 3 4 4 3 2" xfId="41980" xr:uid="{00000000-0005-0000-0000-0000508E0000}"/>
    <cellStyle name="Comma 17 3 4 4 4" xfId="41981" xr:uid="{00000000-0005-0000-0000-0000518E0000}"/>
    <cellStyle name="Comma 17 3 4 4 5" xfId="41982" xr:uid="{00000000-0005-0000-0000-0000528E0000}"/>
    <cellStyle name="Comma 17 3 4 5" xfId="41983" xr:uid="{00000000-0005-0000-0000-0000538E0000}"/>
    <cellStyle name="Comma 17 3 4 5 2" xfId="41984" xr:uid="{00000000-0005-0000-0000-0000548E0000}"/>
    <cellStyle name="Comma 17 3 4 5 3" xfId="41985" xr:uid="{00000000-0005-0000-0000-0000558E0000}"/>
    <cellStyle name="Comma 17 3 4 6" xfId="41986" xr:uid="{00000000-0005-0000-0000-0000568E0000}"/>
    <cellStyle name="Comma 17 3 4 6 2" xfId="41987" xr:uid="{00000000-0005-0000-0000-0000578E0000}"/>
    <cellStyle name="Comma 17 3 4 6 3" xfId="41988" xr:uid="{00000000-0005-0000-0000-0000588E0000}"/>
    <cellStyle name="Comma 17 3 4 7" xfId="41989" xr:uid="{00000000-0005-0000-0000-0000598E0000}"/>
    <cellStyle name="Comma 17 3 4 7 2" xfId="41990" xr:uid="{00000000-0005-0000-0000-00005A8E0000}"/>
    <cellStyle name="Comma 17 3 4 8" xfId="41991" xr:uid="{00000000-0005-0000-0000-00005B8E0000}"/>
    <cellStyle name="Comma 17 3 4 9" xfId="41992" xr:uid="{00000000-0005-0000-0000-00005C8E0000}"/>
    <cellStyle name="Comma 17 3 5" xfId="41993" xr:uid="{00000000-0005-0000-0000-00005D8E0000}"/>
    <cellStyle name="Comma 17 3 5 2" xfId="41994" xr:uid="{00000000-0005-0000-0000-00005E8E0000}"/>
    <cellStyle name="Comma 17 3 5 2 2" xfId="41995" xr:uid="{00000000-0005-0000-0000-00005F8E0000}"/>
    <cellStyle name="Comma 17 3 5 2 2 2" xfId="41996" xr:uid="{00000000-0005-0000-0000-0000608E0000}"/>
    <cellStyle name="Comma 17 3 5 2 2 3" xfId="41997" xr:uid="{00000000-0005-0000-0000-0000618E0000}"/>
    <cellStyle name="Comma 17 3 5 2 3" xfId="41998" xr:uid="{00000000-0005-0000-0000-0000628E0000}"/>
    <cellStyle name="Comma 17 3 5 2 3 2" xfId="41999" xr:uid="{00000000-0005-0000-0000-0000638E0000}"/>
    <cellStyle name="Comma 17 3 5 2 3 3" xfId="42000" xr:uid="{00000000-0005-0000-0000-0000648E0000}"/>
    <cellStyle name="Comma 17 3 5 2 4" xfId="42001" xr:uid="{00000000-0005-0000-0000-0000658E0000}"/>
    <cellStyle name="Comma 17 3 5 2 4 2" xfId="42002" xr:uid="{00000000-0005-0000-0000-0000668E0000}"/>
    <cellStyle name="Comma 17 3 5 2 5" xfId="42003" xr:uid="{00000000-0005-0000-0000-0000678E0000}"/>
    <cellStyle name="Comma 17 3 5 2 6" xfId="42004" xr:uid="{00000000-0005-0000-0000-0000688E0000}"/>
    <cellStyle name="Comma 17 3 5 3" xfId="42005" xr:uid="{00000000-0005-0000-0000-0000698E0000}"/>
    <cellStyle name="Comma 17 3 5 3 2" xfId="42006" xr:uid="{00000000-0005-0000-0000-00006A8E0000}"/>
    <cellStyle name="Comma 17 3 5 3 2 2" xfId="42007" xr:uid="{00000000-0005-0000-0000-00006B8E0000}"/>
    <cellStyle name="Comma 17 3 5 3 2 3" xfId="42008" xr:uid="{00000000-0005-0000-0000-00006C8E0000}"/>
    <cellStyle name="Comma 17 3 5 3 3" xfId="42009" xr:uid="{00000000-0005-0000-0000-00006D8E0000}"/>
    <cellStyle name="Comma 17 3 5 3 3 2" xfId="42010" xr:uid="{00000000-0005-0000-0000-00006E8E0000}"/>
    <cellStyle name="Comma 17 3 5 3 3 3" xfId="42011" xr:uid="{00000000-0005-0000-0000-00006F8E0000}"/>
    <cellStyle name="Comma 17 3 5 3 4" xfId="42012" xr:uid="{00000000-0005-0000-0000-0000708E0000}"/>
    <cellStyle name="Comma 17 3 5 3 4 2" xfId="42013" xr:uid="{00000000-0005-0000-0000-0000718E0000}"/>
    <cellStyle name="Comma 17 3 5 3 5" xfId="42014" xr:uid="{00000000-0005-0000-0000-0000728E0000}"/>
    <cellStyle name="Comma 17 3 5 3 6" xfId="42015" xr:uid="{00000000-0005-0000-0000-0000738E0000}"/>
    <cellStyle name="Comma 17 3 5 4" xfId="42016" xr:uid="{00000000-0005-0000-0000-0000748E0000}"/>
    <cellStyle name="Comma 17 3 5 4 2" xfId="42017" xr:uid="{00000000-0005-0000-0000-0000758E0000}"/>
    <cellStyle name="Comma 17 3 5 4 2 2" xfId="42018" xr:uid="{00000000-0005-0000-0000-0000768E0000}"/>
    <cellStyle name="Comma 17 3 5 4 2 3" xfId="42019" xr:uid="{00000000-0005-0000-0000-0000778E0000}"/>
    <cellStyle name="Comma 17 3 5 4 3" xfId="42020" xr:uid="{00000000-0005-0000-0000-0000788E0000}"/>
    <cellStyle name="Comma 17 3 5 4 3 2" xfId="42021" xr:uid="{00000000-0005-0000-0000-0000798E0000}"/>
    <cellStyle name="Comma 17 3 5 4 4" xfId="42022" xr:uid="{00000000-0005-0000-0000-00007A8E0000}"/>
    <cellStyle name="Comma 17 3 5 4 5" xfId="42023" xr:uid="{00000000-0005-0000-0000-00007B8E0000}"/>
    <cellStyle name="Comma 17 3 5 5" xfId="42024" xr:uid="{00000000-0005-0000-0000-00007C8E0000}"/>
    <cellStyle name="Comma 17 3 5 5 2" xfId="42025" xr:uid="{00000000-0005-0000-0000-00007D8E0000}"/>
    <cellStyle name="Comma 17 3 5 5 3" xfId="42026" xr:uid="{00000000-0005-0000-0000-00007E8E0000}"/>
    <cellStyle name="Comma 17 3 5 6" xfId="42027" xr:uid="{00000000-0005-0000-0000-00007F8E0000}"/>
    <cellStyle name="Comma 17 3 5 6 2" xfId="42028" xr:uid="{00000000-0005-0000-0000-0000808E0000}"/>
    <cellStyle name="Comma 17 3 5 6 3" xfId="42029" xr:uid="{00000000-0005-0000-0000-0000818E0000}"/>
    <cellStyle name="Comma 17 3 5 7" xfId="42030" xr:uid="{00000000-0005-0000-0000-0000828E0000}"/>
    <cellStyle name="Comma 17 3 5 7 2" xfId="42031" xr:uid="{00000000-0005-0000-0000-0000838E0000}"/>
    <cellStyle name="Comma 17 3 5 8" xfId="42032" xr:uid="{00000000-0005-0000-0000-0000848E0000}"/>
    <cellStyle name="Comma 17 3 5 9" xfId="42033" xr:uid="{00000000-0005-0000-0000-0000858E0000}"/>
    <cellStyle name="Comma 17 3 6" xfId="42034" xr:uid="{00000000-0005-0000-0000-0000868E0000}"/>
    <cellStyle name="Comma 17 3 6 2" xfId="42035" xr:uid="{00000000-0005-0000-0000-0000878E0000}"/>
    <cellStyle name="Comma 17 3 6 2 2" xfId="42036" xr:uid="{00000000-0005-0000-0000-0000888E0000}"/>
    <cellStyle name="Comma 17 3 6 2 3" xfId="42037" xr:uid="{00000000-0005-0000-0000-0000898E0000}"/>
    <cellStyle name="Comma 17 3 6 3" xfId="42038" xr:uid="{00000000-0005-0000-0000-00008A8E0000}"/>
    <cellStyle name="Comma 17 3 6 3 2" xfId="42039" xr:uid="{00000000-0005-0000-0000-00008B8E0000}"/>
    <cellStyle name="Comma 17 3 6 3 3" xfId="42040" xr:uid="{00000000-0005-0000-0000-00008C8E0000}"/>
    <cellStyle name="Comma 17 3 6 4" xfId="42041" xr:uid="{00000000-0005-0000-0000-00008D8E0000}"/>
    <cellStyle name="Comma 17 3 6 4 2" xfId="42042" xr:uid="{00000000-0005-0000-0000-00008E8E0000}"/>
    <cellStyle name="Comma 17 3 6 5" xfId="42043" xr:uid="{00000000-0005-0000-0000-00008F8E0000}"/>
    <cellStyle name="Comma 17 3 6 6" xfId="42044" xr:uid="{00000000-0005-0000-0000-0000908E0000}"/>
    <cellStyle name="Comma 17 3 7" xfId="42045" xr:uid="{00000000-0005-0000-0000-0000918E0000}"/>
    <cellStyle name="Comma 17 3 7 2" xfId="42046" xr:uid="{00000000-0005-0000-0000-0000928E0000}"/>
    <cellStyle name="Comma 17 3 7 2 2" xfId="42047" xr:uid="{00000000-0005-0000-0000-0000938E0000}"/>
    <cellStyle name="Comma 17 3 7 2 3" xfId="42048" xr:uid="{00000000-0005-0000-0000-0000948E0000}"/>
    <cellStyle name="Comma 17 3 7 3" xfId="42049" xr:uid="{00000000-0005-0000-0000-0000958E0000}"/>
    <cellStyle name="Comma 17 3 7 3 2" xfId="42050" xr:uid="{00000000-0005-0000-0000-0000968E0000}"/>
    <cellStyle name="Comma 17 3 7 3 3" xfId="42051" xr:uid="{00000000-0005-0000-0000-0000978E0000}"/>
    <cellStyle name="Comma 17 3 7 4" xfId="42052" xr:uid="{00000000-0005-0000-0000-0000988E0000}"/>
    <cellStyle name="Comma 17 3 7 4 2" xfId="42053" xr:uid="{00000000-0005-0000-0000-0000998E0000}"/>
    <cellStyle name="Comma 17 3 7 5" xfId="42054" xr:uid="{00000000-0005-0000-0000-00009A8E0000}"/>
    <cellStyle name="Comma 17 3 7 6" xfId="42055" xr:uid="{00000000-0005-0000-0000-00009B8E0000}"/>
    <cellStyle name="Comma 17 3 8" xfId="42056" xr:uid="{00000000-0005-0000-0000-00009C8E0000}"/>
    <cellStyle name="Comma 17 3 8 2" xfId="42057" xr:uid="{00000000-0005-0000-0000-00009D8E0000}"/>
    <cellStyle name="Comma 17 3 8 2 2" xfId="42058" xr:uid="{00000000-0005-0000-0000-00009E8E0000}"/>
    <cellStyle name="Comma 17 3 8 2 3" xfId="42059" xr:uid="{00000000-0005-0000-0000-00009F8E0000}"/>
    <cellStyle name="Comma 17 3 8 3" xfId="42060" xr:uid="{00000000-0005-0000-0000-0000A08E0000}"/>
    <cellStyle name="Comma 17 3 8 3 2" xfId="42061" xr:uid="{00000000-0005-0000-0000-0000A18E0000}"/>
    <cellStyle name="Comma 17 3 8 4" xfId="42062" xr:uid="{00000000-0005-0000-0000-0000A28E0000}"/>
    <cellStyle name="Comma 17 3 8 5" xfId="42063" xr:uid="{00000000-0005-0000-0000-0000A38E0000}"/>
    <cellStyle name="Comma 17 3 9" xfId="42064" xr:uid="{00000000-0005-0000-0000-0000A48E0000}"/>
    <cellStyle name="Comma 17 3 9 2" xfId="42065" xr:uid="{00000000-0005-0000-0000-0000A58E0000}"/>
    <cellStyle name="Comma 17 3 9 3" xfId="42066" xr:uid="{00000000-0005-0000-0000-0000A68E0000}"/>
    <cellStyle name="Comma 17 4" xfId="42067" xr:uid="{00000000-0005-0000-0000-0000A78E0000}"/>
    <cellStyle name="Comma 17 4 10" xfId="42068" xr:uid="{00000000-0005-0000-0000-0000A88E0000}"/>
    <cellStyle name="Comma 17 4 10 2" xfId="42069" xr:uid="{00000000-0005-0000-0000-0000A98E0000}"/>
    <cellStyle name="Comma 17 4 11" xfId="42070" xr:uid="{00000000-0005-0000-0000-0000AA8E0000}"/>
    <cellStyle name="Comma 17 4 12" xfId="42071" xr:uid="{00000000-0005-0000-0000-0000AB8E0000}"/>
    <cellStyle name="Comma 17 4 2" xfId="42072" xr:uid="{00000000-0005-0000-0000-0000AC8E0000}"/>
    <cellStyle name="Comma 17 4 2 10" xfId="42073" xr:uid="{00000000-0005-0000-0000-0000AD8E0000}"/>
    <cellStyle name="Comma 17 4 2 2" xfId="42074" xr:uid="{00000000-0005-0000-0000-0000AE8E0000}"/>
    <cellStyle name="Comma 17 4 2 2 2" xfId="42075" xr:uid="{00000000-0005-0000-0000-0000AF8E0000}"/>
    <cellStyle name="Comma 17 4 2 2 2 2" xfId="42076" xr:uid="{00000000-0005-0000-0000-0000B08E0000}"/>
    <cellStyle name="Comma 17 4 2 2 2 2 2" xfId="42077" xr:uid="{00000000-0005-0000-0000-0000B18E0000}"/>
    <cellStyle name="Comma 17 4 2 2 2 2 3" xfId="42078" xr:uid="{00000000-0005-0000-0000-0000B28E0000}"/>
    <cellStyle name="Comma 17 4 2 2 2 3" xfId="42079" xr:uid="{00000000-0005-0000-0000-0000B38E0000}"/>
    <cellStyle name="Comma 17 4 2 2 2 3 2" xfId="42080" xr:uid="{00000000-0005-0000-0000-0000B48E0000}"/>
    <cellStyle name="Comma 17 4 2 2 2 3 3" xfId="42081" xr:uid="{00000000-0005-0000-0000-0000B58E0000}"/>
    <cellStyle name="Comma 17 4 2 2 2 4" xfId="42082" xr:uid="{00000000-0005-0000-0000-0000B68E0000}"/>
    <cellStyle name="Comma 17 4 2 2 2 4 2" xfId="42083" xr:uid="{00000000-0005-0000-0000-0000B78E0000}"/>
    <cellStyle name="Comma 17 4 2 2 2 5" xfId="42084" xr:uid="{00000000-0005-0000-0000-0000B88E0000}"/>
    <cellStyle name="Comma 17 4 2 2 2 6" xfId="42085" xr:uid="{00000000-0005-0000-0000-0000B98E0000}"/>
    <cellStyle name="Comma 17 4 2 2 3" xfId="42086" xr:uid="{00000000-0005-0000-0000-0000BA8E0000}"/>
    <cellStyle name="Comma 17 4 2 2 3 2" xfId="42087" xr:uid="{00000000-0005-0000-0000-0000BB8E0000}"/>
    <cellStyle name="Comma 17 4 2 2 3 2 2" xfId="42088" xr:uid="{00000000-0005-0000-0000-0000BC8E0000}"/>
    <cellStyle name="Comma 17 4 2 2 3 2 3" xfId="42089" xr:uid="{00000000-0005-0000-0000-0000BD8E0000}"/>
    <cellStyle name="Comma 17 4 2 2 3 3" xfId="42090" xr:uid="{00000000-0005-0000-0000-0000BE8E0000}"/>
    <cellStyle name="Comma 17 4 2 2 3 3 2" xfId="42091" xr:uid="{00000000-0005-0000-0000-0000BF8E0000}"/>
    <cellStyle name="Comma 17 4 2 2 3 3 3" xfId="42092" xr:uid="{00000000-0005-0000-0000-0000C08E0000}"/>
    <cellStyle name="Comma 17 4 2 2 3 4" xfId="42093" xr:uid="{00000000-0005-0000-0000-0000C18E0000}"/>
    <cellStyle name="Comma 17 4 2 2 3 4 2" xfId="42094" xr:uid="{00000000-0005-0000-0000-0000C28E0000}"/>
    <cellStyle name="Comma 17 4 2 2 3 5" xfId="42095" xr:uid="{00000000-0005-0000-0000-0000C38E0000}"/>
    <cellStyle name="Comma 17 4 2 2 3 6" xfId="42096" xr:uid="{00000000-0005-0000-0000-0000C48E0000}"/>
    <cellStyle name="Comma 17 4 2 2 4" xfId="42097" xr:uid="{00000000-0005-0000-0000-0000C58E0000}"/>
    <cellStyle name="Comma 17 4 2 2 4 2" xfId="42098" xr:uid="{00000000-0005-0000-0000-0000C68E0000}"/>
    <cellStyle name="Comma 17 4 2 2 4 2 2" xfId="42099" xr:uid="{00000000-0005-0000-0000-0000C78E0000}"/>
    <cellStyle name="Comma 17 4 2 2 4 2 3" xfId="42100" xr:uid="{00000000-0005-0000-0000-0000C88E0000}"/>
    <cellStyle name="Comma 17 4 2 2 4 3" xfId="42101" xr:uid="{00000000-0005-0000-0000-0000C98E0000}"/>
    <cellStyle name="Comma 17 4 2 2 4 3 2" xfId="42102" xr:uid="{00000000-0005-0000-0000-0000CA8E0000}"/>
    <cellStyle name="Comma 17 4 2 2 4 4" xfId="42103" xr:uid="{00000000-0005-0000-0000-0000CB8E0000}"/>
    <cellStyle name="Comma 17 4 2 2 4 5" xfId="42104" xr:uid="{00000000-0005-0000-0000-0000CC8E0000}"/>
    <cellStyle name="Comma 17 4 2 2 5" xfId="42105" xr:uid="{00000000-0005-0000-0000-0000CD8E0000}"/>
    <cellStyle name="Comma 17 4 2 2 5 2" xfId="42106" xr:uid="{00000000-0005-0000-0000-0000CE8E0000}"/>
    <cellStyle name="Comma 17 4 2 2 5 3" xfId="42107" xr:uid="{00000000-0005-0000-0000-0000CF8E0000}"/>
    <cellStyle name="Comma 17 4 2 2 6" xfId="42108" xr:uid="{00000000-0005-0000-0000-0000D08E0000}"/>
    <cellStyle name="Comma 17 4 2 2 6 2" xfId="42109" xr:uid="{00000000-0005-0000-0000-0000D18E0000}"/>
    <cellStyle name="Comma 17 4 2 2 6 3" xfId="42110" xr:uid="{00000000-0005-0000-0000-0000D28E0000}"/>
    <cellStyle name="Comma 17 4 2 2 7" xfId="42111" xr:uid="{00000000-0005-0000-0000-0000D38E0000}"/>
    <cellStyle name="Comma 17 4 2 2 7 2" xfId="42112" xr:uid="{00000000-0005-0000-0000-0000D48E0000}"/>
    <cellStyle name="Comma 17 4 2 2 8" xfId="42113" xr:uid="{00000000-0005-0000-0000-0000D58E0000}"/>
    <cellStyle name="Comma 17 4 2 2 9" xfId="42114" xr:uid="{00000000-0005-0000-0000-0000D68E0000}"/>
    <cellStyle name="Comma 17 4 2 3" xfId="42115" xr:uid="{00000000-0005-0000-0000-0000D78E0000}"/>
    <cellStyle name="Comma 17 4 2 3 2" xfId="42116" xr:uid="{00000000-0005-0000-0000-0000D88E0000}"/>
    <cellStyle name="Comma 17 4 2 3 2 2" xfId="42117" xr:uid="{00000000-0005-0000-0000-0000D98E0000}"/>
    <cellStyle name="Comma 17 4 2 3 2 3" xfId="42118" xr:uid="{00000000-0005-0000-0000-0000DA8E0000}"/>
    <cellStyle name="Comma 17 4 2 3 3" xfId="42119" xr:uid="{00000000-0005-0000-0000-0000DB8E0000}"/>
    <cellStyle name="Comma 17 4 2 3 3 2" xfId="42120" xr:uid="{00000000-0005-0000-0000-0000DC8E0000}"/>
    <cellStyle name="Comma 17 4 2 3 3 3" xfId="42121" xr:uid="{00000000-0005-0000-0000-0000DD8E0000}"/>
    <cellStyle name="Comma 17 4 2 3 4" xfId="42122" xr:uid="{00000000-0005-0000-0000-0000DE8E0000}"/>
    <cellStyle name="Comma 17 4 2 3 4 2" xfId="42123" xr:uid="{00000000-0005-0000-0000-0000DF8E0000}"/>
    <cellStyle name="Comma 17 4 2 3 5" xfId="42124" xr:uid="{00000000-0005-0000-0000-0000E08E0000}"/>
    <cellStyle name="Comma 17 4 2 3 6" xfId="42125" xr:uid="{00000000-0005-0000-0000-0000E18E0000}"/>
    <cellStyle name="Comma 17 4 2 4" xfId="42126" xr:uid="{00000000-0005-0000-0000-0000E28E0000}"/>
    <cellStyle name="Comma 17 4 2 4 2" xfId="42127" xr:uid="{00000000-0005-0000-0000-0000E38E0000}"/>
    <cellStyle name="Comma 17 4 2 4 2 2" xfId="42128" xr:uid="{00000000-0005-0000-0000-0000E48E0000}"/>
    <cellStyle name="Comma 17 4 2 4 2 3" xfId="42129" xr:uid="{00000000-0005-0000-0000-0000E58E0000}"/>
    <cellStyle name="Comma 17 4 2 4 3" xfId="42130" xr:uid="{00000000-0005-0000-0000-0000E68E0000}"/>
    <cellStyle name="Comma 17 4 2 4 3 2" xfId="42131" xr:uid="{00000000-0005-0000-0000-0000E78E0000}"/>
    <cellStyle name="Comma 17 4 2 4 3 3" xfId="42132" xr:uid="{00000000-0005-0000-0000-0000E88E0000}"/>
    <cellStyle name="Comma 17 4 2 4 4" xfId="42133" xr:uid="{00000000-0005-0000-0000-0000E98E0000}"/>
    <cellStyle name="Comma 17 4 2 4 4 2" xfId="42134" xr:uid="{00000000-0005-0000-0000-0000EA8E0000}"/>
    <cellStyle name="Comma 17 4 2 4 5" xfId="42135" xr:uid="{00000000-0005-0000-0000-0000EB8E0000}"/>
    <cellStyle name="Comma 17 4 2 4 6" xfId="42136" xr:uid="{00000000-0005-0000-0000-0000EC8E0000}"/>
    <cellStyle name="Comma 17 4 2 5" xfId="42137" xr:uid="{00000000-0005-0000-0000-0000ED8E0000}"/>
    <cellStyle name="Comma 17 4 2 5 2" xfId="42138" xr:uid="{00000000-0005-0000-0000-0000EE8E0000}"/>
    <cellStyle name="Comma 17 4 2 5 2 2" xfId="42139" xr:uid="{00000000-0005-0000-0000-0000EF8E0000}"/>
    <cellStyle name="Comma 17 4 2 5 2 3" xfId="42140" xr:uid="{00000000-0005-0000-0000-0000F08E0000}"/>
    <cellStyle name="Comma 17 4 2 5 3" xfId="42141" xr:uid="{00000000-0005-0000-0000-0000F18E0000}"/>
    <cellStyle name="Comma 17 4 2 5 3 2" xfId="42142" xr:uid="{00000000-0005-0000-0000-0000F28E0000}"/>
    <cellStyle name="Comma 17 4 2 5 4" xfId="42143" xr:uid="{00000000-0005-0000-0000-0000F38E0000}"/>
    <cellStyle name="Comma 17 4 2 5 5" xfId="42144" xr:uid="{00000000-0005-0000-0000-0000F48E0000}"/>
    <cellStyle name="Comma 17 4 2 6" xfId="42145" xr:uid="{00000000-0005-0000-0000-0000F58E0000}"/>
    <cellStyle name="Comma 17 4 2 6 2" xfId="42146" xr:uid="{00000000-0005-0000-0000-0000F68E0000}"/>
    <cellStyle name="Comma 17 4 2 6 3" xfId="42147" xr:uid="{00000000-0005-0000-0000-0000F78E0000}"/>
    <cellStyle name="Comma 17 4 2 7" xfId="42148" xr:uid="{00000000-0005-0000-0000-0000F88E0000}"/>
    <cellStyle name="Comma 17 4 2 7 2" xfId="42149" xr:uid="{00000000-0005-0000-0000-0000F98E0000}"/>
    <cellStyle name="Comma 17 4 2 7 3" xfId="42150" xr:uid="{00000000-0005-0000-0000-0000FA8E0000}"/>
    <cellStyle name="Comma 17 4 2 8" xfId="42151" xr:uid="{00000000-0005-0000-0000-0000FB8E0000}"/>
    <cellStyle name="Comma 17 4 2 8 2" xfId="42152" xr:uid="{00000000-0005-0000-0000-0000FC8E0000}"/>
    <cellStyle name="Comma 17 4 2 9" xfId="42153" xr:uid="{00000000-0005-0000-0000-0000FD8E0000}"/>
    <cellStyle name="Comma 17 4 3" xfId="42154" xr:uid="{00000000-0005-0000-0000-0000FE8E0000}"/>
    <cellStyle name="Comma 17 4 3 2" xfId="42155" xr:uid="{00000000-0005-0000-0000-0000FF8E0000}"/>
    <cellStyle name="Comma 17 4 3 2 2" xfId="42156" xr:uid="{00000000-0005-0000-0000-0000008F0000}"/>
    <cellStyle name="Comma 17 4 3 2 2 2" xfId="42157" xr:uid="{00000000-0005-0000-0000-0000018F0000}"/>
    <cellStyle name="Comma 17 4 3 2 2 3" xfId="42158" xr:uid="{00000000-0005-0000-0000-0000028F0000}"/>
    <cellStyle name="Comma 17 4 3 2 3" xfId="42159" xr:uid="{00000000-0005-0000-0000-0000038F0000}"/>
    <cellStyle name="Comma 17 4 3 2 3 2" xfId="42160" xr:uid="{00000000-0005-0000-0000-0000048F0000}"/>
    <cellStyle name="Comma 17 4 3 2 3 3" xfId="42161" xr:uid="{00000000-0005-0000-0000-0000058F0000}"/>
    <cellStyle name="Comma 17 4 3 2 4" xfId="42162" xr:uid="{00000000-0005-0000-0000-0000068F0000}"/>
    <cellStyle name="Comma 17 4 3 2 4 2" xfId="42163" xr:uid="{00000000-0005-0000-0000-0000078F0000}"/>
    <cellStyle name="Comma 17 4 3 2 5" xfId="42164" xr:uid="{00000000-0005-0000-0000-0000088F0000}"/>
    <cellStyle name="Comma 17 4 3 2 6" xfId="42165" xr:uid="{00000000-0005-0000-0000-0000098F0000}"/>
    <cellStyle name="Comma 17 4 3 3" xfId="42166" xr:uid="{00000000-0005-0000-0000-00000A8F0000}"/>
    <cellStyle name="Comma 17 4 3 3 2" xfId="42167" xr:uid="{00000000-0005-0000-0000-00000B8F0000}"/>
    <cellStyle name="Comma 17 4 3 3 2 2" xfId="42168" xr:uid="{00000000-0005-0000-0000-00000C8F0000}"/>
    <cellStyle name="Comma 17 4 3 3 2 3" xfId="42169" xr:uid="{00000000-0005-0000-0000-00000D8F0000}"/>
    <cellStyle name="Comma 17 4 3 3 3" xfId="42170" xr:uid="{00000000-0005-0000-0000-00000E8F0000}"/>
    <cellStyle name="Comma 17 4 3 3 3 2" xfId="42171" xr:uid="{00000000-0005-0000-0000-00000F8F0000}"/>
    <cellStyle name="Comma 17 4 3 3 3 3" xfId="42172" xr:uid="{00000000-0005-0000-0000-0000108F0000}"/>
    <cellStyle name="Comma 17 4 3 3 4" xfId="42173" xr:uid="{00000000-0005-0000-0000-0000118F0000}"/>
    <cellStyle name="Comma 17 4 3 3 4 2" xfId="42174" xr:uid="{00000000-0005-0000-0000-0000128F0000}"/>
    <cellStyle name="Comma 17 4 3 3 5" xfId="42175" xr:uid="{00000000-0005-0000-0000-0000138F0000}"/>
    <cellStyle name="Comma 17 4 3 3 6" xfId="42176" xr:uid="{00000000-0005-0000-0000-0000148F0000}"/>
    <cellStyle name="Comma 17 4 3 4" xfId="42177" xr:uid="{00000000-0005-0000-0000-0000158F0000}"/>
    <cellStyle name="Comma 17 4 3 4 2" xfId="42178" xr:uid="{00000000-0005-0000-0000-0000168F0000}"/>
    <cellStyle name="Comma 17 4 3 4 2 2" xfId="42179" xr:uid="{00000000-0005-0000-0000-0000178F0000}"/>
    <cellStyle name="Comma 17 4 3 4 2 3" xfId="42180" xr:uid="{00000000-0005-0000-0000-0000188F0000}"/>
    <cellStyle name="Comma 17 4 3 4 3" xfId="42181" xr:uid="{00000000-0005-0000-0000-0000198F0000}"/>
    <cellStyle name="Comma 17 4 3 4 3 2" xfId="42182" xr:uid="{00000000-0005-0000-0000-00001A8F0000}"/>
    <cellStyle name="Comma 17 4 3 4 4" xfId="42183" xr:uid="{00000000-0005-0000-0000-00001B8F0000}"/>
    <cellStyle name="Comma 17 4 3 4 5" xfId="42184" xr:uid="{00000000-0005-0000-0000-00001C8F0000}"/>
    <cellStyle name="Comma 17 4 3 5" xfId="42185" xr:uid="{00000000-0005-0000-0000-00001D8F0000}"/>
    <cellStyle name="Comma 17 4 3 5 2" xfId="42186" xr:uid="{00000000-0005-0000-0000-00001E8F0000}"/>
    <cellStyle name="Comma 17 4 3 5 3" xfId="42187" xr:uid="{00000000-0005-0000-0000-00001F8F0000}"/>
    <cellStyle name="Comma 17 4 3 6" xfId="42188" xr:uid="{00000000-0005-0000-0000-0000208F0000}"/>
    <cellStyle name="Comma 17 4 3 6 2" xfId="42189" xr:uid="{00000000-0005-0000-0000-0000218F0000}"/>
    <cellStyle name="Comma 17 4 3 6 3" xfId="42190" xr:uid="{00000000-0005-0000-0000-0000228F0000}"/>
    <cellStyle name="Comma 17 4 3 7" xfId="42191" xr:uid="{00000000-0005-0000-0000-0000238F0000}"/>
    <cellStyle name="Comma 17 4 3 7 2" xfId="42192" xr:uid="{00000000-0005-0000-0000-0000248F0000}"/>
    <cellStyle name="Comma 17 4 3 8" xfId="42193" xr:uid="{00000000-0005-0000-0000-0000258F0000}"/>
    <cellStyle name="Comma 17 4 3 9" xfId="42194" xr:uid="{00000000-0005-0000-0000-0000268F0000}"/>
    <cellStyle name="Comma 17 4 4" xfId="42195" xr:uid="{00000000-0005-0000-0000-0000278F0000}"/>
    <cellStyle name="Comma 17 4 4 2" xfId="42196" xr:uid="{00000000-0005-0000-0000-0000288F0000}"/>
    <cellStyle name="Comma 17 4 4 2 2" xfId="42197" xr:uid="{00000000-0005-0000-0000-0000298F0000}"/>
    <cellStyle name="Comma 17 4 4 2 2 2" xfId="42198" xr:uid="{00000000-0005-0000-0000-00002A8F0000}"/>
    <cellStyle name="Comma 17 4 4 2 2 3" xfId="42199" xr:uid="{00000000-0005-0000-0000-00002B8F0000}"/>
    <cellStyle name="Comma 17 4 4 2 3" xfId="42200" xr:uid="{00000000-0005-0000-0000-00002C8F0000}"/>
    <cellStyle name="Comma 17 4 4 2 3 2" xfId="42201" xr:uid="{00000000-0005-0000-0000-00002D8F0000}"/>
    <cellStyle name="Comma 17 4 4 2 3 3" xfId="42202" xr:uid="{00000000-0005-0000-0000-00002E8F0000}"/>
    <cellStyle name="Comma 17 4 4 2 4" xfId="42203" xr:uid="{00000000-0005-0000-0000-00002F8F0000}"/>
    <cellStyle name="Comma 17 4 4 2 4 2" xfId="42204" xr:uid="{00000000-0005-0000-0000-0000308F0000}"/>
    <cellStyle name="Comma 17 4 4 2 5" xfId="42205" xr:uid="{00000000-0005-0000-0000-0000318F0000}"/>
    <cellStyle name="Comma 17 4 4 2 6" xfId="42206" xr:uid="{00000000-0005-0000-0000-0000328F0000}"/>
    <cellStyle name="Comma 17 4 4 3" xfId="42207" xr:uid="{00000000-0005-0000-0000-0000338F0000}"/>
    <cellStyle name="Comma 17 4 4 3 2" xfId="42208" xr:uid="{00000000-0005-0000-0000-0000348F0000}"/>
    <cellStyle name="Comma 17 4 4 3 2 2" xfId="42209" xr:uid="{00000000-0005-0000-0000-0000358F0000}"/>
    <cellStyle name="Comma 17 4 4 3 2 3" xfId="42210" xr:uid="{00000000-0005-0000-0000-0000368F0000}"/>
    <cellStyle name="Comma 17 4 4 3 3" xfId="42211" xr:uid="{00000000-0005-0000-0000-0000378F0000}"/>
    <cellStyle name="Comma 17 4 4 3 3 2" xfId="42212" xr:uid="{00000000-0005-0000-0000-0000388F0000}"/>
    <cellStyle name="Comma 17 4 4 3 3 3" xfId="42213" xr:uid="{00000000-0005-0000-0000-0000398F0000}"/>
    <cellStyle name="Comma 17 4 4 3 4" xfId="42214" xr:uid="{00000000-0005-0000-0000-00003A8F0000}"/>
    <cellStyle name="Comma 17 4 4 3 4 2" xfId="42215" xr:uid="{00000000-0005-0000-0000-00003B8F0000}"/>
    <cellStyle name="Comma 17 4 4 3 5" xfId="42216" xr:uid="{00000000-0005-0000-0000-00003C8F0000}"/>
    <cellStyle name="Comma 17 4 4 3 6" xfId="42217" xr:uid="{00000000-0005-0000-0000-00003D8F0000}"/>
    <cellStyle name="Comma 17 4 4 4" xfId="42218" xr:uid="{00000000-0005-0000-0000-00003E8F0000}"/>
    <cellStyle name="Comma 17 4 4 4 2" xfId="42219" xr:uid="{00000000-0005-0000-0000-00003F8F0000}"/>
    <cellStyle name="Comma 17 4 4 4 2 2" xfId="42220" xr:uid="{00000000-0005-0000-0000-0000408F0000}"/>
    <cellStyle name="Comma 17 4 4 4 2 3" xfId="42221" xr:uid="{00000000-0005-0000-0000-0000418F0000}"/>
    <cellStyle name="Comma 17 4 4 4 3" xfId="42222" xr:uid="{00000000-0005-0000-0000-0000428F0000}"/>
    <cellStyle name="Comma 17 4 4 4 3 2" xfId="42223" xr:uid="{00000000-0005-0000-0000-0000438F0000}"/>
    <cellStyle name="Comma 17 4 4 4 4" xfId="42224" xr:uid="{00000000-0005-0000-0000-0000448F0000}"/>
    <cellStyle name="Comma 17 4 4 4 5" xfId="42225" xr:uid="{00000000-0005-0000-0000-0000458F0000}"/>
    <cellStyle name="Comma 17 4 4 5" xfId="42226" xr:uid="{00000000-0005-0000-0000-0000468F0000}"/>
    <cellStyle name="Comma 17 4 4 5 2" xfId="42227" xr:uid="{00000000-0005-0000-0000-0000478F0000}"/>
    <cellStyle name="Comma 17 4 4 5 3" xfId="42228" xr:uid="{00000000-0005-0000-0000-0000488F0000}"/>
    <cellStyle name="Comma 17 4 4 6" xfId="42229" xr:uid="{00000000-0005-0000-0000-0000498F0000}"/>
    <cellStyle name="Comma 17 4 4 6 2" xfId="42230" xr:uid="{00000000-0005-0000-0000-00004A8F0000}"/>
    <cellStyle name="Comma 17 4 4 6 3" xfId="42231" xr:uid="{00000000-0005-0000-0000-00004B8F0000}"/>
    <cellStyle name="Comma 17 4 4 7" xfId="42232" xr:uid="{00000000-0005-0000-0000-00004C8F0000}"/>
    <cellStyle name="Comma 17 4 4 7 2" xfId="42233" xr:uid="{00000000-0005-0000-0000-00004D8F0000}"/>
    <cellStyle name="Comma 17 4 4 8" xfId="42234" xr:uid="{00000000-0005-0000-0000-00004E8F0000}"/>
    <cellStyle name="Comma 17 4 4 9" xfId="42235" xr:uid="{00000000-0005-0000-0000-00004F8F0000}"/>
    <cellStyle name="Comma 17 4 5" xfId="42236" xr:uid="{00000000-0005-0000-0000-0000508F0000}"/>
    <cellStyle name="Comma 17 4 5 2" xfId="42237" xr:uid="{00000000-0005-0000-0000-0000518F0000}"/>
    <cellStyle name="Comma 17 4 5 2 2" xfId="42238" xr:uid="{00000000-0005-0000-0000-0000528F0000}"/>
    <cellStyle name="Comma 17 4 5 2 3" xfId="42239" xr:uid="{00000000-0005-0000-0000-0000538F0000}"/>
    <cellStyle name="Comma 17 4 5 3" xfId="42240" xr:uid="{00000000-0005-0000-0000-0000548F0000}"/>
    <cellStyle name="Comma 17 4 5 3 2" xfId="42241" xr:uid="{00000000-0005-0000-0000-0000558F0000}"/>
    <cellStyle name="Comma 17 4 5 3 3" xfId="42242" xr:uid="{00000000-0005-0000-0000-0000568F0000}"/>
    <cellStyle name="Comma 17 4 5 4" xfId="42243" xr:uid="{00000000-0005-0000-0000-0000578F0000}"/>
    <cellStyle name="Comma 17 4 5 4 2" xfId="42244" xr:uid="{00000000-0005-0000-0000-0000588F0000}"/>
    <cellStyle name="Comma 17 4 5 5" xfId="42245" xr:uid="{00000000-0005-0000-0000-0000598F0000}"/>
    <cellStyle name="Comma 17 4 5 6" xfId="42246" xr:uid="{00000000-0005-0000-0000-00005A8F0000}"/>
    <cellStyle name="Comma 17 4 6" xfId="42247" xr:uid="{00000000-0005-0000-0000-00005B8F0000}"/>
    <cellStyle name="Comma 17 4 6 2" xfId="42248" xr:uid="{00000000-0005-0000-0000-00005C8F0000}"/>
    <cellStyle name="Comma 17 4 6 2 2" xfId="42249" xr:uid="{00000000-0005-0000-0000-00005D8F0000}"/>
    <cellStyle name="Comma 17 4 6 2 3" xfId="42250" xr:uid="{00000000-0005-0000-0000-00005E8F0000}"/>
    <cellStyle name="Comma 17 4 6 3" xfId="42251" xr:uid="{00000000-0005-0000-0000-00005F8F0000}"/>
    <cellStyle name="Comma 17 4 6 3 2" xfId="42252" xr:uid="{00000000-0005-0000-0000-0000608F0000}"/>
    <cellStyle name="Comma 17 4 6 3 3" xfId="42253" xr:uid="{00000000-0005-0000-0000-0000618F0000}"/>
    <cellStyle name="Comma 17 4 6 4" xfId="42254" xr:uid="{00000000-0005-0000-0000-0000628F0000}"/>
    <cellStyle name="Comma 17 4 6 4 2" xfId="42255" xr:uid="{00000000-0005-0000-0000-0000638F0000}"/>
    <cellStyle name="Comma 17 4 6 5" xfId="42256" xr:uid="{00000000-0005-0000-0000-0000648F0000}"/>
    <cellStyle name="Comma 17 4 6 6" xfId="42257" xr:uid="{00000000-0005-0000-0000-0000658F0000}"/>
    <cellStyle name="Comma 17 4 7" xfId="42258" xr:uid="{00000000-0005-0000-0000-0000668F0000}"/>
    <cellStyle name="Comma 17 4 7 2" xfId="42259" xr:uid="{00000000-0005-0000-0000-0000678F0000}"/>
    <cellStyle name="Comma 17 4 7 2 2" xfId="42260" xr:uid="{00000000-0005-0000-0000-0000688F0000}"/>
    <cellStyle name="Comma 17 4 7 2 3" xfId="42261" xr:uid="{00000000-0005-0000-0000-0000698F0000}"/>
    <cellStyle name="Comma 17 4 7 3" xfId="42262" xr:uid="{00000000-0005-0000-0000-00006A8F0000}"/>
    <cellStyle name="Comma 17 4 7 3 2" xfId="42263" xr:uid="{00000000-0005-0000-0000-00006B8F0000}"/>
    <cellStyle name="Comma 17 4 7 4" xfId="42264" xr:uid="{00000000-0005-0000-0000-00006C8F0000}"/>
    <cellStyle name="Comma 17 4 7 5" xfId="42265" xr:uid="{00000000-0005-0000-0000-00006D8F0000}"/>
    <cellStyle name="Comma 17 4 8" xfId="42266" xr:uid="{00000000-0005-0000-0000-00006E8F0000}"/>
    <cellStyle name="Comma 17 4 8 2" xfId="42267" xr:uid="{00000000-0005-0000-0000-00006F8F0000}"/>
    <cellStyle name="Comma 17 4 8 3" xfId="42268" xr:uid="{00000000-0005-0000-0000-0000708F0000}"/>
    <cellStyle name="Comma 17 4 9" xfId="42269" xr:uid="{00000000-0005-0000-0000-0000718F0000}"/>
    <cellStyle name="Comma 17 4 9 2" xfId="42270" xr:uid="{00000000-0005-0000-0000-0000728F0000}"/>
    <cellStyle name="Comma 17 4 9 3" xfId="42271" xr:uid="{00000000-0005-0000-0000-0000738F0000}"/>
    <cellStyle name="Comma 17 5" xfId="42272" xr:uid="{00000000-0005-0000-0000-0000748F0000}"/>
    <cellStyle name="Comma 17 5 10" xfId="42273" xr:uid="{00000000-0005-0000-0000-0000758F0000}"/>
    <cellStyle name="Comma 17 5 2" xfId="42274" xr:uid="{00000000-0005-0000-0000-0000768F0000}"/>
    <cellStyle name="Comma 17 5 2 2" xfId="42275" xr:uid="{00000000-0005-0000-0000-0000778F0000}"/>
    <cellStyle name="Comma 17 5 2 2 2" xfId="42276" xr:uid="{00000000-0005-0000-0000-0000788F0000}"/>
    <cellStyle name="Comma 17 5 2 2 2 2" xfId="42277" xr:uid="{00000000-0005-0000-0000-0000798F0000}"/>
    <cellStyle name="Comma 17 5 2 2 2 3" xfId="42278" xr:uid="{00000000-0005-0000-0000-00007A8F0000}"/>
    <cellStyle name="Comma 17 5 2 2 3" xfId="42279" xr:uid="{00000000-0005-0000-0000-00007B8F0000}"/>
    <cellStyle name="Comma 17 5 2 2 3 2" xfId="42280" xr:uid="{00000000-0005-0000-0000-00007C8F0000}"/>
    <cellStyle name="Comma 17 5 2 2 3 3" xfId="42281" xr:uid="{00000000-0005-0000-0000-00007D8F0000}"/>
    <cellStyle name="Comma 17 5 2 2 4" xfId="42282" xr:uid="{00000000-0005-0000-0000-00007E8F0000}"/>
    <cellStyle name="Comma 17 5 2 2 4 2" xfId="42283" xr:uid="{00000000-0005-0000-0000-00007F8F0000}"/>
    <cellStyle name="Comma 17 5 2 2 5" xfId="42284" xr:uid="{00000000-0005-0000-0000-0000808F0000}"/>
    <cellStyle name="Comma 17 5 2 2 6" xfId="42285" xr:uid="{00000000-0005-0000-0000-0000818F0000}"/>
    <cellStyle name="Comma 17 5 2 3" xfId="42286" xr:uid="{00000000-0005-0000-0000-0000828F0000}"/>
    <cellStyle name="Comma 17 5 2 3 2" xfId="42287" xr:uid="{00000000-0005-0000-0000-0000838F0000}"/>
    <cellStyle name="Comma 17 5 2 3 2 2" xfId="42288" xr:uid="{00000000-0005-0000-0000-0000848F0000}"/>
    <cellStyle name="Comma 17 5 2 3 2 3" xfId="42289" xr:uid="{00000000-0005-0000-0000-0000858F0000}"/>
    <cellStyle name="Comma 17 5 2 3 3" xfId="42290" xr:uid="{00000000-0005-0000-0000-0000868F0000}"/>
    <cellStyle name="Comma 17 5 2 3 3 2" xfId="42291" xr:uid="{00000000-0005-0000-0000-0000878F0000}"/>
    <cellStyle name="Comma 17 5 2 3 3 3" xfId="42292" xr:uid="{00000000-0005-0000-0000-0000888F0000}"/>
    <cellStyle name="Comma 17 5 2 3 4" xfId="42293" xr:uid="{00000000-0005-0000-0000-0000898F0000}"/>
    <cellStyle name="Comma 17 5 2 3 4 2" xfId="42294" xr:uid="{00000000-0005-0000-0000-00008A8F0000}"/>
    <cellStyle name="Comma 17 5 2 3 5" xfId="42295" xr:uid="{00000000-0005-0000-0000-00008B8F0000}"/>
    <cellStyle name="Comma 17 5 2 3 6" xfId="42296" xr:uid="{00000000-0005-0000-0000-00008C8F0000}"/>
    <cellStyle name="Comma 17 5 2 4" xfId="42297" xr:uid="{00000000-0005-0000-0000-00008D8F0000}"/>
    <cellStyle name="Comma 17 5 2 4 2" xfId="42298" xr:uid="{00000000-0005-0000-0000-00008E8F0000}"/>
    <cellStyle name="Comma 17 5 2 4 2 2" xfId="42299" xr:uid="{00000000-0005-0000-0000-00008F8F0000}"/>
    <cellStyle name="Comma 17 5 2 4 2 3" xfId="42300" xr:uid="{00000000-0005-0000-0000-0000908F0000}"/>
    <cellStyle name="Comma 17 5 2 4 3" xfId="42301" xr:uid="{00000000-0005-0000-0000-0000918F0000}"/>
    <cellStyle name="Comma 17 5 2 4 3 2" xfId="42302" xr:uid="{00000000-0005-0000-0000-0000928F0000}"/>
    <cellStyle name="Comma 17 5 2 4 4" xfId="42303" xr:uid="{00000000-0005-0000-0000-0000938F0000}"/>
    <cellStyle name="Comma 17 5 2 4 5" xfId="42304" xr:uid="{00000000-0005-0000-0000-0000948F0000}"/>
    <cellStyle name="Comma 17 5 2 5" xfId="42305" xr:uid="{00000000-0005-0000-0000-0000958F0000}"/>
    <cellStyle name="Comma 17 5 2 5 2" xfId="42306" xr:uid="{00000000-0005-0000-0000-0000968F0000}"/>
    <cellStyle name="Comma 17 5 2 5 3" xfId="42307" xr:uid="{00000000-0005-0000-0000-0000978F0000}"/>
    <cellStyle name="Comma 17 5 2 6" xfId="42308" xr:uid="{00000000-0005-0000-0000-0000988F0000}"/>
    <cellStyle name="Comma 17 5 2 6 2" xfId="42309" xr:uid="{00000000-0005-0000-0000-0000998F0000}"/>
    <cellStyle name="Comma 17 5 2 6 3" xfId="42310" xr:uid="{00000000-0005-0000-0000-00009A8F0000}"/>
    <cellStyle name="Comma 17 5 2 7" xfId="42311" xr:uid="{00000000-0005-0000-0000-00009B8F0000}"/>
    <cellStyle name="Comma 17 5 2 7 2" xfId="42312" xr:uid="{00000000-0005-0000-0000-00009C8F0000}"/>
    <cellStyle name="Comma 17 5 2 8" xfId="42313" xr:uid="{00000000-0005-0000-0000-00009D8F0000}"/>
    <cellStyle name="Comma 17 5 2 9" xfId="42314" xr:uid="{00000000-0005-0000-0000-00009E8F0000}"/>
    <cellStyle name="Comma 17 5 3" xfId="42315" xr:uid="{00000000-0005-0000-0000-00009F8F0000}"/>
    <cellStyle name="Comma 17 5 3 2" xfId="42316" xr:uid="{00000000-0005-0000-0000-0000A08F0000}"/>
    <cellStyle name="Comma 17 5 3 2 2" xfId="42317" xr:uid="{00000000-0005-0000-0000-0000A18F0000}"/>
    <cellStyle name="Comma 17 5 3 2 3" xfId="42318" xr:uid="{00000000-0005-0000-0000-0000A28F0000}"/>
    <cellStyle name="Comma 17 5 3 3" xfId="42319" xr:uid="{00000000-0005-0000-0000-0000A38F0000}"/>
    <cellStyle name="Comma 17 5 3 3 2" xfId="42320" xr:uid="{00000000-0005-0000-0000-0000A48F0000}"/>
    <cellStyle name="Comma 17 5 3 3 3" xfId="42321" xr:uid="{00000000-0005-0000-0000-0000A58F0000}"/>
    <cellStyle name="Comma 17 5 3 4" xfId="42322" xr:uid="{00000000-0005-0000-0000-0000A68F0000}"/>
    <cellStyle name="Comma 17 5 3 4 2" xfId="42323" xr:uid="{00000000-0005-0000-0000-0000A78F0000}"/>
    <cellStyle name="Comma 17 5 3 5" xfId="42324" xr:uid="{00000000-0005-0000-0000-0000A88F0000}"/>
    <cellStyle name="Comma 17 5 3 6" xfId="42325" xr:uid="{00000000-0005-0000-0000-0000A98F0000}"/>
    <cellStyle name="Comma 17 5 4" xfId="42326" xr:uid="{00000000-0005-0000-0000-0000AA8F0000}"/>
    <cellStyle name="Comma 17 5 4 2" xfId="42327" xr:uid="{00000000-0005-0000-0000-0000AB8F0000}"/>
    <cellStyle name="Comma 17 5 4 2 2" xfId="42328" xr:uid="{00000000-0005-0000-0000-0000AC8F0000}"/>
    <cellStyle name="Comma 17 5 4 2 3" xfId="42329" xr:uid="{00000000-0005-0000-0000-0000AD8F0000}"/>
    <cellStyle name="Comma 17 5 4 3" xfId="42330" xr:uid="{00000000-0005-0000-0000-0000AE8F0000}"/>
    <cellStyle name="Comma 17 5 4 3 2" xfId="42331" xr:uid="{00000000-0005-0000-0000-0000AF8F0000}"/>
    <cellStyle name="Comma 17 5 4 3 3" xfId="42332" xr:uid="{00000000-0005-0000-0000-0000B08F0000}"/>
    <cellStyle name="Comma 17 5 4 4" xfId="42333" xr:uid="{00000000-0005-0000-0000-0000B18F0000}"/>
    <cellStyle name="Comma 17 5 4 4 2" xfId="42334" xr:uid="{00000000-0005-0000-0000-0000B28F0000}"/>
    <cellStyle name="Comma 17 5 4 5" xfId="42335" xr:uid="{00000000-0005-0000-0000-0000B38F0000}"/>
    <cellStyle name="Comma 17 5 4 6" xfId="42336" xr:uid="{00000000-0005-0000-0000-0000B48F0000}"/>
    <cellStyle name="Comma 17 5 5" xfId="42337" xr:uid="{00000000-0005-0000-0000-0000B58F0000}"/>
    <cellStyle name="Comma 17 5 5 2" xfId="42338" xr:uid="{00000000-0005-0000-0000-0000B68F0000}"/>
    <cellStyle name="Comma 17 5 5 2 2" xfId="42339" xr:uid="{00000000-0005-0000-0000-0000B78F0000}"/>
    <cellStyle name="Comma 17 5 5 2 3" xfId="42340" xr:uid="{00000000-0005-0000-0000-0000B88F0000}"/>
    <cellStyle name="Comma 17 5 5 3" xfId="42341" xr:uid="{00000000-0005-0000-0000-0000B98F0000}"/>
    <cellStyle name="Comma 17 5 5 3 2" xfId="42342" xr:uid="{00000000-0005-0000-0000-0000BA8F0000}"/>
    <cellStyle name="Comma 17 5 5 4" xfId="42343" xr:uid="{00000000-0005-0000-0000-0000BB8F0000}"/>
    <cellStyle name="Comma 17 5 5 5" xfId="42344" xr:uid="{00000000-0005-0000-0000-0000BC8F0000}"/>
    <cellStyle name="Comma 17 5 6" xfId="42345" xr:uid="{00000000-0005-0000-0000-0000BD8F0000}"/>
    <cellStyle name="Comma 17 5 6 2" xfId="42346" xr:uid="{00000000-0005-0000-0000-0000BE8F0000}"/>
    <cellStyle name="Comma 17 5 6 3" xfId="42347" xr:uid="{00000000-0005-0000-0000-0000BF8F0000}"/>
    <cellStyle name="Comma 17 5 7" xfId="42348" xr:uid="{00000000-0005-0000-0000-0000C08F0000}"/>
    <cellStyle name="Comma 17 5 7 2" xfId="42349" xr:uid="{00000000-0005-0000-0000-0000C18F0000}"/>
    <cellStyle name="Comma 17 5 7 3" xfId="42350" xr:uid="{00000000-0005-0000-0000-0000C28F0000}"/>
    <cellStyle name="Comma 17 5 8" xfId="42351" xr:uid="{00000000-0005-0000-0000-0000C38F0000}"/>
    <cellStyle name="Comma 17 5 8 2" xfId="42352" xr:uid="{00000000-0005-0000-0000-0000C48F0000}"/>
    <cellStyle name="Comma 17 5 9" xfId="42353" xr:uid="{00000000-0005-0000-0000-0000C58F0000}"/>
    <cellStyle name="Comma 17 6" xfId="42354" xr:uid="{00000000-0005-0000-0000-0000C68F0000}"/>
    <cellStyle name="Comma 17 6 2" xfId="42355" xr:uid="{00000000-0005-0000-0000-0000C78F0000}"/>
    <cellStyle name="Comma 17 6 2 2" xfId="42356" xr:uid="{00000000-0005-0000-0000-0000C88F0000}"/>
    <cellStyle name="Comma 17 6 2 2 2" xfId="42357" xr:uid="{00000000-0005-0000-0000-0000C98F0000}"/>
    <cellStyle name="Comma 17 6 2 2 3" xfId="42358" xr:uid="{00000000-0005-0000-0000-0000CA8F0000}"/>
    <cellStyle name="Comma 17 6 2 3" xfId="42359" xr:uid="{00000000-0005-0000-0000-0000CB8F0000}"/>
    <cellStyle name="Comma 17 6 2 3 2" xfId="42360" xr:uid="{00000000-0005-0000-0000-0000CC8F0000}"/>
    <cellStyle name="Comma 17 6 2 3 3" xfId="42361" xr:uid="{00000000-0005-0000-0000-0000CD8F0000}"/>
    <cellStyle name="Comma 17 6 2 4" xfId="42362" xr:uid="{00000000-0005-0000-0000-0000CE8F0000}"/>
    <cellStyle name="Comma 17 6 2 4 2" xfId="42363" xr:uid="{00000000-0005-0000-0000-0000CF8F0000}"/>
    <cellStyle name="Comma 17 6 2 5" xfId="42364" xr:uid="{00000000-0005-0000-0000-0000D08F0000}"/>
    <cellStyle name="Comma 17 6 2 6" xfId="42365" xr:uid="{00000000-0005-0000-0000-0000D18F0000}"/>
    <cellStyle name="Comma 17 6 3" xfId="42366" xr:uid="{00000000-0005-0000-0000-0000D28F0000}"/>
    <cellStyle name="Comma 17 6 3 2" xfId="42367" xr:uid="{00000000-0005-0000-0000-0000D38F0000}"/>
    <cellStyle name="Comma 17 6 3 2 2" xfId="42368" xr:uid="{00000000-0005-0000-0000-0000D48F0000}"/>
    <cellStyle name="Comma 17 6 3 2 3" xfId="42369" xr:uid="{00000000-0005-0000-0000-0000D58F0000}"/>
    <cellStyle name="Comma 17 6 3 3" xfId="42370" xr:uid="{00000000-0005-0000-0000-0000D68F0000}"/>
    <cellStyle name="Comma 17 6 3 3 2" xfId="42371" xr:uid="{00000000-0005-0000-0000-0000D78F0000}"/>
    <cellStyle name="Comma 17 6 3 3 3" xfId="42372" xr:uid="{00000000-0005-0000-0000-0000D88F0000}"/>
    <cellStyle name="Comma 17 6 3 4" xfId="42373" xr:uid="{00000000-0005-0000-0000-0000D98F0000}"/>
    <cellStyle name="Comma 17 6 3 4 2" xfId="42374" xr:uid="{00000000-0005-0000-0000-0000DA8F0000}"/>
    <cellStyle name="Comma 17 6 3 5" xfId="42375" xr:uid="{00000000-0005-0000-0000-0000DB8F0000}"/>
    <cellStyle name="Comma 17 6 3 6" xfId="42376" xr:uid="{00000000-0005-0000-0000-0000DC8F0000}"/>
    <cellStyle name="Comma 17 6 4" xfId="42377" xr:uid="{00000000-0005-0000-0000-0000DD8F0000}"/>
    <cellStyle name="Comma 17 6 4 2" xfId="42378" xr:uid="{00000000-0005-0000-0000-0000DE8F0000}"/>
    <cellStyle name="Comma 17 6 4 2 2" xfId="42379" xr:uid="{00000000-0005-0000-0000-0000DF8F0000}"/>
    <cellStyle name="Comma 17 6 4 2 3" xfId="42380" xr:uid="{00000000-0005-0000-0000-0000E08F0000}"/>
    <cellStyle name="Comma 17 6 4 3" xfId="42381" xr:uid="{00000000-0005-0000-0000-0000E18F0000}"/>
    <cellStyle name="Comma 17 6 4 3 2" xfId="42382" xr:uid="{00000000-0005-0000-0000-0000E28F0000}"/>
    <cellStyle name="Comma 17 6 4 4" xfId="42383" xr:uid="{00000000-0005-0000-0000-0000E38F0000}"/>
    <cellStyle name="Comma 17 6 4 5" xfId="42384" xr:uid="{00000000-0005-0000-0000-0000E48F0000}"/>
    <cellStyle name="Comma 17 6 5" xfId="42385" xr:uid="{00000000-0005-0000-0000-0000E58F0000}"/>
    <cellStyle name="Comma 17 6 5 2" xfId="42386" xr:uid="{00000000-0005-0000-0000-0000E68F0000}"/>
    <cellStyle name="Comma 17 6 5 3" xfId="42387" xr:uid="{00000000-0005-0000-0000-0000E78F0000}"/>
    <cellStyle name="Comma 17 6 6" xfId="42388" xr:uid="{00000000-0005-0000-0000-0000E88F0000}"/>
    <cellStyle name="Comma 17 6 6 2" xfId="42389" xr:uid="{00000000-0005-0000-0000-0000E98F0000}"/>
    <cellStyle name="Comma 17 6 6 3" xfId="42390" xr:uid="{00000000-0005-0000-0000-0000EA8F0000}"/>
    <cellStyle name="Comma 17 6 7" xfId="42391" xr:uid="{00000000-0005-0000-0000-0000EB8F0000}"/>
    <cellStyle name="Comma 17 6 7 2" xfId="42392" xr:uid="{00000000-0005-0000-0000-0000EC8F0000}"/>
    <cellStyle name="Comma 17 6 8" xfId="42393" xr:uid="{00000000-0005-0000-0000-0000ED8F0000}"/>
    <cellStyle name="Comma 17 6 9" xfId="42394" xr:uid="{00000000-0005-0000-0000-0000EE8F0000}"/>
    <cellStyle name="Comma 17 7" xfId="42395" xr:uid="{00000000-0005-0000-0000-0000EF8F0000}"/>
    <cellStyle name="Comma 17 7 2" xfId="42396" xr:uid="{00000000-0005-0000-0000-0000F08F0000}"/>
    <cellStyle name="Comma 17 7 2 2" xfId="42397" xr:uid="{00000000-0005-0000-0000-0000F18F0000}"/>
    <cellStyle name="Comma 17 7 2 2 2" xfId="42398" xr:uid="{00000000-0005-0000-0000-0000F28F0000}"/>
    <cellStyle name="Comma 17 7 2 2 3" xfId="42399" xr:uid="{00000000-0005-0000-0000-0000F38F0000}"/>
    <cellStyle name="Comma 17 7 2 3" xfId="42400" xr:uid="{00000000-0005-0000-0000-0000F48F0000}"/>
    <cellStyle name="Comma 17 7 2 3 2" xfId="42401" xr:uid="{00000000-0005-0000-0000-0000F58F0000}"/>
    <cellStyle name="Comma 17 7 2 3 3" xfId="42402" xr:uid="{00000000-0005-0000-0000-0000F68F0000}"/>
    <cellStyle name="Comma 17 7 2 4" xfId="42403" xr:uid="{00000000-0005-0000-0000-0000F78F0000}"/>
    <cellStyle name="Comma 17 7 2 4 2" xfId="42404" xr:uid="{00000000-0005-0000-0000-0000F88F0000}"/>
    <cellStyle name="Comma 17 7 2 5" xfId="42405" xr:uid="{00000000-0005-0000-0000-0000F98F0000}"/>
    <cellStyle name="Comma 17 7 2 6" xfId="42406" xr:uid="{00000000-0005-0000-0000-0000FA8F0000}"/>
    <cellStyle name="Comma 17 7 3" xfId="42407" xr:uid="{00000000-0005-0000-0000-0000FB8F0000}"/>
    <cellStyle name="Comma 17 7 3 2" xfId="42408" xr:uid="{00000000-0005-0000-0000-0000FC8F0000}"/>
    <cellStyle name="Comma 17 7 3 2 2" xfId="42409" xr:uid="{00000000-0005-0000-0000-0000FD8F0000}"/>
    <cellStyle name="Comma 17 7 3 2 3" xfId="42410" xr:uid="{00000000-0005-0000-0000-0000FE8F0000}"/>
    <cellStyle name="Comma 17 7 3 3" xfId="42411" xr:uid="{00000000-0005-0000-0000-0000FF8F0000}"/>
    <cellStyle name="Comma 17 7 3 3 2" xfId="42412" xr:uid="{00000000-0005-0000-0000-000000900000}"/>
    <cellStyle name="Comma 17 7 3 3 3" xfId="42413" xr:uid="{00000000-0005-0000-0000-000001900000}"/>
    <cellStyle name="Comma 17 7 3 4" xfId="42414" xr:uid="{00000000-0005-0000-0000-000002900000}"/>
    <cellStyle name="Comma 17 7 3 4 2" xfId="42415" xr:uid="{00000000-0005-0000-0000-000003900000}"/>
    <cellStyle name="Comma 17 7 3 5" xfId="42416" xr:uid="{00000000-0005-0000-0000-000004900000}"/>
    <cellStyle name="Comma 17 7 3 6" xfId="42417" xr:uid="{00000000-0005-0000-0000-000005900000}"/>
    <cellStyle name="Comma 17 7 4" xfId="42418" xr:uid="{00000000-0005-0000-0000-000006900000}"/>
    <cellStyle name="Comma 17 7 4 2" xfId="42419" xr:uid="{00000000-0005-0000-0000-000007900000}"/>
    <cellStyle name="Comma 17 7 4 2 2" xfId="42420" xr:uid="{00000000-0005-0000-0000-000008900000}"/>
    <cellStyle name="Comma 17 7 4 2 3" xfId="42421" xr:uid="{00000000-0005-0000-0000-000009900000}"/>
    <cellStyle name="Comma 17 7 4 3" xfId="42422" xr:uid="{00000000-0005-0000-0000-00000A900000}"/>
    <cellStyle name="Comma 17 7 4 3 2" xfId="42423" xr:uid="{00000000-0005-0000-0000-00000B900000}"/>
    <cellStyle name="Comma 17 7 4 4" xfId="42424" xr:uid="{00000000-0005-0000-0000-00000C900000}"/>
    <cellStyle name="Comma 17 7 4 5" xfId="42425" xr:uid="{00000000-0005-0000-0000-00000D900000}"/>
    <cellStyle name="Comma 17 7 5" xfId="42426" xr:uid="{00000000-0005-0000-0000-00000E900000}"/>
    <cellStyle name="Comma 17 7 5 2" xfId="42427" xr:uid="{00000000-0005-0000-0000-00000F900000}"/>
    <cellStyle name="Comma 17 7 5 3" xfId="42428" xr:uid="{00000000-0005-0000-0000-000010900000}"/>
    <cellStyle name="Comma 17 7 6" xfId="42429" xr:uid="{00000000-0005-0000-0000-000011900000}"/>
    <cellStyle name="Comma 17 7 6 2" xfId="42430" xr:uid="{00000000-0005-0000-0000-000012900000}"/>
    <cellStyle name="Comma 17 7 6 3" xfId="42431" xr:uid="{00000000-0005-0000-0000-000013900000}"/>
    <cellStyle name="Comma 17 7 7" xfId="42432" xr:uid="{00000000-0005-0000-0000-000014900000}"/>
    <cellStyle name="Comma 17 7 7 2" xfId="42433" xr:uid="{00000000-0005-0000-0000-000015900000}"/>
    <cellStyle name="Comma 17 7 8" xfId="42434" xr:uid="{00000000-0005-0000-0000-000016900000}"/>
    <cellStyle name="Comma 17 7 9" xfId="42435" xr:uid="{00000000-0005-0000-0000-000017900000}"/>
    <cellStyle name="Comma 17 8" xfId="42436" xr:uid="{00000000-0005-0000-0000-000018900000}"/>
    <cellStyle name="Comma 17 8 2" xfId="42437" xr:uid="{00000000-0005-0000-0000-000019900000}"/>
    <cellStyle name="Comma 17 8 2 2" xfId="42438" xr:uid="{00000000-0005-0000-0000-00001A900000}"/>
    <cellStyle name="Comma 17 8 2 3" xfId="42439" xr:uid="{00000000-0005-0000-0000-00001B900000}"/>
    <cellStyle name="Comma 17 8 3" xfId="42440" xr:uid="{00000000-0005-0000-0000-00001C900000}"/>
    <cellStyle name="Comma 17 8 3 2" xfId="42441" xr:uid="{00000000-0005-0000-0000-00001D900000}"/>
    <cellStyle name="Comma 17 8 3 3" xfId="42442" xr:uid="{00000000-0005-0000-0000-00001E900000}"/>
    <cellStyle name="Comma 17 8 4" xfId="42443" xr:uid="{00000000-0005-0000-0000-00001F900000}"/>
    <cellStyle name="Comma 17 8 4 2" xfId="42444" xr:uid="{00000000-0005-0000-0000-000020900000}"/>
    <cellStyle name="Comma 17 8 5" xfId="42445" xr:uid="{00000000-0005-0000-0000-000021900000}"/>
    <cellStyle name="Comma 17 8 6" xfId="42446" xr:uid="{00000000-0005-0000-0000-000022900000}"/>
    <cellStyle name="Comma 17 9" xfId="42447" xr:uid="{00000000-0005-0000-0000-000023900000}"/>
    <cellStyle name="Comma 17 9 2" xfId="42448" xr:uid="{00000000-0005-0000-0000-000024900000}"/>
    <cellStyle name="Comma 17 9 2 2" xfId="42449" xr:uid="{00000000-0005-0000-0000-000025900000}"/>
    <cellStyle name="Comma 17 9 2 3" xfId="42450" xr:uid="{00000000-0005-0000-0000-000026900000}"/>
    <cellStyle name="Comma 17 9 3" xfId="42451" xr:uid="{00000000-0005-0000-0000-000027900000}"/>
    <cellStyle name="Comma 17 9 3 2" xfId="42452" xr:uid="{00000000-0005-0000-0000-000028900000}"/>
    <cellStyle name="Comma 17 9 3 3" xfId="42453" xr:uid="{00000000-0005-0000-0000-000029900000}"/>
    <cellStyle name="Comma 17 9 4" xfId="42454" xr:uid="{00000000-0005-0000-0000-00002A900000}"/>
    <cellStyle name="Comma 17 9 4 2" xfId="42455" xr:uid="{00000000-0005-0000-0000-00002B900000}"/>
    <cellStyle name="Comma 17 9 5" xfId="42456" xr:uid="{00000000-0005-0000-0000-00002C900000}"/>
    <cellStyle name="Comma 17 9 6" xfId="42457" xr:uid="{00000000-0005-0000-0000-00002D900000}"/>
    <cellStyle name="Comma 18" xfId="3247" xr:uid="{00000000-0005-0000-0000-00002E900000}"/>
    <cellStyle name="Comma 18 10" xfId="42458" xr:uid="{00000000-0005-0000-0000-00002F900000}"/>
    <cellStyle name="Comma 18 10 2" xfId="42459" xr:uid="{00000000-0005-0000-0000-000030900000}"/>
    <cellStyle name="Comma 18 10 2 2" xfId="42460" xr:uid="{00000000-0005-0000-0000-000031900000}"/>
    <cellStyle name="Comma 18 10 2 3" xfId="42461" xr:uid="{00000000-0005-0000-0000-000032900000}"/>
    <cellStyle name="Comma 18 10 3" xfId="42462" xr:uid="{00000000-0005-0000-0000-000033900000}"/>
    <cellStyle name="Comma 18 10 3 2" xfId="42463" xr:uid="{00000000-0005-0000-0000-000034900000}"/>
    <cellStyle name="Comma 18 10 4" xfId="42464" xr:uid="{00000000-0005-0000-0000-000035900000}"/>
    <cellStyle name="Comma 18 10 5" xfId="42465" xr:uid="{00000000-0005-0000-0000-000036900000}"/>
    <cellStyle name="Comma 18 11" xfId="42466" xr:uid="{00000000-0005-0000-0000-000037900000}"/>
    <cellStyle name="Comma 18 11 2" xfId="42467" xr:uid="{00000000-0005-0000-0000-000038900000}"/>
    <cellStyle name="Comma 18 11 3" xfId="42468" xr:uid="{00000000-0005-0000-0000-000039900000}"/>
    <cellStyle name="Comma 18 12" xfId="42469" xr:uid="{00000000-0005-0000-0000-00003A900000}"/>
    <cellStyle name="Comma 18 12 2" xfId="42470" xr:uid="{00000000-0005-0000-0000-00003B900000}"/>
    <cellStyle name="Comma 18 12 3" xfId="42471" xr:uid="{00000000-0005-0000-0000-00003C900000}"/>
    <cellStyle name="Comma 18 13" xfId="42472" xr:uid="{00000000-0005-0000-0000-00003D900000}"/>
    <cellStyle name="Comma 18 13 2" xfId="42473" xr:uid="{00000000-0005-0000-0000-00003E900000}"/>
    <cellStyle name="Comma 18 14" xfId="42474" xr:uid="{00000000-0005-0000-0000-00003F900000}"/>
    <cellStyle name="Comma 18 15" xfId="42475" xr:uid="{00000000-0005-0000-0000-000040900000}"/>
    <cellStyle name="Comma 18 16" xfId="42476" xr:uid="{00000000-0005-0000-0000-000041900000}"/>
    <cellStyle name="Comma 18 2" xfId="3248" xr:uid="{00000000-0005-0000-0000-000042900000}"/>
    <cellStyle name="Comma 18 2 10" xfId="42477" xr:uid="{00000000-0005-0000-0000-000043900000}"/>
    <cellStyle name="Comma 18 2 10 2" xfId="42478" xr:uid="{00000000-0005-0000-0000-000044900000}"/>
    <cellStyle name="Comma 18 2 10 3" xfId="42479" xr:uid="{00000000-0005-0000-0000-000045900000}"/>
    <cellStyle name="Comma 18 2 11" xfId="42480" xr:uid="{00000000-0005-0000-0000-000046900000}"/>
    <cellStyle name="Comma 18 2 11 2" xfId="42481" xr:uid="{00000000-0005-0000-0000-000047900000}"/>
    <cellStyle name="Comma 18 2 11 3" xfId="42482" xr:uid="{00000000-0005-0000-0000-000048900000}"/>
    <cellStyle name="Comma 18 2 12" xfId="42483" xr:uid="{00000000-0005-0000-0000-000049900000}"/>
    <cellStyle name="Comma 18 2 12 2" xfId="42484" xr:uid="{00000000-0005-0000-0000-00004A900000}"/>
    <cellStyle name="Comma 18 2 13" xfId="42485" xr:uid="{00000000-0005-0000-0000-00004B900000}"/>
    <cellStyle name="Comma 18 2 14" xfId="42486" xr:uid="{00000000-0005-0000-0000-00004C900000}"/>
    <cellStyle name="Comma 18 2 2" xfId="42487" xr:uid="{00000000-0005-0000-0000-00004D900000}"/>
    <cellStyle name="Comma 18 2 2 10" xfId="42488" xr:uid="{00000000-0005-0000-0000-00004E900000}"/>
    <cellStyle name="Comma 18 2 2 10 2" xfId="42489" xr:uid="{00000000-0005-0000-0000-00004F900000}"/>
    <cellStyle name="Comma 18 2 2 10 3" xfId="42490" xr:uid="{00000000-0005-0000-0000-000050900000}"/>
    <cellStyle name="Comma 18 2 2 11" xfId="42491" xr:uid="{00000000-0005-0000-0000-000051900000}"/>
    <cellStyle name="Comma 18 2 2 11 2" xfId="42492" xr:uid="{00000000-0005-0000-0000-000052900000}"/>
    <cellStyle name="Comma 18 2 2 12" xfId="42493" xr:uid="{00000000-0005-0000-0000-000053900000}"/>
    <cellStyle name="Comma 18 2 2 13" xfId="42494" xr:uid="{00000000-0005-0000-0000-000054900000}"/>
    <cellStyle name="Comma 18 2 2 2" xfId="42495" xr:uid="{00000000-0005-0000-0000-000055900000}"/>
    <cellStyle name="Comma 18 2 2 2 10" xfId="42496" xr:uid="{00000000-0005-0000-0000-000056900000}"/>
    <cellStyle name="Comma 18 2 2 2 10 2" xfId="42497" xr:uid="{00000000-0005-0000-0000-000057900000}"/>
    <cellStyle name="Comma 18 2 2 2 11" xfId="42498" xr:uid="{00000000-0005-0000-0000-000058900000}"/>
    <cellStyle name="Comma 18 2 2 2 12" xfId="42499" xr:uid="{00000000-0005-0000-0000-000059900000}"/>
    <cellStyle name="Comma 18 2 2 2 2" xfId="42500" xr:uid="{00000000-0005-0000-0000-00005A900000}"/>
    <cellStyle name="Comma 18 2 2 2 2 10" xfId="42501" xr:uid="{00000000-0005-0000-0000-00005B900000}"/>
    <cellStyle name="Comma 18 2 2 2 2 2" xfId="42502" xr:uid="{00000000-0005-0000-0000-00005C900000}"/>
    <cellStyle name="Comma 18 2 2 2 2 2 2" xfId="42503" xr:uid="{00000000-0005-0000-0000-00005D900000}"/>
    <cellStyle name="Comma 18 2 2 2 2 2 2 2" xfId="42504" xr:uid="{00000000-0005-0000-0000-00005E900000}"/>
    <cellStyle name="Comma 18 2 2 2 2 2 2 2 2" xfId="42505" xr:uid="{00000000-0005-0000-0000-00005F900000}"/>
    <cellStyle name="Comma 18 2 2 2 2 2 2 2 3" xfId="42506" xr:uid="{00000000-0005-0000-0000-000060900000}"/>
    <cellStyle name="Comma 18 2 2 2 2 2 2 3" xfId="42507" xr:uid="{00000000-0005-0000-0000-000061900000}"/>
    <cellStyle name="Comma 18 2 2 2 2 2 2 3 2" xfId="42508" xr:uid="{00000000-0005-0000-0000-000062900000}"/>
    <cellStyle name="Comma 18 2 2 2 2 2 2 3 3" xfId="42509" xr:uid="{00000000-0005-0000-0000-000063900000}"/>
    <cellStyle name="Comma 18 2 2 2 2 2 2 4" xfId="42510" xr:uid="{00000000-0005-0000-0000-000064900000}"/>
    <cellStyle name="Comma 18 2 2 2 2 2 2 4 2" xfId="42511" xr:uid="{00000000-0005-0000-0000-000065900000}"/>
    <cellStyle name="Comma 18 2 2 2 2 2 2 5" xfId="42512" xr:uid="{00000000-0005-0000-0000-000066900000}"/>
    <cellStyle name="Comma 18 2 2 2 2 2 2 6" xfId="42513" xr:uid="{00000000-0005-0000-0000-000067900000}"/>
    <cellStyle name="Comma 18 2 2 2 2 2 3" xfId="42514" xr:uid="{00000000-0005-0000-0000-000068900000}"/>
    <cellStyle name="Comma 18 2 2 2 2 2 3 2" xfId="42515" xr:uid="{00000000-0005-0000-0000-000069900000}"/>
    <cellStyle name="Comma 18 2 2 2 2 2 3 2 2" xfId="42516" xr:uid="{00000000-0005-0000-0000-00006A900000}"/>
    <cellStyle name="Comma 18 2 2 2 2 2 3 2 3" xfId="42517" xr:uid="{00000000-0005-0000-0000-00006B900000}"/>
    <cellStyle name="Comma 18 2 2 2 2 2 3 3" xfId="42518" xr:uid="{00000000-0005-0000-0000-00006C900000}"/>
    <cellStyle name="Comma 18 2 2 2 2 2 3 3 2" xfId="42519" xr:uid="{00000000-0005-0000-0000-00006D900000}"/>
    <cellStyle name="Comma 18 2 2 2 2 2 3 3 3" xfId="42520" xr:uid="{00000000-0005-0000-0000-00006E900000}"/>
    <cellStyle name="Comma 18 2 2 2 2 2 3 4" xfId="42521" xr:uid="{00000000-0005-0000-0000-00006F900000}"/>
    <cellStyle name="Comma 18 2 2 2 2 2 3 4 2" xfId="42522" xr:uid="{00000000-0005-0000-0000-000070900000}"/>
    <cellStyle name="Comma 18 2 2 2 2 2 3 5" xfId="42523" xr:uid="{00000000-0005-0000-0000-000071900000}"/>
    <cellStyle name="Comma 18 2 2 2 2 2 3 6" xfId="42524" xr:uid="{00000000-0005-0000-0000-000072900000}"/>
    <cellStyle name="Comma 18 2 2 2 2 2 4" xfId="42525" xr:uid="{00000000-0005-0000-0000-000073900000}"/>
    <cellStyle name="Comma 18 2 2 2 2 2 4 2" xfId="42526" xr:uid="{00000000-0005-0000-0000-000074900000}"/>
    <cellStyle name="Comma 18 2 2 2 2 2 4 2 2" xfId="42527" xr:uid="{00000000-0005-0000-0000-000075900000}"/>
    <cellStyle name="Comma 18 2 2 2 2 2 4 2 3" xfId="42528" xr:uid="{00000000-0005-0000-0000-000076900000}"/>
    <cellStyle name="Comma 18 2 2 2 2 2 4 3" xfId="42529" xr:uid="{00000000-0005-0000-0000-000077900000}"/>
    <cellStyle name="Comma 18 2 2 2 2 2 4 3 2" xfId="42530" xr:uid="{00000000-0005-0000-0000-000078900000}"/>
    <cellStyle name="Comma 18 2 2 2 2 2 4 4" xfId="42531" xr:uid="{00000000-0005-0000-0000-000079900000}"/>
    <cellStyle name="Comma 18 2 2 2 2 2 4 5" xfId="42532" xr:uid="{00000000-0005-0000-0000-00007A900000}"/>
    <cellStyle name="Comma 18 2 2 2 2 2 5" xfId="42533" xr:uid="{00000000-0005-0000-0000-00007B900000}"/>
    <cellStyle name="Comma 18 2 2 2 2 2 5 2" xfId="42534" xr:uid="{00000000-0005-0000-0000-00007C900000}"/>
    <cellStyle name="Comma 18 2 2 2 2 2 5 3" xfId="42535" xr:uid="{00000000-0005-0000-0000-00007D900000}"/>
    <cellStyle name="Comma 18 2 2 2 2 2 6" xfId="42536" xr:uid="{00000000-0005-0000-0000-00007E900000}"/>
    <cellStyle name="Comma 18 2 2 2 2 2 6 2" xfId="42537" xr:uid="{00000000-0005-0000-0000-00007F900000}"/>
    <cellStyle name="Comma 18 2 2 2 2 2 6 3" xfId="42538" xr:uid="{00000000-0005-0000-0000-000080900000}"/>
    <cellStyle name="Comma 18 2 2 2 2 2 7" xfId="42539" xr:uid="{00000000-0005-0000-0000-000081900000}"/>
    <cellStyle name="Comma 18 2 2 2 2 2 7 2" xfId="42540" xr:uid="{00000000-0005-0000-0000-000082900000}"/>
    <cellStyle name="Comma 18 2 2 2 2 2 8" xfId="42541" xr:uid="{00000000-0005-0000-0000-000083900000}"/>
    <cellStyle name="Comma 18 2 2 2 2 2 9" xfId="42542" xr:uid="{00000000-0005-0000-0000-000084900000}"/>
    <cellStyle name="Comma 18 2 2 2 2 3" xfId="42543" xr:uid="{00000000-0005-0000-0000-000085900000}"/>
    <cellStyle name="Comma 18 2 2 2 2 3 2" xfId="42544" xr:uid="{00000000-0005-0000-0000-000086900000}"/>
    <cellStyle name="Comma 18 2 2 2 2 3 2 2" xfId="42545" xr:uid="{00000000-0005-0000-0000-000087900000}"/>
    <cellStyle name="Comma 18 2 2 2 2 3 2 3" xfId="42546" xr:uid="{00000000-0005-0000-0000-000088900000}"/>
    <cellStyle name="Comma 18 2 2 2 2 3 3" xfId="42547" xr:uid="{00000000-0005-0000-0000-000089900000}"/>
    <cellStyle name="Comma 18 2 2 2 2 3 3 2" xfId="42548" xr:uid="{00000000-0005-0000-0000-00008A900000}"/>
    <cellStyle name="Comma 18 2 2 2 2 3 3 3" xfId="42549" xr:uid="{00000000-0005-0000-0000-00008B900000}"/>
    <cellStyle name="Comma 18 2 2 2 2 3 4" xfId="42550" xr:uid="{00000000-0005-0000-0000-00008C900000}"/>
    <cellStyle name="Comma 18 2 2 2 2 3 4 2" xfId="42551" xr:uid="{00000000-0005-0000-0000-00008D900000}"/>
    <cellStyle name="Comma 18 2 2 2 2 3 5" xfId="42552" xr:uid="{00000000-0005-0000-0000-00008E900000}"/>
    <cellStyle name="Comma 18 2 2 2 2 3 6" xfId="42553" xr:uid="{00000000-0005-0000-0000-00008F900000}"/>
    <cellStyle name="Comma 18 2 2 2 2 4" xfId="42554" xr:uid="{00000000-0005-0000-0000-000090900000}"/>
    <cellStyle name="Comma 18 2 2 2 2 4 2" xfId="42555" xr:uid="{00000000-0005-0000-0000-000091900000}"/>
    <cellStyle name="Comma 18 2 2 2 2 4 2 2" xfId="42556" xr:uid="{00000000-0005-0000-0000-000092900000}"/>
    <cellStyle name="Comma 18 2 2 2 2 4 2 3" xfId="42557" xr:uid="{00000000-0005-0000-0000-000093900000}"/>
    <cellStyle name="Comma 18 2 2 2 2 4 3" xfId="42558" xr:uid="{00000000-0005-0000-0000-000094900000}"/>
    <cellStyle name="Comma 18 2 2 2 2 4 3 2" xfId="42559" xr:uid="{00000000-0005-0000-0000-000095900000}"/>
    <cellStyle name="Comma 18 2 2 2 2 4 3 3" xfId="42560" xr:uid="{00000000-0005-0000-0000-000096900000}"/>
    <cellStyle name="Comma 18 2 2 2 2 4 4" xfId="42561" xr:uid="{00000000-0005-0000-0000-000097900000}"/>
    <cellStyle name="Comma 18 2 2 2 2 4 4 2" xfId="42562" xr:uid="{00000000-0005-0000-0000-000098900000}"/>
    <cellStyle name="Comma 18 2 2 2 2 4 5" xfId="42563" xr:uid="{00000000-0005-0000-0000-000099900000}"/>
    <cellStyle name="Comma 18 2 2 2 2 4 6" xfId="42564" xr:uid="{00000000-0005-0000-0000-00009A900000}"/>
    <cellStyle name="Comma 18 2 2 2 2 5" xfId="42565" xr:uid="{00000000-0005-0000-0000-00009B900000}"/>
    <cellStyle name="Comma 18 2 2 2 2 5 2" xfId="42566" xr:uid="{00000000-0005-0000-0000-00009C900000}"/>
    <cellStyle name="Comma 18 2 2 2 2 5 2 2" xfId="42567" xr:uid="{00000000-0005-0000-0000-00009D900000}"/>
    <cellStyle name="Comma 18 2 2 2 2 5 2 3" xfId="42568" xr:uid="{00000000-0005-0000-0000-00009E900000}"/>
    <cellStyle name="Comma 18 2 2 2 2 5 3" xfId="42569" xr:uid="{00000000-0005-0000-0000-00009F900000}"/>
    <cellStyle name="Comma 18 2 2 2 2 5 3 2" xfId="42570" xr:uid="{00000000-0005-0000-0000-0000A0900000}"/>
    <cellStyle name="Comma 18 2 2 2 2 5 4" xfId="42571" xr:uid="{00000000-0005-0000-0000-0000A1900000}"/>
    <cellStyle name="Comma 18 2 2 2 2 5 5" xfId="42572" xr:uid="{00000000-0005-0000-0000-0000A2900000}"/>
    <cellStyle name="Comma 18 2 2 2 2 6" xfId="42573" xr:uid="{00000000-0005-0000-0000-0000A3900000}"/>
    <cellStyle name="Comma 18 2 2 2 2 6 2" xfId="42574" xr:uid="{00000000-0005-0000-0000-0000A4900000}"/>
    <cellStyle name="Comma 18 2 2 2 2 6 3" xfId="42575" xr:uid="{00000000-0005-0000-0000-0000A5900000}"/>
    <cellStyle name="Comma 18 2 2 2 2 7" xfId="42576" xr:uid="{00000000-0005-0000-0000-0000A6900000}"/>
    <cellStyle name="Comma 18 2 2 2 2 7 2" xfId="42577" xr:uid="{00000000-0005-0000-0000-0000A7900000}"/>
    <cellStyle name="Comma 18 2 2 2 2 7 3" xfId="42578" xr:uid="{00000000-0005-0000-0000-0000A8900000}"/>
    <cellStyle name="Comma 18 2 2 2 2 8" xfId="42579" xr:uid="{00000000-0005-0000-0000-0000A9900000}"/>
    <cellStyle name="Comma 18 2 2 2 2 8 2" xfId="42580" xr:uid="{00000000-0005-0000-0000-0000AA900000}"/>
    <cellStyle name="Comma 18 2 2 2 2 9" xfId="42581" xr:uid="{00000000-0005-0000-0000-0000AB900000}"/>
    <cellStyle name="Comma 18 2 2 2 3" xfId="42582" xr:uid="{00000000-0005-0000-0000-0000AC900000}"/>
    <cellStyle name="Comma 18 2 2 2 3 2" xfId="42583" xr:uid="{00000000-0005-0000-0000-0000AD900000}"/>
    <cellStyle name="Comma 18 2 2 2 3 2 2" xfId="42584" xr:uid="{00000000-0005-0000-0000-0000AE900000}"/>
    <cellStyle name="Comma 18 2 2 2 3 2 2 2" xfId="42585" xr:uid="{00000000-0005-0000-0000-0000AF900000}"/>
    <cellStyle name="Comma 18 2 2 2 3 2 2 3" xfId="42586" xr:uid="{00000000-0005-0000-0000-0000B0900000}"/>
    <cellStyle name="Comma 18 2 2 2 3 2 3" xfId="42587" xr:uid="{00000000-0005-0000-0000-0000B1900000}"/>
    <cellStyle name="Comma 18 2 2 2 3 2 3 2" xfId="42588" xr:uid="{00000000-0005-0000-0000-0000B2900000}"/>
    <cellStyle name="Comma 18 2 2 2 3 2 3 3" xfId="42589" xr:uid="{00000000-0005-0000-0000-0000B3900000}"/>
    <cellStyle name="Comma 18 2 2 2 3 2 4" xfId="42590" xr:uid="{00000000-0005-0000-0000-0000B4900000}"/>
    <cellStyle name="Comma 18 2 2 2 3 2 4 2" xfId="42591" xr:uid="{00000000-0005-0000-0000-0000B5900000}"/>
    <cellStyle name="Comma 18 2 2 2 3 2 5" xfId="42592" xr:uid="{00000000-0005-0000-0000-0000B6900000}"/>
    <cellStyle name="Comma 18 2 2 2 3 2 6" xfId="42593" xr:uid="{00000000-0005-0000-0000-0000B7900000}"/>
    <cellStyle name="Comma 18 2 2 2 3 3" xfId="42594" xr:uid="{00000000-0005-0000-0000-0000B8900000}"/>
    <cellStyle name="Comma 18 2 2 2 3 3 2" xfId="42595" xr:uid="{00000000-0005-0000-0000-0000B9900000}"/>
    <cellStyle name="Comma 18 2 2 2 3 3 2 2" xfId="42596" xr:uid="{00000000-0005-0000-0000-0000BA900000}"/>
    <cellStyle name="Comma 18 2 2 2 3 3 2 3" xfId="42597" xr:uid="{00000000-0005-0000-0000-0000BB900000}"/>
    <cellStyle name="Comma 18 2 2 2 3 3 3" xfId="42598" xr:uid="{00000000-0005-0000-0000-0000BC900000}"/>
    <cellStyle name="Comma 18 2 2 2 3 3 3 2" xfId="42599" xr:uid="{00000000-0005-0000-0000-0000BD900000}"/>
    <cellStyle name="Comma 18 2 2 2 3 3 3 3" xfId="42600" xr:uid="{00000000-0005-0000-0000-0000BE900000}"/>
    <cellStyle name="Comma 18 2 2 2 3 3 4" xfId="42601" xr:uid="{00000000-0005-0000-0000-0000BF900000}"/>
    <cellStyle name="Comma 18 2 2 2 3 3 4 2" xfId="42602" xr:uid="{00000000-0005-0000-0000-0000C0900000}"/>
    <cellStyle name="Comma 18 2 2 2 3 3 5" xfId="42603" xr:uid="{00000000-0005-0000-0000-0000C1900000}"/>
    <cellStyle name="Comma 18 2 2 2 3 3 6" xfId="42604" xr:uid="{00000000-0005-0000-0000-0000C2900000}"/>
    <cellStyle name="Comma 18 2 2 2 3 4" xfId="42605" xr:uid="{00000000-0005-0000-0000-0000C3900000}"/>
    <cellStyle name="Comma 18 2 2 2 3 4 2" xfId="42606" xr:uid="{00000000-0005-0000-0000-0000C4900000}"/>
    <cellStyle name="Comma 18 2 2 2 3 4 2 2" xfId="42607" xr:uid="{00000000-0005-0000-0000-0000C5900000}"/>
    <cellStyle name="Comma 18 2 2 2 3 4 2 3" xfId="42608" xr:uid="{00000000-0005-0000-0000-0000C6900000}"/>
    <cellStyle name="Comma 18 2 2 2 3 4 3" xfId="42609" xr:uid="{00000000-0005-0000-0000-0000C7900000}"/>
    <cellStyle name="Comma 18 2 2 2 3 4 3 2" xfId="42610" xr:uid="{00000000-0005-0000-0000-0000C8900000}"/>
    <cellStyle name="Comma 18 2 2 2 3 4 4" xfId="42611" xr:uid="{00000000-0005-0000-0000-0000C9900000}"/>
    <cellStyle name="Comma 18 2 2 2 3 4 5" xfId="42612" xr:uid="{00000000-0005-0000-0000-0000CA900000}"/>
    <cellStyle name="Comma 18 2 2 2 3 5" xfId="42613" xr:uid="{00000000-0005-0000-0000-0000CB900000}"/>
    <cellStyle name="Comma 18 2 2 2 3 5 2" xfId="42614" xr:uid="{00000000-0005-0000-0000-0000CC900000}"/>
    <cellStyle name="Comma 18 2 2 2 3 5 3" xfId="42615" xr:uid="{00000000-0005-0000-0000-0000CD900000}"/>
    <cellStyle name="Comma 18 2 2 2 3 6" xfId="42616" xr:uid="{00000000-0005-0000-0000-0000CE900000}"/>
    <cellStyle name="Comma 18 2 2 2 3 6 2" xfId="42617" xr:uid="{00000000-0005-0000-0000-0000CF900000}"/>
    <cellStyle name="Comma 18 2 2 2 3 6 3" xfId="42618" xr:uid="{00000000-0005-0000-0000-0000D0900000}"/>
    <cellStyle name="Comma 18 2 2 2 3 7" xfId="42619" xr:uid="{00000000-0005-0000-0000-0000D1900000}"/>
    <cellStyle name="Comma 18 2 2 2 3 7 2" xfId="42620" xr:uid="{00000000-0005-0000-0000-0000D2900000}"/>
    <cellStyle name="Comma 18 2 2 2 3 8" xfId="42621" xr:uid="{00000000-0005-0000-0000-0000D3900000}"/>
    <cellStyle name="Comma 18 2 2 2 3 9" xfId="42622" xr:uid="{00000000-0005-0000-0000-0000D4900000}"/>
    <cellStyle name="Comma 18 2 2 2 4" xfId="42623" xr:uid="{00000000-0005-0000-0000-0000D5900000}"/>
    <cellStyle name="Comma 18 2 2 2 4 2" xfId="42624" xr:uid="{00000000-0005-0000-0000-0000D6900000}"/>
    <cellStyle name="Comma 18 2 2 2 4 2 2" xfId="42625" xr:uid="{00000000-0005-0000-0000-0000D7900000}"/>
    <cellStyle name="Comma 18 2 2 2 4 2 2 2" xfId="42626" xr:uid="{00000000-0005-0000-0000-0000D8900000}"/>
    <cellStyle name="Comma 18 2 2 2 4 2 2 3" xfId="42627" xr:uid="{00000000-0005-0000-0000-0000D9900000}"/>
    <cellStyle name="Comma 18 2 2 2 4 2 3" xfId="42628" xr:uid="{00000000-0005-0000-0000-0000DA900000}"/>
    <cellStyle name="Comma 18 2 2 2 4 2 3 2" xfId="42629" xr:uid="{00000000-0005-0000-0000-0000DB900000}"/>
    <cellStyle name="Comma 18 2 2 2 4 2 3 3" xfId="42630" xr:uid="{00000000-0005-0000-0000-0000DC900000}"/>
    <cellStyle name="Comma 18 2 2 2 4 2 4" xfId="42631" xr:uid="{00000000-0005-0000-0000-0000DD900000}"/>
    <cellStyle name="Comma 18 2 2 2 4 2 4 2" xfId="42632" xr:uid="{00000000-0005-0000-0000-0000DE900000}"/>
    <cellStyle name="Comma 18 2 2 2 4 2 5" xfId="42633" xr:uid="{00000000-0005-0000-0000-0000DF900000}"/>
    <cellStyle name="Comma 18 2 2 2 4 2 6" xfId="42634" xr:uid="{00000000-0005-0000-0000-0000E0900000}"/>
    <cellStyle name="Comma 18 2 2 2 4 3" xfId="42635" xr:uid="{00000000-0005-0000-0000-0000E1900000}"/>
    <cellStyle name="Comma 18 2 2 2 4 3 2" xfId="42636" xr:uid="{00000000-0005-0000-0000-0000E2900000}"/>
    <cellStyle name="Comma 18 2 2 2 4 3 2 2" xfId="42637" xr:uid="{00000000-0005-0000-0000-0000E3900000}"/>
    <cellStyle name="Comma 18 2 2 2 4 3 2 3" xfId="42638" xr:uid="{00000000-0005-0000-0000-0000E4900000}"/>
    <cellStyle name="Comma 18 2 2 2 4 3 3" xfId="42639" xr:uid="{00000000-0005-0000-0000-0000E5900000}"/>
    <cellStyle name="Comma 18 2 2 2 4 3 3 2" xfId="42640" xr:uid="{00000000-0005-0000-0000-0000E6900000}"/>
    <cellStyle name="Comma 18 2 2 2 4 3 3 3" xfId="42641" xr:uid="{00000000-0005-0000-0000-0000E7900000}"/>
    <cellStyle name="Comma 18 2 2 2 4 3 4" xfId="42642" xr:uid="{00000000-0005-0000-0000-0000E8900000}"/>
    <cellStyle name="Comma 18 2 2 2 4 3 4 2" xfId="42643" xr:uid="{00000000-0005-0000-0000-0000E9900000}"/>
    <cellStyle name="Comma 18 2 2 2 4 3 5" xfId="42644" xr:uid="{00000000-0005-0000-0000-0000EA900000}"/>
    <cellStyle name="Comma 18 2 2 2 4 3 6" xfId="42645" xr:uid="{00000000-0005-0000-0000-0000EB900000}"/>
    <cellStyle name="Comma 18 2 2 2 4 4" xfId="42646" xr:uid="{00000000-0005-0000-0000-0000EC900000}"/>
    <cellStyle name="Comma 18 2 2 2 4 4 2" xfId="42647" xr:uid="{00000000-0005-0000-0000-0000ED900000}"/>
    <cellStyle name="Comma 18 2 2 2 4 4 2 2" xfId="42648" xr:uid="{00000000-0005-0000-0000-0000EE900000}"/>
    <cellStyle name="Comma 18 2 2 2 4 4 2 3" xfId="42649" xr:uid="{00000000-0005-0000-0000-0000EF900000}"/>
    <cellStyle name="Comma 18 2 2 2 4 4 3" xfId="42650" xr:uid="{00000000-0005-0000-0000-0000F0900000}"/>
    <cellStyle name="Comma 18 2 2 2 4 4 3 2" xfId="42651" xr:uid="{00000000-0005-0000-0000-0000F1900000}"/>
    <cellStyle name="Comma 18 2 2 2 4 4 4" xfId="42652" xr:uid="{00000000-0005-0000-0000-0000F2900000}"/>
    <cellStyle name="Comma 18 2 2 2 4 4 5" xfId="42653" xr:uid="{00000000-0005-0000-0000-0000F3900000}"/>
    <cellStyle name="Comma 18 2 2 2 4 5" xfId="42654" xr:uid="{00000000-0005-0000-0000-0000F4900000}"/>
    <cellStyle name="Comma 18 2 2 2 4 5 2" xfId="42655" xr:uid="{00000000-0005-0000-0000-0000F5900000}"/>
    <cellStyle name="Comma 18 2 2 2 4 5 3" xfId="42656" xr:uid="{00000000-0005-0000-0000-0000F6900000}"/>
    <cellStyle name="Comma 18 2 2 2 4 6" xfId="42657" xr:uid="{00000000-0005-0000-0000-0000F7900000}"/>
    <cellStyle name="Comma 18 2 2 2 4 6 2" xfId="42658" xr:uid="{00000000-0005-0000-0000-0000F8900000}"/>
    <cellStyle name="Comma 18 2 2 2 4 6 3" xfId="42659" xr:uid="{00000000-0005-0000-0000-0000F9900000}"/>
    <cellStyle name="Comma 18 2 2 2 4 7" xfId="42660" xr:uid="{00000000-0005-0000-0000-0000FA900000}"/>
    <cellStyle name="Comma 18 2 2 2 4 7 2" xfId="42661" xr:uid="{00000000-0005-0000-0000-0000FB900000}"/>
    <cellStyle name="Comma 18 2 2 2 4 8" xfId="42662" xr:uid="{00000000-0005-0000-0000-0000FC900000}"/>
    <cellStyle name="Comma 18 2 2 2 4 9" xfId="42663" xr:uid="{00000000-0005-0000-0000-0000FD900000}"/>
    <cellStyle name="Comma 18 2 2 2 5" xfId="42664" xr:uid="{00000000-0005-0000-0000-0000FE900000}"/>
    <cellStyle name="Comma 18 2 2 2 5 2" xfId="42665" xr:uid="{00000000-0005-0000-0000-0000FF900000}"/>
    <cellStyle name="Comma 18 2 2 2 5 2 2" xfId="42666" xr:uid="{00000000-0005-0000-0000-000000910000}"/>
    <cellStyle name="Comma 18 2 2 2 5 2 3" xfId="42667" xr:uid="{00000000-0005-0000-0000-000001910000}"/>
    <cellStyle name="Comma 18 2 2 2 5 3" xfId="42668" xr:uid="{00000000-0005-0000-0000-000002910000}"/>
    <cellStyle name="Comma 18 2 2 2 5 3 2" xfId="42669" xr:uid="{00000000-0005-0000-0000-000003910000}"/>
    <cellStyle name="Comma 18 2 2 2 5 3 3" xfId="42670" xr:uid="{00000000-0005-0000-0000-000004910000}"/>
    <cellStyle name="Comma 18 2 2 2 5 4" xfId="42671" xr:uid="{00000000-0005-0000-0000-000005910000}"/>
    <cellStyle name="Comma 18 2 2 2 5 4 2" xfId="42672" xr:uid="{00000000-0005-0000-0000-000006910000}"/>
    <cellStyle name="Comma 18 2 2 2 5 5" xfId="42673" xr:uid="{00000000-0005-0000-0000-000007910000}"/>
    <cellStyle name="Comma 18 2 2 2 5 6" xfId="42674" xr:uid="{00000000-0005-0000-0000-000008910000}"/>
    <cellStyle name="Comma 18 2 2 2 6" xfId="42675" xr:uid="{00000000-0005-0000-0000-000009910000}"/>
    <cellStyle name="Comma 18 2 2 2 6 2" xfId="42676" xr:uid="{00000000-0005-0000-0000-00000A910000}"/>
    <cellStyle name="Comma 18 2 2 2 6 2 2" xfId="42677" xr:uid="{00000000-0005-0000-0000-00000B910000}"/>
    <cellStyle name="Comma 18 2 2 2 6 2 3" xfId="42678" xr:uid="{00000000-0005-0000-0000-00000C910000}"/>
    <cellStyle name="Comma 18 2 2 2 6 3" xfId="42679" xr:uid="{00000000-0005-0000-0000-00000D910000}"/>
    <cellStyle name="Comma 18 2 2 2 6 3 2" xfId="42680" xr:uid="{00000000-0005-0000-0000-00000E910000}"/>
    <cellStyle name="Comma 18 2 2 2 6 3 3" xfId="42681" xr:uid="{00000000-0005-0000-0000-00000F910000}"/>
    <cellStyle name="Comma 18 2 2 2 6 4" xfId="42682" xr:uid="{00000000-0005-0000-0000-000010910000}"/>
    <cellStyle name="Comma 18 2 2 2 6 4 2" xfId="42683" xr:uid="{00000000-0005-0000-0000-000011910000}"/>
    <cellStyle name="Comma 18 2 2 2 6 5" xfId="42684" xr:uid="{00000000-0005-0000-0000-000012910000}"/>
    <cellStyle name="Comma 18 2 2 2 6 6" xfId="42685" xr:uid="{00000000-0005-0000-0000-000013910000}"/>
    <cellStyle name="Comma 18 2 2 2 7" xfId="42686" xr:uid="{00000000-0005-0000-0000-000014910000}"/>
    <cellStyle name="Comma 18 2 2 2 7 2" xfId="42687" xr:uid="{00000000-0005-0000-0000-000015910000}"/>
    <cellStyle name="Comma 18 2 2 2 7 2 2" xfId="42688" xr:uid="{00000000-0005-0000-0000-000016910000}"/>
    <cellStyle name="Comma 18 2 2 2 7 2 3" xfId="42689" xr:uid="{00000000-0005-0000-0000-000017910000}"/>
    <cellStyle name="Comma 18 2 2 2 7 3" xfId="42690" xr:uid="{00000000-0005-0000-0000-000018910000}"/>
    <cellStyle name="Comma 18 2 2 2 7 3 2" xfId="42691" xr:uid="{00000000-0005-0000-0000-000019910000}"/>
    <cellStyle name="Comma 18 2 2 2 7 4" xfId="42692" xr:uid="{00000000-0005-0000-0000-00001A910000}"/>
    <cellStyle name="Comma 18 2 2 2 7 5" xfId="42693" xr:uid="{00000000-0005-0000-0000-00001B910000}"/>
    <cellStyle name="Comma 18 2 2 2 8" xfId="42694" xr:uid="{00000000-0005-0000-0000-00001C910000}"/>
    <cellStyle name="Comma 18 2 2 2 8 2" xfId="42695" xr:uid="{00000000-0005-0000-0000-00001D910000}"/>
    <cellStyle name="Comma 18 2 2 2 8 3" xfId="42696" xr:uid="{00000000-0005-0000-0000-00001E910000}"/>
    <cellStyle name="Comma 18 2 2 2 9" xfId="42697" xr:uid="{00000000-0005-0000-0000-00001F910000}"/>
    <cellStyle name="Comma 18 2 2 2 9 2" xfId="42698" xr:uid="{00000000-0005-0000-0000-000020910000}"/>
    <cellStyle name="Comma 18 2 2 2 9 3" xfId="42699" xr:uid="{00000000-0005-0000-0000-000021910000}"/>
    <cellStyle name="Comma 18 2 2 3" xfId="42700" xr:uid="{00000000-0005-0000-0000-000022910000}"/>
    <cellStyle name="Comma 18 2 2 3 10" xfId="42701" xr:uid="{00000000-0005-0000-0000-000023910000}"/>
    <cellStyle name="Comma 18 2 2 3 2" xfId="42702" xr:uid="{00000000-0005-0000-0000-000024910000}"/>
    <cellStyle name="Comma 18 2 2 3 2 2" xfId="42703" xr:uid="{00000000-0005-0000-0000-000025910000}"/>
    <cellStyle name="Comma 18 2 2 3 2 2 2" xfId="42704" xr:uid="{00000000-0005-0000-0000-000026910000}"/>
    <cellStyle name="Comma 18 2 2 3 2 2 2 2" xfId="42705" xr:uid="{00000000-0005-0000-0000-000027910000}"/>
    <cellStyle name="Comma 18 2 2 3 2 2 2 3" xfId="42706" xr:uid="{00000000-0005-0000-0000-000028910000}"/>
    <cellStyle name="Comma 18 2 2 3 2 2 3" xfId="42707" xr:uid="{00000000-0005-0000-0000-000029910000}"/>
    <cellStyle name="Comma 18 2 2 3 2 2 3 2" xfId="42708" xr:uid="{00000000-0005-0000-0000-00002A910000}"/>
    <cellStyle name="Comma 18 2 2 3 2 2 3 3" xfId="42709" xr:uid="{00000000-0005-0000-0000-00002B910000}"/>
    <cellStyle name="Comma 18 2 2 3 2 2 4" xfId="42710" xr:uid="{00000000-0005-0000-0000-00002C910000}"/>
    <cellStyle name="Comma 18 2 2 3 2 2 4 2" xfId="42711" xr:uid="{00000000-0005-0000-0000-00002D910000}"/>
    <cellStyle name="Comma 18 2 2 3 2 2 5" xfId="42712" xr:uid="{00000000-0005-0000-0000-00002E910000}"/>
    <cellStyle name="Comma 18 2 2 3 2 2 6" xfId="42713" xr:uid="{00000000-0005-0000-0000-00002F910000}"/>
    <cellStyle name="Comma 18 2 2 3 2 3" xfId="42714" xr:uid="{00000000-0005-0000-0000-000030910000}"/>
    <cellStyle name="Comma 18 2 2 3 2 3 2" xfId="42715" xr:uid="{00000000-0005-0000-0000-000031910000}"/>
    <cellStyle name="Comma 18 2 2 3 2 3 2 2" xfId="42716" xr:uid="{00000000-0005-0000-0000-000032910000}"/>
    <cellStyle name="Comma 18 2 2 3 2 3 2 3" xfId="42717" xr:uid="{00000000-0005-0000-0000-000033910000}"/>
    <cellStyle name="Comma 18 2 2 3 2 3 3" xfId="42718" xr:uid="{00000000-0005-0000-0000-000034910000}"/>
    <cellStyle name="Comma 18 2 2 3 2 3 3 2" xfId="42719" xr:uid="{00000000-0005-0000-0000-000035910000}"/>
    <cellStyle name="Comma 18 2 2 3 2 3 3 3" xfId="42720" xr:uid="{00000000-0005-0000-0000-000036910000}"/>
    <cellStyle name="Comma 18 2 2 3 2 3 4" xfId="42721" xr:uid="{00000000-0005-0000-0000-000037910000}"/>
    <cellStyle name="Comma 18 2 2 3 2 3 4 2" xfId="42722" xr:uid="{00000000-0005-0000-0000-000038910000}"/>
    <cellStyle name="Comma 18 2 2 3 2 3 5" xfId="42723" xr:uid="{00000000-0005-0000-0000-000039910000}"/>
    <cellStyle name="Comma 18 2 2 3 2 3 6" xfId="42724" xr:uid="{00000000-0005-0000-0000-00003A910000}"/>
    <cellStyle name="Comma 18 2 2 3 2 4" xfId="42725" xr:uid="{00000000-0005-0000-0000-00003B910000}"/>
    <cellStyle name="Comma 18 2 2 3 2 4 2" xfId="42726" xr:uid="{00000000-0005-0000-0000-00003C910000}"/>
    <cellStyle name="Comma 18 2 2 3 2 4 2 2" xfId="42727" xr:uid="{00000000-0005-0000-0000-00003D910000}"/>
    <cellStyle name="Comma 18 2 2 3 2 4 2 3" xfId="42728" xr:uid="{00000000-0005-0000-0000-00003E910000}"/>
    <cellStyle name="Comma 18 2 2 3 2 4 3" xfId="42729" xr:uid="{00000000-0005-0000-0000-00003F910000}"/>
    <cellStyle name="Comma 18 2 2 3 2 4 3 2" xfId="42730" xr:uid="{00000000-0005-0000-0000-000040910000}"/>
    <cellStyle name="Comma 18 2 2 3 2 4 4" xfId="42731" xr:uid="{00000000-0005-0000-0000-000041910000}"/>
    <cellStyle name="Comma 18 2 2 3 2 4 5" xfId="42732" xr:uid="{00000000-0005-0000-0000-000042910000}"/>
    <cellStyle name="Comma 18 2 2 3 2 5" xfId="42733" xr:uid="{00000000-0005-0000-0000-000043910000}"/>
    <cellStyle name="Comma 18 2 2 3 2 5 2" xfId="42734" xr:uid="{00000000-0005-0000-0000-000044910000}"/>
    <cellStyle name="Comma 18 2 2 3 2 5 3" xfId="42735" xr:uid="{00000000-0005-0000-0000-000045910000}"/>
    <cellStyle name="Comma 18 2 2 3 2 6" xfId="42736" xr:uid="{00000000-0005-0000-0000-000046910000}"/>
    <cellStyle name="Comma 18 2 2 3 2 6 2" xfId="42737" xr:uid="{00000000-0005-0000-0000-000047910000}"/>
    <cellStyle name="Comma 18 2 2 3 2 6 3" xfId="42738" xr:uid="{00000000-0005-0000-0000-000048910000}"/>
    <cellStyle name="Comma 18 2 2 3 2 7" xfId="42739" xr:uid="{00000000-0005-0000-0000-000049910000}"/>
    <cellStyle name="Comma 18 2 2 3 2 7 2" xfId="42740" xr:uid="{00000000-0005-0000-0000-00004A910000}"/>
    <cellStyle name="Comma 18 2 2 3 2 8" xfId="42741" xr:uid="{00000000-0005-0000-0000-00004B910000}"/>
    <cellStyle name="Comma 18 2 2 3 2 9" xfId="42742" xr:uid="{00000000-0005-0000-0000-00004C910000}"/>
    <cellStyle name="Comma 18 2 2 3 3" xfId="42743" xr:uid="{00000000-0005-0000-0000-00004D910000}"/>
    <cellStyle name="Comma 18 2 2 3 3 2" xfId="42744" xr:uid="{00000000-0005-0000-0000-00004E910000}"/>
    <cellStyle name="Comma 18 2 2 3 3 2 2" xfId="42745" xr:uid="{00000000-0005-0000-0000-00004F910000}"/>
    <cellStyle name="Comma 18 2 2 3 3 2 3" xfId="42746" xr:uid="{00000000-0005-0000-0000-000050910000}"/>
    <cellStyle name="Comma 18 2 2 3 3 3" xfId="42747" xr:uid="{00000000-0005-0000-0000-000051910000}"/>
    <cellStyle name="Comma 18 2 2 3 3 3 2" xfId="42748" xr:uid="{00000000-0005-0000-0000-000052910000}"/>
    <cellStyle name="Comma 18 2 2 3 3 3 3" xfId="42749" xr:uid="{00000000-0005-0000-0000-000053910000}"/>
    <cellStyle name="Comma 18 2 2 3 3 4" xfId="42750" xr:uid="{00000000-0005-0000-0000-000054910000}"/>
    <cellStyle name="Comma 18 2 2 3 3 4 2" xfId="42751" xr:uid="{00000000-0005-0000-0000-000055910000}"/>
    <cellStyle name="Comma 18 2 2 3 3 5" xfId="42752" xr:uid="{00000000-0005-0000-0000-000056910000}"/>
    <cellStyle name="Comma 18 2 2 3 3 6" xfId="42753" xr:uid="{00000000-0005-0000-0000-000057910000}"/>
    <cellStyle name="Comma 18 2 2 3 4" xfId="42754" xr:uid="{00000000-0005-0000-0000-000058910000}"/>
    <cellStyle name="Comma 18 2 2 3 4 2" xfId="42755" xr:uid="{00000000-0005-0000-0000-000059910000}"/>
    <cellStyle name="Comma 18 2 2 3 4 2 2" xfId="42756" xr:uid="{00000000-0005-0000-0000-00005A910000}"/>
    <cellStyle name="Comma 18 2 2 3 4 2 3" xfId="42757" xr:uid="{00000000-0005-0000-0000-00005B910000}"/>
    <cellStyle name="Comma 18 2 2 3 4 3" xfId="42758" xr:uid="{00000000-0005-0000-0000-00005C910000}"/>
    <cellStyle name="Comma 18 2 2 3 4 3 2" xfId="42759" xr:uid="{00000000-0005-0000-0000-00005D910000}"/>
    <cellStyle name="Comma 18 2 2 3 4 3 3" xfId="42760" xr:uid="{00000000-0005-0000-0000-00005E910000}"/>
    <cellStyle name="Comma 18 2 2 3 4 4" xfId="42761" xr:uid="{00000000-0005-0000-0000-00005F910000}"/>
    <cellStyle name="Comma 18 2 2 3 4 4 2" xfId="42762" xr:uid="{00000000-0005-0000-0000-000060910000}"/>
    <cellStyle name="Comma 18 2 2 3 4 5" xfId="42763" xr:uid="{00000000-0005-0000-0000-000061910000}"/>
    <cellStyle name="Comma 18 2 2 3 4 6" xfId="42764" xr:uid="{00000000-0005-0000-0000-000062910000}"/>
    <cellStyle name="Comma 18 2 2 3 5" xfId="42765" xr:uid="{00000000-0005-0000-0000-000063910000}"/>
    <cellStyle name="Comma 18 2 2 3 5 2" xfId="42766" xr:uid="{00000000-0005-0000-0000-000064910000}"/>
    <cellStyle name="Comma 18 2 2 3 5 2 2" xfId="42767" xr:uid="{00000000-0005-0000-0000-000065910000}"/>
    <cellStyle name="Comma 18 2 2 3 5 2 3" xfId="42768" xr:uid="{00000000-0005-0000-0000-000066910000}"/>
    <cellStyle name="Comma 18 2 2 3 5 3" xfId="42769" xr:uid="{00000000-0005-0000-0000-000067910000}"/>
    <cellStyle name="Comma 18 2 2 3 5 3 2" xfId="42770" xr:uid="{00000000-0005-0000-0000-000068910000}"/>
    <cellStyle name="Comma 18 2 2 3 5 4" xfId="42771" xr:uid="{00000000-0005-0000-0000-000069910000}"/>
    <cellStyle name="Comma 18 2 2 3 5 5" xfId="42772" xr:uid="{00000000-0005-0000-0000-00006A910000}"/>
    <cellStyle name="Comma 18 2 2 3 6" xfId="42773" xr:uid="{00000000-0005-0000-0000-00006B910000}"/>
    <cellStyle name="Comma 18 2 2 3 6 2" xfId="42774" xr:uid="{00000000-0005-0000-0000-00006C910000}"/>
    <cellStyle name="Comma 18 2 2 3 6 3" xfId="42775" xr:uid="{00000000-0005-0000-0000-00006D910000}"/>
    <cellStyle name="Comma 18 2 2 3 7" xfId="42776" xr:uid="{00000000-0005-0000-0000-00006E910000}"/>
    <cellStyle name="Comma 18 2 2 3 7 2" xfId="42777" xr:uid="{00000000-0005-0000-0000-00006F910000}"/>
    <cellStyle name="Comma 18 2 2 3 7 3" xfId="42778" xr:uid="{00000000-0005-0000-0000-000070910000}"/>
    <cellStyle name="Comma 18 2 2 3 8" xfId="42779" xr:uid="{00000000-0005-0000-0000-000071910000}"/>
    <cellStyle name="Comma 18 2 2 3 8 2" xfId="42780" xr:uid="{00000000-0005-0000-0000-000072910000}"/>
    <cellStyle name="Comma 18 2 2 3 9" xfId="42781" xr:uid="{00000000-0005-0000-0000-000073910000}"/>
    <cellStyle name="Comma 18 2 2 4" xfId="42782" xr:uid="{00000000-0005-0000-0000-000074910000}"/>
    <cellStyle name="Comma 18 2 2 4 2" xfId="42783" xr:uid="{00000000-0005-0000-0000-000075910000}"/>
    <cellStyle name="Comma 18 2 2 4 2 2" xfId="42784" xr:uid="{00000000-0005-0000-0000-000076910000}"/>
    <cellStyle name="Comma 18 2 2 4 2 2 2" xfId="42785" xr:uid="{00000000-0005-0000-0000-000077910000}"/>
    <cellStyle name="Comma 18 2 2 4 2 2 3" xfId="42786" xr:uid="{00000000-0005-0000-0000-000078910000}"/>
    <cellStyle name="Comma 18 2 2 4 2 3" xfId="42787" xr:uid="{00000000-0005-0000-0000-000079910000}"/>
    <cellStyle name="Comma 18 2 2 4 2 3 2" xfId="42788" xr:uid="{00000000-0005-0000-0000-00007A910000}"/>
    <cellStyle name="Comma 18 2 2 4 2 3 3" xfId="42789" xr:uid="{00000000-0005-0000-0000-00007B910000}"/>
    <cellStyle name="Comma 18 2 2 4 2 4" xfId="42790" xr:uid="{00000000-0005-0000-0000-00007C910000}"/>
    <cellStyle name="Comma 18 2 2 4 2 4 2" xfId="42791" xr:uid="{00000000-0005-0000-0000-00007D910000}"/>
    <cellStyle name="Comma 18 2 2 4 2 5" xfId="42792" xr:uid="{00000000-0005-0000-0000-00007E910000}"/>
    <cellStyle name="Comma 18 2 2 4 2 6" xfId="42793" xr:uid="{00000000-0005-0000-0000-00007F910000}"/>
    <cellStyle name="Comma 18 2 2 4 3" xfId="42794" xr:uid="{00000000-0005-0000-0000-000080910000}"/>
    <cellStyle name="Comma 18 2 2 4 3 2" xfId="42795" xr:uid="{00000000-0005-0000-0000-000081910000}"/>
    <cellStyle name="Comma 18 2 2 4 3 2 2" xfId="42796" xr:uid="{00000000-0005-0000-0000-000082910000}"/>
    <cellStyle name="Comma 18 2 2 4 3 2 3" xfId="42797" xr:uid="{00000000-0005-0000-0000-000083910000}"/>
    <cellStyle name="Comma 18 2 2 4 3 3" xfId="42798" xr:uid="{00000000-0005-0000-0000-000084910000}"/>
    <cellStyle name="Comma 18 2 2 4 3 3 2" xfId="42799" xr:uid="{00000000-0005-0000-0000-000085910000}"/>
    <cellStyle name="Comma 18 2 2 4 3 3 3" xfId="42800" xr:uid="{00000000-0005-0000-0000-000086910000}"/>
    <cellStyle name="Comma 18 2 2 4 3 4" xfId="42801" xr:uid="{00000000-0005-0000-0000-000087910000}"/>
    <cellStyle name="Comma 18 2 2 4 3 4 2" xfId="42802" xr:uid="{00000000-0005-0000-0000-000088910000}"/>
    <cellStyle name="Comma 18 2 2 4 3 5" xfId="42803" xr:uid="{00000000-0005-0000-0000-000089910000}"/>
    <cellStyle name="Comma 18 2 2 4 3 6" xfId="42804" xr:uid="{00000000-0005-0000-0000-00008A910000}"/>
    <cellStyle name="Comma 18 2 2 4 4" xfId="42805" xr:uid="{00000000-0005-0000-0000-00008B910000}"/>
    <cellStyle name="Comma 18 2 2 4 4 2" xfId="42806" xr:uid="{00000000-0005-0000-0000-00008C910000}"/>
    <cellStyle name="Comma 18 2 2 4 4 2 2" xfId="42807" xr:uid="{00000000-0005-0000-0000-00008D910000}"/>
    <cellStyle name="Comma 18 2 2 4 4 2 3" xfId="42808" xr:uid="{00000000-0005-0000-0000-00008E910000}"/>
    <cellStyle name="Comma 18 2 2 4 4 3" xfId="42809" xr:uid="{00000000-0005-0000-0000-00008F910000}"/>
    <cellStyle name="Comma 18 2 2 4 4 3 2" xfId="42810" xr:uid="{00000000-0005-0000-0000-000090910000}"/>
    <cellStyle name="Comma 18 2 2 4 4 4" xfId="42811" xr:uid="{00000000-0005-0000-0000-000091910000}"/>
    <cellStyle name="Comma 18 2 2 4 4 5" xfId="42812" xr:uid="{00000000-0005-0000-0000-000092910000}"/>
    <cellStyle name="Comma 18 2 2 4 5" xfId="42813" xr:uid="{00000000-0005-0000-0000-000093910000}"/>
    <cellStyle name="Comma 18 2 2 4 5 2" xfId="42814" xr:uid="{00000000-0005-0000-0000-000094910000}"/>
    <cellStyle name="Comma 18 2 2 4 5 3" xfId="42815" xr:uid="{00000000-0005-0000-0000-000095910000}"/>
    <cellStyle name="Comma 18 2 2 4 6" xfId="42816" xr:uid="{00000000-0005-0000-0000-000096910000}"/>
    <cellStyle name="Comma 18 2 2 4 6 2" xfId="42817" xr:uid="{00000000-0005-0000-0000-000097910000}"/>
    <cellStyle name="Comma 18 2 2 4 6 3" xfId="42818" xr:uid="{00000000-0005-0000-0000-000098910000}"/>
    <cellStyle name="Comma 18 2 2 4 7" xfId="42819" xr:uid="{00000000-0005-0000-0000-000099910000}"/>
    <cellStyle name="Comma 18 2 2 4 7 2" xfId="42820" xr:uid="{00000000-0005-0000-0000-00009A910000}"/>
    <cellStyle name="Comma 18 2 2 4 8" xfId="42821" xr:uid="{00000000-0005-0000-0000-00009B910000}"/>
    <cellStyle name="Comma 18 2 2 4 9" xfId="42822" xr:uid="{00000000-0005-0000-0000-00009C910000}"/>
    <cellStyle name="Comma 18 2 2 5" xfId="42823" xr:uid="{00000000-0005-0000-0000-00009D910000}"/>
    <cellStyle name="Comma 18 2 2 5 2" xfId="42824" xr:uid="{00000000-0005-0000-0000-00009E910000}"/>
    <cellStyle name="Comma 18 2 2 5 2 2" xfId="42825" xr:uid="{00000000-0005-0000-0000-00009F910000}"/>
    <cellStyle name="Comma 18 2 2 5 2 2 2" xfId="42826" xr:uid="{00000000-0005-0000-0000-0000A0910000}"/>
    <cellStyle name="Comma 18 2 2 5 2 2 3" xfId="42827" xr:uid="{00000000-0005-0000-0000-0000A1910000}"/>
    <cellStyle name="Comma 18 2 2 5 2 3" xfId="42828" xr:uid="{00000000-0005-0000-0000-0000A2910000}"/>
    <cellStyle name="Comma 18 2 2 5 2 3 2" xfId="42829" xr:uid="{00000000-0005-0000-0000-0000A3910000}"/>
    <cellStyle name="Comma 18 2 2 5 2 3 3" xfId="42830" xr:uid="{00000000-0005-0000-0000-0000A4910000}"/>
    <cellStyle name="Comma 18 2 2 5 2 4" xfId="42831" xr:uid="{00000000-0005-0000-0000-0000A5910000}"/>
    <cellStyle name="Comma 18 2 2 5 2 4 2" xfId="42832" xr:uid="{00000000-0005-0000-0000-0000A6910000}"/>
    <cellStyle name="Comma 18 2 2 5 2 5" xfId="42833" xr:uid="{00000000-0005-0000-0000-0000A7910000}"/>
    <cellStyle name="Comma 18 2 2 5 2 6" xfId="42834" xr:uid="{00000000-0005-0000-0000-0000A8910000}"/>
    <cellStyle name="Comma 18 2 2 5 3" xfId="42835" xr:uid="{00000000-0005-0000-0000-0000A9910000}"/>
    <cellStyle name="Comma 18 2 2 5 3 2" xfId="42836" xr:uid="{00000000-0005-0000-0000-0000AA910000}"/>
    <cellStyle name="Comma 18 2 2 5 3 2 2" xfId="42837" xr:uid="{00000000-0005-0000-0000-0000AB910000}"/>
    <cellStyle name="Comma 18 2 2 5 3 2 3" xfId="42838" xr:uid="{00000000-0005-0000-0000-0000AC910000}"/>
    <cellStyle name="Comma 18 2 2 5 3 3" xfId="42839" xr:uid="{00000000-0005-0000-0000-0000AD910000}"/>
    <cellStyle name="Comma 18 2 2 5 3 3 2" xfId="42840" xr:uid="{00000000-0005-0000-0000-0000AE910000}"/>
    <cellStyle name="Comma 18 2 2 5 3 3 3" xfId="42841" xr:uid="{00000000-0005-0000-0000-0000AF910000}"/>
    <cellStyle name="Comma 18 2 2 5 3 4" xfId="42842" xr:uid="{00000000-0005-0000-0000-0000B0910000}"/>
    <cellStyle name="Comma 18 2 2 5 3 4 2" xfId="42843" xr:uid="{00000000-0005-0000-0000-0000B1910000}"/>
    <cellStyle name="Comma 18 2 2 5 3 5" xfId="42844" xr:uid="{00000000-0005-0000-0000-0000B2910000}"/>
    <cellStyle name="Comma 18 2 2 5 3 6" xfId="42845" xr:uid="{00000000-0005-0000-0000-0000B3910000}"/>
    <cellStyle name="Comma 18 2 2 5 4" xfId="42846" xr:uid="{00000000-0005-0000-0000-0000B4910000}"/>
    <cellStyle name="Comma 18 2 2 5 4 2" xfId="42847" xr:uid="{00000000-0005-0000-0000-0000B5910000}"/>
    <cellStyle name="Comma 18 2 2 5 4 2 2" xfId="42848" xr:uid="{00000000-0005-0000-0000-0000B6910000}"/>
    <cellStyle name="Comma 18 2 2 5 4 2 3" xfId="42849" xr:uid="{00000000-0005-0000-0000-0000B7910000}"/>
    <cellStyle name="Comma 18 2 2 5 4 3" xfId="42850" xr:uid="{00000000-0005-0000-0000-0000B8910000}"/>
    <cellStyle name="Comma 18 2 2 5 4 3 2" xfId="42851" xr:uid="{00000000-0005-0000-0000-0000B9910000}"/>
    <cellStyle name="Comma 18 2 2 5 4 4" xfId="42852" xr:uid="{00000000-0005-0000-0000-0000BA910000}"/>
    <cellStyle name="Comma 18 2 2 5 4 5" xfId="42853" xr:uid="{00000000-0005-0000-0000-0000BB910000}"/>
    <cellStyle name="Comma 18 2 2 5 5" xfId="42854" xr:uid="{00000000-0005-0000-0000-0000BC910000}"/>
    <cellStyle name="Comma 18 2 2 5 5 2" xfId="42855" xr:uid="{00000000-0005-0000-0000-0000BD910000}"/>
    <cellStyle name="Comma 18 2 2 5 5 3" xfId="42856" xr:uid="{00000000-0005-0000-0000-0000BE910000}"/>
    <cellStyle name="Comma 18 2 2 5 6" xfId="42857" xr:uid="{00000000-0005-0000-0000-0000BF910000}"/>
    <cellStyle name="Comma 18 2 2 5 6 2" xfId="42858" xr:uid="{00000000-0005-0000-0000-0000C0910000}"/>
    <cellStyle name="Comma 18 2 2 5 6 3" xfId="42859" xr:uid="{00000000-0005-0000-0000-0000C1910000}"/>
    <cellStyle name="Comma 18 2 2 5 7" xfId="42860" xr:uid="{00000000-0005-0000-0000-0000C2910000}"/>
    <cellStyle name="Comma 18 2 2 5 7 2" xfId="42861" xr:uid="{00000000-0005-0000-0000-0000C3910000}"/>
    <cellStyle name="Comma 18 2 2 5 8" xfId="42862" xr:uid="{00000000-0005-0000-0000-0000C4910000}"/>
    <cellStyle name="Comma 18 2 2 5 9" xfId="42863" xr:uid="{00000000-0005-0000-0000-0000C5910000}"/>
    <cellStyle name="Comma 18 2 2 6" xfId="42864" xr:uid="{00000000-0005-0000-0000-0000C6910000}"/>
    <cellStyle name="Comma 18 2 2 6 2" xfId="42865" xr:uid="{00000000-0005-0000-0000-0000C7910000}"/>
    <cellStyle name="Comma 18 2 2 6 2 2" xfId="42866" xr:uid="{00000000-0005-0000-0000-0000C8910000}"/>
    <cellStyle name="Comma 18 2 2 6 2 3" xfId="42867" xr:uid="{00000000-0005-0000-0000-0000C9910000}"/>
    <cellStyle name="Comma 18 2 2 6 3" xfId="42868" xr:uid="{00000000-0005-0000-0000-0000CA910000}"/>
    <cellStyle name="Comma 18 2 2 6 3 2" xfId="42869" xr:uid="{00000000-0005-0000-0000-0000CB910000}"/>
    <cellStyle name="Comma 18 2 2 6 3 3" xfId="42870" xr:uid="{00000000-0005-0000-0000-0000CC910000}"/>
    <cellStyle name="Comma 18 2 2 6 4" xfId="42871" xr:uid="{00000000-0005-0000-0000-0000CD910000}"/>
    <cellStyle name="Comma 18 2 2 6 4 2" xfId="42872" xr:uid="{00000000-0005-0000-0000-0000CE910000}"/>
    <cellStyle name="Comma 18 2 2 6 5" xfId="42873" xr:uid="{00000000-0005-0000-0000-0000CF910000}"/>
    <cellStyle name="Comma 18 2 2 6 6" xfId="42874" xr:uid="{00000000-0005-0000-0000-0000D0910000}"/>
    <cellStyle name="Comma 18 2 2 7" xfId="42875" xr:uid="{00000000-0005-0000-0000-0000D1910000}"/>
    <cellStyle name="Comma 18 2 2 7 2" xfId="42876" xr:uid="{00000000-0005-0000-0000-0000D2910000}"/>
    <cellStyle name="Comma 18 2 2 7 2 2" xfId="42877" xr:uid="{00000000-0005-0000-0000-0000D3910000}"/>
    <cellStyle name="Comma 18 2 2 7 2 3" xfId="42878" xr:uid="{00000000-0005-0000-0000-0000D4910000}"/>
    <cellStyle name="Comma 18 2 2 7 3" xfId="42879" xr:uid="{00000000-0005-0000-0000-0000D5910000}"/>
    <cellStyle name="Comma 18 2 2 7 3 2" xfId="42880" xr:uid="{00000000-0005-0000-0000-0000D6910000}"/>
    <cellStyle name="Comma 18 2 2 7 3 3" xfId="42881" xr:uid="{00000000-0005-0000-0000-0000D7910000}"/>
    <cellStyle name="Comma 18 2 2 7 4" xfId="42882" xr:uid="{00000000-0005-0000-0000-0000D8910000}"/>
    <cellStyle name="Comma 18 2 2 7 4 2" xfId="42883" xr:uid="{00000000-0005-0000-0000-0000D9910000}"/>
    <cellStyle name="Comma 18 2 2 7 5" xfId="42884" xr:uid="{00000000-0005-0000-0000-0000DA910000}"/>
    <cellStyle name="Comma 18 2 2 7 6" xfId="42885" xr:uid="{00000000-0005-0000-0000-0000DB910000}"/>
    <cellStyle name="Comma 18 2 2 8" xfId="42886" xr:uid="{00000000-0005-0000-0000-0000DC910000}"/>
    <cellStyle name="Comma 18 2 2 8 2" xfId="42887" xr:uid="{00000000-0005-0000-0000-0000DD910000}"/>
    <cellStyle name="Comma 18 2 2 8 2 2" xfId="42888" xr:uid="{00000000-0005-0000-0000-0000DE910000}"/>
    <cellStyle name="Comma 18 2 2 8 2 3" xfId="42889" xr:uid="{00000000-0005-0000-0000-0000DF910000}"/>
    <cellStyle name="Comma 18 2 2 8 3" xfId="42890" xr:uid="{00000000-0005-0000-0000-0000E0910000}"/>
    <cellStyle name="Comma 18 2 2 8 3 2" xfId="42891" xr:uid="{00000000-0005-0000-0000-0000E1910000}"/>
    <cellStyle name="Comma 18 2 2 8 4" xfId="42892" xr:uid="{00000000-0005-0000-0000-0000E2910000}"/>
    <cellStyle name="Comma 18 2 2 8 5" xfId="42893" xr:uid="{00000000-0005-0000-0000-0000E3910000}"/>
    <cellStyle name="Comma 18 2 2 9" xfId="42894" xr:uid="{00000000-0005-0000-0000-0000E4910000}"/>
    <cellStyle name="Comma 18 2 2 9 2" xfId="42895" xr:uid="{00000000-0005-0000-0000-0000E5910000}"/>
    <cellStyle name="Comma 18 2 2 9 3" xfId="42896" xr:uid="{00000000-0005-0000-0000-0000E6910000}"/>
    <cellStyle name="Comma 18 2 3" xfId="42897" xr:uid="{00000000-0005-0000-0000-0000E7910000}"/>
    <cellStyle name="Comma 18 2 3 10" xfId="42898" xr:uid="{00000000-0005-0000-0000-0000E8910000}"/>
    <cellStyle name="Comma 18 2 3 10 2" xfId="42899" xr:uid="{00000000-0005-0000-0000-0000E9910000}"/>
    <cellStyle name="Comma 18 2 3 11" xfId="42900" xr:uid="{00000000-0005-0000-0000-0000EA910000}"/>
    <cellStyle name="Comma 18 2 3 12" xfId="42901" xr:uid="{00000000-0005-0000-0000-0000EB910000}"/>
    <cellStyle name="Comma 18 2 3 2" xfId="42902" xr:uid="{00000000-0005-0000-0000-0000EC910000}"/>
    <cellStyle name="Comma 18 2 3 2 10" xfId="42903" xr:uid="{00000000-0005-0000-0000-0000ED910000}"/>
    <cellStyle name="Comma 18 2 3 2 2" xfId="42904" xr:uid="{00000000-0005-0000-0000-0000EE910000}"/>
    <cellStyle name="Comma 18 2 3 2 2 2" xfId="42905" xr:uid="{00000000-0005-0000-0000-0000EF910000}"/>
    <cellStyle name="Comma 18 2 3 2 2 2 2" xfId="42906" xr:uid="{00000000-0005-0000-0000-0000F0910000}"/>
    <cellStyle name="Comma 18 2 3 2 2 2 2 2" xfId="42907" xr:uid="{00000000-0005-0000-0000-0000F1910000}"/>
    <cellStyle name="Comma 18 2 3 2 2 2 2 3" xfId="42908" xr:uid="{00000000-0005-0000-0000-0000F2910000}"/>
    <cellStyle name="Comma 18 2 3 2 2 2 3" xfId="42909" xr:uid="{00000000-0005-0000-0000-0000F3910000}"/>
    <cellStyle name="Comma 18 2 3 2 2 2 3 2" xfId="42910" xr:uid="{00000000-0005-0000-0000-0000F4910000}"/>
    <cellStyle name="Comma 18 2 3 2 2 2 3 3" xfId="42911" xr:uid="{00000000-0005-0000-0000-0000F5910000}"/>
    <cellStyle name="Comma 18 2 3 2 2 2 4" xfId="42912" xr:uid="{00000000-0005-0000-0000-0000F6910000}"/>
    <cellStyle name="Comma 18 2 3 2 2 2 4 2" xfId="42913" xr:uid="{00000000-0005-0000-0000-0000F7910000}"/>
    <cellStyle name="Comma 18 2 3 2 2 2 5" xfId="42914" xr:uid="{00000000-0005-0000-0000-0000F8910000}"/>
    <cellStyle name="Comma 18 2 3 2 2 2 6" xfId="42915" xr:uid="{00000000-0005-0000-0000-0000F9910000}"/>
    <cellStyle name="Comma 18 2 3 2 2 3" xfId="42916" xr:uid="{00000000-0005-0000-0000-0000FA910000}"/>
    <cellStyle name="Comma 18 2 3 2 2 3 2" xfId="42917" xr:uid="{00000000-0005-0000-0000-0000FB910000}"/>
    <cellStyle name="Comma 18 2 3 2 2 3 2 2" xfId="42918" xr:uid="{00000000-0005-0000-0000-0000FC910000}"/>
    <cellStyle name="Comma 18 2 3 2 2 3 2 3" xfId="42919" xr:uid="{00000000-0005-0000-0000-0000FD910000}"/>
    <cellStyle name="Comma 18 2 3 2 2 3 3" xfId="42920" xr:uid="{00000000-0005-0000-0000-0000FE910000}"/>
    <cellStyle name="Comma 18 2 3 2 2 3 3 2" xfId="42921" xr:uid="{00000000-0005-0000-0000-0000FF910000}"/>
    <cellStyle name="Comma 18 2 3 2 2 3 3 3" xfId="42922" xr:uid="{00000000-0005-0000-0000-000000920000}"/>
    <cellStyle name="Comma 18 2 3 2 2 3 4" xfId="42923" xr:uid="{00000000-0005-0000-0000-000001920000}"/>
    <cellStyle name="Comma 18 2 3 2 2 3 4 2" xfId="42924" xr:uid="{00000000-0005-0000-0000-000002920000}"/>
    <cellStyle name="Comma 18 2 3 2 2 3 5" xfId="42925" xr:uid="{00000000-0005-0000-0000-000003920000}"/>
    <cellStyle name="Comma 18 2 3 2 2 3 6" xfId="42926" xr:uid="{00000000-0005-0000-0000-000004920000}"/>
    <cellStyle name="Comma 18 2 3 2 2 4" xfId="42927" xr:uid="{00000000-0005-0000-0000-000005920000}"/>
    <cellStyle name="Comma 18 2 3 2 2 4 2" xfId="42928" xr:uid="{00000000-0005-0000-0000-000006920000}"/>
    <cellStyle name="Comma 18 2 3 2 2 4 2 2" xfId="42929" xr:uid="{00000000-0005-0000-0000-000007920000}"/>
    <cellStyle name="Comma 18 2 3 2 2 4 2 3" xfId="42930" xr:uid="{00000000-0005-0000-0000-000008920000}"/>
    <cellStyle name="Comma 18 2 3 2 2 4 3" xfId="42931" xr:uid="{00000000-0005-0000-0000-000009920000}"/>
    <cellStyle name="Comma 18 2 3 2 2 4 3 2" xfId="42932" xr:uid="{00000000-0005-0000-0000-00000A920000}"/>
    <cellStyle name="Comma 18 2 3 2 2 4 4" xfId="42933" xr:uid="{00000000-0005-0000-0000-00000B920000}"/>
    <cellStyle name="Comma 18 2 3 2 2 4 5" xfId="42934" xr:uid="{00000000-0005-0000-0000-00000C920000}"/>
    <cellStyle name="Comma 18 2 3 2 2 5" xfId="42935" xr:uid="{00000000-0005-0000-0000-00000D920000}"/>
    <cellStyle name="Comma 18 2 3 2 2 5 2" xfId="42936" xr:uid="{00000000-0005-0000-0000-00000E920000}"/>
    <cellStyle name="Comma 18 2 3 2 2 5 3" xfId="42937" xr:uid="{00000000-0005-0000-0000-00000F920000}"/>
    <cellStyle name="Comma 18 2 3 2 2 6" xfId="42938" xr:uid="{00000000-0005-0000-0000-000010920000}"/>
    <cellStyle name="Comma 18 2 3 2 2 6 2" xfId="42939" xr:uid="{00000000-0005-0000-0000-000011920000}"/>
    <cellStyle name="Comma 18 2 3 2 2 6 3" xfId="42940" xr:uid="{00000000-0005-0000-0000-000012920000}"/>
    <cellStyle name="Comma 18 2 3 2 2 7" xfId="42941" xr:uid="{00000000-0005-0000-0000-000013920000}"/>
    <cellStyle name="Comma 18 2 3 2 2 7 2" xfId="42942" xr:uid="{00000000-0005-0000-0000-000014920000}"/>
    <cellStyle name="Comma 18 2 3 2 2 8" xfId="42943" xr:uid="{00000000-0005-0000-0000-000015920000}"/>
    <cellStyle name="Comma 18 2 3 2 2 9" xfId="42944" xr:uid="{00000000-0005-0000-0000-000016920000}"/>
    <cellStyle name="Comma 18 2 3 2 3" xfId="42945" xr:uid="{00000000-0005-0000-0000-000017920000}"/>
    <cellStyle name="Comma 18 2 3 2 3 2" xfId="42946" xr:uid="{00000000-0005-0000-0000-000018920000}"/>
    <cellStyle name="Comma 18 2 3 2 3 2 2" xfId="42947" xr:uid="{00000000-0005-0000-0000-000019920000}"/>
    <cellStyle name="Comma 18 2 3 2 3 2 3" xfId="42948" xr:uid="{00000000-0005-0000-0000-00001A920000}"/>
    <cellStyle name="Comma 18 2 3 2 3 3" xfId="42949" xr:uid="{00000000-0005-0000-0000-00001B920000}"/>
    <cellStyle name="Comma 18 2 3 2 3 3 2" xfId="42950" xr:uid="{00000000-0005-0000-0000-00001C920000}"/>
    <cellStyle name="Comma 18 2 3 2 3 3 3" xfId="42951" xr:uid="{00000000-0005-0000-0000-00001D920000}"/>
    <cellStyle name="Comma 18 2 3 2 3 4" xfId="42952" xr:uid="{00000000-0005-0000-0000-00001E920000}"/>
    <cellStyle name="Comma 18 2 3 2 3 4 2" xfId="42953" xr:uid="{00000000-0005-0000-0000-00001F920000}"/>
    <cellStyle name="Comma 18 2 3 2 3 5" xfId="42954" xr:uid="{00000000-0005-0000-0000-000020920000}"/>
    <cellStyle name="Comma 18 2 3 2 3 6" xfId="42955" xr:uid="{00000000-0005-0000-0000-000021920000}"/>
    <cellStyle name="Comma 18 2 3 2 4" xfId="42956" xr:uid="{00000000-0005-0000-0000-000022920000}"/>
    <cellStyle name="Comma 18 2 3 2 4 2" xfId="42957" xr:uid="{00000000-0005-0000-0000-000023920000}"/>
    <cellStyle name="Comma 18 2 3 2 4 2 2" xfId="42958" xr:uid="{00000000-0005-0000-0000-000024920000}"/>
    <cellStyle name="Comma 18 2 3 2 4 2 3" xfId="42959" xr:uid="{00000000-0005-0000-0000-000025920000}"/>
    <cellStyle name="Comma 18 2 3 2 4 3" xfId="42960" xr:uid="{00000000-0005-0000-0000-000026920000}"/>
    <cellStyle name="Comma 18 2 3 2 4 3 2" xfId="42961" xr:uid="{00000000-0005-0000-0000-000027920000}"/>
    <cellStyle name="Comma 18 2 3 2 4 3 3" xfId="42962" xr:uid="{00000000-0005-0000-0000-000028920000}"/>
    <cellStyle name="Comma 18 2 3 2 4 4" xfId="42963" xr:uid="{00000000-0005-0000-0000-000029920000}"/>
    <cellStyle name="Comma 18 2 3 2 4 4 2" xfId="42964" xr:uid="{00000000-0005-0000-0000-00002A920000}"/>
    <cellStyle name="Comma 18 2 3 2 4 5" xfId="42965" xr:uid="{00000000-0005-0000-0000-00002B920000}"/>
    <cellStyle name="Comma 18 2 3 2 4 6" xfId="42966" xr:uid="{00000000-0005-0000-0000-00002C920000}"/>
    <cellStyle name="Comma 18 2 3 2 5" xfId="42967" xr:uid="{00000000-0005-0000-0000-00002D920000}"/>
    <cellStyle name="Comma 18 2 3 2 5 2" xfId="42968" xr:uid="{00000000-0005-0000-0000-00002E920000}"/>
    <cellStyle name="Comma 18 2 3 2 5 2 2" xfId="42969" xr:uid="{00000000-0005-0000-0000-00002F920000}"/>
    <cellStyle name="Comma 18 2 3 2 5 2 3" xfId="42970" xr:uid="{00000000-0005-0000-0000-000030920000}"/>
    <cellStyle name="Comma 18 2 3 2 5 3" xfId="42971" xr:uid="{00000000-0005-0000-0000-000031920000}"/>
    <cellStyle name="Comma 18 2 3 2 5 3 2" xfId="42972" xr:uid="{00000000-0005-0000-0000-000032920000}"/>
    <cellStyle name="Comma 18 2 3 2 5 4" xfId="42973" xr:uid="{00000000-0005-0000-0000-000033920000}"/>
    <cellStyle name="Comma 18 2 3 2 5 5" xfId="42974" xr:uid="{00000000-0005-0000-0000-000034920000}"/>
    <cellStyle name="Comma 18 2 3 2 6" xfId="42975" xr:uid="{00000000-0005-0000-0000-000035920000}"/>
    <cellStyle name="Comma 18 2 3 2 6 2" xfId="42976" xr:uid="{00000000-0005-0000-0000-000036920000}"/>
    <cellStyle name="Comma 18 2 3 2 6 3" xfId="42977" xr:uid="{00000000-0005-0000-0000-000037920000}"/>
    <cellStyle name="Comma 18 2 3 2 7" xfId="42978" xr:uid="{00000000-0005-0000-0000-000038920000}"/>
    <cellStyle name="Comma 18 2 3 2 7 2" xfId="42979" xr:uid="{00000000-0005-0000-0000-000039920000}"/>
    <cellStyle name="Comma 18 2 3 2 7 3" xfId="42980" xr:uid="{00000000-0005-0000-0000-00003A920000}"/>
    <cellStyle name="Comma 18 2 3 2 8" xfId="42981" xr:uid="{00000000-0005-0000-0000-00003B920000}"/>
    <cellStyle name="Comma 18 2 3 2 8 2" xfId="42982" xr:uid="{00000000-0005-0000-0000-00003C920000}"/>
    <cellStyle name="Comma 18 2 3 2 9" xfId="42983" xr:uid="{00000000-0005-0000-0000-00003D920000}"/>
    <cellStyle name="Comma 18 2 3 3" xfId="42984" xr:uid="{00000000-0005-0000-0000-00003E920000}"/>
    <cellStyle name="Comma 18 2 3 3 2" xfId="42985" xr:uid="{00000000-0005-0000-0000-00003F920000}"/>
    <cellStyle name="Comma 18 2 3 3 2 2" xfId="42986" xr:uid="{00000000-0005-0000-0000-000040920000}"/>
    <cellStyle name="Comma 18 2 3 3 2 2 2" xfId="42987" xr:uid="{00000000-0005-0000-0000-000041920000}"/>
    <cellStyle name="Comma 18 2 3 3 2 2 3" xfId="42988" xr:uid="{00000000-0005-0000-0000-000042920000}"/>
    <cellStyle name="Comma 18 2 3 3 2 3" xfId="42989" xr:uid="{00000000-0005-0000-0000-000043920000}"/>
    <cellStyle name="Comma 18 2 3 3 2 3 2" xfId="42990" xr:uid="{00000000-0005-0000-0000-000044920000}"/>
    <cellStyle name="Comma 18 2 3 3 2 3 3" xfId="42991" xr:uid="{00000000-0005-0000-0000-000045920000}"/>
    <cellStyle name="Comma 18 2 3 3 2 4" xfId="42992" xr:uid="{00000000-0005-0000-0000-000046920000}"/>
    <cellStyle name="Comma 18 2 3 3 2 4 2" xfId="42993" xr:uid="{00000000-0005-0000-0000-000047920000}"/>
    <cellStyle name="Comma 18 2 3 3 2 5" xfId="42994" xr:uid="{00000000-0005-0000-0000-000048920000}"/>
    <cellStyle name="Comma 18 2 3 3 2 6" xfId="42995" xr:uid="{00000000-0005-0000-0000-000049920000}"/>
    <cellStyle name="Comma 18 2 3 3 3" xfId="42996" xr:uid="{00000000-0005-0000-0000-00004A920000}"/>
    <cellStyle name="Comma 18 2 3 3 3 2" xfId="42997" xr:uid="{00000000-0005-0000-0000-00004B920000}"/>
    <cellStyle name="Comma 18 2 3 3 3 2 2" xfId="42998" xr:uid="{00000000-0005-0000-0000-00004C920000}"/>
    <cellStyle name="Comma 18 2 3 3 3 2 3" xfId="42999" xr:uid="{00000000-0005-0000-0000-00004D920000}"/>
    <cellStyle name="Comma 18 2 3 3 3 3" xfId="43000" xr:uid="{00000000-0005-0000-0000-00004E920000}"/>
    <cellStyle name="Comma 18 2 3 3 3 3 2" xfId="43001" xr:uid="{00000000-0005-0000-0000-00004F920000}"/>
    <cellStyle name="Comma 18 2 3 3 3 3 3" xfId="43002" xr:uid="{00000000-0005-0000-0000-000050920000}"/>
    <cellStyle name="Comma 18 2 3 3 3 4" xfId="43003" xr:uid="{00000000-0005-0000-0000-000051920000}"/>
    <cellStyle name="Comma 18 2 3 3 3 4 2" xfId="43004" xr:uid="{00000000-0005-0000-0000-000052920000}"/>
    <cellStyle name="Comma 18 2 3 3 3 5" xfId="43005" xr:uid="{00000000-0005-0000-0000-000053920000}"/>
    <cellStyle name="Comma 18 2 3 3 3 6" xfId="43006" xr:uid="{00000000-0005-0000-0000-000054920000}"/>
    <cellStyle name="Comma 18 2 3 3 4" xfId="43007" xr:uid="{00000000-0005-0000-0000-000055920000}"/>
    <cellStyle name="Comma 18 2 3 3 4 2" xfId="43008" xr:uid="{00000000-0005-0000-0000-000056920000}"/>
    <cellStyle name="Comma 18 2 3 3 4 2 2" xfId="43009" xr:uid="{00000000-0005-0000-0000-000057920000}"/>
    <cellStyle name="Comma 18 2 3 3 4 2 3" xfId="43010" xr:uid="{00000000-0005-0000-0000-000058920000}"/>
    <cellStyle name="Comma 18 2 3 3 4 3" xfId="43011" xr:uid="{00000000-0005-0000-0000-000059920000}"/>
    <cellStyle name="Comma 18 2 3 3 4 3 2" xfId="43012" xr:uid="{00000000-0005-0000-0000-00005A920000}"/>
    <cellStyle name="Comma 18 2 3 3 4 4" xfId="43013" xr:uid="{00000000-0005-0000-0000-00005B920000}"/>
    <cellStyle name="Comma 18 2 3 3 4 5" xfId="43014" xr:uid="{00000000-0005-0000-0000-00005C920000}"/>
    <cellStyle name="Comma 18 2 3 3 5" xfId="43015" xr:uid="{00000000-0005-0000-0000-00005D920000}"/>
    <cellStyle name="Comma 18 2 3 3 5 2" xfId="43016" xr:uid="{00000000-0005-0000-0000-00005E920000}"/>
    <cellStyle name="Comma 18 2 3 3 5 3" xfId="43017" xr:uid="{00000000-0005-0000-0000-00005F920000}"/>
    <cellStyle name="Comma 18 2 3 3 6" xfId="43018" xr:uid="{00000000-0005-0000-0000-000060920000}"/>
    <cellStyle name="Comma 18 2 3 3 6 2" xfId="43019" xr:uid="{00000000-0005-0000-0000-000061920000}"/>
    <cellStyle name="Comma 18 2 3 3 6 3" xfId="43020" xr:uid="{00000000-0005-0000-0000-000062920000}"/>
    <cellStyle name="Comma 18 2 3 3 7" xfId="43021" xr:uid="{00000000-0005-0000-0000-000063920000}"/>
    <cellStyle name="Comma 18 2 3 3 7 2" xfId="43022" xr:uid="{00000000-0005-0000-0000-000064920000}"/>
    <cellStyle name="Comma 18 2 3 3 8" xfId="43023" xr:uid="{00000000-0005-0000-0000-000065920000}"/>
    <cellStyle name="Comma 18 2 3 3 9" xfId="43024" xr:uid="{00000000-0005-0000-0000-000066920000}"/>
    <cellStyle name="Comma 18 2 3 4" xfId="43025" xr:uid="{00000000-0005-0000-0000-000067920000}"/>
    <cellStyle name="Comma 18 2 3 4 2" xfId="43026" xr:uid="{00000000-0005-0000-0000-000068920000}"/>
    <cellStyle name="Comma 18 2 3 4 2 2" xfId="43027" xr:uid="{00000000-0005-0000-0000-000069920000}"/>
    <cellStyle name="Comma 18 2 3 4 2 2 2" xfId="43028" xr:uid="{00000000-0005-0000-0000-00006A920000}"/>
    <cellStyle name="Comma 18 2 3 4 2 2 3" xfId="43029" xr:uid="{00000000-0005-0000-0000-00006B920000}"/>
    <cellStyle name="Comma 18 2 3 4 2 3" xfId="43030" xr:uid="{00000000-0005-0000-0000-00006C920000}"/>
    <cellStyle name="Comma 18 2 3 4 2 3 2" xfId="43031" xr:uid="{00000000-0005-0000-0000-00006D920000}"/>
    <cellStyle name="Comma 18 2 3 4 2 3 3" xfId="43032" xr:uid="{00000000-0005-0000-0000-00006E920000}"/>
    <cellStyle name="Comma 18 2 3 4 2 4" xfId="43033" xr:uid="{00000000-0005-0000-0000-00006F920000}"/>
    <cellStyle name="Comma 18 2 3 4 2 4 2" xfId="43034" xr:uid="{00000000-0005-0000-0000-000070920000}"/>
    <cellStyle name="Comma 18 2 3 4 2 5" xfId="43035" xr:uid="{00000000-0005-0000-0000-000071920000}"/>
    <cellStyle name="Comma 18 2 3 4 2 6" xfId="43036" xr:uid="{00000000-0005-0000-0000-000072920000}"/>
    <cellStyle name="Comma 18 2 3 4 3" xfId="43037" xr:uid="{00000000-0005-0000-0000-000073920000}"/>
    <cellStyle name="Comma 18 2 3 4 3 2" xfId="43038" xr:uid="{00000000-0005-0000-0000-000074920000}"/>
    <cellStyle name="Comma 18 2 3 4 3 2 2" xfId="43039" xr:uid="{00000000-0005-0000-0000-000075920000}"/>
    <cellStyle name="Comma 18 2 3 4 3 2 3" xfId="43040" xr:uid="{00000000-0005-0000-0000-000076920000}"/>
    <cellStyle name="Comma 18 2 3 4 3 3" xfId="43041" xr:uid="{00000000-0005-0000-0000-000077920000}"/>
    <cellStyle name="Comma 18 2 3 4 3 3 2" xfId="43042" xr:uid="{00000000-0005-0000-0000-000078920000}"/>
    <cellStyle name="Comma 18 2 3 4 3 3 3" xfId="43043" xr:uid="{00000000-0005-0000-0000-000079920000}"/>
    <cellStyle name="Comma 18 2 3 4 3 4" xfId="43044" xr:uid="{00000000-0005-0000-0000-00007A920000}"/>
    <cellStyle name="Comma 18 2 3 4 3 4 2" xfId="43045" xr:uid="{00000000-0005-0000-0000-00007B920000}"/>
    <cellStyle name="Comma 18 2 3 4 3 5" xfId="43046" xr:uid="{00000000-0005-0000-0000-00007C920000}"/>
    <cellStyle name="Comma 18 2 3 4 3 6" xfId="43047" xr:uid="{00000000-0005-0000-0000-00007D920000}"/>
    <cellStyle name="Comma 18 2 3 4 4" xfId="43048" xr:uid="{00000000-0005-0000-0000-00007E920000}"/>
    <cellStyle name="Comma 18 2 3 4 4 2" xfId="43049" xr:uid="{00000000-0005-0000-0000-00007F920000}"/>
    <cellStyle name="Comma 18 2 3 4 4 2 2" xfId="43050" xr:uid="{00000000-0005-0000-0000-000080920000}"/>
    <cellStyle name="Comma 18 2 3 4 4 2 3" xfId="43051" xr:uid="{00000000-0005-0000-0000-000081920000}"/>
    <cellStyle name="Comma 18 2 3 4 4 3" xfId="43052" xr:uid="{00000000-0005-0000-0000-000082920000}"/>
    <cellStyle name="Comma 18 2 3 4 4 3 2" xfId="43053" xr:uid="{00000000-0005-0000-0000-000083920000}"/>
    <cellStyle name="Comma 18 2 3 4 4 4" xfId="43054" xr:uid="{00000000-0005-0000-0000-000084920000}"/>
    <cellStyle name="Comma 18 2 3 4 4 5" xfId="43055" xr:uid="{00000000-0005-0000-0000-000085920000}"/>
    <cellStyle name="Comma 18 2 3 4 5" xfId="43056" xr:uid="{00000000-0005-0000-0000-000086920000}"/>
    <cellStyle name="Comma 18 2 3 4 5 2" xfId="43057" xr:uid="{00000000-0005-0000-0000-000087920000}"/>
    <cellStyle name="Comma 18 2 3 4 5 3" xfId="43058" xr:uid="{00000000-0005-0000-0000-000088920000}"/>
    <cellStyle name="Comma 18 2 3 4 6" xfId="43059" xr:uid="{00000000-0005-0000-0000-000089920000}"/>
    <cellStyle name="Comma 18 2 3 4 6 2" xfId="43060" xr:uid="{00000000-0005-0000-0000-00008A920000}"/>
    <cellStyle name="Comma 18 2 3 4 6 3" xfId="43061" xr:uid="{00000000-0005-0000-0000-00008B920000}"/>
    <cellStyle name="Comma 18 2 3 4 7" xfId="43062" xr:uid="{00000000-0005-0000-0000-00008C920000}"/>
    <cellStyle name="Comma 18 2 3 4 7 2" xfId="43063" xr:uid="{00000000-0005-0000-0000-00008D920000}"/>
    <cellStyle name="Comma 18 2 3 4 8" xfId="43064" xr:uid="{00000000-0005-0000-0000-00008E920000}"/>
    <cellStyle name="Comma 18 2 3 4 9" xfId="43065" xr:uid="{00000000-0005-0000-0000-00008F920000}"/>
    <cellStyle name="Comma 18 2 3 5" xfId="43066" xr:uid="{00000000-0005-0000-0000-000090920000}"/>
    <cellStyle name="Comma 18 2 3 5 2" xfId="43067" xr:uid="{00000000-0005-0000-0000-000091920000}"/>
    <cellStyle name="Comma 18 2 3 5 2 2" xfId="43068" xr:uid="{00000000-0005-0000-0000-000092920000}"/>
    <cellStyle name="Comma 18 2 3 5 2 3" xfId="43069" xr:uid="{00000000-0005-0000-0000-000093920000}"/>
    <cellStyle name="Comma 18 2 3 5 3" xfId="43070" xr:uid="{00000000-0005-0000-0000-000094920000}"/>
    <cellStyle name="Comma 18 2 3 5 3 2" xfId="43071" xr:uid="{00000000-0005-0000-0000-000095920000}"/>
    <cellStyle name="Comma 18 2 3 5 3 3" xfId="43072" xr:uid="{00000000-0005-0000-0000-000096920000}"/>
    <cellStyle name="Comma 18 2 3 5 4" xfId="43073" xr:uid="{00000000-0005-0000-0000-000097920000}"/>
    <cellStyle name="Comma 18 2 3 5 4 2" xfId="43074" xr:uid="{00000000-0005-0000-0000-000098920000}"/>
    <cellStyle name="Comma 18 2 3 5 5" xfId="43075" xr:uid="{00000000-0005-0000-0000-000099920000}"/>
    <cellStyle name="Comma 18 2 3 5 6" xfId="43076" xr:uid="{00000000-0005-0000-0000-00009A920000}"/>
    <cellStyle name="Comma 18 2 3 6" xfId="43077" xr:uid="{00000000-0005-0000-0000-00009B920000}"/>
    <cellStyle name="Comma 18 2 3 6 2" xfId="43078" xr:uid="{00000000-0005-0000-0000-00009C920000}"/>
    <cellStyle name="Comma 18 2 3 6 2 2" xfId="43079" xr:uid="{00000000-0005-0000-0000-00009D920000}"/>
    <cellStyle name="Comma 18 2 3 6 2 3" xfId="43080" xr:uid="{00000000-0005-0000-0000-00009E920000}"/>
    <cellStyle name="Comma 18 2 3 6 3" xfId="43081" xr:uid="{00000000-0005-0000-0000-00009F920000}"/>
    <cellStyle name="Comma 18 2 3 6 3 2" xfId="43082" xr:uid="{00000000-0005-0000-0000-0000A0920000}"/>
    <cellStyle name="Comma 18 2 3 6 3 3" xfId="43083" xr:uid="{00000000-0005-0000-0000-0000A1920000}"/>
    <cellStyle name="Comma 18 2 3 6 4" xfId="43084" xr:uid="{00000000-0005-0000-0000-0000A2920000}"/>
    <cellStyle name="Comma 18 2 3 6 4 2" xfId="43085" xr:uid="{00000000-0005-0000-0000-0000A3920000}"/>
    <cellStyle name="Comma 18 2 3 6 5" xfId="43086" xr:uid="{00000000-0005-0000-0000-0000A4920000}"/>
    <cellStyle name="Comma 18 2 3 6 6" xfId="43087" xr:uid="{00000000-0005-0000-0000-0000A5920000}"/>
    <cellStyle name="Comma 18 2 3 7" xfId="43088" xr:uid="{00000000-0005-0000-0000-0000A6920000}"/>
    <cellStyle name="Comma 18 2 3 7 2" xfId="43089" xr:uid="{00000000-0005-0000-0000-0000A7920000}"/>
    <cellStyle name="Comma 18 2 3 7 2 2" xfId="43090" xr:uid="{00000000-0005-0000-0000-0000A8920000}"/>
    <cellStyle name="Comma 18 2 3 7 2 3" xfId="43091" xr:uid="{00000000-0005-0000-0000-0000A9920000}"/>
    <cellStyle name="Comma 18 2 3 7 3" xfId="43092" xr:uid="{00000000-0005-0000-0000-0000AA920000}"/>
    <cellStyle name="Comma 18 2 3 7 3 2" xfId="43093" xr:uid="{00000000-0005-0000-0000-0000AB920000}"/>
    <cellStyle name="Comma 18 2 3 7 4" xfId="43094" xr:uid="{00000000-0005-0000-0000-0000AC920000}"/>
    <cellStyle name="Comma 18 2 3 7 5" xfId="43095" xr:uid="{00000000-0005-0000-0000-0000AD920000}"/>
    <cellStyle name="Comma 18 2 3 8" xfId="43096" xr:uid="{00000000-0005-0000-0000-0000AE920000}"/>
    <cellStyle name="Comma 18 2 3 8 2" xfId="43097" xr:uid="{00000000-0005-0000-0000-0000AF920000}"/>
    <cellStyle name="Comma 18 2 3 8 3" xfId="43098" xr:uid="{00000000-0005-0000-0000-0000B0920000}"/>
    <cellStyle name="Comma 18 2 3 9" xfId="43099" xr:uid="{00000000-0005-0000-0000-0000B1920000}"/>
    <cellStyle name="Comma 18 2 3 9 2" xfId="43100" xr:uid="{00000000-0005-0000-0000-0000B2920000}"/>
    <cellStyle name="Comma 18 2 3 9 3" xfId="43101" xr:uid="{00000000-0005-0000-0000-0000B3920000}"/>
    <cellStyle name="Comma 18 2 4" xfId="43102" xr:uid="{00000000-0005-0000-0000-0000B4920000}"/>
    <cellStyle name="Comma 18 2 4 10" xfId="43103" xr:uid="{00000000-0005-0000-0000-0000B5920000}"/>
    <cellStyle name="Comma 18 2 4 2" xfId="43104" xr:uid="{00000000-0005-0000-0000-0000B6920000}"/>
    <cellStyle name="Comma 18 2 4 2 2" xfId="43105" xr:uid="{00000000-0005-0000-0000-0000B7920000}"/>
    <cellStyle name="Comma 18 2 4 2 2 2" xfId="43106" xr:uid="{00000000-0005-0000-0000-0000B8920000}"/>
    <cellStyle name="Comma 18 2 4 2 2 2 2" xfId="43107" xr:uid="{00000000-0005-0000-0000-0000B9920000}"/>
    <cellStyle name="Comma 18 2 4 2 2 2 3" xfId="43108" xr:uid="{00000000-0005-0000-0000-0000BA920000}"/>
    <cellStyle name="Comma 18 2 4 2 2 3" xfId="43109" xr:uid="{00000000-0005-0000-0000-0000BB920000}"/>
    <cellStyle name="Comma 18 2 4 2 2 3 2" xfId="43110" xr:uid="{00000000-0005-0000-0000-0000BC920000}"/>
    <cellStyle name="Comma 18 2 4 2 2 3 3" xfId="43111" xr:uid="{00000000-0005-0000-0000-0000BD920000}"/>
    <cellStyle name="Comma 18 2 4 2 2 4" xfId="43112" xr:uid="{00000000-0005-0000-0000-0000BE920000}"/>
    <cellStyle name="Comma 18 2 4 2 2 4 2" xfId="43113" xr:uid="{00000000-0005-0000-0000-0000BF920000}"/>
    <cellStyle name="Comma 18 2 4 2 2 5" xfId="43114" xr:uid="{00000000-0005-0000-0000-0000C0920000}"/>
    <cellStyle name="Comma 18 2 4 2 2 6" xfId="43115" xr:uid="{00000000-0005-0000-0000-0000C1920000}"/>
    <cellStyle name="Comma 18 2 4 2 3" xfId="43116" xr:uid="{00000000-0005-0000-0000-0000C2920000}"/>
    <cellStyle name="Comma 18 2 4 2 3 2" xfId="43117" xr:uid="{00000000-0005-0000-0000-0000C3920000}"/>
    <cellStyle name="Comma 18 2 4 2 3 2 2" xfId="43118" xr:uid="{00000000-0005-0000-0000-0000C4920000}"/>
    <cellStyle name="Comma 18 2 4 2 3 2 3" xfId="43119" xr:uid="{00000000-0005-0000-0000-0000C5920000}"/>
    <cellStyle name="Comma 18 2 4 2 3 3" xfId="43120" xr:uid="{00000000-0005-0000-0000-0000C6920000}"/>
    <cellStyle name="Comma 18 2 4 2 3 3 2" xfId="43121" xr:uid="{00000000-0005-0000-0000-0000C7920000}"/>
    <cellStyle name="Comma 18 2 4 2 3 3 3" xfId="43122" xr:uid="{00000000-0005-0000-0000-0000C8920000}"/>
    <cellStyle name="Comma 18 2 4 2 3 4" xfId="43123" xr:uid="{00000000-0005-0000-0000-0000C9920000}"/>
    <cellStyle name="Comma 18 2 4 2 3 4 2" xfId="43124" xr:uid="{00000000-0005-0000-0000-0000CA920000}"/>
    <cellStyle name="Comma 18 2 4 2 3 5" xfId="43125" xr:uid="{00000000-0005-0000-0000-0000CB920000}"/>
    <cellStyle name="Comma 18 2 4 2 3 6" xfId="43126" xr:uid="{00000000-0005-0000-0000-0000CC920000}"/>
    <cellStyle name="Comma 18 2 4 2 4" xfId="43127" xr:uid="{00000000-0005-0000-0000-0000CD920000}"/>
    <cellStyle name="Comma 18 2 4 2 4 2" xfId="43128" xr:uid="{00000000-0005-0000-0000-0000CE920000}"/>
    <cellStyle name="Comma 18 2 4 2 4 2 2" xfId="43129" xr:uid="{00000000-0005-0000-0000-0000CF920000}"/>
    <cellStyle name="Comma 18 2 4 2 4 2 3" xfId="43130" xr:uid="{00000000-0005-0000-0000-0000D0920000}"/>
    <cellStyle name="Comma 18 2 4 2 4 3" xfId="43131" xr:uid="{00000000-0005-0000-0000-0000D1920000}"/>
    <cellStyle name="Comma 18 2 4 2 4 3 2" xfId="43132" xr:uid="{00000000-0005-0000-0000-0000D2920000}"/>
    <cellStyle name="Comma 18 2 4 2 4 4" xfId="43133" xr:uid="{00000000-0005-0000-0000-0000D3920000}"/>
    <cellStyle name="Comma 18 2 4 2 4 5" xfId="43134" xr:uid="{00000000-0005-0000-0000-0000D4920000}"/>
    <cellStyle name="Comma 18 2 4 2 5" xfId="43135" xr:uid="{00000000-0005-0000-0000-0000D5920000}"/>
    <cellStyle name="Comma 18 2 4 2 5 2" xfId="43136" xr:uid="{00000000-0005-0000-0000-0000D6920000}"/>
    <cellStyle name="Comma 18 2 4 2 5 3" xfId="43137" xr:uid="{00000000-0005-0000-0000-0000D7920000}"/>
    <cellStyle name="Comma 18 2 4 2 6" xfId="43138" xr:uid="{00000000-0005-0000-0000-0000D8920000}"/>
    <cellStyle name="Comma 18 2 4 2 6 2" xfId="43139" xr:uid="{00000000-0005-0000-0000-0000D9920000}"/>
    <cellStyle name="Comma 18 2 4 2 6 3" xfId="43140" xr:uid="{00000000-0005-0000-0000-0000DA920000}"/>
    <cellStyle name="Comma 18 2 4 2 7" xfId="43141" xr:uid="{00000000-0005-0000-0000-0000DB920000}"/>
    <cellStyle name="Comma 18 2 4 2 7 2" xfId="43142" xr:uid="{00000000-0005-0000-0000-0000DC920000}"/>
    <cellStyle name="Comma 18 2 4 2 8" xfId="43143" xr:uid="{00000000-0005-0000-0000-0000DD920000}"/>
    <cellStyle name="Comma 18 2 4 2 9" xfId="43144" xr:uid="{00000000-0005-0000-0000-0000DE920000}"/>
    <cellStyle name="Comma 18 2 4 3" xfId="43145" xr:uid="{00000000-0005-0000-0000-0000DF920000}"/>
    <cellStyle name="Comma 18 2 4 3 2" xfId="43146" xr:uid="{00000000-0005-0000-0000-0000E0920000}"/>
    <cellStyle name="Comma 18 2 4 3 2 2" xfId="43147" xr:uid="{00000000-0005-0000-0000-0000E1920000}"/>
    <cellStyle name="Comma 18 2 4 3 2 3" xfId="43148" xr:uid="{00000000-0005-0000-0000-0000E2920000}"/>
    <cellStyle name="Comma 18 2 4 3 3" xfId="43149" xr:uid="{00000000-0005-0000-0000-0000E3920000}"/>
    <cellStyle name="Comma 18 2 4 3 3 2" xfId="43150" xr:uid="{00000000-0005-0000-0000-0000E4920000}"/>
    <cellStyle name="Comma 18 2 4 3 3 3" xfId="43151" xr:uid="{00000000-0005-0000-0000-0000E5920000}"/>
    <cellStyle name="Comma 18 2 4 3 4" xfId="43152" xr:uid="{00000000-0005-0000-0000-0000E6920000}"/>
    <cellStyle name="Comma 18 2 4 3 4 2" xfId="43153" xr:uid="{00000000-0005-0000-0000-0000E7920000}"/>
    <cellStyle name="Comma 18 2 4 3 5" xfId="43154" xr:uid="{00000000-0005-0000-0000-0000E8920000}"/>
    <cellStyle name="Comma 18 2 4 3 6" xfId="43155" xr:uid="{00000000-0005-0000-0000-0000E9920000}"/>
    <cellStyle name="Comma 18 2 4 4" xfId="43156" xr:uid="{00000000-0005-0000-0000-0000EA920000}"/>
    <cellStyle name="Comma 18 2 4 4 2" xfId="43157" xr:uid="{00000000-0005-0000-0000-0000EB920000}"/>
    <cellStyle name="Comma 18 2 4 4 2 2" xfId="43158" xr:uid="{00000000-0005-0000-0000-0000EC920000}"/>
    <cellStyle name="Comma 18 2 4 4 2 3" xfId="43159" xr:uid="{00000000-0005-0000-0000-0000ED920000}"/>
    <cellStyle name="Comma 18 2 4 4 3" xfId="43160" xr:uid="{00000000-0005-0000-0000-0000EE920000}"/>
    <cellStyle name="Comma 18 2 4 4 3 2" xfId="43161" xr:uid="{00000000-0005-0000-0000-0000EF920000}"/>
    <cellStyle name="Comma 18 2 4 4 3 3" xfId="43162" xr:uid="{00000000-0005-0000-0000-0000F0920000}"/>
    <cellStyle name="Comma 18 2 4 4 4" xfId="43163" xr:uid="{00000000-0005-0000-0000-0000F1920000}"/>
    <cellStyle name="Comma 18 2 4 4 4 2" xfId="43164" xr:uid="{00000000-0005-0000-0000-0000F2920000}"/>
    <cellStyle name="Comma 18 2 4 4 5" xfId="43165" xr:uid="{00000000-0005-0000-0000-0000F3920000}"/>
    <cellStyle name="Comma 18 2 4 4 6" xfId="43166" xr:uid="{00000000-0005-0000-0000-0000F4920000}"/>
    <cellStyle name="Comma 18 2 4 5" xfId="43167" xr:uid="{00000000-0005-0000-0000-0000F5920000}"/>
    <cellStyle name="Comma 18 2 4 5 2" xfId="43168" xr:uid="{00000000-0005-0000-0000-0000F6920000}"/>
    <cellStyle name="Comma 18 2 4 5 2 2" xfId="43169" xr:uid="{00000000-0005-0000-0000-0000F7920000}"/>
    <cellStyle name="Comma 18 2 4 5 2 3" xfId="43170" xr:uid="{00000000-0005-0000-0000-0000F8920000}"/>
    <cellStyle name="Comma 18 2 4 5 3" xfId="43171" xr:uid="{00000000-0005-0000-0000-0000F9920000}"/>
    <cellStyle name="Comma 18 2 4 5 3 2" xfId="43172" xr:uid="{00000000-0005-0000-0000-0000FA920000}"/>
    <cellStyle name="Comma 18 2 4 5 4" xfId="43173" xr:uid="{00000000-0005-0000-0000-0000FB920000}"/>
    <cellStyle name="Comma 18 2 4 5 5" xfId="43174" xr:uid="{00000000-0005-0000-0000-0000FC920000}"/>
    <cellStyle name="Comma 18 2 4 6" xfId="43175" xr:uid="{00000000-0005-0000-0000-0000FD920000}"/>
    <cellStyle name="Comma 18 2 4 6 2" xfId="43176" xr:uid="{00000000-0005-0000-0000-0000FE920000}"/>
    <cellStyle name="Comma 18 2 4 6 3" xfId="43177" xr:uid="{00000000-0005-0000-0000-0000FF920000}"/>
    <cellStyle name="Comma 18 2 4 7" xfId="43178" xr:uid="{00000000-0005-0000-0000-000000930000}"/>
    <cellStyle name="Comma 18 2 4 7 2" xfId="43179" xr:uid="{00000000-0005-0000-0000-000001930000}"/>
    <cellStyle name="Comma 18 2 4 7 3" xfId="43180" xr:uid="{00000000-0005-0000-0000-000002930000}"/>
    <cellStyle name="Comma 18 2 4 8" xfId="43181" xr:uid="{00000000-0005-0000-0000-000003930000}"/>
    <cellStyle name="Comma 18 2 4 8 2" xfId="43182" xr:uid="{00000000-0005-0000-0000-000004930000}"/>
    <cellStyle name="Comma 18 2 4 9" xfId="43183" xr:uid="{00000000-0005-0000-0000-000005930000}"/>
    <cellStyle name="Comma 18 2 5" xfId="43184" xr:uid="{00000000-0005-0000-0000-000006930000}"/>
    <cellStyle name="Comma 18 2 5 2" xfId="43185" xr:uid="{00000000-0005-0000-0000-000007930000}"/>
    <cellStyle name="Comma 18 2 5 2 2" xfId="43186" xr:uid="{00000000-0005-0000-0000-000008930000}"/>
    <cellStyle name="Comma 18 2 5 2 2 2" xfId="43187" xr:uid="{00000000-0005-0000-0000-000009930000}"/>
    <cellStyle name="Comma 18 2 5 2 2 3" xfId="43188" xr:uid="{00000000-0005-0000-0000-00000A930000}"/>
    <cellStyle name="Comma 18 2 5 2 3" xfId="43189" xr:uid="{00000000-0005-0000-0000-00000B930000}"/>
    <cellStyle name="Comma 18 2 5 2 3 2" xfId="43190" xr:uid="{00000000-0005-0000-0000-00000C930000}"/>
    <cellStyle name="Comma 18 2 5 2 3 3" xfId="43191" xr:uid="{00000000-0005-0000-0000-00000D930000}"/>
    <cellStyle name="Comma 18 2 5 2 4" xfId="43192" xr:uid="{00000000-0005-0000-0000-00000E930000}"/>
    <cellStyle name="Comma 18 2 5 2 4 2" xfId="43193" xr:uid="{00000000-0005-0000-0000-00000F930000}"/>
    <cellStyle name="Comma 18 2 5 2 5" xfId="43194" xr:uid="{00000000-0005-0000-0000-000010930000}"/>
    <cellStyle name="Comma 18 2 5 2 6" xfId="43195" xr:uid="{00000000-0005-0000-0000-000011930000}"/>
    <cellStyle name="Comma 18 2 5 3" xfId="43196" xr:uid="{00000000-0005-0000-0000-000012930000}"/>
    <cellStyle name="Comma 18 2 5 3 2" xfId="43197" xr:uid="{00000000-0005-0000-0000-000013930000}"/>
    <cellStyle name="Comma 18 2 5 3 2 2" xfId="43198" xr:uid="{00000000-0005-0000-0000-000014930000}"/>
    <cellStyle name="Comma 18 2 5 3 2 3" xfId="43199" xr:uid="{00000000-0005-0000-0000-000015930000}"/>
    <cellStyle name="Comma 18 2 5 3 3" xfId="43200" xr:uid="{00000000-0005-0000-0000-000016930000}"/>
    <cellStyle name="Comma 18 2 5 3 3 2" xfId="43201" xr:uid="{00000000-0005-0000-0000-000017930000}"/>
    <cellStyle name="Comma 18 2 5 3 3 3" xfId="43202" xr:uid="{00000000-0005-0000-0000-000018930000}"/>
    <cellStyle name="Comma 18 2 5 3 4" xfId="43203" xr:uid="{00000000-0005-0000-0000-000019930000}"/>
    <cellStyle name="Comma 18 2 5 3 4 2" xfId="43204" xr:uid="{00000000-0005-0000-0000-00001A930000}"/>
    <cellStyle name="Comma 18 2 5 3 5" xfId="43205" xr:uid="{00000000-0005-0000-0000-00001B930000}"/>
    <cellStyle name="Comma 18 2 5 3 6" xfId="43206" xr:uid="{00000000-0005-0000-0000-00001C930000}"/>
    <cellStyle name="Comma 18 2 5 4" xfId="43207" xr:uid="{00000000-0005-0000-0000-00001D930000}"/>
    <cellStyle name="Comma 18 2 5 4 2" xfId="43208" xr:uid="{00000000-0005-0000-0000-00001E930000}"/>
    <cellStyle name="Comma 18 2 5 4 2 2" xfId="43209" xr:uid="{00000000-0005-0000-0000-00001F930000}"/>
    <cellStyle name="Comma 18 2 5 4 2 3" xfId="43210" xr:uid="{00000000-0005-0000-0000-000020930000}"/>
    <cellStyle name="Comma 18 2 5 4 3" xfId="43211" xr:uid="{00000000-0005-0000-0000-000021930000}"/>
    <cellStyle name="Comma 18 2 5 4 3 2" xfId="43212" xr:uid="{00000000-0005-0000-0000-000022930000}"/>
    <cellStyle name="Comma 18 2 5 4 4" xfId="43213" xr:uid="{00000000-0005-0000-0000-000023930000}"/>
    <cellStyle name="Comma 18 2 5 4 5" xfId="43214" xr:uid="{00000000-0005-0000-0000-000024930000}"/>
    <cellStyle name="Comma 18 2 5 5" xfId="43215" xr:uid="{00000000-0005-0000-0000-000025930000}"/>
    <cellStyle name="Comma 18 2 5 5 2" xfId="43216" xr:uid="{00000000-0005-0000-0000-000026930000}"/>
    <cellStyle name="Comma 18 2 5 5 3" xfId="43217" xr:uid="{00000000-0005-0000-0000-000027930000}"/>
    <cellStyle name="Comma 18 2 5 6" xfId="43218" xr:uid="{00000000-0005-0000-0000-000028930000}"/>
    <cellStyle name="Comma 18 2 5 6 2" xfId="43219" xr:uid="{00000000-0005-0000-0000-000029930000}"/>
    <cellStyle name="Comma 18 2 5 6 3" xfId="43220" xr:uid="{00000000-0005-0000-0000-00002A930000}"/>
    <cellStyle name="Comma 18 2 5 7" xfId="43221" xr:uid="{00000000-0005-0000-0000-00002B930000}"/>
    <cellStyle name="Comma 18 2 5 7 2" xfId="43222" xr:uid="{00000000-0005-0000-0000-00002C930000}"/>
    <cellStyle name="Comma 18 2 5 8" xfId="43223" xr:uid="{00000000-0005-0000-0000-00002D930000}"/>
    <cellStyle name="Comma 18 2 5 9" xfId="43224" xr:uid="{00000000-0005-0000-0000-00002E930000}"/>
    <cellStyle name="Comma 18 2 6" xfId="43225" xr:uid="{00000000-0005-0000-0000-00002F930000}"/>
    <cellStyle name="Comma 18 2 6 2" xfId="43226" xr:uid="{00000000-0005-0000-0000-000030930000}"/>
    <cellStyle name="Comma 18 2 6 2 2" xfId="43227" xr:uid="{00000000-0005-0000-0000-000031930000}"/>
    <cellStyle name="Comma 18 2 6 2 2 2" xfId="43228" xr:uid="{00000000-0005-0000-0000-000032930000}"/>
    <cellStyle name="Comma 18 2 6 2 2 3" xfId="43229" xr:uid="{00000000-0005-0000-0000-000033930000}"/>
    <cellStyle name="Comma 18 2 6 2 3" xfId="43230" xr:uid="{00000000-0005-0000-0000-000034930000}"/>
    <cellStyle name="Comma 18 2 6 2 3 2" xfId="43231" xr:uid="{00000000-0005-0000-0000-000035930000}"/>
    <cellStyle name="Comma 18 2 6 2 3 3" xfId="43232" xr:uid="{00000000-0005-0000-0000-000036930000}"/>
    <cellStyle name="Comma 18 2 6 2 4" xfId="43233" xr:uid="{00000000-0005-0000-0000-000037930000}"/>
    <cellStyle name="Comma 18 2 6 2 4 2" xfId="43234" xr:uid="{00000000-0005-0000-0000-000038930000}"/>
    <cellStyle name="Comma 18 2 6 2 5" xfId="43235" xr:uid="{00000000-0005-0000-0000-000039930000}"/>
    <cellStyle name="Comma 18 2 6 2 6" xfId="43236" xr:uid="{00000000-0005-0000-0000-00003A930000}"/>
    <cellStyle name="Comma 18 2 6 3" xfId="43237" xr:uid="{00000000-0005-0000-0000-00003B930000}"/>
    <cellStyle name="Comma 18 2 6 3 2" xfId="43238" xr:uid="{00000000-0005-0000-0000-00003C930000}"/>
    <cellStyle name="Comma 18 2 6 3 2 2" xfId="43239" xr:uid="{00000000-0005-0000-0000-00003D930000}"/>
    <cellStyle name="Comma 18 2 6 3 2 3" xfId="43240" xr:uid="{00000000-0005-0000-0000-00003E930000}"/>
    <cellStyle name="Comma 18 2 6 3 3" xfId="43241" xr:uid="{00000000-0005-0000-0000-00003F930000}"/>
    <cellStyle name="Comma 18 2 6 3 3 2" xfId="43242" xr:uid="{00000000-0005-0000-0000-000040930000}"/>
    <cellStyle name="Comma 18 2 6 3 3 3" xfId="43243" xr:uid="{00000000-0005-0000-0000-000041930000}"/>
    <cellStyle name="Comma 18 2 6 3 4" xfId="43244" xr:uid="{00000000-0005-0000-0000-000042930000}"/>
    <cellStyle name="Comma 18 2 6 3 4 2" xfId="43245" xr:uid="{00000000-0005-0000-0000-000043930000}"/>
    <cellStyle name="Comma 18 2 6 3 5" xfId="43246" xr:uid="{00000000-0005-0000-0000-000044930000}"/>
    <cellStyle name="Comma 18 2 6 3 6" xfId="43247" xr:uid="{00000000-0005-0000-0000-000045930000}"/>
    <cellStyle name="Comma 18 2 6 4" xfId="43248" xr:uid="{00000000-0005-0000-0000-000046930000}"/>
    <cellStyle name="Comma 18 2 6 4 2" xfId="43249" xr:uid="{00000000-0005-0000-0000-000047930000}"/>
    <cellStyle name="Comma 18 2 6 4 2 2" xfId="43250" xr:uid="{00000000-0005-0000-0000-000048930000}"/>
    <cellStyle name="Comma 18 2 6 4 2 3" xfId="43251" xr:uid="{00000000-0005-0000-0000-000049930000}"/>
    <cellStyle name="Comma 18 2 6 4 3" xfId="43252" xr:uid="{00000000-0005-0000-0000-00004A930000}"/>
    <cellStyle name="Comma 18 2 6 4 3 2" xfId="43253" xr:uid="{00000000-0005-0000-0000-00004B930000}"/>
    <cellStyle name="Comma 18 2 6 4 4" xfId="43254" xr:uid="{00000000-0005-0000-0000-00004C930000}"/>
    <cellStyle name="Comma 18 2 6 4 5" xfId="43255" xr:uid="{00000000-0005-0000-0000-00004D930000}"/>
    <cellStyle name="Comma 18 2 6 5" xfId="43256" xr:uid="{00000000-0005-0000-0000-00004E930000}"/>
    <cellStyle name="Comma 18 2 6 5 2" xfId="43257" xr:uid="{00000000-0005-0000-0000-00004F930000}"/>
    <cellStyle name="Comma 18 2 6 5 3" xfId="43258" xr:uid="{00000000-0005-0000-0000-000050930000}"/>
    <cellStyle name="Comma 18 2 6 6" xfId="43259" xr:uid="{00000000-0005-0000-0000-000051930000}"/>
    <cellStyle name="Comma 18 2 6 6 2" xfId="43260" xr:uid="{00000000-0005-0000-0000-000052930000}"/>
    <cellStyle name="Comma 18 2 6 6 3" xfId="43261" xr:uid="{00000000-0005-0000-0000-000053930000}"/>
    <cellStyle name="Comma 18 2 6 7" xfId="43262" xr:uid="{00000000-0005-0000-0000-000054930000}"/>
    <cellStyle name="Comma 18 2 6 7 2" xfId="43263" xr:uid="{00000000-0005-0000-0000-000055930000}"/>
    <cellStyle name="Comma 18 2 6 8" xfId="43264" xr:uid="{00000000-0005-0000-0000-000056930000}"/>
    <cellStyle name="Comma 18 2 6 9" xfId="43265" xr:uid="{00000000-0005-0000-0000-000057930000}"/>
    <cellStyle name="Comma 18 2 7" xfId="43266" xr:uid="{00000000-0005-0000-0000-000058930000}"/>
    <cellStyle name="Comma 18 2 7 2" xfId="43267" xr:uid="{00000000-0005-0000-0000-000059930000}"/>
    <cellStyle name="Comma 18 2 7 2 2" xfId="43268" xr:uid="{00000000-0005-0000-0000-00005A930000}"/>
    <cellStyle name="Comma 18 2 7 2 3" xfId="43269" xr:uid="{00000000-0005-0000-0000-00005B930000}"/>
    <cellStyle name="Comma 18 2 7 3" xfId="43270" xr:uid="{00000000-0005-0000-0000-00005C930000}"/>
    <cellStyle name="Comma 18 2 7 3 2" xfId="43271" xr:uid="{00000000-0005-0000-0000-00005D930000}"/>
    <cellStyle name="Comma 18 2 7 3 3" xfId="43272" xr:uid="{00000000-0005-0000-0000-00005E930000}"/>
    <cellStyle name="Comma 18 2 7 4" xfId="43273" xr:uid="{00000000-0005-0000-0000-00005F930000}"/>
    <cellStyle name="Comma 18 2 7 4 2" xfId="43274" xr:uid="{00000000-0005-0000-0000-000060930000}"/>
    <cellStyle name="Comma 18 2 7 5" xfId="43275" xr:uid="{00000000-0005-0000-0000-000061930000}"/>
    <cellStyle name="Comma 18 2 7 6" xfId="43276" xr:uid="{00000000-0005-0000-0000-000062930000}"/>
    <cellStyle name="Comma 18 2 8" xfId="43277" xr:uid="{00000000-0005-0000-0000-000063930000}"/>
    <cellStyle name="Comma 18 2 8 2" xfId="43278" xr:uid="{00000000-0005-0000-0000-000064930000}"/>
    <cellStyle name="Comma 18 2 8 2 2" xfId="43279" xr:uid="{00000000-0005-0000-0000-000065930000}"/>
    <cellStyle name="Comma 18 2 8 2 3" xfId="43280" xr:uid="{00000000-0005-0000-0000-000066930000}"/>
    <cellStyle name="Comma 18 2 8 3" xfId="43281" xr:uid="{00000000-0005-0000-0000-000067930000}"/>
    <cellStyle name="Comma 18 2 8 3 2" xfId="43282" xr:uid="{00000000-0005-0000-0000-000068930000}"/>
    <cellStyle name="Comma 18 2 8 3 3" xfId="43283" xr:uid="{00000000-0005-0000-0000-000069930000}"/>
    <cellStyle name="Comma 18 2 8 4" xfId="43284" xr:uid="{00000000-0005-0000-0000-00006A930000}"/>
    <cellStyle name="Comma 18 2 8 4 2" xfId="43285" xr:uid="{00000000-0005-0000-0000-00006B930000}"/>
    <cellStyle name="Comma 18 2 8 5" xfId="43286" xr:uid="{00000000-0005-0000-0000-00006C930000}"/>
    <cellStyle name="Comma 18 2 8 6" xfId="43287" xr:uid="{00000000-0005-0000-0000-00006D930000}"/>
    <cellStyle name="Comma 18 2 9" xfId="43288" xr:uid="{00000000-0005-0000-0000-00006E930000}"/>
    <cellStyle name="Comma 18 2 9 2" xfId="43289" xr:uid="{00000000-0005-0000-0000-00006F930000}"/>
    <cellStyle name="Comma 18 2 9 2 2" xfId="43290" xr:uid="{00000000-0005-0000-0000-000070930000}"/>
    <cellStyle name="Comma 18 2 9 2 3" xfId="43291" xr:uid="{00000000-0005-0000-0000-000071930000}"/>
    <cellStyle name="Comma 18 2 9 3" xfId="43292" xr:uid="{00000000-0005-0000-0000-000072930000}"/>
    <cellStyle name="Comma 18 2 9 3 2" xfId="43293" xr:uid="{00000000-0005-0000-0000-000073930000}"/>
    <cellStyle name="Comma 18 2 9 4" xfId="43294" xr:uid="{00000000-0005-0000-0000-000074930000}"/>
    <cellStyle name="Comma 18 2 9 5" xfId="43295" xr:uid="{00000000-0005-0000-0000-000075930000}"/>
    <cellStyle name="Comma 18 3" xfId="43296" xr:uid="{00000000-0005-0000-0000-000076930000}"/>
    <cellStyle name="Comma 18 3 10" xfId="43297" xr:uid="{00000000-0005-0000-0000-000077930000}"/>
    <cellStyle name="Comma 18 3 10 2" xfId="43298" xr:uid="{00000000-0005-0000-0000-000078930000}"/>
    <cellStyle name="Comma 18 3 10 3" xfId="43299" xr:uid="{00000000-0005-0000-0000-000079930000}"/>
    <cellStyle name="Comma 18 3 11" xfId="43300" xr:uid="{00000000-0005-0000-0000-00007A930000}"/>
    <cellStyle name="Comma 18 3 11 2" xfId="43301" xr:uid="{00000000-0005-0000-0000-00007B930000}"/>
    <cellStyle name="Comma 18 3 12" xfId="43302" xr:uid="{00000000-0005-0000-0000-00007C930000}"/>
    <cellStyle name="Comma 18 3 13" xfId="43303" xr:uid="{00000000-0005-0000-0000-00007D930000}"/>
    <cellStyle name="Comma 18 3 2" xfId="43304" xr:uid="{00000000-0005-0000-0000-00007E930000}"/>
    <cellStyle name="Comma 18 3 2 10" xfId="43305" xr:uid="{00000000-0005-0000-0000-00007F930000}"/>
    <cellStyle name="Comma 18 3 2 10 2" xfId="43306" xr:uid="{00000000-0005-0000-0000-000080930000}"/>
    <cellStyle name="Comma 18 3 2 11" xfId="43307" xr:uid="{00000000-0005-0000-0000-000081930000}"/>
    <cellStyle name="Comma 18 3 2 12" xfId="43308" xr:uid="{00000000-0005-0000-0000-000082930000}"/>
    <cellStyle name="Comma 18 3 2 2" xfId="43309" xr:uid="{00000000-0005-0000-0000-000083930000}"/>
    <cellStyle name="Comma 18 3 2 2 10" xfId="43310" xr:uid="{00000000-0005-0000-0000-000084930000}"/>
    <cellStyle name="Comma 18 3 2 2 2" xfId="43311" xr:uid="{00000000-0005-0000-0000-000085930000}"/>
    <cellStyle name="Comma 18 3 2 2 2 2" xfId="43312" xr:uid="{00000000-0005-0000-0000-000086930000}"/>
    <cellStyle name="Comma 18 3 2 2 2 2 2" xfId="43313" xr:uid="{00000000-0005-0000-0000-000087930000}"/>
    <cellStyle name="Comma 18 3 2 2 2 2 2 2" xfId="43314" xr:uid="{00000000-0005-0000-0000-000088930000}"/>
    <cellStyle name="Comma 18 3 2 2 2 2 2 3" xfId="43315" xr:uid="{00000000-0005-0000-0000-000089930000}"/>
    <cellStyle name="Comma 18 3 2 2 2 2 3" xfId="43316" xr:uid="{00000000-0005-0000-0000-00008A930000}"/>
    <cellStyle name="Comma 18 3 2 2 2 2 3 2" xfId="43317" xr:uid="{00000000-0005-0000-0000-00008B930000}"/>
    <cellStyle name="Comma 18 3 2 2 2 2 3 3" xfId="43318" xr:uid="{00000000-0005-0000-0000-00008C930000}"/>
    <cellStyle name="Comma 18 3 2 2 2 2 4" xfId="43319" xr:uid="{00000000-0005-0000-0000-00008D930000}"/>
    <cellStyle name="Comma 18 3 2 2 2 2 4 2" xfId="43320" xr:uid="{00000000-0005-0000-0000-00008E930000}"/>
    <cellStyle name="Comma 18 3 2 2 2 2 5" xfId="43321" xr:uid="{00000000-0005-0000-0000-00008F930000}"/>
    <cellStyle name="Comma 18 3 2 2 2 2 6" xfId="43322" xr:uid="{00000000-0005-0000-0000-000090930000}"/>
    <cellStyle name="Comma 18 3 2 2 2 3" xfId="43323" xr:uid="{00000000-0005-0000-0000-000091930000}"/>
    <cellStyle name="Comma 18 3 2 2 2 3 2" xfId="43324" xr:uid="{00000000-0005-0000-0000-000092930000}"/>
    <cellStyle name="Comma 18 3 2 2 2 3 2 2" xfId="43325" xr:uid="{00000000-0005-0000-0000-000093930000}"/>
    <cellStyle name="Comma 18 3 2 2 2 3 2 3" xfId="43326" xr:uid="{00000000-0005-0000-0000-000094930000}"/>
    <cellStyle name="Comma 18 3 2 2 2 3 3" xfId="43327" xr:uid="{00000000-0005-0000-0000-000095930000}"/>
    <cellStyle name="Comma 18 3 2 2 2 3 3 2" xfId="43328" xr:uid="{00000000-0005-0000-0000-000096930000}"/>
    <cellStyle name="Comma 18 3 2 2 2 3 3 3" xfId="43329" xr:uid="{00000000-0005-0000-0000-000097930000}"/>
    <cellStyle name="Comma 18 3 2 2 2 3 4" xfId="43330" xr:uid="{00000000-0005-0000-0000-000098930000}"/>
    <cellStyle name="Comma 18 3 2 2 2 3 4 2" xfId="43331" xr:uid="{00000000-0005-0000-0000-000099930000}"/>
    <cellStyle name="Comma 18 3 2 2 2 3 5" xfId="43332" xr:uid="{00000000-0005-0000-0000-00009A930000}"/>
    <cellStyle name="Comma 18 3 2 2 2 3 6" xfId="43333" xr:uid="{00000000-0005-0000-0000-00009B930000}"/>
    <cellStyle name="Comma 18 3 2 2 2 4" xfId="43334" xr:uid="{00000000-0005-0000-0000-00009C930000}"/>
    <cellStyle name="Comma 18 3 2 2 2 4 2" xfId="43335" xr:uid="{00000000-0005-0000-0000-00009D930000}"/>
    <cellStyle name="Comma 18 3 2 2 2 4 2 2" xfId="43336" xr:uid="{00000000-0005-0000-0000-00009E930000}"/>
    <cellStyle name="Comma 18 3 2 2 2 4 2 3" xfId="43337" xr:uid="{00000000-0005-0000-0000-00009F930000}"/>
    <cellStyle name="Comma 18 3 2 2 2 4 3" xfId="43338" xr:uid="{00000000-0005-0000-0000-0000A0930000}"/>
    <cellStyle name="Comma 18 3 2 2 2 4 3 2" xfId="43339" xr:uid="{00000000-0005-0000-0000-0000A1930000}"/>
    <cellStyle name="Comma 18 3 2 2 2 4 4" xfId="43340" xr:uid="{00000000-0005-0000-0000-0000A2930000}"/>
    <cellStyle name="Comma 18 3 2 2 2 4 5" xfId="43341" xr:uid="{00000000-0005-0000-0000-0000A3930000}"/>
    <cellStyle name="Comma 18 3 2 2 2 5" xfId="43342" xr:uid="{00000000-0005-0000-0000-0000A4930000}"/>
    <cellStyle name="Comma 18 3 2 2 2 5 2" xfId="43343" xr:uid="{00000000-0005-0000-0000-0000A5930000}"/>
    <cellStyle name="Comma 18 3 2 2 2 5 3" xfId="43344" xr:uid="{00000000-0005-0000-0000-0000A6930000}"/>
    <cellStyle name="Comma 18 3 2 2 2 6" xfId="43345" xr:uid="{00000000-0005-0000-0000-0000A7930000}"/>
    <cellStyle name="Comma 18 3 2 2 2 6 2" xfId="43346" xr:uid="{00000000-0005-0000-0000-0000A8930000}"/>
    <cellStyle name="Comma 18 3 2 2 2 6 3" xfId="43347" xr:uid="{00000000-0005-0000-0000-0000A9930000}"/>
    <cellStyle name="Comma 18 3 2 2 2 7" xfId="43348" xr:uid="{00000000-0005-0000-0000-0000AA930000}"/>
    <cellStyle name="Comma 18 3 2 2 2 7 2" xfId="43349" xr:uid="{00000000-0005-0000-0000-0000AB930000}"/>
    <cellStyle name="Comma 18 3 2 2 2 8" xfId="43350" xr:uid="{00000000-0005-0000-0000-0000AC930000}"/>
    <cellStyle name="Comma 18 3 2 2 2 9" xfId="43351" xr:uid="{00000000-0005-0000-0000-0000AD930000}"/>
    <cellStyle name="Comma 18 3 2 2 3" xfId="43352" xr:uid="{00000000-0005-0000-0000-0000AE930000}"/>
    <cellStyle name="Comma 18 3 2 2 3 2" xfId="43353" xr:uid="{00000000-0005-0000-0000-0000AF930000}"/>
    <cellStyle name="Comma 18 3 2 2 3 2 2" xfId="43354" xr:uid="{00000000-0005-0000-0000-0000B0930000}"/>
    <cellStyle name="Comma 18 3 2 2 3 2 3" xfId="43355" xr:uid="{00000000-0005-0000-0000-0000B1930000}"/>
    <cellStyle name="Comma 18 3 2 2 3 3" xfId="43356" xr:uid="{00000000-0005-0000-0000-0000B2930000}"/>
    <cellStyle name="Comma 18 3 2 2 3 3 2" xfId="43357" xr:uid="{00000000-0005-0000-0000-0000B3930000}"/>
    <cellStyle name="Comma 18 3 2 2 3 3 3" xfId="43358" xr:uid="{00000000-0005-0000-0000-0000B4930000}"/>
    <cellStyle name="Comma 18 3 2 2 3 4" xfId="43359" xr:uid="{00000000-0005-0000-0000-0000B5930000}"/>
    <cellStyle name="Comma 18 3 2 2 3 4 2" xfId="43360" xr:uid="{00000000-0005-0000-0000-0000B6930000}"/>
    <cellStyle name="Comma 18 3 2 2 3 5" xfId="43361" xr:uid="{00000000-0005-0000-0000-0000B7930000}"/>
    <cellStyle name="Comma 18 3 2 2 3 6" xfId="43362" xr:uid="{00000000-0005-0000-0000-0000B8930000}"/>
    <cellStyle name="Comma 18 3 2 2 4" xfId="43363" xr:uid="{00000000-0005-0000-0000-0000B9930000}"/>
    <cellStyle name="Comma 18 3 2 2 4 2" xfId="43364" xr:uid="{00000000-0005-0000-0000-0000BA930000}"/>
    <cellStyle name="Comma 18 3 2 2 4 2 2" xfId="43365" xr:uid="{00000000-0005-0000-0000-0000BB930000}"/>
    <cellStyle name="Comma 18 3 2 2 4 2 3" xfId="43366" xr:uid="{00000000-0005-0000-0000-0000BC930000}"/>
    <cellStyle name="Comma 18 3 2 2 4 3" xfId="43367" xr:uid="{00000000-0005-0000-0000-0000BD930000}"/>
    <cellStyle name="Comma 18 3 2 2 4 3 2" xfId="43368" xr:uid="{00000000-0005-0000-0000-0000BE930000}"/>
    <cellStyle name="Comma 18 3 2 2 4 3 3" xfId="43369" xr:uid="{00000000-0005-0000-0000-0000BF930000}"/>
    <cellStyle name="Comma 18 3 2 2 4 4" xfId="43370" xr:uid="{00000000-0005-0000-0000-0000C0930000}"/>
    <cellStyle name="Comma 18 3 2 2 4 4 2" xfId="43371" xr:uid="{00000000-0005-0000-0000-0000C1930000}"/>
    <cellStyle name="Comma 18 3 2 2 4 5" xfId="43372" xr:uid="{00000000-0005-0000-0000-0000C2930000}"/>
    <cellStyle name="Comma 18 3 2 2 4 6" xfId="43373" xr:uid="{00000000-0005-0000-0000-0000C3930000}"/>
    <cellStyle name="Comma 18 3 2 2 5" xfId="43374" xr:uid="{00000000-0005-0000-0000-0000C4930000}"/>
    <cellStyle name="Comma 18 3 2 2 5 2" xfId="43375" xr:uid="{00000000-0005-0000-0000-0000C5930000}"/>
    <cellStyle name="Comma 18 3 2 2 5 2 2" xfId="43376" xr:uid="{00000000-0005-0000-0000-0000C6930000}"/>
    <cellStyle name="Comma 18 3 2 2 5 2 3" xfId="43377" xr:uid="{00000000-0005-0000-0000-0000C7930000}"/>
    <cellStyle name="Comma 18 3 2 2 5 3" xfId="43378" xr:uid="{00000000-0005-0000-0000-0000C8930000}"/>
    <cellStyle name="Comma 18 3 2 2 5 3 2" xfId="43379" xr:uid="{00000000-0005-0000-0000-0000C9930000}"/>
    <cellStyle name="Comma 18 3 2 2 5 4" xfId="43380" xr:uid="{00000000-0005-0000-0000-0000CA930000}"/>
    <cellStyle name="Comma 18 3 2 2 5 5" xfId="43381" xr:uid="{00000000-0005-0000-0000-0000CB930000}"/>
    <cellStyle name="Comma 18 3 2 2 6" xfId="43382" xr:uid="{00000000-0005-0000-0000-0000CC930000}"/>
    <cellStyle name="Comma 18 3 2 2 6 2" xfId="43383" xr:uid="{00000000-0005-0000-0000-0000CD930000}"/>
    <cellStyle name="Comma 18 3 2 2 6 3" xfId="43384" xr:uid="{00000000-0005-0000-0000-0000CE930000}"/>
    <cellStyle name="Comma 18 3 2 2 7" xfId="43385" xr:uid="{00000000-0005-0000-0000-0000CF930000}"/>
    <cellStyle name="Comma 18 3 2 2 7 2" xfId="43386" xr:uid="{00000000-0005-0000-0000-0000D0930000}"/>
    <cellStyle name="Comma 18 3 2 2 7 3" xfId="43387" xr:uid="{00000000-0005-0000-0000-0000D1930000}"/>
    <cellStyle name="Comma 18 3 2 2 8" xfId="43388" xr:uid="{00000000-0005-0000-0000-0000D2930000}"/>
    <cellStyle name="Comma 18 3 2 2 8 2" xfId="43389" xr:uid="{00000000-0005-0000-0000-0000D3930000}"/>
    <cellStyle name="Comma 18 3 2 2 9" xfId="43390" xr:uid="{00000000-0005-0000-0000-0000D4930000}"/>
    <cellStyle name="Comma 18 3 2 3" xfId="43391" xr:uid="{00000000-0005-0000-0000-0000D5930000}"/>
    <cellStyle name="Comma 18 3 2 3 2" xfId="43392" xr:uid="{00000000-0005-0000-0000-0000D6930000}"/>
    <cellStyle name="Comma 18 3 2 3 2 2" xfId="43393" xr:uid="{00000000-0005-0000-0000-0000D7930000}"/>
    <cellStyle name="Comma 18 3 2 3 2 2 2" xfId="43394" xr:uid="{00000000-0005-0000-0000-0000D8930000}"/>
    <cellStyle name="Comma 18 3 2 3 2 2 3" xfId="43395" xr:uid="{00000000-0005-0000-0000-0000D9930000}"/>
    <cellStyle name="Comma 18 3 2 3 2 3" xfId="43396" xr:uid="{00000000-0005-0000-0000-0000DA930000}"/>
    <cellStyle name="Comma 18 3 2 3 2 3 2" xfId="43397" xr:uid="{00000000-0005-0000-0000-0000DB930000}"/>
    <cellStyle name="Comma 18 3 2 3 2 3 3" xfId="43398" xr:uid="{00000000-0005-0000-0000-0000DC930000}"/>
    <cellStyle name="Comma 18 3 2 3 2 4" xfId="43399" xr:uid="{00000000-0005-0000-0000-0000DD930000}"/>
    <cellStyle name="Comma 18 3 2 3 2 4 2" xfId="43400" xr:uid="{00000000-0005-0000-0000-0000DE930000}"/>
    <cellStyle name="Comma 18 3 2 3 2 5" xfId="43401" xr:uid="{00000000-0005-0000-0000-0000DF930000}"/>
    <cellStyle name="Comma 18 3 2 3 2 6" xfId="43402" xr:uid="{00000000-0005-0000-0000-0000E0930000}"/>
    <cellStyle name="Comma 18 3 2 3 3" xfId="43403" xr:uid="{00000000-0005-0000-0000-0000E1930000}"/>
    <cellStyle name="Comma 18 3 2 3 3 2" xfId="43404" xr:uid="{00000000-0005-0000-0000-0000E2930000}"/>
    <cellStyle name="Comma 18 3 2 3 3 2 2" xfId="43405" xr:uid="{00000000-0005-0000-0000-0000E3930000}"/>
    <cellStyle name="Comma 18 3 2 3 3 2 3" xfId="43406" xr:uid="{00000000-0005-0000-0000-0000E4930000}"/>
    <cellStyle name="Comma 18 3 2 3 3 3" xfId="43407" xr:uid="{00000000-0005-0000-0000-0000E5930000}"/>
    <cellStyle name="Comma 18 3 2 3 3 3 2" xfId="43408" xr:uid="{00000000-0005-0000-0000-0000E6930000}"/>
    <cellStyle name="Comma 18 3 2 3 3 3 3" xfId="43409" xr:uid="{00000000-0005-0000-0000-0000E7930000}"/>
    <cellStyle name="Comma 18 3 2 3 3 4" xfId="43410" xr:uid="{00000000-0005-0000-0000-0000E8930000}"/>
    <cellStyle name="Comma 18 3 2 3 3 4 2" xfId="43411" xr:uid="{00000000-0005-0000-0000-0000E9930000}"/>
    <cellStyle name="Comma 18 3 2 3 3 5" xfId="43412" xr:uid="{00000000-0005-0000-0000-0000EA930000}"/>
    <cellStyle name="Comma 18 3 2 3 3 6" xfId="43413" xr:uid="{00000000-0005-0000-0000-0000EB930000}"/>
    <cellStyle name="Comma 18 3 2 3 4" xfId="43414" xr:uid="{00000000-0005-0000-0000-0000EC930000}"/>
    <cellStyle name="Comma 18 3 2 3 4 2" xfId="43415" xr:uid="{00000000-0005-0000-0000-0000ED930000}"/>
    <cellStyle name="Comma 18 3 2 3 4 2 2" xfId="43416" xr:uid="{00000000-0005-0000-0000-0000EE930000}"/>
    <cellStyle name="Comma 18 3 2 3 4 2 3" xfId="43417" xr:uid="{00000000-0005-0000-0000-0000EF930000}"/>
    <cellStyle name="Comma 18 3 2 3 4 3" xfId="43418" xr:uid="{00000000-0005-0000-0000-0000F0930000}"/>
    <cellStyle name="Comma 18 3 2 3 4 3 2" xfId="43419" xr:uid="{00000000-0005-0000-0000-0000F1930000}"/>
    <cellStyle name="Comma 18 3 2 3 4 4" xfId="43420" xr:uid="{00000000-0005-0000-0000-0000F2930000}"/>
    <cellStyle name="Comma 18 3 2 3 4 5" xfId="43421" xr:uid="{00000000-0005-0000-0000-0000F3930000}"/>
    <cellStyle name="Comma 18 3 2 3 5" xfId="43422" xr:uid="{00000000-0005-0000-0000-0000F4930000}"/>
    <cellStyle name="Comma 18 3 2 3 5 2" xfId="43423" xr:uid="{00000000-0005-0000-0000-0000F5930000}"/>
    <cellStyle name="Comma 18 3 2 3 5 3" xfId="43424" xr:uid="{00000000-0005-0000-0000-0000F6930000}"/>
    <cellStyle name="Comma 18 3 2 3 6" xfId="43425" xr:uid="{00000000-0005-0000-0000-0000F7930000}"/>
    <cellStyle name="Comma 18 3 2 3 6 2" xfId="43426" xr:uid="{00000000-0005-0000-0000-0000F8930000}"/>
    <cellStyle name="Comma 18 3 2 3 6 3" xfId="43427" xr:uid="{00000000-0005-0000-0000-0000F9930000}"/>
    <cellStyle name="Comma 18 3 2 3 7" xfId="43428" xr:uid="{00000000-0005-0000-0000-0000FA930000}"/>
    <cellStyle name="Comma 18 3 2 3 7 2" xfId="43429" xr:uid="{00000000-0005-0000-0000-0000FB930000}"/>
    <cellStyle name="Comma 18 3 2 3 8" xfId="43430" xr:uid="{00000000-0005-0000-0000-0000FC930000}"/>
    <cellStyle name="Comma 18 3 2 3 9" xfId="43431" xr:uid="{00000000-0005-0000-0000-0000FD930000}"/>
    <cellStyle name="Comma 18 3 2 4" xfId="43432" xr:uid="{00000000-0005-0000-0000-0000FE930000}"/>
    <cellStyle name="Comma 18 3 2 4 2" xfId="43433" xr:uid="{00000000-0005-0000-0000-0000FF930000}"/>
    <cellStyle name="Comma 18 3 2 4 2 2" xfId="43434" xr:uid="{00000000-0005-0000-0000-000000940000}"/>
    <cellStyle name="Comma 18 3 2 4 2 2 2" xfId="43435" xr:uid="{00000000-0005-0000-0000-000001940000}"/>
    <cellStyle name="Comma 18 3 2 4 2 2 3" xfId="43436" xr:uid="{00000000-0005-0000-0000-000002940000}"/>
    <cellStyle name="Comma 18 3 2 4 2 3" xfId="43437" xr:uid="{00000000-0005-0000-0000-000003940000}"/>
    <cellStyle name="Comma 18 3 2 4 2 3 2" xfId="43438" xr:uid="{00000000-0005-0000-0000-000004940000}"/>
    <cellStyle name="Comma 18 3 2 4 2 3 3" xfId="43439" xr:uid="{00000000-0005-0000-0000-000005940000}"/>
    <cellStyle name="Comma 18 3 2 4 2 4" xfId="43440" xr:uid="{00000000-0005-0000-0000-000006940000}"/>
    <cellStyle name="Comma 18 3 2 4 2 4 2" xfId="43441" xr:uid="{00000000-0005-0000-0000-000007940000}"/>
    <cellStyle name="Comma 18 3 2 4 2 5" xfId="43442" xr:uid="{00000000-0005-0000-0000-000008940000}"/>
    <cellStyle name="Comma 18 3 2 4 2 6" xfId="43443" xr:uid="{00000000-0005-0000-0000-000009940000}"/>
    <cellStyle name="Comma 18 3 2 4 3" xfId="43444" xr:uid="{00000000-0005-0000-0000-00000A940000}"/>
    <cellStyle name="Comma 18 3 2 4 3 2" xfId="43445" xr:uid="{00000000-0005-0000-0000-00000B940000}"/>
    <cellStyle name="Comma 18 3 2 4 3 2 2" xfId="43446" xr:uid="{00000000-0005-0000-0000-00000C940000}"/>
    <cellStyle name="Comma 18 3 2 4 3 2 3" xfId="43447" xr:uid="{00000000-0005-0000-0000-00000D940000}"/>
    <cellStyle name="Comma 18 3 2 4 3 3" xfId="43448" xr:uid="{00000000-0005-0000-0000-00000E940000}"/>
    <cellStyle name="Comma 18 3 2 4 3 3 2" xfId="43449" xr:uid="{00000000-0005-0000-0000-00000F940000}"/>
    <cellStyle name="Comma 18 3 2 4 3 3 3" xfId="43450" xr:uid="{00000000-0005-0000-0000-000010940000}"/>
    <cellStyle name="Comma 18 3 2 4 3 4" xfId="43451" xr:uid="{00000000-0005-0000-0000-000011940000}"/>
    <cellStyle name="Comma 18 3 2 4 3 4 2" xfId="43452" xr:uid="{00000000-0005-0000-0000-000012940000}"/>
    <cellStyle name="Comma 18 3 2 4 3 5" xfId="43453" xr:uid="{00000000-0005-0000-0000-000013940000}"/>
    <cellStyle name="Comma 18 3 2 4 3 6" xfId="43454" xr:uid="{00000000-0005-0000-0000-000014940000}"/>
    <cellStyle name="Comma 18 3 2 4 4" xfId="43455" xr:uid="{00000000-0005-0000-0000-000015940000}"/>
    <cellStyle name="Comma 18 3 2 4 4 2" xfId="43456" xr:uid="{00000000-0005-0000-0000-000016940000}"/>
    <cellStyle name="Comma 18 3 2 4 4 2 2" xfId="43457" xr:uid="{00000000-0005-0000-0000-000017940000}"/>
    <cellStyle name="Comma 18 3 2 4 4 2 3" xfId="43458" xr:uid="{00000000-0005-0000-0000-000018940000}"/>
    <cellStyle name="Comma 18 3 2 4 4 3" xfId="43459" xr:uid="{00000000-0005-0000-0000-000019940000}"/>
    <cellStyle name="Comma 18 3 2 4 4 3 2" xfId="43460" xr:uid="{00000000-0005-0000-0000-00001A940000}"/>
    <cellStyle name="Comma 18 3 2 4 4 4" xfId="43461" xr:uid="{00000000-0005-0000-0000-00001B940000}"/>
    <cellStyle name="Comma 18 3 2 4 4 5" xfId="43462" xr:uid="{00000000-0005-0000-0000-00001C940000}"/>
    <cellStyle name="Comma 18 3 2 4 5" xfId="43463" xr:uid="{00000000-0005-0000-0000-00001D940000}"/>
    <cellStyle name="Comma 18 3 2 4 5 2" xfId="43464" xr:uid="{00000000-0005-0000-0000-00001E940000}"/>
    <cellStyle name="Comma 18 3 2 4 5 3" xfId="43465" xr:uid="{00000000-0005-0000-0000-00001F940000}"/>
    <cellStyle name="Comma 18 3 2 4 6" xfId="43466" xr:uid="{00000000-0005-0000-0000-000020940000}"/>
    <cellStyle name="Comma 18 3 2 4 6 2" xfId="43467" xr:uid="{00000000-0005-0000-0000-000021940000}"/>
    <cellStyle name="Comma 18 3 2 4 6 3" xfId="43468" xr:uid="{00000000-0005-0000-0000-000022940000}"/>
    <cellStyle name="Comma 18 3 2 4 7" xfId="43469" xr:uid="{00000000-0005-0000-0000-000023940000}"/>
    <cellStyle name="Comma 18 3 2 4 7 2" xfId="43470" xr:uid="{00000000-0005-0000-0000-000024940000}"/>
    <cellStyle name="Comma 18 3 2 4 8" xfId="43471" xr:uid="{00000000-0005-0000-0000-000025940000}"/>
    <cellStyle name="Comma 18 3 2 4 9" xfId="43472" xr:uid="{00000000-0005-0000-0000-000026940000}"/>
    <cellStyle name="Comma 18 3 2 5" xfId="43473" xr:uid="{00000000-0005-0000-0000-000027940000}"/>
    <cellStyle name="Comma 18 3 2 5 2" xfId="43474" xr:uid="{00000000-0005-0000-0000-000028940000}"/>
    <cellStyle name="Comma 18 3 2 5 2 2" xfId="43475" xr:uid="{00000000-0005-0000-0000-000029940000}"/>
    <cellStyle name="Comma 18 3 2 5 2 3" xfId="43476" xr:uid="{00000000-0005-0000-0000-00002A940000}"/>
    <cellStyle name="Comma 18 3 2 5 3" xfId="43477" xr:uid="{00000000-0005-0000-0000-00002B940000}"/>
    <cellStyle name="Comma 18 3 2 5 3 2" xfId="43478" xr:uid="{00000000-0005-0000-0000-00002C940000}"/>
    <cellStyle name="Comma 18 3 2 5 3 3" xfId="43479" xr:uid="{00000000-0005-0000-0000-00002D940000}"/>
    <cellStyle name="Comma 18 3 2 5 4" xfId="43480" xr:uid="{00000000-0005-0000-0000-00002E940000}"/>
    <cellStyle name="Comma 18 3 2 5 4 2" xfId="43481" xr:uid="{00000000-0005-0000-0000-00002F940000}"/>
    <cellStyle name="Comma 18 3 2 5 5" xfId="43482" xr:uid="{00000000-0005-0000-0000-000030940000}"/>
    <cellStyle name="Comma 18 3 2 5 6" xfId="43483" xr:uid="{00000000-0005-0000-0000-000031940000}"/>
    <cellStyle name="Comma 18 3 2 6" xfId="43484" xr:uid="{00000000-0005-0000-0000-000032940000}"/>
    <cellStyle name="Comma 18 3 2 6 2" xfId="43485" xr:uid="{00000000-0005-0000-0000-000033940000}"/>
    <cellStyle name="Comma 18 3 2 6 2 2" xfId="43486" xr:uid="{00000000-0005-0000-0000-000034940000}"/>
    <cellStyle name="Comma 18 3 2 6 2 3" xfId="43487" xr:uid="{00000000-0005-0000-0000-000035940000}"/>
    <cellStyle name="Comma 18 3 2 6 3" xfId="43488" xr:uid="{00000000-0005-0000-0000-000036940000}"/>
    <cellStyle name="Comma 18 3 2 6 3 2" xfId="43489" xr:uid="{00000000-0005-0000-0000-000037940000}"/>
    <cellStyle name="Comma 18 3 2 6 3 3" xfId="43490" xr:uid="{00000000-0005-0000-0000-000038940000}"/>
    <cellStyle name="Comma 18 3 2 6 4" xfId="43491" xr:uid="{00000000-0005-0000-0000-000039940000}"/>
    <cellStyle name="Comma 18 3 2 6 4 2" xfId="43492" xr:uid="{00000000-0005-0000-0000-00003A940000}"/>
    <cellStyle name="Comma 18 3 2 6 5" xfId="43493" xr:uid="{00000000-0005-0000-0000-00003B940000}"/>
    <cellStyle name="Comma 18 3 2 6 6" xfId="43494" xr:uid="{00000000-0005-0000-0000-00003C940000}"/>
    <cellStyle name="Comma 18 3 2 7" xfId="43495" xr:uid="{00000000-0005-0000-0000-00003D940000}"/>
    <cellStyle name="Comma 18 3 2 7 2" xfId="43496" xr:uid="{00000000-0005-0000-0000-00003E940000}"/>
    <cellStyle name="Comma 18 3 2 7 2 2" xfId="43497" xr:uid="{00000000-0005-0000-0000-00003F940000}"/>
    <cellStyle name="Comma 18 3 2 7 2 3" xfId="43498" xr:uid="{00000000-0005-0000-0000-000040940000}"/>
    <cellStyle name="Comma 18 3 2 7 3" xfId="43499" xr:uid="{00000000-0005-0000-0000-000041940000}"/>
    <cellStyle name="Comma 18 3 2 7 3 2" xfId="43500" xr:uid="{00000000-0005-0000-0000-000042940000}"/>
    <cellStyle name="Comma 18 3 2 7 4" xfId="43501" xr:uid="{00000000-0005-0000-0000-000043940000}"/>
    <cellStyle name="Comma 18 3 2 7 5" xfId="43502" xr:uid="{00000000-0005-0000-0000-000044940000}"/>
    <cellStyle name="Comma 18 3 2 8" xfId="43503" xr:uid="{00000000-0005-0000-0000-000045940000}"/>
    <cellStyle name="Comma 18 3 2 8 2" xfId="43504" xr:uid="{00000000-0005-0000-0000-000046940000}"/>
    <cellStyle name="Comma 18 3 2 8 3" xfId="43505" xr:uid="{00000000-0005-0000-0000-000047940000}"/>
    <cellStyle name="Comma 18 3 2 9" xfId="43506" xr:uid="{00000000-0005-0000-0000-000048940000}"/>
    <cellStyle name="Comma 18 3 2 9 2" xfId="43507" xr:uid="{00000000-0005-0000-0000-000049940000}"/>
    <cellStyle name="Comma 18 3 2 9 3" xfId="43508" xr:uid="{00000000-0005-0000-0000-00004A940000}"/>
    <cellStyle name="Comma 18 3 3" xfId="43509" xr:uid="{00000000-0005-0000-0000-00004B940000}"/>
    <cellStyle name="Comma 18 3 3 10" xfId="43510" xr:uid="{00000000-0005-0000-0000-00004C940000}"/>
    <cellStyle name="Comma 18 3 3 2" xfId="43511" xr:uid="{00000000-0005-0000-0000-00004D940000}"/>
    <cellStyle name="Comma 18 3 3 2 2" xfId="43512" xr:uid="{00000000-0005-0000-0000-00004E940000}"/>
    <cellStyle name="Comma 18 3 3 2 2 2" xfId="43513" xr:uid="{00000000-0005-0000-0000-00004F940000}"/>
    <cellStyle name="Comma 18 3 3 2 2 2 2" xfId="43514" xr:uid="{00000000-0005-0000-0000-000050940000}"/>
    <cellStyle name="Comma 18 3 3 2 2 2 3" xfId="43515" xr:uid="{00000000-0005-0000-0000-000051940000}"/>
    <cellStyle name="Comma 18 3 3 2 2 3" xfId="43516" xr:uid="{00000000-0005-0000-0000-000052940000}"/>
    <cellStyle name="Comma 18 3 3 2 2 3 2" xfId="43517" xr:uid="{00000000-0005-0000-0000-000053940000}"/>
    <cellStyle name="Comma 18 3 3 2 2 3 3" xfId="43518" xr:uid="{00000000-0005-0000-0000-000054940000}"/>
    <cellStyle name="Comma 18 3 3 2 2 4" xfId="43519" xr:uid="{00000000-0005-0000-0000-000055940000}"/>
    <cellStyle name="Comma 18 3 3 2 2 4 2" xfId="43520" xr:uid="{00000000-0005-0000-0000-000056940000}"/>
    <cellStyle name="Comma 18 3 3 2 2 5" xfId="43521" xr:uid="{00000000-0005-0000-0000-000057940000}"/>
    <cellStyle name="Comma 18 3 3 2 2 6" xfId="43522" xr:uid="{00000000-0005-0000-0000-000058940000}"/>
    <cellStyle name="Comma 18 3 3 2 3" xfId="43523" xr:uid="{00000000-0005-0000-0000-000059940000}"/>
    <cellStyle name="Comma 18 3 3 2 3 2" xfId="43524" xr:uid="{00000000-0005-0000-0000-00005A940000}"/>
    <cellStyle name="Comma 18 3 3 2 3 2 2" xfId="43525" xr:uid="{00000000-0005-0000-0000-00005B940000}"/>
    <cellStyle name="Comma 18 3 3 2 3 2 3" xfId="43526" xr:uid="{00000000-0005-0000-0000-00005C940000}"/>
    <cellStyle name="Comma 18 3 3 2 3 3" xfId="43527" xr:uid="{00000000-0005-0000-0000-00005D940000}"/>
    <cellStyle name="Comma 18 3 3 2 3 3 2" xfId="43528" xr:uid="{00000000-0005-0000-0000-00005E940000}"/>
    <cellStyle name="Comma 18 3 3 2 3 3 3" xfId="43529" xr:uid="{00000000-0005-0000-0000-00005F940000}"/>
    <cellStyle name="Comma 18 3 3 2 3 4" xfId="43530" xr:uid="{00000000-0005-0000-0000-000060940000}"/>
    <cellStyle name="Comma 18 3 3 2 3 4 2" xfId="43531" xr:uid="{00000000-0005-0000-0000-000061940000}"/>
    <cellStyle name="Comma 18 3 3 2 3 5" xfId="43532" xr:uid="{00000000-0005-0000-0000-000062940000}"/>
    <cellStyle name="Comma 18 3 3 2 3 6" xfId="43533" xr:uid="{00000000-0005-0000-0000-000063940000}"/>
    <cellStyle name="Comma 18 3 3 2 4" xfId="43534" xr:uid="{00000000-0005-0000-0000-000064940000}"/>
    <cellStyle name="Comma 18 3 3 2 4 2" xfId="43535" xr:uid="{00000000-0005-0000-0000-000065940000}"/>
    <cellStyle name="Comma 18 3 3 2 4 2 2" xfId="43536" xr:uid="{00000000-0005-0000-0000-000066940000}"/>
    <cellStyle name="Comma 18 3 3 2 4 2 3" xfId="43537" xr:uid="{00000000-0005-0000-0000-000067940000}"/>
    <cellStyle name="Comma 18 3 3 2 4 3" xfId="43538" xr:uid="{00000000-0005-0000-0000-000068940000}"/>
    <cellStyle name="Comma 18 3 3 2 4 3 2" xfId="43539" xr:uid="{00000000-0005-0000-0000-000069940000}"/>
    <cellStyle name="Comma 18 3 3 2 4 4" xfId="43540" xr:uid="{00000000-0005-0000-0000-00006A940000}"/>
    <cellStyle name="Comma 18 3 3 2 4 5" xfId="43541" xr:uid="{00000000-0005-0000-0000-00006B940000}"/>
    <cellStyle name="Comma 18 3 3 2 5" xfId="43542" xr:uid="{00000000-0005-0000-0000-00006C940000}"/>
    <cellStyle name="Comma 18 3 3 2 5 2" xfId="43543" xr:uid="{00000000-0005-0000-0000-00006D940000}"/>
    <cellStyle name="Comma 18 3 3 2 5 3" xfId="43544" xr:uid="{00000000-0005-0000-0000-00006E940000}"/>
    <cellStyle name="Comma 18 3 3 2 6" xfId="43545" xr:uid="{00000000-0005-0000-0000-00006F940000}"/>
    <cellStyle name="Comma 18 3 3 2 6 2" xfId="43546" xr:uid="{00000000-0005-0000-0000-000070940000}"/>
    <cellStyle name="Comma 18 3 3 2 6 3" xfId="43547" xr:uid="{00000000-0005-0000-0000-000071940000}"/>
    <cellStyle name="Comma 18 3 3 2 7" xfId="43548" xr:uid="{00000000-0005-0000-0000-000072940000}"/>
    <cellStyle name="Comma 18 3 3 2 7 2" xfId="43549" xr:uid="{00000000-0005-0000-0000-000073940000}"/>
    <cellStyle name="Comma 18 3 3 2 8" xfId="43550" xr:uid="{00000000-0005-0000-0000-000074940000}"/>
    <cellStyle name="Comma 18 3 3 2 9" xfId="43551" xr:uid="{00000000-0005-0000-0000-000075940000}"/>
    <cellStyle name="Comma 18 3 3 3" xfId="43552" xr:uid="{00000000-0005-0000-0000-000076940000}"/>
    <cellStyle name="Comma 18 3 3 3 2" xfId="43553" xr:uid="{00000000-0005-0000-0000-000077940000}"/>
    <cellStyle name="Comma 18 3 3 3 2 2" xfId="43554" xr:uid="{00000000-0005-0000-0000-000078940000}"/>
    <cellStyle name="Comma 18 3 3 3 2 3" xfId="43555" xr:uid="{00000000-0005-0000-0000-000079940000}"/>
    <cellStyle name="Comma 18 3 3 3 3" xfId="43556" xr:uid="{00000000-0005-0000-0000-00007A940000}"/>
    <cellStyle name="Comma 18 3 3 3 3 2" xfId="43557" xr:uid="{00000000-0005-0000-0000-00007B940000}"/>
    <cellStyle name="Comma 18 3 3 3 3 3" xfId="43558" xr:uid="{00000000-0005-0000-0000-00007C940000}"/>
    <cellStyle name="Comma 18 3 3 3 4" xfId="43559" xr:uid="{00000000-0005-0000-0000-00007D940000}"/>
    <cellStyle name="Comma 18 3 3 3 4 2" xfId="43560" xr:uid="{00000000-0005-0000-0000-00007E940000}"/>
    <cellStyle name="Comma 18 3 3 3 5" xfId="43561" xr:uid="{00000000-0005-0000-0000-00007F940000}"/>
    <cellStyle name="Comma 18 3 3 3 6" xfId="43562" xr:uid="{00000000-0005-0000-0000-000080940000}"/>
    <cellStyle name="Comma 18 3 3 4" xfId="43563" xr:uid="{00000000-0005-0000-0000-000081940000}"/>
    <cellStyle name="Comma 18 3 3 4 2" xfId="43564" xr:uid="{00000000-0005-0000-0000-000082940000}"/>
    <cellStyle name="Comma 18 3 3 4 2 2" xfId="43565" xr:uid="{00000000-0005-0000-0000-000083940000}"/>
    <cellStyle name="Comma 18 3 3 4 2 3" xfId="43566" xr:uid="{00000000-0005-0000-0000-000084940000}"/>
    <cellStyle name="Comma 18 3 3 4 3" xfId="43567" xr:uid="{00000000-0005-0000-0000-000085940000}"/>
    <cellStyle name="Comma 18 3 3 4 3 2" xfId="43568" xr:uid="{00000000-0005-0000-0000-000086940000}"/>
    <cellStyle name="Comma 18 3 3 4 3 3" xfId="43569" xr:uid="{00000000-0005-0000-0000-000087940000}"/>
    <cellStyle name="Comma 18 3 3 4 4" xfId="43570" xr:uid="{00000000-0005-0000-0000-000088940000}"/>
    <cellStyle name="Comma 18 3 3 4 4 2" xfId="43571" xr:uid="{00000000-0005-0000-0000-000089940000}"/>
    <cellStyle name="Comma 18 3 3 4 5" xfId="43572" xr:uid="{00000000-0005-0000-0000-00008A940000}"/>
    <cellStyle name="Comma 18 3 3 4 6" xfId="43573" xr:uid="{00000000-0005-0000-0000-00008B940000}"/>
    <cellStyle name="Comma 18 3 3 5" xfId="43574" xr:uid="{00000000-0005-0000-0000-00008C940000}"/>
    <cellStyle name="Comma 18 3 3 5 2" xfId="43575" xr:uid="{00000000-0005-0000-0000-00008D940000}"/>
    <cellStyle name="Comma 18 3 3 5 2 2" xfId="43576" xr:uid="{00000000-0005-0000-0000-00008E940000}"/>
    <cellStyle name="Comma 18 3 3 5 2 3" xfId="43577" xr:uid="{00000000-0005-0000-0000-00008F940000}"/>
    <cellStyle name="Comma 18 3 3 5 3" xfId="43578" xr:uid="{00000000-0005-0000-0000-000090940000}"/>
    <cellStyle name="Comma 18 3 3 5 3 2" xfId="43579" xr:uid="{00000000-0005-0000-0000-000091940000}"/>
    <cellStyle name="Comma 18 3 3 5 4" xfId="43580" xr:uid="{00000000-0005-0000-0000-000092940000}"/>
    <cellStyle name="Comma 18 3 3 5 5" xfId="43581" xr:uid="{00000000-0005-0000-0000-000093940000}"/>
    <cellStyle name="Comma 18 3 3 6" xfId="43582" xr:uid="{00000000-0005-0000-0000-000094940000}"/>
    <cellStyle name="Comma 18 3 3 6 2" xfId="43583" xr:uid="{00000000-0005-0000-0000-000095940000}"/>
    <cellStyle name="Comma 18 3 3 6 3" xfId="43584" xr:uid="{00000000-0005-0000-0000-000096940000}"/>
    <cellStyle name="Comma 18 3 3 7" xfId="43585" xr:uid="{00000000-0005-0000-0000-000097940000}"/>
    <cellStyle name="Comma 18 3 3 7 2" xfId="43586" xr:uid="{00000000-0005-0000-0000-000098940000}"/>
    <cellStyle name="Comma 18 3 3 7 3" xfId="43587" xr:uid="{00000000-0005-0000-0000-000099940000}"/>
    <cellStyle name="Comma 18 3 3 8" xfId="43588" xr:uid="{00000000-0005-0000-0000-00009A940000}"/>
    <cellStyle name="Comma 18 3 3 8 2" xfId="43589" xr:uid="{00000000-0005-0000-0000-00009B940000}"/>
    <cellStyle name="Comma 18 3 3 9" xfId="43590" xr:uid="{00000000-0005-0000-0000-00009C940000}"/>
    <cellStyle name="Comma 18 3 4" xfId="43591" xr:uid="{00000000-0005-0000-0000-00009D940000}"/>
    <cellStyle name="Comma 18 3 4 2" xfId="43592" xr:uid="{00000000-0005-0000-0000-00009E940000}"/>
    <cellStyle name="Comma 18 3 4 2 2" xfId="43593" xr:uid="{00000000-0005-0000-0000-00009F940000}"/>
    <cellStyle name="Comma 18 3 4 2 2 2" xfId="43594" xr:uid="{00000000-0005-0000-0000-0000A0940000}"/>
    <cellStyle name="Comma 18 3 4 2 2 3" xfId="43595" xr:uid="{00000000-0005-0000-0000-0000A1940000}"/>
    <cellStyle name="Comma 18 3 4 2 3" xfId="43596" xr:uid="{00000000-0005-0000-0000-0000A2940000}"/>
    <cellStyle name="Comma 18 3 4 2 3 2" xfId="43597" xr:uid="{00000000-0005-0000-0000-0000A3940000}"/>
    <cellStyle name="Comma 18 3 4 2 3 3" xfId="43598" xr:uid="{00000000-0005-0000-0000-0000A4940000}"/>
    <cellStyle name="Comma 18 3 4 2 4" xfId="43599" xr:uid="{00000000-0005-0000-0000-0000A5940000}"/>
    <cellStyle name="Comma 18 3 4 2 4 2" xfId="43600" xr:uid="{00000000-0005-0000-0000-0000A6940000}"/>
    <cellStyle name="Comma 18 3 4 2 5" xfId="43601" xr:uid="{00000000-0005-0000-0000-0000A7940000}"/>
    <cellStyle name="Comma 18 3 4 2 6" xfId="43602" xr:uid="{00000000-0005-0000-0000-0000A8940000}"/>
    <cellStyle name="Comma 18 3 4 3" xfId="43603" xr:uid="{00000000-0005-0000-0000-0000A9940000}"/>
    <cellStyle name="Comma 18 3 4 3 2" xfId="43604" xr:uid="{00000000-0005-0000-0000-0000AA940000}"/>
    <cellStyle name="Comma 18 3 4 3 2 2" xfId="43605" xr:uid="{00000000-0005-0000-0000-0000AB940000}"/>
    <cellStyle name="Comma 18 3 4 3 2 3" xfId="43606" xr:uid="{00000000-0005-0000-0000-0000AC940000}"/>
    <cellStyle name="Comma 18 3 4 3 3" xfId="43607" xr:uid="{00000000-0005-0000-0000-0000AD940000}"/>
    <cellStyle name="Comma 18 3 4 3 3 2" xfId="43608" xr:uid="{00000000-0005-0000-0000-0000AE940000}"/>
    <cellStyle name="Comma 18 3 4 3 3 3" xfId="43609" xr:uid="{00000000-0005-0000-0000-0000AF940000}"/>
    <cellStyle name="Comma 18 3 4 3 4" xfId="43610" xr:uid="{00000000-0005-0000-0000-0000B0940000}"/>
    <cellStyle name="Comma 18 3 4 3 4 2" xfId="43611" xr:uid="{00000000-0005-0000-0000-0000B1940000}"/>
    <cellStyle name="Comma 18 3 4 3 5" xfId="43612" xr:uid="{00000000-0005-0000-0000-0000B2940000}"/>
    <cellStyle name="Comma 18 3 4 3 6" xfId="43613" xr:uid="{00000000-0005-0000-0000-0000B3940000}"/>
    <cellStyle name="Comma 18 3 4 4" xfId="43614" xr:uid="{00000000-0005-0000-0000-0000B4940000}"/>
    <cellStyle name="Comma 18 3 4 4 2" xfId="43615" xr:uid="{00000000-0005-0000-0000-0000B5940000}"/>
    <cellStyle name="Comma 18 3 4 4 2 2" xfId="43616" xr:uid="{00000000-0005-0000-0000-0000B6940000}"/>
    <cellStyle name="Comma 18 3 4 4 2 3" xfId="43617" xr:uid="{00000000-0005-0000-0000-0000B7940000}"/>
    <cellStyle name="Comma 18 3 4 4 3" xfId="43618" xr:uid="{00000000-0005-0000-0000-0000B8940000}"/>
    <cellStyle name="Comma 18 3 4 4 3 2" xfId="43619" xr:uid="{00000000-0005-0000-0000-0000B9940000}"/>
    <cellStyle name="Comma 18 3 4 4 4" xfId="43620" xr:uid="{00000000-0005-0000-0000-0000BA940000}"/>
    <cellStyle name="Comma 18 3 4 4 5" xfId="43621" xr:uid="{00000000-0005-0000-0000-0000BB940000}"/>
    <cellStyle name="Comma 18 3 4 5" xfId="43622" xr:uid="{00000000-0005-0000-0000-0000BC940000}"/>
    <cellStyle name="Comma 18 3 4 5 2" xfId="43623" xr:uid="{00000000-0005-0000-0000-0000BD940000}"/>
    <cellStyle name="Comma 18 3 4 5 3" xfId="43624" xr:uid="{00000000-0005-0000-0000-0000BE940000}"/>
    <cellStyle name="Comma 18 3 4 6" xfId="43625" xr:uid="{00000000-0005-0000-0000-0000BF940000}"/>
    <cellStyle name="Comma 18 3 4 6 2" xfId="43626" xr:uid="{00000000-0005-0000-0000-0000C0940000}"/>
    <cellStyle name="Comma 18 3 4 6 3" xfId="43627" xr:uid="{00000000-0005-0000-0000-0000C1940000}"/>
    <cellStyle name="Comma 18 3 4 7" xfId="43628" xr:uid="{00000000-0005-0000-0000-0000C2940000}"/>
    <cellStyle name="Comma 18 3 4 7 2" xfId="43629" xr:uid="{00000000-0005-0000-0000-0000C3940000}"/>
    <cellStyle name="Comma 18 3 4 8" xfId="43630" xr:uid="{00000000-0005-0000-0000-0000C4940000}"/>
    <cellStyle name="Comma 18 3 4 9" xfId="43631" xr:uid="{00000000-0005-0000-0000-0000C5940000}"/>
    <cellStyle name="Comma 18 3 5" xfId="43632" xr:uid="{00000000-0005-0000-0000-0000C6940000}"/>
    <cellStyle name="Comma 18 3 5 2" xfId="43633" xr:uid="{00000000-0005-0000-0000-0000C7940000}"/>
    <cellStyle name="Comma 18 3 5 2 2" xfId="43634" xr:uid="{00000000-0005-0000-0000-0000C8940000}"/>
    <cellStyle name="Comma 18 3 5 2 2 2" xfId="43635" xr:uid="{00000000-0005-0000-0000-0000C9940000}"/>
    <cellStyle name="Comma 18 3 5 2 2 3" xfId="43636" xr:uid="{00000000-0005-0000-0000-0000CA940000}"/>
    <cellStyle name="Comma 18 3 5 2 3" xfId="43637" xr:uid="{00000000-0005-0000-0000-0000CB940000}"/>
    <cellStyle name="Comma 18 3 5 2 3 2" xfId="43638" xr:uid="{00000000-0005-0000-0000-0000CC940000}"/>
    <cellStyle name="Comma 18 3 5 2 3 3" xfId="43639" xr:uid="{00000000-0005-0000-0000-0000CD940000}"/>
    <cellStyle name="Comma 18 3 5 2 4" xfId="43640" xr:uid="{00000000-0005-0000-0000-0000CE940000}"/>
    <cellStyle name="Comma 18 3 5 2 4 2" xfId="43641" xr:uid="{00000000-0005-0000-0000-0000CF940000}"/>
    <cellStyle name="Comma 18 3 5 2 5" xfId="43642" xr:uid="{00000000-0005-0000-0000-0000D0940000}"/>
    <cellStyle name="Comma 18 3 5 2 6" xfId="43643" xr:uid="{00000000-0005-0000-0000-0000D1940000}"/>
    <cellStyle name="Comma 18 3 5 3" xfId="43644" xr:uid="{00000000-0005-0000-0000-0000D2940000}"/>
    <cellStyle name="Comma 18 3 5 3 2" xfId="43645" xr:uid="{00000000-0005-0000-0000-0000D3940000}"/>
    <cellStyle name="Comma 18 3 5 3 2 2" xfId="43646" xr:uid="{00000000-0005-0000-0000-0000D4940000}"/>
    <cellStyle name="Comma 18 3 5 3 2 3" xfId="43647" xr:uid="{00000000-0005-0000-0000-0000D5940000}"/>
    <cellStyle name="Comma 18 3 5 3 3" xfId="43648" xr:uid="{00000000-0005-0000-0000-0000D6940000}"/>
    <cellStyle name="Comma 18 3 5 3 3 2" xfId="43649" xr:uid="{00000000-0005-0000-0000-0000D7940000}"/>
    <cellStyle name="Comma 18 3 5 3 3 3" xfId="43650" xr:uid="{00000000-0005-0000-0000-0000D8940000}"/>
    <cellStyle name="Comma 18 3 5 3 4" xfId="43651" xr:uid="{00000000-0005-0000-0000-0000D9940000}"/>
    <cellStyle name="Comma 18 3 5 3 4 2" xfId="43652" xr:uid="{00000000-0005-0000-0000-0000DA940000}"/>
    <cellStyle name="Comma 18 3 5 3 5" xfId="43653" xr:uid="{00000000-0005-0000-0000-0000DB940000}"/>
    <cellStyle name="Comma 18 3 5 3 6" xfId="43654" xr:uid="{00000000-0005-0000-0000-0000DC940000}"/>
    <cellStyle name="Comma 18 3 5 4" xfId="43655" xr:uid="{00000000-0005-0000-0000-0000DD940000}"/>
    <cellStyle name="Comma 18 3 5 4 2" xfId="43656" xr:uid="{00000000-0005-0000-0000-0000DE940000}"/>
    <cellStyle name="Comma 18 3 5 4 2 2" xfId="43657" xr:uid="{00000000-0005-0000-0000-0000DF940000}"/>
    <cellStyle name="Comma 18 3 5 4 2 3" xfId="43658" xr:uid="{00000000-0005-0000-0000-0000E0940000}"/>
    <cellStyle name="Comma 18 3 5 4 3" xfId="43659" xr:uid="{00000000-0005-0000-0000-0000E1940000}"/>
    <cellStyle name="Comma 18 3 5 4 3 2" xfId="43660" xr:uid="{00000000-0005-0000-0000-0000E2940000}"/>
    <cellStyle name="Comma 18 3 5 4 4" xfId="43661" xr:uid="{00000000-0005-0000-0000-0000E3940000}"/>
    <cellStyle name="Comma 18 3 5 4 5" xfId="43662" xr:uid="{00000000-0005-0000-0000-0000E4940000}"/>
    <cellStyle name="Comma 18 3 5 5" xfId="43663" xr:uid="{00000000-0005-0000-0000-0000E5940000}"/>
    <cellStyle name="Comma 18 3 5 5 2" xfId="43664" xr:uid="{00000000-0005-0000-0000-0000E6940000}"/>
    <cellStyle name="Comma 18 3 5 5 3" xfId="43665" xr:uid="{00000000-0005-0000-0000-0000E7940000}"/>
    <cellStyle name="Comma 18 3 5 6" xfId="43666" xr:uid="{00000000-0005-0000-0000-0000E8940000}"/>
    <cellStyle name="Comma 18 3 5 6 2" xfId="43667" xr:uid="{00000000-0005-0000-0000-0000E9940000}"/>
    <cellStyle name="Comma 18 3 5 6 3" xfId="43668" xr:uid="{00000000-0005-0000-0000-0000EA940000}"/>
    <cellStyle name="Comma 18 3 5 7" xfId="43669" xr:uid="{00000000-0005-0000-0000-0000EB940000}"/>
    <cellStyle name="Comma 18 3 5 7 2" xfId="43670" xr:uid="{00000000-0005-0000-0000-0000EC940000}"/>
    <cellStyle name="Comma 18 3 5 8" xfId="43671" xr:uid="{00000000-0005-0000-0000-0000ED940000}"/>
    <cellStyle name="Comma 18 3 5 9" xfId="43672" xr:uid="{00000000-0005-0000-0000-0000EE940000}"/>
    <cellStyle name="Comma 18 3 6" xfId="43673" xr:uid="{00000000-0005-0000-0000-0000EF940000}"/>
    <cellStyle name="Comma 18 3 6 2" xfId="43674" xr:uid="{00000000-0005-0000-0000-0000F0940000}"/>
    <cellStyle name="Comma 18 3 6 2 2" xfId="43675" xr:uid="{00000000-0005-0000-0000-0000F1940000}"/>
    <cellStyle name="Comma 18 3 6 2 3" xfId="43676" xr:uid="{00000000-0005-0000-0000-0000F2940000}"/>
    <cellStyle name="Comma 18 3 6 3" xfId="43677" xr:uid="{00000000-0005-0000-0000-0000F3940000}"/>
    <cellStyle name="Comma 18 3 6 3 2" xfId="43678" xr:uid="{00000000-0005-0000-0000-0000F4940000}"/>
    <cellStyle name="Comma 18 3 6 3 3" xfId="43679" xr:uid="{00000000-0005-0000-0000-0000F5940000}"/>
    <cellStyle name="Comma 18 3 6 4" xfId="43680" xr:uid="{00000000-0005-0000-0000-0000F6940000}"/>
    <cellStyle name="Comma 18 3 6 4 2" xfId="43681" xr:uid="{00000000-0005-0000-0000-0000F7940000}"/>
    <cellStyle name="Comma 18 3 6 5" xfId="43682" xr:uid="{00000000-0005-0000-0000-0000F8940000}"/>
    <cellStyle name="Comma 18 3 6 6" xfId="43683" xr:uid="{00000000-0005-0000-0000-0000F9940000}"/>
    <cellStyle name="Comma 18 3 7" xfId="43684" xr:uid="{00000000-0005-0000-0000-0000FA940000}"/>
    <cellStyle name="Comma 18 3 7 2" xfId="43685" xr:uid="{00000000-0005-0000-0000-0000FB940000}"/>
    <cellStyle name="Comma 18 3 7 2 2" xfId="43686" xr:uid="{00000000-0005-0000-0000-0000FC940000}"/>
    <cellStyle name="Comma 18 3 7 2 3" xfId="43687" xr:uid="{00000000-0005-0000-0000-0000FD940000}"/>
    <cellStyle name="Comma 18 3 7 3" xfId="43688" xr:uid="{00000000-0005-0000-0000-0000FE940000}"/>
    <cellStyle name="Comma 18 3 7 3 2" xfId="43689" xr:uid="{00000000-0005-0000-0000-0000FF940000}"/>
    <cellStyle name="Comma 18 3 7 3 3" xfId="43690" xr:uid="{00000000-0005-0000-0000-000000950000}"/>
    <cellStyle name="Comma 18 3 7 4" xfId="43691" xr:uid="{00000000-0005-0000-0000-000001950000}"/>
    <cellStyle name="Comma 18 3 7 4 2" xfId="43692" xr:uid="{00000000-0005-0000-0000-000002950000}"/>
    <cellStyle name="Comma 18 3 7 5" xfId="43693" xr:uid="{00000000-0005-0000-0000-000003950000}"/>
    <cellStyle name="Comma 18 3 7 6" xfId="43694" xr:uid="{00000000-0005-0000-0000-000004950000}"/>
    <cellStyle name="Comma 18 3 8" xfId="43695" xr:uid="{00000000-0005-0000-0000-000005950000}"/>
    <cellStyle name="Comma 18 3 8 2" xfId="43696" xr:uid="{00000000-0005-0000-0000-000006950000}"/>
    <cellStyle name="Comma 18 3 8 2 2" xfId="43697" xr:uid="{00000000-0005-0000-0000-000007950000}"/>
    <cellStyle name="Comma 18 3 8 2 3" xfId="43698" xr:uid="{00000000-0005-0000-0000-000008950000}"/>
    <cellStyle name="Comma 18 3 8 3" xfId="43699" xr:uid="{00000000-0005-0000-0000-000009950000}"/>
    <cellStyle name="Comma 18 3 8 3 2" xfId="43700" xr:uid="{00000000-0005-0000-0000-00000A950000}"/>
    <cellStyle name="Comma 18 3 8 4" xfId="43701" xr:uid="{00000000-0005-0000-0000-00000B950000}"/>
    <cellStyle name="Comma 18 3 8 5" xfId="43702" xr:uid="{00000000-0005-0000-0000-00000C950000}"/>
    <cellStyle name="Comma 18 3 9" xfId="43703" xr:uid="{00000000-0005-0000-0000-00000D950000}"/>
    <cellStyle name="Comma 18 3 9 2" xfId="43704" xr:uid="{00000000-0005-0000-0000-00000E950000}"/>
    <cellStyle name="Comma 18 3 9 3" xfId="43705" xr:uid="{00000000-0005-0000-0000-00000F950000}"/>
    <cellStyle name="Comma 18 4" xfId="43706" xr:uid="{00000000-0005-0000-0000-000010950000}"/>
    <cellStyle name="Comma 18 4 10" xfId="43707" xr:uid="{00000000-0005-0000-0000-000011950000}"/>
    <cellStyle name="Comma 18 4 10 2" xfId="43708" xr:uid="{00000000-0005-0000-0000-000012950000}"/>
    <cellStyle name="Comma 18 4 11" xfId="43709" xr:uid="{00000000-0005-0000-0000-000013950000}"/>
    <cellStyle name="Comma 18 4 12" xfId="43710" xr:uid="{00000000-0005-0000-0000-000014950000}"/>
    <cellStyle name="Comma 18 4 2" xfId="43711" xr:uid="{00000000-0005-0000-0000-000015950000}"/>
    <cellStyle name="Comma 18 4 2 10" xfId="43712" xr:uid="{00000000-0005-0000-0000-000016950000}"/>
    <cellStyle name="Comma 18 4 2 2" xfId="43713" xr:uid="{00000000-0005-0000-0000-000017950000}"/>
    <cellStyle name="Comma 18 4 2 2 2" xfId="43714" xr:uid="{00000000-0005-0000-0000-000018950000}"/>
    <cellStyle name="Comma 18 4 2 2 2 2" xfId="43715" xr:uid="{00000000-0005-0000-0000-000019950000}"/>
    <cellStyle name="Comma 18 4 2 2 2 2 2" xfId="43716" xr:uid="{00000000-0005-0000-0000-00001A950000}"/>
    <cellStyle name="Comma 18 4 2 2 2 2 3" xfId="43717" xr:uid="{00000000-0005-0000-0000-00001B950000}"/>
    <cellStyle name="Comma 18 4 2 2 2 3" xfId="43718" xr:uid="{00000000-0005-0000-0000-00001C950000}"/>
    <cellStyle name="Comma 18 4 2 2 2 3 2" xfId="43719" xr:uid="{00000000-0005-0000-0000-00001D950000}"/>
    <cellStyle name="Comma 18 4 2 2 2 3 3" xfId="43720" xr:uid="{00000000-0005-0000-0000-00001E950000}"/>
    <cellStyle name="Comma 18 4 2 2 2 4" xfId="43721" xr:uid="{00000000-0005-0000-0000-00001F950000}"/>
    <cellStyle name="Comma 18 4 2 2 2 4 2" xfId="43722" xr:uid="{00000000-0005-0000-0000-000020950000}"/>
    <cellStyle name="Comma 18 4 2 2 2 5" xfId="43723" xr:uid="{00000000-0005-0000-0000-000021950000}"/>
    <cellStyle name="Comma 18 4 2 2 2 6" xfId="43724" xr:uid="{00000000-0005-0000-0000-000022950000}"/>
    <cellStyle name="Comma 18 4 2 2 3" xfId="43725" xr:uid="{00000000-0005-0000-0000-000023950000}"/>
    <cellStyle name="Comma 18 4 2 2 3 2" xfId="43726" xr:uid="{00000000-0005-0000-0000-000024950000}"/>
    <cellStyle name="Comma 18 4 2 2 3 2 2" xfId="43727" xr:uid="{00000000-0005-0000-0000-000025950000}"/>
    <cellStyle name="Comma 18 4 2 2 3 2 3" xfId="43728" xr:uid="{00000000-0005-0000-0000-000026950000}"/>
    <cellStyle name="Comma 18 4 2 2 3 3" xfId="43729" xr:uid="{00000000-0005-0000-0000-000027950000}"/>
    <cellStyle name="Comma 18 4 2 2 3 3 2" xfId="43730" xr:uid="{00000000-0005-0000-0000-000028950000}"/>
    <cellStyle name="Comma 18 4 2 2 3 3 3" xfId="43731" xr:uid="{00000000-0005-0000-0000-000029950000}"/>
    <cellStyle name="Comma 18 4 2 2 3 4" xfId="43732" xr:uid="{00000000-0005-0000-0000-00002A950000}"/>
    <cellStyle name="Comma 18 4 2 2 3 4 2" xfId="43733" xr:uid="{00000000-0005-0000-0000-00002B950000}"/>
    <cellStyle name="Comma 18 4 2 2 3 5" xfId="43734" xr:uid="{00000000-0005-0000-0000-00002C950000}"/>
    <cellStyle name="Comma 18 4 2 2 3 6" xfId="43735" xr:uid="{00000000-0005-0000-0000-00002D950000}"/>
    <cellStyle name="Comma 18 4 2 2 4" xfId="43736" xr:uid="{00000000-0005-0000-0000-00002E950000}"/>
    <cellStyle name="Comma 18 4 2 2 4 2" xfId="43737" xr:uid="{00000000-0005-0000-0000-00002F950000}"/>
    <cellStyle name="Comma 18 4 2 2 4 2 2" xfId="43738" xr:uid="{00000000-0005-0000-0000-000030950000}"/>
    <cellStyle name="Comma 18 4 2 2 4 2 3" xfId="43739" xr:uid="{00000000-0005-0000-0000-000031950000}"/>
    <cellStyle name="Comma 18 4 2 2 4 3" xfId="43740" xr:uid="{00000000-0005-0000-0000-000032950000}"/>
    <cellStyle name="Comma 18 4 2 2 4 3 2" xfId="43741" xr:uid="{00000000-0005-0000-0000-000033950000}"/>
    <cellStyle name="Comma 18 4 2 2 4 4" xfId="43742" xr:uid="{00000000-0005-0000-0000-000034950000}"/>
    <cellStyle name="Comma 18 4 2 2 4 5" xfId="43743" xr:uid="{00000000-0005-0000-0000-000035950000}"/>
    <cellStyle name="Comma 18 4 2 2 5" xfId="43744" xr:uid="{00000000-0005-0000-0000-000036950000}"/>
    <cellStyle name="Comma 18 4 2 2 5 2" xfId="43745" xr:uid="{00000000-0005-0000-0000-000037950000}"/>
    <cellStyle name="Comma 18 4 2 2 5 3" xfId="43746" xr:uid="{00000000-0005-0000-0000-000038950000}"/>
    <cellStyle name="Comma 18 4 2 2 6" xfId="43747" xr:uid="{00000000-0005-0000-0000-000039950000}"/>
    <cellStyle name="Comma 18 4 2 2 6 2" xfId="43748" xr:uid="{00000000-0005-0000-0000-00003A950000}"/>
    <cellStyle name="Comma 18 4 2 2 6 3" xfId="43749" xr:uid="{00000000-0005-0000-0000-00003B950000}"/>
    <cellStyle name="Comma 18 4 2 2 7" xfId="43750" xr:uid="{00000000-0005-0000-0000-00003C950000}"/>
    <cellStyle name="Comma 18 4 2 2 7 2" xfId="43751" xr:uid="{00000000-0005-0000-0000-00003D950000}"/>
    <cellStyle name="Comma 18 4 2 2 8" xfId="43752" xr:uid="{00000000-0005-0000-0000-00003E950000}"/>
    <cellStyle name="Comma 18 4 2 2 9" xfId="43753" xr:uid="{00000000-0005-0000-0000-00003F950000}"/>
    <cellStyle name="Comma 18 4 2 3" xfId="43754" xr:uid="{00000000-0005-0000-0000-000040950000}"/>
    <cellStyle name="Comma 18 4 2 3 2" xfId="43755" xr:uid="{00000000-0005-0000-0000-000041950000}"/>
    <cellStyle name="Comma 18 4 2 3 2 2" xfId="43756" xr:uid="{00000000-0005-0000-0000-000042950000}"/>
    <cellStyle name="Comma 18 4 2 3 2 3" xfId="43757" xr:uid="{00000000-0005-0000-0000-000043950000}"/>
    <cellStyle name="Comma 18 4 2 3 3" xfId="43758" xr:uid="{00000000-0005-0000-0000-000044950000}"/>
    <cellStyle name="Comma 18 4 2 3 3 2" xfId="43759" xr:uid="{00000000-0005-0000-0000-000045950000}"/>
    <cellStyle name="Comma 18 4 2 3 3 3" xfId="43760" xr:uid="{00000000-0005-0000-0000-000046950000}"/>
    <cellStyle name="Comma 18 4 2 3 4" xfId="43761" xr:uid="{00000000-0005-0000-0000-000047950000}"/>
    <cellStyle name="Comma 18 4 2 3 4 2" xfId="43762" xr:uid="{00000000-0005-0000-0000-000048950000}"/>
    <cellStyle name="Comma 18 4 2 3 5" xfId="43763" xr:uid="{00000000-0005-0000-0000-000049950000}"/>
    <cellStyle name="Comma 18 4 2 3 6" xfId="43764" xr:uid="{00000000-0005-0000-0000-00004A950000}"/>
    <cellStyle name="Comma 18 4 2 4" xfId="43765" xr:uid="{00000000-0005-0000-0000-00004B950000}"/>
    <cellStyle name="Comma 18 4 2 4 2" xfId="43766" xr:uid="{00000000-0005-0000-0000-00004C950000}"/>
    <cellStyle name="Comma 18 4 2 4 2 2" xfId="43767" xr:uid="{00000000-0005-0000-0000-00004D950000}"/>
    <cellStyle name="Comma 18 4 2 4 2 3" xfId="43768" xr:uid="{00000000-0005-0000-0000-00004E950000}"/>
    <cellStyle name="Comma 18 4 2 4 3" xfId="43769" xr:uid="{00000000-0005-0000-0000-00004F950000}"/>
    <cellStyle name="Comma 18 4 2 4 3 2" xfId="43770" xr:uid="{00000000-0005-0000-0000-000050950000}"/>
    <cellStyle name="Comma 18 4 2 4 3 3" xfId="43771" xr:uid="{00000000-0005-0000-0000-000051950000}"/>
    <cellStyle name="Comma 18 4 2 4 4" xfId="43772" xr:uid="{00000000-0005-0000-0000-000052950000}"/>
    <cellStyle name="Comma 18 4 2 4 4 2" xfId="43773" xr:uid="{00000000-0005-0000-0000-000053950000}"/>
    <cellStyle name="Comma 18 4 2 4 5" xfId="43774" xr:uid="{00000000-0005-0000-0000-000054950000}"/>
    <cellStyle name="Comma 18 4 2 4 6" xfId="43775" xr:uid="{00000000-0005-0000-0000-000055950000}"/>
    <cellStyle name="Comma 18 4 2 5" xfId="43776" xr:uid="{00000000-0005-0000-0000-000056950000}"/>
    <cellStyle name="Comma 18 4 2 5 2" xfId="43777" xr:uid="{00000000-0005-0000-0000-000057950000}"/>
    <cellStyle name="Comma 18 4 2 5 2 2" xfId="43778" xr:uid="{00000000-0005-0000-0000-000058950000}"/>
    <cellStyle name="Comma 18 4 2 5 2 3" xfId="43779" xr:uid="{00000000-0005-0000-0000-000059950000}"/>
    <cellStyle name="Comma 18 4 2 5 3" xfId="43780" xr:uid="{00000000-0005-0000-0000-00005A950000}"/>
    <cellStyle name="Comma 18 4 2 5 3 2" xfId="43781" xr:uid="{00000000-0005-0000-0000-00005B950000}"/>
    <cellStyle name="Comma 18 4 2 5 4" xfId="43782" xr:uid="{00000000-0005-0000-0000-00005C950000}"/>
    <cellStyle name="Comma 18 4 2 5 5" xfId="43783" xr:uid="{00000000-0005-0000-0000-00005D950000}"/>
    <cellStyle name="Comma 18 4 2 6" xfId="43784" xr:uid="{00000000-0005-0000-0000-00005E950000}"/>
    <cellStyle name="Comma 18 4 2 6 2" xfId="43785" xr:uid="{00000000-0005-0000-0000-00005F950000}"/>
    <cellStyle name="Comma 18 4 2 6 3" xfId="43786" xr:uid="{00000000-0005-0000-0000-000060950000}"/>
    <cellStyle name="Comma 18 4 2 7" xfId="43787" xr:uid="{00000000-0005-0000-0000-000061950000}"/>
    <cellStyle name="Comma 18 4 2 7 2" xfId="43788" xr:uid="{00000000-0005-0000-0000-000062950000}"/>
    <cellStyle name="Comma 18 4 2 7 3" xfId="43789" xr:uid="{00000000-0005-0000-0000-000063950000}"/>
    <cellStyle name="Comma 18 4 2 8" xfId="43790" xr:uid="{00000000-0005-0000-0000-000064950000}"/>
    <cellStyle name="Comma 18 4 2 8 2" xfId="43791" xr:uid="{00000000-0005-0000-0000-000065950000}"/>
    <cellStyle name="Comma 18 4 2 9" xfId="43792" xr:uid="{00000000-0005-0000-0000-000066950000}"/>
    <cellStyle name="Comma 18 4 3" xfId="43793" xr:uid="{00000000-0005-0000-0000-000067950000}"/>
    <cellStyle name="Comma 18 4 3 2" xfId="43794" xr:uid="{00000000-0005-0000-0000-000068950000}"/>
    <cellStyle name="Comma 18 4 3 2 2" xfId="43795" xr:uid="{00000000-0005-0000-0000-000069950000}"/>
    <cellStyle name="Comma 18 4 3 2 2 2" xfId="43796" xr:uid="{00000000-0005-0000-0000-00006A950000}"/>
    <cellStyle name="Comma 18 4 3 2 2 3" xfId="43797" xr:uid="{00000000-0005-0000-0000-00006B950000}"/>
    <cellStyle name="Comma 18 4 3 2 3" xfId="43798" xr:uid="{00000000-0005-0000-0000-00006C950000}"/>
    <cellStyle name="Comma 18 4 3 2 3 2" xfId="43799" xr:uid="{00000000-0005-0000-0000-00006D950000}"/>
    <cellStyle name="Comma 18 4 3 2 3 3" xfId="43800" xr:uid="{00000000-0005-0000-0000-00006E950000}"/>
    <cellStyle name="Comma 18 4 3 2 4" xfId="43801" xr:uid="{00000000-0005-0000-0000-00006F950000}"/>
    <cellStyle name="Comma 18 4 3 2 4 2" xfId="43802" xr:uid="{00000000-0005-0000-0000-000070950000}"/>
    <cellStyle name="Comma 18 4 3 2 5" xfId="43803" xr:uid="{00000000-0005-0000-0000-000071950000}"/>
    <cellStyle name="Comma 18 4 3 2 6" xfId="43804" xr:uid="{00000000-0005-0000-0000-000072950000}"/>
    <cellStyle name="Comma 18 4 3 3" xfId="43805" xr:uid="{00000000-0005-0000-0000-000073950000}"/>
    <cellStyle name="Comma 18 4 3 3 2" xfId="43806" xr:uid="{00000000-0005-0000-0000-000074950000}"/>
    <cellStyle name="Comma 18 4 3 3 2 2" xfId="43807" xr:uid="{00000000-0005-0000-0000-000075950000}"/>
    <cellStyle name="Comma 18 4 3 3 2 3" xfId="43808" xr:uid="{00000000-0005-0000-0000-000076950000}"/>
    <cellStyle name="Comma 18 4 3 3 3" xfId="43809" xr:uid="{00000000-0005-0000-0000-000077950000}"/>
    <cellStyle name="Comma 18 4 3 3 3 2" xfId="43810" xr:uid="{00000000-0005-0000-0000-000078950000}"/>
    <cellStyle name="Comma 18 4 3 3 3 3" xfId="43811" xr:uid="{00000000-0005-0000-0000-000079950000}"/>
    <cellStyle name="Comma 18 4 3 3 4" xfId="43812" xr:uid="{00000000-0005-0000-0000-00007A950000}"/>
    <cellStyle name="Comma 18 4 3 3 4 2" xfId="43813" xr:uid="{00000000-0005-0000-0000-00007B950000}"/>
    <cellStyle name="Comma 18 4 3 3 5" xfId="43814" xr:uid="{00000000-0005-0000-0000-00007C950000}"/>
    <cellStyle name="Comma 18 4 3 3 6" xfId="43815" xr:uid="{00000000-0005-0000-0000-00007D950000}"/>
    <cellStyle name="Comma 18 4 3 4" xfId="43816" xr:uid="{00000000-0005-0000-0000-00007E950000}"/>
    <cellStyle name="Comma 18 4 3 4 2" xfId="43817" xr:uid="{00000000-0005-0000-0000-00007F950000}"/>
    <cellStyle name="Comma 18 4 3 4 2 2" xfId="43818" xr:uid="{00000000-0005-0000-0000-000080950000}"/>
    <cellStyle name="Comma 18 4 3 4 2 3" xfId="43819" xr:uid="{00000000-0005-0000-0000-000081950000}"/>
    <cellStyle name="Comma 18 4 3 4 3" xfId="43820" xr:uid="{00000000-0005-0000-0000-000082950000}"/>
    <cellStyle name="Comma 18 4 3 4 3 2" xfId="43821" xr:uid="{00000000-0005-0000-0000-000083950000}"/>
    <cellStyle name="Comma 18 4 3 4 4" xfId="43822" xr:uid="{00000000-0005-0000-0000-000084950000}"/>
    <cellStyle name="Comma 18 4 3 4 5" xfId="43823" xr:uid="{00000000-0005-0000-0000-000085950000}"/>
    <cellStyle name="Comma 18 4 3 5" xfId="43824" xr:uid="{00000000-0005-0000-0000-000086950000}"/>
    <cellStyle name="Comma 18 4 3 5 2" xfId="43825" xr:uid="{00000000-0005-0000-0000-000087950000}"/>
    <cellStyle name="Comma 18 4 3 5 3" xfId="43826" xr:uid="{00000000-0005-0000-0000-000088950000}"/>
    <cellStyle name="Comma 18 4 3 6" xfId="43827" xr:uid="{00000000-0005-0000-0000-000089950000}"/>
    <cellStyle name="Comma 18 4 3 6 2" xfId="43828" xr:uid="{00000000-0005-0000-0000-00008A950000}"/>
    <cellStyle name="Comma 18 4 3 6 3" xfId="43829" xr:uid="{00000000-0005-0000-0000-00008B950000}"/>
    <cellStyle name="Comma 18 4 3 7" xfId="43830" xr:uid="{00000000-0005-0000-0000-00008C950000}"/>
    <cellStyle name="Comma 18 4 3 7 2" xfId="43831" xr:uid="{00000000-0005-0000-0000-00008D950000}"/>
    <cellStyle name="Comma 18 4 3 8" xfId="43832" xr:uid="{00000000-0005-0000-0000-00008E950000}"/>
    <cellStyle name="Comma 18 4 3 9" xfId="43833" xr:uid="{00000000-0005-0000-0000-00008F950000}"/>
    <cellStyle name="Comma 18 4 4" xfId="43834" xr:uid="{00000000-0005-0000-0000-000090950000}"/>
    <cellStyle name="Comma 18 4 4 2" xfId="43835" xr:uid="{00000000-0005-0000-0000-000091950000}"/>
    <cellStyle name="Comma 18 4 4 2 2" xfId="43836" xr:uid="{00000000-0005-0000-0000-000092950000}"/>
    <cellStyle name="Comma 18 4 4 2 2 2" xfId="43837" xr:uid="{00000000-0005-0000-0000-000093950000}"/>
    <cellStyle name="Comma 18 4 4 2 2 3" xfId="43838" xr:uid="{00000000-0005-0000-0000-000094950000}"/>
    <cellStyle name="Comma 18 4 4 2 3" xfId="43839" xr:uid="{00000000-0005-0000-0000-000095950000}"/>
    <cellStyle name="Comma 18 4 4 2 3 2" xfId="43840" xr:uid="{00000000-0005-0000-0000-000096950000}"/>
    <cellStyle name="Comma 18 4 4 2 3 3" xfId="43841" xr:uid="{00000000-0005-0000-0000-000097950000}"/>
    <cellStyle name="Comma 18 4 4 2 4" xfId="43842" xr:uid="{00000000-0005-0000-0000-000098950000}"/>
    <cellStyle name="Comma 18 4 4 2 4 2" xfId="43843" xr:uid="{00000000-0005-0000-0000-000099950000}"/>
    <cellStyle name="Comma 18 4 4 2 5" xfId="43844" xr:uid="{00000000-0005-0000-0000-00009A950000}"/>
    <cellStyle name="Comma 18 4 4 2 6" xfId="43845" xr:uid="{00000000-0005-0000-0000-00009B950000}"/>
    <cellStyle name="Comma 18 4 4 3" xfId="43846" xr:uid="{00000000-0005-0000-0000-00009C950000}"/>
    <cellStyle name="Comma 18 4 4 3 2" xfId="43847" xr:uid="{00000000-0005-0000-0000-00009D950000}"/>
    <cellStyle name="Comma 18 4 4 3 2 2" xfId="43848" xr:uid="{00000000-0005-0000-0000-00009E950000}"/>
    <cellStyle name="Comma 18 4 4 3 2 3" xfId="43849" xr:uid="{00000000-0005-0000-0000-00009F950000}"/>
    <cellStyle name="Comma 18 4 4 3 3" xfId="43850" xr:uid="{00000000-0005-0000-0000-0000A0950000}"/>
    <cellStyle name="Comma 18 4 4 3 3 2" xfId="43851" xr:uid="{00000000-0005-0000-0000-0000A1950000}"/>
    <cellStyle name="Comma 18 4 4 3 3 3" xfId="43852" xr:uid="{00000000-0005-0000-0000-0000A2950000}"/>
    <cellStyle name="Comma 18 4 4 3 4" xfId="43853" xr:uid="{00000000-0005-0000-0000-0000A3950000}"/>
    <cellStyle name="Comma 18 4 4 3 4 2" xfId="43854" xr:uid="{00000000-0005-0000-0000-0000A4950000}"/>
    <cellStyle name="Comma 18 4 4 3 5" xfId="43855" xr:uid="{00000000-0005-0000-0000-0000A5950000}"/>
    <cellStyle name="Comma 18 4 4 3 6" xfId="43856" xr:uid="{00000000-0005-0000-0000-0000A6950000}"/>
    <cellStyle name="Comma 18 4 4 4" xfId="43857" xr:uid="{00000000-0005-0000-0000-0000A7950000}"/>
    <cellStyle name="Comma 18 4 4 4 2" xfId="43858" xr:uid="{00000000-0005-0000-0000-0000A8950000}"/>
    <cellStyle name="Comma 18 4 4 4 2 2" xfId="43859" xr:uid="{00000000-0005-0000-0000-0000A9950000}"/>
    <cellStyle name="Comma 18 4 4 4 2 3" xfId="43860" xr:uid="{00000000-0005-0000-0000-0000AA950000}"/>
    <cellStyle name="Comma 18 4 4 4 3" xfId="43861" xr:uid="{00000000-0005-0000-0000-0000AB950000}"/>
    <cellStyle name="Comma 18 4 4 4 3 2" xfId="43862" xr:uid="{00000000-0005-0000-0000-0000AC950000}"/>
    <cellStyle name="Comma 18 4 4 4 4" xfId="43863" xr:uid="{00000000-0005-0000-0000-0000AD950000}"/>
    <cellStyle name="Comma 18 4 4 4 5" xfId="43864" xr:uid="{00000000-0005-0000-0000-0000AE950000}"/>
    <cellStyle name="Comma 18 4 4 5" xfId="43865" xr:uid="{00000000-0005-0000-0000-0000AF950000}"/>
    <cellStyle name="Comma 18 4 4 5 2" xfId="43866" xr:uid="{00000000-0005-0000-0000-0000B0950000}"/>
    <cellStyle name="Comma 18 4 4 5 3" xfId="43867" xr:uid="{00000000-0005-0000-0000-0000B1950000}"/>
    <cellStyle name="Comma 18 4 4 6" xfId="43868" xr:uid="{00000000-0005-0000-0000-0000B2950000}"/>
    <cellStyle name="Comma 18 4 4 6 2" xfId="43869" xr:uid="{00000000-0005-0000-0000-0000B3950000}"/>
    <cellStyle name="Comma 18 4 4 6 3" xfId="43870" xr:uid="{00000000-0005-0000-0000-0000B4950000}"/>
    <cellStyle name="Comma 18 4 4 7" xfId="43871" xr:uid="{00000000-0005-0000-0000-0000B5950000}"/>
    <cellStyle name="Comma 18 4 4 7 2" xfId="43872" xr:uid="{00000000-0005-0000-0000-0000B6950000}"/>
    <cellStyle name="Comma 18 4 4 8" xfId="43873" xr:uid="{00000000-0005-0000-0000-0000B7950000}"/>
    <cellStyle name="Comma 18 4 4 9" xfId="43874" xr:uid="{00000000-0005-0000-0000-0000B8950000}"/>
    <cellStyle name="Comma 18 4 5" xfId="43875" xr:uid="{00000000-0005-0000-0000-0000B9950000}"/>
    <cellStyle name="Comma 18 4 5 2" xfId="43876" xr:uid="{00000000-0005-0000-0000-0000BA950000}"/>
    <cellStyle name="Comma 18 4 5 2 2" xfId="43877" xr:uid="{00000000-0005-0000-0000-0000BB950000}"/>
    <cellStyle name="Comma 18 4 5 2 3" xfId="43878" xr:uid="{00000000-0005-0000-0000-0000BC950000}"/>
    <cellStyle name="Comma 18 4 5 3" xfId="43879" xr:uid="{00000000-0005-0000-0000-0000BD950000}"/>
    <cellStyle name="Comma 18 4 5 3 2" xfId="43880" xr:uid="{00000000-0005-0000-0000-0000BE950000}"/>
    <cellStyle name="Comma 18 4 5 3 3" xfId="43881" xr:uid="{00000000-0005-0000-0000-0000BF950000}"/>
    <cellStyle name="Comma 18 4 5 4" xfId="43882" xr:uid="{00000000-0005-0000-0000-0000C0950000}"/>
    <cellStyle name="Comma 18 4 5 4 2" xfId="43883" xr:uid="{00000000-0005-0000-0000-0000C1950000}"/>
    <cellStyle name="Comma 18 4 5 5" xfId="43884" xr:uid="{00000000-0005-0000-0000-0000C2950000}"/>
    <cellStyle name="Comma 18 4 5 6" xfId="43885" xr:uid="{00000000-0005-0000-0000-0000C3950000}"/>
    <cellStyle name="Comma 18 4 6" xfId="43886" xr:uid="{00000000-0005-0000-0000-0000C4950000}"/>
    <cellStyle name="Comma 18 4 6 2" xfId="43887" xr:uid="{00000000-0005-0000-0000-0000C5950000}"/>
    <cellStyle name="Comma 18 4 6 2 2" xfId="43888" xr:uid="{00000000-0005-0000-0000-0000C6950000}"/>
    <cellStyle name="Comma 18 4 6 2 3" xfId="43889" xr:uid="{00000000-0005-0000-0000-0000C7950000}"/>
    <cellStyle name="Comma 18 4 6 3" xfId="43890" xr:uid="{00000000-0005-0000-0000-0000C8950000}"/>
    <cellStyle name="Comma 18 4 6 3 2" xfId="43891" xr:uid="{00000000-0005-0000-0000-0000C9950000}"/>
    <cellStyle name="Comma 18 4 6 3 3" xfId="43892" xr:uid="{00000000-0005-0000-0000-0000CA950000}"/>
    <cellStyle name="Comma 18 4 6 4" xfId="43893" xr:uid="{00000000-0005-0000-0000-0000CB950000}"/>
    <cellStyle name="Comma 18 4 6 4 2" xfId="43894" xr:uid="{00000000-0005-0000-0000-0000CC950000}"/>
    <cellStyle name="Comma 18 4 6 5" xfId="43895" xr:uid="{00000000-0005-0000-0000-0000CD950000}"/>
    <cellStyle name="Comma 18 4 6 6" xfId="43896" xr:uid="{00000000-0005-0000-0000-0000CE950000}"/>
    <cellStyle name="Comma 18 4 7" xfId="43897" xr:uid="{00000000-0005-0000-0000-0000CF950000}"/>
    <cellStyle name="Comma 18 4 7 2" xfId="43898" xr:uid="{00000000-0005-0000-0000-0000D0950000}"/>
    <cellStyle name="Comma 18 4 7 2 2" xfId="43899" xr:uid="{00000000-0005-0000-0000-0000D1950000}"/>
    <cellStyle name="Comma 18 4 7 2 3" xfId="43900" xr:uid="{00000000-0005-0000-0000-0000D2950000}"/>
    <cellStyle name="Comma 18 4 7 3" xfId="43901" xr:uid="{00000000-0005-0000-0000-0000D3950000}"/>
    <cellStyle name="Comma 18 4 7 3 2" xfId="43902" xr:uid="{00000000-0005-0000-0000-0000D4950000}"/>
    <cellStyle name="Comma 18 4 7 4" xfId="43903" xr:uid="{00000000-0005-0000-0000-0000D5950000}"/>
    <cellStyle name="Comma 18 4 7 5" xfId="43904" xr:uid="{00000000-0005-0000-0000-0000D6950000}"/>
    <cellStyle name="Comma 18 4 8" xfId="43905" xr:uid="{00000000-0005-0000-0000-0000D7950000}"/>
    <cellStyle name="Comma 18 4 8 2" xfId="43906" xr:uid="{00000000-0005-0000-0000-0000D8950000}"/>
    <cellStyle name="Comma 18 4 8 3" xfId="43907" xr:uid="{00000000-0005-0000-0000-0000D9950000}"/>
    <cellStyle name="Comma 18 4 9" xfId="43908" xr:uid="{00000000-0005-0000-0000-0000DA950000}"/>
    <cellStyle name="Comma 18 4 9 2" xfId="43909" xr:uid="{00000000-0005-0000-0000-0000DB950000}"/>
    <cellStyle name="Comma 18 4 9 3" xfId="43910" xr:uid="{00000000-0005-0000-0000-0000DC950000}"/>
    <cellStyle name="Comma 18 5" xfId="43911" xr:uid="{00000000-0005-0000-0000-0000DD950000}"/>
    <cellStyle name="Comma 18 5 10" xfId="43912" xr:uid="{00000000-0005-0000-0000-0000DE950000}"/>
    <cellStyle name="Comma 18 5 2" xfId="43913" xr:uid="{00000000-0005-0000-0000-0000DF950000}"/>
    <cellStyle name="Comma 18 5 2 2" xfId="43914" xr:uid="{00000000-0005-0000-0000-0000E0950000}"/>
    <cellStyle name="Comma 18 5 2 2 2" xfId="43915" xr:uid="{00000000-0005-0000-0000-0000E1950000}"/>
    <cellStyle name="Comma 18 5 2 2 2 2" xfId="43916" xr:uid="{00000000-0005-0000-0000-0000E2950000}"/>
    <cellStyle name="Comma 18 5 2 2 2 3" xfId="43917" xr:uid="{00000000-0005-0000-0000-0000E3950000}"/>
    <cellStyle name="Comma 18 5 2 2 3" xfId="43918" xr:uid="{00000000-0005-0000-0000-0000E4950000}"/>
    <cellStyle name="Comma 18 5 2 2 3 2" xfId="43919" xr:uid="{00000000-0005-0000-0000-0000E5950000}"/>
    <cellStyle name="Comma 18 5 2 2 3 3" xfId="43920" xr:uid="{00000000-0005-0000-0000-0000E6950000}"/>
    <cellStyle name="Comma 18 5 2 2 4" xfId="43921" xr:uid="{00000000-0005-0000-0000-0000E7950000}"/>
    <cellStyle name="Comma 18 5 2 2 4 2" xfId="43922" xr:uid="{00000000-0005-0000-0000-0000E8950000}"/>
    <cellStyle name="Comma 18 5 2 2 5" xfId="43923" xr:uid="{00000000-0005-0000-0000-0000E9950000}"/>
    <cellStyle name="Comma 18 5 2 2 6" xfId="43924" xr:uid="{00000000-0005-0000-0000-0000EA950000}"/>
    <cellStyle name="Comma 18 5 2 3" xfId="43925" xr:uid="{00000000-0005-0000-0000-0000EB950000}"/>
    <cellStyle name="Comma 18 5 2 3 2" xfId="43926" xr:uid="{00000000-0005-0000-0000-0000EC950000}"/>
    <cellStyle name="Comma 18 5 2 3 2 2" xfId="43927" xr:uid="{00000000-0005-0000-0000-0000ED950000}"/>
    <cellStyle name="Comma 18 5 2 3 2 3" xfId="43928" xr:uid="{00000000-0005-0000-0000-0000EE950000}"/>
    <cellStyle name="Comma 18 5 2 3 3" xfId="43929" xr:uid="{00000000-0005-0000-0000-0000EF950000}"/>
    <cellStyle name="Comma 18 5 2 3 3 2" xfId="43930" xr:uid="{00000000-0005-0000-0000-0000F0950000}"/>
    <cellStyle name="Comma 18 5 2 3 3 3" xfId="43931" xr:uid="{00000000-0005-0000-0000-0000F1950000}"/>
    <cellStyle name="Comma 18 5 2 3 4" xfId="43932" xr:uid="{00000000-0005-0000-0000-0000F2950000}"/>
    <cellStyle name="Comma 18 5 2 3 4 2" xfId="43933" xr:uid="{00000000-0005-0000-0000-0000F3950000}"/>
    <cellStyle name="Comma 18 5 2 3 5" xfId="43934" xr:uid="{00000000-0005-0000-0000-0000F4950000}"/>
    <cellStyle name="Comma 18 5 2 3 6" xfId="43935" xr:uid="{00000000-0005-0000-0000-0000F5950000}"/>
    <cellStyle name="Comma 18 5 2 4" xfId="43936" xr:uid="{00000000-0005-0000-0000-0000F6950000}"/>
    <cellStyle name="Comma 18 5 2 4 2" xfId="43937" xr:uid="{00000000-0005-0000-0000-0000F7950000}"/>
    <cellStyle name="Comma 18 5 2 4 2 2" xfId="43938" xr:uid="{00000000-0005-0000-0000-0000F8950000}"/>
    <cellStyle name="Comma 18 5 2 4 2 3" xfId="43939" xr:uid="{00000000-0005-0000-0000-0000F9950000}"/>
    <cellStyle name="Comma 18 5 2 4 3" xfId="43940" xr:uid="{00000000-0005-0000-0000-0000FA950000}"/>
    <cellStyle name="Comma 18 5 2 4 3 2" xfId="43941" xr:uid="{00000000-0005-0000-0000-0000FB950000}"/>
    <cellStyle name="Comma 18 5 2 4 4" xfId="43942" xr:uid="{00000000-0005-0000-0000-0000FC950000}"/>
    <cellStyle name="Comma 18 5 2 4 5" xfId="43943" xr:uid="{00000000-0005-0000-0000-0000FD950000}"/>
    <cellStyle name="Comma 18 5 2 5" xfId="43944" xr:uid="{00000000-0005-0000-0000-0000FE950000}"/>
    <cellStyle name="Comma 18 5 2 5 2" xfId="43945" xr:uid="{00000000-0005-0000-0000-0000FF950000}"/>
    <cellStyle name="Comma 18 5 2 5 3" xfId="43946" xr:uid="{00000000-0005-0000-0000-000000960000}"/>
    <cellStyle name="Comma 18 5 2 6" xfId="43947" xr:uid="{00000000-0005-0000-0000-000001960000}"/>
    <cellStyle name="Comma 18 5 2 6 2" xfId="43948" xr:uid="{00000000-0005-0000-0000-000002960000}"/>
    <cellStyle name="Comma 18 5 2 6 3" xfId="43949" xr:uid="{00000000-0005-0000-0000-000003960000}"/>
    <cellStyle name="Comma 18 5 2 7" xfId="43950" xr:uid="{00000000-0005-0000-0000-000004960000}"/>
    <cellStyle name="Comma 18 5 2 7 2" xfId="43951" xr:uid="{00000000-0005-0000-0000-000005960000}"/>
    <cellStyle name="Comma 18 5 2 8" xfId="43952" xr:uid="{00000000-0005-0000-0000-000006960000}"/>
    <cellStyle name="Comma 18 5 2 9" xfId="43953" xr:uid="{00000000-0005-0000-0000-000007960000}"/>
    <cellStyle name="Comma 18 5 3" xfId="43954" xr:uid="{00000000-0005-0000-0000-000008960000}"/>
    <cellStyle name="Comma 18 5 3 2" xfId="43955" xr:uid="{00000000-0005-0000-0000-000009960000}"/>
    <cellStyle name="Comma 18 5 3 2 2" xfId="43956" xr:uid="{00000000-0005-0000-0000-00000A960000}"/>
    <cellStyle name="Comma 18 5 3 2 3" xfId="43957" xr:uid="{00000000-0005-0000-0000-00000B960000}"/>
    <cellStyle name="Comma 18 5 3 3" xfId="43958" xr:uid="{00000000-0005-0000-0000-00000C960000}"/>
    <cellStyle name="Comma 18 5 3 3 2" xfId="43959" xr:uid="{00000000-0005-0000-0000-00000D960000}"/>
    <cellStyle name="Comma 18 5 3 3 3" xfId="43960" xr:uid="{00000000-0005-0000-0000-00000E960000}"/>
    <cellStyle name="Comma 18 5 3 4" xfId="43961" xr:uid="{00000000-0005-0000-0000-00000F960000}"/>
    <cellStyle name="Comma 18 5 3 4 2" xfId="43962" xr:uid="{00000000-0005-0000-0000-000010960000}"/>
    <cellStyle name="Comma 18 5 3 5" xfId="43963" xr:uid="{00000000-0005-0000-0000-000011960000}"/>
    <cellStyle name="Comma 18 5 3 6" xfId="43964" xr:uid="{00000000-0005-0000-0000-000012960000}"/>
    <cellStyle name="Comma 18 5 4" xfId="43965" xr:uid="{00000000-0005-0000-0000-000013960000}"/>
    <cellStyle name="Comma 18 5 4 2" xfId="43966" xr:uid="{00000000-0005-0000-0000-000014960000}"/>
    <cellStyle name="Comma 18 5 4 2 2" xfId="43967" xr:uid="{00000000-0005-0000-0000-000015960000}"/>
    <cellStyle name="Comma 18 5 4 2 3" xfId="43968" xr:uid="{00000000-0005-0000-0000-000016960000}"/>
    <cellStyle name="Comma 18 5 4 3" xfId="43969" xr:uid="{00000000-0005-0000-0000-000017960000}"/>
    <cellStyle name="Comma 18 5 4 3 2" xfId="43970" xr:uid="{00000000-0005-0000-0000-000018960000}"/>
    <cellStyle name="Comma 18 5 4 3 3" xfId="43971" xr:uid="{00000000-0005-0000-0000-000019960000}"/>
    <cellStyle name="Comma 18 5 4 4" xfId="43972" xr:uid="{00000000-0005-0000-0000-00001A960000}"/>
    <cellStyle name="Comma 18 5 4 4 2" xfId="43973" xr:uid="{00000000-0005-0000-0000-00001B960000}"/>
    <cellStyle name="Comma 18 5 4 5" xfId="43974" xr:uid="{00000000-0005-0000-0000-00001C960000}"/>
    <cellStyle name="Comma 18 5 4 6" xfId="43975" xr:uid="{00000000-0005-0000-0000-00001D960000}"/>
    <cellStyle name="Comma 18 5 5" xfId="43976" xr:uid="{00000000-0005-0000-0000-00001E960000}"/>
    <cellStyle name="Comma 18 5 5 2" xfId="43977" xr:uid="{00000000-0005-0000-0000-00001F960000}"/>
    <cellStyle name="Comma 18 5 5 2 2" xfId="43978" xr:uid="{00000000-0005-0000-0000-000020960000}"/>
    <cellStyle name="Comma 18 5 5 2 3" xfId="43979" xr:uid="{00000000-0005-0000-0000-000021960000}"/>
    <cellStyle name="Comma 18 5 5 3" xfId="43980" xr:uid="{00000000-0005-0000-0000-000022960000}"/>
    <cellStyle name="Comma 18 5 5 3 2" xfId="43981" xr:uid="{00000000-0005-0000-0000-000023960000}"/>
    <cellStyle name="Comma 18 5 5 4" xfId="43982" xr:uid="{00000000-0005-0000-0000-000024960000}"/>
    <cellStyle name="Comma 18 5 5 5" xfId="43983" xr:uid="{00000000-0005-0000-0000-000025960000}"/>
    <cellStyle name="Comma 18 5 6" xfId="43984" xr:uid="{00000000-0005-0000-0000-000026960000}"/>
    <cellStyle name="Comma 18 5 6 2" xfId="43985" xr:uid="{00000000-0005-0000-0000-000027960000}"/>
    <cellStyle name="Comma 18 5 6 3" xfId="43986" xr:uid="{00000000-0005-0000-0000-000028960000}"/>
    <cellStyle name="Comma 18 5 7" xfId="43987" xr:uid="{00000000-0005-0000-0000-000029960000}"/>
    <cellStyle name="Comma 18 5 7 2" xfId="43988" xr:uid="{00000000-0005-0000-0000-00002A960000}"/>
    <cellStyle name="Comma 18 5 7 3" xfId="43989" xr:uid="{00000000-0005-0000-0000-00002B960000}"/>
    <cellStyle name="Comma 18 5 8" xfId="43990" xr:uid="{00000000-0005-0000-0000-00002C960000}"/>
    <cellStyle name="Comma 18 5 8 2" xfId="43991" xr:uid="{00000000-0005-0000-0000-00002D960000}"/>
    <cellStyle name="Comma 18 5 9" xfId="43992" xr:uid="{00000000-0005-0000-0000-00002E960000}"/>
    <cellStyle name="Comma 18 6" xfId="43993" xr:uid="{00000000-0005-0000-0000-00002F960000}"/>
    <cellStyle name="Comma 18 6 2" xfId="43994" xr:uid="{00000000-0005-0000-0000-000030960000}"/>
    <cellStyle name="Comma 18 6 2 2" xfId="43995" xr:uid="{00000000-0005-0000-0000-000031960000}"/>
    <cellStyle name="Comma 18 6 2 2 2" xfId="43996" xr:uid="{00000000-0005-0000-0000-000032960000}"/>
    <cellStyle name="Comma 18 6 2 2 3" xfId="43997" xr:uid="{00000000-0005-0000-0000-000033960000}"/>
    <cellStyle name="Comma 18 6 2 3" xfId="43998" xr:uid="{00000000-0005-0000-0000-000034960000}"/>
    <cellStyle name="Comma 18 6 2 3 2" xfId="43999" xr:uid="{00000000-0005-0000-0000-000035960000}"/>
    <cellStyle name="Comma 18 6 2 3 3" xfId="44000" xr:uid="{00000000-0005-0000-0000-000036960000}"/>
    <cellStyle name="Comma 18 6 2 4" xfId="44001" xr:uid="{00000000-0005-0000-0000-000037960000}"/>
    <cellStyle name="Comma 18 6 2 4 2" xfId="44002" xr:uid="{00000000-0005-0000-0000-000038960000}"/>
    <cellStyle name="Comma 18 6 2 5" xfId="44003" xr:uid="{00000000-0005-0000-0000-000039960000}"/>
    <cellStyle name="Comma 18 6 2 6" xfId="44004" xr:uid="{00000000-0005-0000-0000-00003A960000}"/>
    <cellStyle name="Comma 18 6 3" xfId="44005" xr:uid="{00000000-0005-0000-0000-00003B960000}"/>
    <cellStyle name="Comma 18 6 3 2" xfId="44006" xr:uid="{00000000-0005-0000-0000-00003C960000}"/>
    <cellStyle name="Comma 18 6 3 2 2" xfId="44007" xr:uid="{00000000-0005-0000-0000-00003D960000}"/>
    <cellStyle name="Comma 18 6 3 2 3" xfId="44008" xr:uid="{00000000-0005-0000-0000-00003E960000}"/>
    <cellStyle name="Comma 18 6 3 3" xfId="44009" xr:uid="{00000000-0005-0000-0000-00003F960000}"/>
    <cellStyle name="Comma 18 6 3 3 2" xfId="44010" xr:uid="{00000000-0005-0000-0000-000040960000}"/>
    <cellStyle name="Comma 18 6 3 3 3" xfId="44011" xr:uid="{00000000-0005-0000-0000-000041960000}"/>
    <cellStyle name="Comma 18 6 3 4" xfId="44012" xr:uid="{00000000-0005-0000-0000-000042960000}"/>
    <cellStyle name="Comma 18 6 3 4 2" xfId="44013" xr:uid="{00000000-0005-0000-0000-000043960000}"/>
    <cellStyle name="Comma 18 6 3 5" xfId="44014" xr:uid="{00000000-0005-0000-0000-000044960000}"/>
    <cellStyle name="Comma 18 6 3 6" xfId="44015" xr:uid="{00000000-0005-0000-0000-000045960000}"/>
    <cellStyle name="Comma 18 6 4" xfId="44016" xr:uid="{00000000-0005-0000-0000-000046960000}"/>
    <cellStyle name="Comma 18 6 4 2" xfId="44017" xr:uid="{00000000-0005-0000-0000-000047960000}"/>
    <cellStyle name="Comma 18 6 4 2 2" xfId="44018" xr:uid="{00000000-0005-0000-0000-000048960000}"/>
    <cellStyle name="Comma 18 6 4 2 3" xfId="44019" xr:uid="{00000000-0005-0000-0000-000049960000}"/>
    <cellStyle name="Comma 18 6 4 3" xfId="44020" xr:uid="{00000000-0005-0000-0000-00004A960000}"/>
    <cellStyle name="Comma 18 6 4 3 2" xfId="44021" xr:uid="{00000000-0005-0000-0000-00004B960000}"/>
    <cellStyle name="Comma 18 6 4 4" xfId="44022" xr:uid="{00000000-0005-0000-0000-00004C960000}"/>
    <cellStyle name="Comma 18 6 4 5" xfId="44023" xr:uid="{00000000-0005-0000-0000-00004D960000}"/>
    <cellStyle name="Comma 18 6 5" xfId="44024" xr:uid="{00000000-0005-0000-0000-00004E960000}"/>
    <cellStyle name="Comma 18 6 5 2" xfId="44025" xr:uid="{00000000-0005-0000-0000-00004F960000}"/>
    <cellStyle name="Comma 18 6 5 3" xfId="44026" xr:uid="{00000000-0005-0000-0000-000050960000}"/>
    <cellStyle name="Comma 18 6 6" xfId="44027" xr:uid="{00000000-0005-0000-0000-000051960000}"/>
    <cellStyle name="Comma 18 6 6 2" xfId="44028" xr:uid="{00000000-0005-0000-0000-000052960000}"/>
    <cellStyle name="Comma 18 6 6 3" xfId="44029" xr:uid="{00000000-0005-0000-0000-000053960000}"/>
    <cellStyle name="Comma 18 6 7" xfId="44030" xr:uid="{00000000-0005-0000-0000-000054960000}"/>
    <cellStyle name="Comma 18 6 7 2" xfId="44031" xr:uid="{00000000-0005-0000-0000-000055960000}"/>
    <cellStyle name="Comma 18 6 8" xfId="44032" xr:uid="{00000000-0005-0000-0000-000056960000}"/>
    <cellStyle name="Comma 18 6 9" xfId="44033" xr:uid="{00000000-0005-0000-0000-000057960000}"/>
    <cellStyle name="Comma 18 7" xfId="44034" xr:uid="{00000000-0005-0000-0000-000058960000}"/>
    <cellStyle name="Comma 18 7 2" xfId="44035" xr:uid="{00000000-0005-0000-0000-000059960000}"/>
    <cellStyle name="Comma 18 7 2 2" xfId="44036" xr:uid="{00000000-0005-0000-0000-00005A960000}"/>
    <cellStyle name="Comma 18 7 2 2 2" xfId="44037" xr:uid="{00000000-0005-0000-0000-00005B960000}"/>
    <cellStyle name="Comma 18 7 2 2 3" xfId="44038" xr:uid="{00000000-0005-0000-0000-00005C960000}"/>
    <cellStyle name="Comma 18 7 2 3" xfId="44039" xr:uid="{00000000-0005-0000-0000-00005D960000}"/>
    <cellStyle name="Comma 18 7 2 3 2" xfId="44040" xr:uid="{00000000-0005-0000-0000-00005E960000}"/>
    <cellStyle name="Comma 18 7 2 3 3" xfId="44041" xr:uid="{00000000-0005-0000-0000-00005F960000}"/>
    <cellStyle name="Comma 18 7 2 4" xfId="44042" xr:uid="{00000000-0005-0000-0000-000060960000}"/>
    <cellStyle name="Comma 18 7 2 4 2" xfId="44043" xr:uid="{00000000-0005-0000-0000-000061960000}"/>
    <cellStyle name="Comma 18 7 2 5" xfId="44044" xr:uid="{00000000-0005-0000-0000-000062960000}"/>
    <cellStyle name="Comma 18 7 2 6" xfId="44045" xr:uid="{00000000-0005-0000-0000-000063960000}"/>
    <cellStyle name="Comma 18 7 3" xfId="44046" xr:uid="{00000000-0005-0000-0000-000064960000}"/>
    <cellStyle name="Comma 18 7 3 2" xfId="44047" xr:uid="{00000000-0005-0000-0000-000065960000}"/>
    <cellStyle name="Comma 18 7 3 2 2" xfId="44048" xr:uid="{00000000-0005-0000-0000-000066960000}"/>
    <cellStyle name="Comma 18 7 3 2 3" xfId="44049" xr:uid="{00000000-0005-0000-0000-000067960000}"/>
    <cellStyle name="Comma 18 7 3 3" xfId="44050" xr:uid="{00000000-0005-0000-0000-000068960000}"/>
    <cellStyle name="Comma 18 7 3 3 2" xfId="44051" xr:uid="{00000000-0005-0000-0000-000069960000}"/>
    <cellStyle name="Comma 18 7 3 3 3" xfId="44052" xr:uid="{00000000-0005-0000-0000-00006A960000}"/>
    <cellStyle name="Comma 18 7 3 4" xfId="44053" xr:uid="{00000000-0005-0000-0000-00006B960000}"/>
    <cellStyle name="Comma 18 7 3 4 2" xfId="44054" xr:uid="{00000000-0005-0000-0000-00006C960000}"/>
    <cellStyle name="Comma 18 7 3 5" xfId="44055" xr:uid="{00000000-0005-0000-0000-00006D960000}"/>
    <cellStyle name="Comma 18 7 3 6" xfId="44056" xr:uid="{00000000-0005-0000-0000-00006E960000}"/>
    <cellStyle name="Comma 18 7 4" xfId="44057" xr:uid="{00000000-0005-0000-0000-00006F960000}"/>
    <cellStyle name="Comma 18 7 4 2" xfId="44058" xr:uid="{00000000-0005-0000-0000-000070960000}"/>
    <cellStyle name="Comma 18 7 4 2 2" xfId="44059" xr:uid="{00000000-0005-0000-0000-000071960000}"/>
    <cellStyle name="Comma 18 7 4 2 3" xfId="44060" xr:uid="{00000000-0005-0000-0000-000072960000}"/>
    <cellStyle name="Comma 18 7 4 3" xfId="44061" xr:uid="{00000000-0005-0000-0000-000073960000}"/>
    <cellStyle name="Comma 18 7 4 3 2" xfId="44062" xr:uid="{00000000-0005-0000-0000-000074960000}"/>
    <cellStyle name="Comma 18 7 4 4" xfId="44063" xr:uid="{00000000-0005-0000-0000-000075960000}"/>
    <cellStyle name="Comma 18 7 4 5" xfId="44064" xr:uid="{00000000-0005-0000-0000-000076960000}"/>
    <cellStyle name="Comma 18 7 5" xfId="44065" xr:uid="{00000000-0005-0000-0000-000077960000}"/>
    <cellStyle name="Comma 18 7 5 2" xfId="44066" xr:uid="{00000000-0005-0000-0000-000078960000}"/>
    <cellStyle name="Comma 18 7 5 3" xfId="44067" xr:uid="{00000000-0005-0000-0000-000079960000}"/>
    <cellStyle name="Comma 18 7 6" xfId="44068" xr:uid="{00000000-0005-0000-0000-00007A960000}"/>
    <cellStyle name="Comma 18 7 6 2" xfId="44069" xr:uid="{00000000-0005-0000-0000-00007B960000}"/>
    <cellStyle name="Comma 18 7 6 3" xfId="44070" xr:uid="{00000000-0005-0000-0000-00007C960000}"/>
    <cellStyle name="Comma 18 7 7" xfId="44071" xr:uid="{00000000-0005-0000-0000-00007D960000}"/>
    <cellStyle name="Comma 18 7 7 2" xfId="44072" xr:uid="{00000000-0005-0000-0000-00007E960000}"/>
    <cellStyle name="Comma 18 7 8" xfId="44073" xr:uid="{00000000-0005-0000-0000-00007F960000}"/>
    <cellStyle name="Comma 18 7 9" xfId="44074" xr:uid="{00000000-0005-0000-0000-000080960000}"/>
    <cellStyle name="Comma 18 8" xfId="44075" xr:uid="{00000000-0005-0000-0000-000081960000}"/>
    <cellStyle name="Comma 18 8 2" xfId="44076" xr:uid="{00000000-0005-0000-0000-000082960000}"/>
    <cellStyle name="Comma 18 8 2 2" xfId="44077" xr:uid="{00000000-0005-0000-0000-000083960000}"/>
    <cellStyle name="Comma 18 8 2 3" xfId="44078" xr:uid="{00000000-0005-0000-0000-000084960000}"/>
    <cellStyle name="Comma 18 8 3" xfId="44079" xr:uid="{00000000-0005-0000-0000-000085960000}"/>
    <cellStyle name="Comma 18 8 3 2" xfId="44080" xr:uid="{00000000-0005-0000-0000-000086960000}"/>
    <cellStyle name="Comma 18 8 3 3" xfId="44081" xr:uid="{00000000-0005-0000-0000-000087960000}"/>
    <cellStyle name="Comma 18 8 4" xfId="44082" xr:uid="{00000000-0005-0000-0000-000088960000}"/>
    <cellStyle name="Comma 18 8 4 2" xfId="44083" xr:uid="{00000000-0005-0000-0000-000089960000}"/>
    <cellStyle name="Comma 18 8 5" xfId="44084" xr:uid="{00000000-0005-0000-0000-00008A960000}"/>
    <cellStyle name="Comma 18 8 6" xfId="44085" xr:uid="{00000000-0005-0000-0000-00008B960000}"/>
    <cellStyle name="Comma 18 9" xfId="44086" xr:uid="{00000000-0005-0000-0000-00008C960000}"/>
    <cellStyle name="Comma 18 9 2" xfId="44087" xr:uid="{00000000-0005-0000-0000-00008D960000}"/>
    <cellStyle name="Comma 18 9 2 2" xfId="44088" xr:uid="{00000000-0005-0000-0000-00008E960000}"/>
    <cellStyle name="Comma 18 9 2 3" xfId="44089" xr:uid="{00000000-0005-0000-0000-00008F960000}"/>
    <cellStyle name="Comma 18 9 3" xfId="44090" xr:uid="{00000000-0005-0000-0000-000090960000}"/>
    <cellStyle name="Comma 18 9 3 2" xfId="44091" xr:uid="{00000000-0005-0000-0000-000091960000}"/>
    <cellStyle name="Comma 18 9 3 3" xfId="44092" xr:uid="{00000000-0005-0000-0000-000092960000}"/>
    <cellStyle name="Comma 18 9 4" xfId="44093" xr:uid="{00000000-0005-0000-0000-000093960000}"/>
    <cellStyle name="Comma 18 9 4 2" xfId="44094" xr:uid="{00000000-0005-0000-0000-000094960000}"/>
    <cellStyle name="Comma 18 9 5" xfId="44095" xr:uid="{00000000-0005-0000-0000-000095960000}"/>
    <cellStyle name="Comma 18 9 6" xfId="44096" xr:uid="{00000000-0005-0000-0000-000096960000}"/>
    <cellStyle name="Comma 19" xfId="3249" xr:uid="{00000000-0005-0000-0000-000097960000}"/>
    <cellStyle name="Comma 19 2" xfId="3250" xr:uid="{00000000-0005-0000-0000-000098960000}"/>
    <cellStyle name="Comma 19 2 2" xfId="44097" xr:uid="{00000000-0005-0000-0000-000099960000}"/>
    <cellStyle name="Comma 19 2 2 2" xfId="44098" xr:uid="{00000000-0005-0000-0000-00009A960000}"/>
    <cellStyle name="Comma 19 2 3" xfId="44099" xr:uid="{00000000-0005-0000-0000-00009B960000}"/>
    <cellStyle name="Comma 19 3" xfId="44100" xr:uid="{00000000-0005-0000-0000-00009C960000}"/>
    <cellStyle name="Comma 19 3 2" xfId="44101" xr:uid="{00000000-0005-0000-0000-00009D960000}"/>
    <cellStyle name="Comma 19 4" xfId="44102" xr:uid="{00000000-0005-0000-0000-00009E960000}"/>
    <cellStyle name="Comma 19 4 2" xfId="44103" xr:uid="{00000000-0005-0000-0000-00009F960000}"/>
    <cellStyle name="Comma 19 5" xfId="44104" xr:uid="{00000000-0005-0000-0000-0000A0960000}"/>
    <cellStyle name="Comma 19 6" xfId="44105" xr:uid="{00000000-0005-0000-0000-0000A1960000}"/>
    <cellStyle name="Comma 2" xfId="3251" xr:uid="{00000000-0005-0000-0000-0000A2960000}"/>
    <cellStyle name="Comma 2 10" xfId="3252" xr:uid="{00000000-0005-0000-0000-0000A3960000}"/>
    <cellStyle name="Comma 2 10 2" xfId="3253" xr:uid="{00000000-0005-0000-0000-0000A4960000}"/>
    <cellStyle name="Comma 2 10 2 2" xfId="3254" xr:uid="{00000000-0005-0000-0000-0000A5960000}"/>
    <cellStyle name="Comma 2 10 2 2 2" xfId="58471" xr:uid="{00000000-0005-0000-0000-0000A6960000}"/>
    <cellStyle name="Comma 2 10 2 3" xfId="58472" xr:uid="{00000000-0005-0000-0000-0000A7960000}"/>
    <cellStyle name="Comma 2 10 2 4" xfId="58473" xr:uid="{00000000-0005-0000-0000-0000A8960000}"/>
    <cellStyle name="Comma 2 10 2 5" xfId="58474" xr:uid="{00000000-0005-0000-0000-0000A9960000}"/>
    <cellStyle name="Comma 2 10 3" xfId="3255" xr:uid="{00000000-0005-0000-0000-0000AA960000}"/>
    <cellStyle name="Comma 2 10 3 2" xfId="58475" xr:uid="{00000000-0005-0000-0000-0000AB960000}"/>
    <cellStyle name="Comma 2 10 3 2 2" xfId="58476" xr:uid="{00000000-0005-0000-0000-0000AC960000}"/>
    <cellStyle name="Comma 2 10 3 3" xfId="58477" xr:uid="{00000000-0005-0000-0000-0000AD960000}"/>
    <cellStyle name="Comma 2 10 3 4" xfId="58478" xr:uid="{00000000-0005-0000-0000-0000AE960000}"/>
    <cellStyle name="Comma 2 10 3 5" xfId="58479" xr:uid="{00000000-0005-0000-0000-0000AF960000}"/>
    <cellStyle name="Comma 2 10 4" xfId="58480" xr:uid="{00000000-0005-0000-0000-0000B0960000}"/>
    <cellStyle name="Comma 2 11" xfId="3256" xr:uid="{00000000-0005-0000-0000-0000B1960000}"/>
    <cellStyle name="Comma 2 11 2" xfId="3257" xr:uid="{00000000-0005-0000-0000-0000B2960000}"/>
    <cellStyle name="Comma 2 11 2 2" xfId="58481" xr:uid="{00000000-0005-0000-0000-0000B3960000}"/>
    <cellStyle name="Comma 2 11 2 2 2" xfId="58482" xr:uid="{00000000-0005-0000-0000-0000B4960000}"/>
    <cellStyle name="Comma 2 11 2 3" xfId="58483" xr:uid="{00000000-0005-0000-0000-0000B5960000}"/>
    <cellStyle name="Comma 2 11 2 4" xfId="58484" xr:uid="{00000000-0005-0000-0000-0000B6960000}"/>
    <cellStyle name="Comma 2 11 2 5" xfId="58485" xr:uid="{00000000-0005-0000-0000-0000B7960000}"/>
    <cellStyle name="Comma 2 11 2 6" xfId="58486" xr:uid="{00000000-0005-0000-0000-0000B8960000}"/>
    <cellStyle name="Comma 2 11 3" xfId="58487" xr:uid="{00000000-0005-0000-0000-0000B9960000}"/>
    <cellStyle name="Comma 2 12" xfId="3258" xr:uid="{00000000-0005-0000-0000-0000BA960000}"/>
    <cellStyle name="Comma 2 12 2" xfId="3259" xr:uid="{00000000-0005-0000-0000-0000BB960000}"/>
    <cellStyle name="Comma 2 12 3" xfId="58488" xr:uid="{00000000-0005-0000-0000-0000BC960000}"/>
    <cellStyle name="Comma 2 13" xfId="3260" xr:uid="{00000000-0005-0000-0000-0000BD960000}"/>
    <cellStyle name="Comma 2 13 2" xfId="58489" xr:uid="{00000000-0005-0000-0000-0000BE960000}"/>
    <cellStyle name="Comma 2 14" xfId="3261" xr:uid="{00000000-0005-0000-0000-0000BF960000}"/>
    <cellStyle name="Comma 2 14 2" xfId="58490" xr:uid="{00000000-0005-0000-0000-0000C0960000}"/>
    <cellStyle name="Comma 2 15" xfId="3262" xr:uid="{00000000-0005-0000-0000-0000C1960000}"/>
    <cellStyle name="Comma 2 15 2" xfId="58491" xr:uid="{00000000-0005-0000-0000-0000C2960000}"/>
    <cellStyle name="Comma 2 16" xfId="61976" xr:uid="{00000000-0005-0000-0000-0000C3960000}"/>
    <cellStyle name="Comma 2 2" xfId="2" xr:uid="{00000000-0005-0000-0000-0000C4960000}"/>
    <cellStyle name="Comma 2 2 2" xfId="3263" xr:uid="{00000000-0005-0000-0000-0000C5960000}"/>
    <cellStyle name="Comma 2 2 2 2" xfId="3264" xr:uid="{00000000-0005-0000-0000-0000C6960000}"/>
    <cellStyle name="Comma 2 2 2 2 2" xfId="3265" xr:uid="{00000000-0005-0000-0000-0000C7960000}"/>
    <cellStyle name="Comma 2 2 2 2 2 2" xfId="58492" xr:uid="{00000000-0005-0000-0000-0000C8960000}"/>
    <cellStyle name="Comma 2 2 2 2 2 2 2" xfId="58493" xr:uid="{00000000-0005-0000-0000-0000C9960000}"/>
    <cellStyle name="Comma 2 2 2 2 2 3" xfId="58494" xr:uid="{00000000-0005-0000-0000-0000CA960000}"/>
    <cellStyle name="Comma 2 2 2 2 2 4" xfId="58495" xr:uid="{00000000-0005-0000-0000-0000CB960000}"/>
    <cellStyle name="Comma 2 2 2 2 3" xfId="44106" xr:uid="{00000000-0005-0000-0000-0000CC960000}"/>
    <cellStyle name="Comma 2 2 2 2 3 2" xfId="58496" xr:uid="{00000000-0005-0000-0000-0000CD960000}"/>
    <cellStyle name="Comma 2 2 2 2 4" xfId="58497" xr:uid="{00000000-0005-0000-0000-0000CE960000}"/>
    <cellStyle name="Comma 2 2 2 2 5" xfId="58498" xr:uid="{00000000-0005-0000-0000-0000CF960000}"/>
    <cellStyle name="Comma 2 2 2 2 6" xfId="58499" xr:uid="{00000000-0005-0000-0000-0000D0960000}"/>
    <cellStyle name="Comma 2 2 2 3" xfId="3266" xr:uid="{00000000-0005-0000-0000-0000D1960000}"/>
    <cellStyle name="Comma 2 2 2 3 2" xfId="44107" xr:uid="{00000000-0005-0000-0000-0000D2960000}"/>
    <cellStyle name="Comma 2 2 2 3 2 2" xfId="58500" xr:uid="{00000000-0005-0000-0000-0000D3960000}"/>
    <cellStyle name="Comma 2 2 2 3 3" xfId="58501" xr:uid="{00000000-0005-0000-0000-0000D4960000}"/>
    <cellStyle name="Comma 2 2 2 3 4" xfId="58502" xr:uid="{00000000-0005-0000-0000-0000D5960000}"/>
    <cellStyle name="Comma 2 2 2 4" xfId="3267" xr:uid="{00000000-0005-0000-0000-0000D6960000}"/>
    <cellStyle name="Comma 2 2 2 4 2" xfId="58503" xr:uid="{00000000-0005-0000-0000-0000D7960000}"/>
    <cellStyle name="Comma 2 2 2 5" xfId="44108" xr:uid="{00000000-0005-0000-0000-0000D8960000}"/>
    <cellStyle name="Comma 2 2 2 5 2" xfId="58504" xr:uid="{00000000-0005-0000-0000-0000D9960000}"/>
    <cellStyle name="Comma 2 2 2 6" xfId="58505" xr:uid="{00000000-0005-0000-0000-0000DA960000}"/>
    <cellStyle name="Comma 2 2 2 7" xfId="58506" xr:uid="{00000000-0005-0000-0000-0000DB960000}"/>
    <cellStyle name="Comma 2 2 2 8" xfId="58507" xr:uid="{00000000-0005-0000-0000-0000DC960000}"/>
    <cellStyle name="Comma 2 2 3" xfId="3268" xr:uid="{00000000-0005-0000-0000-0000DD960000}"/>
    <cellStyle name="Comma 2 2 3 2" xfId="8229" xr:uid="{00000000-0005-0000-0000-0000DE960000}"/>
    <cellStyle name="Comma 2 2 3 2 2" xfId="44109" xr:uid="{00000000-0005-0000-0000-0000DF960000}"/>
    <cellStyle name="Comma 2 2 3 3" xfId="44110" xr:uid="{00000000-0005-0000-0000-0000E0960000}"/>
    <cellStyle name="Comma 2 2 3 3 2" xfId="44111" xr:uid="{00000000-0005-0000-0000-0000E1960000}"/>
    <cellStyle name="Comma 2 2 4" xfId="9606" xr:uid="{00000000-0005-0000-0000-0000E2960000}"/>
    <cellStyle name="Comma 2 2 4 2" xfId="44112" xr:uid="{00000000-0005-0000-0000-0000E3960000}"/>
    <cellStyle name="Comma 2 2 4 2 2" xfId="44113" xr:uid="{00000000-0005-0000-0000-0000E4960000}"/>
    <cellStyle name="Comma 2 2 4 3" xfId="44114" xr:uid="{00000000-0005-0000-0000-0000E5960000}"/>
    <cellStyle name="Comma 2 2 5" xfId="44115" xr:uid="{00000000-0005-0000-0000-0000E6960000}"/>
    <cellStyle name="Comma 2 2 5 2" xfId="44116" xr:uid="{00000000-0005-0000-0000-0000E7960000}"/>
    <cellStyle name="Comma 2 2 6" xfId="44117" xr:uid="{00000000-0005-0000-0000-0000E8960000}"/>
    <cellStyle name="Comma 2 2 6 2" xfId="44118" xr:uid="{00000000-0005-0000-0000-0000E9960000}"/>
    <cellStyle name="Comma 2 3" xfId="3269" xr:uid="{00000000-0005-0000-0000-0000EA960000}"/>
    <cellStyle name="Comma 2 3 2" xfId="3270" xr:uid="{00000000-0005-0000-0000-0000EB960000}"/>
    <cellStyle name="Comma 2 3 2 2" xfId="3271" xr:uid="{00000000-0005-0000-0000-0000EC960000}"/>
    <cellStyle name="Comma 2 3 2 2 2" xfId="3272" xr:uid="{00000000-0005-0000-0000-0000ED960000}"/>
    <cellStyle name="Comma 2 3 2 2 2 2" xfId="3273" xr:uid="{00000000-0005-0000-0000-0000EE960000}"/>
    <cellStyle name="Comma 2 3 2 2 2 2 2" xfId="3274" xr:uid="{00000000-0005-0000-0000-0000EF960000}"/>
    <cellStyle name="Comma 2 3 2 2 2 3" xfId="3275" xr:uid="{00000000-0005-0000-0000-0000F0960000}"/>
    <cellStyle name="Comma 2 3 2 2 3" xfId="3276" xr:uid="{00000000-0005-0000-0000-0000F1960000}"/>
    <cellStyle name="Comma 2 3 2 2 3 2" xfId="3277" xr:uid="{00000000-0005-0000-0000-0000F2960000}"/>
    <cellStyle name="Comma 2 3 2 2 4" xfId="3278" xr:uid="{00000000-0005-0000-0000-0000F3960000}"/>
    <cellStyle name="Comma 2 3 2 2 5" xfId="3279" xr:uid="{00000000-0005-0000-0000-0000F4960000}"/>
    <cellStyle name="Comma 2 3 2 2 6" xfId="58508" xr:uid="{00000000-0005-0000-0000-0000F5960000}"/>
    <cellStyle name="Comma 2 3 2 3" xfId="3280" xr:uid="{00000000-0005-0000-0000-0000F6960000}"/>
    <cellStyle name="Comma 2 3 2 3 2" xfId="3281" xr:uid="{00000000-0005-0000-0000-0000F7960000}"/>
    <cellStyle name="Comma 2 3 2 3 2 2" xfId="3282" xr:uid="{00000000-0005-0000-0000-0000F8960000}"/>
    <cellStyle name="Comma 2 3 2 3 3" xfId="3283" xr:uid="{00000000-0005-0000-0000-0000F9960000}"/>
    <cellStyle name="Comma 2 3 2 3 4" xfId="3284" xr:uid="{00000000-0005-0000-0000-0000FA960000}"/>
    <cellStyle name="Comma 2 3 2 4" xfId="3285" xr:uid="{00000000-0005-0000-0000-0000FB960000}"/>
    <cellStyle name="Comma 2 3 2 4 2" xfId="3286" xr:uid="{00000000-0005-0000-0000-0000FC960000}"/>
    <cellStyle name="Comma 2 3 2 5" xfId="3287" xr:uid="{00000000-0005-0000-0000-0000FD960000}"/>
    <cellStyle name="Comma 2 3 2 5 2" xfId="58509" xr:uid="{00000000-0005-0000-0000-0000FE960000}"/>
    <cellStyle name="Comma 2 3 2 6" xfId="3288" xr:uid="{00000000-0005-0000-0000-0000FF960000}"/>
    <cellStyle name="Comma 2 3 2 7" xfId="58510" xr:uid="{00000000-0005-0000-0000-000000970000}"/>
    <cellStyle name="Comma 2 3 2 8" xfId="58511" xr:uid="{00000000-0005-0000-0000-000001970000}"/>
    <cellStyle name="Comma 2 3 3" xfId="3289" xr:uid="{00000000-0005-0000-0000-000002970000}"/>
    <cellStyle name="Comma 2 3 3 2" xfId="3290" xr:uid="{00000000-0005-0000-0000-000003970000}"/>
    <cellStyle name="Comma 2 3 3 2 2" xfId="3291" xr:uid="{00000000-0005-0000-0000-000004970000}"/>
    <cellStyle name="Comma 2 3 3 2 2 2" xfId="3292" xr:uid="{00000000-0005-0000-0000-000005970000}"/>
    <cellStyle name="Comma 2 3 3 2 3" xfId="3293" xr:uid="{00000000-0005-0000-0000-000006970000}"/>
    <cellStyle name="Comma 2 3 3 3" xfId="3294" xr:uid="{00000000-0005-0000-0000-000007970000}"/>
    <cellStyle name="Comma 2 3 3 3 2" xfId="3295" xr:uid="{00000000-0005-0000-0000-000008970000}"/>
    <cellStyle name="Comma 2 3 3 4" xfId="3296" xr:uid="{00000000-0005-0000-0000-000009970000}"/>
    <cellStyle name="Comma 2 3 3 5" xfId="3297" xr:uid="{00000000-0005-0000-0000-00000A970000}"/>
    <cellStyle name="Comma 2 3 3 6" xfId="58512" xr:uid="{00000000-0005-0000-0000-00000B970000}"/>
    <cellStyle name="Comma 2 3 4" xfId="3298" xr:uid="{00000000-0005-0000-0000-00000C970000}"/>
    <cellStyle name="Comma 2 3 4 2" xfId="3299" xr:uid="{00000000-0005-0000-0000-00000D970000}"/>
    <cellStyle name="Comma 2 3 4 2 2" xfId="3300" xr:uid="{00000000-0005-0000-0000-00000E970000}"/>
    <cellStyle name="Comma 2 3 4 3" xfId="3301" xr:uid="{00000000-0005-0000-0000-00000F970000}"/>
    <cellStyle name="Comma 2 3 4 4" xfId="3302" xr:uid="{00000000-0005-0000-0000-000010970000}"/>
    <cellStyle name="Comma 2 3 5" xfId="3303" xr:uid="{00000000-0005-0000-0000-000011970000}"/>
    <cellStyle name="Comma 2 3 5 2" xfId="3304" xr:uid="{00000000-0005-0000-0000-000012970000}"/>
    <cellStyle name="Comma 2 3 6" xfId="3305" xr:uid="{00000000-0005-0000-0000-000013970000}"/>
    <cellStyle name="Comma 2 3 7" xfId="3306" xr:uid="{00000000-0005-0000-0000-000014970000}"/>
    <cellStyle name="Comma 2 3 8" xfId="9050" xr:uid="{00000000-0005-0000-0000-000015970000}"/>
    <cellStyle name="Comma 2 4" xfId="3307" xr:uid="{00000000-0005-0000-0000-000016970000}"/>
    <cellStyle name="Comma 2 4 2" xfId="3308" xr:uid="{00000000-0005-0000-0000-000017970000}"/>
    <cellStyle name="Comma 2 4 2 10" xfId="58513" xr:uid="{00000000-0005-0000-0000-000018970000}"/>
    <cellStyle name="Comma 2 4 2 2" xfId="3309" xr:uid="{00000000-0005-0000-0000-000019970000}"/>
    <cellStyle name="Comma 2 4 2 2 2" xfId="3310" xr:uid="{00000000-0005-0000-0000-00001A970000}"/>
    <cellStyle name="Comma 2 4 2 2 2 2" xfId="3311" xr:uid="{00000000-0005-0000-0000-00001B970000}"/>
    <cellStyle name="Comma 2 4 2 2 2 2 2" xfId="3312" xr:uid="{00000000-0005-0000-0000-00001C970000}"/>
    <cellStyle name="Comma 2 4 2 2 2 2 2 2" xfId="8230" xr:uid="{00000000-0005-0000-0000-00001D970000}"/>
    <cellStyle name="Comma 2 4 2 2 2 2 2 3" xfId="58514" xr:uid="{00000000-0005-0000-0000-00001E970000}"/>
    <cellStyle name="Comma 2 4 2 2 2 2 3" xfId="8231" xr:uid="{00000000-0005-0000-0000-00001F970000}"/>
    <cellStyle name="Comma 2 4 2 2 2 2 3 2" xfId="58515" xr:uid="{00000000-0005-0000-0000-000020970000}"/>
    <cellStyle name="Comma 2 4 2 2 2 2 4" xfId="58516" xr:uid="{00000000-0005-0000-0000-000021970000}"/>
    <cellStyle name="Comma 2 4 2 2 2 2 5" xfId="58517" xr:uid="{00000000-0005-0000-0000-000022970000}"/>
    <cellStyle name="Comma 2 4 2 2 2 3" xfId="3313" xr:uid="{00000000-0005-0000-0000-000023970000}"/>
    <cellStyle name="Comma 2 4 2 2 2 3 2" xfId="8232" xr:uid="{00000000-0005-0000-0000-000024970000}"/>
    <cellStyle name="Comma 2 4 2 2 2 3 3" xfId="58518" xr:uid="{00000000-0005-0000-0000-000025970000}"/>
    <cellStyle name="Comma 2 4 2 2 2 4" xfId="8233" xr:uid="{00000000-0005-0000-0000-000026970000}"/>
    <cellStyle name="Comma 2 4 2 2 2 4 2" xfId="58519" xr:uid="{00000000-0005-0000-0000-000027970000}"/>
    <cellStyle name="Comma 2 4 2 2 2 5" xfId="58520" xr:uid="{00000000-0005-0000-0000-000028970000}"/>
    <cellStyle name="Comma 2 4 2 2 2 6" xfId="58521" xr:uid="{00000000-0005-0000-0000-000029970000}"/>
    <cellStyle name="Comma 2 4 2 2 3" xfId="3314" xr:uid="{00000000-0005-0000-0000-00002A970000}"/>
    <cellStyle name="Comma 2 4 2 2 3 2" xfId="3315" xr:uid="{00000000-0005-0000-0000-00002B970000}"/>
    <cellStyle name="Comma 2 4 2 2 3 2 2" xfId="8234" xr:uid="{00000000-0005-0000-0000-00002C970000}"/>
    <cellStyle name="Comma 2 4 2 2 3 2 2 2" xfId="58522" xr:uid="{00000000-0005-0000-0000-00002D970000}"/>
    <cellStyle name="Comma 2 4 2 2 3 2 3" xfId="58523" xr:uid="{00000000-0005-0000-0000-00002E970000}"/>
    <cellStyle name="Comma 2 4 2 2 3 2 4" xfId="58524" xr:uid="{00000000-0005-0000-0000-00002F970000}"/>
    <cellStyle name="Comma 2 4 2 2 3 2 5" xfId="58525" xr:uid="{00000000-0005-0000-0000-000030970000}"/>
    <cellStyle name="Comma 2 4 2 2 3 3" xfId="8235" xr:uid="{00000000-0005-0000-0000-000031970000}"/>
    <cellStyle name="Comma 2 4 2 2 3 3 2" xfId="58526" xr:uid="{00000000-0005-0000-0000-000032970000}"/>
    <cellStyle name="Comma 2 4 2 2 3 4" xfId="58527" xr:uid="{00000000-0005-0000-0000-000033970000}"/>
    <cellStyle name="Comma 2 4 2 2 3 5" xfId="58528" xr:uid="{00000000-0005-0000-0000-000034970000}"/>
    <cellStyle name="Comma 2 4 2 2 3 6" xfId="58529" xr:uid="{00000000-0005-0000-0000-000035970000}"/>
    <cellStyle name="Comma 2 4 2 2 4" xfId="3316" xr:uid="{00000000-0005-0000-0000-000036970000}"/>
    <cellStyle name="Comma 2 4 2 2 4 2" xfId="8236" xr:uid="{00000000-0005-0000-0000-000037970000}"/>
    <cellStyle name="Comma 2 4 2 2 4 2 2" xfId="58530" xr:uid="{00000000-0005-0000-0000-000038970000}"/>
    <cellStyle name="Comma 2 4 2 2 4 3" xfId="58531" xr:uid="{00000000-0005-0000-0000-000039970000}"/>
    <cellStyle name="Comma 2 4 2 2 4 4" xfId="58532" xr:uid="{00000000-0005-0000-0000-00003A970000}"/>
    <cellStyle name="Comma 2 4 2 2 4 5" xfId="58533" xr:uid="{00000000-0005-0000-0000-00003B970000}"/>
    <cellStyle name="Comma 2 4 2 2 5" xfId="8237" xr:uid="{00000000-0005-0000-0000-00003C970000}"/>
    <cellStyle name="Comma 2 4 2 2 5 2" xfId="8238" xr:uid="{00000000-0005-0000-0000-00003D970000}"/>
    <cellStyle name="Comma 2 4 2 2 5 2 2" xfId="58534" xr:uid="{00000000-0005-0000-0000-00003E970000}"/>
    <cellStyle name="Comma 2 4 2 2 5 3" xfId="58535" xr:uid="{00000000-0005-0000-0000-00003F970000}"/>
    <cellStyle name="Comma 2 4 2 2 5 4" xfId="58536" xr:uid="{00000000-0005-0000-0000-000040970000}"/>
    <cellStyle name="Comma 2 4 2 2 5 5" xfId="58537" xr:uid="{00000000-0005-0000-0000-000041970000}"/>
    <cellStyle name="Comma 2 4 2 2 6" xfId="8239" xr:uid="{00000000-0005-0000-0000-000042970000}"/>
    <cellStyle name="Comma 2 4 2 2 6 2" xfId="58538" xr:uid="{00000000-0005-0000-0000-000043970000}"/>
    <cellStyle name="Comma 2 4 2 2 7" xfId="58539" xr:uid="{00000000-0005-0000-0000-000044970000}"/>
    <cellStyle name="Comma 2 4 2 2 8" xfId="58540" xr:uid="{00000000-0005-0000-0000-000045970000}"/>
    <cellStyle name="Comma 2 4 2 2 9" xfId="58541" xr:uid="{00000000-0005-0000-0000-000046970000}"/>
    <cellStyle name="Comma 2 4 2 3" xfId="3317" xr:uid="{00000000-0005-0000-0000-000047970000}"/>
    <cellStyle name="Comma 2 4 2 3 2" xfId="3318" xr:uid="{00000000-0005-0000-0000-000048970000}"/>
    <cellStyle name="Comma 2 4 2 3 2 2" xfId="3319" xr:uid="{00000000-0005-0000-0000-000049970000}"/>
    <cellStyle name="Comma 2 4 2 3 2 2 2" xfId="8240" xr:uid="{00000000-0005-0000-0000-00004A970000}"/>
    <cellStyle name="Comma 2 4 2 3 2 2 3" xfId="58542" xr:uid="{00000000-0005-0000-0000-00004B970000}"/>
    <cellStyle name="Comma 2 4 2 3 2 3" xfId="8241" xr:uid="{00000000-0005-0000-0000-00004C970000}"/>
    <cellStyle name="Comma 2 4 2 3 2 3 2" xfId="58543" xr:uid="{00000000-0005-0000-0000-00004D970000}"/>
    <cellStyle name="Comma 2 4 2 3 2 4" xfId="58544" xr:uid="{00000000-0005-0000-0000-00004E970000}"/>
    <cellStyle name="Comma 2 4 2 3 2 5" xfId="58545" xr:uid="{00000000-0005-0000-0000-00004F970000}"/>
    <cellStyle name="Comma 2 4 2 3 3" xfId="3320" xr:uid="{00000000-0005-0000-0000-000050970000}"/>
    <cellStyle name="Comma 2 4 2 3 3 2" xfId="8242" xr:uid="{00000000-0005-0000-0000-000051970000}"/>
    <cellStyle name="Comma 2 4 2 3 3 3" xfId="58546" xr:uid="{00000000-0005-0000-0000-000052970000}"/>
    <cellStyle name="Comma 2 4 2 3 4" xfId="8243" xr:uid="{00000000-0005-0000-0000-000053970000}"/>
    <cellStyle name="Comma 2 4 2 3 4 2" xfId="58547" xr:uid="{00000000-0005-0000-0000-000054970000}"/>
    <cellStyle name="Comma 2 4 2 3 5" xfId="58548" xr:uid="{00000000-0005-0000-0000-000055970000}"/>
    <cellStyle name="Comma 2 4 2 3 6" xfId="58549" xr:uid="{00000000-0005-0000-0000-000056970000}"/>
    <cellStyle name="Comma 2 4 2 4" xfId="3321" xr:uid="{00000000-0005-0000-0000-000057970000}"/>
    <cellStyle name="Comma 2 4 2 4 2" xfId="3322" xr:uid="{00000000-0005-0000-0000-000058970000}"/>
    <cellStyle name="Comma 2 4 2 4 2 2" xfId="8244" xr:uid="{00000000-0005-0000-0000-000059970000}"/>
    <cellStyle name="Comma 2 4 2 4 2 2 2" xfId="58550" xr:uid="{00000000-0005-0000-0000-00005A970000}"/>
    <cellStyle name="Comma 2 4 2 4 2 3" xfId="58551" xr:uid="{00000000-0005-0000-0000-00005B970000}"/>
    <cellStyle name="Comma 2 4 2 4 2 4" xfId="58552" xr:uid="{00000000-0005-0000-0000-00005C970000}"/>
    <cellStyle name="Comma 2 4 2 4 2 5" xfId="58553" xr:uid="{00000000-0005-0000-0000-00005D970000}"/>
    <cellStyle name="Comma 2 4 2 4 3" xfId="8245" xr:uid="{00000000-0005-0000-0000-00005E970000}"/>
    <cellStyle name="Comma 2 4 2 4 3 2" xfId="58554" xr:uid="{00000000-0005-0000-0000-00005F970000}"/>
    <cellStyle name="Comma 2 4 2 4 4" xfId="58555" xr:uid="{00000000-0005-0000-0000-000060970000}"/>
    <cellStyle name="Comma 2 4 2 4 5" xfId="58556" xr:uid="{00000000-0005-0000-0000-000061970000}"/>
    <cellStyle name="Comma 2 4 2 4 6" xfId="58557" xr:uid="{00000000-0005-0000-0000-000062970000}"/>
    <cellStyle name="Comma 2 4 2 5" xfId="3323" xr:uid="{00000000-0005-0000-0000-000063970000}"/>
    <cellStyle name="Comma 2 4 2 5 2" xfId="8246" xr:uid="{00000000-0005-0000-0000-000064970000}"/>
    <cellStyle name="Comma 2 4 2 5 2 2" xfId="58558" xr:uid="{00000000-0005-0000-0000-000065970000}"/>
    <cellStyle name="Comma 2 4 2 5 3" xfId="58559" xr:uid="{00000000-0005-0000-0000-000066970000}"/>
    <cellStyle name="Comma 2 4 2 5 4" xfId="58560" xr:uid="{00000000-0005-0000-0000-000067970000}"/>
    <cellStyle name="Comma 2 4 2 5 5" xfId="58561" xr:uid="{00000000-0005-0000-0000-000068970000}"/>
    <cellStyle name="Comma 2 4 2 6" xfId="8247" xr:uid="{00000000-0005-0000-0000-000069970000}"/>
    <cellStyle name="Comma 2 4 2 6 2" xfId="8248" xr:uid="{00000000-0005-0000-0000-00006A970000}"/>
    <cellStyle name="Comma 2 4 2 6 2 2" xfId="58562" xr:uid="{00000000-0005-0000-0000-00006B970000}"/>
    <cellStyle name="Comma 2 4 2 6 3" xfId="58563" xr:uid="{00000000-0005-0000-0000-00006C970000}"/>
    <cellStyle name="Comma 2 4 2 6 4" xfId="58564" xr:uid="{00000000-0005-0000-0000-00006D970000}"/>
    <cellStyle name="Comma 2 4 2 6 5" xfId="58565" xr:uid="{00000000-0005-0000-0000-00006E970000}"/>
    <cellStyle name="Comma 2 4 2 7" xfId="8249" xr:uid="{00000000-0005-0000-0000-00006F970000}"/>
    <cellStyle name="Comma 2 4 2 7 2" xfId="58566" xr:uid="{00000000-0005-0000-0000-000070970000}"/>
    <cellStyle name="Comma 2 4 2 8" xfId="44119" xr:uid="{00000000-0005-0000-0000-000071970000}"/>
    <cellStyle name="Comma 2 4 2 9" xfId="58567" xr:uid="{00000000-0005-0000-0000-000072970000}"/>
    <cellStyle name="Comma 2 4 3" xfId="3324" xr:uid="{00000000-0005-0000-0000-000073970000}"/>
    <cellStyle name="Comma 2 4 3 2" xfId="3325" xr:uid="{00000000-0005-0000-0000-000074970000}"/>
    <cellStyle name="Comma 2 4 3 2 2" xfId="3326" xr:uid="{00000000-0005-0000-0000-000075970000}"/>
    <cellStyle name="Comma 2 4 3 2 2 2" xfId="3327" xr:uid="{00000000-0005-0000-0000-000076970000}"/>
    <cellStyle name="Comma 2 4 3 2 2 2 2" xfId="8250" xr:uid="{00000000-0005-0000-0000-000077970000}"/>
    <cellStyle name="Comma 2 4 3 2 2 2 3" xfId="58568" xr:uid="{00000000-0005-0000-0000-000078970000}"/>
    <cellStyle name="Comma 2 4 3 2 2 3" xfId="8251" xr:uid="{00000000-0005-0000-0000-000079970000}"/>
    <cellStyle name="Comma 2 4 3 2 2 3 2" xfId="58569" xr:uid="{00000000-0005-0000-0000-00007A970000}"/>
    <cellStyle name="Comma 2 4 3 2 2 4" xfId="58570" xr:uid="{00000000-0005-0000-0000-00007B970000}"/>
    <cellStyle name="Comma 2 4 3 2 2 5" xfId="58571" xr:uid="{00000000-0005-0000-0000-00007C970000}"/>
    <cellStyle name="Comma 2 4 3 2 3" xfId="3328" xr:uid="{00000000-0005-0000-0000-00007D970000}"/>
    <cellStyle name="Comma 2 4 3 2 3 2" xfId="8252" xr:uid="{00000000-0005-0000-0000-00007E970000}"/>
    <cellStyle name="Comma 2 4 3 2 3 3" xfId="58572" xr:uid="{00000000-0005-0000-0000-00007F970000}"/>
    <cellStyle name="Comma 2 4 3 2 4" xfId="8253" xr:uid="{00000000-0005-0000-0000-000080970000}"/>
    <cellStyle name="Comma 2 4 3 2 4 2" xfId="58573" xr:uid="{00000000-0005-0000-0000-000081970000}"/>
    <cellStyle name="Comma 2 4 3 2 5" xfId="58574" xr:uid="{00000000-0005-0000-0000-000082970000}"/>
    <cellStyle name="Comma 2 4 3 2 6" xfId="58575" xr:uid="{00000000-0005-0000-0000-000083970000}"/>
    <cellStyle name="Comma 2 4 3 3" xfId="3329" xr:uid="{00000000-0005-0000-0000-000084970000}"/>
    <cellStyle name="Comma 2 4 3 3 2" xfId="3330" xr:uid="{00000000-0005-0000-0000-000085970000}"/>
    <cellStyle name="Comma 2 4 3 3 2 2" xfId="8254" xr:uid="{00000000-0005-0000-0000-000086970000}"/>
    <cellStyle name="Comma 2 4 3 3 2 2 2" xfId="58576" xr:uid="{00000000-0005-0000-0000-000087970000}"/>
    <cellStyle name="Comma 2 4 3 3 2 3" xfId="58577" xr:uid="{00000000-0005-0000-0000-000088970000}"/>
    <cellStyle name="Comma 2 4 3 3 2 4" xfId="58578" xr:uid="{00000000-0005-0000-0000-000089970000}"/>
    <cellStyle name="Comma 2 4 3 3 2 5" xfId="58579" xr:uid="{00000000-0005-0000-0000-00008A970000}"/>
    <cellStyle name="Comma 2 4 3 3 3" xfId="8255" xr:uid="{00000000-0005-0000-0000-00008B970000}"/>
    <cellStyle name="Comma 2 4 3 3 3 2" xfId="58580" xr:uid="{00000000-0005-0000-0000-00008C970000}"/>
    <cellStyle name="Comma 2 4 3 3 4" xfId="58581" xr:uid="{00000000-0005-0000-0000-00008D970000}"/>
    <cellStyle name="Comma 2 4 3 3 5" xfId="58582" xr:uid="{00000000-0005-0000-0000-00008E970000}"/>
    <cellStyle name="Comma 2 4 3 3 6" xfId="58583" xr:uid="{00000000-0005-0000-0000-00008F970000}"/>
    <cellStyle name="Comma 2 4 3 4" xfId="3331" xr:uid="{00000000-0005-0000-0000-000090970000}"/>
    <cellStyle name="Comma 2 4 3 4 2" xfId="8256" xr:uid="{00000000-0005-0000-0000-000091970000}"/>
    <cellStyle name="Comma 2 4 3 4 2 2" xfId="58584" xr:uid="{00000000-0005-0000-0000-000092970000}"/>
    <cellStyle name="Comma 2 4 3 4 3" xfId="58585" xr:uid="{00000000-0005-0000-0000-000093970000}"/>
    <cellStyle name="Comma 2 4 3 4 4" xfId="58586" xr:uid="{00000000-0005-0000-0000-000094970000}"/>
    <cellStyle name="Comma 2 4 3 4 5" xfId="58587" xr:uid="{00000000-0005-0000-0000-000095970000}"/>
    <cellStyle name="Comma 2 4 3 5" xfId="8257" xr:uid="{00000000-0005-0000-0000-000096970000}"/>
    <cellStyle name="Comma 2 4 3 5 2" xfId="8258" xr:uid="{00000000-0005-0000-0000-000097970000}"/>
    <cellStyle name="Comma 2 4 3 5 2 2" xfId="58588" xr:uid="{00000000-0005-0000-0000-000098970000}"/>
    <cellStyle name="Comma 2 4 3 5 3" xfId="58589" xr:uid="{00000000-0005-0000-0000-000099970000}"/>
    <cellStyle name="Comma 2 4 3 5 4" xfId="58590" xr:uid="{00000000-0005-0000-0000-00009A970000}"/>
    <cellStyle name="Comma 2 4 3 5 5" xfId="58591" xr:uid="{00000000-0005-0000-0000-00009B970000}"/>
    <cellStyle name="Comma 2 4 3 6" xfId="8259" xr:uid="{00000000-0005-0000-0000-00009C970000}"/>
    <cellStyle name="Comma 2 4 3 6 2" xfId="58592" xr:uid="{00000000-0005-0000-0000-00009D970000}"/>
    <cellStyle name="Comma 2 4 3 7" xfId="44120" xr:uid="{00000000-0005-0000-0000-00009E970000}"/>
    <cellStyle name="Comma 2 4 3 8" xfId="58593" xr:uid="{00000000-0005-0000-0000-00009F970000}"/>
    <cellStyle name="Comma 2 4 3 9" xfId="58594" xr:uid="{00000000-0005-0000-0000-0000A0970000}"/>
    <cellStyle name="Comma 2 4 4" xfId="3332" xr:uid="{00000000-0005-0000-0000-0000A1970000}"/>
    <cellStyle name="Comma 2 4 4 2" xfId="3333" xr:uid="{00000000-0005-0000-0000-0000A2970000}"/>
    <cellStyle name="Comma 2 4 4 2 2" xfId="3334" xr:uid="{00000000-0005-0000-0000-0000A3970000}"/>
    <cellStyle name="Comma 2 4 4 2 2 2" xfId="8260" xr:uid="{00000000-0005-0000-0000-0000A4970000}"/>
    <cellStyle name="Comma 2 4 4 2 2 3" xfId="58595" xr:uid="{00000000-0005-0000-0000-0000A5970000}"/>
    <cellStyle name="Comma 2 4 4 2 3" xfId="8261" xr:uid="{00000000-0005-0000-0000-0000A6970000}"/>
    <cellStyle name="Comma 2 4 4 2 3 2" xfId="58596" xr:uid="{00000000-0005-0000-0000-0000A7970000}"/>
    <cellStyle name="Comma 2 4 4 2 4" xfId="58597" xr:uid="{00000000-0005-0000-0000-0000A8970000}"/>
    <cellStyle name="Comma 2 4 4 2 5" xfId="58598" xr:uid="{00000000-0005-0000-0000-0000A9970000}"/>
    <cellStyle name="Comma 2 4 4 3" xfId="3335" xr:uid="{00000000-0005-0000-0000-0000AA970000}"/>
    <cellStyle name="Comma 2 4 4 3 2" xfId="8262" xr:uid="{00000000-0005-0000-0000-0000AB970000}"/>
    <cellStyle name="Comma 2 4 4 3 3" xfId="58599" xr:uid="{00000000-0005-0000-0000-0000AC970000}"/>
    <cellStyle name="Comma 2 4 4 4" xfId="8263" xr:uid="{00000000-0005-0000-0000-0000AD970000}"/>
    <cellStyle name="Comma 2 4 4 4 2" xfId="58600" xr:uid="{00000000-0005-0000-0000-0000AE970000}"/>
    <cellStyle name="Comma 2 4 4 5" xfId="58601" xr:uid="{00000000-0005-0000-0000-0000AF970000}"/>
    <cellStyle name="Comma 2 4 4 6" xfId="58602" xr:uid="{00000000-0005-0000-0000-0000B0970000}"/>
    <cellStyle name="Comma 2 4 5" xfId="3336" xr:uid="{00000000-0005-0000-0000-0000B1970000}"/>
    <cellStyle name="Comma 2 4 5 2" xfId="3337" xr:uid="{00000000-0005-0000-0000-0000B2970000}"/>
    <cellStyle name="Comma 2 4 5 2 2" xfId="8264" xr:uid="{00000000-0005-0000-0000-0000B3970000}"/>
    <cellStyle name="Comma 2 4 5 2 2 2" xfId="58603" xr:uid="{00000000-0005-0000-0000-0000B4970000}"/>
    <cellStyle name="Comma 2 4 5 2 3" xfId="58604" xr:uid="{00000000-0005-0000-0000-0000B5970000}"/>
    <cellStyle name="Comma 2 4 5 2 4" xfId="58605" xr:uid="{00000000-0005-0000-0000-0000B6970000}"/>
    <cellStyle name="Comma 2 4 5 2 5" xfId="58606" xr:uid="{00000000-0005-0000-0000-0000B7970000}"/>
    <cellStyle name="Comma 2 4 5 3" xfId="8265" xr:uid="{00000000-0005-0000-0000-0000B8970000}"/>
    <cellStyle name="Comma 2 4 5 3 2" xfId="58607" xr:uid="{00000000-0005-0000-0000-0000B9970000}"/>
    <cellStyle name="Comma 2 4 5 4" xfId="58608" xr:uid="{00000000-0005-0000-0000-0000BA970000}"/>
    <cellStyle name="Comma 2 4 5 5" xfId="58609" xr:uid="{00000000-0005-0000-0000-0000BB970000}"/>
    <cellStyle name="Comma 2 4 5 6" xfId="58610" xr:uid="{00000000-0005-0000-0000-0000BC970000}"/>
    <cellStyle name="Comma 2 4 6" xfId="3338" xr:uid="{00000000-0005-0000-0000-0000BD970000}"/>
    <cellStyle name="Comma 2 4 6 2" xfId="8266" xr:uid="{00000000-0005-0000-0000-0000BE970000}"/>
    <cellStyle name="Comma 2 4 6 2 2" xfId="58611" xr:uid="{00000000-0005-0000-0000-0000BF970000}"/>
    <cellStyle name="Comma 2 4 6 3" xfId="58612" xr:uid="{00000000-0005-0000-0000-0000C0970000}"/>
    <cellStyle name="Comma 2 4 6 4" xfId="58613" xr:uid="{00000000-0005-0000-0000-0000C1970000}"/>
    <cellStyle name="Comma 2 4 6 5" xfId="58614" xr:uid="{00000000-0005-0000-0000-0000C2970000}"/>
    <cellStyle name="Comma 2 4 7" xfId="8267" xr:uid="{00000000-0005-0000-0000-0000C3970000}"/>
    <cellStyle name="Comma 2 4 7 2" xfId="8268" xr:uid="{00000000-0005-0000-0000-0000C4970000}"/>
    <cellStyle name="Comma 2 4 7 2 2" xfId="58615" xr:uid="{00000000-0005-0000-0000-0000C5970000}"/>
    <cellStyle name="Comma 2 4 7 3" xfId="58616" xr:uid="{00000000-0005-0000-0000-0000C6970000}"/>
    <cellStyle name="Comma 2 4 7 4" xfId="58617" xr:uid="{00000000-0005-0000-0000-0000C7970000}"/>
    <cellStyle name="Comma 2 4 7 5" xfId="58618" xr:uid="{00000000-0005-0000-0000-0000C8970000}"/>
    <cellStyle name="Comma 2 4 8" xfId="8269" xr:uid="{00000000-0005-0000-0000-0000C9970000}"/>
    <cellStyle name="Comma 2 4 8 2" xfId="58619" xr:uid="{00000000-0005-0000-0000-0000CA970000}"/>
    <cellStyle name="Comma 2 4 8 2 2" xfId="58620" xr:uid="{00000000-0005-0000-0000-0000CB970000}"/>
    <cellStyle name="Comma 2 4 8 3" xfId="58621" xr:uid="{00000000-0005-0000-0000-0000CC970000}"/>
    <cellStyle name="Comma 2 4 8 4" xfId="58622" xr:uid="{00000000-0005-0000-0000-0000CD970000}"/>
    <cellStyle name="Comma 2 4 8 5" xfId="58623" xr:uid="{00000000-0005-0000-0000-0000CE970000}"/>
    <cellStyle name="Comma 2 4 9" xfId="58624" xr:uid="{00000000-0005-0000-0000-0000CF970000}"/>
    <cellStyle name="Comma 2 5" xfId="3339" xr:uid="{00000000-0005-0000-0000-0000D0970000}"/>
    <cellStyle name="Comma 2 5 2" xfId="3340" xr:uid="{00000000-0005-0000-0000-0000D1970000}"/>
    <cellStyle name="Comma 2 5 2 10" xfId="58625" xr:uid="{00000000-0005-0000-0000-0000D2970000}"/>
    <cellStyle name="Comma 2 5 2 2" xfId="3341" xr:uid="{00000000-0005-0000-0000-0000D3970000}"/>
    <cellStyle name="Comma 2 5 2 2 2" xfId="3342" xr:uid="{00000000-0005-0000-0000-0000D4970000}"/>
    <cellStyle name="Comma 2 5 2 2 2 2" xfId="3343" xr:uid="{00000000-0005-0000-0000-0000D5970000}"/>
    <cellStyle name="Comma 2 5 2 2 2 2 2" xfId="8270" xr:uid="{00000000-0005-0000-0000-0000D6970000}"/>
    <cellStyle name="Comma 2 5 2 2 2 2 2 2" xfId="8271" xr:uid="{00000000-0005-0000-0000-0000D7970000}"/>
    <cellStyle name="Comma 2 5 2 2 2 2 2 3" xfId="58626" xr:uid="{00000000-0005-0000-0000-0000D8970000}"/>
    <cellStyle name="Comma 2 5 2 2 2 2 3" xfId="8272" xr:uid="{00000000-0005-0000-0000-0000D9970000}"/>
    <cellStyle name="Comma 2 5 2 2 2 2 3 2" xfId="58627" xr:uid="{00000000-0005-0000-0000-0000DA970000}"/>
    <cellStyle name="Comma 2 5 2 2 2 2 4" xfId="58628" xr:uid="{00000000-0005-0000-0000-0000DB970000}"/>
    <cellStyle name="Comma 2 5 2 2 2 2 5" xfId="58629" xr:uid="{00000000-0005-0000-0000-0000DC970000}"/>
    <cellStyle name="Comma 2 5 2 2 2 3" xfId="8273" xr:uid="{00000000-0005-0000-0000-0000DD970000}"/>
    <cellStyle name="Comma 2 5 2 2 2 3 2" xfId="8274" xr:uid="{00000000-0005-0000-0000-0000DE970000}"/>
    <cellStyle name="Comma 2 5 2 2 2 3 3" xfId="58630" xr:uid="{00000000-0005-0000-0000-0000DF970000}"/>
    <cellStyle name="Comma 2 5 2 2 2 4" xfId="8275" xr:uid="{00000000-0005-0000-0000-0000E0970000}"/>
    <cellStyle name="Comma 2 5 2 2 2 4 2" xfId="58631" xr:uid="{00000000-0005-0000-0000-0000E1970000}"/>
    <cellStyle name="Comma 2 5 2 2 2 5" xfId="58632" xr:uid="{00000000-0005-0000-0000-0000E2970000}"/>
    <cellStyle name="Comma 2 5 2 2 2 6" xfId="58633" xr:uid="{00000000-0005-0000-0000-0000E3970000}"/>
    <cellStyle name="Comma 2 5 2 2 3" xfId="3344" xr:uid="{00000000-0005-0000-0000-0000E4970000}"/>
    <cellStyle name="Comma 2 5 2 2 3 2" xfId="8276" xr:uid="{00000000-0005-0000-0000-0000E5970000}"/>
    <cellStyle name="Comma 2 5 2 2 3 2 2" xfId="8277" xr:uid="{00000000-0005-0000-0000-0000E6970000}"/>
    <cellStyle name="Comma 2 5 2 2 3 2 2 2" xfId="58634" xr:uid="{00000000-0005-0000-0000-0000E7970000}"/>
    <cellStyle name="Comma 2 5 2 2 3 2 3" xfId="58635" xr:uid="{00000000-0005-0000-0000-0000E8970000}"/>
    <cellStyle name="Comma 2 5 2 2 3 2 4" xfId="58636" xr:uid="{00000000-0005-0000-0000-0000E9970000}"/>
    <cellStyle name="Comma 2 5 2 2 3 2 5" xfId="58637" xr:uid="{00000000-0005-0000-0000-0000EA970000}"/>
    <cellStyle name="Comma 2 5 2 2 3 3" xfId="8278" xr:uid="{00000000-0005-0000-0000-0000EB970000}"/>
    <cellStyle name="Comma 2 5 2 2 3 3 2" xfId="58638" xr:uid="{00000000-0005-0000-0000-0000EC970000}"/>
    <cellStyle name="Comma 2 5 2 2 3 4" xfId="58639" xr:uid="{00000000-0005-0000-0000-0000ED970000}"/>
    <cellStyle name="Comma 2 5 2 2 3 5" xfId="58640" xr:uid="{00000000-0005-0000-0000-0000EE970000}"/>
    <cellStyle name="Comma 2 5 2 2 3 6" xfId="58641" xr:uid="{00000000-0005-0000-0000-0000EF970000}"/>
    <cellStyle name="Comma 2 5 2 2 4" xfId="8279" xr:uid="{00000000-0005-0000-0000-0000F0970000}"/>
    <cellStyle name="Comma 2 5 2 2 4 2" xfId="8280" xr:uid="{00000000-0005-0000-0000-0000F1970000}"/>
    <cellStyle name="Comma 2 5 2 2 4 2 2" xfId="58642" xr:uid="{00000000-0005-0000-0000-0000F2970000}"/>
    <cellStyle name="Comma 2 5 2 2 4 3" xfId="58643" xr:uid="{00000000-0005-0000-0000-0000F3970000}"/>
    <cellStyle name="Comma 2 5 2 2 4 4" xfId="58644" xr:uid="{00000000-0005-0000-0000-0000F4970000}"/>
    <cellStyle name="Comma 2 5 2 2 4 5" xfId="58645" xr:uid="{00000000-0005-0000-0000-0000F5970000}"/>
    <cellStyle name="Comma 2 5 2 2 5" xfId="8281" xr:uid="{00000000-0005-0000-0000-0000F6970000}"/>
    <cellStyle name="Comma 2 5 2 2 5 2" xfId="8282" xr:uid="{00000000-0005-0000-0000-0000F7970000}"/>
    <cellStyle name="Comma 2 5 2 2 5 2 2" xfId="58646" xr:uid="{00000000-0005-0000-0000-0000F8970000}"/>
    <cellStyle name="Comma 2 5 2 2 5 3" xfId="58647" xr:uid="{00000000-0005-0000-0000-0000F9970000}"/>
    <cellStyle name="Comma 2 5 2 2 5 4" xfId="58648" xr:uid="{00000000-0005-0000-0000-0000FA970000}"/>
    <cellStyle name="Comma 2 5 2 2 5 5" xfId="58649" xr:uid="{00000000-0005-0000-0000-0000FB970000}"/>
    <cellStyle name="Comma 2 5 2 2 6" xfId="8283" xr:uid="{00000000-0005-0000-0000-0000FC970000}"/>
    <cellStyle name="Comma 2 5 2 2 6 2" xfId="58650" xr:uid="{00000000-0005-0000-0000-0000FD970000}"/>
    <cellStyle name="Comma 2 5 2 2 7" xfId="58651" xr:uid="{00000000-0005-0000-0000-0000FE970000}"/>
    <cellStyle name="Comma 2 5 2 2 8" xfId="58652" xr:uid="{00000000-0005-0000-0000-0000FF970000}"/>
    <cellStyle name="Comma 2 5 2 2 9" xfId="58653" xr:uid="{00000000-0005-0000-0000-000000980000}"/>
    <cellStyle name="Comma 2 5 2 3" xfId="3345" xr:uid="{00000000-0005-0000-0000-000001980000}"/>
    <cellStyle name="Comma 2 5 2 3 2" xfId="3346" xr:uid="{00000000-0005-0000-0000-000002980000}"/>
    <cellStyle name="Comma 2 5 2 3 2 2" xfId="8284" xr:uid="{00000000-0005-0000-0000-000003980000}"/>
    <cellStyle name="Comma 2 5 2 3 2 2 2" xfId="8285" xr:uid="{00000000-0005-0000-0000-000004980000}"/>
    <cellStyle name="Comma 2 5 2 3 2 2 3" xfId="58654" xr:uid="{00000000-0005-0000-0000-000005980000}"/>
    <cellStyle name="Comma 2 5 2 3 2 3" xfId="8286" xr:uid="{00000000-0005-0000-0000-000006980000}"/>
    <cellStyle name="Comma 2 5 2 3 2 3 2" xfId="58655" xr:uid="{00000000-0005-0000-0000-000007980000}"/>
    <cellStyle name="Comma 2 5 2 3 2 4" xfId="58656" xr:uid="{00000000-0005-0000-0000-000008980000}"/>
    <cellStyle name="Comma 2 5 2 3 2 5" xfId="58657" xr:uid="{00000000-0005-0000-0000-000009980000}"/>
    <cellStyle name="Comma 2 5 2 3 3" xfId="8287" xr:uid="{00000000-0005-0000-0000-00000A980000}"/>
    <cellStyle name="Comma 2 5 2 3 3 2" xfId="8288" xr:uid="{00000000-0005-0000-0000-00000B980000}"/>
    <cellStyle name="Comma 2 5 2 3 3 3" xfId="58658" xr:uid="{00000000-0005-0000-0000-00000C980000}"/>
    <cellStyle name="Comma 2 5 2 3 4" xfId="8289" xr:uid="{00000000-0005-0000-0000-00000D980000}"/>
    <cellStyle name="Comma 2 5 2 3 4 2" xfId="58659" xr:uid="{00000000-0005-0000-0000-00000E980000}"/>
    <cellStyle name="Comma 2 5 2 3 5" xfId="58660" xr:uid="{00000000-0005-0000-0000-00000F980000}"/>
    <cellStyle name="Comma 2 5 2 3 6" xfId="58661" xr:uid="{00000000-0005-0000-0000-000010980000}"/>
    <cellStyle name="Comma 2 5 2 4" xfId="3347" xr:uid="{00000000-0005-0000-0000-000011980000}"/>
    <cellStyle name="Comma 2 5 2 4 2" xfId="8290" xr:uid="{00000000-0005-0000-0000-000012980000}"/>
    <cellStyle name="Comma 2 5 2 4 2 2" xfId="8291" xr:uid="{00000000-0005-0000-0000-000013980000}"/>
    <cellStyle name="Comma 2 5 2 4 2 2 2" xfId="58662" xr:uid="{00000000-0005-0000-0000-000014980000}"/>
    <cellStyle name="Comma 2 5 2 4 2 3" xfId="58663" xr:uid="{00000000-0005-0000-0000-000015980000}"/>
    <cellStyle name="Comma 2 5 2 4 2 4" xfId="58664" xr:uid="{00000000-0005-0000-0000-000016980000}"/>
    <cellStyle name="Comma 2 5 2 4 2 5" xfId="58665" xr:uid="{00000000-0005-0000-0000-000017980000}"/>
    <cellStyle name="Comma 2 5 2 4 3" xfId="8292" xr:uid="{00000000-0005-0000-0000-000018980000}"/>
    <cellStyle name="Comma 2 5 2 4 3 2" xfId="58666" xr:uid="{00000000-0005-0000-0000-000019980000}"/>
    <cellStyle name="Comma 2 5 2 4 4" xfId="58667" xr:uid="{00000000-0005-0000-0000-00001A980000}"/>
    <cellStyle name="Comma 2 5 2 4 5" xfId="58668" xr:uid="{00000000-0005-0000-0000-00001B980000}"/>
    <cellStyle name="Comma 2 5 2 4 6" xfId="58669" xr:uid="{00000000-0005-0000-0000-00001C980000}"/>
    <cellStyle name="Comma 2 5 2 5" xfId="8293" xr:uid="{00000000-0005-0000-0000-00001D980000}"/>
    <cellStyle name="Comma 2 5 2 5 2" xfId="8294" xr:uid="{00000000-0005-0000-0000-00001E980000}"/>
    <cellStyle name="Comma 2 5 2 5 2 2" xfId="58670" xr:uid="{00000000-0005-0000-0000-00001F980000}"/>
    <cellStyle name="Comma 2 5 2 5 3" xfId="58671" xr:uid="{00000000-0005-0000-0000-000020980000}"/>
    <cellStyle name="Comma 2 5 2 5 4" xfId="58672" xr:uid="{00000000-0005-0000-0000-000021980000}"/>
    <cellStyle name="Comma 2 5 2 5 5" xfId="58673" xr:uid="{00000000-0005-0000-0000-000022980000}"/>
    <cellStyle name="Comma 2 5 2 6" xfId="8295" xr:uid="{00000000-0005-0000-0000-000023980000}"/>
    <cellStyle name="Comma 2 5 2 6 2" xfId="8296" xr:uid="{00000000-0005-0000-0000-000024980000}"/>
    <cellStyle name="Comma 2 5 2 6 2 2" xfId="58674" xr:uid="{00000000-0005-0000-0000-000025980000}"/>
    <cellStyle name="Comma 2 5 2 6 3" xfId="58675" xr:uid="{00000000-0005-0000-0000-000026980000}"/>
    <cellStyle name="Comma 2 5 2 6 4" xfId="58676" xr:uid="{00000000-0005-0000-0000-000027980000}"/>
    <cellStyle name="Comma 2 5 2 6 5" xfId="58677" xr:uid="{00000000-0005-0000-0000-000028980000}"/>
    <cellStyle name="Comma 2 5 2 7" xfId="8297" xr:uid="{00000000-0005-0000-0000-000029980000}"/>
    <cellStyle name="Comma 2 5 2 7 2" xfId="58678" xr:uid="{00000000-0005-0000-0000-00002A980000}"/>
    <cellStyle name="Comma 2 5 2 8" xfId="44121" xr:uid="{00000000-0005-0000-0000-00002B980000}"/>
    <cellStyle name="Comma 2 5 2 9" xfId="58679" xr:uid="{00000000-0005-0000-0000-00002C980000}"/>
    <cellStyle name="Comma 2 5 3" xfId="3348" xr:uid="{00000000-0005-0000-0000-00002D980000}"/>
    <cellStyle name="Comma 2 5 3 2" xfId="3349" xr:uid="{00000000-0005-0000-0000-00002E980000}"/>
    <cellStyle name="Comma 2 5 3 2 2" xfId="3350" xr:uid="{00000000-0005-0000-0000-00002F980000}"/>
    <cellStyle name="Comma 2 5 3 2 2 2" xfId="8298" xr:uid="{00000000-0005-0000-0000-000030980000}"/>
    <cellStyle name="Comma 2 5 3 2 2 2 2" xfId="8299" xr:uid="{00000000-0005-0000-0000-000031980000}"/>
    <cellStyle name="Comma 2 5 3 2 2 2 3" xfId="58680" xr:uid="{00000000-0005-0000-0000-000032980000}"/>
    <cellStyle name="Comma 2 5 3 2 2 3" xfId="8300" xr:uid="{00000000-0005-0000-0000-000033980000}"/>
    <cellStyle name="Comma 2 5 3 2 2 3 2" xfId="58681" xr:uid="{00000000-0005-0000-0000-000034980000}"/>
    <cellStyle name="Comma 2 5 3 2 2 4" xfId="58682" xr:uid="{00000000-0005-0000-0000-000035980000}"/>
    <cellStyle name="Comma 2 5 3 2 2 5" xfId="58683" xr:uid="{00000000-0005-0000-0000-000036980000}"/>
    <cellStyle name="Comma 2 5 3 2 3" xfId="8301" xr:uid="{00000000-0005-0000-0000-000037980000}"/>
    <cellStyle name="Comma 2 5 3 2 3 2" xfId="8302" xr:uid="{00000000-0005-0000-0000-000038980000}"/>
    <cellStyle name="Comma 2 5 3 2 3 3" xfId="58684" xr:uid="{00000000-0005-0000-0000-000039980000}"/>
    <cellStyle name="Comma 2 5 3 2 4" xfId="8303" xr:uid="{00000000-0005-0000-0000-00003A980000}"/>
    <cellStyle name="Comma 2 5 3 2 4 2" xfId="58685" xr:uid="{00000000-0005-0000-0000-00003B980000}"/>
    <cellStyle name="Comma 2 5 3 2 5" xfId="58686" xr:uid="{00000000-0005-0000-0000-00003C980000}"/>
    <cellStyle name="Comma 2 5 3 2 6" xfId="58687" xr:uid="{00000000-0005-0000-0000-00003D980000}"/>
    <cellStyle name="Comma 2 5 3 3" xfId="3351" xr:uid="{00000000-0005-0000-0000-00003E980000}"/>
    <cellStyle name="Comma 2 5 3 3 2" xfId="8304" xr:uid="{00000000-0005-0000-0000-00003F980000}"/>
    <cellStyle name="Comma 2 5 3 3 2 2" xfId="8305" xr:uid="{00000000-0005-0000-0000-000040980000}"/>
    <cellStyle name="Comma 2 5 3 3 2 2 2" xfId="58688" xr:uid="{00000000-0005-0000-0000-000041980000}"/>
    <cellStyle name="Comma 2 5 3 3 2 3" xfId="58689" xr:uid="{00000000-0005-0000-0000-000042980000}"/>
    <cellStyle name="Comma 2 5 3 3 2 4" xfId="58690" xr:uid="{00000000-0005-0000-0000-000043980000}"/>
    <cellStyle name="Comma 2 5 3 3 2 5" xfId="58691" xr:uid="{00000000-0005-0000-0000-000044980000}"/>
    <cellStyle name="Comma 2 5 3 3 3" xfId="8306" xr:uid="{00000000-0005-0000-0000-000045980000}"/>
    <cellStyle name="Comma 2 5 3 3 3 2" xfId="58692" xr:uid="{00000000-0005-0000-0000-000046980000}"/>
    <cellStyle name="Comma 2 5 3 3 4" xfId="58693" xr:uid="{00000000-0005-0000-0000-000047980000}"/>
    <cellStyle name="Comma 2 5 3 3 5" xfId="58694" xr:uid="{00000000-0005-0000-0000-000048980000}"/>
    <cellStyle name="Comma 2 5 3 3 6" xfId="58695" xr:uid="{00000000-0005-0000-0000-000049980000}"/>
    <cellStyle name="Comma 2 5 3 4" xfId="8307" xr:uid="{00000000-0005-0000-0000-00004A980000}"/>
    <cellStyle name="Comma 2 5 3 4 2" xfId="8308" xr:uid="{00000000-0005-0000-0000-00004B980000}"/>
    <cellStyle name="Comma 2 5 3 4 2 2" xfId="58696" xr:uid="{00000000-0005-0000-0000-00004C980000}"/>
    <cellStyle name="Comma 2 5 3 4 3" xfId="58697" xr:uid="{00000000-0005-0000-0000-00004D980000}"/>
    <cellStyle name="Comma 2 5 3 4 4" xfId="58698" xr:uid="{00000000-0005-0000-0000-00004E980000}"/>
    <cellStyle name="Comma 2 5 3 4 5" xfId="58699" xr:uid="{00000000-0005-0000-0000-00004F980000}"/>
    <cellStyle name="Comma 2 5 3 5" xfId="8309" xr:uid="{00000000-0005-0000-0000-000050980000}"/>
    <cellStyle name="Comma 2 5 3 5 2" xfId="8310" xr:uid="{00000000-0005-0000-0000-000051980000}"/>
    <cellStyle name="Comma 2 5 3 5 2 2" xfId="58700" xr:uid="{00000000-0005-0000-0000-000052980000}"/>
    <cellStyle name="Comma 2 5 3 5 3" xfId="58701" xr:uid="{00000000-0005-0000-0000-000053980000}"/>
    <cellStyle name="Comma 2 5 3 5 4" xfId="58702" xr:uid="{00000000-0005-0000-0000-000054980000}"/>
    <cellStyle name="Comma 2 5 3 5 5" xfId="58703" xr:uid="{00000000-0005-0000-0000-000055980000}"/>
    <cellStyle name="Comma 2 5 3 6" xfId="8311" xr:uid="{00000000-0005-0000-0000-000056980000}"/>
    <cellStyle name="Comma 2 5 3 6 2" xfId="58704" xr:uid="{00000000-0005-0000-0000-000057980000}"/>
    <cellStyle name="Comma 2 5 3 7" xfId="58705" xr:uid="{00000000-0005-0000-0000-000058980000}"/>
    <cellStyle name="Comma 2 5 3 8" xfId="58706" xr:uid="{00000000-0005-0000-0000-000059980000}"/>
    <cellStyle name="Comma 2 5 3 9" xfId="58707" xr:uid="{00000000-0005-0000-0000-00005A980000}"/>
    <cellStyle name="Comma 2 5 4" xfId="3352" xr:uid="{00000000-0005-0000-0000-00005B980000}"/>
    <cellStyle name="Comma 2 5 4 2" xfId="3353" xr:uid="{00000000-0005-0000-0000-00005C980000}"/>
    <cellStyle name="Comma 2 5 4 2 2" xfId="8312" xr:uid="{00000000-0005-0000-0000-00005D980000}"/>
    <cellStyle name="Comma 2 5 4 2 2 2" xfId="8313" xr:uid="{00000000-0005-0000-0000-00005E980000}"/>
    <cellStyle name="Comma 2 5 4 2 2 3" xfId="58708" xr:uid="{00000000-0005-0000-0000-00005F980000}"/>
    <cellStyle name="Comma 2 5 4 2 3" xfId="8314" xr:uid="{00000000-0005-0000-0000-000060980000}"/>
    <cellStyle name="Comma 2 5 4 2 3 2" xfId="58709" xr:uid="{00000000-0005-0000-0000-000061980000}"/>
    <cellStyle name="Comma 2 5 4 2 4" xfId="58710" xr:uid="{00000000-0005-0000-0000-000062980000}"/>
    <cellStyle name="Comma 2 5 4 2 5" xfId="58711" xr:uid="{00000000-0005-0000-0000-000063980000}"/>
    <cellStyle name="Comma 2 5 4 3" xfId="8315" xr:uid="{00000000-0005-0000-0000-000064980000}"/>
    <cellStyle name="Comma 2 5 4 3 2" xfId="8316" xr:uid="{00000000-0005-0000-0000-000065980000}"/>
    <cellStyle name="Comma 2 5 4 3 3" xfId="58712" xr:uid="{00000000-0005-0000-0000-000066980000}"/>
    <cellStyle name="Comma 2 5 4 4" xfId="8317" xr:uid="{00000000-0005-0000-0000-000067980000}"/>
    <cellStyle name="Comma 2 5 4 4 2" xfId="58713" xr:uid="{00000000-0005-0000-0000-000068980000}"/>
    <cellStyle name="Comma 2 5 4 5" xfId="58714" xr:uid="{00000000-0005-0000-0000-000069980000}"/>
    <cellStyle name="Comma 2 5 4 6" xfId="58715" xr:uid="{00000000-0005-0000-0000-00006A980000}"/>
    <cellStyle name="Comma 2 5 5" xfId="3354" xr:uid="{00000000-0005-0000-0000-00006B980000}"/>
    <cellStyle name="Comma 2 5 5 2" xfId="8318" xr:uid="{00000000-0005-0000-0000-00006C980000}"/>
    <cellStyle name="Comma 2 5 5 2 2" xfId="8319" xr:uid="{00000000-0005-0000-0000-00006D980000}"/>
    <cellStyle name="Comma 2 5 5 2 2 2" xfId="58716" xr:uid="{00000000-0005-0000-0000-00006E980000}"/>
    <cellStyle name="Comma 2 5 5 2 3" xfId="58717" xr:uid="{00000000-0005-0000-0000-00006F980000}"/>
    <cellStyle name="Comma 2 5 5 2 4" xfId="58718" xr:uid="{00000000-0005-0000-0000-000070980000}"/>
    <cellStyle name="Comma 2 5 5 2 5" xfId="58719" xr:uid="{00000000-0005-0000-0000-000071980000}"/>
    <cellStyle name="Comma 2 5 5 3" xfId="8320" xr:uid="{00000000-0005-0000-0000-000072980000}"/>
    <cellStyle name="Comma 2 5 5 3 2" xfId="58720" xr:uid="{00000000-0005-0000-0000-000073980000}"/>
    <cellStyle name="Comma 2 5 5 4" xfId="58721" xr:uid="{00000000-0005-0000-0000-000074980000}"/>
    <cellStyle name="Comma 2 5 5 5" xfId="58722" xr:uid="{00000000-0005-0000-0000-000075980000}"/>
    <cellStyle name="Comma 2 5 5 6" xfId="58723" xr:uid="{00000000-0005-0000-0000-000076980000}"/>
    <cellStyle name="Comma 2 5 6" xfId="8321" xr:uid="{00000000-0005-0000-0000-000077980000}"/>
    <cellStyle name="Comma 2 5 6 2" xfId="8322" xr:uid="{00000000-0005-0000-0000-000078980000}"/>
    <cellStyle name="Comma 2 5 6 2 2" xfId="58724" xr:uid="{00000000-0005-0000-0000-000079980000}"/>
    <cellStyle name="Comma 2 5 6 3" xfId="58725" xr:uid="{00000000-0005-0000-0000-00007A980000}"/>
    <cellStyle name="Comma 2 5 6 4" xfId="58726" xr:uid="{00000000-0005-0000-0000-00007B980000}"/>
    <cellStyle name="Comma 2 5 6 5" xfId="58727" xr:uid="{00000000-0005-0000-0000-00007C980000}"/>
    <cellStyle name="Comma 2 5 7" xfId="8323" xr:uid="{00000000-0005-0000-0000-00007D980000}"/>
    <cellStyle name="Comma 2 5 7 2" xfId="8324" xr:uid="{00000000-0005-0000-0000-00007E980000}"/>
    <cellStyle name="Comma 2 5 7 2 2" xfId="58728" xr:uid="{00000000-0005-0000-0000-00007F980000}"/>
    <cellStyle name="Comma 2 5 7 3" xfId="58729" xr:uid="{00000000-0005-0000-0000-000080980000}"/>
    <cellStyle name="Comma 2 5 7 4" xfId="58730" xr:uid="{00000000-0005-0000-0000-000081980000}"/>
    <cellStyle name="Comma 2 5 7 5" xfId="58731" xr:uid="{00000000-0005-0000-0000-000082980000}"/>
    <cellStyle name="Comma 2 5 8" xfId="8325" xr:uid="{00000000-0005-0000-0000-000083980000}"/>
    <cellStyle name="Comma 2 5 8 2" xfId="58732" xr:uid="{00000000-0005-0000-0000-000084980000}"/>
    <cellStyle name="Comma 2 5 8 2 2" xfId="58733" xr:uid="{00000000-0005-0000-0000-000085980000}"/>
    <cellStyle name="Comma 2 5 8 3" xfId="58734" xr:uid="{00000000-0005-0000-0000-000086980000}"/>
    <cellStyle name="Comma 2 5 8 4" xfId="58735" xr:uid="{00000000-0005-0000-0000-000087980000}"/>
    <cellStyle name="Comma 2 5 8 5" xfId="58736" xr:uid="{00000000-0005-0000-0000-000088980000}"/>
    <cellStyle name="Comma 2 5 9" xfId="44122" xr:uid="{00000000-0005-0000-0000-000089980000}"/>
    <cellStyle name="Comma 2 6" xfId="3355" xr:uid="{00000000-0005-0000-0000-00008A980000}"/>
    <cellStyle name="Comma 2 6 2" xfId="3356" xr:uid="{00000000-0005-0000-0000-00008B980000}"/>
    <cellStyle name="Comma 2 6 2 2" xfId="3357" xr:uid="{00000000-0005-0000-0000-00008C980000}"/>
    <cellStyle name="Comma 2 6 2 2 2" xfId="3358" xr:uid="{00000000-0005-0000-0000-00008D980000}"/>
    <cellStyle name="Comma 2 6 2 2 2 2" xfId="8326" xr:uid="{00000000-0005-0000-0000-00008E980000}"/>
    <cellStyle name="Comma 2 6 2 2 2 2 2" xfId="8327" xr:uid="{00000000-0005-0000-0000-00008F980000}"/>
    <cellStyle name="Comma 2 6 2 2 2 2 3" xfId="58737" xr:uid="{00000000-0005-0000-0000-000090980000}"/>
    <cellStyle name="Comma 2 6 2 2 2 3" xfId="8328" xr:uid="{00000000-0005-0000-0000-000091980000}"/>
    <cellStyle name="Comma 2 6 2 2 2 3 2" xfId="58738" xr:uid="{00000000-0005-0000-0000-000092980000}"/>
    <cellStyle name="Comma 2 6 2 2 2 4" xfId="58739" xr:uid="{00000000-0005-0000-0000-000093980000}"/>
    <cellStyle name="Comma 2 6 2 2 2 5" xfId="58740" xr:uid="{00000000-0005-0000-0000-000094980000}"/>
    <cellStyle name="Comma 2 6 2 2 3" xfId="8329" xr:uid="{00000000-0005-0000-0000-000095980000}"/>
    <cellStyle name="Comma 2 6 2 2 3 2" xfId="8330" xr:uid="{00000000-0005-0000-0000-000096980000}"/>
    <cellStyle name="Comma 2 6 2 2 3 3" xfId="58741" xr:uid="{00000000-0005-0000-0000-000097980000}"/>
    <cellStyle name="Comma 2 6 2 2 4" xfId="8331" xr:uid="{00000000-0005-0000-0000-000098980000}"/>
    <cellStyle name="Comma 2 6 2 2 4 2" xfId="58742" xr:uid="{00000000-0005-0000-0000-000099980000}"/>
    <cellStyle name="Comma 2 6 2 2 5" xfId="58743" xr:uid="{00000000-0005-0000-0000-00009A980000}"/>
    <cellStyle name="Comma 2 6 2 2 6" xfId="58744" xr:uid="{00000000-0005-0000-0000-00009B980000}"/>
    <cellStyle name="Comma 2 6 2 3" xfId="3359" xr:uid="{00000000-0005-0000-0000-00009C980000}"/>
    <cellStyle name="Comma 2 6 2 3 2" xfId="8332" xr:uid="{00000000-0005-0000-0000-00009D980000}"/>
    <cellStyle name="Comma 2 6 2 3 2 2" xfId="8333" xr:uid="{00000000-0005-0000-0000-00009E980000}"/>
    <cellStyle name="Comma 2 6 2 3 2 2 2" xfId="58745" xr:uid="{00000000-0005-0000-0000-00009F980000}"/>
    <cellStyle name="Comma 2 6 2 3 2 3" xfId="58746" xr:uid="{00000000-0005-0000-0000-0000A0980000}"/>
    <cellStyle name="Comma 2 6 2 3 2 4" xfId="58747" xr:uid="{00000000-0005-0000-0000-0000A1980000}"/>
    <cellStyle name="Comma 2 6 2 3 2 5" xfId="58748" xr:uid="{00000000-0005-0000-0000-0000A2980000}"/>
    <cellStyle name="Comma 2 6 2 3 3" xfId="8334" xr:uid="{00000000-0005-0000-0000-0000A3980000}"/>
    <cellStyle name="Comma 2 6 2 3 3 2" xfId="58749" xr:uid="{00000000-0005-0000-0000-0000A4980000}"/>
    <cellStyle name="Comma 2 6 2 3 4" xfId="58750" xr:uid="{00000000-0005-0000-0000-0000A5980000}"/>
    <cellStyle name="Comma 2 6 2 3 5" xfId="58751" xr:uid="{00000000-0005-0000-0000-0000A6980000}"/>
    <cellStyle name="Comma 2 6 2 3 6" xfId="58752" xr:uid="{00000000-0005-0000-0000-0000A7980000}"/>
    <cellStyle name="Comma 2 6 2 4" xfId="8335" xr:uid="{00000000-0005-0000-0000-0000A8980000}"/>
    <cellStyle name="Comma 2 6 2 4 2" xfId="8336" xr:uid="{00000000-0005-0000-0000-0000A9980000}"/>
    <cellStyle name="Comma 2 6 2 4 2 2" xfId="58753" xr:uid="{00000000-0005-0000-0000-0000AA980000}"/>
    <cellStyle name="Comma 2 6 2 4 3" xfId="58754" xr:uid="{00000000-0005-0000-0000-0000AB980000}"/>
    <cellStyle name="Comma 2 6 2 4 4" xfId="58755" xr:uid="{00000000-0005-0000-0000-0000AC980000}"/>
    <cellStyle name="Comma 2 6 2 4 5" xfId="58756" xr:uid="{00000000-0005-0000-0000-0000AD980000}"/>
    <cellStyle name="Comma 2 6 2 5" xfId="8337" xr:uid="{00000000-0005-0000-0000-0000AE980000}"/>
    <cellStyle name="Comma 2 6 2 5 2" xfId="8338" xr:uid="{00000000-0005-0000-0000-0000AF980000}"/>
    <cellStyle name="Comma 2 6 2 5 2 2" xfId="58757" xr:uid="{00000000-0005-0000-0000-0000B0980000}"/>
    <cellStyle name="Comma 2 6 2 5 3" xfId="58758" xr:uid="{00000000-0005-0000-0000-0000B1980000}"/>
    <cellStyle name="Comma 2 6 2 5 4" xfId="58759" xr:uid="{00000000-0005-0000-0000-0000B2980000}"/>
    <cellStyle name="Comma 2 6 2 5 5" xfId="58760" xr:uid="{00000000-0005-0000-0000-0000B3980000}"/>
    <cellStyle name="Comma 2 6 2 6" xfId="8339" xr:uid="{00000000-0005-0000-0000-0000B4980000}"/>
    <cellStyle name="Comma 2 6 2 6 2" xfId="58761" xr:uid="{00000000-0005-0000-0000-0000B5980000}"/>
    <cellStyle name="Comma 2 6 2 7" xfId="44123" xr:uid="{00000000-0005-0000-0000-0000B6980000}"/>
    <cellStyle name="Comma 2 6 2 8" xfId="58762" xr:uid="{00000000-0005-0000-0000-0000B7980000}"/>
    <cellStyle name="Comma 2 6 2 9" xfId="58763" xr:uid="{00000000-0005-0000-0000-0000B8980000}"/>
    <cellStyle name="Comma 2 6 3" xfId="3360" xr:uid="{00000000-0005-0000-0000-0000B9980000}"/>
    <cellStyle name="Comma 2 6 3 2" xfId="3361" xr:uid="{00000000-0005-0000-0000-0000BA980000}"/>
    <cellStyle name="Comma 2 6 3 2 2" xfId="8340" xr:uid="{00000000-0005-0000-0000-0000BB980000}"/>
    <cellStyle name="Comma 2 6 3 2 2 2" xfId="8341" xr:uid="{00000000-0005-0000-0000-0000BC980000}"/>
    <cellStyle name="Comma 2 6 3 2 2 3" xfId="58764" xr:uid="{00000000-0005-0000-0000-0000BD980000}"/>
    <cellStyle name="Comma 2 6 3 2 3" xfId="8342" xr:uid="{00000000-0005-0000-0000-0000BE980000}"/>
    <cellStyle name="Comma 2 6 3 2 3 2" xfId="58765" xr:uid="{00000000-0005-0000-0000-0000BF980000}"/>
    <cellStyle name="Comma 2 6 3 2 4" xfId="58766" xr:uid="{00000000-0005-0000-0000-0000C0980000}"/>
    <cellStyle name="Comma 2 6 3 2 5" xfId="58767" xr:uid="{00000000-0005-0000-0000-0000C1980000}"/>
    <cellStyle name="Comma 2 6 3 3" xfId="8343" xr:uid="{00000000-0005-0000-0000-0000C2980000}"/>
    <cellStyle name="Comma 2 6 3 3 2" xfId="8344" xr:uid="{00000000-0005-0000-0000-0000C3980000}"/>
    <cellStyle name="Comma 2 6 3 3 3" xfId="58768" xr:uid="{00000000-0005-0000-0000-0000C4980000}"/>
    <cellStyle name="Comma 2 6 3 4" xfId="8345" xr:uid="{00000000-0005-0000-0000-0000C5980000}"/>
    <cellStyle name="Comma 2 6 3 4 2" xfId="58769" xr:uid="{00000000-0005-0000-0000-0000C6980000}"/>
    <cellStyle name="Comma 2 6 3 5" xfId="58770" xr:uid="{00000000-0005-0000-0000-0000C7980000}"/>
    <cellStyle name="Comma 2 6 3 6" xfId="58771" xr:uid="{00000000-0005-0000-0000-0000C8980000}"/>
    <cellStyle name="Comma 2 6 4" xfId="3362" xr:uid="{00000000-0005-0000-0000-0000C9980000}"/>
    <cellStyle name="Comma 2 6 4 2" xfId="8346" xr:uid="{00000000-0005-0000-0000-0000CA980000}"/>
    <cellStyle name="Comma 2 6 4 2 2" xfId="8347" xr:uid="{00000000-0005-0000-0000-0000CB980000}"/>
    <cellStyle name="Comma 2 6 4 2 2 2" xfId="58772" xr:uid="{00000000-0005-0000-0000-0000CC980000}"/>
    <cellStyle name="Comma 2 6 4 2 3" xfId="58773" xr:uid="{00000000-0005-0000-0000-0000CD980000}"/>
    <cellStyle name="Comma 2 6 4 2 4" xfId="58774" xr:uid="{00000000-0005-0000-0000-0000CE980000}"/>
    <cellStyle name="Comma 2 6 4 2 5" xfId="58775" xr:uid="{00000000-0005-0000-0000-0000CF980000}"/>
    <cellStyle name="Comma 2 6 4 3" xfId="8348" xr:uid="{00000000-0005-0000-0000-0000D0980000}"/>
    <cellStyle name="Comma 2 6 4 3 2" xfId="58776" xr:uid="{00000000-0005-0000-0000-0000D1980000}"/>
    <cellStyle name="Comma 2 6 4 4" xfId="58777" xr:uid="{00000000-0005-0000-0000-0000D2980000}"/>
    <cellStyle name="Comma 2 6 4 5" xfId="58778" xr:uid="{00000000-0005-0000-0000-0000D3980000}"/>
    <cellStyle name="Comma 2 6 4 6" xfId="58779" xr:uid="{00000000-0005-0000-0000-0000D4980000}"/>
    <cellStyle name="Comma 2 6 5" xfId="8349" xr:uid="{00000000-0005-0000-0000-0000D5980000}"/>
    <cellStyle name="Comma 2 6 5 2" xfId="8350" xr:uid="{00000000-0005-0000-0000-0000D6980000}"/>
    <cellStyle name="Comma 2 6 5 2 2" xfId="58780" xr:uid="{00000000-0005-0000-0000-0000D7980000}"/>
    <cellStyle name="Comma 2 6 5 3" xfId="58781" xr:uid="{00000000-0005-0000-0000-0000D8980000}"/>
    <cellStyle name="Comma 2 6 5 4" xfId="58782" xr:uid="{00000000-0005-0000-0000-0000D9980000}"/>
    <cellStyle name="Comma 2 6 5 5" xfId="58783" xr:uid="{00000000-0005-0000-0000-0000DA980000}"/>
    <cellStyle name="Comma 2 6 6" xfId="8351" xr:uid="{00000000-0005-0000-0000-0000DB980000}"/>
    <cellStyle name="Comma 2 6 6 2" xfId="8352" xr:uid="{00000000-0005-0000-0000-0000DC980000}"/>
    <cellStyle name="Comma 2 6 6 2 2" xfId="58784" xr:uid="{00000000-0005-0000-0000-0000DD980000}"/>
    <cellStyle name="Comma 2 6 6 3" xfId="58785" xr:uid="{00000000-0005-0000-0000-0000DE980000}"/>
    <cellStyle name="Comma 2 6 6 4" xfId="58786" xr:uid="{00000000-0005-0000-0000-0000DF980000}"/>
    <cellStyle name="Comma 2 6 6 5" xfId="58787" xr:uid="{00000000-0005-0000-0000-0000E0980000}"/>
    <cellStyle name="Comma 2 6 7" xfId="8353" xr:uid="{00000000-0005-0000-0000-0000E1980000}"/>
    <cellStyle name="Comma 2 6 7 2" xfId="58788" xr:uid="{00000000-0005-0000-0000-0000E2980000}"/>
    <cellStyle name="Comma 2 6 7 2 2" xfId="58789" xr:uid="{00000000-0005-0000-0000-0000E3980000}"/>
    <cellStyle name="Comma 2 6 7 3" xfId="58790" xr:uid="{00000000-0005-0000-0000-0000E4980000}"/>
    <cellStyle name="Comma 2 6 7 4" xfId="58791" xr:uid="{00000000-0005-0000-0000-0000E5980000}"/>
    <cellStyle name="Comma 2 6 7 5" xfId="58792" xr:uid="{00000000-0005-0000-0000-0000E6980000}"/>
    <cellStyle name="Comma 2 6 8" xfId="44124" xr:uid="{00000000-0005-0000-0000-0000E7980000}"/>
    <cellStyle name="Comma 2 7" xfId="3363" xr:uid="{00000000-0005-0000-0000-0000E8980000}"/>
    <cellStyle name="Comma 2 7 2" xfId="3364" xr:uid="{00000000-0005-0000-0000-0000E9980000}"/>
    <cellStyle name="Comma 2 7 2 2" xfId="3365" xr:uid="{00000000-0005-0000-0000-0000EA980000}"/>
    <cellStyle name="Comma 2 7 2 2 2" xfId="3366" xr:uid="{00000000-0005-0000-0000-0000EB980000}"/>
    <cellStyle name="Comma 2 7 2 2 2 2" xfId="8354" xr:uid="{00000000-0005-0000-0000-0000EC980000}"/>
    <cellStyle name="Comma 2 7 2 2 2 3" xfId="58793" xr:uid="{00000000-0005-0000-0000-0000ED980000}"/>
    <cellStyle name="Comma 2 7 2 2 3" xfId="8355" xr:uid="{00000000-0005-0000-0000-0000EE980000}"/>
    <cellStyle name="Comma 2 7 2 2 3 2" xfId="58794" xr:uid="{00000000-0005-0000-0000-0000EF980000}"/>
    <cellStyle name="Comma 2 7 2 2 4" xfId="58795" xr:uid="{00000000-0005-0000-0000-0000F0980000}"/>
    <cellStyle name="Comma 2 7 2 2 5" xfId="58796" xr:uid="{00000000-0005-0000-0000-0000F1980000}"/>
    <cellStyle name="Comma 2 7 2 3" xfId="3367" xr:uid="{00000000-0005-0000-0000-0000F2980000}"/>
    <cellStyle name="Comma 2 7 2 3 2" xfId="8356" xr:uid="{00000000-0005-0000-0000-0000F3980000}"/>
    <cellStyle name="Comma 2 7 2 3 3" xfId="58797" xr:uid="{00000000-0005-0000-0000-0000F4980000}"/>
    <cellStyle name="Comma 2 7 2 4" xfId="8357" xr:uid="{00000000-0005-0000-0000-0000F5980000}"/>
    <cellStyle name="Comma 2 7 2 4 2" xfId="58798" xr:uid="{00000000-0005-0000-0000-0000F6980000}"/>
    <cellStyle name="Comma 2 7 2 5" xfId="58799" xr:uid="{00000000-0005-0000-0000-0000F7980000}"/>
    <cellStyle name="Comma 2 7 2 6" xfId="58800" xr:uid="{00000000-0005-0000-0000-0000F8980000}"/>
    <cellStyle name="Comma 2 7 3" xfId="3368" xr:uid="{00000000-0005-0000-0000-0000F9980000}"/>
    <cellStyle name="Comma 2 7 3 2" xfId="3369" xr:uid="{00000000-0005-0000-0000-0000FA980000}"/>
    <cellStyle name="Comma 2 7 3 2 2" xfId="8358" xr:uid="{00000000-0005-0000-0000-0000FB980000}"/>
    <cellStyle name="Comma 2 7 3 2 2 2" xfId="58801" xr:uid="{00000000-0005-0000-0000-0000FC980000}"/>
    <cellStyle name="Comma 2 7 3 2 3" xfId="58802" xr:uid="{00000000-0005-0000-0000-0000FD980000}"/>
    <cellStyle name="Comma 2 7 3 2 4" xfId="58803" xr:uid="{00000000-0005-0000-0000-0000FE980000}"/>
    <cellStyle name="Comma 2 7 3 2 5" xfId="58804" xr:uid="{00000000-0005-0000-0000-0000FF980000}"/>
    <cellStyle name="Comma 2 7 3 3" xfId="8359" xr:uid="{00000000-0005-0000-0000-000000990000}"/>
    <cellStyle name="Comma 2 7 3 3 2" xfId="58805" xr:uid="{00000000-0005-0000-0000-000001990000}"/>
    <cellStyle name="Comma 2 7 3 4" xfId="58806" xr:uid="{00000000-0005-0000-0000-000002990000}"/>
    <cellStyle name="Comma 2 7 3 5" xfId="58807" xr:uid="{00000000-0005-0000-0000-000003990000}"/>
    <cellStyle name="Comma 2 7 3 6" xfId="58808" xr:uid="{00000000-0005-0000-0000-000004990000}"/>
    <cellStyle name="Comma 2 7 4" xfId="3370" xr:uid="{00000000-0005-0000-0000-000005990000}"/>
    <cellStyle name="Comma 2 7 4 2" xfId="8360" xr:uid="{00000000-0005-0000-0000-000006990000}"/>
    <cellStyle name="Comma 2 7 4 2 2" xfId="58809" xr:uid="{00000000-0005-0000-0000-000007990000}"/>
    <cellStyle name="Comma 2 7 4 3" xfId="58810" xr:uid="{00000000-0005-0000-0000-000008990000}"/>
    <cellStyle name="Comma 2 7 4 4" xfId="58811" xr:uid="{00000000-0005-0000-0000-000009990000}"/>
    <cellStyle name="Comma 2 7 4 5" xfId="58812" xr:uid="{00000000-0005-0000-0000-00000A990000}"/>
    <cellStyle name="Comma 2 7 5" xfId="8361" xr:uid="{00000000-0005-0000-0000-00000B990000}"/>
    <cellStyle name="Comma 2 7 5 2" xfId="8362" xr:uid="{00000000-0005-0000-0000-00000C990000}"/>
    <cellStyle name="Comma 2 7 5 2 2" xfId="58813" xr:uid="{00000000-0005-0000-0000-00000D990000}"/>
    <cellStyle name="Comma 2 7 5 3" xfId="58814" xr:uid="{00000000-0005-0000-0000-00000E990000}"/>
    <cellStyle name="Comma 2 7 5 4" xfId="58815" xr:uid="{00000000-0005-0000-0000-00000F990000}"/>
    <cellStyle name="Comma 2 7 5 5" xfId="58816" xr:uid="{00000000-0005-0000-0000-000010990000}"/>
    <cellStyle name="Comma 2 7 6" xfId="8363" xr:uid="{00000000-0005-0000-0000-000011990000}"/>
    <cellStyle name="Comma 2 7 6 2" xfId="58817" xr:uid="{00000000-0005-0000-0000-000012990000}"/>
    <cellStyle name="Comma 2 7 6 2 2" xfId="58818" xr:uid="{00000000-0005-0000-0000-000013990000}"/>
    <cellStyle name="Comma 2 7 6 3" xfId="58819" xr:uid="{00000000-0005-0000-0000-000014990000}"/>
    <cellStyle name="Comma 2 7 6 4" xfId="58820" xr:uid="{00000000-0005-0000-0000-000015990000}"/>
    <cellStyle name="Comma 2 7 6 5" xfId="58821" xr:uid="{00000000-0005-0000-0000-000016990000}"/>
    <cellStyle name="Comma 2 7 7" xfId="44125" xr:uid="{00000000-0005-0000-0000-000017990000}"/>
    <cellStyle name="Comma 2 8" xfId="3371" xr:uid="{00000000-0005-0000-0000-000018990000}"/>
    <cellStyle name="Comma 2 8 2" xfId="3372" xr:uid="{00000000-0005-0000-0000-000019990000}"/>
    <cellStyle name="Comma 2 8 2 2" xfId="3373" xr:uid="{00000000-0005-0000-0000-00001A990000}"/>
    <cellStyle name="Comma 2 8 2 2 2" xfId="3374" xr:uid="{00000000-0005-0000-0000-00001B990000}"/>
    <cellStyle name="Comma 2 8 2 2 3" xfId="58822" xr:uid="{00000000-0005-0000-0000-00001C990000}"/>
    <cellStyle name="Comma 2 8 2 3" xfId="3375" xr:uid="{00000000-0005-0000-0000-00001D990000}"/>
    <cellStyle name="Comma 2 8 2 3 2" xfId="58823" xr:uid="{00000000-0005-0000-0000-00001E990000}"/>
    <cellStyle name="Comma 2 8 2 4" xfId="58824" xr:uid="{00000000-0005-0000-0000-00001F990000}"/>
    <cellStyle name="Comma 2 8 2 5" xfId="58825" xr:uid="{00000000-0005-0000-0000-000020990000}"/>
    <cellStyle name="Comma 2 8 3" xfId="3376" xr:uid="{00000000-0005-0000-0000-000021990000}"/>
    <cellStyle name="Comma 2 8 3 2" xfId="3377" xr:uid="{00000000-0005-0000-0000-000022990000}"/>
    <cellStyle name="Comma 2 8 3 2 2" xfId="58826" xr:uid="{00000000-0005-0000-0000-000023990000}"/>
    <cellStyle name="Comma 2 8 3 3" xfId="58827" xr:uid="{00000000-0005-0000-0000-000024990000}"/>
    <cellStyle name="Comma 2 8 3 4" xfId="58828" xr:uid="{00000000-0005-0000-0000-000025990000}"/>
    <cellStyle name="Comma 2 8 3 5" xfId="58829" xr:uid="{00000000-0005-0000-0000-000026990000}"/>
    <cellStyle name="Comma 2 8 4" xfId="3378" xr:uid="{00000000-0005-0000-0000-000027990000}"/>
    <cellStyle name="Comma 2 8 4 2" xfId="58830" xr:uid="{00000000-0005-0000-0000-000028990000}"/>
    <cellStyle name="Comma 2 8 4 2 2" xfId="58831" xr:uid="{00000000-0005-0000-0000-000029990000}"/>
    <cellStyle name="Comma 2 8 4 3" xfId="58832" xr:uid="{00000000-0005-0000-0000-00002A990000}"/>
    <cellStyle name="Comma 2 8 4 4" xfId="58833" xr:uid="{00000000-0005-0000-0000-00002B990000}"/>
    <cellStyle name="Comma 2 8 4 5" xfId="58834" xr:uid="{00000000-0005-0000-0000-00002C990000}"/>
    <cellStyle name="Comma 2 8 5" xfId="44126" xr:uid="{00000000-0005-0000-0000-00002D990000}"/>
    <cellStyle name="Comma 2 9" xfId="3379" xr:uid="{00000000-0005-0000-0000-00002E990000}"/>
    <cellStyle name="Comma 2 9 2" xfId="3380" xr:uid="{00000000-0005-0000-0000-00002F990000}"/>
    <cellStyle name="Comma 2 9 2 2" xfId="3381" xr:uid="{00000000-0005-0000-0000-000030990000}"/>
    <cellStyle name="Comma 2 9 2 2 2" xfId="58835" xr:uid="{00000000-0005-0000-0000-000031990000}"/>
    <cellStyle name="Comma 2 9 2 3" xfId="58836" xr:uid="{00000000-0005-0000-0000-000032990000}"/>
    <cellStyle name="Comma 2 9 2 4" xfId="58837" xr:uid="{00000000-0005-0000-0000-000033990000}"/>
    <cellStyle name="Comma 2 9 2 5" xfId="58838" xr:uid="{00000000-0005-0000-0000-000034990000}"/>
    <cellStyle name="Comma 2 9 3" xfId="3382" xr:uid="{00000000-0005-0000-0000-000035990000}"/>
    <cellStyle name="Comma 2 9 3 2" xfId="58839" xr:uid="{00000000-0005-0000-0000-000036990000}"/>
    <cellStyle name="Comma 2 9 3 2 2" xfId="58840" xr:uid="{00000000-0005-0000-0000-000037990000}"/>
    <cellStyle name="Comma 2 9 3 3" xfId="58841" xr:uid="{00000000-0005-0000-0000-000038990000}"/>
    <cellStyle name="Comma 2 9 3 4" xfId="58842" xr:uid="{00000000-0005-0000-0000-000039990000}"/>
    <cellStyle name="Comma 2 9 3 5" xfId="58843" xr:uid="{00000000-0005-0000-0000-00003A990000}"/>
    <cellStyle name="Comma 2 9 4" xfId="58844" xr:uid="{00000000-0005-0000-0000-00003B990000}"/>
    <cellStyle name="Comma 20" xfId="3383" xr:uid="{00000000-0005-0000-0000-00003C990000}"/>
    <cellStyle name="Comma 20 2" xfId="44127" xr:uid="{00000000-0005-0000-0000-00003D990000}"/>
    <cellStyle name="Comma 20 2 2" xfId="44128" xr:uid="{00000000-0005-0000-0000-00003E990000}"/>
    <cellStyle name="Comma 20 3" xfId="44129" xr:uid="{00000000-0005-0000-0000-00003F990000}"/>
    <cellStyle name="Comma 20 3 2" xfId="44130" xr:uid="{00000000-0005-0000-0000-000040990000}"/>
    <cellStyle name="Comma 20 4" xfId="44131" xr:uid="{00000000-0005-0000-0000-000041990000}"/>
    <cellStyle name="Comma 20 4 2" xfId="44132" xr:uid="{00000000-0005-0000-0000-000042990000}"/>
    <cellStyle name="Comma 20 5" xfId="44133" xr:uid="{00000000-0005-0000-0000-000043990000}"/>
    <cellStyle name="Comma 20 6" xfId="44134" xr:uid="{00000000-0005-0000-0000-000044990000}"/>
    <cellStyle name="Comma 20 7" xfId="44135" xr:uid="{00000000-0005-0000-0000-000045990000}"/>
    <cellStyle name="Comma 21" xfId="3384" xr:uid="{00000000-0005-0000-0000-000046990000}"/>
    <cellStyle name="Comma 21 2" xfId="44136" xr:uid="{00000000-0005-0000-0000-000047990000}"/>
    <cellStyle name="Comma 21 2 2" xfId="44137" xr:uid="{00000000-0005-0000-0000-000048990000}"/>
    <cellStyle name="Comma 21 2 3" xfId="44138" xr:uid="{00000000-0005-0000-0000-000049990000}"/>
    <cellStyle name="Comma 21 3" xfId="44139" xr:uid="{00000000-0005-0000-0000-00004A990000}"/>
    <cellStyle name="Comma 21 3 2" xfId="44140" xr:uid="{00000000-0005-0000-0000-00004B990000}"/>
    <cellStyle name="Comma 21 4" xfId="44141" xr:uid="{00000000-0005-0000-0000-00004C990000}"/>
    <cellStyle name="Comma 21 5" xfId="44142" xr:uid="{00000000-0005-0000-0000-00004D990000}"/>
    <cellStyle name="Comma 22" xfId="3385" xr:uid="{00000000-0005-0000-0000-00004E990000}"/>
    <cellStyle name="Comma 22 2" xfId="44143" xr:uid="{00000000-0005-0000-0000-00004F990000}"/>
    <cellStyle name="Comma 22 2 2" xfId="44144" xr:uid="{00000000-0005-0000-0000-000050990000}"/>
    <cellStyle name="Comma 22 3" xfId="44145" xr:uid="{00000000-0005-0000-0000-000051990000}"/>
    <cellStyle name="Comma 22 4" xfId="44146" xr:uid="{00000000-0005-0000-0000-000052990000}"/>
    <cellStyle name="Comma 23" xfId="3386" xr:uid="{00000000-0005-0000-0000-000053990000}"/>
    <cellStyle name="Comma 23 2" xfId="44147" xr:uid="{00000000-0005-0000-0000-000054990000}"/>
    <cellStyle name="Comma 23 3" xfId="44148" xr:uid="{00000000-0005-0000-0000-000055990000}"/>
    <cellStyle name="Comma 24" xfId="3387" xr:uid="{00000000-0005-0000-0000-000056990000}"/>
    <cellStyle name="Comma 24 10" xfId="44149" xr:uid="{00000000-0005-0000-0000-000057990000}"/>
    <cellStyle name="Comma 24 10 2" xfId="44150" xr:uid="{00000000-0005-0000-0000-000058990000}"/>
    <cellStyle name="Comma 24 11" xfId="44151" xr:uid="{00000000-0005-0000-0000-000059990000}"/>
    <cellStyle name="Comma 24 12" xfId="44152" xr:uid="{00000000-0005-0000-0000-00005A990000}"/>
    <cellStyle name="Comma 24 13" xfId="44153" xr:uid="{00000000-0005-0000-0000-00005B990000}"/>
    <cellStyle name="Comma 24 2" xfId="44154" xr:uid="{00000000-0005-0000-0000-00005C990000}"/>
    <cellStyle name="Comma 24 2 10" xfId="44155" xr:uid="{00000000-0005-0000-0000-00005D990000}"/>
    <cellStyle name="Comma 24 2 2" xfId="44156" xr:uid="{00000000-0005-0000-0000-00005E990000}"/>
    <cellStyle name="Comma 24 2 2 2" xfId="44157" xr:uid="{00000000-0005-0000-0000-00005F990000}"/>
    <cellStyle name="Comma 24 2 2 2 2" xfId="44158" xr:uid="{00000000-0005-0000-0000-000060990000}"/>
    <cellStyle name="Comma 24 2 2 2 2 2" xfId="44159" xr:uid="{00000000-0005-0000-0000-000061990000}"/>
    <cellStyle name="Comma 24 2 2 2 2 3" xfId="44160" xr:uid="{00000000-0005-0000-0000-000062990000}"/>
    <cellStyle name="Comma 24 2 2 2 3" xfId="44161" xr:uid="{00000000-0005-0000-0000-000063990000}"/>
    <cellStyle name="Comma 24 2 2 2 3 2" xfId="44162" xr:uid="{00000000-0005-0000-0000-000064990000}"/>
    <cellStyle name="Comma 24 2 2 2 3 3" xfId="44163" xr:uid="{00000000-0005-0000-0000-000065990000}"/>
    <cellStyle name="Comma 24 2 2 2 4" xfId="44164" xr:uid="{00000000-0005-0000-0000-000066990000}"/>
    <cellStyle name="Comma 24 2 2 2 4 2" xfId="44165" xr:uid="{00000000-0005-0000-0000-000067990000}"/>
    <cellStyle name="Comma 24 2 2 2 5" xfId="44166" xr:uid="{00000000-0005-0000-0000-000068990000}"/>
    <cellStyle name="Comma 24 2 2 2 6" xfId="44167" xr:uid="{00000000-0005-0000-0000-000069990000}"/>
    <cellStyle name="Comma 24 2 2 3" xfId="44168" xr:uid="{00000000-0005-0000-0000-00006A990000}"/>
    <cellStyle name="Comma 24 2 2 3 2" xfId="44169" xr:uid="{00000000-0005-0000-0000-00006B990000}"/>
    <cellStyle name="Comma 24 2 2 3 2 2" xfId="44170" xr:uid="{00000000-0005-0000-0000-00006C990000}"/>
    <cellStyle name="Comma 24 2 2 3 2 3" xfId="44171" xr:uid="{00000000-0005-0000-0000-00006D990000}"/>
    <cellStyle name="Comma 24 2 2 3 3" xfId="44172" xr:uid="{00000000-0005-0000-0000-00006E990000}"/>
    <cellStyle name="Comma 24 2 2 3 3 2" xfId="44173" xr:uid="{00000000-0005-0000-0000-00006F990000}"/>
    <cellStyle name="Comma 24 2 2 3 3 3" xfId="44174" xr:uid="{00000000-0005-0000-0000-000070990000}"/>
    <cellStyle name="Comma 24 2 2 3 4" xfId="44175" xr:uid="{00000000-0005-0000-0000-000071990000}"/>
    <cellStyle name="Comma 24 2 2 3 4 2" xfId="44176" xr:uid="{00000000-0005-0000-0000-000072990000}"/>
    <cellStyle name="Comma 24 2 2 3 5" xfId="44177" xr:uid="{00000000-0005-0000-0000-000073990000}"/>
    <cellStyle name="Comma 24 2 2 3 6" xfId="44178" xr:uid="{00000000-0005-0000-0000-000074990000}"/>
    <cellStyle name="Comma 24 2 2 4" xfId="44179" xr:uid="{00000000-0005-0000-0000-000075990000}"/>
    <cellStyle name="Comma 24 2 2 4 2" xfId="44180" xr:uid="{00000000-0005-0000-0000-000076990000}"/>
    <cellStyle name="Comma 24 2 2 4 2 2" xfId="44181" xr:uid="{00000000-0005-0000-0000-000077990000}"/>
    <cellStyle name="Comma 24 2 2 4 2 3" xfId="44182" xr:uid="{00000000-0005-0000-0000-000078990000}"/>
    <cellStyle name="Comma 24 2 2 4 3" xfId="44183" xr:uid="{00000000-0005-0000-0000-000079990000}"/>
    <cellStyle name="Comma 24 2 2 4 3 2" xfId="44184" xr:uid="{00000000-0005-0000-0000-00007A990000}"/>
    <cellStyle name="Comma 24 2 2 4 4" xfId="44185" xr:uid="{00000000-0005-0000-0000-00007B990000}"/>
    <cellStyle name="Comma 24 2 2 4 5" xfId="44186" xr:uid="{00000000-0005-0000-0000-00007C990000}"/>
    <cellStyle name="Comma 24 2 2 5" xfId="44187" xr:uid="{00000000-0005-0000-0000-00007D990000}"/>
    <cellStyle name="Comma 24 2 2 5 2" xfId="44188" xr:uid="{00000000-0005-0000-0000-00007E990000}"/>
    <cellStyle name="Comma 24 2 2 5 3" xfId="44189" xr:uid="{00000000-0005-0000-0000-00007F990000}"/>
    <cellStyle name="Comma 24 2 2 6" xfId="44190" xr:uid="{00000000-0005-0000-0000-000080990000}"/>
    <cellStyle name="Comma 24 2 2 6 2" xfId="44191" xr:uid="{00000000-0005-0000-0000-000081990000}"/>
    <cellStyle name="Comma 24 2 2 6 3" xfId="44192" xr:uid="{00000000-0005-0000-0000-000082990000}"/>
    <cellStyle name="Comma 24 2 2 7" xfId="44193" xr:uid="{00000000-0005-0000-0000-000083990000}"/>
    <cellStyle name="Comma 24 2 2 7 2" xfId="44194" xr:uid="{00000000-0005-0000-0000-000084990000}"/>
    <cellStyle name="Comma 24 2 2 8" xfId="44195" xr:uid="{00000000-0005-0000-0000-000085990000}"/>
    <cellStyle name="Comma 24 2 2 9" xfId="44196" xr:uid="{00000000-0005-0000-0000-000086990000}"/>
    <cellStyle name="Comma 24 2 3" xfId="44197" xr:uid="{00000000-0005-0000-0000-000087990000}"/>
    <cellStyle name="Comma 24 2 3 2" xfId="44198" xr:uid="{00000000-0005-0000-0000-000088990000}"/>
    <cellStyle name="Comma 24 2 3 2 2" xfId="44199" xr:uid="{00000000-0005-0000-0000-000089990000}"/>
    <cellStyle name="Comma 24 2 3 2 3" xfId="44200" xr:uid="{00000000-0005-0000-0000-00008A990000}"/>
    <cellStyle name="Comma 24 2 3 3" xfId="44201" xr:uid="{00000000-0005-0000-0000-00008B990000}"/>
    <cellStyle name="Comma 24 2 3 3 2" xfId="44202" xr:uid="{00000000-0005-0000-0000-00008C990000}"/>
    <cellStyle name="Comma 24 2 3 3 3" xfId="44203" xr:uid="{00000000-0005-0000-0000-00008D990000}"/>
    <cellStyle name="Comma 24 2 3 4" xfId="44204" xr:uid="{00000000-0005-0000-0000-00008E990000}"/>
    <cellStyle name="Comma 24 2 3 4 2" xfId="44205" xr:uid="{00000000-0005-0000-0000-00008F990000}"/>
    <cellStyle name="Comma 24 2 3 5" xfId="44206" xr:uid="{00000000-0005-0000-0000-000090990000}"/>
    <cellStyle name="Comma 24 2 3 6" xfId="44207" xr:uid="{00000000-0005-0000-0000-000091990000}"/>
    <cellStyle name="Comma 24 2 4" xfId="44208" xr:uid="{00000000-0005-0000-0000-000092990000}"/>
    <cellStyle name="Comma 24 2 4 2" xfId="44209" xr:uid="{00000000-0005-0000-0000-000093990000}"/>
    <cellStyle name="Comma 24 2 4 2 2" xfId="44210" xr:uid="{00000000-0005-0000-0000-000094990000}"/>
    <cellStyle name="Comma 24 2 4 2 3" xfId="44211" xr:uid="{00000000-0005-0000-0000-000095990000}"/>
    <cellStyle name="Comma 24 2 4 3" xfId="44212" xr:uid="{00000000-0005-0000-0000-000096990000}"/>
    <cellStyle name="Comma 24 2 4 3 2" xfId="44213" xr:uid="{00000000-0005-0000-0000-000097990000}"/>
    <cellStyle name="Comma 24 2 4 3 3" xfId="44214" xr:uid="{00000000-0005-0000-0000-000098990000}"/>
    <cellStyle name="Comma 24 2 4 4" xfId="44215" xr:uid="{00000000-0005-0000-0000-000099990000}"/>
    <cellStyle name="Comma 24 2 4 4 2" xfId="44216" xr:uid="{00000000-0005-0000-0000-00009A990000}"/>
    <cellStyle name="Comma 24 2 4 5" xfId="44217" xr:uid="{00000000-0005-0000-0000-00009B990000}"/>
    <cellStyle name="Comma 24 2 4 6" xfId="44218" xr:uid="{00000000-0005-0000-0000-00009C990000}"/>
    <cellStyle name="Comma 24 2 5" xfId="44219" xr:uid="{00000000-0005-0000-0000-00009D990000}"/>
    <cellStyle name="Comma 24 2 5 2" xfId="44220" xr:uid="{00000000-0005-0000-0000-00009E990000}"/>
    <cellStyle name="Comma 24 2 5 2 2" xfId="44221" xr:uid="{00000000-0005-0000-0000-00009F990000}"/>
    <cellStyle name="Comma 24 2 5 2 3" xfId="44222" xr:uid="{00000000-0005-0000-0000-0000A0990000}"/>
    <cellStyle name="Comma 24 2 5 3" xfId="44223" xr:uid="{00000000-0005-0000-0000-0000A1990000}"/>
    <cellStyle name="Comma 24 2 5 3 2" xfId="44224" xr:uid="{00000000-0005-0000-0000-0000A2990000}"/>
    <cellStyle name="Comma 24 2 5 4" xfId="44225" xr:uid="{00000000-0005-0000-0000-0000A3990000}"/>
    <cellStyle name="Comma 24 2 5 5" xfId="44226" xr:uid="{00000000-0005-0000-0000-0000A4990000}"/>
    <cellStyle name="Comma 24 2 6" xfId="44227" xr:uid="{00000000-0005-0000-0000-0000A5990000}"/>
    <cellStyle name="Comma 24 2 6 2" xfId="44228" xr:uid="{00000000-0005-0000-0000-0000A6990000}"/>
    <cellStyle name="Comma 24 2 6 3" xfId="44229" xr:uid="{00000000-0005-0000-0000-0000A7990000}"/>
    <cellStyle name="Comma 24 2 7" xfId="44230" xr:uid="{00000000-0005-0000-0000-0000A8990000}"/>
    <cellStyle name="Comma 24 2 7 2" xfId="44231" xr:uid="{00000000-0005-0000-0000-0000A9990000}"/>
    <cellStyle name="Comma 24 2 7 3" xfId="44232" xr:uid="{00000000-0005-0000-0000-0000AA990000}"/>
    <cellStyle name="Comma 24 2 8" xfId="44233" xr:uid="{00000000-0005-0000-0000-0000AB990000}"/>
    <cellStyle name="Comma 24 2 8 2" xfId="44234" xr:uid="{00000000-0005-0000-0000-0000AC990000}"/>
    <cellStyle name="Comma 24 2 9" xfId="44235" xr:uid="{00000000-0005-0000-0000-0000AD990000}"/>
    <cellStyle name="Comma 24 3" xfId="44236" xr:uid="{00000000-0005-0000-0000-0000AE990000}"/>
    <cellStyle name="Comma 24 3 2" xfId="44237" xr:uid="{00000000-0005-0000-0000-0000AF990000}"/>
    <cellStyle name="Comma 24 3 2 2" xfId="44238" xr:uid="{00000000-0005-0000-0000-0000B0990000}"/>
    <cellStyle name="Comma 24 3 2 2 2" xfId="44239" xr:uid="{00000000-0005-0000-0000-0000B1990000}"/>
    <cellStyle name="Comma 24 3 2 2 3" xfId="44240" xr:uid="{00000000-0005-0000-0000-0000B2990000}"/>
    <cellStyle name="Comma 24 3 2 3" xfId="44241" xr:uid="{00000000-0005-0000-0000-0000B3990000}"/>
    <cellStyle name="Comma 24 3 2 3 2" xfId="44242" xr:uid="{00000000-0005-0000-0000-0000B4990000}"/>
    <cellStyle name="Comma 24 3 2 3 3" xfId="44243" xr:uid="{00000000-0005-0000-0000-0000B5990000}"/>
    <cellStyle name="Comma 24 3 2 4" xfId="44244" xr:uid="{00000000-0005-0000-0000-0000B6990000}"/>
    <cellStyle name="Comma 24 3 2 4 2" xfId="44245" xr:uid="{00000000-0005-0000-0000-0000B7990000}"/>
    <cellStyle name="Comma 24 3 2 5" xfId="44246" xr:uid="{00000000-0005-0000-0000-0000B8990000}"/>
    <cellStyle name="Comma 24 3 2 6" xfId="44247" xr:uid="{00000000-0005-0000-0000-0000B9990000}"/>
    <cellStyle name="Comma 24 3 3" xfId="44248" xr:uid="{00000000-0005-0000-0000-0000BA990000}"/>
    <cellStyle name="Comma 24 3 3 2" xfId="44249" xr:uid="{00000000-0005-0000-0000-0000BB990000}"/>
    <cellStyle name="Comma 24 3 3 2 2" xfId="44250" xr:uid="{00000000-0005-0000-0000-0000BC990000}"/>
    <cellStyle name="Comma 24 3 3 2 3" xfId="44251" xr:uid="{00000000-0005-0000-0000-0000BD990000}"/>
    <cellStyle name="Comma 24 3 3 3" xfId="44252" xr:uid="{00000000-0005-0000-0000-0000BE990000}"/>
    <cellStyle name="Comma 24 3 3 3 2" xfId="44253" xr:uid="{00000000-0005-0000-0000-0000BF990000}"/>
    <cellStyle name="Comma 24 3 3 3 3" xfId="44254" xr:uid="{00000000-0005-0000-0000-0000C0990000}"/>
    <cellStyle name="Comma 24 3 3 4" xfId="44255" xr:uid="{00000000-0005-0000-0000-0000C1990000}"/>
    <cellStyle name="Comma 24 3 3 4 2" xfId="44256" xr:uid="{00000000-0005-0000-0000-0000C2990000}"/>
    <cellStyle name="Comma 24 3 3 5" xfId="44257" xr:uid="{00000000-0005-0000-0000-0000C3990000}"/>
    <cellStyle name="Comma 24 3 3 6" xfId="44258" xr:uid="{00000000-0005-0000-0000-0000C4990000}"/>
    <cellStyle name="Comma 24 3 4" xfId="44259" xr:uid="{00000000-0005-0000-0000-0000C5990000}"/>
    <cellStyle name="Comma 24 3 4 2" xfId="44260" xr:uid="{00000000-0005-0000-0000-0000C6990000}"/>
    <cellStyle name="Comma 24 3 4 2 2" xfId="44261" xr:uid="{00000000-0005-0000-0000-0000C7990000}"/>
    <cellStyle name="Comma 24 3 4 2 3" xfId="44262" xr:uid="{00000000-0005-0000-0000-0000C8990000}"/>
    <cellStyle name="Comma 24 3 4 3" xfId="44263" xr:uid="{00000000-0005-0000-0000-0000C9990000}"/>
    <cellStyle name="Comma 24 3 4 3 2" xfId="44264" xr:uid="{00000000-0005-0000-0000-0000CA990000}"/>
    <cellStyle name="Comma 24 3 4 4" xfId="44265" xr:uid="{00000000-0005-0000-0000-0000CB990000}"/>
    <cellStyle name="Comma 24 3 4 5" xfId="44266" xr:uid="{00000000-0005-0000-0000-0000CC990000}"/>
    <cellStyle name="Comma 24 3 5" xfId="44267" xr:uid="{00000000-0005-0000-0000-0000CD990000}"/>
    <cellStyle name="Comma 24 3 5 2" xfId="44268" xr:uid="{00000000-0005-0000-0000-0000CE990000}"/>
    <cellStyle name="Comma 24 3 5 3" xfId="44269" xr:uid="{00000000-0005-0000-0000-0000CF990000}"/>
    <cellStyle name="Comma 24 3 6" xfId="44270" xr:uid="{00000000-0005-0000-0000-0000D0990000}"/>
    <cellStyle name="Comma 24 3 6 2" xfId="44271" xr:uid="{00000000-0005-0000-0000-0000D1990000}"/>
    <cellStyle name="Comma 24 3 6 3" xfId="44272" xr:uid="{00000000-0005-0000-0000-0000D2990000}"/>
    <cellStyle name="Comma 24 3 7" xfId="44273" xr:uid="{00000000-0005-0000-0000-0000D3990000}"/>
    <cellStyle name="Comma 24 3 7 2" xfId="44274" xr:uid="{00000000-0005-0000-0000-0000D4990000}"/>
    <cellStyle name="Comma 24 3 8" xfId="44275" xr:uid="{00000000-0005-0000-0000-0000D5990000}"/>
    <cellStyle name="Comma 24 3 9" xfId="44276" xr:uid="{00000000-0005-0000-0000-0000D6990000}"/>
    <cellStyle name="Comma 24 4" xfId="44277" xr:uid="{00000000-0005-0000-0000-0000D7990000}"/>
    <cellStyle name="Comma 24 4 2" xfId="44278" xr:uid="{00000000-0005-0000-0000-0000D8990000}"/>
    <cellStyle name="Comma 24 4 2 2" xfId="44279" xr:uid="{00000000-0005-0000-0000-0000D9990000}"/>
    <cellStyle name="Comma 24 4 2 2 2" xfId="44280" xr:uid="{00000000-0005-0000-0000-0000DA990000}"/>
    <cellStyle name="Comma 24 4 2 2 3" xfId="44281" xr:uid="{00000000-0005-0000-0000-0000DB990000}"/>
    <cellStyle name="Comma 24 4 2 3" xfId="44282" xr:uid="{00000000-0005-0000-0000-0000DC990000}"/>
    <cellStyle name="Comma 24 4 2 3 2" xfId="44283" xr:uid="{00000000-0005-0000-0000-0000DD990000}"/>
    <cellStyle name="Comma 24 4 2 3 3" xfId="44284" xr:uid="{00000000-0005-0000-0000-0000DE990000}"/>
    <cellStyle name="Comma 24 4 2 4" xfId="44285" xr:uid="{00000000-0005-0000-0000-0000DF990000}"/>
    <cellStyle name="Comma 24 4 2 4 2" xfId="44286" xr:uid="{00000000-0005-0000-0000-0000E0990000}"/>
    <cellStyle name="Comma 24 4 2 5" xfId="44287" xr:uid="{00000000-0005-0000-0000-0000E1990000}"/>
    <cellStyle name="Comma 24 4 2 6" xfId="44288" xr:uid="{00000000-0005-0000-0000-0000E2990000}"/>
    <cellStyle name="Comma 24 4 3" xfId="44289" xr:uid="{00000000-0005-0000-0000-0000E3990000}"/>
    <cellStyle name="Comma 24 4 3 2" xfId="44290" xr:uid="{00000000-0005-0000-0000-0000E4990000}"/>
    <cellStyle name="Comma 24 4 3 2 2" xfId="44291" xr:uid="{00000000-0005-0000-0000-0000E5990000}"/>
    <cellStyle name="Comma 24 4 3 2 3" xfId="44292" xr:uid="{00000000-0005-0000-0000-0000E6990000}"/>
    <cellStyle name="Comma 24 4 3 3" xfId="44293" xr:uid="{00000000-0005-0000-0000-0000E7990000}"/>
    <cellStyle name="Comma 24 4 3 3 2" xfId="44294" xr:uid="{00000000-0005-0000-0000-0000E8990000}"/>
    <cellStyle name="Comma 24 4 3 3 3" xfId="44295" xr:uid="{00000000-0005-0000-0000-0000E9990000}"/>
    <cellStyle name="Comma 24 4 3 4" xfId="44296" xr:uid="{00000000-0005-0000-0000-0000EA990000}"/>
    <cellStyle name="Comma 24 4 3 4 2" xfId="44297" xr:uid="{00000000-0005-0000-0000-0000EB990000}"/>
    <cellStyle name="Comma 24 4 3 5" xfId="44298" xr:uid="{00000000-0005-0000-0000-0000EC990000}"/>
    <cellStyle name="Comma 24 4 3 6" xfId="44299" xr:uid="{00000000-0005-0000-0000-0000ED990000}"/>
    <cellStyle name="Comma 24 4 4" xfId="44300" xr:uid="{00000000-0005-0000-0000-0000EE990000}"/>
    <cellStyle name="Comma 24 4 4 2" xfId="44301" xr:uid="{00000000-0005-0000-0000-0000EF990000}"/>
    <cellStyle name="Comma 24 4 4 2 2" xfId="44302" xr:uid="{00000000-0005-0000-0000-0000F0990000}"/>
    <cellStyle name="Comma 24 4 4 2 3" xfId="44303" xr:uid="{00000000-0005-0000-0000-0000F1990000}"/>
    <cellStyle name="Comma 24 4 4 3" xfId="44304" xr:uid="{00000000-0005-0000-0000-0000F2990000}"/>
    <cellStyle name="Comma 24 4 4 3 2" xfId="44305" xr:uid="{00000000-0005-0000-0000-0000F3990000}"/>
    <cellStyle name="Comma 24 4 4 4" xfId="44306" xr:uid="{00000000-0005-0000-0000-0000F4990000}"/>
    <cellStyle name="Comma 24 4 4 5" xfId="44307" xr:uid="{00000000-0005-0000-0000-0000F5990000}"/>
    <cellStyle name="Comma 24 4 5" xfId="44308" xr:uid="{00000000-0005-0000-0000-0000F6990000}"/>
    <cellStyle name="Comma 24 4 5 2" xfId="44309" xr:uid="{00000000-0005-0000-0000-0000F7990000}"/>
    <cellStyle name="Comma 24 4 5 3" xfId="44310" xr:uid="{00000000-0005-0000-0000-0000F8990000}"/>
    <cellStyle name="Comma 24 4 6" xfId="44311" xr:uid="{00000000-0005-0000-0000-0000F9990000}"/>
    <cellStyle name="Comma 24 4 6 2" xfId="44312" xr:uid="{00000000-0005-0000-0000-0000FA990000}"/>
    <cellStyle name="Comma 24 4 6 3" xfId="44313" xr:uid="{00000000-0005-0000-0000-0000FB990000}"/>
    <cellStyle name="Comma 24 4 7" xfId="44314" xr:uid="{00000000-0005-0000-0000-0000FC990000}"/>
    <cellStyle name="Comma 24 4 7 2" xfId="44315" xr:uid="{00000000-0005-0000-0000-0000FD990000}"/>
    <cellStyle name="Comma 24 4 8" xfId="44316" xr:uid="{00000000-0005-0000-0000-0000FE990000}"/>
    <cellStyle name="Comma 24 4 9" xfId="44317" xr:uid="{00000000-0005-0000-0000-0000FF990000}"/>
    <cellStyle name="Comma 24 5" xfId="44318" xr:uid="{00000000-0005-0000-0000-0000009A0000}"/>
    <cellStyle name="Comma 24 5 2" xfId="44319" xr:uid="{00000000-0005-0000-0000-0000019A0000}"/>
    <cellStyle name="Comma 24 5 2 2" xfId="44320" xr:uid="{00000000-0005-0000-0000-0000029A0000}"/>
    <cellStyle name="Comma 24 5 2 3" xfId="44321" xr:uid="{00000000-0005-0000-0000-0000039A0000}"/>
    <cellStyle name="Comma 24 5 3" xfId="44322" xr:uid="{00000000-0005-0000-0000-0000049A0000}"/>
    <cellStyle name="Comma 24 5 3 2" xfId="44323" xr:uid="{00000000-0005-0000-0000-0000059A0000}"/>
    <cellStyle name="Comma 24 5 3 3" xfId="44324" xr:uid="{00000000-0005-0000-0000-0000069A0000}"/>
    <cellStyle name="Comma 24 5 4" xfId="44325" xr:uid="{00000000-0005-0000-0000-0000079A0000}"/>
    <cellStyle name="Comma 24 5 4 2" xfId="44326" xr:uid="{00000000-0005-0000-0000-0000089A0000}"/>
    <cellStyle name="Comma 24 5 5" xfId="44327" xr:uid="{00000000-0005-0000-0000-0000099A0000}"/>
    <cellStyle name="Comma 24 5 6" xfId="44328" xr:uid="{00000000-0005-0000-0000-00000A9A0000}"/>
    <cellStyle name="Comma 24 6" xfId="44329" xr:uid="{00000000-0005-0000-0000-00000B9A0000}"/>
    <cellStyle name="Comma 24 6 2" xfId="44330" xr:uid="{00000000-0005-0000-0000-00000C9A0000}"/>
    <cellStyle name="Comma 24 6 2 2" xfId="44331" xr:uid="{00000000-0005-0000-0000-00000D9A0000}"/>
    <cellStyle name="Comma 24 6 2 3" xfId="44332" xr:uid="{00000000-0005-0000-0000-00000E9A0000}"/>
    <cellStyle name="Comma 24 6 3" xfId="44333" xr:uid="{00000000-0005-0000-0000-00000F9A0000}"/>
    <cellStyle name="Comma 24 6 3 2" xfId="44334" xr:uid="{00000000-0005-0000-0000-0000109A0000}"/>
    <cellStyle name="Comma 24 6 3 3" xfId="44335" xr:uid="{00000000-0005-0000-0000-0000119A0000}"/>
    <cellStyle name="Comma 24 6 4" xfId="44336" xr:uid="{00000000-0005-0000-0000-0000129A0000}"/>
    <cellStyle name="Comma 24 6 4 2" xfId="44337" xr:uid="{00000000-0005-0000-0000-0000139A0000}"/>
    <cellStyle name="Comma 24 6 5" xfId="44338" xr:uid="{00000000-0005-0000-0000-0000149A0000}"/>
    <cellStyle name="Comma 24 6 6" xfId="44339" xr:uid="{00000000-0005-0000-0000-0000159A0000}"/>
    <cellStyle name="Comma 24 7" xfId="44340" xr:uid="{00000000-0005-0000-0000-0000169A0000}"/>
    <cellStyle name="Comma 24 7 2" xfId="44341" xr:uid="{00000000-0005-0000-0000-0000179A0000}"/>
    <cellStyle name="Comma 24 7 2 2" xfId="44342" xr:uid="{00000000-0005-0000-0000-0000189A0000}"/>
    <cellStyle name="Comma 24 7 2 3" xfId="44343" xr:uid="{00000000-0005-0000-0000-0000199A0000}"/>
    <cellStyle name="Comma 24 7 3" xfId="44344" xr:uid="{00000000-0005-0000-0000-00001A9A0000}"/>
    <cellStyle name="Comma 24 7 3 2" xfId="44345" xr:uid="{00000000-0005-0000-0000-00001B9A0000}"/>
    <cellStyle name="Comma 24 7 4" xfId="44346" xr:uid="{00000000-0005-0000-0000-00001C9A0000}"/>
    <cellStyle name="Comma 24 7 5" xfId="44347" xr:uid="{00000000-0005-0000-0000-00001D9A0000}"/>
    <cellStyle name="Comma 24 8" xfId="44348" xr:uid="{00000000-0005-0000-0000-00001E9A0000}"/>
    <cellStyle name="Comma 24 8 2" xfId="44349" xr:uid="{00000000-0005-0000-0000-00001F9A0000}"/>
    <cellStyle name="Comma 24 8 3" xfId="44350" xr:uid="{00000000-0005-0000-0000-0000209A0000}"/>
    <cellStyle name="Comma 24 9" xfId="44351" xr:uid="{00000000-0005-0000-0000-0000219A0000}"/>
    <cellStyle name="Comma 24 9 2" xfId="44352" xr:uid="{00000000-0005-0000-0000-0000229A0000}"/>
    <cellStyle name="Comma 24 9 3" xfId="44353" xr:uid="{00000000-0005-0000-0000-0000239A0000}"/>
    <cellStyle name="Comma 25" xfId="3388" xr:uid="{00000000-0005-0000-0000-0000249A0000}"/>
    <cellStyle name="Comma 25 2" xfId="44354" xr:uid="{00000000-0005-0000-0000-0000259A0000}"/>
    <cellStyle name="Comma 25 3" xfId="44355" xr:uid="{00000000-0005-0000-0000-0000269A0000}"/>
    <cellStyle name="Comma 26" xfId="3389" xr:uid="{00000000-0005-0000-0000-0000279A0000}"/>
    <cellStyle name="Comma 26 10" xfId="44356" xr:uid="{00000000-0005-0000-0000-0000289A0000}"/>
    <cellStyle name="Comma 26 10 2" xfId="44357" xr:uid="{00000000-0005-0000-0000-0000299A0000}"/>
    <cellStyle name="Comma 26 11" xfId="44358" xr:uid="{00000000-0005-0000-0000-00002A9A0000}"/>
    <cellStyle name="Comma 26 12" xfId="44359" xr:uid="{00000000-0005-0000-0000-00002B9A0000}"/>
    <cellStyle name="Comma 26 13" xfId="44360" xr:uid="{00000000-0005-0000-0000-00002C9A0000}"/>
    <cellStyle name="Comma 26 2" xfId="44361" xr:uid="{00000000-0005-0000-0000-00002D9A0000}"/>
    <cellStyle name="Comma 26 2 10" xfId="44362" xr:uid="{00000000-0005-0000-0000-00002E9A0000}"/>
    <cellStyle name="Comma 26 2 2" xfId="44363" xr:uid="{00000000-0005-0000-0000-00002F9A0000}"/>
    <cellStyle name="Comma 26 2 2 2" xfId="44364" xr:uid="{00000000-0005-0000-0000-0000309A0000}"/>
    <cellStyle name="Comma 26 2 2 2 2" xfId="44365" xr:uid="{00000000-0005-0000-0000-0000319A0000}"/>
    <cellStyle name="Comma 26 2 2 2 2 2" xfId="44366" xr:uid="{00000000-0005-0000-0000-0000329A0000}"/>
    <cellStyle name="Comma 26 2 2 2 2 3" xfId="44367" xr:uid="{00000000-0005-0000-0000-0000339A0000}"/>
    <cellStyle name="Comma 26 2 2 2 3" xfId="44368" xr:uid="{00000000-0005-0000-0000-0000349A0000}"/>
    <cellStyle name="Comma 26 2 2 2 3 2" xfId="44369" xr:uid="{00000000-0005-0000-0000-0000359A0000}"/>
    <cellStyle name="Comma 26 2 2 2 3 3" xfId="44370" xr:uid="{00000000-0005-0000-0000-0000369A0000}"/>
    <cellStyle name="Comma 26 2 2 2 4" xfId="44371" xr:uid="{00000000-0005-0000-0000-0000379A0000}"/>
    <cellStyle name="Comma 26 2 2 2 4 2" xfId="44372" xr:uid="{00000000-0005-0000-0000-0000389A0000}"/>
    <cellStyle name="Comma 26 2 2 2 5" xfId="44373" xr:uid="{00000000-0005-0000-0000-0000399A0000}"/>
    <cellStyle name="Comma 26 2 2 2 6" xfId="44374" xr:uid="{00000000-0005-0000-0000-00003A9A0000}"/>
    <cellStyle name="Comma 26 2 2 3" xfId="44375" xr:uid="{00000000-0005-0000-0000-00003B9A0000}"/>
    <cellStyle name="Comma 26 2 2 3 2" xfId="44376" xr:uid="{00000000-0005-0000-0000-00003C9A0000}"/>
    <cellStyle name="Comma 26 2 2 3 2 2" xfId="44377" xr:uid="{00000000-0005-0000-0000-00003D9A0000}"/>
    <cellStyle name="Comma 26 2 2 3 2 3" xfId="44378" xr:uid="{00000000-0005-0000-0000-00003E9A0000}"/>
    <cellStyle name="Comma 26 2 2 3 3" xfId="44379" xr:uid="{00000000-0005-0000-0000-00003F9A0000}"/>
    <cellStyle name="Comma 26 2 2 3 3 2" xfId="44380" xr:uid="{00000000-0005-0000-0000-0000409A0000}"/>
    <cellStyle name="Comma 26 2 2 3 3 3" xfId="44381" xr:uid="{00000000-0005-0000-0000-0000419A0000}"/>
    <cellStyle name="Comma 26 2 2 3 4" xfId="44382" xr:uid="{00000000-0005-0000-0000-0000429A0000}"/>
    <cellStyle name="Comma 26 2 2 3 4 2" xfId="44383" xr:uid="{00000000-0005-0000-0000-0000439A0000}"/>
    <cellStyle name="Comma 26 2 2 3 5" xfId="44384" xr:uid="{00000000-0005-0000-0000-0000449A0000}"/>
    <cellStyle name="Comma 26 2 2 3 6" xfId="44385" xr:uid="{00000000-0005-0000-0000-0000459A0000}"/>
    <cellStyle name="Comma 26 2 2 4" xfId="44386" xr:uid="{00000000-0005-0000-0000-0000469A0000}"/>
    <cellStyle name="Comma 26 2 2 4 2" xfId="44387" xr:uid="{00000000-0005-0000-0000-0000479A0000}"/>
    <cellStyle name="Comma 26 2 2 4 2 2" xfId="44388" xr:uid="{00000000-0005-0000-0000-0000489A0000}"/>
    <cellStyle name="Comma 26 2 2 4 2 3" xfId="44389" xr:uid="{00000000-0005-0000-0000-0000499A0000}"/>
    <cellStyle name="Comma 26 2 2 4 3" xfId="44390" xr:uid="{00000000-0005-0000-0000-00004A9A0000}"/>
    <cellStyle name="Comma 26 2 2 4 3 2" xfId="44391" xr:uid="{00000000-0005-0000-0000-00004B9A0000}"/>
    <cellStyle name="Comma 26 2 2 4 4" xfId="44392" xr:uid="{00000000-0005-0000-0000-00004C9A0000}"/>
    <cellStyle name="Comma 26 2 2 4 5" xfId="44393" xr:uid="{00000000-0005-0000-0000-00004D9A0000}"/>
    <cellStyle name="Comma 26 2 2 5" xfId="44394" xr:uid="{00000000-0005-0000-0000-00004E9A0000}"/>
    <cellStyle name="Comma 26 2 2 5 2" xfId="44395" xr:uid="{00000000-0005-0000-0000-00004F9A0000}"/>
    <cellStyle name="Comma 26 2 2 5 3" xfId="44396" xr:uid="{00000000-0005-0000-0000-0000509A0000}"/>
    <cellStyle name="Comma 26 2 2 6" xfId="44397" xr:uid="{00000000-0005-0000-0000-0000519A0000}"/>
    <cellStyle name="Comma 26 2 2 6 2" xfId="44398" xr:uid="{00000000-0005-0000-0000-0000529A0000}"/>
    <cellStyle name="Comma 26 2 2 6 3" xfId="44399" xr:uid="{00000000-0005-0000-0000-0000539A0000}"/>
    <cellStyle name="Comma 26 2 2 7" xfId="44400" xr:uid="{00000000-0005-0000-0000-0000549A0000}"/>
    <cellStyle name="Comma 26 2 2 7 2" xfId="44401" xr:uid="{00000000-0005-0000-0000-0000559A0000}"/>
    <cellStyle name="Comma 26 2 2 8" xfId="44402" xr:uid="{00000000-0005-0000-0000-0000569A0000}"/>
    <cellStyle name="Comma 26 2 2 9" xfId="44403" xr:uid="{00000000-0005-0000-0000-0000579A0000}"/>
    <cellStyle name="Comma 26 2 3" xfId="44404" xr:uid="{00000000-0005-0000-0000-0000589A0000}"/>
    <cellStyle name="Comma 26 2 3 2" xfId="44405" xr:uid="{00000000-0005-0000-0000-0000599A0000}"/>
    <cellStyle name="Comma 26 2 3 2 2" xfId="44406" xr:uid="{00000000-0005-0000-0000-00005A9A0000}"/>
    <cellStyle name="Comma 26 2 3 2 3" xfId="44407" xr:uid="{00000000-0005-0000-0000-00005B9A0000}"/>
    <cellStyle name="Comma 26 2 3 3" xfId="44408" xr:uid="{00000000-0005-0000-0000-00005C9A0000}"/>
    <cellStyle name="Comma 26 2 3 3 2" xfId="44409" xr:uid="{00000000-0005-0000-0000-00005D9A0000}"/>
    <cellStyle name="Comma 26 2 3 3 3" xfId="44410" xr:uid="{00000000-0005-0000-0000-00005E9A0000}"/>
    <cellStyle name="Comma 26 2 3 4" xfId="44411" xr:uid="{00000000-0005-0000-0000-00005F9A0000}"/>
    <cellStyle name="Comma 26 2 3 4 2" xfId="44412" xr:uid="{00000000-0005-0000-0000-0000609A0000}"/>
    <cellStyle name="Comma 26 2 3 5" xfId="44413" xr:uid="{00000000-0005-0000-0000-0000619A0000}"/>
    <cellStyle name="Comma 26 2 3 6" xfId="44414" xr:uid="{00000000-0005-0000-0000-0000629A0000}"/>
    <cellStyle name="Comma 26 2 4" xfId="44415" xr:uid="{00000000-0005-0000-0000-0000639A0000}"/>
    <cellStyle name="Comma 26 2 4 2" xfId="44416" xr:uid="{00000000-0005-0000-0000-0000649A0000}"/>
    <cellStyle name="Comma 26 2 4 2 2" xfId="44417" xr:uid="{00000000-0005-0000-0000-0000659A0000}"/>
    <cellStyle name="Comma 26 2 4 2 3" xfId="44418" xr:uid="{00000000-0005-0000-0000-0000669A0000}"/>
    <cellStyle name="Comma 26 2 4 3" xfId="44419" xr:uid="{00000000-0005-0000-0000-0000679A0000}"/>
    <cellStyle name="Comma 26 2 4 3 2" xfId="44420" xr:uid="{00000000-0005-0000-0000-0000689A0000}"/>
    <cellStyle name="Comma 26 2 4 3 3" xfId="44421" xr:uid="{00000000-0005-0000-0000-0000699A0000}"/>
    <cellStyle name="Comma 26 2 4 4" xfId="44422" xr:uid="{00000000-0005-0000-0000-00006A9A0000}"/>
    <cellStyle name="Comma 26 2 4 4 2" xfId="44423" xr:uid="{00000000-0005-0000-0000-00006B9A0000}"/>
    <cellStyle name="Comma 26 2 4 5" xfId="44424" xr:uid="{00000000-0005-0000-0000-00006C9A0000}"/>
    <cellStyle name="Comma 26 2 4 6" xfId="44425" xr:uid="{00000000-0005-0000-0000-00006D9A0000}"/>
    <cellStyle name="Comma 26 2 5" xfId="44426" xr:uid="{00000000-0005-0000-0000-00006E9A0000}"/>
    <cellStyle name="Comma 26 2 5 2" xfId="44427" xr:uid="{00000000-0005-0000-0000-00006F9A0000}"/>
    <cellStyle name="Comma 26 2 5 2 2" xfId="44428" xr:uid="{00000000-0005-0000-0000-0000709A0000}"/>
    <cellStyle name="Comma 26 2 5 2 3" xfId="44429" xr:uid="{00000000-0005-0000-0000-0000719A0000}"/>
    <cellStyle name="Comma 26 2 5 3" xfId="44430" xr:uid="{00000000-0005-0000-0000-0000729A0000}"/>
    <cellStyle name="Comma 26 2 5 3 2" xfId="44431" xr:uid="{00000000-0005-0000-0000-0000739A0000}"/>
    <cellStyle name="Comma 26 2 5 4" xfId="44432" xr:uid="{00000000-0005-0000-0000-0000749A0000}"/>
    <cellStyle name="Comma 26 2 5 5" xfId="44433" xr:uid="{00000000-0005-0000-0000-0000759A0000}"/>
    <cellStyle name="Comma 26 2 6" xfId="44434" xr:uid="{00000000-0005-0000-0000-0000769A0000}"/>
    <cellStyle name="Comma 26 2 6 2" xfId="44435" xr:uid="{00000000-0005-0000-0000-0000779A0000}"/>
    <cellStyle name="Comma 26 2 6 3" xfId="44436" xr:uid="{00000000-0005-0000-0000-0000789A0000}"/>
    <cellStyle name="Comma 26 2 7" xfId="44437" xr:uid="{00000000-0005-0000-0000-0000799A0000}"/>
    <cellStyle name="Comma 26 2 7 2" xfId="44438" xr:uid="{00000000-0005-0000-0000-00007A9A0000}"/>
    <cellStyle name="Comma 26 2 7 3" xfId="44439" xr:uid="{00000000-0005-0000-0000-00007B9A0000}"/>
    <cellStyle name="Comma 26 2 8" xfId="44440" xr:uid="{00000000-0005-0000-0000-00007C9A0000}"/>
    <cellStyle name="Comma 26 2 8 2" xfId="44441" xr:uid="{00000000-0005-0000-0000-00007D9A0000}"/>
    <cellStyle name="Comma 26 2 9" xfId="44442" xr:uid="{00000000-0005-0000-0000-00007E9A0000}"/>
    <cellStyle name="Comma 26 3" xfId="44443" xr:uid="{00000000-0005-0000-0000-00007F9A0000}"/>
    <cellStyle name="Comma 26 3 2" xfId="44444" xr:uid="{00000000-0005-0000-0000-0000809A0000}"/>
    <cellStyle name="Comma 26 3 2 2" xfId="44445" xr:uid="{00000000-0005-0000-0000-0000819A0000}"/>
    <cellStyle name="Comma 26 3 2 2 2" xfId="44446" xr:uid="{00000000-0005-0000-0000-0000829A0000}"/>
    <cellStyle name="Comma 26 3 2 2 3" xfId="44447" xr:uid="{00000000-0005-0000-0000-0000839A0000}"/>
    <cellStyle name="Comma 26 3 2 3" xfId="44448" xr:uid="{00000000-0005-0000-0000-0000849A0000}"/>
    <cellStyle name="Comma 26 3 2 3 2" xfId="44449" xr:uid="{00000000-0005-0000-0000-0000859A0000}"/>
    <cellStyle name="Comma 26 3 2 3 3" xfId="44450" xr:uid="{00000000-0005-0000-0000-0000869A0000}"/>
    <cellStyle name="Comma 26 3 2 4" xfId="44451" xr:uid="{00000000-0005-0000-0000-0000879A0000}"/>
    <cellStyle name="Comma 26 3 2 4 2" xfId="44452" xr:uid="{00000000-0005-0000-0000-0000889A0000}"/>
    <cellStyle name="Comma 26 3 2 5" xfId="44453" xr:uid="{00000000-0005-0000-0000-0000899A0000}"/>
    <cellStyle name="Comma 26 3 2 6" xfId="44454" xr:uid="{00000000-0005-0000-0000-00008A9A0000}"/>
    <cellStyle name="Comma 26 3 3" xfId="44455" xr:uid="{00000000-0005-0000-0000-00008B9A0000}"/>
    <cellStyle name="Comma 26 3 3 2" xfId="44456" xr:uid="{00000000-0005-0000-0000-00008C9A0000}"/>
    <cellStyle name="Comma 26 3 3 2 2" xfId="44457" xr:uid="{00000000-0005-0000-0000-00008D9A0000}"/>
    <cellStyle name="Comma 26 3 3 2 3" xfId="44458" xr:uid="{00000000-0005-0000-0000-00008E9A0000}"/>
    <cellStyle name="Comma 26 3 3 3" xfId="44459" xr:uid="{00000000-0005-0000-0000-00008F9A0000}"/>
    <cellStyle name="Comma 26 3 3 3 2" xfId="44460" xr:uid="{00000000-0005-0000-0000-0000909A0000}"/>
    <cellStyle name="Comma 26 3 3 3 3" xfId="44461" xr:uid="{00000000-0005-0000-0000-0000919A0000}"/>
    <cellStyle name="Comma 26 3 3 4" xfId="44462" xr:uid="{00000000-0005-0000-0000-0000929A0000}"/>
    <cellStyle name="Comma 26 3 3 4 2" xfId="44463" xr:uid="{00000000-0005-0000-0000-0000939A0000}"/>
    <cellStyle name="Comma 26 3 3 5" xfId="44464" xr:uid="{00000000-0005-0000-0000-0000949A0000}"/>
    <cellStyle name="Comma 26 3 3 6" xfId="44465" xr:uid="{00000000-0005-0000-0000-0000959A0000}"/>
    <cellStyle name="Comma 26 3 4" xfId="44466" xr:uid="{00000000-0005-0000-0000-0000969A0000}"/>
    <cellStyle name="Comma 26 3 4 2" xfId="44467" xr:uid="{00000000-0005-0000-0000-0000979A0000}"/>
    <cellStyle name="Comma 26 3 4 2 2" xfId="44468" xr:uid="{00000000-0005-0000-0000-0000989A0000}"/>
    <cellStyle name="Comma 26 3 4 2 3" xfId="44469" xr:uid="{00000000-0005-0000-0000-0000999A0000}"/>
    <cellStyle name="Comma 26 3 4 3" xfId="44470" xr:uid="{00000000-0005-0000-0000-00009A9A0000}"/>
    <cellStyle name="Comma 26 3 4 3 2" xfId="44471" xr:uid="{00000000-0005-0000-0000-00009B9A0000}"/>
    <cellStyle name="Comma 26 3 4 4" xfId="44472" xr:uid="{00000000-0005-0000-0000-00009C9A0000}"/>
    <cellStyle name="Comma 26 3 4 5" xfId="44473" xr:uid="{00000000-0005-0000-0000-00009D9A0000}"/>
    <cellStyle name="Comma 26 3 5" xfId="44474" xr:uid="{00000000-0005-0000-0000-00009E9A0000}"/>
    <cellStyle name="Comma 26 3 5 2" xfId="44475" xr:uid="{00000000-0005-0000-0000-00009F9A0000}"/>
    <cellStyle name="Comma 26 3 5 3" xfId="44476" xr:uid="{00000000-0005-0000-0000-0000A09A0000}"/>
    <cellStyle name="Comma 26 3 6" xfId="44477" xr:uid="{00000000-0005-0000-0000-0000A19A0000}"/>
    <cellStyle name="Comma 26 3 6 2" xfId="44478" xr:uid="{00000000-0005-0000-0000-0000A29A0000}"/>
    <cellStyle name="Comma 26 3 6 3" xfId="44479" xr:uid="{00000000-0005-0000-0000-0000A39A0000}"/>
    <cellStyle name="Comma 26 3 7" xfId="44480" xr:uid="{00000000-0005-0000-0000-0000A49A0000}"/>
    <cellStyle name="Comma 26 3 7 2" xfId="44481" xr:uid="{00000000-0005-0000-0000-0000A59A0000}"/>
    <cellStyle name="Comma 26 3 8" xfId="44482" xr:uid="{00000000-0005-0000-0000-0000A69A0000}"/>
    <cellStyle name="Comma 26 3 9" xfId="44483" xr:uid="{00000000-0005-0000-0000-0000A79A0000}"/>
    <cellStyle name="Comma 26 4" xfId="44484" xr:uid="{00000000-0005-0000-0000-0000A89A0000}"/>
    <cellStyle name="Comma 26 4 2" xfId="44485" xr:uid="{00000000-0005-0000-0000-0000A99A0000}"/>
    <cellStyle name="Comma 26 4 2 2" xfId="44486" xr:uid="{00000000-0005-0000-0000-0000AA9A0000}"/>
    <cellStyle name="Comma 26 4 2 2 2" xfId="44487" xr:uid="{00000000-0005-0000-0000-0000AB9A0000}"/>
    <cellStyle name="Comma 26 4 2 2 3" xfId="44488" xr:uid="{00000000-0005-0000-0000-0000AC9A0000}"/>
    <cellStyle name="Comma 26 4 2 3" xfId="44489" xr:uid="{00000000-0005-0000-0000-0000AD9A0000}"/>
    <cellStyle name="Comma 26 4 2 3 2" xfId="44490" xr:uid="{00000000-0005-0000-0000-0000AE9A0000}"/>
    <cellStyle name="Comma 26 4 2 3 3" xfId="44491" xr:uid="{00000000-0005-0000-0000-0000AF9A0000}"/>
    <cellStyle name="Comma 26 4 2 4" xfId="44492" xr:uid="{00000000-0005-0000-0000-0000B09A0000}"/>
    <cellStyle name="Comma 26 4 2 4 2" xfId="44493" xr:uid="{00000000-0005-0000-0000-0000B19A0000}"/>
    <cellStyle name="Comma 26 4 2 5" xfId="44494" xr:uid="{00000000-0005-0000-0000-0000B29A0000}"/>
    <cellStyle name="Comma 26 4 2 6" xfId="44495" xr:uid="{00000000-0005-0000-0000-0000B39A0000}"/>
    <cellStyle name="Comma 26 4 3" xfId="44496" xr:uid="{00000000-0005-0000-0000-0000B49A0000}"/>
    <cellStyle name="Comma 26 4 3 2" xfId="44497" xr:uid="{00000000-0005-0000-0000-0000B59A0000}"/>
    <cellStyle name="Comma 26 4 3 2 2" xfId="44498" xr:uid="{00000000-0005-0000-0000-0000B69A0000}"/>
    <cellStyle name="Comma 26 4 3 2 3" xfId="44499" xr:uid="{00000000-0005-0000-0000-0000B79A0000}"/>
    <cellStyle name="Comma 26 4 3 3" xfId="44500" xr:uid="{00000000-0005-0000-0000-0000B89A0000}"/>
    <cellStyle name="Comma 26 4 3 3 2" xfId="44501" xr:uid="{00000000-0005-0000-0000-0000B99A0000}"/>
    <cellStyle name="Comma 26 4 3 3 3" xfId="44502" xr:uid="{00000000-0005-0000-0000-0000BA9A0000}"/>
    <cellStyle name="Comma 26 4 3 4" xfId="44503" xr:uid="{00000000-0005-0000-0000-0000BB9A0000}"/>
    <cellStyle name="Comma 26 4 3 4 2" xfId="44504" xr:uid="{00000000-0005-0000-0000-0000BC9A0000}"/>
    <cellStyle name="Comma 26 4 3 5" xfId="44505" xr:uid="{00000000-0005-0000-0000-0000BD9A0000}"/>
    <cellStyle name="Comma 26 4 3 6" xfId="44506" xr:uid="{00000000-0005-0000-0000-0000BE9A0000}"/>
    <cellStyle name="Comma 26 4 4" xfId="44507" xr:uid="{00000000-0005-0000-0000-0000BF9A0000}"/>
    <cellStyle name="Comma 26 4 4 2" xfId="44508" xr:uid="{00000000-0005-0000-0000-0000C09A0000}"/>
    <cellStyle name="Comma 26 4 4 2 2" xfId="44509" xr:uid="{00000000-0005-0000-0000-0000C19A0000}"/>
    <cellStyle name="Comma 26 4 4 2 3" xfId="44510" xr:uid="{00000000-0005-0000-0000-0000C29A0000}"/>
    <cellStyle name="Comma 26 4 4 3" xfId="44511" xr:uid="{00000000-0005-0000-0000-0000C39A0000}"/>
    <cellStyle name="Comma 26 4 4 3 2" xfId="44512" xr:uid="{00000000-0005-0000-0000-0000C49A0000}"/>
    <cellStyle name="Comma 26 4 4 4" xfId="44513" xr:uid="{00000000-0005-0000-0000-0000C59A0000}"/>
    <cellStyle name="Comma 26 4 4 5" xfId="44514" xr:uid="{00000000-0005-0000-0000-0000C69A0000}"/>
    <cellStyle name="Comma 26 4 5" xfId="44515" xr:uid="{00000000-0005-0000-0000-0000C79A0000}"/>
    <cellStyle name="Comma 26 4 5 2" xfId="44516" xr:uid="{00000000-0005-0000-0000-0000C89A0000}"/>
    <cellStyle name="Comma 26 4 5 3" xfId="44517" xr:uid="{00000000-0005-0000-0000-0000C99A0000}"/>
    <cellStyle name="Comma 26 4 6" xfId="44518" xr:uid="{00000000-0005-0000-0000-0000CA9A0000}"/>
    <cellStyle name="Comma 26 4 6 2" xfId="44519" xr:uid="{00000000-0005-0000-0000-0000CB9A0000}"/>
    <cellStyle name="Comma 26 4 6 3" xfId="44520" xr:uid="{00000000-0005-0000-0000-0000CC9A0000}"/>
    <cellStyle name="Comma 26 4 7" xfId="44521" xr:uid="{00000000-0005-0000-0000-0000CD9A0000}"/>
    <cellStyle name="Comma 26 4 7 2" xfId="44522" xr:uid="{00000000-0005-0000-0000-0000CE9A0000}"/>
    <cellStyle name="Comma 26 4 8" xfId="44523" xr:uid="{00000000-0005-0000-0000-0000CF9A0000}"/>
    <cellStyle name="Comma 26 4 9" xfId="44524" xr:uid="{00000000-0005-0000-0000-0000D09A0000}"/>
    <cellStyle name="Comma 26 5" xfId="44525" xr:uid="{00000000-0005-0000-0000-0000D19A0000}"/>
    <cellStyle name="Comma 26 5 2" xfId="44526" xr:uid="{00000000-0005-0000-0000-0000D29A0000}"/>
    <cellStyle name="Comma 26 5 2 2" xfId="44527" xr:uid="{00000000-0005-0000-0000-0000D39A0000}"/>
    <cellStyle name="Comma 26 5 2 3" xfId="44528" xr:uid="{00000000-0005-0000-0000-0000D49A0000}"/>
    <cellStyle name="Comma 26 5 3" xfId="44529" xr:uid="{00000000-0005-0000-0000-0000D59A0000}"/>
    <cellStyle name="Comma 26 5 3 2" xfId="44530" xr:uid="{00000000-0005-0000-0000-0000D69A0000}"/>
    <cellStyle name="Comma 26 5 3 3" xfId="44531" xr:uid="{00000000-0005-0000-0000-0000D79A0000}"/>
    <cellStyle name="Comma 26 5 4" xfId="44532" xr:uid="{00000000-0005-0000-0000-0000D89A0000}"/>
    <cellStyle name="Comma 26 5 4 2" xfId="44533" xr:uid="{00000000-0005-0000-0000-0000D99A0000}"/>
    <cellStyle name="Comma 26 5 5" xfId="44534" xr:uid="{00000000-0005-0000-0000-0000DA9A0000}"/>
    <cellStyle name="Comma 26 5 6" xfId="44535" xr:uid="{00000000-0005-0000-0000-0000DB9A0000}"/>
    <cellStyle name="Comma 26 6" xfId="44536" xr:uid="{00000000-0005-0000-0000-0000DC9A0000}"/>
    <cellStyle name="Comma 26 6 2" xfId="44537" xr:uid="{00000000-0005-0000-0000-0000DD9A0000}"/>
    <cellStyle name="Comma 26 6 2 2" xfId="44538" xr:uid="{00000000-0005-0000-0000-0000DE9A0000}"/>
    <cellStyle name="Comma 26 6 2 3" xfId="44539" xr:uid="{00000000-0005-0000-0000-0000DF9A0000}"/>
    <cellStyle name="Comma 26 6 3" xfId="44540" xr:uid="{00000000-0005-0000-0000-0000E09A0000}"/>
    <cellStyle name="Comma 26 6 3 2" xfId="44541" xr:uid="{00000000-0005-0000-0000-0000E19A0000}"/>
    <cellStyle name="Comma 26 6 3 3" xfId="44542" xr:uid="{00000000-0005-0000-0000-0000E29A0000}"/>
    <cellStyle name="Comma 26 6 4" xfId="44543" xr:uid="{00000000-0005-0000-0000-0000E39A0000}"/>
    <cellStyle name="Comma 26 6 4 2" xfId="44544" xr:uid="{00000000-0005-0000-0000-0000E49A0000}"/>
    <cellStyle name="Comma 26 6 5" xfId="44545" xr:uid="{00000000-0005-0000-0000-0000E59A0000}"/>
    <cellStyle name="Comma 26 6 6" xfId="44546" xr:uid="{00000000-0005-0000-0000-0000E69A0000}"/>
    <cellStyle name="Comma 26 7" xfId="44547" xr:uid="{00000000-0005-0000-0000-0000E79A0000}"/>
    <cellStyle name="Comma 26 7 2" xfId="44548" xr:uid="{00000000-0005-0000-0000-0000E89A0000}"/>
    <cellStyle name="Comma 26 7 2 2" xfId="44549" xr:uid="{00000000-0005-0000-0000-0000E99A0000}"/>
    <cellStyle name="Comma 26 7 2 3" xfId="44550" xr:uid="{00000000-0005-0000-0000-0000EA9A0000}"/>
    <cellStyle name="Comma 26 7 3" xfId="44551" xr:uid="{00000000-0005-0000-0000-0000EB9A0000}"/>
    <cellStyle name="Comma 26 7 3 2" xfId="44552" xr:uid="{00000000-0005-0000-0000-0000EC9A0000}"/>
    <cellStyle name="Comma 26 7 4" xfId="44553" xr:uid="{00000000-0005-0000-0000-0000ED9A0000}"/>
    <cellStyle name="Comma 26 7 5" xfId="44554" xr:uid="{00000000-0005-0000-0000-0000EE9A0000}"/>
    <cellStyle name="Comma 26 8" xfId="44555" xr:uid="{00000000-0005-0000-0000-0000EF9A0000}"/>
    <cellStyle name="Comma 26 8 2" xfId="44556" xr:uid="{00000000-0005-0000-0000-0000F09A0000}"/>
    <cellStyle name="Comma 26 8 3" xfId="44557" xr:uid="{00000000-0005-0000-0000-0000F19A0000}"/>
    <cellStyle name="Comma 26 9" xfId="44558" xr:uid="{00000000-0005-0000-0000-0000F29A0000}"/>
    <cellStyle name="Comma 26 9 2" xfId="44559" xr:uid="{00000000-0005-0000-0000-0000F39A0000}"/>
    <cellStyle name="Comma 26 9 3" xfId="44560" xr:uid="{00000000-0005-0000-0000-0000F49A0000}"/>
    <cellStyle name="Comma 27" xfId="3390" xr:uid="{00000000-0005-0000-0000-0000F59A0000}"/>
    <cellStyle name="Comma 27 10" xfId="44561" xr:uid="{00000000-0005-0000-0000-0000F69A0000}"/>
    <cellStyle name="Comma 27 10 2" xfId="44562" xr:uid="{00000000-0005-0000-0000-0000F79A0000}"/>
    <cellStyle name="Comma 27 11" xfId="44563" xr:uid="{00000000-0005-0000-0000-0000F89A0000}"/>
    <cellStyle name="Comma 27 12" xfId="44564" xr:uid="{00000000-0005-0000-0000-0000F99A0000}"/>
    <cellStyle name="Comma 27 13" xfId="44565" xr:uid="{00000000-0005-0000-0000-0000FA9A0000}"/>
    <cellStyle name="Comma 27 2" xfId="44566" xr:uid="{00000000-0005-0000-0000-0000FB9A0000}"/>
    <cellStyle name="Comma 27 2 10" xfId="44567" xr:uid="{00000000-0005-0000-0000-0000FC9A0000}"/>
    <cellStyle name="Comma 27 2 2" xfId="44568" xr:uid="{00000000-0005-0000-0000-0000FD9A0000}"/>
    <cellStyle name="Comma 27 2 2 2" xfId="44569" xr:uid="{00000000-0005-0000-0000-0000FE9A0000}"/>
    <cellStyle name="Comma 27 2 2 2 2" xfId="44570" xr:uid="{00000000-0005-0000-0000-0000FF9A0000}"/>
    <cellStyle name="Comma 27 2 2 2 2 2" xfId="44571" xr:uid="{00000000-0005-0000-0000-0000009B0000}"/>
    <cellStyle name="Comma 27 2 2 2 2 3" xfId="44572" xr:uid="{00000000-0005-0000-0000-0000019B0000}"/>
    <cellStyle name="Comma 27 2 2 2 3" xfId="44573" xr:uid="{00000000-0005-0000-0000-0000029B0000}"/>
    <cellStyle name="Comma 27 2 2 2 3 2" xfId="44574" xr:uid="{00000000-0005-0000-0000-0000039B0000}"/>
    <cellStyle name="Comma 27 2 2 2 3 3" xfId="44575" xr:uid="{00000000-0005-0000-0000-0000049B0000}"/>
    <cellStyle name="Comma 27 2 2 2 4" xfId="44576" xr:uid="{00000000-0005-0000-0000-0000059B0000}"/>
    <cellStyle name="Comma 27 2 2 2 4 2" xfId="44577" xr:uid="{00000000-0005-0000-0000-0000069B0000}"/>
    <cellStyle name="Comma 27 2 2 2 5" xfId="44578" xr:uid="{00000000-0005-0000-0000-0000079B0000}"/>
    <cellStyle name="Comma 27 2 2 2 6" xfId="44579" xr:uid="{00000000-0005-0000-0000-0000089B0000}"/>
    <cellStyle name="Comma 27 2 2 3" xfId="44580" xr:uid="{00000000-0005-0000-0000-0000099B0000}"/>
    <cellStyle name="Comma 27 2 2 3 2" xfId="44581" xr:uid="{00000000-0005-0000-0000-00000A9B0000}"/>
    <cellStyle name="Comma 27 2 2 3 2 2" xfId="44582" xr:uid="{00000000-0005-0000-0000-00000B9B0000}"/>
    <cellStyle name="Comma 27 2 2 3 2 3" xfId="44583" xr:uid="{00000000-0005-0000-0000-00000C9B0000}"/>
    <cellStyle name="Comma 27 2 2 3 3" xfId="44584" xr:uid="{00000000-0005-0000-0000-00000D9B0000}"/>
    <cellStyle name="Comma 27 2 2 3 3 2" xfId="44585" xr:uid="{00000000-0005-0000-0000-00000E9B0000}"/>
    <cellStyle name="Comma 27 2 2 3 3 3" xfId="44586" xr:uid="{00000000-0005-0000-0000-00000F9B0000}"/>
    <cellStyle name="Comma 27 2 2 3 4" xfId="44587" xr:uid="{00000000-0005-0000-0000-0000109B0000}"/>
    <cellStyle name="Comma 27 2 2 3 4 2" xfId="44588" xr:uid="{00000000-0005-0000-0000-0000119B0000}"/>
    <cellStyle name="Comma 27 2 2 3 5" xfId="44589" xr:uid="{00000000-0005-0000-0000-0000129B0000}"/>
    <cellStyle name="Comma 27 2 2 3 6" xfId="44590" xr:uid="{00000000-0005-0000-0000-0000139B0000}"/>
    <cellStyle name="Comma 27 2 2 4" xfId="44591" xr:uid="{00000000-0005-0000-0000-0000149B0000}"/>
    <cellStyle name="Comma 27 2 2 4 2" xfId="44592" xr:uid="{00000000-0005-0000-0000-0000159B0000}"/>
    <cellStyle name="Comma 27 2 2 4 2 2" xfId="44593" xr:uid="{00000000-0005-0000-0000-0000169B0000}"/>
    <cellStyle name="Comma 27 2 2 4 2 3" xfId="44594" xr:uid="{00000000-0005-0000-0000-0000179B0000}"/>
    <cellStyle name="Comma 27 2 2 4 3" xfId="44595" xr:uid="{00000000-0005-0000-0000-0000189B0000}"/>
    <cellStyle name="Comma 27 2 2 4 3 2" xfId="44596" xr:uid="{00000000-0005-0000-0000-0000199B0000}"/>
    <cellStyle name="Comma 27 2 2 4 4" xfId="44597" xr:uid="{00000000-0005-0000-0000-00001A9B0000}"/>
    <cellStyle name="Comma 27 2 2 4 5" xfId="44598" xr:uid="{00000000-0005-0000-0000-00001B9B0000}"/>
    <cellStyle name="Comma 27 2 2 5" xfId="44599" xr:uid="{00000000-0005-0000-0000-00001C9B0000}"/>
    <cellStyle name="Comma 27 2 2 5 2" xfId="44600" xr:uid="{00000000-0005-0000-0000-00001D9B0000}"/>
    <cellStyle name="Comma 27 2 2 5 3" xfId="44601" xr:uid="{00000000-0005-0000-0000-00001E9B0000}"/>
    <cellStyle name="Comma 27 2 2 6" xfId="44602" xr:uid="{00000000-0005-0000-0000-00001F9B0000}"/>
    <cellStyle name="Comma 27 2 2 6 2" xfId="44603" xr:uid="{00000000-0005-0000-0000-0000209B0000}"/>
    <cellStyle name="Comma 27 2 2 6 3" xfId="44604" xr:uid="{00000000-0005-0000-0000-0000219B0000}"/>
    <cellStyle name="Comma 27 2 2 7" xfId="44605" xr:uid="{00000000-0005-0000-0000-0000229B0000}"/>
    <cellStyle name="Comma 27 2 2 7 2" xfId="44606" xr:uid="{00000000-0005-0000-0000-0000239B0000}"/>
    <cellStyle name="Comma 27 2 2 8" xfId="44607" xr:uid="{00000000-0005-0000-0000-0000249B0000}"/>
    <cellStyle name="Comma 27 2 2 9" xfId="44608" xr:uid="{00000000-0005-0000-0000-0000259B0000}"/>
    <cellStyle name="Comma 27 2 3" xfId="44609" xr:uid="{00000000-0005-0000-0000-0000269B0000}"/>
    <cellStyle name="Comma 27 2 3 2" xfId="44610" xr:uid="{00000000-0005-0000-0000-0000279B0000}"/>
    <cellStyle name="Comma 27 2 3 2 2" xfId="44611" xr:uid="{00000000-0005-0000-0000-0000289B0000}"/>
    <cellStyle name="Comma 27 2 3 2 3" xfId="44612" xr:uid="{00000000-0005-0000-0000-0000299B0000}"/>
    <cellStyle name="Comma 27 2 3 3" xfId="44613" xr:uid="{00000000-0005-0000-0000-00002A9B0000}"/>
    <cellStyle name="Comma 27 2 3 3 2" xfId="44614" xr:uid="{00000000-0005-0000-0000-00002B9B0000}"/>
    <cellStyle name="Comma 27 2 3 3 3" xfId="44615" xr:uid="{00000000-0005-0000-0000-00002C9B0000}"/>
    <cellStyle name="Comma 27 2 3 4" xfId="44616" xr:uid="{00000000-0005-0000-0000-00002D9B0000}"/>
    <cellStyle name="Comma 27 2 3 4 2" xfId="44617" xr:uid="{00000000-0005-0000-0000-00002E9B0000}"/>
    <cellStyle name="Comma 27 2 3 5" xfId="44618" xr:uid="{00000000-0005-0000-0000-00002F9B0000}"/>
    <cellStyle name="Comma 27 2 3 6" xfId="44619" xr:uid="{00000000-0005-0000-0000-0000309B0000}"/>
    <cellStyle name="Comma 27 2 4" xfId="44620" xr:uid="{00000000-0005-0000-0000-0000319B0000}"/>
    <cellStyle name="Comma 27 2 4 2" xfId="44621" xr:uid="{00000000-0005-0000-0000-0000329B0000}"/>
    <cellStyle name="Comma 27 2 4 2 2" xfId="44622" xr:uid="{00000000-0005-0000-0000-0000339B0000}"/>
    <cellStyle name="Comma 27 2 4 2 3" xfId="44623" xr:uid="{00000000-0005-0000-0000-0000349B0000}"/>
    <cellStyle name="Comma 27 2 4 3" xfId="44624" xr:uid="{00000000-0005-0000-0000-0000359B0000}"/>
    <cellStyle name="Comma 27 2 4 3 2" xfId="44625" xr:uid="{00000000-0005-0000-0000-0000369B0000}"/>
    <cellStyle name="Comma 27 2 4 3 3" xfId="44626" xr:uid="{00000000-0005-0000-0000-0000379B0000}"/>
    <cellStyle name="Comma 27 2 4 4" xfId="44627" xr:uid="{00000000-0005-0000-0000-0000389B0000}"/>
    <cellStyle name="Comma 27 2 4 4 2" xfId="44628" xr:uid="{00000000-0005-0000-0000-0000399B0000}"/>
    <cellStyle name="Comma 27 2 4 5" xfId="44629" xr:uid="{00000000-0005-0000-0000-00003A9B0000}"/>
    <cellStyle name="Comma 27 2 4 6" xfId="44630" xr:uid="{00000000-0005-0000-0000-00003B9B0000}"/>
    <cellStyle name="Comma 27 2 5" xfId="44631" xr:uid="{00000000-0005-0000-0000-00003C9B0000}"/>
    <cellStyle name="Comma 27 2 5 2" xfId="44632" xr:uid="{00000000-0005-0000-0000-00003D9B0000}"/>
    <cellStyle name="Comma 27 2 5 2 2" xfId="44633" xr:uid="{00000000-0005-0000-0000-00003E9B0000}"/>
    <cellStyle name="Comma 27 2 5 2 3" xfId="44634" xr:uid="{00000000-0005-0000-0000-00003F9B0000}"/>
    <cellStyle name="Comma 27 2 5 3" xfId="44635" xr:uid="{00000000-0005-0000-0000-0000409B0000}"/>
    <cellStyle name="Comma 27 2 5 3 2" xfId="44636" xr:uid="{00000000-0005-0000-0000-0000419B0000}"/>
    <cellStyle name="Comma 27 2 5 4" xfId="44637" xr:uid="{00000000-0005-0000-0000-0000429B0000}"/>
    <cellStyle name="Comma 27 2 5 5" xfId="44638" xr:uid="{00000000-0005-0000-0000-0000439B0000}"/>
    <cellStyle name="Comma 27 2 6" xfId="44639" xr:uid="{00000000-0005-0000-0000-0000449B0000}"/>
    <cellStyle name="Comma 27 2 6 2" xfId="44640" xr:uid="{00000000-0005-0000-0000-0000459B0000}"/>
    <cellStyle name="Comma 27 2 6 3" xfId="44641" xr:uid="{00000000-0005-0000-0000-0000469B0000}"/>
    <cellStyle name="Comma 27 2 7" xfId="44642" xr:uid="{00000000-0005-0000-0000-0000479B0000}"/>
    <cellStyle name="Comma 27 2 7 2" xfId="44643" xr:uid="{00000000-0005-0000-0000-0000489B0000}"/>
    <cellStyle name="Comma 27 2 7 3" xfId="44644" xr:uid="{00000000-0005-0000-0000-0000499B0000}"/>
    <cellStyle name="Comma 27 2 8" xfId="44645" xr:uid="{00000000-0005-0000-0000-00004A9B0000}"/>
    <cellStyle name="Comma 27 2 8 2" xfId="44646" xr:uid="{00000000-0005-0000-0000-00004B9B0000}"/>
    <cellStyle name="Comma 27 2 9" xfId="44647" xr:uid="{00000000-0005-0000-0000-00004C9B0000}"/>
    <cellStyle name="Comma 27 3" xfId="44648" xr:uid="{00000000-0005-0000-0000-00004D9B0000}"/>
    <cellStyle name="Comma 27 3 2" xfId="44649" xr:uid="{00000000-0005-0000-0000-00004E9B0000}"/>
    <cellStyle name="Comma 27 3 2 2" xfId="44650" xr:uid="{00000000-0005-0000-0000-00004F9B0000}"/>
    <cellStyle name="Comma 27 3 2 2 2" xfId="44651" xr:uid="{00000000-0005-0000-0000-0000509B0000}"/>
    <cellStyle name="Comma 27 3 2 2 3" xfId="44652" xr:uid="{00000000-0005-0000-0000-0000519B0000}"/>
    <cellStyle name="Comma 27 3 2 3" xfId="44653" xr:uid="{00000000-0005-0000-0000-0000529B0000}"/>
    <cellStyle name="Comma 27 3 2 3 2" xfId="44654" xr:uid="{00000000-0005-0000-0000-0000539B0000}"/>
    <cellStyle name="Comma 27 3 2 3 3" xfId="44655" xr:uid="{00000000-0005-0000-0000-0000549B0000}"/>
    <cellStyle name="Comma 27 3 2 4" xfId="44656" xr:uid="{00000000-0005-0000-0000-0000559B0000}"/>
    <cellStyle name="Comma 27 3 2 4 2" xfId="44657" xr:uid="{00000000-0005-0000-0000-0000569B0000}"/>
    <cellStyle name="Comma 27 3 2 5" xfId="44658" xr:uid="{00000000-0005-0000-0000-0000579B0000}"/>
    <cellStyle name="Comma 27 3 2 6" xfId="44659" xr:uid="{00000000-0005-0000-0000-0000589B0000}"/>
    <cellStyle name="Comma 27 3 3" xfId="44660" xr:uid="{00000000-0005-0000-0000-0000599B0000}"/>
    <cellStyle name="Comma 27 3 3 2" xfId="44661" xr:uid="{00000000-0005-0000-0000-00005A9B0000}"/>
    <cellStyle name="Comma 27 3 3 2 2" xfId="44662" xr:uid="{00000000-0005-0000-0000-00005B9B0000}"/>
    <cellStyle name="Comma 27 3 3 2 3" xfId="44663" xr:uid="{00000000-0005-0000-0000-00005C9B0000}"/>
    <cellStyle name="Comma 27 3 3 3" xfId="44664" xr:uid="{00000000-0005-0000-0000-00005D9B0000}"/>
    <cellStyle name="Comma 27 3 3 3 2" xfId="44665" xr:uid="{00000000-0005-0000-0000-00005E9B0000}"/>
    <cellStyle name="Comma 27 3 3 3 3" xfId="44666" xr:uid="{00000000-0005-0000-0000-00005F9B0000}"/>
    <cellStyle name="Comma 27 3 3 4" xfId="44667" xr:uid="{00000000-0005-0000-0000-0000609B0000}"/>
    <cellStyle name="Comma 27 3 3 4 2" xfId="44668" xr:uid="{00000000-0005-0000-0000-0000619B0000}"/>
    <cellStyle name="Comma 27 3 3 5" xfId="44669" xr:uid="{00000000-0005-0000-0000-0000629B0000}"/>
    <cellStyle name="Comma 27 3 3 6" xfId="44670" xr:uid="{00000000-0005-0000-0000-0000639B0000}"/>
    <cellStyle name="Comma 27 3 4" xfId="44671" xr:uid="{00000000-0005-0000-0000-0000649B0000}"/>
    <cellStyle name="Comma 27 3 4 2" xfId="44672" xr:uid="{00000000-0005-0000-0000-0000659B0000}"/>
    <cellStyle name="Comma 27 3 4 2 2" xfId="44673" xr:uid="{00000000-0005-0000-0000-0000669B0000}"/>
    <cellStyle name="Comma 27 3 4 2 3" xfId="44674" xr:uid="{00000000-0005-0000-0000-0000679B0000}"/>
    <cellStyle name="Comma 27 3 4 3" xfId="44675" xr:uid="{00000000-0005-0000-0000-0000689B0000}"/>
    <cellStyle name="Comma 27 3 4 3 2" xfId="44676" xr:uid="{00000000-0005-0000-0000-0000699B0000}"/>
    <cellStyle name="Comma 27 3 4 4" xfId="44677" xr:uid="{00000000-0005-0000-0000-00006A9B0000}"/>
    <cellStyle name="Comma 27 3 4 5" xfId="44678" xr:uid="{00000000-0005-0000-0000-00006B9B0000}"/>
    <cellStyle name="Comma 27 3 5" xfId="44679" xr:uid="{00000000-0005-0000-0000-00006C9B0000}"/>
    <cellStyle name="Comma 27 3 5 2" xfId="44680" xr:uid="{00000000-0005-0000-0000-00006D9B0000}"/>
    <cellStyle name="Comma 27 3 5 3" xfId="44681" xr:uid="{00000000-0005-0000-0000-00006E9B0000}"/>
    <cellStyle name="Comma 27 3 6" xfId="44682" xr:uid="{00000000-0005-0000-0000-00006F9B0000}"/>
    <cellStyle name="Comma 27 3 6 2" xfId="44683" xr:uid="{00000000-0005-0000-0000-0000709B0000}"/>
    <cellStyle name="Comma 27 3 6 3" xfId="44684" xr:uid="{00000000-0005-0000-0000-0000719B0000}"/>
    <cellStyle name="Comma 27 3 7" xfId="44685" xr:uid="{00000000-0005-0000-0000-0000729B0000}"/>
    <cellStyle name="Comma 27 3 7 2" xfId="44686" xr:uid="{00000000-0005-0000-0000-0000739B0000}"/>
    <cellStyle name="Comma 27 3 8" xfId="44687" xr:uid="{00000000-0005-0000-0000-0000749B0000}"/>
    <cellStyle name="Comma 27 3 9" xfId="44688" xr:uid="{00000000-0005-0000-0000-0000759B0000}"/>
    <cellStyle name="Comma 27 4" xfId="44689" xr:uid="{00000000-0005-0000-0000-0000769B0000}"/>
    <cellStyle name="Comma 27 4 2" xfId="44690" xr:uid="{00000000-0005-0000-0000-0000779B0000}"/>
    <cellStyle name="Comma 27 4 2 2" xfId="44691" xr:uid="{00000000-0005-0000-0000-0000789B0000}"/>
    <cellStyle name="Comma 27 4 2 2 2" xfId="44692" xr:uid="{00000000-0005-0000-0000-0000799B0000}"/>
    <cellStyle name="Comma 27 4 2 2 3" xfId="44693" xr:uid="{00000000-0005-0000-0000-00007A9B0000}"/>
    <cellStyle name="Comma 27 4 2 3" xfId="44694" xr:uid="{00000000-0005-0000-0000-00007B9B0000}"/>
    <cellStyle name="Comma 27 4 2 3 2" xfId="44695" xr:uid="{00000000-0005-0000-0000-00007C9B0000}"/>
    <cellStyle name="Comma 27 4 2 3 3" xfId="44696" xr:uid="{00000000-0005-0000-0000-00007D9B0000}"/>
    <cellStyle name="Comma 27 4 2 4" xfId="44697" xr:uid="{00000000-0005-0000-0000-00007E9B0000}"/>
    <cellStyle name="Comma 27 4 2 4 2" xfId="44698" xr:uid="{00000000-0005-0000-0000-00007F9B0000}"/>
    <cellStyle name="Comma 27 4 2 5" xfId="44699" xr:uid="{00000000-0005-0000-0000-0000809B0000}"/>
    <cellStyle name="Comma 27 4 2 6" xfId="44700" xr:uid="{00000000-0005-0000-0000-0000819B0000}"/>
    <cellStyle name="Comma 27 4 3" xfId="44701" xr:uid="{00000000-0005-0000-0000-0000829B0000}"/>
    <cellStyle name="Comma 27 4 3 2" xfId="44702" xr:uid="{00000000-0005-0000-0000-0000839B0000}"/>
    <cellStyle name="Comma 27 4 3 2 2" xfId="44703" xr:uid="{00000000-0005-0000-0000-0000849B0000}"/>
    <cellStyle name="Comma 27 4 3 2 3" xfId="44704" xr:uid="{00000000-0005-0000-0000-0000859B0000}"/>
    <cellStyle name="Comma 27 4 3 3" xfId="44705" xr:uid="{00000000-0005-0000-0000-0000869B0000}"/>
    <cellStyle name="Comma 27 4 3 3 2" xfId="44706" xr:uid="{00000000-0005-0000-0000-0000879B0000}"/>
    <cellStyle name="Comma 27 4 3 3 3" xfId="44707" xr:uid="{00000000-0005-0000-0000-0000889B0000}"/>
    <cellStyle name="Comma 27 4 3 4" xfId="44708" xr:uid="{00000000-0005-0000-0000-0000899B0000}"/>
    <cellStyle name="Comma 27 4 3 4 2" xfId="44709" xr:uid="{00000000-0005-0000-0000-00008A9B0000}"/>
    <cellStyle name="Comma 27 4 3 5" xfId="44710" xr:uid="{00000000-0005-0000-0000-00008B9B0000}"/>
    <cellStyle name="Comma 27 4 3 6" xfId="44711" xr:uid="{00000000-0005-0000-0000-00008C9B0000}"/>
    <cellStyle name="Comma 27 4 4" xfId="44712" xr:uid="{00000000-0005-0000-0000-00008D9B0000}"/>
    <cellStyle name="Comma 27 4 4 2" xfId="44713" xr:uid="{00000000-0005-0000-0000-00008E9B0000}"/>
    <cellStyle name="Comma 27 4 4 2 2" xfId="44714" xr:uid="{00000000-0005-0000-0000-00008F9B0000}"/>
    <cellStyle name="Comma 27 4 4 2 3" xfId="44715" xr:uid="{00000000-0005-0000-0000-0000909B0000}"/>
    <cellStyle name="Comma 27 4 4 3" xfId="44716" xr:uid="{00000000-0005-0000-0000-0000919B0000}"/>
    <cellStyle name="Comma 27 4 4 3 2" xfId="44717" xr:uid="{00000000-0005-0000-0000-0000929B0000}"/>
    <cellStyle name="Comma 27 4 4 4" xfId="44718" xr:uid="{00000000-0005-0000-0000-0000939B0000}"/>
    <cellStyle name="Comma 27 4 4 5" xfId="44719" xr:uid="{00000000-0005-0000-0000-0000949B0000}"/>
    <cellStyle name="Comma 27 4 5" xfId="44720" xr:uid="{00000000-0005-0000-0000-0000959B0000}"/>
    <cellStyle name="Comma 27 4 5 2" xfId="44721" xr:uid="{00000000-0005-0000-0000-0000969B0000}"/>
    <cellStyle name="Comma 27 4 5 3" xfId="44722" xr:uid="{00000000-0005-0000-0000-0000979B0000}"/>
    <cellStyle name="Comma 27 4 6" xfId="44723" xr:uid="{00000000-0005-0000-0000-0000989B0000}"/>
    <cellStyle name="Comma 27 4 6 2" xfId="44724" xr:uid="{00000000-0005-0000-0000-0000999B0000}"/>
    <cellStyle name="Comma 27 4 6 3" xfId="44725" xr:uid="{00000000-0005-0000-0000-00009A9B0000}"/>
    <cellStyle name="Comma 27 4 7" xfId="44726" xr:uid="{00000000-0005-0000-0000-00009B9B0000}"/>
    <cellStyle name="Comma 27 4 7 2" xfId="44727" xr:uid="{00000000-0005-0000-0000-00009C9B0000}"/>
    <cellStyle name="Comma 27 4 8" xfId="44728" xr:uid="{00000000-0005-0000-0000-00009D9B0000}"/>
    <cellStyle name="Comma 27 4 9" xfId="44729" xr:uid="{00000000-0005-0000-0000-00009E9B0000}"/>
    <cellStyle name="Comma 27 5" xfId="44730" xr:uid="{00000000-0005-0000-0000-00009F9B0000}"/>
    <cellStyle name="Comma 27 5 2" xfId="44731" xr:uid="{00000000-0005-0000-0000-0000A09B0000}"/>
    <cellStyle name="Comma 27 5 2 2" xfId="44732" xr:uid="{00000000-0005-0000-0000-0000A19B0000}"/>
    <cellStyle name="Comma 27 5 2 3" xfId="44733" xr:uid="{00000000-0005-0000-0000-0000A29B0000}"/>
    <cellStyle name="Comma 27 5 3" xfId="44734" xr:uid="{00000000-0005-0000-0000-0000A39B0000}"/>
    <cellStyle name="Comma 27 5 3 2" xfId="44735" xr:uid="{00000000-0005-0000-0000-0000A49B0000}"/>
    <cellStyle name="Comma 27 5 3 3" xfId="44736" xr:uid="{00000000-0005-0000-0000-0000A59B0000}"/>
    <cellStyle name="Comma 27 5 4" xfId="44737" xr:uid="{00000000-0005-0000-0000-0000A69B0000}"/>
    <cellStyle name="Comma 27 5 4 2" xfId="44738" xr:uid="{00000000-0005-0000-0000-0000A79B0000}"/>
    <cellStyle name="Comma 27 5 5" xfId="44739" xr:uid="{00000000-0005-0000-0000-0000A89B0000}"/>
    <cellStyle name="Comma 27 5 6" xfId="44740" xr:uid="{00000000-0005-0000-0000-0000A99B0000}"/>
    <cellStyle name="Comma 27 6" xfId="44741" xr:uid="{00000000-0005-0000-0000-0000AA9B0000}"/>
    <cellStyle name="Comma 27 6 2" xfId="44742" xr:uid="{00000000-0005-0000-0000-0000AB9B0000}"/>
    <cellStyle name="Comma 27 6 2 2" xfId="44743" xr:uid="{00000000-0005-0000-0000-0000AC9B0000}"/>
    <cellStyle name="Comma 27 6 2 3" xfId="44744" xr:uid="{00000000-0005-0000-0000-0000AD9B0000}"/>
    <cellStyle name="Comma 27 6 3" xfId="44745" xr:uid="{00000000-0005-0000-0000-0000AE9B0000}"/>
    <cellStyle name="Comma 27 6 3 2" xfId="44746" xr:uid="{00000000-0005-0000-0000-0000AF9B0000}"/>
    <cellStyle name="Comma 27 6 3 3" xfId="44747" xr:uid="{00000000-0005-0000-0000-0000B09B0000}"/>
    <cellStyle name="Comma 27 6 4" xfId="44748" xr:uid="{00000000-0005-0000-0000-0000B19B0000}"/>
    <cellStyle name="Comma 27 6 4 2" xfId="44749" xr:uid="{00000000-0005-0000-0000-0000B29B0000}"/>
    <cellStyle name="Comma 27 6 5" xfId="44750" xr:uid="{00000000-0005-0000-0000-0000B39B0000}"/>
    <cellStyle name="Comma 27 6 6" xfId="44751" xr:uid="{00000000-0005-0000-0000-0000B49B0000}"/>
    <cellStyle name="Comma 27 7" xfId="44752" xr:uid="{00000000-0005-0000-0000-0000B59B0000}"/>
    <cellStyle name="Comma 27 7 2" xfId="44753" xr:uid="{00000000-0005-0000-0000-0000B69B0000}"/>
    <cellStyle name="Comma 27 7 2 2" xfId="44754" xr:uid="{00000000-0005-0000-0000-0000B79B0000}"/>
    <cellStyle name="Comma 27 7 2 3" xfId="44755" xr:uid="{00000000-0005-0000-0000-0000B89B0000}"/>
    <cellStyle name="Comma 27 7 3" xfId="44756" xr:uid="{00000000-0005-0000-0000-0000B99B0000}"/>
    <cellStyle name="Comma 27 7 3 2" xfId="44757" xr:uid="{00000000-0005-0000-0000-0000BA9B0000}"/>
    <cellStyle name="Comma 27 7 4" xfId="44758" xr:uid="{00000000-0005-0000-0000-0000BB9B0000}"/>
    <cellStyle name="Comma 27 7 5" xfId="44759" xr:uid="{00000000-0005-0000-0000-0000BC9B0000}"/>
    <cellStyle name="Comma 27 8" xfId="44760" xr:uid="{00000000-0005-0000-0000-0000BD9B0000}"/>
    <cellStyle name="Comma 27 8 2" xfId="44761" xr:uid="{00000000-0005-0000-0000-0000BE9B0000}"/>
    <cellStyle name="Comma 27 8 3" xfId="44762" xr:uid="{00000000-0005-0000-0000-0000BF9B0000}"/>
    <cellStyle name="Comma 27 9" xfId="44763" xr:uid="{00000000-0005-0000-0000-0000C09B0000}"/>
    <cellStyle name="Comma 27 9 2" xfId="44764" xr:uid="{00000000-0005-0000-0000-0000C19B0000}"/>
    <cellStyle name="Comma 27 9 3" xfId="44765" xr:uid="{00000000-0005-0000-0000-0000C29B0000}"/>
    <cellStyle name="Comma 28" xfId="3391" xr:uid="{00000000-0005-0000-0000-0000C39B0000}"/>
    <cellStyle name="Comma 28 2" xfId="44766" xr:uid="{00000000-0005-0000-0000-0000C49B0000}"/>
    <cellStyle name="Comma 28 3" xfId="44767" xr:uid="{00000000-0005-0000-0000-0000C59B0000}"/>
    <cellStyle name="Comma 29" xfId="3392" xr:uid="{00000000-0005-0000-0000-0000C69B0000}"/>
    <cellStyle name="Comma 29 2" xfId="9607" xr:uid="{00000000-0005-0000-0000-0000C79B0000}"/>
    <cellStyle name="Comma 3" xfId="5" xr:uid="{00000000-0005-0000-0000-0000C89B0000}"/>
    <cellStyle name="Comma 3 10" xfId="3393" xr:uid="{00000000-0005-0000-0000-0000C99B0000}"/>
    <cellStyle name="Comma 3 11" xfId="3394" xr:uid="{00000000-0005-0000-0000-0000CA9B0000}"/>
    <cellStyle name="Comma 3 12" xfId="8766" xr:uid="{00000000-0005-0000-0000-0000CB9B0000}"/>
    <cellStyle name="Comma 3 2" xfId="3395" xr:uid="{00000000-0005-0000-0000-0000CC9B0000}"/>
    <cellStyle name="Comma 3 2 2" xfId="3396" xr:uid="{00000000-0005-0000-0000-0000CD9B0000}"/>
    <cellStyle name="Comma 3 2 2 2" xfId="3397" xr:uid="{00000000-0005-0000-0000-0000CE9B0000}"/>
    <cellStyle name="Comma 3 2 2 2 2" xfId="3398" xr:uid="{00000000-0005-0000-0000-0000CF9B0000}"/>
    <cellStyle name="Comma 3 2 2 2 2 2" xfId="3399" xr:uid="{00000000-0005-0000-0000-0000D09B0000}"/>
    <cellStyle name="Comma 3 2 2 2 2 2 2" xfId="3400" xr:uid="{00000000-0005-0000-0000-0000D19B0000}"/>
    <cellStyle name="Comma 3 2 2 2 2 2 2 2" xfId="3401" xr:uid="{00000000-0005-0000-0000-0000D29B0000}"/>
    <cellStyle name="Comma 3 2 2 2 2 2 3" xfId="3402" xr:uid="{00000000-0005-0000-0000-0000D39B0000}"/>
    <cellStyle name="Comma 3 2 2 2 2 3" xfId="3403" xr:uid="{00000000-0005-0000-0000-0000D49B0000}"/>
    <cellStyle name="Comma 3 2 2 2 2 3 2" xfId="3404" xr:uid="{00000000-0005-0000-0000-0000D59B0000}"/>
    <cellStyle name="Comma 3 2 2 2 2 4" xfId="3405" xr:uid="{00000000-0005-0000-0000-0000D69B0000}"/>
    <cellStyle name="Comma 3 2 2 2 2 5" xfId="9051" xr:uid="{00000000-0005-0000-0000-0000D79B0000}"/>
    <cellStyle name="Comma 3 2 2 2 3" xfId="3406" xr:uid="{00000000-0005-0000-0000-0000D89B0000}"/>
    <cellStyle name="Comma 3 2 2 2 3 2" xfId="3407" xr:uid="{00000000-0005-0000-0000-0000D99B0000}"/>
    <cellStyle name="Comma 3 2 2 2 3 2 2" xfId="3408" xr:uid="{00000000-0005-0000-0000-0000DA9B0000}"/>
    <cellStyle name="Comma 3 2 2 2 3 3" xfId="3409" xr:uid="{00000000-0005-0000-0000-0000DB9B0000}"/>
    <cellStyle name="Comma 3 2 2 2 4" xfId="3410" xr:uid="{00000000-0005-0000-0000-0000DC9B0000}"/>
    <cellStyle name="Comma 3 2 2 2 4 2" xfId="3411" xr:uid="{00000000-0005-0000-0000-0000DD9B0000}"/>
    <cellStyle name="Comma 3 2 2 2 5" xfId="3412" xr:uid="{00000000-0005-0000-0000-0000DE9B0000}"/>
    <cellStyle name="Comma 3 2 2 2 6" xfId="3413" xr:uid="{00000000-0005-0000-0000-0000DF9B0000}"/>
    <cellStyle name="Comma 3 2 2 2 7" xfId="9052" xr:uid="{00000000-0005-0000-0000-0000E09B0000}"/>
    <cellStyle name="Comma 3 2 2 3" xfId="3414" xr:uid="{00000000-0005-0000-0000-0000E19B0000}"/>
    <cellStyle name="Comma 3 2 2 3 2" xfId="3415" xr:uid="{00000000-0005-0000-0000-0000E29B0000}"/>
    <cellStyle name="Comma 3 2 2 3 2 2" xfId="3416" xr:uid="{00000000-0005-0000-0000-0000E39B0000}"/>
    <cellStyle name="Comma 3 2 2 3 2 2 2" xfId="3417" xr:uid="{00000000-0005-0000-0000-0000E49B0000}"/>
    <cellStyle name="Comma 3 2 2 3 2 3" xfId="3418" xr:uid="{00000000-0005-0000-0000-0000E59B0000}"/>
    <cellStyle name="Comma 3 2 2 3 3" xfId="3419" xr:uid="{00000000-0005-0000-0000-0000E69B0000}"/>
    <cellStyle name="Comma 3 2 2 3 3 2" xfId="3420" xr:uid="{00000000-0005-0000-0000-0000E79B0000}"/>
    <cellStyle name="Comma 3 2 2 3 4" xfId="3421" xr:uid="{00000000-0005-0000-0000-0000E89B0000}"/>
    <cellStyle name="Comma 3 2 2 3 5" xfId="9053" xr:uid="{00000000-0005-0000-0000-0000E99B0000}"/>
    <cellStyle name="Comma 3 2 2 4" xfId="3422" xr:uid="{00000000-0005-0000-0000-0000EA9B0000}"/>
    <cellStyle name="Comma 3 2 2 4 2" xfId="3423" xr:uid="{00000000-0005-0000-0000-0000EB9B0000}"/>
    <cellStyle name="Comma 3 2 2 4 2 2" xfId="3424" xr:uid="{00000000-0005-0000-0000-0000EC9B0000}"/>
    <cellStyle name="Comma 3 2 2 4 3" xfId="3425" xr:uid="{00000000-0005-0000-0000-0000ED9B0000}"/>
    <cellStyle name="Comma 3 2 2 5" xfId="3426" xr:uid="{00000000-0005-0000-0000-0000EE9B0000}"/>
    <cellStyle name="Comma 3 2 2 5 2" xfId="3427" xr:uid="{00000000-0005-0000-0000-0000EF9B0000}"/>
    <cellStyle name="Comma 3 2 2 6" xfId="3428" xr:uid="{00000000-0005-0000-0000-0000F09B0000}"/>
    <cellStyle name="Comma 3 2 2 7" xfId="3429" xr:uid="{00000000-0005-0000-0000-0000F19B0000}"/>
    <cellStyle name="Comma 3 2 2 8" xfId="9054" xr:uid="{00000000-0005-0000-0000-0000F29B0000}"/>
    <cellStyle name="Comma 3 2 3" xfId="3430" xr:uid="{00000000-0005-0000-0000-0000F39B0000}"/>
    <cellStyle name="Comma 3 2 3 2" xfId="3431" xr:uid="{00000000-0005-0000-0000-0000F49B0000}"/>
    <cellStyle name="Comma 3 2 3 2 2" xfId="3432" xr:uid="{00000000-0005-0000-0000-0000F59B0000}"/>
    <cellStyle name="Comma 3 2 3 2 2 2" xfId="3433" xr:uid="{00000000-0005-0000-0000-0000F69B0000}"/>
    <cellStyle name="Comma 3 2 3 2 2 2 2" xfId="3434" xr:uid="{00000000-0005-0000-0000-0000F79B0000}"/>
    <cellStyle name="Comma 3 2 3 2 2 3" xfId="3435" xr:uid="{00000000-0005-0000-0000-0000F89B0000}"/>
    <cellStyle name="Comma 3 2 3 2 3" xfId="3436" xr:uid="{00000000-0005-0000-0000-0000F99B0000}"/>
    <cellStyle name="Comma 3 2 3 2 3 2" xfId="3437" xr:uid="{00000000-0005-0000-0000-0000FA9B0000}"/>
    <cellStyle name="Comma 3 2 3 2 4" xfId="3438" xr:uid="{00000000-0005-0000-0000-0000FB9B0000}"/>
    <cellStyle name="Comma 3 2 3 2 5" xfId="9055" xr:uid="{00000000-0005-0000-0000-0000FC9B0000}"/>
    <cellStyle name="Comma 3 2 3 3" xfId="3439" xr:uid="{00000000-0005-0000-0000-0000FD9B0000}"/>
    <cellStyle name="Comma 3 2 3 3 2" xfId="3440" xr:uid="{00000000-0005-0000-0000-0000FE9B0000}"/>
    <cellStyle name="Comma 3 2 3 3 2 2" xfId="3441" xr:uid="{00000000-0005-0000-0000-0000FF9B0000}"/>
    <cellStyle name="Comma 3 2 3 3 3" xfId="3442" xr:uid="{00000000-0005-0000-0000-0000009C0000}"/>
    <cellStyle name="Comma 3 2 3 4" xfId="3443" xr:uid="{00000000-0005-0000-0000-0000019C0000}"/>
    <cellStyle name="Comma 3 2 3 4 2" xfId="3444" xr:uid="{00000000-0005-0000-0000-0000029C0000}"/>
    <cellStyle name="Comma 3 2 3 5" xfId="3445" xr:uid="{00000000-0005-0000-0000-0000039C0000}"/>
    <cellStyle name="Comma 3 2 3 6" xfId="3446" xr:uid="{00000000-0005-0000-0000-0000049C0000}"/>
    <cellStyle name="Comma 3 2 3 7" xfId="9056" xr:uid="{00000000-0005-0000-0000-0000059C0000}"/>
    <cellStyle name="Comma 3 2 4" xfId="3447" xr:uid="{00000000-0005-0000-0000-0000069C0000}"/>
    <cellStyle name="Comma 3 2 4 2" xfId="3448" xr:uid="{00000000-0005-0000-0000-0000079C0000}"/>
    <cellStyle name="Comma 3 2 4 2 2" xfId="3449" xr:uid="{00000000-0005-0000-0000-0000089C0000}"/>
    <cellStyle name="Comma 3 2 4 2 2 2" xfId="3450" xr:uid="{00000000-0005-0000-0000-0000099C0000}"/>
    <cellStyle name="Comma 3 2 4 2 2 2 2" xfId="3451" xr:uid="{00000000-0005-0000-0000-00000A9C0000}"/>
    <cellStyle name="Comma 3 2 4 2 2 3" xfId="3452" xr:uid="{00000000-0005-0000-0000-00000B9C0000}"/>
    <cellStyle name="Comma 3 2 4 2 3" xfId="3453" xr:uid="{00000000-0005-0000-0000-00000C9C0000}"/>
    <cellStyle name="Comma 3 2 4 2 3 2" xfId="3454" xr:uid="{00000000-0005-0000-0000-00000D9C0000}"/>
    <cellStyle name="Comma 3 2 4 2 4" xfId="3455" xr:uid="{00000000-0005-0000-0000-00000E9C0000}"/>
    <cellStyle name="Comma 3 2 4 3" xfId="3456" xr:uid="{00000000-0005-0000-0000-00000F9C0000}"/>
    <cellStyle name="Comma 3 2 4 3 2" xfId="3457" xr:uid="{00000000-0005-0000-0000-0000109C0000}"/>
    <cellStyle name="Comma 3 2 4 3 2 2" xfId="3458" xr:uid="{00000000-0005-0000-0000-0000119C0000}"/>
    <cellStyle name="Comma 3 2 4 3 3" xfId="3459" xr:uid="{00000000-0005-0000-0000-0000129C0000}"/>
    <cellStyle name="Comma 3 2 4 4" xfId="3460" xr:uid="{00000000-0005-0000-0000-0000139C0000}"/>
    <cellStyle name="Comma 3 2 4 4 2" xfId="3461" xr:uid="{00000000-0005-0000-0000-0000149C0000}"/>
    <cellStyle name="Comma 3 2 4 5" xfId="3462" xr:uid="{00000000-0005-0000-0000-0000159C0000}"/>
    <cellStyle name="Comma 3 2 4 6" xfId="9057" xr:uid="{00000000-0005-0000-0000-0000169C0000}"/>
    <cellStyle name="Comma 3 2 5" xfId="3463" xr:uid="{00000000-0005-0000-0000-0000179C0000}"/>
    <cellStyle name="Comma 3 2 5 2" xfId="3464" xr:uid="{00000000-0005-0000-0000-0000189C0000}"/>
    <cellStyle name="Comma 3 2 5 2 2" xfId="3465" xr:uid="{00000000-0005-0000-0000-0000199C0000}"/>
    <cellStyle name="Comma 3 2 5 2 2 2" xfId="3466" xr:uid="{00000000-0005-0000-0000-00001A9C0000}"/>
    <cellStyle name="Comma 3 2 5 2 3" xfId="3467" xr:uid="{00000000-0005-0000-0000-00001B9C0000}"/>
    <cellStyle name="Comma 3 2 5 3" xfId="3468" xr:uid="{00000000-0005-0000-0000-00001C9C0000}"/>
    <cellStyle name="Comma 3 2 5 3 2" xfId="3469" xr:uid="{00000000-0005-0000-0000-00001D9C0000}"/>
    <cellStyle name="Comma 3 2 5 4" xfId="3470" xr:uid="{00000000-0005-0000-0000-00001E9C0000}"/>
    <cellStyle name="Comma 3 2 6" xfId="3471" xr:uid="{00000000-0005-0000-0000-00001F9C0000}"/>
    <cellStyle name="Comma 3 2 6 2" xfId="3472" xr:uid="{00000000-0005-0000-0000-0000209C0000}"/>
    <cellStyle name="Comma 3 2 6 2 2" xfId="3473" xr:uid="{00000000-0005-0000-0000-0000219C0000}"/>
    <cellStyle name="Comma 3 2 6 3" xfId="3474" xr:uid="{00000000-0005-0000-0000-0000229C0000}"/>
    <cellStyle name="Comma 3 2 7" xfId="3475" xr:uid="{00000000-0005-0000-0000-0000239C0000}"/>
    <cellStyle name="Comma 3 2 7 2" xfId="3476" xr:uid="{00000000-0005-0000-0000-0000249C0000}"/>
    <cellStyle name="Comma 3 2 8" xfId="3477" xr:uid="{00000000-0005-0000-0000-0000259C0000}"/>
    <cellStyle name="Comma 3 2 9" xfId="8778" xr:uid="{00000000-0005-0000-0000-0000269C0000}"/>
    <cellStyle name="Comma 3 3" xfId="3478" xr:uid="{00000000-0005-0000-0000-0000279C0000}"/>
    <cellStyle name="Comma 3 3 2" xfId="3479" xr:uid="{00000000-0005-0000-0000-0000289C0000}"/>
    <cellStyle name="Comma 3 3 2 2" xfId="3480" xr:uid="{00000000-0005-0000-0000-0000299C0000}"/>
    <cellStyle name="Comma 3 3 2 2 2" xfId="3481" xr:uid="{00000000-0005-0000-0000-00002A9C0000}"/>
    <cellStyle name="Comma 3 3 2 2 2 2" xfId="3482" xr:uid="{00000000-0005-0000-0000-00002B9C0000}"/>
    <cellStyle name="Comma 3 3 2 2 2 2 2" xfId="3483" xr:uid="{00000000-0005-0000-0000-00002C9C0000}"/>
    <cellStyle name="Comma 3 3 2 2 2 3" xfId="3484" xr:uid="{00000000-0005-0000-0000-00002D9C0000}"/>
    <cellStyle name="Comma 3 3 2 2 2 4" xfId="9058" xr:uid="{00000000-0005-0000-0000-00002E9C0000}"/>
    <cellStyle name="Comma 3 3 2 2 3" xfId="3485" xr:uid="{00000000-0005-0000-0000-00002F9C0000}"/>
    <cellStyle name="Comma 3 3 2 2 3 2" xfId="3486" xr:uid="{00000000-0005-0000-0000-0000309C0000}"/>
    <cellStyle name="Comma 3 3 2 2 4" xfId="3487" xr:uid="{00000000-0005-0000-0000-0000319C0000}"/>
    <cellStyle name="Comma 3 3 2 2 5" xfId="3488" xr:uid="{00000000-0005-0000-0000-0000329C0000}"/>
    <cellStyle name="Comma 3 3 2 2 6" xfId="9059" xr:uid="{00000000-0005-0000-0000-0000339C0000}"/>
    <cellStyle name="Comma 3 3 2 3" xfId="3489" xr:uid="{00000000-0005-0000-0000-0000349C0000}"/>
    <cellStyle name="Comma 3 3 2 3 2" xfId="3490" xr:uid="{00000000-0005-0000-0000-0000359C0000}"/>
    <cellStyle name="Comma 3 3 2 3 2 2" xfId="3491" xr:uid="{00000000-0005-0000-0000-0000369C0000}"/>
    <cellStyle name="Comma 3 3 2 3 3" xfId="3492" xr:uid="{00000000-0005-0000-0000-0000379C0000}"/>
    <cellStyle name="Comma 3 3 2 3 4" xfId="9060" xr:uid="{00000000-0005-0000-0000-0000389C0000}"/>
    <cellStyle name="Comma 3 3 2 4" xfId="3493" xr:uid="{00000000-0005-0000-0000-0000399C0000}"/>
    <cellStyle name="Comma 3 3 2 4 2" xfId="3494" xr:uid="{00000000-0005-0000-0000-00003A9C0000}"/>
    <cellStyle name="Comma 3 3 2 5" xfId="3495" xr:uid="{00000000-0005-0000-0000-00003B9C0000}"/>
    <cellStyle name="Comma 3 3 2 6" xfId="3496" xr:uid="{00000000-0005-0000-0000-00003C9C0000}"/>
    <cellStyle name="Comma 3 3 2 7" xfId="9061" xr:uid="{00000000-0005-0000-0000-00003D9C0000}"/>
    <cellStyle name="Comma 3 3 3" xfId="3497" xr:uid="{00000000-0005-0000-0000-00003E9C0000}"/>
    <cellStyle name="Comma 3 3 3 2" xfId="3498" xr:uid="{00000000-0005-0000-0000-00003F9C0000}"/>
    <cellStyle name="Comma 3 3 3 2 2" xfId="3499" xr:uid="{00000000-0005-0000-0000-0000409C0000}"/>
    <cellStyle name="Comma 3 3 3 2 2 2" xfId="3500" xr:uid="{00000000-0005-0000-0000-0000419C0000}"/>
    <cellStyle name="Comma 3 3 3 2 3" xfId="3501" xr:uid="{00000000-0005-0000-0000-0000429C0000}"/>
    <cellStyle name="Comma 3 3 3 2 4" xfId="9062" xr:uid="{00000000-0005-0000-0000-0000439C0000}"/>
    <cellStyle name="Comma 3 3 3 3" xfId="3502" xr:uid="{00000000-0005-0000-0000-0000449C0000}"/>
    <cellStyle name="Comma 3 3 3 3 2" xfId="3503" xr:uid="{00000000-0005-0000-0000-0000459C0000}"/>
    <cellStyle name="Comma 3 3 3 4" xfId="3504" xr:uid="{00000000-0005-0000-0000-0000469C0000}"/>
    <cellStyle name="Comma 3 3 3 5" xfId="3505" xr:uid="{00000000-0005-0000-0000-0000479C0000}"/>
    <cellStyle name="Comma 3 3 3 6" xfId="9063" xr:uid="{00000000-0005-0000-0000-0000489C0000}"/>
    <cellStyle name="Comma 3 3 4" xfId="3506" xr:uid="{00000000-0005-0000-0000-0000499C0000}"/>
    <cellStyle name="Comma 3 3 4 2" xfId="3507" xr:uid="{00000000-0005-0000-0000-00004A9C0000}"/>
    <cellStyle name="Comma 3 3 4 2 2" xfId="3508" xr:uid="{00000000-0005-0000-0000-00004B9C0000}"/>
    <cellStyle name="Comma 3 3 4 3" xfId="3509" xr:uid="{00000000-0005-0000-0000-00004C9C0000}"/>
    <cellStyle name="Comma 3 3 4 4" xfId="9064" xr:uid="{00000000-0005-0000-0000-00004D9C0000}"/>
    <cellStyle name="Comma 3 3 5" xfId="3510" xr:uid="{00000000-0005-0000-0000-00004E9C0000}"/>
    <cellStyle name="Comma 3 3 5 2" xfId="3511" xr:uid="{00000000-0005-0000-0000-00004F9C0000}"/>
    <cellStyle name="Comma 3 3 6" xfId="3512" xr:uid="{00000000-0005-0000-0000-0000509C0000}"/>
    <cellStyle name="Comma 3 3 7" xfId="3513" xr:uid="{00000000-0005-0000-0000-0000519C0000}"/>
    <cellStyle name="Comma 3 3 8" xfId="8777" xr:uid="{00000000-0005-0000-0000-0000529C0000}"/>
    <cellStyle name="Comma 3 4" xfId="3514" xr:uid="{00000000-0005-0000-0000-0000539C0000}"/>
    <cellStyle name="Comma 3 4 2" xfId="3515" xr:uid="{00000000-0005-0000-0000-0000549C0000}"/>
    <cellStyle name="Comma 3 4 2 2" xfId="3516" xr:uid="{00000000-0005-0000-0000-0000559C0000}"/>
    <cellStyle name="Comma 3 4 2 2 2" xfId="3517" xr:uid="{00000000-0005-0000-0000-0000569C0000}"/>
    <cellStyle name="Comma 3 4 2 2 2 2" xfId="3518" xr:uid="{00000000-0005-0000-0000-0000579C0000}"/>
    <cellStyle name="Comma 3 4 2 2 2 3" xfId="9065" xr:uid="{00000000-0005-0000-0000-0000589C0000}"/>
    <cellStyle name="Comma 3 4 2 2 3" xfId="3519" xr:uid="{00000000-0005-0000-0000-0000599C0000}"/>
    <cellStyle name="Comma 3 4 2 2 4" xfId="3520" xr:uid="{00000000-0005-0000-0000-00005A9C0000}"/>
    <cellStyle name="Comma 3 4 2 2 5" xfId="9066" xr:uid="{00000000-0005-0000-0000-00005B9C0000}"/>
    <cellStyle name="Comma 3 4 2 3" xfId="3521" xr:uid="{00000000-0005-0000-0000-00005C9C0000}"/>
    <cellStyle name="Comma 3 4 2 3 2" xfId="3522" xr:uid="{00000000-0005-0000-0000-00005D9C0000}"/>
    <cellStyle name="Comma 3 4 2 3 3" xfId="9067" xr:uid="{00000000-0005-0000-0000-00005E9C0000}"/>
    <cellStyle name="Comma 3 4 2 4" xfId="3523" xr:uid="{00000000-0005-0000-0000-00005F9C0000}"/>
    <cellStyle name="Comma 3 4 2 5" xfId="3524" xr:uid="{00000000-0005-0000-0000-0000609C0000}"/>
    <cellStyle name="Comma 3 4 2 6" xfId="9068" xr:uid="{00000000-0005-0000-0000-0000619C0000}"/>
    <cellStyle name="Comma 3 4 3" xfId="3525" xr:uid="{00000000-0005-0000-0000-0000629C0000}"/>
    <cellStyle name="Comma 3 4 3 2" xfId="3526" xr:uid="{00000000-0005-0000-0000-0000639C0000}"/>
    <cellStyle name="Comma 3 4 3 2 2" xfId="3527" xr:uid="{00000000-0005-0000-0000-0000649C0000}"/>
    <cellStyle name="Comma 3 4 3 2 3" xfId="9069" xr:uid="{00000000-0005-0000-0000-0000659C0000}"/>
    <cellStyle name="Comma 3 4 3 3" xfId="3528" xr:uid="{00000000-0005-0000-0000-0000669C0000}"/>
    <cellStyle name="Comma 3 4 3 4" xfId="3529" xr:uid="{00000000-0005-0000-0000-0000679C0000}"/>
    <cellStyle name="Comma 3 4 3 5" xfId="9070" xr:uid="{00000000-0005-0000-0000-0000689C0000}"/>
    <cellStyle name="Comma 3 4 4" xfId="3530" xr:uid="{00000000-0005-0000-0000-0000699C0000}"/>
    <cellStyle name="Comma 3 4 4 2" xfId="3531" xr:uid="{00000000-0005-0000-0000-00006A9C0000}"/>
    <cellStyle name="Comma 3 4 4 3" xfId="9071" xr:uid="{00000000-0005-0000-0000-00006B9C0000}"/>
    <cellStyle name="Comma 3 4 5" xfId="3532" xr:uid="{00000000-0005-0000-0000-00006C9C0000}"/>
    <cellStyle name="Comma 3 4 5 2" xfId="58845" xr:uid="{00000000-0005-0000-0000-00006D9C0000}"/>
    <cellStyle name="Comma 3 4 6" xfId="3533" xr:uid="{00000000-0005-0000-0000-00006E9C0000}"/>
    <cellStyle name="Comma 3 4 7" xfId="9072" xr:uid="{00000000-0005-0000-0000-00006F9C0000}"/>
    <cellStyle name="Comma 3 4 8" xfId="58846" xr:uid="{00000000-0005-0000-0000-0000709C0000}"/>
    <cellStyle name="Comma 3 5" xfId="3534" xr:uid="{00000000-0005-0000-0000-0000719C0000}"/>
    <cellStyle name="Comma 3 5 2" xfId="3535" xr:uid="{00000000-0005-0000-0000-0000729C0000}"/>
    <cellStyle name="Comma 3 5 2 2" xfId="3536" xr:uid="{00000000-0005-0000-0000-0000739C0000}"/>
    <cellStyle name="Comma 3 5 2 2 2" xfId="3537" xr:uid="{00000000-0005-0000-0000-0000749C0000}"/>
    <cellStyle name="Comma 3 5 2 2 2 2" xfId="3538" xr:uid="{00000000-0005-0000-0000-0000759C0000}"/>
    <cellStyle name="Comma 3 5 2 2 3" xfId="3539" xr:uid="{00000000-0005-0000-0000-0000769C0000}"/>
    <cellStyle name="Comma 3 5 2 2 4" xfId="9073" xr:uid="{00000000-0005-0000-0000-0000779C0000}"/>
    <cellStyle name="Comma 3 5 2 3" xfId="3540" xr:uid="{00000000-0005-0000-0000-0000789C0000}"/>
    <cellStyle name="Comma 3 5 2 3 2" xfId="3541" xr:uid="{00000000-0005-0000-0000-0000799C0000}"/>
    <cellStyle name="Comma 3 5 2 4" xfId="3542" xr:uid="{00000000-0005-0000-0000-00007A9C0000}"/>
    <cellStyle name="Comma 3 5 2 5" xfId="3543" xr:uid="{00000000-0005-0000-0000-00007B9C0000}"/>
    <cellStyle name="Comma 3 5 2 6" xfId="9074" xr:uid="{00000000-0005-0000-0000-00007C9C0000}"/>
    <cellStyle name="Comma 3 5 3" xfId="3544" xr:uid="{00000000-0005-0000-0000-00007D9C0000}"/>
    <cellStyle name="Comma 3 5 3 2" xfId="3545" xr:uid="{00000000-0005-0000-0000-00007E9C0000}"/>
    <cellStyle name="Comma 3 5 3 2 2" xfId="3546" xr:uid="{00000000-0005-0000-0000-00007F9C0000}"/>
    <cellStyle name="Comma 3 5 3 3" xfId="3547" xr:uid="{00000000-0005-0000-0000-0000809C0000}"/>
    <cellStyle name="Comma 3 5 3 4" xfId="9075" xr:uid="{00000000-0005-0000-0000-0000819C0000}"/>
    <cellStyle name="Comma 3 5 4" xfId="3548" xr:uid="{00000000-0005-0000-0000-0000829C0000}"/>
    <cellStyle name="Comma 3 5 4 2" xfId="3549" xr:uid="{00000000-0005-0000-0000-0000839C0000}"/>
    <cellStyle name="Comma 3 5 5" xfId="3550" xr:uid="{00000000-0005-0000-0000-0000849C0000}"/>
    <cellStyle name="Comma 3 5 6" xfId="3551" xr:uid="{00000000-0005-0000-0000-0000859C0000}"/>
    <cellStyle name="Comma 3 5 7" xfId="9076" xr:uid="{00000000-0005-0000-0000-0000869C0000}"/>
    <cellStyle name="Comma 3 6" xfId="3552" xr:uid="{00000000-0005-0000-0000-0000879C0000}"/>
    <cellStyle name="Comma 3 6 2" xfId="3553" xr:uid="{00000000-0005-0000-0000-0000889C0000}"/>
    <cellStyle name="Comma 3 6 2 2" xfId="3554" xr:uid="{00000000-0005-0000-0000-0000899C0000}"/>
    <cellStyle name="Comma 3 6 2 2 2" xfId="3555" xr:uid="{00000000-0005-0000-0000-00008A9C0000}"/>
    <cellStyle name="Comma 3 6 2 3" xfId="3556" xr:uid="{00000000-0005-0000-0000-00008B9C0000}"/>
    <cellStyle name="Comma 3 6 2 4" xfId="3557" xr:uid="{00000000-0005-0000-0000-00008C9C0000}"/>
    <cellStyle name="Comma 3 6 2 5" xfId="9077" xr:uid="{00000000-0005-0000-0000-00008D9C0000}"/>
    <cellStyle name="Comma 3 6 3" xfId="3558" xr:uid="{00000000-0005-0000-0000-00008E9C0000}"/>
    <cellStyle name="Comma 3 6 3 2" xfId="3559" xr:uid="{00000000-0005-0000-0000-00008F9C0000}"/>
    <cellStyle name="Comma 3 6 4" xfId="3560" xr:uid="{00000000-0005-0000-0000-0000909C0000}"/>
    <cellStyle name="Comma 3 6 5" xfId="3561" xr:uid="{00000000-0005-0000-0000-0000919C0000}"/>
    <cellStyle name="Comma 3 6 6" xfId="9078" xr:uid="{00000000-0005-0000-0000-0000929C0000}"/>
    <cellStyle name="Comma 3 7" xfId="3562" xr:uid="{00000000-0005-0000-0000-0000939C0000}"/>
    <cellStyle name="Comma 3 7 2" xfId="3563" xr:uid="{00000000-0005-0000-0000-0000949C0000}"/>
    <cellStyle name="Comma 3 7 2 2" xfId="3564" xr:uid="{00000000-0005-0000-0000-0000959C0000}"/>
    <cellStyle name="Comma 3 7 3" xfId="3565" xr:uid="{00000000-0005-0000-0000-0000969C0000}"/>
    <cellStyle name="Comma 3 7 4" xfId="3566" xr:uid="{00000000-0005-0000-0000-0000979C0000}"/>
    <cellStyle name="Comma 3 7 5" xfId="9079" xr:uid="{00000000-0005-0000-0000-0000989C0000}"/>
    <cellStyle name="Comma 3 8" xfId="3567" xr:uid="{00000000-0005-0000-0000-0000999C0000}"/>
    <cellStyle name="Comma 3 8 2" xfId="3568" xr:uid="{00000000-0005-0000-0000-00009A9C0000}"/>
    <cellStyle name="Comma 3 8 2 2" xfId="3569" xr:uid="{00000000-0005-0000-0000-00009B9C0000}"/>
    <cellStyle name="Comma 3 8 3" xfId="3570" xr:uid="{00000000-0005-0000-0000-00009C9C0000}"/>
    <cellStyle name="Comma 3 9" xfId="3571" xr:uid="{00000000-0005-0000-0000-00009D9C0000}"/>
    <cellStyle name="Comma 3 9 2" xfId="3572" xr:uid="{00000000-0005-0000-0000-00009E9C0000}"/>
    <cellStyle name="Comma 30" xfId="3573" xr:uid="{00000000-0005-0000-0000-00009F9C0000}"/>
    <cellStyle name="Comma 30 2" xfId="3574" xr:uid="{00000000-0005-0000-0000-0000A09C0000}"/>
    <cellStyle name="Comma 30 2 2" xfId="3575" xr:uid="{00000000-0005-0000-0000-0000A19C0000}"/>
    <cellStyle name="Comma 30 2 2 2" xfId="3576" xr:uid="{00000000-0005-0000-0000-0000A29C0000}"/>
    <cellStyle name="Comma 30 2 3" xfId="3577" xr:uid="{00000000-0005-0000-0000-0000A39C0000}"/>
    <cellStyle name="Comma 30 3" xfId="3578" xr:uid="{00000000-0005-0000-0000-0000A49C0000}"/>
    <cellStyle name="Comma 30 3 2" xfId="3579" xr:uid="{00000000-0005-0000-0000-0000A59C0000}"/>
    <cellStyle name="Comma 30 4" xfId="3580" xr:uid="{00000000-0005-0000-0000-0000A69C0000}"/>
    <cellStyle name="Comma 30 5" xfId="58847" xr:uid="{00000000-0005-0000-0000-0000A79C0000}"/>
    <cellStyle name="Comma 31" xfId="3581" xr:uid="{00000000-0005-0000-0000-0000A89C0000}"/>
    <cellStyle name="Comma 31 2" xfId="9608" xr:uid="{00000000-0005-0000-0000-0000A99C0000}"/>
    <cellStyle name="Comma 32" xfId="3582" xr:uid="{00000000-0005-0000-0000-0000AA9C0000}"/>
    <cellStyle name="Comma 33" xfId="3583" xr:uid="{00000000-0005-0000-0000-0000AB9C0000}"/>
    <cellStyle name="Comma 33 2" xfId="58848" xr:uid="{00000000-0005-0000-0000-0000AC9C0000}"/>
    <cellStyle name="Comma 34" xfId="3584" xr:uid="{00000000-0005-0000-0000-0000AD9C0000}"/>
    <cellStyle name="Comma 34 2" xfId="58849" xr:uid="{00000000-0005-0000-0000-0000AE9C0000}"/>
    <cellStyle name="Comma 35" xfId="3585" xr:uid="{00000000-0005-0000-0000-0000AF9C0000}"/>
    <cellStyle name="Comma 35 2" xfId="58850" xr:uid="{00000000-0005-0000-0000-0000B09C0000}"/>
    <cellStyle name="Comma 36" xfId="3586" xr:uid="{00000000-0005-0000-0000-0000B19C0000}"/>
    <cellStyle name="Comma 36 2" xfId="58851" xr:uid="{00000000-0005-0000-0000-0000B29C0000}"/>
    <cellStyle name="Comma 37" xfId="3587" xr:uid="{00000000-0005-0000-0000-0000B39C0000}"/>
    <cellStyle name="Comma 37 2" xfId="58852" xr:uid="{00000000-0005-0000-0000-0000B49C0000}"/>
    <cellStyle name="Comma 38" xfId="3588" xr:uid="{00000000-0005-0000-0000-0000B59C0000}"/>
    <cellStyle name="Comma 39" xfId="3589" xr:uid="{00000000-0005-0000-0000-0000B69C0000}"/>
    <cellStyle name="Comma 4" xfId="3590" xr:uid="{00000000-0005-0000-0000-0000B79C0000}"/>
    <cellStyle name="Comma 4 10" xfId="9080" xr:uid="{00000000-0005-0000-0000-0000B89C0000}"/>
    <cellStyle name="Comma 4 2" xfId="3591" xr:uid="{00000000-0005-0000-0000-0000B99C0000}"/>
    <cellStyle name="Comma 4 2 2" xfId="3592" xr:uid="{00000000-0005-0000-0000-0000BA9C0000}"/>
    <cellStyle name="Comma 4 2 2 2" xfId="3593" xr:uid="{00000000-0005-0000-0000-0000BB9C0000}"/>
    <cellStyle name="Comma 4 2 2 2 2" xfId="9081" xr:uid="{00000000-0005-0000-0000-0000BC9C0000}"/>
    <cellStyle name="Comma 4 2 2 2 2 2" xfId="58853" xr:uid="{00000000-0005-0000-0000-0000BD9C0000}"/>
    <cellStyle name="Comma 4 2 2 2 3" xfId="9082" xr:uid="{00000000-0005-0000-0000-0000BE9C0000}"/>
    <cellStyle name="Comma 4 2 2 2 4" xfId="58854" xr:uid="{00000000-0005-0000-0000-0000BF9C0000}"/>
    <cellStyle name="Comma 4 2 2 2 5" xfId="58855" xr:uid="{00000000-0005-0000-0000-0000C09C0000}"/>
    <cellStyle name="Comma 4 2 2 3" xfId="9083" xr:uid="{00000000-0005-0000-0000-0000C19C0000}"/>
    <cellStyle name="Comma 4 2 2 3 2" xfId="58856" xr:uid="{00000000-0005-0000-0000-0000C29C0000}"/>
    <cellStyle name="Comma 4 2 2 4" xfId="9084" xr:uid="{00000000-0005-0000-0000-0000C39C0000}"/>
    <cellStyle name="Comma 4 2 2 4 2" xfId="58857" xr:uid="{00000000-0005-0000-0000-0000C49C0000}"/>
    <cellStyle name="Comma 4 2 2 5" xfId="58858" xr:uid="{00000000-0005-0000-0000-0000C59C0000}"/>
    <cellStyle name="Comma 4 2 2 6" xfId="58859" xr:uid="{00000000-0005-0000-0000-0000C69C0000}"/>
    <cellStyle name="Comma 4 2 3" xfId="3594" xr:uid="{00000000-0005-0000-0000-0000C79C0000}"/>
    <cellStyle name="Comma 4 2 3 2" xfId="9085" xr:uid="{00000000-0005-0000-0000-0000C89C0000}"/>
    <cellStyle name="Comma 4 2 3 2 2" xfId="58860" xr:uid="{00000000-0005-0000-0000-0000C99C0000}"/>
    <cellStyle name="Comma 4 2 3 3" xfId="9086" xr:uid="{00000000-0005-0000-0000-0000CA9C0000}"/>
    <cellStyle name="Comma 4 2 3 3 2" xfId="58861" xr:uid="{00000000-0005-0000-0000-0000CB9C0000}"/>
    <cellStyle name="Comma 4 2 3 4" xfId="58862" xr:uid="{00000000-0005-0000-0000-0000CC9C0000}"/>
    <cellStyle name="Comma 4 2 3 5" xfId="58863" xr:uid="{00000000-0005-0000-0000-0000CD9C0000}"/>
    <cellStyle name="Comma 4 2 4" xfId="3595" xr:uid="{00000000-0005-0000-0000-0000CE9C0000}"/>
    <cellStyle name="Comma 4 2 4 2" xfId="9087" xr:uid="{00000000-0005-0000-0000-0000CF9C0000}"/>
    <cellStyle name="Comma 4 2 4 3" xfId="58864" xr:uid="{00000000-0005-0000-0000-0000D09C0000}"/>
    <cellStyle name="Comma 4 2 4 4" xfId="58865" xr:uid="{00000000-0005-0000-0000-0000D19C0000}"/>
    <cellStyle name="Comma 4 2 5" xfId="8780" xr:uid="{00000000-0005-0000-0000-0000D29C0000}"/>
    <cellStyle name="Comma 4 2 5 2" xfId="58866" xr:uid="{00000000-0005-0000-0000-0000D39C0000}"/>
    <cellStyle name="Comma 4 2 6" xfId="58867" xr:uid="{00000000-0005-0000-0000-0000D49C0000}"/>
    <cellStyle name="Comma 4 2 7" xfId="58868" xr:uid="{00000000-0005-0000-0000-0000D59C0000}"/>
    <cellStyle name="Comma 4 2 8" xfId="58869" xr:uid="{00000000-0005-0000-0000-0000D69C0000}"/>
    <cellStyle name="Comma 4 2 9" xfId="58870" xr:uid="{00000000-0005-0000-0000-0000D79C0000}"/>
    <cellStyle name="Comma 4 3" xfId="3596" xr:uid="{00000000-0005-0000-0000-0000D89C0000}"/>
    <cellStyle name="Comma 4 3 2" xfId="3597" xr:uid="{00000000-0005-0000-0000-0000D99C0000}"/>
    <cellStyle name="Comma 4 3 2 2" xfId="3598" xr:uid="{00000000-0005-0000-0000-0000DA9C0000}"/>
    <cellStyle name="Comma 4 3 2 2 2" xfId="3599" xr:uid="{00000000-0005-0000-0000-0000DB9C0000}"/>
    <cellStyle name="Comma 4 3 2 2 2 2" xfId="3600" xr:uid="{00000000-0005-0000-0000-0000DC9C0000}"/>
    <cellStyle name="Comma 4 3 2 2 2 2 2" xfId="3601" xr:uid="{00000000-0005-0000-0000-0000DD9C0000}"/>
    <cellStyle name="Comma 4 3 2 2 2 3" xfId="3602" xr:uid="{00000000-0005-0000-0000-0000DE9C0000}"/>
    <cellStyle name="Comma 4 3 2 2 3" xfId="3603" xr:uid="{00000000-0005-0000-0000-0000DF9C0000}"/>
    <cellStyle name="Comma 4 3 2 2 3 2" xfId="3604" xr:uid="{00000000-0005-0000-0000-0000E09C0000}"/>
    <cellStyle name="Comma 4 3 2 2 4" xfId="3605" xr:uid="{00000000-0005-0000-0000-0000E19C0000}"/>
    <cellStyle name="Comma 4 3 2 2 5" xfId="58871" xr:uid="{00000000-0005-0000-0000-0000E29C0000}"/>
    <cellStyle name="Comma 4 3 2 3" xfId="3606" xr:uid="{00000000-0005-0000-0000-0000E39C0000}"/>
    <cellStyle name="Comma 4 3 2 3 2" xfId="3607" xr:uid="{00000000-0005-0000-0000-0000E49C0000}"/>
    <cellStyle name="Comma 4 3 2 3 2 2" xfId="3608" xr:uid="{00000000-0005-0000-0000-0000E59C0000}"/>
    <cellStyle name="Comma 4 3 2 3 3" xfId="3609" xr:uid="{00000000-0005-0000-0000-0000E69C0000}"/>
    <cellStyle name="Comma 4 3 2 4" xfId="3610" xr:uid="{00000000-0005-0000-0000-0000E79C0000}"/>
    <cellStyle name="Comma 4 3 2 4 2" xfId="3611" xr:uid="{00000000-0005-0000-0000-0000E89C0000}"/>
    <cellStyle name="Comma 4 3 2 5" xfId="3612" xr:uid="{00000000-0005-0000-0000-0000E99C0000}"/>
    <cellStyle name="Comma 4 3 2 6" xfId="3613" xr:uid="{00000000-0005-0000-0000-0000EA9C0000}"/>
    <cellStyle name="Comma 4 3 2 7" xfId="58872" xr:uid="{00000000-0005-0000-0000-0000EB9C0000}"/>
    <cellStyle name="Comma 4 3 3" xfId="3614" xr:uid="{00000000-0005-0000-0000-0000EC9C0000}"/>
    <cellStyle name="Comma 4 3 3 2" xfId="3615" xr:uid="{00000000-0005-0000-0000-0000ED9C0000}"/>
    <cellStyle name="Comma 4 3 3 2 2" xfId="3616" xr:uid="{00000000-0005-0000-0000-0000EE9C0000}"/>
    <cellStyle name="Comma 4 3 3 2 2 2" xfId="3617" xr:uid="{00000000-0005-0000-0000-0000EF9C0000}"/>
    <cellStyle name="Comma 4 3 3 2 3" xfId="3618" xr:uid="{00000000-0005-0000-0000-0000F09C0000}"/>
    <cellStyle name="Comma 4 3 3 3" xfId="3619" xr:uid="{00000000-0005-0000-0000-0000F19C0000}"/>
    <cellStyle name="Comma 4 3 3 3 2" xfId="3620" xr:uid="{00000000-0005-0000-0000-0000F29C0000}"/>
    <cellStyle name="Comma 4 3 3 4" xfId="3621" xr:uid="{00000000-0005-0000-0000-0000F39C0000}"/>
    <cellStyle name="Comma 4 3 3 5" xfId="58873" xr:uid="{00000000-0005-0000-0000-0000F49C0000}"/>
    <cellStyle name="Comma 4 3 4" xfId="3622" xr:uid="{00000000-0005-0000-0000-0000F59C0000}"/>
    <cellStyle name="Comma 4 3 4 2" xfId="3623" xr:uid="{00000000-0005-0000-0000-0000F69C0000}"/>
    <cellStyle name="Comma 4 3 4 2 2" xfId="3624" xr:uid="{00000000-0005-0000-0000-0000F79C0000}"/>
    <cellStyle name="Comma 4 3 4 3" xfId="3625" xr:uid="{00000000-0005-0000-0000-0000F89C0000}"/>
    <cellStyle name="Comma 4 3 5" xfId="3626" xr:uid="{00000000-0005-0000-0000-0000F99C0000}"/>
    <cellStyle name="Comma 4 3 5 2" xfId="3627" xr:uid="{00000000-0005-0000-0000-0000FA9C0000}"/>
    <cellStyle name="Comma 4 3 6" xfId="3628" xr:uid="{00000000-0005-0000-0000-0000FB9C0000}"/>
    <cellStyle name="Comma 4 3 7" xfId="3629" xr:uid="{00000000-0005-0000-0000-0000FC9C0000}"/>
    <cellStyle name="Comma 4 3 8" xfId="9088" xr:uid="{00000000-0005-0000-0000-0000FD9C0000}"/>
    <cellStyle name="Comma 4 4" xfId="3630" xr:uid="{00000000-0005-0000-0000-0000FE9C0000}"/>
    <cellStyle name="Comma 4 4 2" xfId="3631" xr:uid="{00000000-0005-0000-0000-0000FF9C0000}"/>
    <cellStyle name="Comma 4 4 2 2" xfId="3632" xr:uid="{00000000-0005-0000-0000-0000009D0000}"/>
    <cellStyle name="Comma 4 4 2 2 2" xfId="3633" xr:uid="{00000000-0005-0000-0000-0000019D0000}"/>
    <cellStyle name="Comma 4 4 2 2 2 2" xfId="3634" xr:uid="{00000000-0005-0000-0000-0000029D0000}"/>
    <cellStyle name="Comma 4 4 2 2 3" xfId="3635" xr:uid="{00000000-0005-0000-0000-0000039D0000}"/>
    <cellStyle name="Comma 4 4 2 2 4" xfId="9089" xr:uid="{00000000-0005-0000-0000-0000049D0000}"/>
    <cellStyle name="Comma 4 4 2 3" xfId="3636" xr:uid="{00000000-0005-0000-0000-0000059D0000}"/>
    <cellStyle name="Comma 4 4 2 3 2" xfId="3637" xr:uid="{00000000-0005-0000-0000-0000069D0000}"/>
    <cellStyle name="Comma 4 4 2 4" xfId="3638" xr:uid="{00000000-0005-0000-0000-0000079D0000}"/>
    <cellStyle name="Comma 4 4 2 5" xfId="9090" xr:uid="{00000000-0005-0000-0000-0000089D0000}"/>
    <cellStyle name="Comma 4 4 3" xfId="3639" xr:uid="{00000000-0005-0000-0000-0000099D0000}"/>
    <cellStyle name="Comma 4 4 3 2" xfId="3640" xr:uid="{00000000-0005-0000-0000-00000A9D0000}"/>
    <cellStyle name="Comma 4 4 3 2 2" xfId="3641" xr:uid="{00000000-0005-0000-0000-00000B9D0000}"/>
    <cellStyle name="Comma 4 4 3 3" xfId="3642" xr:uid="{00000000-0005-0000-0000-00000C9D0000}"/>
    <cellStyle name="Comma 4 4 3 4" xfId="9091" xr:uid="{00000000-0005-0000-0000-00000D9D0000}"/>
    <cellStyle name="Comma 4 4 4" xfId="3643" xr:uid="{00000000-0005-0000-0000-00000E9D0000}"/>
    <cellStyle name="Comma 4 4 4 2" xfId="3644" xr:uid="{00000000-0005-0000-0000-00000F9D0000}"/>
    <cellStyle name="Comma 4 4 5" xfId="3645" xr:uid="{00000000-0005-0000-0000-0000109D0000}"/>
    <cellStyle name="Comma 4 4 6" xfId="3646" xr:uid="{00000000-0005-0000-0000-0000119D0000}"/>
    <cellStyle name="Comma 4 4 7" xfId="9092" xr:uid="{00000000-0005-0000-0000-0000129D0000}"/>
    <cellStyle name="Comma 4 5" xfId="3647" xr:uid="{00000000-0005-0000-0000-0000139D0000}"/>
    <cellStyle name="Comma 4 5 2" xfId="3648" xr:uid="{00000000-0005-0000-0000-0000149D0000}"/>
    <cellStyle name="Comma 4 5 2 2" xfId="3649" xr:uid="{00000000-0005-0000-0000-0000159D0000}"/>
    <cellStyle name="Comma 4 5 2 2 2" xfId="3650" xr:uid="{00000000-0005-0000-0000-0000169D0000}"/>
    <cellStyle name="Comma 4 5 2 3" xfId="3651" xr:uid="{00000000-0005-0000-0000-0000179D0000}"/>
    <cellStyle name="Comma 4 5 2 4" xfId="9093" xr:uid="{00000000-0005-0000-0000-0000189D0000}"/>
    <cellStyle name="Comma 4 5 3" xfId="3652" xr:uid="{00000000-0005-0000-0000-0000199D0000}"/>
    <cellStyle name="Comma 4 5 3 2" xfId="3653" xr:uid="{00000000-0005-0000-0000-00001A9D0000}"/>
    <cellStyle name="Comma 4 5 4" xfId="3654" xr:uid="{00000000-0005-0000-0000-00001B9D0000}"/>
    <cellStyle name="Comma 4 5 5" xfId="9094" xr:uid="{00000000-0005-0000-0000-00001C9D0000}"/>
    <cellStyle name="Comma 4 6" xfId="3655" xr:uid="{00000000-0005-0000-0000-00001D9D0000}"/>
    <cellStyle name="Comma 4 6 2" xfId="3656" xr:uid="{00000000-0005-0000-0000-00001E9D0000}"/>
    <cellStyle name="Comma 4 6 2 2" xfId="3657" xr:uid="{00000000-0005-0000-0000-00001F9D0000}"/>
    <cellStyle name="Comma 4 6 3" xfId="3658" xr:uid="{00000000-0005-0000-0000-0000209D0000}"/>
    <cellStyle name="Comma 4 6 4" xfId="9095" xr:uid="{00000000-0005-0000-0000-0000219D0000}"/>
    <cellStyle name="Comma 4 7" xfId="3659" xr:uid="{00000000-0005-0000-0000-0000229D0000}"/>
    <cellStyle name="Comma 4 7 2" xfId="3660" xr:uid="{00000000-0005-0000-0000-0000239D0000}"/>
    <cellStyle name="Comma 4 8" xfId="3661" xr:uid="{00000000-0005-0000-0000-0000249D0000}"/>
    <cellStyle name="Comma 4 9" xfId="3662" xr:uid="{00000000-0005-0000-0000-0000259D0000}"/>
    <cellStyle name="Comma 4_183302" xfId="8769" xr:uid="{00000000-0005-0000-0000-0000269D0000}"/>
    <cellStyle name="Comma 40" xfId="3663" xr:uid="{00000000-0005-0000-0000-0000279D0000}"/>
    <cellStyle name="Comma 41" xfId="3664" xr:uid="{00000000-0005-0000-0000-0000289D0000}"/>
    <cellStyle name="Comma 42" xfId="3665" xr:uid="{00000000-0005-0000-0000-0000299D0000}"/>
    <cellStyle name="Comma 43" xfId="3666" xr:uid="{00000000-0005-0000-0000-00002A9D0000}"/>
    <cellStyle name="Comma 44" xfId="3667" xr:uid="{00000000-0005-0000-0000-00002B9D0000}"/>
    <cellStyle name="Comma 45" xfId="3668" xr:uid="{00000000-0005-0000-0000-00002C9D0000}"/>
    <cellStyle name="Comma 46" xfId="3669" xr:uid="{00000000-0005-0000-0000-00002D9D0000}"/>
    <cellStyle name="Comma 47" xfId="3670" xr:uid="{00000000-0005-0000-0000-00002E9D0000}"/>
    <cellStyle name="Comma 48" xfId="3671" xr:uid="{00000000-0005-0000-0000-00002F9D0000}"/>
    <cellStyle name="Comma 49" xfId="3672" xr:uid="{00000000-0005-0000-0000-0000309D0000}"/>
    <cellStyle name="Comma 5" xfId="3673" xr:uid="{00000000-0005-0000-0000-0000319D0000}"/>
    <cellStyle name="Comma 5 2" xfId="3674" xr:uid="{00000000-0005-0000-0000-0000329D0000}"/>
    <cellStyle name="Comma 5 2 2" xfId="3675" xr:uid="{00000000-0005-0000-0000-0000339D0000}"/>
    <cellStyle name="Comma 5 2 3" xfId="3676" xr:uid="{00000000-0005-0000-0000-0000349D0000}"/>
    <cellStyle name="Comma 5 3" xfId="9609" xr:uid="{00000000-0005-0000-0000-0000359D0000}"/>
    <cellStyle name="Comma 5 3 2" xfId="44768" xr:uid="{00000000-0005-0000-0000-0000369D0000}"/>
    <cellStyle name="Comma 50" xfId="3677" xr:uid="{00000000-0005-0000-0000-0000379D0000}"/>
    <cellStyle name="Comma 50 2" xfId="58874" xr:uid="{00000000-0005-0000-0000-0000389D0000}"/>
    <cellStyle name="Comma 51" xfId="3678" xr:uid="{00000000-0005-0000-0000-0000399D0000}"/>
    <cellStyle name="Comma 52" xfId="3679" xr:uid="{00000000-0005-0000-0000-00003A9D0000}"/>
    <cellStyle name="Comma 53" xfId="3680" xr:uid="{00000000-0005-0000-0000-00003B9D0000}"/>
    <cellStyle name="Comma 54" xfId="3681" xr:uid="{00000000-0005-0000-0000-00003C9D0000}"/>
    <cellStyle name="Comma 55" xfId="3682" xr:uid="{00000000-0005-0000-0000-00003D9D0000}"/>
    <cellStyle name="Comma 56" xfId="3683" xr:uid="{00000000-0005-0000-0000-00003E9D0000}"/>
    <cellStyle name="Comma 57" xfId="3684" xr:uid="{00000000-0005-0000-0000-00003F9D0000}"/>
    <cellStyle name="Comma 58" xfId="3685" xr:uid="{00000000-0005-0000-0000-0000409D0000}"/>
    <cellStyle name="Comma 59" xfId="3686" xr:uid="{00000000-0005-0000-0000-0000419D0000}"/>
    <cellStyle name="Comma 6" xfId="3687" xr:uid="{00000000-0005-0000-0000-0000429D0000}"/>
    <cellStyle name="Comma 6 10" xfId="44769" xr:uid="{00000000-0005-0000-0000-0000439D0000}"/>
    <cellStyle name="Comma 6 10 2" xfId="44770" xr:uid="{00000000-0005-0000-0000-0000449D0000}"/>
    <cellStyle name="Comma 6 10 2 2" xfId="44771" xr:uid="{00000000-0005-0000-0000-0000459D0000}"/>
    <cellStyle name="Comma 6 10 2 3" xfId="44772" xr:uid="{00000000-0005-0000-0000-0000469D0000}"/>
    <cellStyle name="Comma 6 10 3" xfId="44773" xr:uid="{00000000-0005-0000-0000-0000479D0000}"/>
    <cellStyle name="Comma 6 10 3 2" xfId="44774" xr:uid="{00000000-0005-0000-0000-0000489D0000}"/>
    <cellStyle name="Comma 6 10 4" xfId="44775" xr:uid="{00000000-0005-0000-0000-0000499D0000}"/>
    <cellStyle name="Comma 6 10 5" xfId="44776" xr:uid="{00000000-0005-0000-0000-00004A9D0000}"/>
    <cellStyle name="Comma 6 11" xfId="44777" xr:uid="{00000000-0005-0000-0000-00004B9D0000}"/>
    <cellStyle name="Comma 6 11 2" xfId="44778" xr:uid="{00000000-0005-0000-0000-00004C9D0000}"/>
    <cellStyle name="Comma 6 11 3" xfId="44779" xr:uid="{00000000-0005-0000-0000-00004D9D0000}"/>
    <cellStyle name="Comma 6 12" xfId="44780" xr:uid="{00000000-0005-0000-0000-00004E9D0000}"/>
    <cellStyle name="Comma 6 12 2" xfId="44781" xr:uid="{00000000-0005-0000-0000-00004F9D0000}"/>
    <cellStyle name="Comma 6 12 3" xfId="44782" xr:uid="{00000000-0005-0000-0000-0000509D0000}"/>
    <cellStyle name="Comma 6 13" xfId="44783" xr:uid="{00000000-0005-0000-0000-0000519D0000}"/>
    <cellStyle name="Comma 6 13 2" xfId="44784" xr:uid="{00000000-0005-0000-0000-0000529D0000}"/>
    <cellStyle name="Comma 6 14" xfId="44785" xr:uid="{00000000-0005-0000-0000-0000539D0000}"/>
    <cellStyle name="Comma 6 15" xfId="44786" xr:uid="{00000000-0005-0000-0000-0000549D0000}"/>
    <cellStyle name="Comma 6 16" xfId="44787" xr:uid="{00000000-0005-0000-0000-0000559D0000}"/>
    <cellStyle name="Comma 6 2" xfId="3688" xr:uid="{00000000-0005-0000-0000-0000569D0000}"/>
    <cellStyle name="Comma 6 2 10" xfId="44788" xr:uid="{00000000-0005-0000-0000-0000579D0000}"/>
    <cellStyle name="Comma 6 2 10 2" xfId="44789" xr:uid="{00000000-0005-0000-0000-0000589D0000}"/>
    <cellStyle name="Comma 6 2 10 3" xfId="44790" xr:uid="{00000000-0005-0000-0000-0000599D0000}"/>
    <cellStyle name="Comma 6 2 11" xfId="44791" xr:uid="{00000000-0005-0000-0000-00005A9D0000}"/>
    <cellStyle name="Comma 6 2 11 2" xfId="44792" xr:uid="{00000000-0005-0000-0000-00005B9D0000}"/>
    <cellStyle name="Comma 6 2 11 3" xfId="44793" xr:uid="{00000000-0005-0000-0000-00005C9D0000}"/>
    <cellStyle name="Comma 6 2 12" xfId="44794" xr:uid="{00000000-0005-0000-0000-00005D9D0000}"/>
    <cellStyle name="Comma 6 2 12 2" xfId="44795" xr:uid="{00000000-0005-0000-0000-00005E9D0000}"/>
    <cellStyle name="Comma 6 2 13" xfId="44796" xr:uid="{00000000-0005-0000-0000-00005F9D0000}"/>
    <cellStyle name="Comma 6 2 14" xfId="44797" xr:uid="{00000000-0005-0000-0000-0000609D0000}"/>
    <cellStyle name="Comma 6 2 15" xfId="44798" xr:uid="{00000000-0005-0000-0000-0000619D0000}"/>
    <cellStyle name="Comma 6 2 2" xfId="8364" xr:uid="{00000000-0005-0000-0000-0000629D0000}"/>
    <cellStyle name="Comma 6 2 2 10" xfId="44799" xr:uid="{00000000-0005-0000-0000-0000639D0000}"/>
    <cellStyle name="Comma 6 2 2 10 2" xfId="44800" xr:uid="{00000000-0005-0000-0000-0000649D0000}"/>
    <cellStyle name="Comma 6 2 2 10 3" xfId="44801" xr:uid="{00000000-0005-0000-0000-0000659D0000}"/>
    <cellStyle name="Comma 6 2 2 11" xfId="44802" xr:uid="{00000000-0005-0000-0000-0000669D0000}"/>
    <cellStyle name="Comma 6 2 2 11 2" xfId="44803" xr:uid="{00000000-0005-0000-0000-0000679D0000}"/>
    <cellStyle name="Comma 6 2 2 12" xfId="44804" xr:uid="{00000000-0005-0000-0000-0000689D0000}"/>
    <cellStyle name="Comma 6 2 2 13" xfId="44805" xr:uid="{00000000-0005-0000-0000-0000699D0000}"/>
    <cellStyle name="Comma 6 2 2 14" xfId="44806" xr:uid="{00000000-0005-0000-0000-00006A9D0000}"/>
    <cellStyle name="Comma 6 2 2 2" xfId="9610" xr:uid="{00000000-0005-0000-0000-00006B9D0000}"/>
    <cellStyle name="Comma 6 2 2 2 10" xfId="44807" xr:uid="{00000000-0005-0000-0000-00006C9D0000}"/>
    <cellStyle name="Comma 6 2 2 2 10 2" xfId="44808" xr:uid="{00000000-0005-0000-0000-00006D9D0000}"/>
    <cellStyle name="Comma 6 2 2 2 11" xfId="44809" xr:uid="{00000000-0005-0000-0000-00006E9D0000}"/>
    <cellStyle name="Comma 6 2 2 2 12" xfId="44810" xr:uid="{00000000-0005-0000-0000-00006F9D0000}"/>
    <cellStyle name="Comma 6 2 2 2 13" xfId="44811" xr:uid="{00000000-0005-0000-0000-0000709D0000}"/>
    <cellStyle name="Comma 6 2 2 2 2" xfId="44812" xr:uid="{00000000-0005-0000-0000-0000719D0000}"/>
    <cellStyle name="Comma 6 2 2 2 2 10" xfId="44813" xr:uid="{00000000-0005-0000-0000-0000729D0000}"/>
    <cellStyle name="Comma 6 2 2 2 2 2" xfId="44814" xr:uid="{00000000-0005-0000-0000-0000739D0000}"/>
    <cellStyle name="Comma 6 2 2 2 2 2 2" xfId="44815" xr:uid="{00000000-0005-0000-0000-0000749D0000}"/>
    <cellStyle name="Comma 6 2 2 2 2 2 2 2" xfId="44816" xr:uid="{00000000-0005-0000-0000-0000759D0000}"/>
    <cellStyle name="Comma 6 2 2 2 2 2 2 2 2" xfId="44817" xr:uid="{00000000-0005-0000-0000-0000769D0000}"/>
    <cellStyle name="Comma 6 2 2 2 2 2 2 2 3" xfId="44818" xr:uid="{00000000-0005-0000-0000-0000779D0000}"/>
    <cellStyle name="Comma 6 2 2 2 2 2 2 3" xfId="44819" xr:uid="{00000000-0005-0000-0000-0000789D0000}"/>
    <cellStyle name="Comma 6 2 2 2 2 2 2 3 2" xfId="44820" xr:uid="{00000000-0005-0000-0000-0000799D0000}"/>
    <cellStyle name="Comma 6 2 2 2 2 2 2 3 3" xfId="44821" xr:uid="{00000000-0005-0000-0000-00007A9D0000}"/>
    <cellStyle name="Comma 6 2 2 2 2 2 2 4" xfId="44822" xr:uid="{00000000-0005-0000-0000-00007B9D0000}"/>
    <cellStyle name="Comma 6 2 2 2 2 2 2 4 2" xfId="44823" xr:uid="{00000000-0005-0000-0000-00007C9D0000}"/>
    <cellStyle name="Comma 6 2 2 2 2 2 2 5" xfId="44824" xr:uid="{00000000-0005-0000-0000-00007D9D0000}"/>
    <cellStyle name="Comma 6 2 2 2 2 2 2 6" xfId="44825" xr:uid="{00000000-0005-0000-0000-00007E9D0000}"/>
    <cellStyle name="Comma 6 2 2 2 2 2 3" xfId="44826" xr:uid="{00000000-0005-0000-0000-00007F9D0000}"/>
    <cellStyle name="Comma 6 2 2 2 2 2 3 2" xfId="44827" xr:uid="{00000000-0005-0000-0000-0000809D0000}"/>
    <cellStyle name="Comma 6 2 2 2 2 2 3 2 2" xfId="44828" xr:uid="{00000000-0005-0000-0000-0000819D0000}"/>
    <cellStyle name="Comma 6 2 2 2 2 2 3 2 3" xfId="44829" xr:uid="{00000000-0005-0000-0000-0000829D0000}"/>
    <cellStyle name="Comma 6 2 2 2 2 2 3 3" xfId="44830" xr:uid="{00000000-0005-0000-0000-0000839D0000}"/>
    <cellStyle name="Comma 6 2 2 2 2 2 3 3 2" xfId="44831" xr:uid="{00000000-0005-0000-0000-0000849D0000}"/>
    <cellStyle name="Comma 6 2 2 2 2 2 3 3 3" xfId="44832" xr:uid="{00000000-0005-0000-0000-0000859D0000}"/>
    <cellStyle name="Comma 6 2 2 2 2 2 3 4" xfId="44833" xr:uid="{00000000-0005-0000-0000-0000869D0000}"/>
    <cellStyle name="Comma 6 2 2 2 2 2 3 4 2" xfId="44834" xr:uid="{00000000-0005-0000-0000-0000879D0000}"/>
    <cellStyle name="Comma 6 2 2 2 2 2 3 5" xfId="44835" xr:uid="{00000000-0005-0000-0000-0000889D0000}"/>
    <cellStyle name="Comma 6 2 2 2 2 2 3 6" xfId="44836" xr:uid="{00000000-0005-0000-0000-0000899D0000}"/>
    <cellStyle name="Comma 6 2 2 2 2 2 4" xfId="44837" xr:uid="{00000000-0005-0000-0000-00008A9D0000}"/>
    <cellStyle name="Comma 6 2 2 2 2 2 4 2" xfId="44838" xr:uid="{00000000-0005-0000-0000-00008B9D0000}"/>
    <cellStyle name="Comma 6 2 2 2 2 2 4 2 2" xfId="44839" xr:uid="{00000000-0005-0000-0000-00008C9D0000}"/>
    <cellStyle name="Comma 6 2 2 2 2 2 4 2 3" xfId="44840" xr:uid="{00000000-0005-0000-0000-00008D9D0000}"/>
    <cellStyle name="Comma 6 2 2 2 2 2 4 3" xfId="44841" xr:uid="{00000000-0005-0000-0000-00008E9D0000}"/>
    <cellStyle name="Comma 6 2 2 2 2 2 4 3 2" xfId="44842" xr:uid="{00000000-0005-0000-0000-00008F9D0000}"/>
    <cellStyle name="Comma 6 2 2 2 2 2 4 4" xfId="44843" xr:uid="{00000000-0005-0000-0000-0000909D0000}"/>
    <cellStyle name="Comma 6 2 2 2 2 2 4 5" xfId="44844" xr:uid="{00000000-0005-0000-0000-0000919D0000}"/>
    <cellStyle name="Comma 6 2 2 2 2 2 5" xfId="44845" xr:uid="{00000000-0005-0000-0000-0000929D0000}"/>
    <cellStyle name="Comma 6 2 2 2 2 2 5 2" xfId="44846" xr:uid="{00000000-0005-0000-0000-0000939D0000}"/>
    <cellStyle name="Comma 6 2 2 2 2 2 5 3" xfId="44847" xr:uid="{00000000-0005-0000-0000-0000949D0000}"/>
    <cellStyle name="Comma 6 2 2 2 2 2 6" xfId="44848" xr:uid="{00000000-0005-0000-0000-0000959D0000}"/>
    <cellStyle name="Comma 6 2 2 2 2 2 6 2" xfId="44849" xr:uid="{00000000-0005-0000-0000-0000969D0000}"/>
    <cellStyle name="Comma 6 2 2 2 2 2 6 3" xfId="44850" xr:uid="{00000000-0005-0000-0000-0000979D0000}"/>
    <cellStyle name="Comma 6 2 2 2 2 2 7" xfId="44851" xr:uid="{00000000-0005-0000-0000-0000989D0000}"/>
    <cellStyle name="Comma 6 2 2 2 2 2 7 2" xfId="44852" xr:uid="{00000000-0005-0000-0000-0000999D0000}"/>
    <cellStyle name="Comma 6 2 2 2 2 2 8" xfId="44853" xr:uid="{00000000-0005-0000-0000-00009A9D0000}"/>
    <cellStyle name="Comma 6 2 2 2 2 2 9" xfId="44854" xr:uid="{00000000-0005-0000-0000-00009B9D0000}"/>
    <cellStyle name="Comma 6 2 2 2 2 3" xfId="44855" xr:uid="{00000000-0005-0000-0000-00009C9D0000}"/>
    <cellStyle name="Comma 6 2 2 2 2 3 2" xfId="44856" xr:uid="{00000000-0005-0000-0000-00009D9D0000}"/>
    <cellStyle name="Comma 6 2 2 2 2 3 2 2" xfId="44857" xr:uid="{00000000-0005-0000-0000-00009E9D0000}"/>
    <cellStyle name="Comma 6 2 2 2 2 3 2 3" xfId="44858" xr:uid="{00000000-0005-0000-0000-00009F9D0000}"/>
    <cellStyle name="Comma 6 2 2 2 2 3 3" xfId="44859" xr:uid="{00000000-0005-0000-0000-0000A09D0000}"/>
    <cellStyle name="Comma 6 2 2 2 2 3 3 2" xfId="44860" xr:uid="{00000000-0005-0000-0000-0000A19D0000}"/>
    <cellStyle name="Comma 6 2 2 2 2 3 3 3" xfId="44861" xr:uid="{00000000-0005-0000-0000-0000A29D0000}"/>
    <cellStyle name="Comma 6 2 2 2 2 3 4" xfId="44862" xr:uid="{00000000-0005-0000-0000-0000A39D0000}"/>
    <cellStyle name="Comma 6 2 2 2 2 3 4 2" xfId="44863" xr:uid="{00000000-0005-0000-0000-0000A49D0000}"/>
    <cellStyle name="Comma 6 2 2 2 2 3 5" xfId="44864" xr:uid="{00000000-0005-0000-0000-0000A59D0000}"/>
    <cellStyle name="Comma 6 2 2 2 2 3 6" xfId="44865" xr:uid="{00000000-0005-0000-0000-0000A69D0000}"/>
    <cellStyle name="Comma 6 2 2 2 2 4" xfId="44866" xr:uid="{00000000-0005-0000-0000-0000A79D0000}"/>
    <cellStyle name="Comma 6 2 2 2 2 4 2" xfId="44867" xr:uid="{00000000-0005-0000-0000-0000A89D0000}"/>
    <cellStyle name="Comma 6 2 2 2 2 4 2 2" xfId="44868" xr:uid="{00000000-0005-0000-0000-0000A99D0000}"/>
    <cellStyle name="Comma 6 2 2 2 2 4 2 3" xfId="44869" xr:uid="{00000000-0005-0000-0000-0000AA9D0000}"/>
    <cellStyle name="Comma 6 2 2 2 2 4 3" xfId="44870" xr:uid="{00000000-0005-0000-0000-0000AB9D0000}"/>
    <cellStyle name="Comma 6 2 2 2 2 4 3 2" xfId="44871" xr:uid="{00000000-0005-0000-0000-0000AC9D0000}"/>
    <cellStyle name="Comma 6 2 2 2 2 4 3 3" xfId="44872" xr:uid="{00000000-0005-0000-0000-0000AD9D0000}"/>
    <cellStyle name="Comma 6 2 2 2 2 4 4" xfId="44873" xr:uid="{00000000-0005-0000-0000-0000AE9D0000}"/>
    <cellStyle name="Comma 6 2 2 2 2 4 4 2" xfId="44874" xr:uid="{00000000-0005-0000-0000-0000AF9D0000}"/>
    <cellStyle name="Comma 6 2 2 2 2 4 5" xfId="44875" xr:uid="{00000000-0005-0000-0000-0000B09D0000}"/>
    <cellStyle name="Comma 6 2 2 2 2 4 6" xfId="44876" xr:uid="{00000000-0005-0000-0000-0000B19D0000}"/>
    <cellStyle name="Comma 6 2 2 2 2 5" xfId="44877" xr:uid="{00000000-0005-0000-0000-0000B29D0000}"/>
    <cellStyle name="Comma 6 2 2 2 2 5 2" xfId="44878" xr:uid="{00000000-0005-0000-0000-0000B39D0000}"/>
    <cellStyle name="Comma 6 2 2 2 2 5 2 2" xfId="44879" xr:uid="{00000000-0005-0000-0000-0000B49D0000}"/>
    <cellStyle name="Comma 6 2 2 2 2 5 2 3" xfId="44880" xr:uid="{00000000-0005-0000-0000-0000B59D0000}"/>
    <cellStyle name="Comma 6 2 2 2 2 5 3" xfId="44881" xr:uid="{00000000-0005-0000-0000-0000B69D0000}"/>
    <cellStyle name="Comma 6 2 2 2 2 5 3 2" xfId="44882" xr:uid="{00000000-0005-0000-0000-0000B79D0000}"/>
    <cellStyle name="Comma 6 2 2 2 2 5 4" xfId="44883" xr:uid="{00000000-0005-0000-0000-0000B89D0000}"/>
    <cellStyle name="Comma 6 2 2 2 2 5 5" xfId="44884" xr:uid="{00000000-0005-0000-0000-0000B99D0000}"/>
    <cellStyle name="Comma 6 2 2 2 2 6" xfId="44885" xr:uid="{00000000-0005-0000-0000-0000BA9D0000}"/>
    <cellStyle name="Comma 6 2 2 2 2 6 2" xfId="44886" xr:uid="{00000000-0005-0000-0000-0000BB9D0000}"/>
    <cellStyle name="Comma 6 2 2 2 2 6 3" xfId="44887" xr:uid="{00000000-0005-0000-0000-0000BC9D0000}"/>
    <cellStyle name="Comma 6 2 2 2 2 7" xfId="44888" xr:uid="{00000000-0005-0000-0000-0000BD9D0000}"/>
    <cellStyle name="Comma 6 2 2 2 2 7 2" xfId="44889" xr:uid="{00000000-0005-0000-0000-0000BE9D0000}"/>
    <cellStyle name="Comma 6 2 2 2 2 7 3" xfId="44890" xr:uid="{00000000-0005-0000-0000-0000BF9D0000}"/>
    <cellStyle name="Comma 6 2 2 2 2 8" xfId="44891" xr:uid="{00000000-0005-0000-0000-0000C09D0000}"/>
    <cellStyle name="Comma 6 2 2 2 2 8 2" xfId="44892" xr:uid="{00000000-0005-0000-0000-0000C19D0000}"/>
    <cellStyle name="Comma 6 2 2 2 2 9" xfId="44893" xr:uid="{00000000-0005-0000-0000-0000C29D0000}"/>
    <cellStyle name="Comma 6 2 2 2 3" xfId="44894" xr:uid="{00000000-0005-0000-0000-0000C39D0000}"/>
    <cellStyle name="Comma 6 2 2 2 3 2" xfId="44895" xr:uid="{00000000-0005-0000-0000-0000C49D0000}"/>
    <cellStyle name="Comma 6 2 2 2 3 2 2" xfId="44896" xr:uid="{00000000-0005-0000-0000-0000C59D0000}"/>
    <cellStyle name="Comma 6 2 2 2 3 2 2 2" xfId="44897" xr:uid="{00000000-0005-0000-0000-0000C69D0000}"/>
    <cellStyle name="Comma 6 2 2 2 3 2 2 3" xfId="44898" xr:uid="{00000000-0005-0000-0000-0000C79D0000}"/>
    <cellStyle name="Comma 6 2 2 2 3 2 3" xfId="44899" xr:uid="{00000000-0005-0000-0000-0000C89D0000}"/>
    <cellStyle name="Comma 6 2 2 2 3 2 3 2" xfId="44900" xr:uid="{00000000-0005-0000-0000-0000C99D0000}"/>
    <cellStyle name="Comma 6 2 2 2 3 2 3 3" xfId="44901" xr:uid="{00000000-0005-0000-0000-0000CA9D0000}"/>
    <cellStyle name="Comma 6 2 2 2 3 2 4" xfId="44902" xr:uid="{00000000-0005-0000-0000-0000CB9D0000}"/>
    <cellStyle name="Comma 6 2 2 2 3 2 4 2" xfId="44903" xr:uid="{00000000-0005-0000-0000-0000CC9D0000}"/>
    <cellStyle name="Comma 6 2 2 2 3 2 5" xfId="44904" xr:uid="{00000000-0005-0000-0000-0000CD9D0000}"/>
    <cellStyle name="Comma 6 2 2 2 3 2 6" xfId="44905" xr:uid="{00000000-0005-0000-0000-0000CE9D0000}"/>
    <cellStyle name="Comma 6 2 2 2 3 3" xfId="44906" xr:uid="{00000000-0005-0000-0000-0000CF9D0000}"/>
    <cellStyle name="Comma 6 2 2 2 3 3 2" xfId="44907" xr:uid="{00000000-0005-0000-0000-0000D09D0000}"/>
    <cellStyle name="Comma 6 2 2 2 3 3 2 2" xfId="44908" xr:uid="{00000000-0005-0000-0000-0000D19D0000}"/>
    <cellStyle name="Comma 6 2 2 2 3 3 2 3" xfId="44909" xr:uid="{00000000-0005-0000-0000-0000D29D0000}"/>
    <cellStyle name="Comma 6 2 2 2 3 3 3" xfId="44910" xr:uid="{00000000-0005-0000-0000-0000D39D0000}"/>
    <cellStyle name="Comma 6 2 2 2 3 3 3 2" xfId="44911" xr:uid="{00000000-0005-0000-0000-0000D49D0000}"/>
    <cellStyle name="Comma 6 2 2 2 3 3 3 3" xfId="44912" xr:uid="{00000000-0005-0000-0000-0000D59D0000}"/>
    <cellStyle name="Comma 6 2 2 2 3 3 4" xfId="44913" xr:uid="{00000000-0005-0000-0000-0000D69D0000}"/>
    <cellStyle name="Comma 6 2 2 2 3 3 4 2" xfId="44914" xr:uid="{00000000-0005-0000-0000-0000D79D0000}"/>
    <cellStyle name="Comma 6 2 2 2 3 3 5" xfId="44915" xr:uid="{00000000-0005-0000-0000-0000D89D0000}"/>
    <cellStyle name="Comma 6 2 2 2 3 3 6" xfId="44916" xr:uid="{00000000-0005-0000-0000-0000D99D0000}"/>
    <cellStyle name="Comma 6 2 2 2 3 4" xfId="44917" xr:uid="{00000000-0005-0000-0000-0000DA9D0000}"/>
    <cellStyle name="Comma 6 2 2 2 3 4 2" xfId="44918" xr:uid="{00000000-0005-0000-0000-0000DB9D0000}"/>
    <cellStyle name="Comma 6 2 2 2 3 4 2 2" xfId="44919" xr:uid="{00000000-0005-0000-0000-0000DC9D0000}"/>
    <cellStyle name="Comma 6 2 2 2 3 4 2 3" xfId="44920" xr:uid="{00000000-0005-0000-0000-0000DD9D0000}"/>
    <cellStyle name="Comma 6 2 2 2 3 4 3" xfId="44921" xr:uid="{00000000-0005-0000-0000-0000DE9D0000}"/>
    <cellStyle name="Comma 6 2 2 2 3 4 3 2" xfId="44922" xr:uid="{00000000-0005-0000-0000-0000DF9D0000}"/>
    <cellStyle name="Comma 6 2 2 2 3 4 4" xfId="44923" xr:uid="{00000000-0005-0000-0000-0000E09D0000}"/>
    <cellStyle name="Comma 6 2 2 2 3 4 5" xfId="44924" xr:uid="{00000000-0005-0000-0000-0000E19D0000}"/>
    <cellStyle name="Comma 6 2 2 2 3 5" xfId="44925" xr:uid="{00000000-0005-0000-0000-0000E29D0000}"/>
    <cellStyle name="Comma 6 2 2 2 3 5 2" xfId="44926" xr:uid="{00000000-0005-0000-0000-0000E39D0000}"/>
    <cellStyle name="Comma 6 2 2 2 3 5 3" xfId="44927" xr:uid="{00000000-0005-0000-0000-0000E49D0000}"/>
    <cellStyle name="Comma 6 2 2 2 3 6" xfId="44928" xr:uid="{00000000-0005-0000-0000-0000E59D0000}"/>
    <cellStyle name="Comma 6 2 2 2 3 6 2" xfId="44929" xr:uid="{00000000-0005-0000-0000-0000E69D0000}"/>
    <cellStyle name="Comma 6 2 2 2 3 6 3" xfId="44930" xr:uid="{00000000-0005-0000-0000-0000E79D0000}"/>
    <cellStyle name="Comma 6 2 2 2 3 7" xfId="44931" xr:uid="{00000000-0005-0000-0000-0000E89D0000}"/>
    <cellStyle name="Comma 6 2 2 2 3 7 2" xfId="44932" xr:uid="{00000000-0005-0000-0000-0000E99D0000}"/>
    <cellStyle name="Comma 6 2 2 2 3 8" xfId="44933" xr:uid="{00000000-0005-0000-0000-0000EA9D0000}"/>
    <cellStyle name="Comma 6 2 2 2 3 9" xfId="44934" xr:uid="{00000000-0005-0000-0000-0000EB9D0000}"/>
    <cellStyle name="Comma 6 2 2 2 4" xfId="44935" xr:uid="{00000000-0005-0000-0000-0000EC9D0000}"/>
    <cellStyle name="Comma 6 2 2 2 4 2" xfId="44936" xr:uid="{00000000-0005-0000-0000-0000ED9D0000}"/>
    <cellStyle name="Comma 6 2 2 2 4 2 2" xfId="44937" xr:uid="{00000000-0005-0000-0000-0000EE9D0000}"/>
    <cellStyle name="Comma 6 2 2 2 4 2 2 2" xfId="44938" xr:uid="{00000000-0005-0000-0000-0000EF9D0000}"/>
    <cellStyle name="Comma 6 2 2 2 4 2 2 3" xfId="44939" xr:uid="{00000000-0005-0000-0000-0000F09D0000}"/>
    <cellStyle name="Comma 6 2 2 2 4 2 3" xfId="44940" xr:uid="{00000000-0005-0000-0000-0000F19D0000}"/>
    <cellStyle name="Comma 6 2 2 2 4 2 3 2" xfId="44941" xr:uid="{00000000-0005-0000-0000-0000F29D0000}"/>
    <cellStyle name="Comma 6 2 2 2 4 2 3 3" xfId="44942" xr:uid="{00000000-0005-0000-0000-0000F39D0000}"/>
    <cellStyle name="Comma 6 2 2 2 4 2 4" xfId="44943" xr:uid="{00000000-0005-0000-0000-0000F49D0000}"/>
    <cellStyle name="Comma 6 2 2 2 4 2 4 2" xfId="44944" xr:uid="{00000000-0005-0000-0000-0000F59D0000}"/>
    <cellStyle name="Comma 6 2 2 2 4 2 5" xfId="44945" xr:uid="{00000000-0005-0000-0000-0000F69D0000}"/>
    <cellStyle name="Comma 6 2 2 2 4 2 6" xfId="44946" xr:uid="{00000000-0005-0000-0000-0000F79D0000}"/>
    <cellStyle name="Comma 6 2 2 2 4 3" xfId="44947" xr:uid="{00000000-0005-0000-0000-0000F89D0000}"/>
    <cellStyle name="Comma 6 2 2 2 4 3 2" xfId="44948" xr:uid="{00000000-0005-0000-0000-0000F99D0000}"/>
    <cellStyle name="Comma 6 2 2 2 4 3 2 2" xfId="44949" xr:uid="{00000000-0005-0000-0000-0000FA9D0000}"/>
    <cellStyle name="Comma 6 2 2 2 4 3 2 3" xfId="44950" xr:uid="{00000000-0005-0000-0000-0000FB9D0000}"/>
    <cellStyle name="Comma 6 2 2 2 4 3 3" xfId="44951" xr:uid="{00000000-0005-0000-0000-0000FC9D0000}"/>
    <cellStyle name="Comma 6 2 2 2 4 3 3 2" xfId="44952" xr:uid="{00000000-0005-0000-0000-0000FD9D0000}"/>
    <cellStyle name="Comma 6 2 2 2 4 3 3 3" xfId="44953" xr:uid="{00000000-0005-0000-0000-0000FE9D0000}"/>
    <cellStyle name="Comma 6 2 2 2 4 3 4" xfId="44954" xr:uid="{00000000-0005-0000-0000-0000FF9D0000}"/>
    <cellStyle name="Comma 6 2 2 2 4 3 4 2" xfId="44955" xr:uid="{00000000-0005-0000-0000-0000009E0000}"/>
    <cellStyle name="Comma 6 2 2 2 4 3 5" xfId="44956" xr:uid="{00000000-0005-0000-0000-0000019E0000}"/>
    <cellStyle name="Comma 6 2 2 2 4 3 6" xfId="44957" xr:uid="{00000000-0005-0000-0000-0000029E0000}"/>
    <cellStyle name="Comma 6 2 2 2 4 4" xfId="44958" xr:uid="{00000000-0005-0000-0000-0000039E0000}"/>
    <cellStyle name="Comma 6 2 2 2 4 4 2" xfId="44959" xr:uid="{00000000-0005-0000-0000-0000049E0000}"/>
    <cellStyle name="Comma 6 2 2 2 4 4 2 2" xfId="44960" xr:uid="{00000000-0005-0000-0000-0000059E0000}"/>
    <cellStyle name="Comma 6 2 2 2 4 4 2 3" xfId="44961" xr:uid="{00000000-0005-0000-0000-0000069E0000}"/>
    <cellStyle name="Comma 6 2 2 2 4 4 3" xfId="44962" xr:uid="{00000000-0005-0000-0000-0000079E0000}"/>
    <cellStyle name="Comma 6 2 2 2 4 4 3 2" xfId="44963" xr:uid="{00000000-0005-0000-0000-0000089E0000}"/>
    <cellStyle name="Comma 6 2 2 2 4 4 4" xfId="44964" xr:uid="{00000000-0005-0000-0000-0000099E0000}"/>
    <cellStyle name="Comma 6 2 2 2 4 4 5" xfId="44965" xr:uid="{00000000-0005-0000-0000-00000A9E0000}"/>
    <cellStyle name="Comma 6 2 2 2 4 5" xfId="44966" xr:uid="{00000000-0005-0000-0000-00000B9E0000}"/>
    <cellStyle name="Comma 6 2 2 2 4 5 2" xfId="44967" xr:uid="{00000000-0005-0000-0000-00000C9E0000}"/>
    <cellStyle name="Comma 6 2 2 2 4 5 3" xfId="44968" xr:uid="{00000000-0005-0000-0000-00000D9E0000}"/>
    <cellStyle name="Comma 6 2 2 2 4 6" xfId="44969" xr:uid="{00000000-0005-0000-0000-00000E9E0000}"/>
    <cellStyle name="Comma 6 2 2 2 4 6 2" xfId="44970" xr:uid="{00000000-0005-0000-0000-00000F9E0000}"/>
    <cellStyle name="Comma 6 2 2 2 4 6 3" xfId="44971" xr:uid="{00000000-0005-0000-0000-0000109E0000}"/>
    <cellStyle name="Comma 6 2 2 2 4 7" xfId="44972" xr:uid="{00000000-0005-0000-0000-0000119E0000}"/>
    <cellStyle name="Comma 6 2 2 2 4 7 2" xfId="44973" xr:uid="{00000000-0005-0000-0000-0000129E0000}"/>
    <cellStyle name="Comma 6 2 2 2 4 8" xfId="44974" xr:uid="{00000000-0005-0000-0000-0000139E0000}"/>
    <cellStyle name="Comma 6 2 2 2 4 9" xfId="44975" xr:uid="{00000000-0005-0000-0000-0000149E0000}"/>
    <cellStyle name="Comma 6 2 2 2 5" xfId="44976" xr:uid="{00000000-0005-0000-0000-0000159E0000}"/>
    <cellStyle name="Comma 6 2 2 2 5 2" xfId="44977" xr:uid="{00000000-0005-0000-0000-0000169E0000}"/>
    <cellStyle name="Comma 6 2 2 2 5 2 2" xfId="44978" xr:uid="{00000000-0005-0000-0000-0000179E0000}"/>
    <cellStyle name="Comma 6 2 2 2 5 2 3" xfId="44979" xr:uid="{00000000-0005-0000-0000-0000189E0000}"/>
    <cellStyle name="Comma 6 2 2 2 5 3" xfId="44980" xr:uid="{00000000-0005-0000-0000-0000199E0000}"/>
    <cellStyle name="Comma 6 2 2 2 5 3 2" xfId="44981" xr:uid="{00000000-0005-0000-0000-00001A9E0000}"/>
    <cellStyle name="Comma 6 2 2 2 5 3 3" xfId="44982" xr:uid="{00000000-0005-0000-0000-00001B9E0000}"/>
    <cellStyle name="Comma 6 2 2 2 5 4" xfId="44983" xr:uid="{00000000-0005-0000-0000-00001C9E0000}"/>
    <cellStyle name="Comma 6 2 2 2 5 4 2" xfId="44984" xr:uid="{00000000-0005-0000-0000-00001D9E0000}"/>
    <cellStyle name="Comma 6 2 2 2 5 5" xfId="44985" xr:uid="{00000000-0005-0000-0000-00001E9E0000}"/>
    <cellStyle name="Comma 6 2 2 2 5 6" xfId="44986" xr:uid="{00000000-0005-0000-0000-00001F9E0000}"/>
    <cellStyle name="Comma 6 2 2 2 6" xfId="44987" xr:uid="{00000000-0005-0000-0000-0000209E0000}"/>
    <cellStyle name="Comma 6 2 2 2 6 2" xfId="44988" xr:uid="{00000000-0005-0000-0000-0000219E0000}"/>
    <cellStyle name="Comma 6 2 2 2 6 2 2" xfId="44989" xr:uid="{00000000-0005-0000-0000-0000229E0000}"/>
    <cellStyle name="Comma 6 2 2 2 6 2 3" xfId="44990" xr:uid="{00000000-0005-0000-0000-0000239E0000}"/>
    <cellStyle name="Comma 6 2 2 2 6 3" xfId="44991" xr:uid="{00000000-0005-0000-0000-0000249E0000}"/>
    <cellStyle name="Comma 6 2 2 2 6 3 2" xfId="44992" xr:uid="{00000000-0005-0000-0000-0000259E0000}"/>
    <cellStyle name="Comma 6 2 2 2 6 3 3" xfId="44993" xr:uid="{00000000-0005-0000-0000-0000269E0000}"/>
    <cellStyle name="Comma 6 2 2 2 6 4" xfId="44994" xr:uid="{00000000-0005-0000-0000-0000279E0000}"/>
    <cellStyle name="Comma 6 2 2 2 6 4 2" xfId="44995" xr:uid="{00000000-0005-0000-0000-0000289E0000}"/>
    <cellStyle name="Comma 6 2 2 2 6 5" xfId="44996" xr:uid="{00000000-0005-0000-0000-0000299E0000}"/>
    <cellStyle name="Comma 6 2 2 2 6 6" xfId="44997" xr:uid="{00000000-0005-0000-0000-00002A9E0000}"/>
    <cellStyle name="Comma 6 2 2 2 7" xfId="44998" xr:uid="{00000000-0005-0000-0000-00002B9E0000}"/>
    <cellStyle name="Comma 6 2 2 2 7 2" xfId="44999" xr:uid="{00000000-0005-0000-0000-00002C9E0000}"/>
    <cellStyle name="Comma 6 2 2 2 7 2 2" xfId="45000" xr:uid="{00000000-0005-0000-0000-00002D9E0000}"/>
    <cellStyle name="Comma 6 2 2 2 7 2 3" xfId="45001" xr:uid="{00000000-0005-0000-0000-00002E9E0000}"/>
    <cellStyle name="Comma 6 2 2 2 7 3" xfId="45002" xr:uid="{00000000-0005-0000-0000-00002F9E0000}"/>
    <cellStyle name="Comma 6 2 2 2 7 3 2" xfId="45003" xr:uid="{00000000-0005-0000-0000-0000309E0000}"/>
    <cellStyle name="Comma 6 2 2 2 7 4" xfId="45004" xr:uid="{00000000-0005-0000-0000-0000319E0000}"/>
    <cellStyle name="Comma 6 2 2 2 7 5" xfId="45005" xr:uid="{00000000-0005-0000-0000-0000329E0000}"/>
    <cellStyle name="Comma 6 2 2 2 8" xfId="45006" xr:uid="{00000000-0005-0000-0000-0000339E0000}"/>
    <cellStyle name="Comma 6 2 2 2 8 2" xfId="45007" xr:uid="{00000000-0005-0000-0000-0000349E0000}"/>
    <cellStyle name="Comma 6 2 2 2 8 3" xfId="45008" xr:uid="{00000000-0005-0000-0000-0000359E0000}"/>
    <cellStyle name="Comma 6 2 2 2 9" xfId="45009" xr:uid="{00000000-0005-0000-0000-0000369E0000}"/>
    <cellStyle name="Comma 6 2 2 2 9 2" xfId="45010" xr:uid="{00000000-0005-0000-0000-0000379E0000}"/>
    <cellStyle name="Comma 6 2 2 2 9 3" xfId="45011" xr:uid="{00000000-0005-0000-0000-0000389E0000}"/>
    <cellStyle name="Comma 6 2 2 3" xfId="45012" xr:uid="{00000000-0005-0000-0000-0000399E0000}"/>
    <cellStyle name="Comma 6 2 2 3 10" xfId="45013" xr:uid="{00000000-0005-0000-0000-00003A9E0000}"/>
    <cellStyle name="Comma 6 2 2 3 2" xfId="45014" xr:uid="{00000000-0005-0000-0000-00003B9E0000}"/>
    <cellStyle name="Comma 6 2 2 3 2 2" xfId="45015" xr:uid="{00000000-0005-0000-0000-00003C9E0000}"/>
    <cellStyle name="Comma 6 2 2 3 2 2 2" xfId="45016" xr:uid="{00000000-0005-0000-0000-00003D9E0000}"/>
    <cellStyle name="Comma 6 2 2 3 2 2 2 2" xfId="45017" xr:uid="{00000000-0005-0000-0000-00003E9E0000}"/>
    <cellStyle name="Comma 6 2 2 3 2 2 2 3" xfId="45018" xr:uid="{00000000-0005-0000-0000-00003F9E0000}"/>
    <cellStyle name="Comma 6 2 2 3 2 2 3" xfId="45019" xr:uid="{00000000-0005-0000-0000-0000409E0000}"/>
    <cellStyle name="Comma 6 2 2 3 2 2 3 2" xfId="45020" xr:uid="{00000000-0005-0000-0000-0000419E0000}"/>
    <cellStyle name="Comma 6 2 2 3 2 2 3 3" xfId="45021" xr:uid="{00000000-0005-0000-0000-0000429E0000}"/>
    <cellStyle name="Comma 6 2 2 3 2 2 4" xfId="45022" xr:uid="{00000000-0005-0000-0000-0000439E0000}"/>
    <cellStyle name="Comma 6 2 2 3 2 2 4 2" xfId="45023" xr:uid="{00000000-0005-0000-0000-0000449E0000}"/>
    <cellStyle name="Comma 6 2 2 3 2 2 5" xfId="45024" xr:uid="{00000000-0005-0000-0000-0000459E0000}"/>
    <cellStyle name="Comma 6 2 2 3 2 2 6" xfId="45025" xr:uid="{00000000-0005-0000-0000-0000469E0000}"/>
    <cellStyle name="Comma 6 2 2 3 2 3" xfId="45026" xr:uid="{00000000-0005-0000-0000-0000479E0000}"/>
    <cellStyle name="Comma 6 2 2 3 2 3 2" xfId="45027" xr:uid="{00000000-0005-0000-0000-0000489E0000}"/>
    <cellStyle name="Comma 6 2 2 3 2 3 2 2" xfId="45028" xr:uid="{00000000-0005-0000-0000-0000499E0000}"/>
    <cellStyle name="Comma 6 2 2 3 2 3 2 3" xfId="45029" xr:uid="{00000000-0005-0000-0000-00004A9E0000}"/>
    <cellStyle name="Comma 6 2 2 3 2 3 3" xfId="45030" xr:uid="{00000000-0005-0000-0000-00004B9E0000}"/>
    <cellStyle name="Comma 6 2 2 3 2 3 3 2" xfId="45031" xr:uid="{00000000-0005-0000-0000-00004C9E0000}"/>
    <cellStyle name="Comma 6 2 2 3 2 3 3 3" xfId="45032" xr:uid="{00000000-0005-0000-0000-00004D9E0000}"/>
    <cellStyle name="Comma 6 2 2 3 2 3 4" xfId="45033" xr:uid="{00000000-0005-0000-0000-00004E9E0000}"/>
    <cellStyle name="Comma 6 2 2 3 2 3 4 2" xfId="45034" xr:uid="{00000000-0005-0000-0000-00004F9E0000}"/>
    <cellStyle name="Comma 6 2 2 3 2 3 5" xfId="45035" xr:uid="{00000000-0005-0000-0000-0000509E0000}"/>
    <cellStyle name="Comma 6 2 2 3 2 3 6" xfId="45036" xr:uid="{00000000-0005-0000-0000-0000519E0000}"/>
    <cellStyle name="Comma 6 2 2 3 2 4" xfId="45037" xr:uid="{00000000-0005-0000-0000-0000529E0000}"/>
    <cellStyle name="Comma 6 2 2 3 2 4 2" xfId="45038" xr:uid="{00000000-0005-0000-0000-0000539E0000}"/>
    <cellStyle name="Comma 6 2 2 3 2 4 2 2" xfId="45039" xr:uid="{00000000-0005-0000-0000-0000549E0000}"/>
    <cellStyle name="Comma 6 2 2 3 2 4 2 3" xfId="45040" xr:uid="{00000000-0005-0000-0000-0000559E0000}"/>
    <cellStyle name="Comma 6 2 2 3 2 4 3" xfId="45041" xr:uid="{00000000-0005-0000-0000-0000569E0000}"/>
    <cellStyle name="Comma 6 2 2 3 2 4 3 2" xfId="45042" xr:uid="{00000000-0005-0000-0000-0000579E0000}"/>
    <cellStyle name="Comma 6 2 2 3 2 4 4" xfId="45043" xr:uid="{00000000-0005-0000-0000-0000589E0000}"/>
    <cellStyle name="Comma 6 2 2 3 2 4 5" xfId="45044" xr:uid="{00000000-0005-0000-0000-0000599E0000}"/>
    <cellStyle name="Comma 6 2 2 3 2 5" xfId="45045" xr:uid="{00000000-0005-0000-0000-00005A9E0000}"/>
    <cellStyle name="Comma 6 2 2 3 2 5 2" xfId="45046" xr:uid="{00000000-0005-0000-0000-00005B9E0000}"/>
    <cellStyle name="Comma 6 2 2 3 2 5 3" xfId="45047" xr:uid="{00000000-0005-0000-0000-00005C9E0000}"/>
    <cellStyle name="Comma 6 2 2 3 2 6" xfId="45048" xr:uid="{00000000-0005-0000-0000-00005D9E0000}"/>
    <cellStyle name="Comma 6 2 2 3 2 6 2" xfId="45049" xr:uid="{00000000-0005-0000-0000-00005E9E0000}"/>
    <cellStyle name="Comma 6 2 2 3 2 6 3" xfId="45050" xr:uid="{00000000-0005-0000-0000-00005F9E0000}"/>
    <cellStyle name="Comma 6 2 2 3 2 7" xfId="45051" xr:uid="{00000000-0005-0000-0000-0000609E0000}"/>
    <cellStyle name="Comma 6 2 2 3 2 7 2" xfId="45052" xr:uid="{00000000-0005-0000-0000-0000619E0000}"/>
    <cellStyle name="Comma 6 2 2 3 2 8" xfId="45053" xr:uid="{00000000-0005-0000-0000-0000629E0000}"/>
    <cellStyle name="Comma 6 2 2 3 2 9" xfId="45054" xr:uid="{00000000-0005-0000-0000-0000639E0000}"/>
    <cellStyle name="Comma 6 2 2 3 3" xfId="45055" xr:uid="{00000000-0005-0000-0000-0000649E0000}"/>
    <cellStyle name="Comma 6 2 2 3 3 2" xfId="45056" xr:uid="{00000000-0005-0000-0000-0000659E0000}"/>
    <cellStyle name="Comma 6 2 2 3 3 2 2" xfId="45057" xr:uid="{00000000-0005-0000-0000-0000669E0000}"/>
    <cellStyle name="Comma 6 2 2 3 3 2 3" xfId="45058" xr:uid="{00000000-0005-0000-0000-0000679E0000}"/>
    <cellStyle name="Comma 6 2 2 3 3 3" xfId="45059" xr:uid="{00000000-0005-0000-0000-0000689E0000}"/>
    <cellStyle name="Comma 6 2 2 3 3 3 2" xfId="45060" xr:uid="{00000000-0005-0000-0000-0000699E0000}"/>
    <cellStyle name="Comma 6 2 2 3 3 3 3" xfId="45061" xr:uid="{00000000-0005-0000-0000-00006A9E0000}"/>
    <cellStyle name="Comma 6 2 2 3 3 4" xfId="45062" xr:uid="{00000000-0005-0000-0000-00006B9E0000}"/>
    <cellStyle name="Comma 6 2 2 3 3 4 2" xfId="45063" xr:uid="{00000000-0005-0000-0000-00006C9E0000}"/>
    <cellStyle name="Comma 6 2 2 3 3 5" xfId="45064" xr:uid="{00000000-0005-0000-0000-00006D9E0000}"/>
    <cellStyle name="Comma 6 2 2 3 3 6" xfId="45065" xr:uid="{00000000-0005-0000-0000-00006E9E0000}"/>
    <cellStyle name="Comma 6 2 2 3 4" xfId="45066" xr:uid="{00000000-0005-0000-0000-00006F9E0000}"/>
    <cellStyle name="Comma 6 2 2 3 4 2" xfId="45067" xr:uid="{00000000-0005-0000-0000-0000709E0000}"/>
    <cellStyle name="Comma 6 2 2 3 4 2 2" xfId="45068" xr:uid="{00000000-0005-0000-0000-0000719E0000}"/>
    <cellStyle name="Comma 6 2 2 3 4 2 3" xfId="45069" xr:uid="{00000000-0005-0000-0000-0000729E0000}"/>
    <cellStyle name="Comma 6 2 2 3 4 3" xfId="45070" xr:uid="{00000000-0005-0000-0000-0000739E0000}"/>
    <cellStyle name="Comma 6 2 2 3 4 3 2" xfId="45071" xr:uid="{00000000-0005-0000-0000-0000749E0000}"/>
    <cellStyle name="Comma 6 2 2 3 4 3 3" xfId="45072" xr:uid="{00000000-0005-0000-0000-0000759E0000}"/>
    <cellStyle name="Comma 6 2 2 3 4 4" xfId="45073" xr:uid="{00000000-0005-0000-0000-0000769E0000}"/>
    <cellStyle name="Comma 6 2 2 3 4 4 2" xfId="45074" xr:uid="{00000000-0005-0000-0000-0000779E0000}"/>
    <cellStyle name="Comma 6 2 2 3 4 5" xfId="45075" xr:uid="{00000000-0005-0000-0000-0000789E0000}"/>
    <cellStyle name="Comma 6 2 2 3 4 6" xfId="45076" xr:uid="{00000000-0005-0000-0000-0000799E0000}"/>
    <cellStyle name="Comma 6 2 2 3 5" xfId="45077" xr:uid="{00000000-0005-0000-0000-00007A9E0000}"/>
    <cellStyle name="Comma 6 2 2 3 5 2" xfId="45078" xr:uid="{00000000-0005-0000-0000-00007B9E0000}"/>
    <cellStyle name="Comma 6 2 2 3 5 2 2" xfId="45079" xr:uid="{00000000-0005-0000-0000-00007C9E0000}"/>
    <cellStyle name="Comma 6 2 2 3 5 2 3" xfId="45080" xr:uid="{00000000-0005-0000-0000-00007D9E0000}"/>
    <cellStyle name="Comma 6 2 2 3 5 3" xfId="45081" xr:uid="{00000000-0005-0000-0000-00007E9E0000}"/>
    <cellStyle name="Comma 6 2 2 3 5 3 2" xfId="45082" xr:uid="{00000000-0005-0000-0000-00007F9E0000}"/>
    <cellStyle name="Comma 6 2 2 3 5 4" xfId="45083" xr:uid="{00000000-0005-0000-0000-0000809E0000}"/>
    <cellStyle name="Comma 6 2 2 3 5 5" xfId="45084" xr:uid="{00000000-0005-0000-0000-0000819E0000}"/>
    <cellStyle name="Comma 6 2 2 3 6" xfId="45085" xr:uid="{00000000-0005-0000-0000-0000829E0000}"/>
    <cellStyle name="Comma 6 2 2 3 6 2" xfId="45086" xr:uid="{00000000-0005-0000-0000-0000839E0000}"/>
    <cellStyle name="Comma 6 2 2 3 6 3" xfId="45087" xr:uid="{00000000-0005-0000-0000-0000849E0000}"/>
    <cellStyle name="Comma 6 2 2 3 7" xfId="45088" xr:uid="{00000000-0005-0000-0000-0000859E0000}"/>
    <cellStyle name="Comma 6 2 2 3 7 2" xfId="45089" xr:uid="{00000000-0005-0000-0000-0000869E0000}"/>
    <cellStyle name="Comma 6 2 2 3 7 3" xfId="45090" xr:uid="{00000000-0005-0000-0000-0000879E0000}"/>
    <cellStyle name="Comma 6 2 2 3 8" xfId="45091" xr:uid="{00000000-0005-0000-0000-0000889E0000}"/>
    <cellStyle name="Comma 6 2 2 3 8 2" xfId="45092" xr:uid="{00000000-0005-0000-0000-0000899E0000}"/>
    <cellStyle name="Comma 6 2 2 3 9" xfId="45093" xr:uid="{00000000-0005-0000-0000-00008A9E0000}"/>
    <cellStyle name="Comma 6 2 2 4" xfId="45094" xr:uid="{00000000-0005-0000-0000-00008B9E0000}"/>
    <cellStyle name="Comma 6 2 2 4 2" xfId="45095" xr:uid="{00000000-0005-0000-0000-00008C9E0000}"/>
    <cellStyle name="Comma 6 2 2 4 2 2" xfId="45096" xr:uid="{00000000-0005-0000-0000-00008D9E0000}"/>
    <cellStyle name="Comma 6 2 2 4 2 2 2" xfId="45097" xr:uid="{00000000-0005-0000-0000-00008E9E0000}"/>
    <cellStyle name="Comma 6 2 2 4 2 2 3" xfId="45098" xr:uid="{00000000-0005-0000-0000-00008F9E0000}"/>
    <cellStyle name="Comma 6 2 2 4 2 3" xfId="45099" xr:uid="{00000000-0005-0000-0000-0000909E0000}"/>
    <cellStyle name="Comma 6 2 2 4 2 3 2" xfId="45100" xr:uid="{00000000-0005-0000-0000-0000919E0000}"/>
    <cellStyle name="Comma 6 2 2 4 2 3 3" xfId="45101" xr:uid="{00000000-0005-0000-0000-0000929E0000}"/>
    <cellStyle name="Comma 6 2 2 4 2 4" xfId="45102" xr:uid="{00000000-0005-0000-0000-0000939E0000}"/>
    <cellStyle name="Comma 6 2 2 4 2 4 2" xfId="45103" xr:uid="{00000000-0005-0000-0000-0000949E0000}"/>
    <cellStyle name="Comma 6 2 2 4 2 5" xfId="45104" xr:uid="{00000000-0005-0000-0000-0000959E0000}"/>
    <cellStyle name="Comma 6 2 2 4 2 6" xfId="45105" xr:uid="{00000000-0005-0000-0000-0000969E0000}"/>
    <cellStyle name="Comma 6 2 2 4 3" xfId="45106" xr:uid="{00000000-0005-0000-0000-0000979E0000}"/>
    <cellStyle name="Comma 6 2 2 4 3 2" xfId="45107" xr:uid="{00000000-0005-0000-0000-0000989E0000}"/>
    <cellStyle name="Comma 6 2 2 4 3 2 2" xfId="45108" xr:uid="{00000000-0005-0000-0000-0000999E0000}"/>
    <cellStyle name="Comma 6 2 2 4 3 2 3" xfId="45109" xr:uid="{00000000-0005-0000-0000-00009A9E0000}"/>
    <cellStyle name="Comma 6 2 2 4 3 3" xfId="45110" xr:uid="{00000000-0005-0000-0000-00009B9E0000}"/>
    <cellStyle name="Comma 6 2 2 4 3 3 2" xfId="45111" xr:uid="{00000000-0005-0000-0000-00009C9E0000}"/>
    <cellStyle name="Comma 6 2 2 4 3 3 3" xfId="45112" xr:uid="{00000000-0005-0000-0000-00009D9E0000}"/>
    <cellStyle name="Comma 6 2 2 4 3 4" xfId="45113" xr:uid="{00000000-0005-0000-0000-00009E9E0000}"/>
    <cellStyle name="Comma 6 2 2 4 3 4 2" xfId="45114" xr:uid="{00000000-0005-0000-0000-00009F9E0000}"/>
    <cellStyle name="Comma 6 2 2 4 3 5" xfId="45115" xr:uid="{00000000-0005-0000-0000-0000A09E0000}"/>
    <cellStyle name="Comma 6 2 2 4 3 6" xfId="45116" xr:uid="{00000000-0005-0000-0000-0000A19E0000}"/>
    <cellStyle name="Comma 6 2 2 4 4" xfId="45117" xr:uid="{00000000-0005-0000-0000-0000A29E0000}"/>
    <cellStyle name="Comma 6 2 2 4 4 2" xfId="45118" xr:uid="{00000000-0005-0000-0000-0000A39E0000}"/>
    <cellStyle name="Comma 6 2 2 4 4 2 2" xfId="45119" xr:uid="{00000000-0005-0000-0000-0000A49E0000}"/>
    <cellStyle name="Comma 6 2 2 4 4 2 3" xfId="45120" xr:uid="{00000000-0005-0000-0000-0000A59E0000}"/>
    <cellStyle name="Comma 6 2 2 4 4 3" xfId="45121" xr:uid="{00000000-0005-0000-0000-0000A69E0000}"/>
    <cellStyle name="Comma 6 2 2 4 4 3 2" xfId="45122" xr:uid="{00000000-0005-0000-0000-0000A79E0000}"/>
    <cellStyle name="Comma 6 2 2 4 4 4" xfId="45123" xr:uid="{00000000-0005-0000-0000-0000A89E0000}"/>
    <cellStyle name="Comma 6 2 2 4 4 5" xfId="45124" xr:uid="{00000000-0005-0000-0000-0000A99E0000}"/>
    <cellStyle name="Comma 6 2 2 4 5" xfId="45125" xr:uid="{00000000-0005-0000-0000-0000AA9E0000}"/>
    <cellStyle name="Comma 6 2 2 4 5 2" xfId="45126" xr:uid="{00000000-0005-0000-0000-0000AB9E0000}"/>
    <cellStyle name="Comma 6 2 2 4 5 3" xfId="45127" xr:uid="{00000000-0005-0000-0000-0000AC9E0000}"/>
    <cellStyle name="Comma 6 2 2 4 6" xfId="45128" xr:uid="{00000000-0005-0000-0000-0000AD9E0000}"/>
    <cellStyle name="Comma 6 2 2 4 6 2" xfId="45129" xr:uid="{00000000-0005-0000-0000-0000AE9E0000}"/>
    <cellStyle name="Comma 6 2 2 4 6 3" xfId="45130" xr:uid="{00000000-0005-0000-0000-0000AF9E0000}"/>
    <cellStyle name="Comma 6 2 2 4 7" xfId="45131" xr:uid="{00000000-0005-0000-0000-0000B09E0000}"/>
    <cellStyle name="Comma 6 2 2 4 7 2" xfId="45132" xr:uid="{00000000-0005-0000-0000-0000B19E0000}"/>
    <cellStyle name="Comma 6 2 2 4 8" xfId="45133" xr:uid="{00000000-0005-0000-0000-0000B29E0000}"/>
    <cellStyle name="Comma 6 2 2 4 9" xfId="45134" xr:uid="{00000000-0005-0000-0000-0000B39E0000}"/>
    <cellStyle name="Comma 6 2 2 5" xfId="45135" xr:uid="{00000000-0005-0000-0000-0000B49E0000}"/>
    <cellStyle name="Comma 6 2 2 5 2" xfId="45136" xr:uid="{00000000-0005-0000-0000-0000B59E0000}"/>
    <cellStyle name="Comma 6 2 2 5 2 2" xfId="45137" xr:uid="{00000000-0005-0000-0000-0000B69E0000}"/>
    <cellStyle name="Comma 6 2 2 5 2 2 2" xfId="45138" xr:uid="{00000000-0005-0000-0000-0000B79E0000}"/>
    <cellStyle name="Comma 6 2 2 5 2 2 3" xfId="45139" xr:uid="{00000000-0005-0000-0000-0000B89E0000}"/>
    <cellStyle name="Comma 6 2 2 5 2 3" xfId="45140" xr:uid="{00000000-0005-0000-0000-0000B99E0000}"/>
    <cellStyle name="Comma 6 2 2 5 2 3 2" xfId="45141" xr:uid="{00000000-0005-0000-0000-0000BA9E0000}"/>
    <cellStyle name="Comma 6 2 2 5 2 3 3" xfId="45142" xr:uid="{00000000-0005-0000-0000-0000BB9E0000}"/>
    <cellStyle name="Comma 6 2 2 5 2 4" xfId="45143" xr:uid="{00000000-0005-0000-0000-0000BC9E0000}"/>
    <cellStyle name="Comma 6 2 2 5 2 4 2" xfId="45144" xr:uid="{00000000-0005-0000-0000-0000BD9E0000}"/>
    <cellStyle name="Comma 6 2 2 5 2 5" xfId="45145" xr:uid="{00000000-0005-0000-0000-0000BE9E0000}"/>
    <cellStyle name="Comma 6 2 2 5 2 6" xfId="45146" xr:uid="{00000000-0005-0000-0000-0000BF9E0000}"/>
    <cellStyle name="Comma 6 2 2 5 3" xfId="45147" xr:uid="{00000000-0005-0000-0000-0000C09E0000}"/>
    <cellStyle name="Comma 6 2 2 5 3 2" xfId="45148" xr:uid="{00000000-0005-0000-0000-0000C19E0000}"/>
    <cellStyle name="Comma 6 2 2 5 3 2 2" xfId="45149" xr:uid="{00000000-0005-0000-0000-0000C29E0000}"/>
    <cellStyle name="Comma 6 2 2 5 3 2 3" xfId="45150" xr:uid="{00000000-0005-0000-0000-0000C39E0000}"/>
    <cellStyle name="Comma 6 2 2 5 3 3" xfId="45151" xr:uid="{00000000-0005-0000-0000-0000C49E0000}"/>
    <cellStyle name="Comma 6 2 2 5 3 3 2" xfId="45152" xr:uid="{00000000-0005-0000-0000-0000C59E0000}"/>
    <cellStyle name="Comma 6 2 2 5 3 3 3" xfId="45153" xr:uid="{00000000-0005-0000-0000-0000C69E0000}"/>
    <cellStyle name="Comma 6 2 2 5 3 4" xfId="45154" xr:uid="{00000000-0005-0000-0000-0000C79E0000}"/>
    <cellStyle name="Comma 6 2 2 5 3 4 2" xfId="45155" xr:uid="{00000000-0005-0000-0000-0000C89E0000}"/>
    <cellStyle name="Comma 6 2 2 5 3 5" xfId="45156" xr:uid="{00000000-0005-0000-0000-0000C99E0000}"/>
    <cellStyle name="Comma 6 2 2 5 3 6" xfId="45157" xr:uid="{00000000-0005-0000-0000-0000CA9E0000}"/>
    <cellStyle name="Comma 6 2 2 5 4" xfId="45158" xr:uid="{00000000-0005-0000-0000-0000CB9E0000}"/>
    <cellStyle name="Comma 6 2 2 5 4 2" xfId="45159" xr:uid="{00000000-0005-0000-0000-0000CC9E0000}"/>
    <cellStyle name="Comma 6 2 2 5 4 2 2" xfId="45160" xr:uid="{00000000-0005-0000-0000-0000CD9E0000}"/>
    <cellStyle name="Comma 6 2 2 5 4 2 3" xfId="45161" xr:uid="{00000000-0005-0000-0000-0000CE9E0000}"/>
    <cellStyle name="Comma 6 2 2 5 4 3" xfId="45162" xr:uid="{00000000-0005-0000-0000-0000CF9E0000}"/>
    <cellStyle name="Comma 6 2 2 5 4 3 2" xfId="45163" xr:uid="{00000000-0005-0000-0000-0000D09E0000}"/>
    <cellStyle name="Comma 6 2 2 5 4 4" xfId="45164" xr:uid="{00000000-0005-0000-0000-0000D19E0000}"/>
    <cellStyle name="Comma 6 2 2 5 4 5" xfId="45165" xr:uid="{00000000-0005-0000-0000-0000D29E0000}"/>
    <cellStyle name="Comma 6 2 2 5 5" xfId="45166" xr:uid="{00000000-0005-0000-0000-0000D39E0000}"/>
    <cellStyle name="Comma 6 2 2 5 5 2" xfId="45167" xr:uid="{00000000-0005-0000-0000-0000D49E0000}"/>
    <cellStyle name="Comma 6 2 2 5 5 3" xfId="45168" xr:uid="{00000000-0005-0000-0000-0000D59E0000}"/>
    <cellStyle name="Comma 6 2 2 5 6" xfId="45169" xr:uid="{00000000-0005-0000-0000-0000D69E0000}"/>
    <cellStyle name="Comma 6 2 2 5 6 2" xfId="45170" xr:uid="{00000000-0005-0000-0000-0000D79E0000}"/>
    <cellStyle name="Comma 6 2 2 5 6 3" xfId="45171" xr:uid="{00000000-0005-0000-0000-0000D89E0000}"/>
    <cellStyle name="Comma 6 2 2 5 7" xfId="45172" xr:uid="{00000000-0005-0000-0000-0000D99E0000}"/>
    <cellStyle name="Comma 6 2 2 5 7 2" xfId="45173" xr:uid="{00000000-0005-0000-0000-0000DA9E0000}"/>
    <cellStyle name="Comma 6 2 2 5 8" xfId="45174" xr:uid="{00000000-0005-0000-0000-0000DB9E0000}"/>
    <cellStyle name="Comma 6 2 2 5 9" xfId="45175" xr:uid="{00000000-0005-0000-0000-0000DC9E0000}"/>
    <cellStyle name="Comma 6 2 2 6" xfId="45176" xr:uid="{00000000-0005-0000-0000-0000DD9E0000}"/>
    <cellStyle name="Comma 6 2 2 6 2" xfId="45177" xr:uid="{00000000-0005-0000-0000-0000DE9E0000}"/>
    <cellStyle name="Comma 6 2 2 6 2 2" xfId="45178" xr:uid="{00000000-0005-0000-0000-0000DF9E0000}"/>
    <cellStyle name="Comma 6 2 2 6 2 3" xfId="45179" xr:uid="{00000000-0005-0000-0000-0000E09E0000}"/>
    <cellStyle name="Comma 6 2 2 6 3" xfId="45180" xr:uid="{00000000-0005-0000-0000-0000E19E0000}"/>
    <cellStyle name="Comma 6 2 2 6 3 2" xfId="45181" xr:uid="{00000000-0005-0000-0000-0000E29E0000}"/>
    <cellStyle name="Comma 6 2 2 6 3 3" xfId="45182" xr:uid="{00000000-0005-0000-0000-0000E39E0000}"/>
    <cellStyle name="Comma 6 2 2 6 4" xfId="45183" xr:uid="{00000000-0005-0000-0000-0000E49E0000}"/>
    <cellStyle name="Comma 6 2 2 6 4 2" xfId="45184" xr:uid="{00000000-0005-0000-0000-0000E59E0000}"/>
    <cellStyle name="Comma 6 2 2 6 5" xfId="45185" xr:uid="{00000000-0005-0000-0000-0000E69E0000}"/>
    <cellStyle name="Comma 6 2 2 6 6" xfId="45186" xr:uid="{00000000-0005-0000-0000-0000E79E0000}"/>
    <cellStyle name="Comma 6 2 2 7" xfId="45187" xr:uid="{00000000-0005-0000-0000-0000E89E0000}"/>
    <cellStyle name="Comma 6 2 2 7 2" xfId="45188" xr:uid="{00000000-0005-0000-0000-0000E99E0000}"/>
    <cellStyle name="Comma 6 2 2 7 2 2" xfId="45189" xr:uid="{00000000-0005-0000-0000-0000EA9E0000}"/>
    <cellStyle name="Comma 6 2 2 7 2 3" xfId="45190" xr:uid="{00000000-0005-0000-0000-0000EB9E0000}"/>
    <cellStyle name="Comma 6 2 2 7 3" xfId="45191" xr:uid="{00000000-0005-0000-0000-0000EC9E0000}"/>
    <cellStyle name="Comma 6 2 2 7 3 2" xfId="45192" xr:uid="{00000000-0005-0000-0000-0000ED9E0000}"/>
    <cellStyle name="Comma 6 2 2 7 3 3" xfId="45193" xr:uid="{00000000-0005-0000-0000-0000EE9E0000}"/>
    <cellStyle name="Comma 6 2 2 7 4" xfId="45194" xr:uid="{00000000-0005-0000-0000-0000EF9E0000}"/>
    <cellStyle name="Comma 6 2 2 7 4 2" xfId="45195" xr:uid="{00000000-0005-0000-0000-0000F09E0000}"/>
    <cellStyle name="Comma 6 2 2 7 5" xfId="45196" xr:uid="{00000000-0005-0000-0000-0000F19E0000}"/>
    <cellStyle name="Comma 6 2 2 7 6" xfId="45197" xr:uid="{00000000-0005-0000-0000-0000F29E0000}"/>
    <cellStyle name="Comma 6 2 2 8" xfId="45198" xr:uid="{00000000-0005-0000-0000-0000F39E0000}"/>
    <cellStyle name="Comma 6 2 2 8 2" xfId="45199" xr:uid="{00000000-0005-0000-0000-0000F49E0000}"/>
    <cellStyle name="Comma 6 2 2 8 2 2" xfId="45200" xr:uid="{00000000-0005-0000-0000-0000F59E0000}"/>
    <cellStyle name="Comma 6 2 2 8 2 3" xfId="45201" xr:uid="{00000000-0005-0000-0000-0000F69E0000}"/>
    <cellStyle name="Comma 6 2 2 8 3" xfId="45202" xr:uid="{00000000-0005-0000-0000-0000F79E0000}"/>
    <cellStyle name="Comma 6 2 2 8 3 2" xfId="45203" xr:uid="{00000000-0005-0000-0000-0000F89E0000}"/>
    <cellStyle name="Comma 6 2 2 8 4" xfId="45204" xr:uid="{00000000-0005-0000-0000-0000F99E0000}"/>
    <cellStyle name="Comma 6 2 2 8 5" xfId="45205" xr:uid="{00000000-0005-0000-0000-0000FA9E0000}"/>
    <cellStyle name="Comma 6 2 2 9" xfId="45206" xr:uid="{00000000-0005-0000-0000-0000FB9E0000}"/>
    <cellStyle name="Comma 6 2 2 9 2" xfId="45207" xr:uid="{00000000-0005-0000-0000-0000FC9E0000}"/>
    <cellStyle name="Comma 6 2 2 9 3" xfId="45208" xr:uid="{00000000-0005-0000-0000-0000FD9E0000}"/>
    <cellStyle name="Comma 6 2 3" xfId="9611" xr:uid="{00000000-0005-0000-0000-0000FE9E0000}"/>
    <cellStyle name="Comma 6 2 3 10" xfId="45209" xr:uid="{00000000-0005-0000-0000-0000FF9E0000}"/>
    <cellStyle name="Comma 6 2 3 10 2" xfId="45210" xr:uid="{00000000-0005-0000-0000-0000009F0000}"/>
    <cellStyle name="Comma 6 2 3 11" xfId="45211" xr:uid="{00000000-0005-0000-0000-0000019F0000}"/>
    <cellStyle name="Comma 6 2 3 12" xfId="45212" xr:uid="{00000000-0005-0000-0000-0000029F0000}"/>
    <cellStyle name="Comma 6 2 3 13" xfId="45213" xr:uid="{00000000-0005-0000-0000-0000039F0000}"/>
    <cellStyle name="Comma 6 2 3 2" xfId="45214" xr:uid="{00000000-0005-0000-0000-0000049F0000}"/>
    <cellStyle name="Comma 6 2 3 2 10" xfId="45215" xr:uid="{00000000-0005-0000-0000-0000059F0000}"/>
    <cellStyle name="Comma 6 2 3 2 2" xfId="45216" xr:uid="{00000000-0005-0000-0000-0000069F0000}"/>
    <cellStyle name="Comma 6 2 3 2 2 2" xfId="45217" xr:uid="{00000000-0005-0000-0000-0000079F0000}"/>
    <cellStyle name="Comma 6 2 3 2 2 2 2" xfId="45218" xr:uid="{00000000-0005-0000-0000-0000089F0000}"/>
    <cellStyle name="Comma 6 2 3 2 2 2 2 2" xfId="45219" xr:uid="{00000000-0005-0000-0000-0000099F0000}"/>
    <cellStyle name="Comma 6 2 3 2 2 2 2 3" xfId="45220" xr:uid="{00000000-0005-0000-0000-00000A9F0000}"/>
    <cellStyle name="Comma 6 2 3 2 2 2 3" xfId="45221" xr:uid="{00000000-0005-0000-0000-00000B9F0000}"/>
    <cellStyle name="Comma 6 2 3 2 2 2 3 2" xfId="45222" xr:uid="{00000000-0005-0000-0000-00000C9F0000}"/>
    <cellStyle name="Comma 6 2 3 2 2 2 3 3" xfId="45223" xr:uid="{00000000-0005-0000-0000-00000D9F0000}"/>
    <cellStyle name="Comma 6 2 3 2 2 2 4" xfId="45224" xr:uid="{00000000-0005-0000-0000-00000E9F0000}"/>
    <cellStyle name="Comma 6 2 3 2 2 2 4 2" xfId="45225" xr:uid="{00000000-0005-0000-0000-00000F9F0000}"/>
    <cellStyle name="Comma 6 2 3 2 2 2 5" xfId="45226" xr:uid="{00000000-0005-0000-0000-0000109F0000}"/>
    <cellStyle name="Comma 6 2 3 2 2 2 6" xfId="45227" xr:uid="{00000000-0005-0000-0000-0000119F0000}"/>
    <cellStyle name="Comma 6 2 3 2 2 3" xfId="45228" xr:uid="{00000000-0005-0000-0000-0000129F0000}"/>
    <cellStyle name="Comma 6 2 3 2 2 3 2" xfId="45229" xr:uid="{00000000-0005-0000-0000-0000139F0000}"/>
    <cellStyle name="Comma 6 2 3 2 2 3 2 2" xfId="45230" xr:uid="{00000000-0005-0000-0000-0000149F0000}"/>
    <cellStyle name="Comma 6 2 3 2 2 3 2 3" xfId="45231" xr:uid="{00000000-0005-0000-0000-0000159F0000}"/>
    <cellStyle name="Comma 6 2 3 2 2 3 3" xfId="45232" xr:uid="{00000000-0005-0000-0000-0000169F0000}"/>
    <cellStyle name="Comma 6 2 3 2 2 3 3 2" xfId="45233" xr:uid="{00000000-0005-0000-0000-0000179F0000}"/>
    <cellStyle name="Comma 6 2 3 2 2 3 3 3" xfId="45234" xr:uid="{00000000-0005-0000-0000-0000189F0000}"/>
    <cellStyle name="Comma 6 2 3 2 2 3 4" xfId="45235" xr:uid="{00000000-0005-0000-0000-0000199F0000}"/>
    <cellStyle name="Comma 6 2 3 2 2 3 4 2" xfId="45236" xr:uid="{00000000-0005-0000-0000-00001A9F0000}"/>
    <cellStyle name="Comma 6 2 3 2 2 3 5" xfId="45237" xr:uid="{00000000-0005-0000-0000-00001B9F0000}"/>
    <cellStyle name="Comma 6 2 3 2 2 3 6" xfId="45238" xr:uid="{00000000-0005-0000-0000-00001C9F0000}"/>
    <cellStyle name="Comma 6 2 3 2 2 4" xfId="45239" xr:uid="{00000000-0005-0000-0000-00001D9F0000}"/>
    <cellStyle name="Comma 6 2 3 2 2 4 2" xfId="45240" xr:uid="{00000000-0005-0000-0000-00001E9F0000}"/>
    <cellStyle name="Comma 6 2 3 2 2 4 2 2" xfId="45241" xr:uid="{00000000-0005-0000-0000-00001F9F0000}"/>
    <cellStyle name="Comma 6 2 3 2 2 4 2 3" xfId="45242" xr:uid="{00000000-0005-0000-0000-0000209F0000}"/>
    <cellStyle name="Comma 6 2 3 2 2 4 3" xfId="45243" xr:uid="{00000000-0005-0000-0000-0000219F0000}"/>
    <cellStyle name="Comma 6 2 3 2 2 4 3 2" xfId="45244" xr:uid="{00000000-0005-0000-0000-0000229F0000}"/>
    <cellStyle name="Comma 6 2 3 2 2 4 4" xfId="45245" xr:uid="{00000000-0005-0000-0000-0000239F0000}"/>
    <cellStyle name="Comma 6 2 3 2 2 4 5" xfId="45246" xr:uid="{00000000-0005-0000-0000-0000249F0000}"/>
    <cellStyle name="Comma 6 2 3 2 2 5" xfId="45247" xr:uid="{00000000-0005-0000-0000-0000259F0000}"/>
    <cellStyle name="Comma 6 2 3 2 2 5 2" xfId="45248" xr:uid="{00000000-0005-0000-0000-0000269F0000}"/>
    <cellStyle name="Comma 6 2 3 2 2 5 3" xfId="45249" xr:uid="{00000000-0005-0000-0000-0000279F0000}"/>
    <cellStyle name="Comma 6 2 3 2 2 6" xfId="45250" xr:uid="{00000000-0005-0000-0000-0000289F0000}"/>
    <cellStyle name="Comma 6 2 3 2 2 6 2" xfId="45251" xr:uid="{00000000-0005-0000-0000-0000299F0000}"/>
    <cellStyle name="Comma 6 2 3 2 2 6 3" xfId="45252" xr:uid="{00000000-0005-0000-0000-00002A9F0000}"/>
    <cellStyle name="Comma 6 2 3 2 2 7" xfId="45253" xr:uid="{00000000-0005-0000-0000-00002B9F0000}"/>
    <cellStyle name="Comma 6 2 3 2 2 7 2" xfId="45254" xr:uid="{00000000-0005-0000-0000-00002C9F0000}"/>
    <cellStyle name="Comma 6 2 3 2 2 8" xfId="45255" xr:uid="{00000000-0005-0000-0000-00002D9F0000}"/>
    <cellStyle name="Comma 6 2 3 2 2 9" xfId="45256" xr:uid="{00000000-0005-0000-0000-00002E9F0000}"/>
    <cellStyle name="Comma 6 2 3 2 3" xfId="45257" xr:uid="{00000000-0005-0000-0000-00002F9F0000}"/>
    <cellStyle name="Comma 6 2 3 2 3 2" xfId="45258" xr:uid="{00000000-0005-0000-0000-0000309F0000}"/>
    <cellStyle name="Comma 6 2 3 2 3 2 2" xfId="45259" xr:uid="{00000000-0005-0000-0000-0000319F0000}"/>
    <cellStyle name="Comma 6 2 3 2 3 2 3" xfId="45260" xr:uid="{00000000-0005-0000-0000-0000329F0000}"/>
    <cellStyle name="Comma 6 2 3 2 3 3" xfId="45261" xr:uid="{00000000-0005-0000-0000-0000339F0000}"/>
    <cellStyle name="Comma 6 2 3 2 3 3 2" xfId="45262" xr:uid="{00000000-0005-0000-0000-0000349F0000}"/>
    <cellStyle name="Comma 6 2 3 2 3 3 3" xfId="45263" xr:uid="{00000000-0005-0000-0000-0000359F0000}"/>
    <cellStyle name="Comma 6 2 3 2 3 4" xfId="45264" xr:uid="{00000000-0005-0000-0000-0000369F0000}"/>
    <cellStyle name="Comma 6 2 3 2 3 4 2" xfId="45265" xr:uid="{00000000-0005-0000-0000-0000379F0000}"/>
    <cellStyle name="Comma 6 2 3 2 3 5" xfId="45266" xr:uid="{00000000-0005-0000-0000-0000389F0000}"/>
    <cellStyle name="Comma 6 2 3 2 3 6" xfId="45267" xr:uid="{00000000-0005-0000-0000-0000399F0000}"/>
    <cellStyle name="Comma 6 2 3 2 4" xfId="45268" xr:uid="{00000000-0005-0000-0000-00003A9F0000}"/>
    <cellStyle name="Comma 6 2 3 2 4 2" xfId="45269" xr:uid="{00000000-0005-0000-0000-00003B9F0000}"/>
    <cellStyle name="Comma 6 2 3 2 4 2 2" xfId="45270" xr:uid="{00000000-0005-0000-0000-00003C9F0000}"/>
    <cellStyle name="Comma 6 2 3 2 4 2 3" xfId="45271" xr:uid="{00000000-0005-0000-0000-00003D9F0000}"/>
    <cellStyle name="Comma 6 2 3 2 4 3" xfId="45272" xr:uid="{00000000-0005-0000-0000-00003E9F0000}"/>
    <cellStyle name="Comma 6 2 3 2 4 3 2" xfId="45273" xr:uid="{00000000-0005-0000-0000-00003F9F0000}"/>
    <cellStyle name="Comma 6 2 3 2 4 3 3" xfId="45274" xr:uid="{00000000-0005-0000-0000-0000409F0000}"/>
    <cellStyle name="Comma 6 2 3 2 4 4" xfId="45275" xr:uid="{00000000-0005-0000-0000-0000419F0000}"/>
    <cellStyle name="Comma 6 2 3 2 4 4 2" xfId="45276" xr:uid="{00000000-0005-0000-0000-0000429F0000}"/>
    <cellStyle name="Comma 6 2 3 2 4 5" xfId="45277" xr:uid="{00000000-0005-0000-0000-0000439F0000}"/>
    <cellStyle name="Comma 6 2 3 2 4 6" xfId="45278" xr:uid="{00000000-0005-0000-0000-0000449F0000}"/>
    <cellStyle name="Comma 6 2 3 2 5" xfId="45279" xr:uid="{00000000-0005-0000-0000-0000459F0000}"/>
    <cellStyle name="Comma 6 2 3 2 5 2" xfId="45280" xr:uid="{00000000-0005-0000-0000-0000469F0000}"/>
    <cellStyle name="Comma 6 2 3 2 5 2 2" xfId="45281" xr:uid="{00000000-0005-0000-0000-0000479F0000}"/>
    <cellStyle name="Comma 6 2 3 2 5 2 3" xfId="45282" xr:uid="{00000000-0005-0000-0000-0000489F0000}"/>
    <cellStyle name="Comma 6 2 3 2 5 3" xfId="45283" xr:uid="{00000000-0005-0000-0000-0000499F0000}"/>
    <cellStyle name="Comma 6 2 3 2 5 3 2" xfId="45284" xr:uid="{00000000-0005-0000-0000-00004A9F0000}"/>
    <cellStyle name="Comma 6 2 3 2 5 4" xfId="45285" xr:uid="{00000000-0005-0000-0000-00004B9F0000}"/>
    <cellStyle name="Comma 6 2 3 2 5 5" xfId="45286" xr:uid="{00000000-0005-0000-0000-00004C9F0000}"/>
    <cellStyle name="Comma 6 2 3 2 6" xfId="45287" xr:uid="{00000000-0005-0000-0000-00004D9F0000}"/>
    <cellStyle name="Comma 6 2 3 2 6 2" xfId="45288" xr:uid="{00000000-0005-0000-0000-00004E9F0000}"/>
    <cellStyle name="Comma 6 2 3 2 6 3" xfId="45289" xr:uid="{00000000-0005-0000-0000-00004F9F0000}"/>
    <cellStyle name="Comma 6 2 3 2 7" xfId="45290" xr:uid="{00000000-0005-0000-0000-0000509F0000}"/>
    <cellStyle name="Comma 6 2 3 2 7 2" xfId="45291" xr:uid="{00000000-0005-0000-0000-0000519F0000}"/>
    <cellStyle name="Comma 6 2 3 2 7 3" xfId="45292" xr:uid="{00000000-0005-0000-0000-0000529F0000}"/>
    <cellStyle name="Comma 6 2 3 2 8" xfId="45293" xr:uid="{00000000-0005-0000-0000-0000539F0000}"/>
    <cellStyle name="Comma 6 2 3 2 8 2" xfId="45294" xr:uid="{00000000-0005-0000-0000-0000549F0000}"/>
    <cellStyle name="Comma 6 2 3 2 9" xfId="45295" xr:uid="{00000000-0005-0000-0000-0000559F0000}"/>
    <cellStyle name="Comma 6 2 3 3" xfId="45296" xr:uid="{00000000-0005-0000-0000-0000569F0000}"/>
    <cellStyle name="Comma 6 2 3 3 2" xfId="45297" xr:uid="{00000000-0005-0000-0000-0000579F0000}"/>
    <cellStyle name="Comma 6 2 3 3 2 2" xfId="45298" xr:uid="{00000000-0005-0000-0000-0000589F0000}"/>
    <cellStyle name="Comma 6 2 3 3 2 2 2" xfId="45299" xr:uid="{00000000-0005-0000-0000-0000599F0000}"/>
    <cellStyle name="Comma 6 2 3 3 2 2 3" xfId="45300" xr:uid="{00000000-0005-0000-0000-00005A9F0000}"/>
    <cellStyle name="Comma 6 2 3 3 2 3" xfId="45301" xr:uid="{00000000-0005-0000-0000-00005B9F0000}"/>
    <cellStyle name="Comma 6 2 3 3 2 3 2" xfId="45302" xr:uid="{00000000-0005-0000-0000-00005C9F0000}"/>
    <cellStyle name="Comma 6 2 3 3 2 3 3" xfId="45303" xr:uid="{00000000-0005-0000-0000-00005D9F0000}"/>
    <cellStyle name="Comma 6 2 3 3 2 4" xfId="45304" xr:uid="{00000000-0005-0000-0000-00005E9F0000}"/>
    <cellStyle name="Comma 6 2 3 3 2 4 2" xfId="45305" xr:uid="{00000000-0005-0000-0000-00005F9F0000}"/>
    <cellStyle name="Comma 6 2 3 3 2 5" xfId="45306" xr:uid="{00000000-0005-0000-0000-0000609F0000}"/>
    <cellStyle name="Comma 6 2 3 3 2 6" xfId="45307" xr:uid="{00000000-0005-0000-0000-0000619F0000}"/>
    <cellStyle name="Comma 6 2 3 3 3" xfId="45308" xr:uid="{00000000-0005-0000-0000-0000629F0000}"/>
    <cellStyle name="Comma 6 2 3 3 3 2" xfId="45309" xr:uid="{00000000-0005-0000-0000-0000639F0000}"/>
    <cellStyle name="Comma 6 2 3 3 3 2 2" xfId="45310" xr:uid="{00000000-0005-0000-0000-0000649F0000}"/>
    <cellStyle name="Comma 6 2 3 3 3 2 3" xfId="45311" xr:uid="{00000000-0005-0000-0000-0000659F0000}"/>
    <cellStyle name="Comma 6 2 3 3 3 3" xfId="45312" xr:uid="{00000000-0005-0000-0000-0000669F0000}"/>
    <cellStyle name="Comma 6 2 3 3 3 3 2" xfId="45313" xr:uid="{00000000-0005-0000-0000-0000679F0000}"/>
    <cellStyle name="Comma 6 2 3 3 3 3 3" xfId="45314" xr:uid="{00000000-0005-0000-0000-0000689F0000}"/>
    <cellStyle name="Comma 6 2 3 3 3 4" xfId="45315" xr:uid="{00000000-0005-0000-0000-0000699F0000}"/>
    <cellStyle name="Comma 6 2 3 3 3 4 2" xfId="45316" xr:uid="{00000000-0005-0000-0000-00006A9F0000}"/>
    <cellStyle name="Comma 6 2 3 3 3 5" xfId="45317" xr:uid="{00000000-0005-0000-0000-00006B9F0000}"/>
    <cellStyle name="Comma 6 2 3 3 3 6" xfId="45318" xr:uid="{00000000-0005-0000-0000-00006C9F0000}"/>
    <cellStyle name="Comma 6 2 3 3 4" xfId="45319" xr:uid="{00000000-0005-0000-0000-00006D9F0000}"/>
    <cellStyle name="Comma 6 2 3 3 4 2" xfId="45320" xr:uid="{00000000-0005-0000-0000-00006E9F0000}"/>
    <cellStyle name="Comma 6 2 3 3 4 2 2" xfId="45321" xr:uid="{00000000-0005-0000-0000-00006F9F0000}"/>
    <cellStyle name="Comma 6 2 3 3 4 2 3" xfId="45322" xr:uid="{00000000-0005-0000-0000-0000709F0000}"/>
    <cellStyle name="Comma 6 2 3 3 4 3" xfId="45323" xr:uid="{00000000-0005-0000-0000-0000719F0000}"/>
    <cellStyle name="Comma 6 2 3 3 4 3 2" xfId="45324" xr:uid="{00000000-0005-0000-0000-0000729F0000}"/>
    <cellStyle name="Comma 6 2 3 3 4 4" xfId="45325" xr:uid="{00000000-0005-0000-0000-0000739F0000}"/>
    <cellStyle name="Comma 6 2 3 3 4 5" xfId="45326" xr:uid="{00000000-0005-0000-0000-0000749F0000}"/>
    <cellStyle name="Comma 6 2 3 3 5" xfId="45327" xr:uid="{00000000-0005-0000-0000-0000759F0000}"/>
    <cellStyle name="Comma 6 2 3 3 5 2" xfId="45328" xr:uid="{00000000-0005-0000-0000-0000769F0000}"/>
    <cellStyle name="Comma 6 2 3 3 5 3" xfId="45329" xr:uid="{00000000-0005-0000-0000-0000779F0000}"/>
    <cellStyle name="Comma 6 2 3 3 6" xfId="45330" xr:uid="{00000000-0005-0000-0000-0000789F0000}"/>
    <cellStyle name="Comma 6 2 3 3 6 2" xfId="45331" xr:uid="{00000000-0005-0000-0000-0000799F0000}"/>
    <cellStyle name="Comma 6 2 3 3 6 3" xfId="45332" xr:uid="{00000000-0005-0000-0000-00007A9F0000}"/>
    <cellStyle name="Comma 6 2 3 3 7" xfId="45333" xr:uid="{00000000-0005-0000-0000-00007B9F0000}"/>
    <cellStyle name="Comma 6 2 3 3 7 2" xfId="45334" xr:uid="{00000000-0005-0000-0000-00007C9F0000}"/>
    <cellStyle name="Comma 6 2 3 3 8" xfId="45335" xr:uid="{00000000-0005-0000-0000-00007D9F0000}"/>
    <cellStyle name="Comma 6 2 3 3 9" xfId="45336" xr:uid="{00000000-0005-0000-0000-00007E9F0000}"/>
    <cellStyle name="Comma 6 2 3 4" xfId="45337" xr:uid="{00000000-0005-0000-0000-00007F9F0000}"/>
    <cellStyle name="Comma 6 2 3 4 2" xfId="45338" xr:uid="{00000000-0005-0000-0000-0000809F0000}"/>
    <cellStyle name="Comma 6 2 3 4 2 2" xfId="45339" xr:uid="{00000000-0005-0000-0000-0000819F0000}"/>
    <cellStyle name="Comma 6 2 3 4 2 2 2" xfId="45340" xr:uid="{00000000-0005-0000-0000-0000829F0000}"/>
    <cellStyle name="Comma 6 2 3 4 2 2 3" xfId="45341" xr:uid="{00000000-0005-0000-0000-0000839F0000}"/>
    <cellStyle name="Comma 6 2 3 4 2 3" xfId="45342" xr:uid="{00000000-0005-0000-0000-0000849F0000}"/>
    <cellStyle name="Comma 6 2 3 4 2 3 2" xfId="45343" xr:uid="{00000000-0005-0000-0000-0000859F0000}"/>
    <cellStyle name="Comma 6 2 3 4 2 3 3" xfId="45344" xr:uid="{00000000-0005-0000-0000-0000869F0000}"/>
    <cellStyle name="Comma 6 2 3 4 2 4" xfId="45345" xr:uid="{00000000-0005-0000-0000-0000879F0000}"/>
    <cellStyle name="Comma 6 2 3 4 2 4 2" xfId="45346" xr:uid="{00000000-0005-0000-0000-0000889F0000}"/>
    <cellStyle name="Comma 6 2 3 4 2 5" xfId="45347" xr:uid="{00000000-0005-0000-0000-0000899F0000}"/>
    <cellStyle name="Comma 6 2 3 4 2 6" xfId="45348" xr:uid="{00000000-0005-0000-0000-00008A9F0000}"/>
    <cellStyle name="Comma 6 2 3 4 3" xfId="45349" xr:uid="{00000000-0005-0000-0000-00008B9F0000}"/>
    <cellStyle name="Comma 6 2 3 4 3 2" xfId="45350" xr:uid="{00000000-0005-0000-0000-00008C9F0000}"/>
    <cellStyle name="Comma 6 2 3 4 3 2 2" xfId="45351" xr:uid="{00000000-0005-0000-0000-00008D9F0000}"/>
    <cellStyle name="Comma 6 2 3 4 3 2 3" xfId="45352" xr:uid="{00000000-0005-0000-0000-00008E9F0000}"/>
    <cellStyle name="Comma 6 2 3 4 3 3" xfId="45353" xr:uid="{00000000-0005-0000-0000-00008F9F0000}"/>
    <cellStyle name="Comma 6 2 3 4 3 3 2" xfId="45354" xr:uid="{00000000-0005-0000-0000-0000909F0000}"/>
    <cellStyle name="Comma 6 2 3 4 3 3 3" xfId="45355" xr:uid="{00000000-0005-0000-0000-0000919F0000}"/>
    <cellStyle name="Comma 6 2 3 4 3 4" xfId="45356" xr:uid="{00000000-0005-0000-0000-0000929F0000}"/>
    <cellStyle name="Comma 6 2 3 4 3 4 2" xfId="45357" xr:uid="{00000000-0005-0000-0000-0000939F0000}"/>
    <cellStyle name="Comma 6 2 3 4 3 5" xfId="45358" xr:uid="{00000000-0005-0000-0000-0000949F0000}"/>
    <cellStyle name="Comma 6 2 3 4 3 6" xfId="45359" xr:uid="{00000000-0005-0000-0000-0000959F0000}"/>
    <cellStyle name="Comma 6 2 3 4 4" xfId="45360" xr:uid="{00000000-0005-0000-0000-0000969F0000}"/>
    <cellStyle name="Comma 6 2 3 4 4 2" xfId="45361" xr:uid="{00000000-0005-0000-0000-0000979F0000}"/>
    <cellStyle name="Comma 6 2 3 4 4 2 2" xfId="45362" xr:uid="{00000000-0005-0000-0000-0000989F0000}"/>
    <cellStyle name="Comma 6 2 3 4 4 2 3" xfId="45363" xr:uid="{00000000-0005-0000-0000-0000999F0000}"/>
    <cellStyle name="Comma 6 2 3 4 4 3" xfId="45364" xr:uid="{00000000-0005-0000-0000-00009A9F0000}"/>
    <cellStyle name="Comma 6 2 3 4 4 3 2" xfId="45365" xr:uid="{00000000-0005-0000-0000-00009B9F0000}"/>
    <cellStyle name="Comma 6 2 3 4 4 4" xfId="45366" xr:uid="{00000000-0005-0000-0000-00009C9F0000}"/>
    <cellStyle name="Comma 6 2 3 4 4 5" xfId="45367" xr:uid="{00000000-0005-0000-0000-00009D9F0000}"/>
    <cellStyle name="Comma 6 2 3 4 5" xfId="45368" xr:uid="{00000000-0005-0000-0000-00009E9F0000}"/>
    <cellStyle name="Comma 6 2 3 4 5 2" xfId="45369" xr:uid="{00000000-0005-0000-0000-00009F9F0000}"/>
    <cellStyle name="Comma 6 2 3 4 5 3" xfId="45370" xr:uid="{00000000-0005-0000-0000-0000A09F0000}"/>
    <cellStyle name="Comma 6 2 3 4 6" xfId="45371" xr:uid="{00000000-0005-0000-0000-0000A19F0000}"/>
    <cellStyle name="Comma 6 2 3 4 6 2" xfId="45372" xr:uid="{00000000-0005-0000-0000-0000A29F0000}"/>
    <cellStyle name="Comma 6 2 3 4 6 3" xfId="45373" xr:uid="{00000000-0005-0000-0000-0000A39F0000}"/>
    <cellStyle name="Comma 6 2 3 4 7" xfId="45374" xr:uid="{00000000-0005-0000-0000-0000A49F0000}"/>
    <cellStyle name="Comma 6 2 3 4 7 2" xfId="45375" xr:uid="{00000000-0005-0000-0000-0000A59F0000}"/>
    <cellStyle name="Comma 6 2 3 4 8" xfId="45376" xr:uid="{00000000-0005-0000-0000-0000A69F0000}"/>
    <cellStyle name="Comma 6 2 3 4 9" xfId="45377" xr:uid="{00000000-0005-0000-0000-0000A79F0000}"/>
    <cellStyle name="Comma 6 2 3 5" xfId="45378" xr:uid="{00000000-0005-0000-0000-0000A89F0000}"/>
    <cellStyle name="Comma 6 2 3 5 2" xfId="45379" xr:uid="{00000000-0005-0000-0000-0000A99F0000}"/>
    <cellStyle name="Comma 6 2 3 5 2 2" xfId="45380" xr:uid="{00000000-0005-0000-0000-0000AA9F0000}"/>
    <cellStyle name="Comma 6 2 3 5 2 3" xfId="45381" xr:uid="{00000000-0005-0000-0000-0000AB9F0000}"/>
    <cellStyle name="Comma 6 2 3 5 3" xfId="45382" xr:uid="{00000000-0005-0000-0000-0000AC9F0000}"/>
    <cellStyle name="Comma 6 2 3 5 3 2" xfId="45383" xr:uid="{00000000-0005-0000-0000-0000AD9F0000}"/>
    <cellStyle name="Comma 6 2 3 5 3 3" xfId="45384" xr:uid="{00000000-0005-0000-0000-0000AE9F0000}"/>
    <cellStyle name="Comma 6 2 3 5 4" xfId="45385" xr:uid="{00000000-0005-0000-0000-0000AF9F0000}"/>
    <cellStyle name="Comma 6 2 3 5 4 2" xfId="45386" xr:uid="{00000000-0005-0000-0000-0000B09F0000}"/>
    <cellStyle name="Comma 6 2 3 5 5" xfId="45387" xr:uid="{00000000-0005-0000-0000-0000B19F0000}"/>
    <cellStyle name="Comma 6 2 3 5 6" xfId="45388" xr:uid="{00000000-0005-0000-0000-0000B29F0000}"/>
    <cellStyle name="Comma 6 2 3 6" xfId="45389" xr:uid="{00000000-0005-0000-0000-0000B39F0000}"/>
    <cellStyle name="Comma 6 2 3 6 2" xfId="45390" xr:uid="{00000000-0005-0000-0000-0000B49F0000}"/>
    <cellStyle name="Comma 6 2 3 6 2 2" xfId="45391" xr:uid="{00000000-0005-0000-0000-0000B59F0000}"/>
    <cellStyle name="Comma 6 2 3 6 2 3" xfId="45392" xr:uid="{00000000-0005-0000-0000-0000B69F0000}"/>
    <cellStyle name="Comma 6 2 3 6 3" xfId="45393" xr:uid="{00000000-0005-0000-0000-0000B79F0000}"/>
    <cellStyle name="Comma 6 2 3 6 3 2" xfId="45394" xr:uid="{00000000-0005-0000-0000-0000B89F0000}"/>
    <cellStyle name="Comma 6 2 3 6 3 3" xfId="45395" xr:uid="{00000000-0005-0000-0000-0000B99F0000}"/>
    <cellStyle name="Comma 6 2 3 6 4" xfId="45396" xr:uid="{00000000-0005-0000-0000-0000BA9F0000}"/>
    <cellStyle name="Comma 6 2 3 6 4 2" xfId="45397" xr:uid="{00000000-0005-0000-0000-0000BB9F0000}"/>
    <cellStyle name="Comma 6 2 3 6 5" xfId="45398" xr:uid="{00000000-0005-0000-0000-0000BC9F0000}"/>
    <cellStyle name="Comma 6 2 3 6 6" xfId="45399" xr:uid="{00000000-0005-0000-0000-0000BD9F0000}"/>
    <cellStyle name="Comma 6 2 3 7" xfId="45400" xr:uid="{00000000-0005-0000-0000-0000BE9F0000}"/>
    <cellStyle name="Comma 6 2 3 7 2" xfId="45401" xr:uid="{00000000-0005-0000-0000-0000BF9F0000}"/>
    <cellStyle name="Comma 6 2 3 7 2 2" xfId="45402" xr:uid="{00000000-0005-0000-0000-0000C09F0000}"/>
    <cellStyle name="Comma 6 2 3 7 2 3" xfId="45403" xr:uid="{00000000-0005-0000-0000-0000C19F0000}"/>
    <cellStyle name="Comma 6 2 3 7 3" xfId="45404" xr:uid="{00000000-0005-0000-0000-0000C29F0000}"/>
    <cellStyle name="Comma 6 2 3 7 3 2" xfId="45405" xr:uid="{00000000-0005-0000-0000-0000C39F0000}"/>
    <cellStyle name="Comma 6 2 3 7 4" xfId="45406" xr:uid="{00000000-0005-0000-0000-0000C49F0000}"/>
    <cellStyle name="Comma 6 2 3 7 5" xfId="45407" xr:uid="{00000000-0005-0000-0000-0000C59F0000}"/>
    <cellStyle name="Comma 6 2 3 8" xfId="45408" xr:uid="{00000000-0005-0000-0000-0000C69F0000}"/>
    <cellStyle name="Comma 6 2 3 8 2" xfId="45409" xr:uid="{00000000-0005-0000-0000-0000C79F0000}"/>
    <cellStyle name="Comma 6 2 3 8 3" xfId="45410" xr:uid="{00000000-0005-0000-0000-0000C89F0000}"/>
    <cellStyle name="Comma 6 2 3 9" xfId="45411" xr:uid="{00000000-0005-0000-0000-0000C99F0000}"/>
    <cellStyle name="Comma 6 2 3 9 2" xfId="45412" xr:uid="{00000000-0005-0000-0000-0000CA9F0000}"/>
    <cellStyle name="Comma 6 2 3 9 3" xfId="45413" xr:uid="{00000000-0005-0000-0000-0000CB9F0000}"/>
    <cellStyle name="Comma 6 2 4" xfId="45414" xr:uid="{00000000-0005-0000-0000-0000CC9F0000}"/>
    <cellStyle name="Comma 6 2 4 10" xfId="45415" xr:uid="{00000000-0005-0000-0000-0000CD9F0000}"/>
    <cellStyle name="Comma 6 2 4 2" xfId="45416" xr:uid="{00000000-0005-0000-0000-0000CE9F0000}"/>
    <cellStyle name="Comma 6 2 4 2 2" xfId="45417" xr:uid="{00000000-0005-0000-0000-0000CF9F0000}"/>
    <cellStyle name="Comma 6 2 4 2 2 2" xfId="45418" xr:uid="{00000000-0005-0000-0000-0000D09F0000}"/>
    <cellStyle name="Comma 6 2 4 2 2 2 2" xfId="45419" xr:uid="{00000000-0005-0000-0000-0000D19F0000}"/>
    <cellStyle name="Comma 6 2 4 2 2 2 3" xfId="45420" xr:uid="{00000000-0005-0000-0000-0000D29F0000}"/>
    <cellStyle name="Comma 6 2 4 2 2 3" xfId="45421" xr:uid="{00000000-0005-0000-0000-0000D39F0000}"/>
    <cellStyle name="Comma 6 2 4 2 2 3 2" xfId="45422" xr:uid="{00000000-0005-0000-0000-0000D49F0000}"/>
    <cellStyle name="Comma 6 2 4 2 2 3 3" xfId="45423" xr:uid="{00000000-0005-0000-0000-0000D59F0000}"/>
    <cellStyle name="Comma 6 2 4 2 2 4" xfId="45424" xr:uid="{00000000-0005-0000-0000-0000D69F0000}"/>
    <cellStyle name="Comma 6 2 4 2 2 4 2" xfId="45425" xr:uid="{00000000-0005-0000-0000-0000D79F0000}"/>
    <cellStyle name="Comma 6 2 4 2 2 5" xfId="45426" xr:uid="{00000000-0005-0000-0000-0000D89F0000}"/>
    <cellStyle name="Comma 6 2 4 2 2 6" xfId="45427" xr:uid="{00000000-0005-0000-0000-0000D99F0000}"/>
    <cellStyle name="Comma 6 2 4 2 3" xfId="45428" xr:uid="{00000000-0005-0000-0000-0000DA9F0000}"/>
    <cellStyle name="Comma 6 2 4 2 3 2" xfId="45429" xr:uid="{00000000-0005-0000-0000-0000DB9F0000}"/>
    <cellStyle name="Comma 6 2 4 2 3 2 2" xfId="45430" xr:uid="{00000000-0005-0000-0000-0000DC9F0000}"/>
    <cellStyle name="Comma 6 2 4 2 3 2 3" xfId="45431" xr:uid="{00000000-0005-0000-0000-0000DD9F0000}"/>
    <cellStyle name="Comma 6 2 4 2 3 3" xfId="45432" xr:uid="{00000000-0005-0000-0000-0000DE9F0000}"/>
    <cellStyle name="Comma 6 2 4 2 3 3 2" xfId="45433" xr:uid="{00000000-0005-0000-0000-0000DF9F0000}"/>
    <cellStyle name="Comma 6 2 4 2 3 3 3" xfId="45434" xr:uid="{00000000-0005-0000-0000-0000E09F0000}"/>
    <cellStyle name="Comma 6 2 4 2 3 4" xfId="45435" xr:uid="{00000000-0005-0000-0000-0000E19F0000}"/>
    <cellStyle name="Comma 6 2 4 2 3 4 2" xfId="45436" xr:uid="{00000000-0005-0000-0000-0000E29F0000}"/>
    <cellStyle name="Comma 6 2 4 2 3 5" xfId="45437" xr:uid="{00000000-0005-0000-0000-0000E39F0000}"/>
    <cellStyle name="Comma 6 2 4 2 3 6" xfId="45438" xr:uid="{00000000-0005-0000-0000-0000E49F0000}"/>
    <cellStyle name="Comma 6 2 4 2 4" xfId="45439" xr:uid="{00000000-0005-0000-0000-0000E59F0000}"/>
    <cellStyle name="Comma 6 2 4 2 4 2" xfId="45440" xr:uid="{00000000-0005-0000-0000-0000E69F0000}"/>
    <cellStyle name="Comma 6 2 4 2 4 2 2" xfId="45441" xr:uid="{00000000-0005-0000-0000-0000E79F0000}"/>
    <cellStyle name="Comma 6 2 4 2 4 2 3" xfId="45442" xr:uid="{00000000-0005-0000-0000-0000E89F0000}"/>
    <cellStyle name="Comma 6 2 4 2 4 3" xfId="45443" xr:uid="{00000000-0005-0000-0000-0000E99F0000}"/>
    <cellStyle name="Comma 6 2 4 2 4 3 2" xfId="45444" xr:uid="{00000000-0005-0000-0000-0000EA9F0000}"/>
    <cellStyle name="Comma 6 2 4 2 4 4" xfId="45445" xr:uid="{00000000-0005-0000-0000-0000EB9F0000}"/>
    <cellStyle name="Comma 6 2 4 2 4 5" xfId="45446" xr:uid="{00000000-0005-0000-0000-0000EC9F0000}"/>
    <cellStyle name="Comma 6 2 4 2 5" xfId="45447" xr:uid="{00000000-0005-0000-0000-0000ED9F0000}"/>
    <cellStyle name="Comma 6 2 4 2 5 2" xfId="45448" xr:uid="{00000000-0005-0000-0000-0000EE9F0000}"/>
    <cellStyle name="Comma 6 2 4 2 5 3" xfId="45449" xr:uid="{00000000-0005-0000-0000-0000EF9F0000}"/>
    <cellStyle name="Comma 6 2 4 2 6" xfId="45450" xr:uid="{00000000-0005-0000-0000-0000F09F0000}"/>
    <cellStyle name="Comma 6 2 4 2 6 2" xfId="45451" xr:uid="{00000000-0005-0000-0000-0000F19F0000}"/>
    <cellStyle name="Comma 6 2 4 2 6 3" xfId="45452" xr:uid="{00000000-0005-0000-0000-0000F29F0000}"/>
    <cellStyle name="Comma 6 2 4 2 7" xfId="45453" xr:uid="{00000000-0005-0000-0000-0000F39F0000}"/>
    <cellStyle name="Comma 6 2 4 2 7 2" xfId="45454" xr:uid="{00000000-0005-0000-0000-0000F49F0000}"/>
    <cellStyle name="Comma 6 2 4 2 8" xfId="45455" xr:uid="{00000000-0005-0000-0000-0000F59F0000}"/>
    <cellStyle name="Comma 6 2 4 2 9" xfId="45456" xr:uid="{00000000-0005-0000-0000-0000F69F0000}"/>
    <cellStyle name="Comma 6 2 4 3" xfId="45457" xr:uid="{00000000-0005-0000-0000-0000F79F0000}"/>
    <cellStyle name="Comma 6 2 4 3 2" xfId="45458" xr:uid="{00000000-0005-0000-0000-0000F89F0000}"/>
    <cellStyle name="Comma 6 2 4 3 2 2" xfId="45459" xr:uid="{00000000-0005-0000-0000-0000F99F0000}"/>
    <cellStyle name="Comma 6 2 4 3 2 3" xfId="45460" xr:uid="{00000000-0005-0000-0000-0000FA9F0000}"/>
    <cellStyle name="Comma 6 2 4 3 3" xfId="45461" xr:uid="{00000000-0005-0000-0000-0000FB9F0000}"/>
    <cellStyle name="Comma 6 2 4 3 3 2" xfId="45462" xr:uid="{00000000-0005-0000-0000-0000FC9F0000}"/>
    <cellStyle name="Comma 6 2 4 3 3 3" xfId="45463" xr:uid="{00000000-0005-0000-0000-0000FD9F0000}"/>
    <cellStyle name="Comma 6 2 4 3 4" xfId="45464" xr:uid="{00000000-0005-0000-0000-0000FE9F0000}"/>
    <cellStyle name="Comma 6 2 4 3 4 2" xfId="45465" xr:uid="{00000000-0005-0000-0000-0000FF9F0000}"/>
    <cellStyle name="Comma 6 2 4 3 5" xfId="45466" xr:uid="{00000000-0005-0000-0000-000000A00000}"/>
    <cellStyle name="Comma 6 2 4 3 6" xfId="45467" xr:uid="{00000000-0005-0000-0000-000001A00000}"/>
    <cellStyle name="Comma 6 2 4 4" xfId="45468" xr:uid="{00000000-0005-0000-0000-000002A00000}"/>
    <cellStyle name="Comma 6 2 4 4 2" xfId="45469" xr:uid="{00000000-0005-0000-0000-000003A00000}"/>
    <cellStyle name="Comma 6 2 4 4 2 2" xfId="45470" xr:uid="{00000000-0005-0000-0000-000004A00000}"/>
    <cellStyle name="Comma 6 2 4 4 2 3" xfId="45471" xr:uid="{00000000-0005-0000-0000-000005A00000}"/>
    <cellStyle name="Comma 6 2 4 4 3" xfId="45472" xr:uid="{00000000-0005-0000-0000-000006A00000}"/>
    <cellStyle name="Comma 6 2 4 4 3 2" xfId="45473" xr:uid="{00000000-0005-0000-0000-000007A00000}"/>
    <cellStyle name="Comma 6 2 4 4 3 3" xfId="45474" xr:uid="{00000000-0005-0000-0000-000008A00000}"/>
    <cellStyle name="Comma 6 2 4 4 4" xfId="45475" xr:uid="{00000000-0005-0000-0000-000009A00000}"/>
    <cellStyle name="Comma 6 2 4 4 4 2" xfId="45476" xr:uid="{00000000-0005-0000-0000-00000AA00000}"/>
    <cellStyle name="Comma 6 2 4 4 5" xfId="45477" xr:uid="{00000000-0005-0000-0000-00000BA00000}"/>
    <cellStyle name="Comma 6 2 4 4 6" xfId="45478" xr:uid="{00000000-0005-0000-0000-00000CA00000}"/>
    <cellStyle name="Comma 6 2 4 5" xfId="45479" xr:uid="{00000000-0005-0000-0000-00000DA00000}"/>
    <cellStyle name="Comma 6 2 4 5 2" xfId="45480" xr:uid="{00000000-0005-0000-0000-00000EA00000}"/>
    <cellStyle name="Comma 6 2 4 5 2 2" xfId="45481" xr:uid="{00000000-0005-0000-0000-00000FA00000}"/>
    <cellStyle name="Comma 6 2 4 5 2 3" xfId="45482" xr:uid="{00000000-0005-0000-0000-000010A00000}"/>
    <cellStyle name="Comma 6 2 4 5 3" xfId="45483" xr:uid="{00000000-0005-0000-0000-000011A00000}"/>
    <cellStyle name="Comma 6 2 4 5 3 2" xfId="45484" xr:uid="{00000000-0005-0000-0000-000012A00000}"/>
    <cellStyle name="Comma 6 2 4 5 4" xfId="45485" xr:uid="{00000000-0005-0000-0000-000013A00000}"/>
    <cellStyle name="Comma 6 2 4 5 5" xfId="45486" xr:uid="{00000000-0005-0000-0000-000014A00000}"/>
    <cellStyle name="Comma 6 2 4 6" xfId="45487" xr:uid="{00000000-0005-0000-0000-000015A00000}"/>
    <cellStyle name="Comma 6 2 4 6 2" xfId="45488" xr:uid="{00000000-0005-0000-0000-000016A00000}"/>
    <cellStyle name="Comma 6 2 4 6 3" xfId="45489" xr:uid="{00000000-0005-0000-0000-000017A00000}"/>
    <cellStyle name="Comma 6 2 4 7" xfId="45490" xr:uid="{00000000-0005-0000-0000-000018A00000}"/>
    <cellStyle name="Comma 6 2 4 7 2" xfId="45491" xr:uid="{00000000-0005-0000-0000-000019A00000}"/>
    <cellStyle name="Comma 6 2 4 7 3" xfId="45492" xr:uid="{00000000-0005-0000-0000-00001AA00000}"/>
    <cellStyle name="Comma 6 2 4 8" xfId="45493" xr:uid="{00000000-0005-0000-0000-00001BA00000}"/>
    <cellStyle name="Comma 6 2 4 8 2" xfId="45494" xr:uid="{00000000-0005-0000-0000-00001CA00000}"/>
    <cellStyle name="Comma 6 2 4 9" xfId="45495" xr:uid="{00000000-0005-0000-0000-00001DA00000}"/>
    <cellStyle name="Comma 6 2 5" xfId="45496" xr:uid="{00000000-0005-0000-0000-00001EA00000}"/>
    <cellStyle name="Comma 6 2 5 2" xfId="45497" xr:uid="{00000000-0005-0000-0000-00001FA00000}"/>
    <cellStyle name="Comma 6 2 5 2 2" xfId="45498" xr:uid="{00000000-0005-0000-0000-000020A00000}"/>
    <cellStyle name="Comma 6 2 5 2 2 2" xfId="45499" xr:uid="{00000000-0005-0000-0000-000021A00000}"/>
    <cellStyle name="Comma 6 2 5 2 2 3" xfId="45500" xr:uid="{00000000-0005-0000-0000-000022A00000}"/>
    <cellStyle name="Comma 6 2 5 2 3" xfId="45501" xr:uid="{00000000-0005-0000-0000-000023A00000}"/>
    <cellStyle name="Comma 6 2 5 2 3 2" xfId="45502" xr:uid="{00000000-0005-0000-0000-000024A00000}"/>
    <cellStyle name="Comma 6 2 5 2 3 3" xfId="45503" xr:uid="{00000000-0005-0000-0000-000025A00000}"/>
    <cellStyle name="Comma 6 2 5 2 4" xfId="45504" xr:uid="{00000000-0005-0000-0000-000026A00000}"/>
    <cellStyle name="Comma 6 2 5 2 4 2" xfId="45505" xr:uid="{00000000-0005-0000-0000-000027A00000}"/>
    <cellStyle name="Comma 6 2 5 2 5" xfId="45506" xr:uid="{00000000-0005-0000-0000-000028A00000}"/>
    <cellStyle name="Comma 6 2 5 2 6" xfId="45507" xr:uid="{00000000-0005-0000-0000-000029A00000}"/>
    <cellStyle name="Comma 6 2 5 3" xfId="45508" xr:uid="{00000000-0005-0000-0000-00002AA00000}"/>
    <cellStyle name="Comma 6 2 5 3 2" xfId="45509" xr:uid="{00000000-0005-0000-0000-00002BA00000}"/>
    <cellStyle name="Comma 6 2 5 3 2 2" xfId="45510" xr:uid="{00000000-0005-0000-0000-00002CA00000}"/>
    <cellStyle name="Comma 6 2 5 3 2 3" xfId="45511" xr:uid="{00000000-0005-0000-0000-00002DA00000}"/>
    <cellStyle name="Comma 6 2 5 3 3" xfId="45512" xr:uid="{00000000-0005-0000-0000-00002EA00000}"/>
    <cellStyle name="Comma 6 2 5 3 3 2" xfId="45513" xr:uid="{00000000-0005-0000-0000-00002FA00000}"/>
    <cellStyle name="Comma 6 2 5 3 3 3" xfId="45514" xr:uid="{00000000-0005-0000-0000-000030A00000}"/>
    <cellStyle name="Comma 6 2 5 3 4" xfId="45515" xr:uid="{00000000-0005-0000-0000-000031A00000}"/>
    <cellStyle name="Comma 6 2 5 3 4 2" xfId="45516" xr:uid="{00000000-0005-0000-0000-000032A00000}"/>
    <cellStyle name="Comma 6 2 5 3 5" xfId="45517" xr:uid="{00000000-0005-0000-0000-000033A00000}"/>
    <cellStyle name="Comma 6 2 5 3 6" xfId="45518" xr:uid="{00000000-0005-0000-0000-000034A00000}"/>
    <cellStyle name="Comma 6 2 5 4" xfId="45519" xr:uid="{00000000-0005-0000-0000-000035A00000}"/>
    <cellStyle name="Comma 6 2 5 4 2" xfId="45520" xr:uid="{00000000-0005-0000-0000-000036A00000}"/>
    <cellStyle name="Comma 6 2 5 4 2 2" xfId="45521" xr:uid="{00000000-0005-0000-0000-000037A00000}"/>
    <cellStyle name="Comma 6 2 5 4 2 3" xfId="45522" xr:uid="{00000000-0005-0000-0000-000038A00000}"/>
    <cellStyle name="Comma 6 2 5 4 3" xfId="45523" xr:uid="{00000000-0005-0000-0000-000039A00000}"/>
    <cellStyle name="Comma 6 2 5 4 3 2" xfId="45524" xr:uid="{00000000-0005-0000-0000-00003AA00000}"/>
    <cellStyle name="Comma 6 2 5 4 4" xfId="45525" xr:uid="{00000000-0005-0000-0000-00003BA00000}"/>
    <cellStyle name="Comma 6 2 5 4 5" xfId="45526" xr:uid="{00000000-0005-0000-0000-00003CA00000}"/>
    <cellStyle name="Comma 6 2 5 5" xfId="45527" xr:uid="{00000000-0005-0000-0000-00003DA00000}"/>
    <cellStyle name="Comma 6 2 5 5 2" xfId="45528" xr:uid="{00000000-0005-0000-0000-00003EA00000}"/>
    <cellStyle name="Comma 6 2 5 5 3" xfId="45529" xr:uid="{00000000-0005-0000-0000-00003FA00000}"/>
    <cellStyle name="Comma 6 2 5 6" xfId="45530" xr:uid="{00000000-0005-0000-0000-000040A00000}"/>
    <cellStyle name="Comma 6 2 5 6 2" xfId="45531" xr:uid="{00000000-0005-0000-0000-000041A00000}"/>
    <cellStyle name="Comma 6 2 5 6 3" xfId="45532" xr:uid="{00000000-0005-0000-0000-000042A00000}"/>
    <cellStyle name="Comma 6 2 5 7" xfId="45533" xr:uid="{00000000-0005-0000-0000-000043A00000}"/>
    <cellStyle name="Comma 6 2 5 7 2" xfId="45534" xr:uid="{00000000-0005-0000-0000-000044A00000}"/>
    <cellStyle name="Comma 6 2 5 8" xfId="45535" xr:uid="{00000000-0005-0000-0000-000045A00000}"/>
    <cellStyle name="Comma 6 2 5 9" xfId="45536" xr:uid="{00000000-0005-0000-0000-000046A00000}"/>
    <cellStyle name="Comma 6 2 6" xfId="45537" xr:uid="{00000000-0005-0000-0000-000047A00000}"/>
    <cellStyle name="Comma 6 2 6 2" xfId="45538" xr:uid="{00000000-0005-0000-0000-000048A00000}"/>
    <cellStyle name="Comma 6 2 6 2 2" xfId="45539" xr:uid="{00000000-0005-0000-0000-000049A00000}"/>
    <cellStyle name="Comma 6 2 6 2 2 2" xfId="45540" xr:uid="{00000000-0005-0000-0000-00004AA00000}"/>
    <cellStyle name="Comma 6 2 6 2 2 3" xfId="45541" xr:uid="{00000000-0005-0000-0000-00004BA00000}"/>
    <cellStyle name="Comma 6 2 6 2 3" xfId="45542" xr:uid="{00000000-0005-0000-0000-00004CA00000}"/>
    <cellStyle name="Comma 6 2 6 2 3 2" xfId="45543" xr:uid="{00000000-0005-0000-0000-00004DA00000}"/>
    <cellStyle name="Comma 6 2 6 2 3 3" xfId="45544" xr:uid="{00000000-0005-0000-0000-00004EA00000}"/>
    <cellStyle name="Comma 6 2 6 2 4" xfId="45545" xr:uid="{00000000-0005-0000-0000-00004FA00000}"/>
    <cellStyle name="Comma 6 2 6 2 4 2" xfId="45546" xr:uid="{00000000-0005-0000-0000-000050A00000}"/>
    <cellStyle name="Comma 6 2 6 2 5" xfId="45547" xr:uid="{00000000-0005-0000-0000-000051A00000}"/>
    <cellStyle name="Comma 6 2 6 2 6" xfId="45548" xr:uid="{00000000-0005-0000-0000-000052A00000}"/>
    <cellStyle name="Comma 6 2 6 3" xfId="45549" xr:uid="{00000000-0005-0000-0000-000053A00000}"/>
    <cellStyle name="Comma 6 2 6 3 2" xfId="45550" xr:uid="{00000000-0005-0000-0000-000054A00000}"/>
    <cellStyle name="Comma 6 2 6 3 2 2" xfId="45551" xr:uid="{00000000-0005-0000-0000-000055A00000}"/>
    <cellStyle name="Comma 6 2 6 3 2 3" xfId="45552" xr:uid="{00000000-0005-0000-0000-000056A00000}"/>
    <cellStyle name="Comma 6 2 6 3 3" xfId="45553" xr:uid="{00000000-0005-0000-0000-000057A00000}"/>
    <cellStyle name="Comma 6 2 6 3 3 2" xfId="45554" xr:uid="{00000000-0005-0000-0000-000058A00000}"/>
    <cellStyle name="Comma 6 2 6 3 3 3" xfId="45555" xr:uid="{00000000-0005-0000-0000-000059A00000}"/>
    <cellStyle name="Comma 6 2 6 3 4" xfId="45556" xr:uid="{00000000-0005-0000-0000-00005AA00000}"/>
    <cellStyle name="Comma 6 2 6 3 4 2" xfId="45557" xr:uid="{00000000-0005-0000-0000-00005BA00000}"/>
    <cellStyle name="Comma 6 2 6 3 5" xfId="45558" xr:uid="{00000000-0005-0000-0000-00005CA00000}"/>
    <cellStyle name="Comma 6 2 6 3 6" xfId="45559" xr:uid="{00000000-0005-0000-0000-00005DA00000}"/>
    <cellStyle name="Comma 6 2 6 4" xfId="45560" xr:uid="{00000000-0005-0000-0000-00005EA00000}"/>
    <cellStyle name="Comma 6 2 6 4 2" xfId="45561" xr:uid="{00000000-0005-0000-0000-00005FA00000}"/>
    <cellStyle name="Comma 6 2 6 4 2 2" xfId="45562" xr:uid="{00000000-0005-0000-0000-000060A00000}"/>
    <cellStyle name="Comma 6 2 6 4 2 3" xfId="45563" xr:uid="{00000000-0005-0000-0000-000061A00000}"/>
    <cellStyle name="Comma 6 2 6 4 3" xfId="45564" xr:uid="{00000000-0005-0000-0000-000062A00000}"/>
    <cellStyle name="Comma 6 2 6 4 3 2" xfId="45565" xr:uid="{00000000-0005-0000-0000-000063A00000}"/>
    <cellStyle name="Comma 6 2 6 4 4" xfId="45566" xr:uid="{00000000-0005-0000-0000-000064A00000}"/>
    <cellStyle name="Comma 6 2 6 4 5" xfId="45567" xr:uid="{00000000-0005-0000-0000-000065A00000}"/>
    <cellStyle name="Comma 6 2 6 5" xfId="45568" xr:uid="{00000000-0005-0000-0000-000066A00000}"/>
    <cellStyle name="Comma 6 2 6 5 2" xfId="45569" xr:uid="{00000000-0005-0000-0000-000067A00000}"/>
    <cellStyle name="Comma 6 2 6 5 3" xfId="45570" xr:uid="{00000000-0005-0000-0000-000068A00000}"/>
    <cellStyle name="Comma 6 2 6 6" xfId="45571" xr:uid="{00000000-0005-0000-0000-000069A00000}"/>
    <cellStyle name="Comma 6 2 6 6 2" xfId="45572" xr:uid="{00000000-0005-0000-0000-00006AA00000}"/>
    <cellStyle name="Comma 6 2 6 6 3" xfId="45573" xr:uid="{00000000-0005-0000-0000-00006BA00000}"/>
    <cellStyle name="Comma 6 2 6 7" xfId="45574" xr:uid="{00000000-0005-0000-0000-00006CA00000}"/>
    <cellStyle name="Comma 6 2 6 7 2" xfId="45575" xr:uid="{00000000-0005-0000-0000-00006DA00000}"/>
    <cellStyle name="Comma 6 2 6 8" xfId="45576" xr:uid="{00000000-0005-0000-0000-00006EA00000}"/>
    <cellStyle name="Comma 6 2 6 9" xfId="45577" xr:uid="{00000000-0005-0000-0000-00006FA00000}"/>
    <cellStyle name="Comma 6 2 7" xfId="45578" xr:uid="{00000000-0005-0000-0000-000070A00000}"/>
    <cellStyle name="Comma 6 2 7 2" xfId="45579" xr:uid="{00000000-0005-0000-0000-000071A00000}"/>
    <cellStyle name="Comma 6 2 7 2 2" xfId="45580" xr:uid="{00000000-0005-0000-0000-000072A00000}"/>
    <cellStyle name="Comma 6 2 7 2 3" xfId="45581" xr:uid="{00000000-0005-0000-0000-000073A00000}"/>
    <cellStyle name="Comma 6 2 7 3" xfId="45582" xr:uid="{00000000-0005-0000-0000-000074A00000}"/>
    <cellStyle name="Comma 6 2 7 3 2" xfId="45583" xr:uid="{00000000-0005-0000-0000-000075A00000}"/>
    <cellStyle name="Comma 6 2 7 3 3" xfId="45584" xr:uid="{00000000-0005-0000-0000-000076A00000}"/>
    <cellStyle name="Comma 6 2 7 4" xfId="45585" xr:uid="{00000000-0005-0000-0000-000077A00000}"/>
    <cellStyle name="Comma 6 2 7 4 2" xfId="45586" xr:uid="{00000000-0005-0000-0000-000078A00000}"/>
    <cellStyle name="Comma 6 2 7 5" xfId="45587" xr:uid="{00000000-0005-0000-0000-000079A00000}"/>
    <cellStyle name="Comma 6 2 7 6" xfId="45588" xr:uid="{00000000-0005-0000-0000-00007AA00000}"/>
    <cellStyle name="Comma 6 2 8" xfId="45589" xr:uid="{00000000-0005-0000-0000-00007BA00000}"/>
    <cellStyle name="Comma 6 2 8 2" xfId="45590" xr:uid="{00000000-0005-0000-0000-00007CA00000}"/>
    <cellStyle name="Comma 6 2 8 2 2" xfId="45591" xr:uid="{00000000-0005-0000-0000-00007DA00000}"/>
    <cellStyle name="Comma 6 2 8 2 3" xfId="45592" xr:uid="{00000000-0005-0000-0000-00007EA00000}"/>
    <cellStyle name="Comma 6 2 8 3" xfId="45593" xr:uid="{00000000-0005-0000-0000-00007FA00000}"/>
    <cellStyle name="Comma 6 2 8 3 2" xfId="45594" xr:uid="{00000000-0005-0000-0000-000080A00000}"/>
    <cellStyle name="Comma 6 2 8 3 3" xfId="45595" xr:uid="{00000000-0005-0000-0000-000081A00000}"/>
    <cellStyle name="Comma 6 2 8 4" xfId="45596" xr:uid="{00000000-0005-0000-0000-000082A00000}"/>
    <cellStyle name="Comma 6 2 8 4 2" xfId="45597" xr:uid="{00000000-0005-0000-0000-000083A00000}"/>
    <cellStyle name="Comma 6 2 8 5" xfId="45598" xr:uid="{00000000-0005-0000-0000-000084A00000}"/>
    <cellStyle name="Comma 6 2 8 6" xfId="45599" xr:uid="{00000000-0005-0000-0000-000085A00000}"/>
    <cellStyle name="Comma 6 2 9" xfId="45600" xr:uid="{00000000-0005-0000-0000-000086A00000}"/>
    <cellStyle name="Comma 6 2 9 2" xfId="45601" xr:uid="{00000000-0005-0000-0000-000087A00000}"/>
    <cellStyle name="Comma 6 2 9 2 2" xfId="45602" xr:uid="{00000000-0005-0000-0000-000088A00000}"/>
    <cellStyle name="Comma 6 2 9 2 3" xfId="45603" xr:uid="{00000000-0005-0000-0000-000089A00000}"/>
    <cellStyle name="Comma 6 2 9 3" xfId="45604" xr:uid="{00000000-0005-0000-0000-00008AA00000}"/>
    <cellStyle name="Comma 6 2 9 3 2" xfId="45605" xr:uid="{00000000-0005-0000-0000-00008BA00000}"/>
    <cellStyle name="Comma 6 2 9 4" xfId="45606" xr:uid="{00000000-0005-0000-0000-00008CA00000}"/>
    <cellStyle name="Comma 6 2 9 5" xfId="45607" xr:uid="{00000000-0005-0000-0000-00008DA00000}"/>
    <cellStyle name="Comma 6 3" xfId="8365" xr:uid="{00000000-0005-0000-0000-00008EA00000}"/>
    <cellStyle name="Comma 6 3 10" xfId="45608" xr:uid="{00000000-0005-0000-0000-00008FA00000}"/>
    <cellStyle name="Comma 6 3 10 2" xfId="45609" xr:uid="{00000000-0005-0000-0000-000090A00000}"/>
    <cellStyle name="Comma 6 3 10 3" xfId="45610" xr:uid="{00000000-0005-0000-0000-000091A00000}"/>
    <cellStyle name="Comma 6 3 11" xfId="45611" xr:uid="{00000000-0005-0000-0000-000092A00000}"/>
    <cellStyle name="Comma 6 3 11 2" xfId="45612" xr:uid="{00000000-0005-0000-0000-000093A00000}"/>
    <cellStyle name="Comma 6 3 12" xfId="45613" xr:uid="{00000000-0005-0000-0000-000094A00000}"/>
    <cellStyle name="Comma 6 3 13" xfId="45614" xr:uid="{00000000-0005-0000-0000-000095A00000}"/>
    <cellStyle name="Comma 6 3 14" xfId="45615" xr:uid="{00000000-0005-0000-0000-000096A00000}"/>
    <cellStyle name="Comma 6 3 2" xfId="8366" xr:uid="{00000000-0005-0000-0000-000097A00000}"/>
    <cellStyle name="Comma 6 3 2 10" xfId="45616" xr:uid="{00000000-0005-0000-0000-000098A00000}"/>
    <cellStyle name="Comma 6 3 2 10 2" xfId="45617" xr:uid="{00000000-0005-0000-0000-000099A00000}"/>
    <cellStyle name="Comma 6 3 2 11" xfId="45618" xr:uid="{00000000-0005-0000-0000-00009AA00000}"/>
    <cellStyle name="Comma 6 3 2 12" xfId="45619" xr:uid="{00000000-0005-0000-0000-00009BA00000}"/>
    <cellStyle name="Comma 6 3 2 13" xfId="45620" xr:uid="{00000000-0005-0000-0000-00009CA00000}"/>
    <cellStyle name="Comma 6 3 2 2" xfId="8367" xr:uid="{00000000-0005-0000-0000-00009DA00000}"/>
    <cellStyle name="Comma 6 3 2 2 10" xfId="45621" xr:uid="{00000000-0005-0000-0000-00009EA00000}"/>
    <cellStyle name="Comma 6 3 2 2 11" xfId="45622" xr:uid="{00000000-0005-0000-0000-00009FA00000}"/>
    <cellStyle name="Comma 6 3 2 2 2" xfId="8368" xr:uid="{00000000-0005-0000-0000-0000A0A00000}"/>
    <cellStyle name="Comma 6 3 2 2 2 10" xfId="45623" xr:uid="{00000000-0005-0000-0000-0000A1A00000}"/>
    <cellStyle name="Comma 6 3 2 2 2 2" xfId="8369" xr:uid="{00000000-0005-0000-0000-0000A2A00000}"/>
    <cellStyle name="Comma 6 3 2 2 2 2 2" xfId="45624" xr:uid="{00000000-0005-0000-0000-0000A3A00000}"/>
    <cellStyle name="Comma 6 3 2 2 2 2 2 2" xfId="45625" xr:uid="{00000000-0005-0000-0000-0000A4A00000}"/>
    <cellStyle name="Comma 6 3 2 2 2 2 2 3" xfId="45626" xr:uid="{00000000-0005-0000-0000-0000A5A00000}"/>
    <cellStyle name="Comma 6 3 2 2 2 2 3" xfId="45627" xr:uid="{00000000-0005-0000-0000-0000A6A00000}"/>
    <cellStyle name="Comma 6 3 2 2 2 2 3 2" xfId="45628" xr:uid="{00000000-0005-0000-0000-0000A7A00000}"/>
    <cellStyle name="Comma 6 3 2 2 2 2 3 3" xfId="45629" xr:uid="{00000000-0005-0000-0000-0000A8A00000}"/>
    <cellStyle name="Comma 6 3 2 2 2 2 4" xfId="45630" xr:uid="{00000000-0005-0000-0000-0000A9A00000}"/>
    <cellStyle name="Comma 6 3 2 2 2 2 4 2" xfId="45631" xr:uid="{00000000-0005-0000-0000-0000AAA00000}"/>
    <cellStyle name="Comma 6 3 2 2 2 2 5" xfId="45632" xr:uid="{00000000-0005-0000-0000-0000ABA00000}"/>
    <cellStyle name="Comma 6 3 2 2 2 2 6" xfId="45633" xr:uid="{00000000-0005-0000-0000-0000ACA00000}"/>
    <cellStyle name="Comma 6 3 2 2 2 3" xfId="45634" xr:uid="{00000000-0005-0000-0000-0000ADA00000}"/>
    <cellStyle name="Comma 6 3 2 2 2 3 2" xfId="45635" xr:uid="{00000000-0005-0000-0000-0000AEA00000}"/>
    <cellStyle name="Comma 6 3 2 2 2 3 2 2" xfId="45636" xr:uid="{00000000-0005-0000-0000-0000AFA00000}"/>
    <cellStyle name="Comma 6 3 2 2 2 3 2 3" xfId="45637" xr:uid="{00000000-0005-0000-0000-0000B0A00000}"/>
    <cellStyle name="Comma 6 3 2 2 2 3 3" xfId="45638" xr:uid="{00000000-0005-0000-0000-0000B1A00000}"/>
    <cellStyle name="Comma 6 3 2 2 2 3 3 2" xfId="45639" xr:uid="{00000000-0005-0000-0000-0000B2A00000}"/>
    <cellStyle name="Comma 6 3 2 2 2 3 3 3" xfId="45640" xr:uid="{00000000-0005-0000-0000-0000B3A00000}"/>
    <cellStyle name="Comma 6 3 2 2 2 3 4" xfId="45641" xr:uid="{00000000-0005-0000-0000-0000B4A00000}"/>
    <cellStyle name="Comma 6 3 2 2 2 3 4 2" xfId="45642" xr:uid="{00000000-0005-0000-0000-0000B5A00000}"/>
    <cellStyle name="Comma 6 3 2 2 2 3 5" xfId="45643" xr:uid="{00000000-0005-0000-0000-0000B6A00000}"/>
    <cellStyle name="Comma 6 3 2 2 2 3 6" xfId="45644" xr:uid="{00000000-0005-0000-0000-0000B7A00000}"/>
    <cellStyle name="Comma 6 3 2 2 2 4" xfId="45645" xr:uid="{00000000-0005-0000-0000-0000B8A00000}"/>
    <cellStyle name="Comma 6 3 2 2 2 4 2" xfId="45646" xr:uid="{00000000-0005-0000-0000-0000B9A00000}"/>
    <cellStyle name="Comma 6 3 2 2 2 4 2 2" xfId="45647" xr:uid="{00000000-0005-0000-0000-0000BAA00000}"/>
    <cellStyle name="Comma 6 3 2 2 2 4 2 3" xfId="45648" xr:uid="{00000000-0005-0000-0000-0000BBA00000}"/>
    <cellStyle name="Comma 6 3 2 2 2 4 3" xfId="45649" xr:uid="{00000000-0005-0000-0000-0000BCA00000}"/>
    <cellStyle name="Comma 6 3 2 2 2 4 3 2" xfId="45650" xr:uid="{00000000-0005-0000-0000-0000BDA00000}"/>
    <cellStyle name="Comma 6 3 2 2 2 4 4" xfId="45651" xr:uid="{00000000-0005-0000-0000-0000BEA00000}"/>
    <cellStyle name="Comma 6 3 2 2 2 4 5" xfId="45652" xr:uid="{00000000-0005-0000-0000-0000BFA00000}"/>
    <cellStyle name="Comma 6 3 2 2 2 5" xfId="45653" xr:uid="{00000000-0005-0000-0000-0000C0A00000}"/>
    <cellStyle name="Comma 6 3 2 2 2 5 2" xfId="45654" xr:uid="{00000000-0005-0000-0000-0000C1A00000}"/>
    <cellStyle name="Comma 6 3 2 2 2 5 3" xfId="45655" xr:uid="{00000000-0005-0000-0000-0000C2A00000}"/>
    <cellStyle name="Comma 6 3 2 2 2 6" xfId="45656" xr:uid="{00000000-0005-0000-0000-0000C3A00000}"/>
    <cellStyle name="Comma 6 3 2 2 2 6 2" xfId="45657" xr:uid="{00000000-0005-0000-0000-0000C4A00000}"/>
    <cellStyle name="Comma 6 3 2 2 2 6 3" xfId="45658" xr:uid="{00000000-0005-0000-0000-0000C5A00000}"/>
    <cellStyle name="Comma 6 3 2 2 2 7" xfId="45659" xr:uid="{00000000-0005-0000-0000-0000C6A00000}"/>
    <cellStyle name="Comma 6 3 2 2 2 7 2" xfId="45660" xr:uid="{00000000-0005-0000-0000-0000C7A00000}"/>
    <cellStyle name="Comma 6 3 2 2 2 8" xfId="45661" xr:uid="{00000000-0005-0000-0000-0000C8A00000}"/>
    <cellStyle name="Comma 6 3 2 2 2 9" xfId="45662" xr:uid="{00000000-0005-0000-0000-0000C9A00000}"/>
    <cellStyle name="Comma 6 3 2 2 3" xfId="8370" xr:uid="{00000000-0005-0000-0000-0000CAA00000}"/>
    <cellStyle name="Comma 6 3 2 2 3 2" xfId="45663" xr:uid="{00000000-0005-0000-0000-0000CBA00000}"/>
    <cellStyle name="Comma 6 3 2 2 3 2 2" xfId="45664" xr:uid="{00000000-0005-0000-0000-0000CCA00000}"/>
    <cellStyle name="Comma 6 3 2 2 3 2 3" xfId="45665" xr:uid="{00000000-0005-0000-0000-0000CDA00000}"/>
    <cellStyle name="Comma 6 3 2 2 3 3" xfId="45666" xr:uid="{00000000-0005-0000-0000-0000CEA00000}"/>
    <cellStyle name="Comma 6 3 2 2 3 3 2" xfId="45667" xr:uid="{00000000-0005-0000-0000-0000CFA00000}"/>
    <cellStyle name="Comma 6 3 2 2 3 3 3" xfId="45668" xr:uid="{00000000-0005-0000-0000-0000D0A00000}"/>
    <cellStyle name="Comma 6 3 2 2 3 4" xfId="45669" xr:uid="{00000000-0005-0000-0000-0000D1A00000}"/>
    <cellStyle name="Comma 6 3 2 2 3 4 2" xfId="45670" xr:uid="{00000000-0005-0000-0000-0000D2A00000}"/>
    <cellStyle name="Comma 6 3 2 2 3 5" xfId="45671" xr:uid="{00000000-0005-0000-0000-0000D3A00000}"/>
    <cellStyle name="Comma 6 3 2 2 3 6" xfId="45672" xr:uid="{00000000-0005-0000-0000-0000D4A00000}"/>
    <cellStyle name="Comma 6 3 2 2 3 7" xfId="45673" xr:uid="{00000000-0005-0000-0000-0000D5A00000}"/>
    <cellStyle name="Comma 6 3 2 2 4" xfId="45674" xr:uid="{00000000-0005-0000-0000-0000D6A00000}"/>
    <cellStyle name="Comma 6 3 2 2 4 2" xfId="45675" xr:uid="{00000000-0005-0000-0000-0000D7A00000}"/>
    <cellStyle name="Comma 6 3 2 2 4 2 2" xfId="45676" xr:uid="{00000000-0005-0000-0000-0000D8A00000}"/>
    <cellStyle name="Comma 6 3 2 2 4 2 3" xfId="45677" xr:uid="{00000000-0005-0000-0000-0000D9A00000}"/>
    <cellStyle name="Comma 6 3 2 2 4 3" xfId="45678" xr:uid="{00000000-0005-0000-0000-0000DAA00000}"/>
    <cellStyle name="Comma 6 3 2 2 4 3 2" xfId="45679" xr:uid="{00000000-0005-0000-0000-0000DBA00000}"/>
    <cellStyle name="Comma 6 3 2 2 4 3 3" xfId="45680" xr:uid="{00000000-0005-0000-0000-0000DCA00000}"/>
    <cellStyle name="Comma 6 3 2 2 4 4" xfId="45681" xr:uid="{00000000-0005-0000-0000-0000DDA00000}"/>
    <cellStyle name="Comma 6 3 2 2 4 4 2" xfId="45682" xr:uid="{00000000-0005-0000-0000-0000DEA00000}"/>
    <cellStyle name="Comma 6 3 2 2 4 5" xfId="45683" xr:uid="{00000000-0005-0000-0000-0000DFA00000}"/>
    <cellStyle name="Comma 6 3 2 2 4 6" xfId="45684" xr:uid="{00000000-0005-0000-0000-0000E0A00000}"/>
    <cellStyle name="Comma 6 3 2 2 5" xfId="45685" xr:uid="{00000000-0005-0000-0000-0000E1A00000}"/>
    <cellStyle name="Comma 6 3 2 2 5 2" xfId="45686" xr:uid="{00000000-0005-0000-0000-0000E2A00000}"/>
    <cellStyle name="Comma 6 3 2 2 5 2 2" xfId="45687" xr:uid="{00000000-0005-0000-0000-0000E3A00000}"/>
    <cellStyle name="Comma 6 3 2 2 5 2 3" xfId="45688" xr:uid="{00000000-0005-0000-0000-0000E4A00000}"/>
    <cellStyle name="Comma 6 3 2 2 5 3" xfId="45689" xr:uid="{00000000-0005-0000-0000-0000E5A00000}"/>
    <cellStyle name="Comma 6 3 2 2 5 3 2" xfId="45690" xr:uid="{00000000-0005-0000-0000-0000E6A00000}"/>
    <cellStyle name="Comma 6 3 2 2 5 4" xfId="45691" xr:uid="{00000000-0005-0000-0000-0000E7A00000}"/>
    <cellStyle name="Comma 6 3 2 2 5 5" xfId="45692" xr:uid="{00000000-0005-0000-0000-0000E8A00000}"/>
    <cellStyle name="Comma 6 3 2 2 6" xfId="45693" xr:uid="{00000000-0005-0000-0000-0000E9A00000}"/>
    <cellStyle name="Comma 6 3 2 2 6 2" xfId="45694" xr:uid="{00000000-0005-0000-0000-0000EAA00000}"/>
    <cellStyle name="Comma 6 3 2 2 6 3" xfId="45695" xr:uid="{00000000-0005-0000-0000-0000EBA00000}"/>
    <cellStyle name="Comma 6 3 2 2 7" xfId="45696" xr:uid="{00000000-0005-0000-0000-0000ECA00000}"/>
    <cellStyle name="Comma 6 3 2 2 7 2" xfId="45697" xr:uid="{00000000-0005-0000-0000-0000EDA00000}"/>
    <cellStyle name="Comma 6 3 2 2 7 3" xfId="45698" xr:uid="{00000000-0005-0000-0000-0000EEA00000}"/>
    <cellStyle name="Comma 6 3 2 2 8" xfId="45699" xr:uid="{00000000-0005-0000-0000-0000EFA00000}"/>
    <cellStyle name="Comma 6 3 2 2 8 2" xfId="45700" xr:uid="{00000000-0005-0000-0000-0000F0A00000}"/>
    <cellStyle name="Comma 6 3 2 2 9" xfId="45701" xr:uid="{00000000-0005-0000-0000-0000F1A00000}"/>
    <cellStyle name="Comma 6 3 2 3" xfId="8371" xr:uid="{00000000-0005-0000-0000-0000F2A00000}"/>
    <cellStyle name="Comma 6 3 2 3 10" xfId="45702" xr:uid="{00000000-0005-0000-0000-0000F3A00000}"/>
    <cellStyle name="Comma 6 3 2 3 2" xfId="8372" xr:uid="{00000000-0005-0000-0000-0000F4A00000}"/>
    <cellStyle name="Comma 6 3 2 3 2 2" xfId="45703" xr:uid="{00000000-0005-0000-0000-0000F5A00000}"/>
    <cellStyle name="Comma 6 3 2 3 2 2 2" xfId="45704" xr:uid="{00000000-0005-0000-0000-0000F6A00000}"/>
    <cellStyle name="Comma 6 3 2 3 2 2 3" xfId="45705" xr:uid="{00000000-0005-0000-0000-0000F7A00000}"/>
    <cellStyle name="Comma 6 3 2 3 2 3" xfId="45706" xr:uid="{00000000-0005-0000-0000-0000F8A00000}"/>
    <cellStyle name="Comma 6 3 2 3 2 3 2" xfId="45707" xr:uid="{00000000-0005-0000-0000-0000F9A00000}"/>
    <cellStyle name="Comma 6 3 2 3 2 3 3" xfId="45708" xr:uid="{00000000-0005-0000-0000-0000FAA00000}"/>
    <cellStyle name="Comma 6 3 2 3 2 4" xfId="45709" xr:uid="{00000000-0005-0000-0000-0000FBA00000}"/>
    <cellStyle name="Comma 6 3 2 3 2 4 2" xfId="45710" xr:uid="{00000000-0005-0000-0000-0000FCA00000}"/>
    <cellStyle name="Comma 6 3 2 3 2 5" xfId="45711" xr:uid="{00000000-0005-0000-0000-0000FDA00000}"/>
    <cellStyle name="Comma 6 3 2 3 2 6" xfId="45712" xr:uid="{00000000-0005-0000-0000-0000FEA00000}"/>
    <cellStyle name="Comma 6 3 2 3 3" xfId="45713" xr:uid="{00000000-0005-0000-0000-0000FFA00000}"/>
    <cellStyle name="Comma 6 3 2 3 3 2" xfId="45714" xr:uid="{00000000-0005-0000-0000-000000A10000}"/>
    <cellStyle name="Comma 6 3 2 3 3 2 2" xfId="45715" xr:uid="{00000000-0005-0000-0000-000001A10000}"/>
    <cellStyle name="Comma 6 3 2 3 3 2 3" xfId="45716" xr:uid="{00000000-0005-0000-0000-000002A10000}"/>
    <cellStyle name="Comma 6 3 2 3 3 3" xfId="45717" xr:uid="{00000000-0005-0000-0000-000003A10000}"/>
    <cellStyle name="Comma 6 3 2 3 3 3 2" xfId="45718" xr:uid="{00000000-0005-0000-0000-000004A10000}"/>
    <cellStyle name="Comma 6 3 2 3 3 3 3" xfId="45719" xr:uid="{00000000-0005-0000-0000-000005A10000}"/>
    <cellStyle name="Comma 6 3 2 3 3 4" xfId="45720" xr:uid="{00000000-0005-0000-0000-000006A10000}"/>
    <cellStyle name="Comma 6 3 2 3 3 4 2" xfId="45721" xr:uid="{00000000-0005-0000-0000-000007A10000}"/>
    <cellStyle name="Comma 6 3 2 3 3 5" xfId="45722" xr:uid="{00000000-0005-0000-0000-000008A10000}"/>
    <cellStyle name="Comma 6 3 2 3 3 6" xfId="45723" xr:uid="{00000000-0005-0000-0000-000009A10000}"/>
    <cellStyle name="Comma 6 3 2 3 4" xfId="45724" xr:uid="{00000000-0005-0000-0000-00000AA10000}"/>
    <cellStyle name="Comma 6 3 2 3 4 2" xfId="45725" xr:uid="{00000000-0005-0000-0000-00000BA10000}"/>
    <cellStyle name="Comma 6 3 2 3 4 2 2" xfId="45726" xr:uid="{00000000-0005-0000-0000-00000CA10000}"/>
    <cellStyle name="Comma 6 3 2 3 4 2 3" xfId="45727" xr:uid="{00000000-0005-0000-0000-00000DA10000}"/>
    <cellStyle name="Comma 6 3 2 3 4 3" xfId="45728" xr:uid="{00000000-0005-0000-0000-00000EA10000}"/>
    <cellStyle name="Comma 6 3 2 3 4 3 2" xfId="45729" xr:uid="{00000000-0005-0000-0000-00000FA10000}"/>
    <cellStyle name="Comma 6 3 2 3 4 4" xfId="45730" xr:uid="{00000000-0005-0000-0000-000010A10000}"/>
    <cellStyle name="Comma 6 3 2 3 4 5" xfId="45731" xr:uid="{00000000-0005-0000-0000-000011A10000}"/>
    <cellStyle name="Comma 6 3 2 3 5" xfId="45732" xr:uid="{00000000-0005-0000-0000-000012A10000}"/>
    <cellStyle name="Comma 6 3 2 3 5 2" xfId="45733" xr:uid="{00000000-0005-0000-0000-000013A10000}"/>
    <cellStyle name="Comma 6 3 2 3 5 3" xfId="45734" xr:uid="{00000000-0005-0000-0000-000014A10000}"/>
    <cellStyle name="Comma 6 3 2 3 6" xfId="45735" xr:uid="{00000000-0005-0000-0000-000015A10000}"/>
    <cellStyle name="Comma 6 3 2 3 6 2" xfId="45736" xr:uid="{00000000-0005-0000-0000-000016A10000}"/>
    <cellStyle name="Comma 6 3 2 3 6 3" xfId="45737" xr:uid="{00000000-0005-0000-0000-000017A10000}"/>
    <cellStyle name="Comma 6 3 2 3 7" xfId="45738" xr:uid="{00000000-0005-0000-0000-000018A10000}"/>
    <cellStyle name="Comma 6 3 2 3 7 2" xfId="45739" xr:uid="{00000000-0005-0000-0000-000019A10000}"/>
    <cellStyle name="Comma 6 3 2 3 8" xfId="45740" xr:uid="{00000000-0005-0000-0000-00001AA10000}"/>
    <cellStyle name="Comma 6 3 2 3 9" xfId="45741" xr:uid="{00000000-0005-0000-0000-00001BA10000}"/>
    <cellStyle name="Comma 6 3 2 4" xfId="8373" xr:uid="{00000000-0005-0000-0000-00001CA10000}"/>
    <cellStyle name="Comma 6 3 2 4 10" xfId="45742" xr:uid="{00000000-0005-0000-0000-00001DA10000}"/>
    <cellStyle name="Comma 6 3 2 4 2" xfId="45743" xr:uid="{00000000-0005-0000-0000-00001EA10000}"/>
    <cellStyle name="Comma 6 3 2 4 2 2" xfId="45744" xr:uid="{00000000-0005-0000-0000-00001FA10000}"/>
    <cellStyle name="Comma 6 3 2 4 2 2 2" xfId="45745" xr:uid="{00000000-0005-0000-0000-000020A10000}"/>
    <cellStyle name="Comma 6 3 2 4 2 2 3" xfId="45746" xr:uid="{00000000-0005-0000-0000-000021A10000}"/>
    <cellStyle name="Comma 6 3 2 4 2 3" xfId="45747" xr:uid="{00000000-0005-0000-0000-000022A10000}"/>
    <cellStyle name="Comma 6 3 2 4 2 3 2" xfId="45748" xr:uid="{00000000-0005-0000-0000-000023A10000}"/>
    <cellStyle name="Comma 6 3 2 4 2 3 3" xfId="45749" xr:uid="{00000000-0005-0000-0000-000024A10000}"/>
    <cellStyle name="Comma 6 3 2 4 2 4" xfId="45750" xr:uid="{00000000-0005-0000-0000-000025A10000}"/>
    <cellStyle name="Comma 6 3 2 4 2 4 2" xfId="45751" xr:uid="{00000000-0005-0000-0000-000026A10000}"/>
    <cellStyle name="Comma 6 3 2 4 2 5" xfId="45752" xr:uid="{00000000-0005-0000-0000-000027A10000}"/>
    <cellStyle name="Comma 6 3 2 4 2 6" xfId="45753" xr:uid="{00000000-0005-0000-0000-000028A10000}"/>
    <cellStyle name="Comma 6 3 2 4 3" xfId="45754" xr:uid="{00000000-0005-0000-0000-000029A10000}"/>
    <cellStyle name="Comma 6 3 2 4 3 2" xfId="45755" xr:uid="{00000000-0005-0000-0000-00002AA10000}"/>
    <cellStyle name="Comma 6 3 2 4 3 2 2" xfId="45756" xr:uid="{00000000-0005-0000-0000-00002BA10000}"/>
    <cellStyle name="Comma 6 3 2 4 3 2 3" xfId="45757" xr:uid="{00000000-0005-0000-0000-00002CA10000}"/>
    <cellStyle name="Comma 6 3 2 4 3 3" xfId="45758" xr:uid="{00000000-0005-0000-0000-00002DA10000}"/>
    <cellStyle name="Comma 6 3 2 4 3 3 2" xfId="45759" xr:uid="{00000000-0005-0000-0000-00002EA10000}"/>
    <cellStyle name="Comma 6 3 2 4 3 3 3" xfId="45760" xr:uid="{00000000-0005-0000-0000-00002FA10000}"/>
    <cellStyle name="Comma 6 3 2 4 3 4" xfId="45761" xr:uid="{00000000-0005-0000-0000-000030A10000}"/>
    <cellStyle name="Comma 6 3 2 4 3 4 2" xfId="45762" xr:uid="{00000000-0005-0000-0000-000031A10000}"/>
    <cellStyle name="Comma 6 3 2 4 3 5" xfId="45763" xr:uid="{00000000-0005-0000-0000-000032A10000}"/>
    <cellStyle name="Comma 6 3 2 4 3 6" xfId="45764" xr:uid="{00000000-0005-0000-0000-000033A10000}"/>
    <cellStyle name="Comma 6 3 2 4 4" xfId="45765" xr:uid="{00000000-0005-0000-0000-000034A10000}"/>
    <cellStyle name="Comma 6 3 2 4 4 2" xfId="45766" xr:uid="{00000000-0005-0000-0000-000035A10000}"/>
    <cellStyle name="Comma 6 3 2 4 4 2 2" xfId="45767" xr:uid="{00000000-0005-0000-0000-000036A10000}"/>
    <cellStyle name="Comma 6 3 2 4 4 2 3" xfId="45768" xr:uid="{00000000-0005-0000-0000-000037A10000}"/>
    <cellStyle name="Comma 6 3 2 4 4 3" xfId="45769" xr:uid="{00000000-0005-0000-0000-000038A10000}"/>
    <cellStyle name="Comma 6 3 2 4 4 3 2" xfId="45770" xr:uid="{00000000-0005-0000-0000-000039A10000}"/>
    <cellStyle name="Comma 6 3 2 4 4 4" xfId="45771" xr:uid="{00000000-0005-0000-0000-00003AA10000}"/>
    <cellStyle name="Comma 6 3 2 4 4 5" xfId="45772" xr:uid="{00000000-0005-0000-0000-00003BA10000}"/>
    <cellStyle name="Comma 6 3 2 4 5" xfId="45773" xr:uid="{00000000-0005-0000-0000-00003CA10000}"/>
    <cellStyle name="Comma 6 3 2 4 5 2" xfId="45774" xr:uid="{00000000-0005-0000-0000-00003DA10000}"/>
    <cellStyle name="Comma 6 3 2 4 5 3" xfId="45775" xr:uid="{00000000-0005-0000-0000-00003EA10000}"/>
    <cellStyle name="Comma 6 3 2 4 6" xfId="45776" xr:uid="{00000000-0005-0000-0000-00003FA10000}"/>
    <cellStyle name="Comma 6 3 2 4 6 2" xfId="45777" xr:uid="{00000000-0005-0000-0000-000040A10000}"/>
    <cellStyle name="Comma 6 3 2 4 6 3" xfId="45778" xr:uid="{00000000-0005-0000-0000-000041A10000}"/>
    <cellStyle name="Comma 6 3 2 4 7" xfId="45779" xr:uid="{00000000-0005-0000-0000-000042A10000}"/>
    <cellStyle name="Comma 6 3 2 4 7 2" xfId="45780" xr:uid="{00000000-0005-0000-0000-000043A10000}"/>
    <cellStyle name="Comma 6 3 2 4 8" xfId="45781" xr:uid="{00000000-0005-0000-0000-000044A10000}"/>
    <cellStyle name="Comma 6 3 2 4 9" xfId="45782" xr:uid="{00000000-0005-0000-0000-000045A10000}"/>
    <cellStyle name="Comma 6 3 2 5" xfId="45783" xr:uid="{00000000-0005-0000-0000-000046A10000}"/>
    <cellStyle name="Comma 6 3 2 5 2" xfId="45784" xr:uid="{00000000-0005-0000-0000-000047A10000}"/>
    <cellStyle name="Comma 6 3 2 5 2 2" xfId="45785" xr:uid="{00000000-0005-0000-0000-000048A10000}"/>
    <cellStyle name="Comma 6 3 2 5 2 3" xfId="45786" xr:uid="{00000000-0005-0000-0000-000049A10000}"/>
    <cellStyle name="Comma 6 3 2 5 3" xfId="45787" xr:uid="{00000000-0005-0000-0000-00004AA10000}"/>
    <cellStyle name="Comma 6 3 2 5 3 2" xfId="45788" xr:uid="{00000000-0005-0000-0000-00004BA10000}"/>
    <cellStyle name="Comma 6 3 2 5 3 3" xfId="45789" xr:uid="{00000000-0005-0000-0000-00004CA10000}"/>
    <cellStyle name="Comma 6 3 2 5 4" xfId="45790" xr:uid="{00000000-0005-0000-0000-00004DA10000}"/>
    <cellStyle name="Comma 6 3 2 5 4 2" xfId="45791" xr:uid="{00000000-0005-0000-0000-00004EA10000}"/>
    <cellStyle name="Comma 6 3 2 5 5" xfId="45792" xr:uid="{00000000-0005-0000-0000-00004FA10000}"/>
    <cellStyle name="Comma 6 3 2 5 6" xfId="45793" xr:uid="{00000000-0005-0000-0000-000050A10000}"/>
    <cellStyle name="Comma 6 3 2 6" xfId="45794" xr:uid="{00000000-0005-0000-0000-000051A10000}"/>
    <cellStyle name="Comma 6 3 2 6 2" xfId="45795" xr:uid="{00000000-0005-0000-0000-000052A10000}"/>
    <cellStyle name="Comma 6 3 2 6 2 2" xfId="45796" xr:uid="{00000000-0005-0000-0000-000053A10000}"/>
    <cellStyle name="Comma 6 3 2 6 2 3" xfId="45797" xr:uid="{00000000-0005-0000-0000-000054A10000}"/>
    <cellStyle name="Comma 6 3 2 6 3" xfId="45798" xr:uid="{00000000-0005-0000-0000-000055A10000}"/>
    <cellStyle name="Comma 6 3 2 6 3 2" xfId="45799" xr:uid="{00000000-0005-0000-0000-000056A10000}"/>
    <cellStyle name="Comma 6 3 2 6 3 3" xfId="45800" xr:uid="{00000000-0005-0000-0000-000057A10000}"/>
    <cellStyle name="Comma 6 3 2 6 4" xfId="45801" xr:uid="{00000000-0005-0000-0000-000058A10000}"/>
    <cellStyle name="Comma 6 3 2 6 4 2" xfId="45802" xr:uid="{00000000-0005-0000-0000-000059A10000}"/>
    <cellStyle name="Comma 6 3 2 6 5" xfId="45803" xr:uid="{00000000-0005-0000-0000-00005AA10000}"/>
    <cellStyle name="Comma 6 3 2 6 6" xfId="45804" xr:uid="{00000000-0005-0000-0000-00005BA10000}"/>
    <cellStyle name="Comma 6 3 2 7" xfId="45805" xr:uid="{00000000-0005-0000-0000-00005CA10000}"/>
    <cellStyle name="Comma 6 3 2 7 2" xfId="45806" xr:uid="{00000000-0005-0000-0000-00005DA10000}"/>
    <cellStyle name="Comma 6 3 2 7 2 2" xfId="45807" xr:uid="{00000000-0005-0000-0000-00005EA10000}"/>
    <cellStyle name="Comma 6 3 2 7 2 3" xfId="45808" xr:uid="{00000000-0005-0000-0000-00005FA10000}"/>
    <cellStyle name="Comma 6 3 2 7 3" xfId="45809" xr:uid="{00000000-0005-0000-0000-000060A10000}"/>
    <cellStyle name="Comma 6 3 2 7 3 2" xfId="45810" xr:uid="{00000000-0005-0000-0000-000061A10000}"/>
    <cellStyle name="Comma 6 3 2 7 4" xfId="45811" xr:uid="{00000000-0005-0000-0000-000062A10000}"/>
    <cellStyle name="Comma 6 3 2 7 5" xfId="45812" xr:uid="{00000000-0005-0000-0000-000063A10000}"/>
    <cellStyle name="Comma 6 3 2 8" xfId="45813" xr:uid="{00000000-0005-0000-0000-000064A10000}"/>
    <cellStyle name="Comma 6 3 2 8 2" xfId="45814" xr:uid="{00000000-0005-0000-0000-000065A10000}"/>
    <cellStyle name="Comma 6 3 2 8 3" xfId="45815" xr:uid="{00000000-0005-0000-0000-000066A10000}"/>
    <cellStyle name="Comma 6 3 2 9" xfId="45816" xr:uid="{00000000-0005-0000-0000-000067A10000}"/>
    <cellStyle name="Comma 6 3 2 9 2" xfId="45817" xr:uid="{00000000-0005-0000-0000-000068A10000}"/>
    <cellStyle name="Comma 6 3 2 9 3" xfId="45818" xr:uid="{00000000-0005-0000-0000-000069A10000}"/>
    <cellStyle name="Comma 6 3 3" xfId="8374" xr:uid="{00000000-0005-0000-0000-00006AA10000}"/>
    <cellStyle name="Comma 6 3 3 10" xfId="45819" xr:uid="{00000000-0005-0000-0000-00006BA10000}"/>
    <cellStyle name="Comma 6 3 3 11" xfId="45820" xr:uid="{00000000-0005-0000-0000-00006CA10000}"/>
    <cellStyle name="Comma 6 3 3 2" xfId="8375" xr:uid="{00000000-0005-0000-0000-00006DA10000}"/>
    <cellStyle name="Comma 6 3 3 2 10" xfId="45821" xr:uid="{00000000-0005-0000-0000-00006EA10000}"/>
    <cellStyle name="Comma 6 3 3 2 2" xfId="8376" xr:uid="{00000000-0005-0000-0000-00006FA10000}"/>
    <cellStyle name="Comma 6 3 3 2 2 2" xfId="45822" xr:uid="{00000000-0005-0000-0000-000070A10000}"/>
    <cellStyle name="Comma 6 3 3 2 2 2 2" xfId="45823" xr:uid="{00000000-0005-0000-0000-000071A10000}"/>
    <cellStyle name="Comma 6 3 3 2 2 2 3" xfId="45824" xr:uid="{00000000-0005-0000-0000-000072A10000}"/>
    <cellStyle name="Comma 6 3 3 2 2 3" xfId="45825" xr:uid="{00000000-0005-0000-0000-000073A10000}"/>
    <cellStyle name="Comma 6 3 3 2 2 3 2" xfId="45826" xr:uid="{00000000-0005-0000-0000-000074A10000}"/>
    <cellStyle name="Comma 6 3 3 2 2 3 3" xfId="45827" xr:uid="{00000000-0005-0000-0000-000075A10000}"/>
    <cellStyle name="Comma 6 3 3 2 2 4" xfId="45828" xr:uid="{00000000-0005-0000-0000-000076A10000}"/>
    <cellStyle name="Comma 6 3 3 2 2 4 2" xfId="45829" xr:uid="{00000000-0005-0000-0000-000077A10000}"/>
    <cellStyle name="Comma 6 3 3 2 2 5" xfId="45830" xr:uid="{00000000-0005-0000-0000-000078A10000}"/>
    <cellStyle name="Comma 6 3 3 2 2 6" xfId="45831" xr:uid="{00000000-0005-0000-0000-000079A10000}"/>
    <cellStyle name="Comma 6 3 3 2 2 7" xfId="45832" xr:uid="{00000000-0005-0000-0000-00007AA10000}"/>
    <cellStyle name="Comma 6 3 3 2 3" xfId="45833" xr:uid="{00000000-0005-0000-0000-00007BA10000}"/>
    <cellStyle name="Comma 6 3 3 2 3 2" xfId="45834" xr:uid="{00000000-0005-0000-0000-00007CA10000}"/>
    <cellStyle name="Comma 6 3 3 2 3 2 2" xfId="45835" xr:uid="{00000000-0005-0000-0000-00007DA10000}"/>
    <cellStyle name="Comma 6 3 3 2 3 2 3" xfId="45836" xr:uid="{00000000-0005-0000-0000-00007EA10000}"/>
    <cellStyle name="Comma 6 3 3 2 3 3" xfId="45837" xr:uid="{00000000-0005-0000-0000-00007FA10000}"/>
    <cellStyle name="Comma 6 3 3 2 3 3 2" xfId="45838" xr:uid="{00000000-0005-0000-0000-000080A10000}"/>
    <cellStyle name="Comma 6 3 3 2 3 3 3" xfId="45839" xr:uid="{00000000-0005-0000-0000-000081A10000}"/>
    <cellStyle name="Comma 6 3 3 2 3 4" xfId="45840" xr:uid="{00000000-0005-0000-0000-000082A10000}"/>
    <cellStyle name="Comma 6 3 3 2 3 4 2" xfId="45841" xr:uid="{00000000-0005-0000-0000-000083A10000}"/>
    <cellStyle name="Comma 6 3 3 2 3 5" xfId="45842" xr:uid="{00000000-0005-0000-0000-000084A10000}"/>
    <cellStyle name="Comma 6 3 3 2 3 6" xfId="45843" xr:uid="{00000000-0005-0000-0000-000085A10000}"/>
    <cellStyle name="Comma 6 3 3 2 4" xfId="45844" xr:uid="{00000000-0005-0000-0000-000086A10000}"/>
    <cellStyle name="Comma 6 3 3 2 4 2" xfId="45845" xr:uid="{00000000-0005-0000-0000-000087A10000}"/>
    <cellStyle name="Comma 6 3 3 2 4 2 2" xfId="45846" xr:uid="{00000000-0005-0000-0000-000088A10000}"/>
    <cellStyle name="Comma 6 3 3 2 4 2 3" xfId="45847" xr:uid="{00000000-0005-0000-0000-000089A10000}"/>
    <cellStyle name="Comma 6 3 3 2 4 3" xfId="45848" xr:uid="{00000000-0005-0000-0000-00008AA10000}"/>
    <cellStyle name="Comma 6 3 3 2 4 3 2" xfId="45849" xr:uid="{00000000-0005-0000-0000-00008BA10000}"/>
    <cellStyle name="Comma 6 3 3 2 4 4" xfId="45850" xr:uid="{00000000-0005-0000-0000-00008CA10000}"/>
    <cellStyle name="Comma 6 3 3 2 4 5" xfId="45851" xr:uid="{00000000-0005-0000-0000-00008DA10000}"/>
    <cellStyle name="Comma 6 3 3 2 5" xfId="45852" xr:uid="{00000000-0005-0000-0000-00008EA10000}"/>
    <cellStyle name="Comma 6 3 3 2 5 2" xfId="45853" xr:uid="{00000000-0005-0000-0000-00008FA10000}"/>
    <cellStyle name="Comma 6 3 3 2 5 3" xfId="45854" xr:uid="{00000000-0005-0000-0000-000090A10000}"/>
    <cellStyle name="Comma 6 3 3 2 6" xfId="45855" xr:uid="{00000000-0005-0000-0000-000091A10000}"/>
    <cellStyle name="Comma 6 3 3 2 6 2" xfId="45856" xr:uid="{00000000-0005-0000-0000-000092A10000}"/>
    <cellStyle name="Comma 6 3 3 2 6 3" xfId="45857" xr:uid="{00000000-0005-0000-0000-000093A10000}"/>
    <cellStyle name="Comma 6 3 3 2 7" xfId="45858" xr:uid="{00000000-0005-0000-0000-000094A10000}"/>
    <cellStyle name="Comma 6 3 3 2 7 2" xfId="45859" xr:uid="{00000000-0005-0000-0000-000095A10000}"/>
    <cellStyle name="Comma 6 3 3 2 8" xfId="45860" xr:uid="{00000000-0005-0000-0000-000096A10000}"/>
    <cellStyle name="Comma 6 3 3 2 9" xfId="45861" xr:uid="{00000000-0005-0000-0000-000097A10000}"/>
    <cellStyle name="Comma 6 3 3 3" xfId="8377" xr:uid="{00000000-0005-0000-0000-000098A10000}"/>
    <cellStyle name="Comma 6 3 3 3 2" xfId="45862" xr:uid="{00000000-0005-0000-0000-000099A10000}"/>
    <cellStyle name="Comma 6 3 3 3 2 2" xfId="45863" xr:uid="{00000000-0005-0000-0000-00009AA10000}"/>
    <cellStyle name="Comma 6 3 3 3 2 3" xfId="45864" xr:uid="{00000000-0005-0000-0000-00009BA10000}"/>
    <cellStyle name="Comma 6 3 3 3 3" xfId="45865" xr:uid="{00000000-0005-0000-0000-00009CA10000}"/>
    <cellStyle name="Comma 6 3 3 3 3 2" xfId="45866" xr:uid="{00000000-0005-0000-0000-00009DA10000}"/>
    <cellStyle name="Comma 6 3 3 3 3 3" xfId="45867" xr:uid="{00000000-0005-0000-0000-00009EA10000}"/>
    <cellStyle name="Comma 6 3 3 3 4" xfId="45868" xr:uid="{00000000-0005-0000-0000-00009FA10000}"/>
    <cellStyle name="Comma 6 3 3 3 4 2" xfId="45869" xr:uid="{00000000-0005-0000-0000-0000A0A10000}"/>
    <cellStyle name="Comma 6 3 3 3 5" xfId="45870" xr:uid="{00000000-0005-0000-0000-0000A1A10000}"/>
    <cellStyle name="Comma 6 3 3 3 6" xfId="45871" xr:uid="{00000000-0005-0000-0000-0000A2A10000}"/>
    <cellStyle name="Comma 6 3 3 3 7" xfId="45872" xr:uid="{00000000-0005-0000-0000-0000A3A10000}"/>
    <cellStyle name="Comma 6 3 3 4" xfId="45873" xr:uid="{00000000-0005-0000-0000-0000A4A10000}"/>
    <cellStyle name="Comma 6 3 3 4 2" xfId="45874" xr:uid="{00000000-0005-0000-0000-0000A5A10000}"/>
    <cellStyle name="Comma 6 3 3 4 2 2" xfId="45875" xr:uid="{00000000-0005-0000-0000-0000A6A10000}"/>
    <cellStyle name="Comma 6 3 3 4 2 3" xfId="45876" xr:uid="{00000000-0005-0000-0000-0000A7A10000}"/>
    <cellStyle name="Comma 6 3 3 4 3" xfId="45877" xr:uid="{00000000-0005-0000-0000-0000A8A10000}"/>
    <cellStyle name="Comma 6 3 3 4 3 2" xfId="45878" xr:uid="{00000000-0005-0000-0000-0000A9A10000}"/>
    <cellStyle name="Comma 6 3 3 4 3 3" xfId="45879" xr:uid="{00000000-0005-0000-0000-0000AAA10000}"/>
    <cellStyle name="Comma 6 3 3 4 4" xfId="45880" xr:uid="{00000000-0005-0000-0000-0000ABA10000}"/>
    <cellStyle name="Comma 6 3 3 4 4 2" xfId="45881" xr:uid="{00000000-0005-0000-0000-0000ACA10000}"/>
    <cellStyle name="Comma 6 3 3 4 5" xfId="45882" xr:uid="{00000000-0005-0000-0000-0000ADA10000}"/>
    <cellStyle name="Comma 6 3 3 4 6" xfId="45883" xr:uid="{00000000-0005-0000-0000-0000AEA10000}"/>
    <cellStyle name="Comma 6 3 3 5" xfId="45884" xr:uid="{00000000-0005-0000-0000-0000AFA10000}"/>
    <cellStyle name="Comma 6 3 3 5 2" xfId="45885" xr:uid="{00000000-0005-0000-0000-0000B0A10000}"/>
    <cellStyle name="Comma 6 3 3 5 2 2" xfId="45886" xr:uid="{00000000-0005-0000-0000-0000B1A10000}"/>
    <cellStyle name="Comma 6 3 3 5 2 3" xfId="45887" xr:uid="{00000000-0005-0000-0000-0000B2A10000}"/>
    <cellStyle name="Comma 6 3 3 5 3" xfId="45888" xr:uid="{00000000-0005-0000-0000-0000B3A10000}"/>
    <cellStyle name="Comma 6 3 3 5 3 2" xfId="45889" xr:uid="{00000000-0005-0000-0000-0000B4A10000}"/>
    <cellStyle name="Comma 6 3 3 5 4" xfId="45890" xr:uid="{00000000-0005-0000-0000-0000B5A10000}"/>
    <cellStyle name="Comma 6 3 3 5 5" xfId="45891" xr:uid="{00000000-0005-0000-0000-0000B6A10000}"/>
    <cellStyle name="Comma 6 3 3 6" xfId="45892" xr:uid="{00000000-0005-0000-0000-0000B7A10000}"/>
    <cellStyle name="Comma 6 3 3 6 2" xfId="45893" xr:uid="{00000000-0005-0000-0000-0000B8A10000}"/>
    <cellStyle name="Comma 6 3 3 6 3" xfId="45894" xr:uid="{00000000-0005-0000-0000-0000B9A10000}"/>
    <cellStyle name="Comma 6 3 3 7" xfId="45895" xr:uid="{00000000-0005-0000-0000-0000BAA10000}"/>
    <cellStyle name="Comma 6 3 3 7 2" xfId="45896" xr:uid="{00000000-0005-0000-0000-0000BBA10000}"/>
    <cellStyle name="Comma 6 3 3 7 3" xfId="45897" xr:uid="{00000000-0005-0000-0000-0000BCA10000}"/>
    <cellStyle name="Comma 6 3 3 8" xfId="45898" xr:uid="{00000000-0005-0000-0000-0000BDA10000}"/>
    <cellStyle name="Comma 6 3 3 8 2" xfId="45899" xr:uid="{00000000-0005-0000-0000-0000BEA10000}"/>
    <cellStyle name="Comma 6 3 3 9" xfId="45900" xr:uid="{00000000-0005-0000-0000-0000BFA10000}"/>
    <cellStyle name="Comma 6 3 4" xfId="8378" xr:uid="{00000000-0005-0000-0000-0000C0A10000}"/>
    <cellStyle name="Comma 6 3 4 10" xfId="45901" xr:uid="{00000000-0005-0000-0000-0000C1A10000}"/>
    <cellStyle name="Comma 6 3 4 2" xfId="8379" xr:uid="{00000000-0005-0000-0000-0000C2A10000}"/>
    <cellStyle name="Comma 6 3 4 2 2" xfId="45902" xr:uid="{00000000-0005-0000-0000-0000C3A10000}"/>
    <cellStyle name="Comma 6 3 4 2 2 2" xfId="45903" xr:uid="{00000000-0005-0000-0000-0000C4A10000}"/>
    <cellStyle name="Comma 6 3 4 2 2 3" xfId="45904" xr:uid="{00000000-0005-0000-0000-0000C5A10000}"/>
    <cellStyle name="Comma 6 3 4 2 3" xfId="45905" xr:uid="{00000000-0005-0000-0000-0000C6A10000}"/>
    <cellStyle name="Comma 6 3 4 2 3 2" xfId="45906" xr:uid="{00000000-0005-0000-0000-0000C7A10000}"/>
    <cellStyle name="Comma 6 3 4 2 3 3" xfId="45907" xr:uid="{00000000-0005-0000-0000-0000C8A10000}"/>
    <cellStyle name="Comma 6 3 4 2 4" xfId="45908" xr:uid="{00000000-0005-0000-0000-0000C9A10000}"/>
    <cellStyle name="Comma 6 3 4 2 4 2" xfId="45909" xr:uid="{00000000-0005-0000-0000-0000CAA10000}"/>
    <cellStyle name="Comma 6 3 4 2 5" xfId="45910" xr:uid="{00000000-0005-0000-0000-0000CBA10000}"/>
    <cellStyle name="Comma 6 3 4 2 6" xfId="45911" xr:uid="{00000000-0005-0000-0000-0000CCA10000}"/>
    <cellStyle name="Comma 6 3 4 2 7" xfId="45912" xr:uid="{00000000-0005-0000-0000-0000CDA10000}"/>
    <cellStyle name="Comma 6 3 4 3" xfId="45913" xr:uid="{00000000-0005-0000-0000-0000CEA10000}"/>
    <cellStyle name="Comma 6 3 4 3 2" xfId="45914" xr:uid="{00000000-0005-0000-0000-0000CFA10000}"/>
    <cellStyle name="Comma 6 3 4 3 2 2" xfId="45915" xr:uid="{00000000-0005-0000-0000-0000D0A10000}"/>
    <cellStyle name="Comma 6 3 4 3 2 3" xfId="45916" xr:uid="{00000000-0005-0000-0000-0000D1A10000}"/>
    <cellStyle name="Comma 6 3 4 3 3" xfId="45917" xr:uid="{00000000-0005-0000-0000-0000D2A10000}"/>
    <cellStyle name="Comma 6 3 4 3 3 2" xfId="45918" xr:uid="{00000000-0005-0000-0000-0000D3A10000}"/>
    <cellStyle name="Comma 6 3 4 3 3 3" xfId="45919" xr:uid="{00000000-0005-0000-0000-0000D4A10000}"/>
    <cellStyle name="Comma 6 3 4 3 4" xfId="45920" xr:uid="{00000000-0005-0000-0000-0000D5A10000}"/>
    <cellStyle name="Comma 6 3 4 3 4 2" xfId="45921" xr:uid="{00000000-0005-0000-0000-0000D6A10000}"/>
    <cellStyle name="Comma 6 3 4 3 5" xfId="45922" xr:uid="{00000000-0005-0000-0000-0000D7A10000}"/>
    <cellStyle name="Comma 6 3 4 3 6" xfId="45923" xr:uid="{00000000-0005-0000-0000-0000D8A10000}"/>
    <cellStyle name="Comma 6 3 4 4" xfId="45924" xr:uid="{00000000-0005-0000-0000-0000D9A10000}"/>
    <cellStyle name="Comma 6 3 4 4 2" xfId="45925" xr:uid="{00000000-0005-0000-0000-0000DAA10000}"/>
    <cellStyle name="Comma 6 3 4 4 2 2" xfId="45926" xr:uid="{00000000-0005-0000-0000-0000DBA10000}"/>
    <cellStyle name="Comma 6 3 4 4 2 3" xfId="45927" xr:uid="{00000000-0005-0000-0000-0000DCA10000}"/>
    <cellStyle name="Comma 6 3 4 4 3" xfId="45928" xr:uid="{00000000-0005-0000-0000-0000DDA10000}"/>
    <cellStyle name="Comma 6 3 4 4 3 2" xfId="45929" xr:uid="{00000000-0005-0000-0000-0000DEA10000}"/>
    <cellStyle name="Comma 6 3 4 4 4" xfId="45930" xr:uid="{00000000-0005-0000-0000-0000DFA10000}"/>
    <cellStyle name="Comma 6 3 4 4 5" xfId="45931" xr:uid="{00000000-0005-0000-0000-0000E0A10000}"/>
    <cellStyle name="Comma 6 3 4 5" xfId="45932" xr:uid="{00000000-0005-0000-0000-0000E1A10000}"/>
    <cellStyle name="Comma 6 3 4 5 2" xfId="45933" xr:uid="{00000000-0005-0000-0000-0000E2A10000}"/>
    <cellStyle name="Comma 6 3 4 5 3" xfId="45934" xr:uid="{00000000-0005-0000-0000-0000E3A10000}"/>
    <cellStyle name="Comma 6 3 4 6" xfId="45935" xr:uid="{00000000-0005-0000-0000-0000E4A10000}"/>
    <cellStyle name="Comma 6 3 4 6 2" xfId="45936" xr:uid="{00000000-0005-0000-0000-0000E5A10000}"/>
    <cellStyle name="Comma 6 3 4 6 3" xfId="45937" xr:uid="{00000000-0005-0000-0000-0000E6A10000}"/>
    <cellStyle name="Comma 6 3 4 7" xfId="45938" xr:uid="{00000000-0005-0000-0000-0000E7A10000}"/>
    <cellStyle name="Comma 6 3 4 7 2" xfId="45939" xr:uid="{00000000-0005-0000-0000-0000E8A10000}"/>
    <cellStyle name="Comma 6 3 4 8" xfId="45940" xr:uid="{00000000-0005-0000-0000-0000E9A10000}"/>
    <cellStyle name="Comma 6 3 4 9" xfId="45941" xr:uid="{00000000-0005-0000-0000-0000EAA10000}"/>
    <cellStyle name="Comma 6 3 5" xfId="8380" xr:uid="{00000000-0005-0000-0000-0000EBA10000}"/>
    <cellStyle name="Comma 6 3 5 10" xfId="45942" xr:uid="{00000000-0005-0000-0000-0000ECA10000}"/>
    <cellStyle name="Comma 6 3 5 2" xfId="8381" xr:uid="{00000000-0005-0000-0000-0000EDA10000}"/>
    <cellStyle name="Comma 6 3 5 2 2" xfId="45943" xr:uid="{00000000-0005-0000-0000-0000EEA10000}"/>
    <cellStyle name="Comma 6 3 5 2 2 2" xfId="45944" xr:uid="{00000000-0005-0000-0000-0000EFA10000}"/>
    <cellStyle name="Comma 6 3 5 2 2 3" xfId="45945" xr:uid="{00000000-0005-0000-0000-0000F0A10000}"/>
    <cellStyle name="Comma 6 3 5 2 3" xfId="45946" xr:uid="{00000000-0005-0000-0000-0000F1A10000}"/>
    <cellStyle name="Comma 6 3 5 2 3 2" xfId="45947" xr:uid="{00000000-0005-0000-0000-0000F2A10000}"/>
    <cellStyle name="Comma 6 3 5 2 3 3" xfId="45948" xr:uid="{00000000-0005-0000-0000-0000F3A10000}"/>
    <cellStyle name="Comma 6 3 5 2 4" xfId="45949" xr:uid="{00000000-0005-0000-0000-0000F4A10000}"/>
    <cellStyle name="Comma 6 3 5 2 4 2" xfId="45950" xr:uid="{00000000-0005-0000-0000-0000F5A10000}"/>
    <cellStyle name="Comma 6 3 5 2 5" xfId="45951" xr:uid="{00000000-0005-0000-0000-0000F6A10000}"/>
    <cellStyle name="Comma 6 3 5 2 6" xfId="45952" xr:uid="{00000000-0005-0000-0000-0000F7A10000}"/>
    <cellStyle name="Comma 6 3 5 2 7" xfId="45953" xr:uid="{00000000-0005-0000-0000-0000F8A10000}"/>
    <cellStyle name="Comma 6 3 5 3" xfId="45954" xr:uid="{00000000-0005-0000-0000-0000F9A10000}"/>
    <cellStyle name="Comma 6 3 5 3 2" xfId="45955" xr:uid="{00000000-0005-0000-0000-0000FAA10000}"/>
    <cellStyle name="Comma 6 3 5 3 2 2" xfId="45956" xr:uid="{00000000-0005-0000-0000-0000FBA10000}"/>
    <cellStyle name="Comma 6 3 5 3 2 3" xfId="45957" xr:uid="{00000000-0005-0000-0000-0000FCA10000}"/>
    <cellStyle name="Comma 6 3 5 3 3" xfId="45958" xr:uid="{00000000-0005-0000-0000-0000FDA10000}"/>
    <cellStyle name="Comma 6 3 5 3 3 2" xfId="45959" xr:uid="{00000000-0005-0000-0000-0000FEA10000}"/>
    <cellStyle name="Comma 6 3 5 3 3 3" xfId="45960" xr:uid="{00000000-0005-0000-0000-0000FFA10000}"/>
    <cellStyle name="Comma 6 3 5 3 4" xfId="45961" xr:uid="{00000000-0005-0000-0000-000000A20000}"/>
    <cellStyle name="Comma 6 3 5 3 4 2" xfId="45962" xr:uid="{00000000-0005-0000-0000-000001A20000}"/>
    <cellStyle name="Comma 6 3 5 3 5" xfId="45963" xr:uid="{00000000-0005-0000-0000-000002A20000}"/>
    <cellStyle name="Comma 6 3 5 3 6" xfId="45964" xr:uid="{00000000-0005-0000-0000-000003A20000}"/>
    <cellStyle name="Comma 6 3 5 4" xfId="45965" xr:uid="{00000000-0005-0000-0000-000004A20000}"/>
    <cellStyle name="Comma 6 3 5 4 2" xfId="45966" xr:uid="{00000000-0005-0000-0000-000005A20000}"/>
    <cellStyle name="Comma 6 3 5 4 2 2" xfId="45967" xr:uid="{00000000-0005-0000-0000-000006A20000}"/>
    <cellStyle name="Comma 6 3 5 4 2 3" xfId="45968" xr:uid="{00000000-0005-0000-0000-000007A20000}"/>
    <cellStyle name="Comma 6 3 5 4 3" xfId="45969" xr:uid="{00000000-0005-0000-0000-000008A20000}"/>
    <cellStyle name="Comma 6 3 5 4 3 2" xfId="45970" xr:uid="{00000000-0005-0000-0000-000009A20000}"/>
    <cellStyle name="Comma 6 3 5 4 4" xfId="45971" xr:uid="{00000000-0005-0000-0000-00000AA20000}"/>
    <cellStyle name="Comma 6 3 5 4 5" xfId="45972" xr:uid="{00000000-0005-0000-0000-00000BA20000}"/>
    <cellStyle name="Comma 6 3 5 5" xfId="45973" xr:uid="{00000000-0005-0000-0000-00000CA20000}"/>
    <cellStyle name="Comma 6 3 5 5 2" xfId="45974" xr:uid="{00000000-0005-0000-0000-00000DA20000}"/>
    <cellStyle name="Comma 6 3 5 5 3" xfId="45975" xr:uid="{00000000-0005-0000-0000-00000EA20000}"/>
    <cellStyle name="Comma 6 3 5 6" xfId="45976" xr:uid="{00000000-0005-0000-0000-00000FA20000}"/>
    <cellStyle name="Comma 6 3 5 6 2" xfId="45977" xr:uid="{00000000-0005-0000-0000-000010A20000}"/>
    <cellStyle name="Comma 6 3 5 6 3" xfId="45978" xr:uid="{00000000-0005-0000-0000-000011A20000}"/>
    <cellStyle name="Comma 6 3 5 7" xfId="45979" xr:uid="{00000000-0005-0000-0000-000012A20000}"/>
    <cellStyle name="Comma 6 3 5 7 2" xfId="45980" xr:uid="{00000000-0005-0000-0000-000013A20000}"/>
    <cellStyle name="Comma 6 3 5 8" xfId="45981" xr:uid="{00000000-0005-0000-0000-000014A20000}"/>
    <cellStyle name="Comma 6 3 5 9" xfId="45982" xr:uid="{00000000-0005-0000-0000-000015A20000}"/>
    <cellStyle name="Comma 6 3 6" xfId="8382" xr:uid="{00000000-0005-0000-0000-000016A20000}"/>
    <cellStyle name="Comma 6 3 6 2" xfId="45983" xr:uid="{00000000-0005-0000-0000-000017A20000}"/>
    <cellStyle name="Comma 6 3 6 2 2" xfId="45984" xr:uid="{00000000-0005-0000-0000-000018A20000}"/>
    <cellStyle name="Comma 6 3 6 2 3" xfId="45985" xr:uid="{00000000-0005-0000-0000-000019A20000}"/>
    <cellStyle name="Comma 6 3 6 3" xfId="45986" xr:uid="{00000000-0005-0000-0000-00001AA20000}"/>
    <cellStyle name="Comma 6 3 6 3 2" xfId="45987" xr:uid="{00000000-0005-0000-0000-00001BA20000}"/>
    <cellStyle name="Comma 6 3 6 3 3" xfId="45988" xr:uid="{00000000-0005-0000-0000-00001CA20000}"/>
    <cellStyle name="Comma 6 3 6 4" xfId="45989" xr:uid="{00000000-0005-0000-0000-00001DA20000}"/>
    <cellStyle name="Comma 6 3 6 4 2" xfId="45990" xr:uid="{00000000-0005-0000-0000-00001EA20000}"/>
    <cellStyle name="Comma 6 3 6 5" xfId="45991" xr:uid="{00000000-0005-0000-0000-00001FA20000}"/>
    <cellStyle name="Comma 6 3 6 6" xfId="45992" xr:uid="{00000000-0005-0000-0000-000020A20000}"/>
    <cellStyle name="Comma 6 3 6 7" xfId="45993" xr:uid="{00000000-0005-0000-0000-000021A20000}"/>
    <cellStyle name="Comma 6 3 7" xfId="45994" xr:uid="{00000000-0005-0000-0000-000022A20000}"/>
    <cellStyle name="Comma 6 3 7 2" xfId="45995" xr:uid="{00000000-0005-0000-0000-000023A20000}"/>
    <cellStyle name="Comma 6 3 7 2 2" xfId="45996" xr:uid="{00000000-0005-0000-0000-000024A20000}"/>
    <cellStyle name="Comma 6 3 7 2 3" xfId="45997" xr:uid="{00000000-0005-0000-0000-000025A20000}"/>
    <cellStyle name="Comma 6 3 7 3" xfId="45998" xr:uid="{00000000-0005-0000-0000-000026A20000}"/>
    <cellStyle name="Comma 6 3 7 3 2" xfId="45999" xr:uid="{00000000-0005-0000-0000-000027A20000}"/>
    <cellStyle name="Comma 6 3 7 3 3" xfId="46000" xr:uid="{00000000-0005-0000-0000-000028A20000}"/>
    <cellStyle name="Comma 6 3 7 4" xfId="46001" xr:uid="{00000000-0005-0000-0000-000029A20000}"/>
    <cellStyle name="Comma 6 3 7 4 2" xfId="46002" xr:uid="{00000000-0005-0000-0000-00002AA20000}"/>
    <cellStyle name="Comma 6 3 7 5" xfId="46003" xr:uid="{00000000-0005-0000-0000-00002BA20000}"/>
    <cellStyle name="Comma 6 3 7 6" xfId="46004" xr:uid="{00000000-0005-0000-0000-00002CA20000}"/>
    <cellStyle name="Comma 6 3 8" xfId="46005" xr:uid="{00000000-0005-0000-0000-00002DA20000}"/>
    <cellStyle name="Comma 6 3 8 2" xfId="46006" xr:uid="{00000000-0005-0000-0000-00002EA20000}"/>
    <cellStyle name="Comma 6 3 8 2 2" xfId="46007" xr:uid="{00000000-0005-0000-0000-00002FA20000}"/>
    <cellStyle name="Comma 6 3 8 2 3" xfId="46008" xr:uid="{00000000-0005-0000-0000-000030A20000}"/>
    <cellStyle name="Comma 6 3 8 3" xfId="46009" xr:uid="{00000000-0005-0000-0000-000031A20000}"/>
    <cellStyle name="Comma 6 3 8 3 2" xfId="46010" xr:uid="{00000000-0005-0000-0000-000032A20000}"/>
    <cellStyle name="Comma 6 3 8 4" xfId="46011" xr:uid="{00000000-0005-0000-0000-000033A20000}"/>
    <cellStyle name="Comma 6 3 8 5" xfId="46012" xr:uid="{00000000-0005-0000-0000-000034A20000}"/>
    <cellStyle name="Comma 6 3 9" xfId="46013" xr:uid="{00000000-0005-0000-0000-000035A20000}"/>
    <cellStyle name="Comma 6 3 9 2" xfId="46014" xr:uid="{00000000-0005-0000-0000-000036A20000}"/>
    <cellStyle name="Comma 6 3 9 3" xfId="46015" xr:uid="{00000000-0005-0000-0000-000037A20000}"/>
    <cellStyle name="Comma 6 4" xfId="8383" xr:uid="{00000000-0005-0000-0000-000038A20000}"/>
    <cellStyle name="Comma 6 4 10" xfId="46016" xr:uid="{00000000-0005-0000-0000-000039A20000}"/>
    <cellStyle name="Comma 6 4 10 2" xfId="46017" xr:uid="{00000000-0005-0000-0000-00003AA20000}"/>
    <cellStyle name="Comma 6 4 11" xfId="46018" xr:uid="{00000000-0005-0000-0000-00003BA20000}"/>
    <cellStyle name="Comma 6 4 12" xfId="46019" xr:uid="{00000000-0005-0000-0000-00003CA20000}"/>
    <cellStyle name="Comma 6 4 13" xfId="46020" xr:uid="{00000000-0005-0000-0000-00003DA20000}"/>
    <cellStyle name="Comma 6 4 2" xfId="8384" xr:uid="{00000000-0005-0000-0000-00003EA20000}"/>
    <cellStyle name="Comma 6 4 2 10" xfId="46021" xr:uid="{00000000-0005-0000-0000-00003FA20000}"/>
    <cellStyle name="Comma 6 4 2 11" xfId="46022" xr:uid="{00000000-0005-0000-0000-000040A20000}"/>
    <cellStyle name="Comma 6 4 2 2" xfId="8385" xr:uid="{00000000-0005-0000-0000-000041A20000}"/>
    <cellStyle name="Comma 6 4 2 2 10" xfId="46023" xr:uid="{00000000-0005-0000-0000-000042A20000}"/>
    <cellStyle name="Comma 6 4 2 2 2" xfId="8386" xr:uid="{00000000-0005-0000-0000-000043A20000}"/>
    <cellStyle name="Comma 6 4 2 2 2 2" xfId="46024" xr:uid="{00000000-0005-0000-0000-000044A20000}"/>
    <cellStyle name="Comma 6 4 2 2 2 2 2" xfId="46025" xr:uid="{00000000-0005-0000-0000-000045A20000}"/>
    <cellStyle name="Comma 6 4 2 2 2 2 3" xfId="46026" xr:uid="{00000000-0005-0000-0000-000046A20000}"/>
    <cellStyle name="Comma 6 4 2 2 2 3" xfId="46027" xr:uid="{00000000-0005-0000-0000-000047A20000}"/>
    <cellStyle name="Comma 6 4 2 2 2 3 2" xfId="46028" xr:uid="{00000000-0005-0000-0000-000048A20000}"/>
    <cellStyle name="Comma 6 4 2 2 2 3 3" xfId="46029" xr:uid="{00000000-0005-0000-0000-000049A20000}"/>
    <cellStyle name="Comma 6 4 2 2 2 4" xfId="46030" xr:uid="{00000000-0005-0000-0000-00004AA20000}"/>
    <cellStyle name="Comma 6 4 2 2 2 4 2" xfId="46031" xr:uid="{00000000-0005-0000-0000-00004BA20000}"/>
    <cellStyle name="Comma 6 4 2 2 2 5" xfId="46032" xr:uid="{00000000-0005-0000-0000-00004CA20000}"/>
    <cellStyle name="Comma 6 4 2 2 2 6" xfId="46033" xr:uid="{00000000-0005-0000-0000-00004DA20000}"/>
    <cellStyle name="Comma 6 4 2 2 3" xfId="46034" xr:uid="{00000000-0005-0000-0000-00004EA20000}"/>
    <cellStyle name="Comma 6 4 2 2 3 2" xfId="46035" xr:uid="{00000000-0005-0000-0000-00004FA20000}"/>
    <cellStyle name="Comma 6 4 2 2 3 2 2" xfId="46036" xr:uid="{00000000-0005-0000-0000-000050A20000}"/>
    <cellStyle name="Comma 6 4 2 2 3 2 3" xfId="46037" xr:uid="{00000000-0005-0000-0000-000051A20000}"/>
    <cellStyle name="Comma 6 4 2 2 3 3" xfId="46038" xr:uid="{00000000-0005-0000-0000-000052A20000}"/>
    <cellStyle name="Comma 6 4 2 2 3 3 2" xfId="46039" xr:uid="{00000000-0005-0000-0000-000053A20000}"/>
    <cellStyle name="Comma 6 4 2 2 3 3 3" xfId="46040" xr:uid="{00000000-0005-0000-0000-000054A20000}"/>
    <cellStyle name="Comma 6 4 2 2 3 4" xfId="46041" xr:uid="{00000000-0005-0000-0000-000055A20000}"/>
    <cellStyle name="Comma 6 4 2 2 3 4 2" xfId="46042" xr:uid="{00000000-0005-0000-0000-000056A20000}"/>
    <cellStyle name="Comma 6 4 2 2 3 5" xfId="46043" xr:uid="{00000000-0005-0000-0000-000057A20000}"/>
    <cellStyle name="Comma 6 4 2 2 3 6" xfId="46044" xr:uid="{00000000-0005-0000-0000-000058A20000}"/>
    <cellStyle name="Comma 6 4 2 2 4" xfId="46045" xr:uid="{00000000-0005-0000-0000-000059A20000}"/>
    <cellStyle name="Comma 6 4 2 2 4 2" xfId="46046" xr:uid="{00000000-0005-0000-0000-00005AA20000}"/>
    <cellStyle name="Comma 6 4 2 2 4 2 2" xfId="46047" xr:uid="{00000000-0005-0000-0000-00005BA20000}"/>
    <cellStyle name="Comma 6 4 2 2 4 2 3" xfId="46048" xr:uid="{00000000-0005-0000-0000-00005CA20000}"/>
    <cellStyle name="Comma 6 4 2 2 4 3" xfId="46049" xr:uid="{00000000-0005-0000-0000-00005DA20000}"/>
    <cellStyle name="Comma 6 4 2 2 4 3 2" xfId="46050" xr:uid="{00000000-0005-0000-0000-00005EA20000}"/>
    <cellStyle name="Comma 6 4 2 2 4 4" xfId="46051" xr:uid="{00000000-0005-0000-0000-00005FA20000}"/>
    <cellStyle name="Comma 6 4 2 2 4 5" xfId="46052" xr:uid="{00000000-0005-0000-0000-000060A20000}"/>
    <cellStyle name="Comma 6 4 2 2 5" xfId="46053" xr:uid="{00000000-0005-0000-0000-000061A20000}"/>
    <cellStyle name="Comma 6 4 2 2 5 2" xfId="46054" xr:uid="{00000000-0005-0000-0000-000062A20000}"/>
    <cellStyle name="Comma 6 4 2 2 5 3" xfId="46055" xr:uid="{00000000-0005-0000-0000-000063A20000}"/>
    <cellStyle name="Comma 6 4 2 2 6" xfId="46056" xr:uid="{00000000-0005-0000-0000-000064A20000}"/>
    <cellStyle name="Comma 6 4 2 2 6 2" xfId="46057" xr:uid="{00000000-0005-0000-0000-000065A20000}"/>
    <cellStyle name="Comma 6 4 2 2 6 3" xfId="46058" xr:uid="{00000000-0005-0000-0000-000066A20000}"/>
    <cellStyle name="Comma 6 4 2 2 7" xfId="46059" xr:uid="{00000000-0005-0000-0000-000067A20000}"/>
    <cellStyle name="Comma 6 4 2 2 7 2" xfId="46060" xr:uid="{00000000-0005-0000-0000-000068A20000}"/>
    <cellStyle name="Comma 6 4 2 2 8" xfId="46061" xr:uid="{00000000-0005-0000-0000-000069A20000}"/>
    <cellStyle name="Comma 6 4 2 2 9" xfId="46062" xr:uid="{00000000-0005-0000-0000-00006AA20000}"/>
    <cellStyle name="Comma 6 4 2 3" xfId="8387" xr:uid="{00000000-0005-0000-0000-00006BA20000}"/>
    <cellStyle name="Comma 6 4 2 3 2" xfId="46063" xr:uid="{00000000-0005-0000-0000-00006CA20000}"/>
    <cellStyle name="Comma 6 4 2 3 2 2" xfId="46064" xr:uid="{00000000-0005-0000-0000-00006DA20000}"/>
    <cellStyle name="Comma 6 4 2 3 2 3" xfId="46065" xr:uid="{00000000-0005-0000-0000-00006EA20000}"/>
    <cellStyle name="Comma 6 4 2 3 3" xfId="46066" xr:uid="{00000000-0005-0000-0000-00006FA20000}"/>
    <cellStyle name="Comma 6 4 2 3 3 2" xfId="46067" xr:uid="{00000000-0005-0000-0000-000070A20000}"/>
    <cellStyle name="Comma 6 4 2 3 3 3" xfId="46068" xr:uid="{00000000-0005-0000-0000-000071A20000}"/>
    <cellStyle name="Comma 6 4 2 3 4" xfId="46069" xr:uid="{00000000-0005-0000-0000-000072A20000}"/>
    <cellStyle name="Comma 6 4 2 3 4 2" xfId="46070" xr:uid="{00000000-0005-0000-0000-000073A20000}"/>
    <cellStyle name="Comma 6 4 2 3 5" xfId="46071" xr:uid="{00000000-0005-0000-0000-000074A20000}"/>
    <cellStyle name="Comma 6 4 2 3 6" xfId="46072" xr:uid="{00000000-0005-0000-0000-000075A20000}"/>
    <cellStyle name="Comma 6 4 2 3 7" xfId="46073" xr:uid="{00000000-0005-0000-0000-000076A20000}"/>
    <cellStyle name="Comma 6 4 2 4" xfId="46074" xr:uid="{00000000-0005-0000-0000-000077A20000}"/>
    <cellStyle name="Comma 6 4 2 4 2" xfId="46075" xr:uid="{00000000-0005-0000-0000-000078A20000}"/>
    <cellStyle name="Comma 6 4 2 4 2 2" xfId="46076" xr:uid="{00000000-0005-0000-0000-000079A20000}"/>
    <cellStyle name="Comma 6 4 2 4 2 3" xfId="46077" xr:uid="{00000000-0005-0000-0000-00007AA20000}"/>
    <cellStyle name="Comma 6 4 2 4 3" xfId="46078" xr:uid="{00000000-0005-0000-0000-00007BA20000}"/>
    <cellStyle name="Comma 6 4 2 4 3 2" xfId="46079" xr:uid="{00000000-0005-0000-0000-00007CA20000}"/>
    <cellStyle name="Comma 6 4 2 4 3 3" xfId="46080" xr:uid="{00000000-0005-0000-0000-00007DA20000}"/>
    <cellStyle name="Comma 6 4 2 4 4" xfId="46081" xr:uid="{00000000-0005-0000-0000-00007EA20000}"/>
    <cellStyle name="Comma 6 4 2 4 4 2" xfId="46082" xr:uid="{00000000-0005-0000-0000-00007FA20000}"/>
    <cellStyle name="Comma 6 4 2 4 5" xfId="46083" xr:uid="{00000000-0005-0000-0000-000080A20000}"/>
    <cellStyle name="Comma 6 4 2 4 6" xfId="46084" xr:uid="{00000000-0005-0000-0000-000081A20000}"/>
    <cellStyle name="Comma 6 4 2 5" xfId="46085" xr:uid="{00000000-0005-0000-0000-000082A20000}"/>
    <cellStyle name="Comma 6 4 2 5 2" xfId="46086" xr:uid="{00000000-0005-0000-0000-000083A20000}"/>
    <cellStyle name="Comma 6 4 2 5 2 2" xfId="46087" xr:uid="{00000000-0005-0000-0000-000084A20000}"/>
    <cellStyle name="Comma 6 4 2 5 2 3" xfId="46088" xr:uid="{00000000-0005-0000-0000-000085A20000}"/>
    <cellStyle name="Comma 6 4 2 5 3" xfId="46089" xr:uid="{00000000-0005-0000-0000-000086A20000}"/>
    <cellStyle name="Comma 6 4 2 5 3 2" xfId="46090" xr:uid="{00000000-0005-0000-0000-000087A20000}"/>
    <cellStyle name="Comma 6 4 2 5 4" xfId="46091" xr:uid="{00000000-0005-0000-0000-000088A20000}"/>
    <cellStyle name="Comma 6 4 2 5 5" xfId="46092" xr:uid="{00000000-0005-0000-0000-000089A20000}"/>
    <cellStyle name="Comma 6 4 2 6" xfId="46093" xr:uid="{00000000-0005-0000-0000-00008AA20000}"/>
    <cellStyle name="Comma 6 4 2 6 2" xfId="46094" xr:uid="{00000000-0005-0000-0000-00008BA20000}"/>
    <cellStyle name="Comma 6 4 2 6 3" xfId="46095" xr:uid="{00000000-0005-0000-0000-00008CA20000}"/>
    <cellStyle name="Comma 6 4 2 7" xfId="46096" xr:uid="{00000000-0005-0000-0000-00008DA20000}"/>
    <cellStyle name="Comma 6 4 2 7 2" xfId="46097" xr:uid="{00000000-0005-0000-0000-00008EA20000}"/>
    <cellStyle name="Comma 6 4 2 7 3" xfId="46098" xr:uid="{00000000-0005-0000-0000-00008FA20000}"/>
    <cellStyle name="Comma 6 4 2 8" xfId="46099" xr:uid="{00000000-0005-0000-0000-000090A20000}"/>
    <cellStyle name="Comma 6 4 2 8 2" xfId="46100" xr:uid="{00000000-0005-0000-0000-000091A20000}"/>
    <cellStyle name="Comma 6 4 2 9" xfId="46101" xr:uid="{00000000-0005-0000-0000-000092A20000}"/>
    <cellStyle name="Comma 6 4 3" xfId="8388" xr:uid="{00000000-0005-0000-0000-000093A20000}"/>
    <cellStyle name="Comma 6 4 3 10" xfId="46102" xr:uid="{00000000-0005-0000-0000-000094A20000}"/>
    <cellStyle name="Comma 6 4 3 2" xfId="8389" xr:uid="{00000000-0005-0000-0000-000095A20000}"/>
    <cellStyle name="Comma 6 4 3 2 2" xfId="46103" xr:uid="{00000000-0005-0000-0000-000096A20000}"/>
    <cellStyle name="Comma 6 4 3 2 2 2" xfId="46104" xr:uid="{00000000-0005-0000-0000-000097A20000}"/>
    <cellStyle name="Comma 6 4 3 2 2 3" xfId="46105" xr:uid="{00000000-0005-0000-0000-000098A20000}"/>
    <cellStyle name="Comma 6 4 3 2 3" xfId="46106" xr:uid="{00000000-0005-0000-0000-000099A20000}"/>
    <cellStyle name="Comma 6 4 3 2 3 2" xfId="46107" xr:uid="{00000000-0005-0000-0000-00009AA20000}"/>
    <cellStyle name="Comma 6 4 3 2 3 3" xfId="46108" xr:uid="{00000000-0005-0000-0000-00009BA20000}"/>
    <cellStyle name="Comma 6 4 3 2 4" xfId="46109" xr:uid="{00000000-0005-0000-0000-00009CA20000}"/>
    <cellStyle name="Comma 6 4 3 2 4 2" xfId="46110" xr:uid="{00000000-0005-0000-0000-00009DA20000}"/>
    <cellStyle name="Comma 6 4 3 2 5" xfId="46111" xr:uid="{00000000-0005-0000-0000-00009EA20000}"/>
    <cellStyle name="Comma 6 4 3 2 6" xfId="46112" xr:uid="{00000000-0005-0000-0000-00009FA20000}"/>
    <cellStyle name="Comma 6 4 3 3" xfId="46113" xr:uid="{00000000-0005-0000-0000-0000A0A20000}"/>
    <cellStyle name="Comma 6 4 3 3 2" xfId="46114" xr:uid="{00000000-0005-0000-0000-0000A1A20000}"/>
    <cellStyle name="Comma 6 4 3 3 2 2" xfId="46115" xr:uid="{00000000-0005-0000-0000-0000A2A20000}"/>
    <cellStyle name="Comma 6 4 3 3 2 3" xfId="46116" xr:uid="{00000000-0005-0000-0000-0000A3A20000}"/>
    <cellStyle name="Comma 6 4 3 3 3" xfId="46117" xr:uid="{00000000-0005-0000-0000-0000A4A20000}"/>
    <cellStyle name="Comma 6 4 3 3 3 2" xfId="46118" xr:uid="{00000000-0005-0000-0000-0000A5A20000}"/>
    <cellStyle name="Comma 6 4 3 3 3 3" xfId="46119" xr:uid="{00000000-0005-0000-0000-0000A6A20000}"/>
    <cellStyle name="Comma 6 4 3 3 4" xfId="46120" xr:uid="{00000000-0005-0000-0000-0000A7A20000}"/>
    <cellStyle name="Comma 6 4 3 3 4 2" xfId="46121" xr:uid="{00000000-0005-0000-0000-0000A8A20000}"/>
    <cellStyle name="Comma 6 4 3 3 5" xfId="46122" xr:uid="{00000000-0005-0000-0000-0000A9A20000}"/>
    <cellStyle name="Comma 6 4 3 3 6" xfId="46123" xr:uid="{00000000-0005-0000-0000-0000AAA20000}"/>
    <cellStyle name="Comma 6 4 3 4" xfId="46124" xr:uid="{00000000-0005-0000-0000-0000ABA20000}"/>
    <cellStyle name="Comma 6 4 3 4 2" xfId="46125" xr:uid="{00000000-0005-0000-0000-0000ACA20000}"/>
    <cellStyle name="Comma 6 4 3 4 2 2" xfId="46126" xr:uid="{00000000-0005-0000-0000-0000ADA20000}"/>
    <cellStyle name="Comma 6 4 3 4 2 3" xfId="46127" xr:uid="{00000000-0005-0000-0000-0000AEA20000}"/>
    <cellStyle name="Comma 6 4 3 4 3" xfId="46128" xr:uid="{00000000-0005-0000-0000-0000AFA20000}"/>
    <cellStyle name="Comma 6 4 3 4 3 2" xfId="46129" xr:uid="{00000000-0005-0000-0000-0000B0A20000}"/>
    <cellStyle name="Comma 6 4 3 4 4" xfId="46130" xr:uid="{00000000-0005-0000-0000-0000B1A20000}"/>
    <cellStyle name="Comma 6 4 3 4 5" xfId="46131" xr:uid="{00000000-0005-0000-0000-0000B2A20000}"/>
    <cellStyle name="Comma 6 4 3 5" xfId="46132" xr:uid="{00000000-0005-0000-0000-0000B3A20000}"/>
    <cellStyle name="Comma 6 4 3 5 2" xfId="46133" xr:uid="{00000000-0005-0000-0000-0000B4A20000}"/>
    <cellStyle name="Comma 6 4 3 5 3" xfId="46134" xr:uid="{00000000-0005-0000-0000-0000B5A20000}"/>
    <cellStyle name="Comma 6 4 3 6" xfId="46135" xr:uid="{00000000-0005-0000-0000-0000B6A20000}"/>
    <cellStyle name="Comma 6 4 3 6 2" xfId="46136" xr:uid="{00000000-0005-0000-0000-0000B7A20000}"/>
    <cellStyle name="Comma 6 4 3 6 3" xfId="46137" xr:uid="{00000000-0005-0000-0000-0000B8A20000}"/>
    <cellStyle name="Comma 6 4 3 7" xfId="46138" xr:uid="{00000000-0005-0000-0000-0000B9A20000}"/>
    <cellStyle name="Comma 6 4 3 7 2" xfId="46139" xr:uid="{00000000-0005-0000-0000-0000BAA20000}"/>
    <cellStyle name="Comma 6 4 3 8" xfId="46140" xr:uid="{00000000-0005-0000-0000-0000BBA20000}"/>
    <cellStyle name="Comma 6 4 3 9" xfId="46141" xr:uid="{00000000-0005-0000-0000-0000BCA20000}"/>
    <cellStyle name="Comma 6 4 4" xfId="8390" xr:uid="{00000000-0005-0000-0000-0000BDA20000}"/>
    <cellStyle name="Comma 6 4 4 10" xfId="46142" xr:uid="{00000000-0005-0000-0000-0000BEA20000}"/>
    <cellStyle name="Comma 6 4 4 2" xfId="46143" xr:uid="{00000000-0005-0000-0000-0000BFA20000}"/>
    <cellStyle name="Comma 6 4 4 2 2" xfId="46144" xr:uid="{00000000-0005-0000-0000-0000C0A20000}"/>
    <cellStyle name="Comma 6 4 4 2 2 2" xfId="46145" xr:uid="{00000000-0005-0000-0000-0000C1A20000}"/>
    <cellStyle name="Comma 6 4 4 2 2 3" xfId="46146" xr:uid="{00000000-0005-0000-0000-0000C2A20000}"/>
    <cellStyle name="Comma 6 4 4 2 3" xfId="46147" xr:uid="{00000000-0005-0000-0000-0000C3A20000}"/>
    <cellStyle name="Comma 6 4 4 2 3 2" xfId="46148" xr:uid="{00000000-0005-0000-0000-0000C4A20000}"/>
    <cellStyle name="Comma 6 4 4 2 3 3" xfId="46149" xr:uid="{00000000-0005-0000-0000-0000C5A20000}"/>
    <cellStyle name="Comma 6 4 4 2 4" xfId="46150" xr:uid="{00000000-0005-0000-0000-0000C6A20000}"/>
    <cellStyle name="Comma 6 4 4 2 4 2" xfId="46151" xr:uid="{00000000-0005-0000-0000-0000C7A20000}"/>
    <cellStyle name="Comma 6 4 4 2 5" xfId="46152" xr:uid="{00000000-0005-0000-0000-0000C8A20000}"/>
    <cellStyle name="Comma 6 4 4 2 6" xfId="46153" xr:uid="{00000000-0005-0000-0000-0000C9A20000}"/>
    <cellStyle name="Comma 6 4 4 3" xfId="46154" xr:uid="{00000000-0005-0000-0000-0000CAA20000}"/>
    <cellStyle name="Comma 6 4 4 3 2" xfId="46155" xr:uid="{00000000-0005-0000-0000-0000CBA20000}"/>
    <cellStyle name="Comma 6 4 4 3 2 2" xfId="46156" xr:uid="{00000000-0005-0000-0000-0000CCA20000}"/>
    <cellStyle name="Comma 6 4 4 3 2 3" xfId="46157" xr:uid="{00000000-0005-0000-0000-0000CDA20000}"/>
    <cellStyle name="Comma 6 4 4 3 3" xfId="46158" xr:uid="{00000000-0005-0000-0000-0000CEA20000}"/>
    <cellStyle name="Comma 6 4 4 3 3 2" xfId="46159" xr:uid="{00000000-0005-0000-0000-0000CFA20000}"/>
    <cellStyle name="Comma 6 4 4 3 3 3" xfId="46160" xr:uid="{00000000-0005-0000-0000-0000D0A20000}"/>
    <cellStyle name="Comma 6 4 4 3 4" xfId="46161" xr:uid="{00000000-0005-0000-0000-0000D1A20000}"/>
    <cellStyle name="Comma 6 4 4 3 4 2" xfId="46162" xr:uid="{00000000-0005-0000-0000-0000D2A20000}"/>
    <cellStyle name="Comma 6 4 4 3 5" xfId="46163" xr:uid="{00000000-0005-0000-0000-0000D3A20000}"/>
    <cellStyle name="Comma 6 4 4 3 6" xfId="46164" xr:uid="{00000000-0005-0000-0000-0000D4A20000}"/>
    <cellStyle name="Comma 6 4 4 4" xfId="46165" xr:uid="{00000000-0005-0000-0000-0000D5A20000}"/>
    <cellStyle name="Comma 6 4 4 4 2" xfId="46166" xr:uid="{00000000-0005-0000-0000-0000D6A20000}"/>
    <cellStyle name="Comma 6 4 4 4 2 2" xfId="46167" xr:uid="{00000000-0005-0000-0000-0000D7A20000}"/>
    <cellStyle name="Comma 6 4 4 4 2 3" xfId="46168" xr:uid="{00000000-0005-0000-0000-0000D8A20000}"/>
    <cellStyle name="Comma 6 4 4 4 3" xfId="46169" xr:uid="{00000000-0005-0000-0000-0000D9A20000}"/>
    <cellStyle name="Comma 6 4 4 4 3 2" xfId="46170" xr:uid="{00000000-0005-0000-0000-0000DAA20000}"/>
    <cellStyle name="Comma 6 4 4 4 4" xfId="46171" xr:uid="{00000000-0005-0000-0000-0000DBA20000}"/>
    <cellStyle name="Comma 6 4 4 4 5" xfId="46172" xr:uid="{00000000-0005-0000-0000-0000DCA20000}"/>
    <cellStyle name="Comma 6 4 4 5" xfId="46173" xr:uid="{00000000-0005-0000-0000-0000DDA20000}"/>
    <cellStyle name="Comma 6 4 4 5 2" xfId="46174" xr:uid="{00000000-0005-0000-0000-0000DEA20000}"/>
    <cellStyle name="Comma 6 4 4 5 3" xfId="46175" xr:uid="{00000000-0005-0000-0000-0000DFA20000}"/>
    <cellStyle name="Comma 6 4 4 6" xfId="46176" xr:uid="{00000000-0005-0000-0000-0000E0A20000}"/>
    <cellStyle name="Comma 6 4 4 6 2" xfId="46177" xr:uid="{00000000-0005-0000-0000-0000E1A20000}"/>
    <cellStyle name="Comma 6 4 4 6 3" xfId="46178" xr:uid="{00000000-0005-0000-0000-0000E2A20000}"/>
    <cellStyle name="Comma 6 4 4 7" xfId="46179" xr:uid="{00000000-0005-0000-0000-0000E3A20000}"/>
    <cellStyle name="Comma 6 4 4 7 2" xfId="46180" xr:uid="{00000000-0005-0000-0000-0000E4A20000}"/>
    <cellStyle name="Comma 6 4 4 8" xfId="46181" xr:uid="{00000000-0005-0000-0000-0000E5A20000}"/>
    <cellStyle name="Comma 6 4 4 9" xfId="46182" xr:uid="{00000000-0005-0000-0000-0000E6A20000}"/>
    <cellStyle name="Comma 6 4 5" xfId="46183" xr:uid="{00000000-0005-0000-0000-0000E7A20000}"/>
    <cellStyle name="Comma 6 4 5 2" xfId="46184" xr:uid="{00000000-0005-0000-0000-0000E8A20000}"/>
    <cellStyle name="Comma 6 4 5 2 2" xfId="46185" xr:uid="{00000000-0005-0000-0000-0000E9A20000}"/>
    <cellStyle name="Comma 6 4 5 2 3" xfId="46186" xr:uid="{00000000-0005-0000-0000-0000EAA20000}"/>
    <cellStyle name="Comma 6 4 5 3" xfId="46187" xr:uid="{00000000-0005-0000-0000-0000EBA20000}"/>
    <cellStyle name="Comma 6 4 5 3 2" xfId="46188" xr:uid="{00000000-0005-0000-0000-0000ECA20000}"/>
    <cellStyle name="Comma 6 4 5 3 3" xfId="46189" xr:uid="{00000000-0005-0000-0000-0000EDA20000}"/>
    <cellStyle name="Comma 6 4 5 4" xfId="46190" xr:uid="{00000000-0005-0000-0000-0000EEA20000}"/>
    <cellStyle name="Comma 6 4 5 4 2" xfId="46191" xr:uid="{00000000-0005-0000-0000-0000EFA20000}"/>
    <cellStyle name="Comma 6 4 5 5" xfId="46192" xr:uid="{00000000-0005-0000-0000-0000F0A20000}"/>
    <cellStyle name="Comma 6 4 5 6" xfId="46193" xr:uid="{00000000-0005-0000-0000-0000F1A20000}"/>
    <cellStyle name="Comma 6 4 6" xfId="46194" xr:uid="{00000000-0005-0000-0000-0000F2A20000}"/>
    <cellStyle name="Comma 6 4 6 2" xfId="46195" xr:uid="{00000000-0005-0000-0000-0000F3A20000}"/>
    <cellStyle name="Comma 6 4 6 2 2" xfId="46196" xr:uid="{00000000-0005-0000-0000-0000F4A20000}"/>
    <cellStyle name="Comma 6 4 6 2 3" xfId="46197" xr:uid="{00000000-0005-0000-0000-0000F5A20000}"/>
    <cellStyle name="Comma 6 4 6 3" xfId="46198" xr:uid="{00000000-0005-0000-0000-0000F6A20000}"/>
    <cellStyle name="Comma 6 4 6 3 2" xfId="46199" xr:uid="{00000000-0005-0000-0000-0000F7A20000}"/>
    <cellStyle name="Comma 6 4 6 3 3" xfId="46200" xr:uid="{00000000-0005-0000-0000-0000F8A20000}"/>
    <cellStyle name="Comma 6 4 6 4" xfId="46201" xr:uid="{00000000-0005-0000-0000-0000F9A20000}"/>
    <cellStyle name="Comma 6 4 6 4 2" xfId="46202" xr:uid="{00000000-0005-0000-0000-0000FAA20000}"/>
    <cellStyle name="Comma 6 4 6 5" xfId="46203" xr:uid="{00000000-0005-0000-0000-0000FBA20000}"/>
    <cellStyle name="Comma 6 4 6 6" xfId="46204" xr:uid="{00000000-0005-0000-0000-0000FCA20000}"/>
    <cellStyle name="Comma 6 4 7" xfId="46205" xr:uid="{00000000-0005-0000-0000-0000FDA20000}"/>
    <cellStyle name="Comma 6 4 7 2" xfId="46206" xr:uid="{00000000-0005-0000-0000-0000FEA20000}"/>
    <cellStyle name="Comma 6 4 7 2 2" xfId="46207" xr:uid="{00000000-0005-0000-0000-0000FFA20000}"/>
    <cellStyle name="Comma 6 4 7 2 3" xfId="46208" xr:uid="{00000000-0005-0000-0000-000000A30000}"/>
    <cellStyle name="Comma 6 4 7 3" xfId="46209" xr:uid="{00000000-0005-0000-0000-000001A30000}"/>
    <cellStyle name="Comma 6 4 7 3 2" xfId="46210" xr:uid="{00000000-0005-0000-0000-000002A30000}"/>
    <cellStyle name="Comma 6 4 7 4" xfId="46211" xr:uid="{00000000-0005-0000-0000-000003A30000}"/>
    <cellStyle name="Comma 6 4 7 5" xfId="46212" xr:uid="{00000000-0005-0000-0000-000004A30000}"/>
    <cellStyle name="Comma 6 4 8" xfId="46213" xr:uid="{00000000-0005-0000-0000-000005A30000}"/>
    <cellStyle name="Comma 6 4 8 2" xfId="46214" xr:uid="{00000000-0005-0000-0000-000006A30000}"/>
    <cellStyle name="Comma 6 4 8 3" xfId="46215" xr:uid="{00000000-0005-0000-0000-000007A30000}"/>
    <cellStyle name="Comma 6 4 9" xfId="46216" xr:uid="{00000000-0005-0000-0000-000008A30000}"/>
    <cellStyle name="Comma 6 4 9 2" xfId="46217" xr:uid="{00000000-0005-0000-0000-000009A30000}"/>
    <cellStyle name="Comma 6 4 9 3" xfId="46218" xr:uid="{00000000-0005-0000-0000-00000AA30000}"/>
    <cellStyle name="Comma 6 5" xfId="8391" xr:uid="{00000000-0005-0000-0000-00000BA30000}"/>
    <cellStyle name="Comma 6 5 10" xfId="46219" xr:uid="{00000000-0005-0000-0000-00000CA30000}"/>
    <cellStyle name="Comma 6 5 11" xfId="46220" xr:uid="{00000000-0005-0000-0000-00000DA30000}"/>
    <cellStyle name="Comma 6 5 2" xfId="8392" xr:uid="{00000000-0005-0000-0000-00000EA30000}"/>
    <cellStyle name="Comma 6 5 2 10" xfId="46221" xr:uid="{00000000-0005-0000-0000-00000FA30000}"/>
    <cellStyle name="Comma 6 5 2 2" xfId="8393" xr:uid="{00000000-0005-0000-0000-000010A30000}"/>
    <cellStyle name="Comma 6 5 2 2 2" xfId="46222" xr:uid="{00000000-0005-0000-0000-000011A30000}"/>
    <cellStyle name="Comma 6 5 2 2 2 2" xfId="46223" xr:uid="{00000000-0005-0000-0000-000012A30000}"/>
    <cellStyle name="Comma 6 5 2 2 2 3" xfId="46224" xr:uid="{00000000-0005-0000-0000-000013A30000}"/>
    <cellStyle name="Comma 6 5 2 2 3" xfId="46225" xr:uid="{00000000-0005-0000-0000-000014A30000}"/>
    <cellStyle name="Comma 6 5 2 2 3 2" xfId="46226" xr:uid="{00000000-0005-0000-0000-000015A30000}"/>
    <cellStyle name="Comma 6 5 2 2 3 3" xfId="46227" xr:uid="{00000000-0005-0000-0000-000016A30000}"/>
    <cellStyle name="Comma 6 5 2 2 4" xfId="46228" xr:uid="{00000000-0005-0000-0000-000017A30000}"/>
    <cellStyle name="Comma 6 5 2 2 4 2" xfId="46229" xr:uid="{00000000-0005-0000-0000-000018A30000}"/>
    <cellStyle name="Comma 6 5 2 2 5" xfId="46230" xr:uid="{00000000-0005-0000-0000-000019A30000}"/>
    <cellStyle name="Comma 6 5 2 2 6" xfId="46231" xr:uid="{00000000-0005-0000-0000-00001AA30000}"/>
    <cellStyle name="Comma 6 5 2 2 7" xfId="46232" xr:uid="{00000000-0005-0000-0000-00001BA30000}"/>
    <cellStyle name="Comma 6 5 2 3" xfId="46233" xr:uid="{00000000-0005-0000-0000-00001CA30000}"/>
    <cellStyle name="Comma 6 5 2 3 2" xfId="46234" xr:uid="{00000000-0005-0000-0000-00001DA30000}"/>
    <cellStyle name="Comma 6 5 2 3 2 2" xfId="46235" xr:uid="{00000000-0005-0000-0000-00001EA30000}"/>
    <cellStyle name="Comma 6 5 2 3 2 3" xfId="46236" xr:uid="{00000000-0005-0000-0000-00001FA30000}"/>
    <cellStyle name="Comma 6 5 2 3 3" xfId="46237" xr:uid="{00000000-0005-0000-0000-000020A30000}"/>
    <cellStyle name="Comma 6 5 2 3 3 2" xfId="46238" xr:uid="{00000000-0005-0000-0000-000021A30000}"/>
    <cellStyle name="Comma 6 5 2 3 3 3" xfId="46239" xr:uid="{00000000-0005-0000-0000-000022A30000}"/>
    <cellStyle name="Comma 6 5 2 3 4" xfId="46240" xr:uid="{00000000-0005-0000-0000-000023A30000}"/>
    <cellStyle name="Comma 6 5 2 3 4 2" xfId="46241" xr:uid="{00000000-0005-0000-0000-000024A30000}"/>
    <cellStyle name="Comma 6 5 2 3 5" xfId="46242" xr:uid="{00000000-0005-0000-0000-000025A30000}"/>
    <cellStyle name="Comma 6 5 2 3 6" xfId="46243" xr:uid="{00000000-0005-0000-0000-000026A30000}"/>
    <cellStyle name="Comma 6 5 2 4" xfId="46244" xr:uid="{00000000-0005-0000-0000-000027A30000}"/>
    <cellStyle name="Comma 6 5 2 4 2" xfId="46245" xr:uid="{00000000-0005-0000-0000-000028A30000}"/>
    <cellStyle name="Comma 6 5 2 4 2 2" xfId="46246" xr:uid="{00000000-0005-0000-0000-000029A30000}"/>
    <cellStyle name="Comma 6 5 2 4 2 3" xfId="46247" xr:uid="{00000000-0005-0000-0000-00002AA30000}"/>
    <cellStyle name="Comma 6 5 2 4 3" xfId="46248" xr:uid="{00000000-0005-0000-0000-00002BA30000}"/>
    <cellStyle name="Comma 6 5 2 4 3 2" xfId="46249" xr:uid="{00000000-0005-0000-0000-00002CA30000}"/>
    <cellStyle name="Comma 6 5 2 4 4" xfId="46250" xr:uid="{00000000-0005-0000-0000-00002DA30000}"/>
    <cellStyle name="Comma 6 5 2 4 5" xfId="46251" xr:uid="{00000000-0005-0000-0000-00002EA30000}"/>
    <cellStyle name="Comma 6 5 2 5" xfId="46252" xr:uid="{00000000-0005-0000-0000-00002FA30000}"/>
    <cellStyle name="Comma 6 5 2 5 2" xfId="46253" xr:uid="{00000000-0005-0000-0000-000030A30000}"/>
    <cellStyle name="Comma 6 5 2 5 3" xfId="46254" xr:uid="{00000000-0005-0000-0000-000031A30000}"/>
    <cellStyle name="Comma 6 5 2 6" xfId="46255" xr:uid="{00000000-0005-0000-0000-000032A30000}"/>
    <cellStyle name="Comma 6 5 2 6 2" xfId="46256" xr:uid="{00000000-0005-0000-0000-000033A30000}"/>
    <cellStyle name="Comma 6 5 2 6 3" xfId="46257" xr:uid="{00000000-0005-0000-0000-000034A30000}"/>
    <cellStyle name="Comma 6 5 2 7" xfId="46258" xr:uid="{00000000-0005-0000-0000-000035A30000}"/>
    <cellStyle name="Comma 6 5 2 7 2" xfId="46259" xr:uid="{00000000-0005-0000-0000-000036A30000}"/>
    <cellStyle name="Comma 6 5 2 8" xfId="46260" xr:uid="{00000000-0005-0000-0000-000037A30000}"/>
    <cellStyle name="Comma 6 5 2 9" xfId="46261" xr:uid="{00000000-0005-0000-0000-000038A30000}"/>
    <cellStyle name="Comma 6 5 3" xfId="8394" xr:uid="{00000000-0005-0000-0000-000039A30000}"/>
    <cellStyle name="Comma 6 5 3 2" xfId="46262" xr:uid="{00000000-0005-0000-0000-00003AA30000}"/>
    <cellStyle name="Comma 6 5 3 2 2" xfId="46263" xr:uid="{00000000-0005-0000-0000-00003BA30000}"/>
    <cellStyle name="Comma 6 5 3 2 3" xfId="46264" xr:uid="{00000000-0005-0000-0000-00003CA30000}"/>
    <cellStyle name="Comma 6 5 3 3" xfId="46265" xr:uid="{00000000-0005-0000-0000-00003DA30000}"/>
    <cellStyle name="Comma 6 5 3 3 2" xfId="46266" xr:uid="{00000000-0005-0000-0000-00003EA30000}"/>
    <cellStyle name="Comma 6 5 3 3 3" xfId="46267" xr:uid="{00000000-0005-0000-0000-00003FA30000}"/>
    <cellStyle name="Comma 6 5 3 4" xfId="46268" xr:uid="{00000000-0005-0000-0000-000040A30000}"/>
    <cellStyle name="Comma 6 5 3 4 2" xfId="46269" xr:uid="{00000000-0005-0000-0000-000041A30000}"/>
    <cellStyle name="Comma 6 5 3 5" xfId="46270" xr:uid="{00000000-0005-0000-0000-000042A30000}"/>
    <cellStyle name="Comma 6 5 3 6" xfId="46271" xr:uid="{00000000-0005-0000-0000-000043A30000}"/>
    <cellStyle name="Comma 6 5 3 7" xfId="46272" xr:uid="{00000000-0005-0000-0000-000044A30000}"/>
    <cellStyle name="Comma 6 5 4" xfId="46273" xr:uid="{00000000-0005-0000-0000-000045A30000}"/>
    <cellStyle name="Comma 6 5 4 2" xfId="46274" xr:uid="{00000000-0005-0000-0000-000046A30000}"/>
    <cellStyle name="Comma 6 5 4 2 2" xfId="46275" xr:uid="{00000000-0005-0000-0000-000047A30000}"/>
    <cellStyle name="Comma 6 5 4 2 3" xfId="46276" xr:uid="{00000000-0005-0000-0000-000048A30000}"/>
    <cellStyle name="Comma 6 5 4 3" xfId="46277" xr:uid="{00000000-0005-0000-0000-000049A30000}"/>
    <cellStyle name="Comma 6 5 4 3 2" xfId="46278" xr:uid="{00000000-0005-0000-0000-00004AA30000}"/>
    <cellStyle name="Comma 6 5 4 3 3" xfId="46279" xr:uid="{00000000-0005-0000-0000-00004BA30000}"/>
    <cellStyle name="Comma 6 5 4 4" xfId="46280" xr:uid="{00000000-0005-0000-0000-00004CA30000}"/>
    <cellStyle name="Comma 6 5 4 4 2" xfId="46281" xr:uid="{00000000-0005-0000-0000-00004DA30000}"/>
    <cellStyle name="Comma 6 5 4 5" xfId="46282" xr:uid="{00000000-0005-0000-0000-00004EA30000}"/>
    <cellStyle name="Comma 6 5 4 6" xfId="46283" xr:uid="{00000000-0005-0000-0000-00004FA30000}"/>
    <cellStyle name="Comma 6 5 5" xfId="46284" xr:uid="{00000000-0005-0000-0000-000050A30000}"/>
    <cellStyle name="Comma 6 5 5 2" xfId="46285" xr:uid="{00000000-0005-0000-0000-000051A30000}"/>
    <cellStyle name="Comma 6 5 5 2 2" xfId="46286" xr:uid="{00000000-0005-0000-0000-000052A30000}"/>
    <cellStyle name="Comma 6 5 5 2 3" xfId="46287" xr:uid="{00000000-0005-0000-0000-000053A30000}"/>
    <cellStyle name="Comma 6 5 5 3" xfId="46288" xr:uid="{00000000-0005-0000-0000-000054A30000}"/>
    <cellStyle name="Comma 6 5 5 3 2" xfId="46289" xr:uid="{00000000-0005-0000-0000-000055A30000}"/>
    <cellStyle name="Comma 6 5 5 4" xfId="46290" xr:uid="{00000000-0005-0000-0000-000056A30000}"/>
    <cellStyle name="Comma 6 5 5 5" xfId="46291" xr:uid="{00000000-0005-0000-0000-000057A30000}"/>
    <cellStyle name="Comma 6 5 6" xfId="46292" xr:uid="{00000000-0005-0000-0000-000058A30000}"/>
    <cellStyle name="Comma 6 5 6 2" xfId="46293" xr:uid="{00000000-0005-0000-0000-000059A30000}"/>
    <cellStyle name="Comma 6 5 6 3" xfId="46294" xr:uid="{00000000-0005-0000-0000-00005AA30000}"/>
    <cellStyle name="Comma 6 5 7" xfId="46295" xr:uid="{00000000-0005-0000-0000-00005BA30000}"/>
    <cellStyle name="Comma 6 5 7 2" xfId="46296" xr:uid="{00000000-0005-0000-0000-00005CA30000}"/>
    <cellStyle name="Comma 6 5 7 3" xfId="46297" xr:uid="{00000000-0005-0000-0000-00005DA30000}"/>
    <cellStyle name="Comma 6 5 8" xfId="46298" xr:uid="{00000000-0005-0000-0000-00005EA30000}"/>
    <cellStyle name="Comma 6 5 8 2" xfId="46299" xr:uid="{00000000-0005-0000-0000-00005FA30000}"/>
    <cellStyle name="Comma 6 5 9" xfId="46300" xr:uid="{00000000-0005-0000-0000-000060A30000}"/>
    <cellStyle name="Comma 6 6" xfId="8395" xr:uid="{00000000-0005-0000-0000-000061A30000}"/>
    <cellStyle name="Comma 6 6 10" xfId="46301" xr:uid="{00000000-0005-0000-0000-000062A30000}"/>
    <cellStyle name="Comma 6 6 2" xfId="8396" xr:uid="{00000000-0005-0000-0000-000063A30000}"/>
    <cellStyle name="Comma 6 6 2 2" xfId="46302" xr:uid="{00000000-0005-0000-0000-000064A30000}"/>
    <cellStyle name="Comma 6 6 2 2 2" xfId="46303" xr:uid="{00000000-0005-0000-0000-000065A30000}"/>
    <cellStyle name="Comma 6 6 2 2 3" xfId="46304" xr:uid="{00000000-0005-0000-0000-000066A30000}"/>
    <cellStyle name="Comma 6 6 2 3" xfId="46305" xr:uid="{00000000-0005-0000-0000-000067A30000}"/>
    <cellStyle name="Comma 6 6 2 3 2" xfId="46306" xr:uid="{00000000-0005-0000-0000-000068A30000}"/>
    <cellStyle name="Comma 6 6 2 3 3" xfId="46307" xr:uid="{00000000-0005-0000-0000-000069A30000}"/>
    <cellStyle name="Comma 6 6 2 4" xfId="46308" xr:uid="{00000000-0005-0000-0000-00006AA30000}"/>
    <cellStyle name="Comma 6 6 2 4 2" xfId="46309" xr:uid="{00000000-0005-0000-0000-00006BA30000}"/>
    <cellStyle name="Comma 6 6 2 5" xfId="46310" xr:uid="{00000000-0005-0000-0000-00006CA30000}"/>
    <cellStyle name="Comma 6 6 2 6" xfId="46311" xr:uid="{00000000-0005-0000-0000-00006DA30000}"/>
    <cellStyle name="Comma 6 6 2 7" xfId="46312" xr:uid="{00000000-0005-0000-0000-00006EA30000}"/>
    <cellStyle name="Comma 6 6 3" xfId="46313" xr:uid="{00000000-0005-0000-0000-00006FA30000}"/>
    <cellStyle name="Comma 6 6 3 2" xfId="46314" xr:uid="{00000000-0005-0000-0000-000070A30000}"/>
    <cellStyle name="Comma 6 6 3 2 2" xfId="46315" xr:uid="{00000000-0005-0000-0000-000071A30000}"/>
    <cellStyle name="Comma 6 6 3 2 3" xfId="46316" xr:uid="{00000000-0005-0000-0000-000072A30000}"/>
    <cellStyle name="Comma 6 6 3 3" xfId="46317" xr:uid="{00000000-0005-0000-0000-000073A30000}"/>
    <cellStyle name="Comma 6 6 3 3 2" xfId="46318" xr:uid="{00000000-0005-0000-0000-000074A30000}"/>
    <cellStyle name="Comma 6 6 3 3 3" xfId="46319" xr:uid="{00000000-0005-0000-0000-000075A30000}"/>
    <cellStyle name="Comma 6 6 3 4" xfId="46320" xr:uid="{00000000-0005-0000-0000-000076A30000}"/>
    <cellStyle name="Comma 6 6 3 4 2" xfId="46321" xr:uid="{00000000-0005-0000-0000-000077A30000}"/>
    <cellStyle name="Comma 6 6 3 5" xfId="46322" xr:uid="{00000000-0005-0000-0000-000078A30000}"/>
    <cellStyle name="Comma 6 6 3 6" xfId="46323" xr:uid="{00000000-0005-0000-0000-000079A30000}"/>
    <cellStyle name="Comma 6 6 4" xfId="46324" xr:uid="{00000000-0005-0000-0000-00007AA30000}"/>
    <cellStyle name="Comma 6 6 4 2" xfId="46325" xr:uid="{00000000-0005-0000-0000-00007BA30000}"/>
    <cellStyle name="Comma 6 6 4 2 2" xfId="46326" xr:uid="{00000000-0005-0000-0000-00007CA30000}"/>
    <cellStyle name="Comma 6 6 4 2 3" xfId="46327" xr:uid="{00000000-0005-0000-0000-00007DA30000}"/>
    <cellStyle name="Comma 6 6 4 3" xfId="46328" xr:uid="{00000000-0005-0000-0000-00007EA30000}"/>
    <cellStyle name="Comma 6 6 4 3 2" xfId="46329" xr:uid="{00000000-0005-0000-0000-00007FA30000}"/>
    <cellStyle name="Comma 6 6 4 4" xfId="46330" xr:uid="{00000000-0005-0000-0000-000080A30000}"/>
    <cellStyle name="Comma 6 6 4 5" xfId="46331" xr:uid="{00000000-0005-0000-0000-000081A30000}"/>
    <cellStyle name="Comma 6 6 5" xfId="46332" xr:uid="{00000000-0005-0000-0000-000082A30000}"/>
    <cellStyle name="Comma 6 6 5 2" xfId="46333" xr:uid="{00000000-0005-0000-0000-000083A30000}"/>
    <cellStyle name="Comma 6 6 5 3" xfId="46334" xr:uid="{00000000-0005-0000-0000-000084A30000}"/>
    <cellStyle name="Comma 6 6 6" xfId="46335" xr:uid="{00000000-0005-0000-0000-000085A30000}"/>
    <cellStyle name="Comma 6 6 6 2" xfId="46336" xr:uid="{00000000-0005-0000-0000-000086A30000}"/>
    <cellStyle name="Comma 6 6 6 3" xfId="46337" xr:uid="{00000000-0005-0000-0000-000087A30000}"/>
    <cellStyle name="Comma 6 6 7" xfId="46338" xr:uid="{00000000-0005-0000-0000-000088A30000}"/>
    <cellStyle name="Comma 6 6 7 2" xfId="46339" xr:uid="{00000000-0005-0000-0000-000089A30000}"/>
    <cellStyle name="Comma 6 6 8" xfId="46340" xr:uid="{00000000-0005-0000-0000-00008AA30000}"/>
    <cellStyle name="Comma 6 6 9" xfId="46341" xr:uid="{00000000-0005-0000-0000-00008BA30000}"/>
    <cellStyle name="Comma 6 7" xfId="8397" xr:uid="{00000000-0005-0000-0000-00008CA30000}"/>
    <cellStyle name="Comma 6 7 10" xfId="46342" xr:uid="{00000000-0005-0000-0000-00008DA30000}"/>
    <cellStyle name="Comma 6 7 2" xfId="8398" xr:uid="{00000000-0005-0000-0000-00008EA30000}"/>
    <cellStyle name="Comma 6 7 2 2" xfId="46343" xr:uid="{00000000-0005-0000-0000-00008FA30000}"/>
    <cellStyle name="Comma 6 7 2 2 2" xfId="46344" xr:uid="{00000000-0005-0000-0000-000090A30000}"/>
    <cellStyle name="Comma 6 7 2 2 3" xfId="46345" xr:uid="{00000000-0005-0000-0000-000091A30000}"/>
    <cellStyle name="Comma 6 7 2 3" xfId="46346" xr:uid="{00000000-0005-0000-0000-000092A30000}"/>
    <cellStyle name="Comma 6 7 2 3 2" xfId="46347" xr:uid="{00000000-0005-0000-0000-000093A30000}"/>
    <cellStyle name="Comma 6 7 2 3 3" xfId="46348" xr:uid="{00000000-0005-0000-0000-000094A30000}"/>
    <cellStyle name="Comma 6 7 2 4" xfId="46349" xr:uid="{00000000-0005-0000-0000-000095A30000}"/>
    <cellStyle name="Comma 6 7 2 4 2" xfId="46350" xr:uid="{00000000-0005-0000-0000-000096A30000}"/>
    <cellStyle name="Comma 6 7 2 5" xfId="46351" xr:uid="{00000000-0005-0000-0000-000097A30000}"/>
    <cellStyle name="Comma 6 7 2 6" xfId="46352" xr:uid="{00000000-0005-0000-0000-000098A30000}"/>
    <cellStyle name="Comma 6 7 2 7" xfId="46353" xr:uid="{00000000-0005-0000-0000-000099A30000}"/>
    <cellStyle name="Comma 6 7 3" xfId="46354" xr:uid="{00000000-0005-0000-0000-00009AA30000}"/>
    <cellStyle name="Comma 6 7 3 2" xfId="46355" xr:uid="{00000000-0005-0000-0000-00009BA30000}"/>
    <cellStyle name="Comma 6 7 3 2 2" xfId="46356" xr:uid="{00000000-0005-0000-0000-00009CA30000}"/>
    <cellStyle name="Comma 6 7 3 2 3" xfId="46357" xr:uid="{00000000-0005-0000-0000-00009DA30000}"/>
    <cellStyle name="Comma 6 7 3 3" xfId="46358" xr:uid="{00000000-0005-0000-0000-00009EA30000}"/>
    <cellStyle name="Comma 6 7 3 3 2" xfId="46359" xr:uid="{00000000-0005-0000-0000-00009FA30000}"/>
    <cellStyle name="Comma 6 7 3 3 3" xfId="46360" xr:uid="{00000000-0005-0000-0000-0000A0A30000}"/>
    <cellStyle name="Comma 6 7 3 4" xfId="46361" xr:uid="{00000000-0005-0000-0000-0000A1A30000}"/>
    <cellStyle name="Comma 6 7 3 4 2" xfId="46362" xr:uid="{00000000-0005-0000-0000-0000A2A30000}"/>
    <cellStyle name="Comma 6 7 3 5" xfId="46363" xr:uid="{00000000-0005-0000-0000-0000A3A30000}"/>
    <cellStyle name="Comma 6 7 3 6" xfId="46364" xr:uid="{00000000-0005-0000-0000-0000A4A30000}"/>
    <cellStyle name="Comma 6 7 4" xfId="46365" xr:uid="{00000000-0005-0000-0000-0000A5A30000}"/>
    <cellStyle name="Comma 6 7 4 2" xfId="46366" xr:uid="{00000000-0005-0000-0000-0000A6A30000}"/>
    <cellStyle name="Comma 6 7 4 2 2" xfId="46367" xr:uid="{00000000-0005-0000-0000-0000A7A30000}"/>
    <cellStyle name="Comma 6 7 4 2 3" xfId="46368" xr:uid="{00000000-0005-0000-0000-0000A8A30000}"/>
    <cellStyle name="Comma 6 7 4 3" xfId="46369" xr:uid="{00000000-0005-0000-0000-0000A9A30000}"/>
    <cellStyle name="Comma 6 7 4 3 2" xfId="46370" xr:uid="{00000000-0005-0000-0000-0000AAA30000}"/>
    <cellStyle name="Comma 6 7 4 4" xfId="46371" xr:uid="{00000000-0005-0000-0000-0000ABA30000}"/>
    <cellStyle name="Comma 6 7 4 5" xfId="46372" xr:uid="{00000000-0005-0000-0000-0000ACA30000}"/>
    <cellStyle name="Comma 6 7 5" xfId="46373" xr:uid="{00000000-0005-0000-0000-0000ADA30000}"/>
    <cellStyle name="Comma 6 7 5 2" xfId="46374" xr:uid="{00000000-0005-0000-0000-0000AEA30000}"/>
    <cellStyle name="Comma 6 7 5 3" xfId="46375" xr:uid="{00000000-0005-0000-0000-0000AFA30000}"/>
    <cellStyle name="Comma 6 7 6" xfId="46376" xr:uid="{00000000-0005-0000-0000-0000B0A30000}"/>
    <cellStyle name="Comma 6 7 6 2" xfId="46377" xr:uid="{00000000-0005-0000-0000-0000B1A30000}"/>
    <cellStyle name="Comma 6 7 6 3" xfId="46378" xr:uid="{00000000-0005-0000-0000-0000B2A30000}"/>
    <cellStyle name="Comma 6 7 7" xfId="46379" xr:uid="{00000000-0005-0000-0000-0000B3A30000}"/>
    <cellStyle name="Comma 6 7 7 2" xfId="46380" xr:uid="{00000000-0005-0000-0000-0000B4A30000}"/>
    <cellStyle name="Comma 6 7 8" xfId="46381" xr:uid="{00000000-0005-0000-0000-0000B5A30000}"/>
    <cellStyle name="Comma 6 7 9" xfId="46382" xr:uid="{00000000-0005-0000-0000-0000B6A30000}"/>
    <cellStyle name="Comma 6 8" xfId="8399" xr:uid="{00000000-0005-0000-0000-0000B7A30000}"/>
    <cellStyle name="Comma 6 8 2" xfId="46383" xr:uid="{00000000-0005-0000-0000-0000B8A30000}"/>
    <cellStyle name="Comma 6 8 2 2" xfId="46384" xr:uid="{00000000-0005-0000-0000-0000B9A30000}"/>
    <cellStyle name="Comma 6 8 2 3" xfId="46385" xr:uid="{00000000-0005-0000-0000-0000BAA30000}"/>
    <cellStyle name="Comma 6 8 3" xfId="46386" xr:uid="{00000000-0005-0000-0000-0000BBA30000}"/>
    <cellStyle name="Comma 6 8 3 2" xfId="46387" xr:uid="{00000000-0005-0000-0000-0000BCA30000}"/>
    <cellStyle name="Comma 6 8 3 3" xfId="46388" xr:uid="{00000000-0005-0000-0000-0000BDA30000}"/>
    <cellStyle name="Comma 6 8 4" xfId="46389" xr:uid="{00000000-0005-0000-0000-0000BEA30000}"/>
    <cellStyle name="Comma 6 8 4 2" xfId="46390" xr:uid="{00000000-0005-0000-0000-0000BFA30000}"/>
    <cellStyle name="Comma 6 8 5" xfId="46391" xr:uid="{00000000-0005-0000-0000-0000C0A30000}"/>
    <cellStyle name="Comma 6 8 6" xfId="46392" xr:uid="{00000000-0005-0000-0000-0000C1A30000}"/>
    <cellStyle name="Comma 6 8 7" xfId="46393" xr:uid="{00000000-0005-0000-0000-0000C2A30000}"/>
    <cellStyle name="Comma 6 9" xfId="46394" xr:uid="{00000000-0005-0000-0000-0000C3A30000}"/>
    <cellStyle name="Comma 6 9 2" xfId="46395" xr:uid="{00000000-0005-0000-0000-0000C4A30000}"/>
    <cellStyle name="Comma 6 9 2 2" xfId="46396" xr:uid="{00000000-0005-0000-0000-0000C5A30000}"/>
    <cellStyle name="Comma 6 9 2 3" xfId="46397" xr:uid="{00000000-0005-0000-0000-0000C6A30000}"/>
    <cellStyle name="Comma 6 9 3" xfId="46398" xr:uid="{00000000-0005-0000-0000-0000C7A30000}"/>
    <cellStyle name="Comma 6 9 3 2" xfId="46399" xr:uid="{00000000-0005-0000-0000-0000C8A30000}"/>
    <cellStyle name="Comma 6 9 3 3" xfId="46400" xr:uid="{00000000-0005-0000-0000-0000C9A30000}"/>
    <cellStyle name="Comma 6 9 4" xfId="46401" xr:uid="{00000000-0005-0000-0000-0000CAA30000}"/>
    <cellStyle name="Comma 6 9 4 2" xfId="46402" xr:uid="{00000000-0005-0000-0000-0000CBA30000}"/>
    <cellStyle name="Comma 6 9 5" xfId="46403" xr:uid="{00000000-0005-0000-0000-0000CCA30000}"/>
    <cellStyle name="Comma 6 9 6" xfId="46404" xr:uid="{00000000-0005-0000-0000-0000CDA30000}"/>
    <cellStyle name="Comma 60" xfId="3689" xr:uid="{00000000-0005-0000-0000-0000CEA30000}"/>
    <cellStyle name="Comma 61" xfId="3690" xr:uid="{00000000-0005-0000-0000-0000CFA30000}"/>
    <cellStyle name="Comma 62" xfId="3691" xr:uid="{00000000-0005-0000-0000-0000D0A30000}"/>
    <cellStyle name="Comma 62 2" xfId="3692" xr:uid="{00000000-0005-0000-0000-0000D1A30000}"/>
    <cellStyle name="Comma 62 2 2" xfId="3693" xr:uid="{00000000-0005-0000-0000-0000D2A30000}"/>
    <cellStyle name="Comma 62 3" xfId="3694" xr:uid="{00000000-0005-0000-0000-0000D3A30000}"/>
    <cellStyle name="Comma 63" xfId="3695" xr:uid="{00000000-0005-0000-0000-0000D4A30000}"/>
    <cellStyle name="Comma 63 2" xfId="3696" xr:uid="{00000000-0005-0000-0000-0000D5A30000}"/>
    <cellStyle name="Comma 63 2 2" xfId="3697" xr:uid="{00000000-0005-0000-0000-0000D6A30000}"/>
    <cellStyle name="Comma 63 3" xfId="3698" xr:uid="{00000000-0005-0000-0000-0000D7A30000}"/>
    <cellStyle name="Comma 64" xfId="3699" xr:uid="{00000000-0005-0000-0000-0000D8A30000}"/>
    <cellStyle name="Comma 64 2" xfId="3700" xr:uid="{00000000-0005-0000-0000-0000D9A30000}"/>
    <cellStyle name="Comma 64 2 2" xfId="3701" xr:uid="{00000000-0005-0000-0000-0000DAA30000}"/>
    <cellStyle name="Comma 64 3" xfId="3702" xr:uid="{00000000-0005-0000-0000-0000DBA30000}"/>
    <cellStyle name="Comma 65" xfId="3703" xr:uid="{00000000-0005-0000-0000-0000DCA30000}"/>
    <cellStyle name="Comma 65 2" xfId="3704" xr:uid="{00000000-0005-0000-0000-0000DDA30000}"/>
    <cellStyle name="Comma 66" xfId="3705" xr:uid="{00000000-0005-0000-0000-0000DEA30000}"/>
    <cellStyle name="Comma 66 2" xfId="3706" xr:uid="{00000000-0005-0000-0000-0000DFA30000}"/>
    <cellStyle name="Comma 67" xfId="3707" xr:uid="{00000000-0005-0000-0000-0000E0A30000}"/>
    <cellStyle name="Comma 68" xfId="3708" xr:uid="{00000000-0005-0000-0000-0000E1A30000}"/>
    <cellStyle name="Comma 69" xfId="3709" xr:uid="{00000000-0005-0000-0000-0000E2A30000}"/>
    <cellStyle name="Comma 7" xfId="3710" xr:uid="{00000000-0005-0000-0000-0000E3A30000}"/>
    <cellStyle name="Comma 7 10" xfId="9096" xr:uid="{00000000-0005-0000-0000-0000E4A30000}"/>
    <cellStyle name="Comma 7 10 2" xfId="46405" xr:uid="{00000000-0005-0000-0000-0000E5A30000}"/>
    <cellStyle name="Comma 7 10 2 2" xfId="46406" xr:uid="{00000000-0005-0000-0000-0000E6A30000}"/>
    <cellStyle name="Comma 7 10 2 3" xfId="46407" xr:uid="{00000000-0005-0000-0000-0000E7A30000}"/>
    <cellStyle name="Comma 7 10 3" xfId="46408" xr:uid="{00000000-0005-0000-0000-0000E8A30000}"/>
    <cellStyle name="Comma 7 10 3 2" xfId="46409" xr:uid="{00000000-0005-0000-0000-0000E9A30000}"/>
    <cellStyle name="Comma 7 10 4" xfId="46410" xr:uid="{00000000-0005-0000-0000-0000EAA30000}"/>
    <cellStyle name="Comma 7 10 5" xfId="46411" xr:uid="{00000000-0005-0000-0000-0000EBA30000}"/>
    <cellStyle name="Comma 7 11" xfId="46412" xr:uid="{00000000-0005-0000-0000-0000ECA30000}"/>
    <cellStyle name="Comma 7 11 2" xfId="46413" xr:uid="{00000000-0005-0000-0000-0000EDA30000}"/>
    <cellStyle name="Comma 7 11 3" xfId="46414" xr:uid="{00000000-0005-0000-0000-0000EEA30000}"/>
    <cellStyle name="Comma 7 12" xfId="46415" xr:uid="{00000000-0005-0000-0000-0000EFA30000}"/>
    <cellStyle name="Comma 7 12 2" xfId="46416" xr:uid="{00000000-0005-0000-0000-0000F0A30000}"/>
    <cellStyle name="Comma 7 12 3" xfId="46417" xr:uid="{00000000-0005-0000-0000-0000F1A30000}"/>
    <cellStyle name="Comma 7 13" xfId="46418" xr:uid="{00000000-0005-0000-0000-0000F2A30000}"/>
    <cellStyle name="Comma 7 13 2" xfId="46419" xr:uid="{00000000-0005-0000-0000-0000F3A30000}"/>
    <cellStyle name="Comma 7 14" xfId="46420" xr:uid="{00000000-0005-0000-0000-0000F4A30000}"/>
    <cellStyle name="Comma 7 15" xfId="46421" xr:uid="{00000000-0005-0000-0000-0000F5A30000}"/>
    <cellStyle name="Comma 7 16" xfId="46422" xr:uid="{00000000-0005-0000-0000-0000F6A30000}"/>
    <cellStyle name="Comma 7 2" xfId="3711" xr:uid="{00000000-0005-0000-0000-0000F7A30000}"/>
    <cellStyle name="Comma 7 2 10" xfId="46423" xr:uid="{00000000-0005-0000-0000-0000F8A30000}"/>
    <cellStyle name="Comma 7 2 10 2" xfId="46424" xr:uid="{00000000-0005-0000-0000-0000F9A30000}"/>
    <cellStyle name="Comma 7 2 10 3" xfId="46425" xr:uid="{00000000-0005-0000-0000-0000FAA30000}"/>
    <cellStyle name="Comma 7 2 11" xfId="46426" xr:uid="{00000000-0005-0000-0000-0000FBA30000}"/>
    <cellStyle name="Comma 7 2 11 2" xfId="46427" xr:uid="{00000000-0005-0000-0000-0000FCA30000}"/>
    <cellStyle name="Comma 7 2 11 3" xfId="46428" xr:uid="{00000000-0005-0000-0000-0000FDA30000}"/>
    <cellStyle name="Comma 7 2 12" xfId="46429" xr:uid="{00000000-0005-0000-0000-0000FEA30000}"/>
    <cellStyle name="Comma 7 2 12 2" xfId="46430" xr:uid="{00000000-0005-0000-0000-0000FFA30000}"/>
    <cellStyle name="Comma 7 2 13" xfId="46431" xr:uid="{00000000-0005-0000-0000-000000A40000}"/>
    <cellStyle name="Comma 7 2 14" xfId="46432" xr:uid="{00000000-0005-0000-0000-000001A40000}"/>
    <cellStyle name="Comma 7 2 15" xfId="46433" xr:uid="{00000000-0005-0000-0000-000002A40000}"/>
    <cellStyle name="Comma 7 2 2" xfId="3712" xr:uid="{00000000-0005-0000-0000-000003A40000}"/>
    <cellStyle name="Comma 7 2 2 10" xfId="46434" xr:uid="{00000000-0005-0000-0000-000004A40000}"/>
    <cellStyle name="Comma 7 2 2 10 2" xfId="46435" xr:uid="{00000000-0005-0000-0000-000005A40000}"/>
    <cellStyle name="Comma 7 2 2 10 3" xfId="46436" xr:uid="{00000000-0005-0000-0000-000006A40000}"/>
    <cellStyle name="Comma 7 2 2 11" xfId="46437" xr:uid="{00000000-0005-0000-0000-000007A40000}"/>
    <cellStyle name="Comma 7 2 2 11 2" xfId="46438" xr:uid="{00000000-0005-0000-0000-000008A40000}"/>
    <cellStyle name="Comma 7 2 2 12" xfId="46439" xr:uid="{00000000-0005-0000-0000-000009A40000}"/>
    <cellStyle name="Comma 7 2 2 13" xfId="46440" xr:uid="{00000000-0005-0000-0000-00000AA40000}"/>
    <cellStyle name="Comma 7 2 2 14" xfId="46441" xr:uid="{00000000-0005-0000-0000-00000BA40000}"/>
    <cellStyle name="Comma 7 2 2 2" xfId="3713" xr:uid="{00000000-0005-0000-0000-00000CA40000}"/>
    <cellStyle name="Comma 7 2 2 2 10" xfId="46442" xr:uid="{00000000-0005-0000-0000-00000DA40000}"/>
    <cellStyle name="Comma 7 2 2 2 10 2" xfId="46443" xr:uid="{00000000-0005-0000-0000-00000EA40000}"/>
    <cellStyle name="Comma 7 2 2 2 11" xfId="46444" xr:uid="{00000000-0005-0000-0000-00000FA40000}"/>
    <cellStyle name="Comma 7 2 2 2 12" xfId="46445" xr:uid="{00000000-0005-0000-0000-000010A40000}"/>
    <cellStyle name="Comma 7 2 2 2 13" xfId="46446" xr:uid="{00000000-0005-0000-0000-000011A40000}"/>
    <cellStyle name="Comma 7 2 2 2 2" xfId="9097" xr:uid="{00000000-0005-0000-0000-000012A40000}"/>
    <cellStyle name="Comma 7 2 2 2 2 10" xfId="46447" xr:uid="{00000000-0005-0000-0000-000013A40000}"/>
    <cellStyle name="Comma 7 2 2 2 2 2" xfId="46448" xr:uid="{00000000-0005-0000-0000-000014A40000}"/>
    <cellStyle name="Comma 7 2 2 2 2 2 2" xfId="46449" xr:uid="{00000000-0005-0000-0000-000015A40000}"/>
    <cellStyle name="Comma 7 2 2 2 2 2 2 2" xfId="46450" xr:uid="{00000000-0005-0000-0000-000016A40000}"/>
    <cellStyle name="Comma 7 2 2 2 2 2 2 2 2" xfId="46451" xr:uid="{00000000-0005-0000-0000-000017A40000}"/>
    <cellStyle name="Comma 7 2 2 2 2 2 2 2 3" xfId="46452" xr:uid="{00000000-0005-0000-0000-000018A40000}"/>
    <cellStyle name="Comma 7 2 2 2 2 2 2 3" xfId="46453" xr:uid="{00000000-0005-0000-0000-000019A40000}"/>
    <cellStyle name="Comma 7 2 2 2 2 2 2 3 2" xfId="46454" xr:uid="{00000000-0005-0000-0000-00001AA40000}"/>
    <cellStyle name="Comma 7 2 2 2 2 2 2 3 3" xfId="46455" xr:uid="{00000000-0005-0000-0000-00001BA40000}"/>
    <cellStyle name="Comma 7 2 2 2 2 2 2 4" xfId="46456" xr:uid="{00000000-0005-0000-0000-00001CA40000}"/>
    <cellStyle name="Comma 7 2 2 2 2 2 2 4 2" xfId="46457" xr:uid="{00000000-0005-0000-0000-00001DA40000}"/>
    <cellStyle name="Comma 7 2 2 2 2 2 2 5" xfId="46458" xr:uid="{00000000-0005-0000-0000-00001EA40000}"/>
    <cellStyle name="Comma 7 2 2 2 2 2 2 6" xfId="46459" xr:uid="{00000000-0005-0000-0000-00001FA40000}"/>
    <cellStyle name="Comma 7 2 2 2 2 2 3" xfId="46460" xr:uid="{00000000-0005-0000-0000-000020A40000}"/>
    <cellStyle name="Comma 7 2 2 2 2 2 3 2" xfId="46461" xr:uid="{00000000-0005-0000-0000-000021A40000}"/>
    <cellStyle name="Comma 7 2 2 2 2 2 3 2 2" xfId="46462" xr:uid="{00000000-0005-0000-0000-000022A40000}"/>
    <cellStyle name="Comma 7 2 2 2 2 2 3 2 3" xfId="46463" xr:uid="{00000000-0005-0000-0000-000023A40000}"/>
    <cellStyle name="Comma 7 2 2 2 2 2 3 3" xfId="46464" xr:uid="{00000000-0005-0000-0000-000024A40000}"/>
    <cellStyle name="Comma 7 2 2 2 2 2 3 3 2" xfId="46465" xr:uid="{00000000-0005-0000-0000-000025A40000}"/>
    <cellStyle name="Comma 7 2 2 2 2 2 3 3 3" xfId="46466" xr:uid="{00000000-0005-0000-0000-000026A40000}"/>
    <cellStyle name="Comma 7 2 2 2 2 2 3 4" xfId="46467" xr:uid="{00000000-0005-0000-0000-000027A40000}"/>
    <cellStyle name="Comma 7 2 2 2 2 2 3 4 2" xfId="46468" xr:uid="{00000000-0005-0000-0000-000028A40000}"/>
    <cellStyle name="Comma 7 2 2 2 2 2 3 5" xfId="46469" xr:uid="{00000000-0005-0000-0000-000029A40000}"/>
    <cellStyle name="Comma 7 2 2 2 2 2 3 6" xfId="46470" xr:uid="{00000000-0005-0000-0000-00002AA40000}"/>
    <cellStyle name="Comma 7 2 2 2 2 2 4" xfId="46471" xr:uid="{00000000-0005-0000-0000-00002BA40000}"/>
    <cellStyle name="Comma 7 2 2 2 2 2 4 2" xfId="46472" xr:uid="{00000000-0005-0000-0000-00002CA40000}"/>
    <cellStyle name="Comma 7 2 2 2 2 2 4 2 2" xfId="46473" xr:uid="{00000000-0005-0000-0000-00002DA40000}"/>
    <cellStyle name="Comma 7 2 2 2 2 2 4 2 3" xfId="46474" xr:uid="{00000000-0005-0000-0000-00002EA40000}"/>
    <cellStyle name="Comma 7 2 2 2 2 2 4 3" xfId="46475" xr:uid="{00000000-0005-0000-0000-00002FA40000}"/>
    <cellStyle name="Comma 7 2 2 2 2 2 4 3 2" xfId="46476" xr:uid="{00000000-0005-0000-0000-000030A40000}"/>
    <cellStyle name="Comma 7 2 2 2 2 2 4 4" xfId="46477" xr:uid="{00000000-0005-0000-0000-000031A40000}"/>
    <cellStyle name="Comma 7 2 2 2 2 2 4 5" xfId="46478" xr:uid="{00000000-0005-0000-0000-000032A40000}"/>
    <cellStyle name="Comma 7 2 2 2 2 2 5" xfId="46479" xr:uid="{00000000-0005-0000-0000-000033A40000}"/>
    <cellStyle name="Comma 7 2 2 2 2 2 5 2" xfId="46480" xr:uid="{00000000-0005-0000-0000-000034A40000}"/>
    <cellStyle name="Comma 7 2 2 2 2 2 5 3" xfId="46481" xr:uid="{00000000-0005-0000-0000-000035A40000}"/>
    <cellStyle name="Comma 7 2 2 2 2 2 6" xfId="46482" xr:uid="{00000000-0005-0000-0000-000036A40000}"/>
    <cellStyle name="Comma 7 2 2 2 2 2 6 2" xfId="46483" xr:uid="{00000000-0005-0000-0000-000037A40000}"/>
    <cellStyle name="Comma 7 2 2 2 2 2 6 3" xfId="46484" xr:uid="{00000000-0005-0000-0000-000038A40000}"/>
    <cellStyle name="Comma 7 2 2 2 2 2 7" xfId="46485" xr:uid="{00000000-0005-0000-0000-000039A40000}"/>
    <cellStyle name="Comma 7 2 2 2 2 2 7 2" xfId="46486" xr:uid="{00000000-0005-0000-0000-00003AA40000}"/>
    <cellStyle name="Comma 7 2 2 2 2 2 8" xfId="46487" xr:uid="{00000000-0005-0000-0000-00003BA40000}"/>
    <cellStyle name="Comma 7 2 2 2 2 2 9" xfId="46488" xr:uid="{00000000-0005-0000-0000-00003CA40000}"/>
    <cellStyle name="Comma 7 2 2 2 2 3" xfId="46489" xr:uid="{00000000-0005-0000-0000-00003DA40000}"/>
    <cellStyle name="Comma 7 2 2 2 2 3 2" xfId="46490" xr:uid="{00000000-0005-0000-0000-00003EA40000}"/>
    <cellStyle name="Comma 7 2 2 2 2 3 2 2" xfId="46491" xr:uid="{00000000-0005-0000-0000-00003FA40000}"/>
    <cellStyle name="Comma 7 2 2 2 2 3 2 3" xfId="46492" xr:uid="{00000000-0005-0000-0000-000040A40000}"/>
    <cellStyle name="Comma 7 2 2 2 2 3 3" xfId="46493" xr:uid="{00000000-0005-0000-0000-000041A40000}"/>
    <cellStyle name="Comma 7 2 2 2 2 3 3 2" xfId="46494" xr:uid="{00000000-0005-0000-0000-000042A40000}"/>
    <cellStyle name="Comma 7 2 2 2 2 3 3 3" xfId="46495" xr:uid="{00000000-0005-0000-0000-000043A40000}"/>
    <cellStyle name="Comma 7 2 2 2 2 3 4" xfId="46496" xr:uid="{00000000-0005-0000-0000-000044A40000}"/>
    <cellStyle name="Comma 7 2 2 2 2 3 4 2" xfId="46497" xr:uid="{00000000-0005-0000-0000-000045A40000}"/>
    <cellStyle name="Comma 7 2 2 2 2 3 5" xfId="46498" xr:uid="{00000000-0005-0000-0000-000046A40000}"/>
    <cellStyle name="Comma 7 2 2 2 2 3 6" xfId="46499" xr:uid="{00000000-0005-0000-0000-000047A40000}"/>
    <cellStyle name="Comma 7 2 2 2 2 4" xfId="46500" xr:uid="{00000000-0005-0000-0000-000048A40000}"/>
    <cellStyle name="Comma 7 2 2 2 2 4 2" xfId="46501" xr:uid="{00000000-0005-0000-0000-000049A40000}"/>
    <cellStyle name="Comma 7 2 2 2 2 4 2 2" xfId="46502" xr:uid="{00000000-0005-0000-0000-00004AA40000}"/>
    <cellStyle name="Comma 7 2 2 2 2 4 2 3" xfId="46503" xr:uid="{00000000-0005-0000-0000-00004BA40000}"/>
    <cellStyle name="Comma 7 2 2 2 2 4 3" xfId="46504" xr:uid="{00000000-0005-0000-0000-00004CA40000}"/>
    <cellStyle name="Comma 7 2 2 2 2 4 3 2" xfId="46505" xr:uid="{00000000-0005-0000-0000-00004DA40000}"/>
    <cellStyle name="Comma 7 2 2 2 2 4 3 3" xfId="46506" xr:uid="{00000000-0005-0000-0000-00004EA40000}"/>
    <cellStyle name="Comma 7 2 2 2 2 4 4" xfId="46507" xr:uid="{00000000-0005-0000-0000-00004FA40000}"/>
    <cellStyle name="Comma 7 2 2 2 2 4 4 2" xfId="46508" xr:uid="{00000000-0005-0000-0000-000050A40000}"/>
    <cellStyle name="Comma 7 2 2 2 2 4 5" xfId="46509" xr:uid="{00000000-0005-0000-0000-000051A40000}"/>
    <cellStyle name="Comma 7 2 2 2 2 4 6" xfId="46510" xr:uid="{00000000-0005-0000-0000-000052A40000}"/>
    <cellStyle name="Comma 7 2 2 2 2 5" xfId="46511" xr:uid="{00000000-0005-0000-0000-000053A40000}"/>
    <cellStyle name="Comma 7 2 2 2 2 5 2" xfId="46512" xr:uid="{00000000-0005-0000-0000-000054A40000}"/>
    <cellStyle name="Comma 7 2 2 2 2 5 2 2" xfId="46513" xr:uid="{00000000-0005-0000-0000-000055A40000}"/>
    <cellStyle name="Comma 7 2 2 2 2 5 2 3" xfId="46514" xr:uid="{00000000-0005-0000-0000-000056A40000}"/>
    <cellStyle name="Comma 7 2 2 2 2 5 3" xfId="46515" xr:uid="{00000000-0005-0000-0000-000057A40000}"/>
    <cellStyle name="Comma 7 2 2 2 2 5 3 2" xfId="46516" xr:uid="{00000000-0005-0000-0000-000058A40000}"/>
    <cellStyle name="Comma 7 2 2 2 2 5 4" xfId="46517" xr:uid="{00000000-0005-0000-0000-000059A40000}"/>
    <cellStyle name="Comma 7 2 2 2 2 5 5" xfId="46518" xr:uid="{00000000-0005-0000-0000-00005AA40000}"/>
    <cellStyle name="Comma 7 2 2 2 2 6" xfId="46519" xr:uid="{00000000-0005-0000-0000-00005BA40000}"/>
    <cellStyle name="Comma 7 2 2 2 2 6 2" xfId="46520" xr:uid="{00000000-0005-0000-0000-00005CA40000}"/>
    <cellStyle name="Comma 7 2 2 2 2 6 3" xfId="46521" xr:uid="{00000000-0005-0000-0000-00005DA40000}"/>
    <cellStyle name="Comma 7 2 2 2 2 7" xfId="46522" xr:uid="{00000000-0005-0000-0000-00005EA40000}"/>
    <cellStyle name="Comma 7 2 2 2 2 7 2" xfId="46523" xr:uid="{00000000-0005-0000-0000-00005FA40000}"/>
    <cellStyle name="Comma 7 2 2 2 2 7 3" xfId="46524" xr:uid="{00000000-0005-0000-0000-000060A40000}"/>
    <cellStyle name="Comma 7 2 2 2 2 8" xfId="46525" xr:uid="{00000000-0005-0000-0000-000061A40000}"/>
    <cellStyle name="Comma 7 2 2 2 2 8 2" xfId="46526" xr:uid="{00000000-0005-0000-0000-000062A40000}"/>
    <cellStyle name="Comma 7 2 2 2 2 9" xfId="46527" xr:uid="{00000000-0005-0000-0000-000063A40000}"/>
    <cellStyle name="Comma 7 2 2 2 3" xfId="9098" xr:uid="{00000000-0005-0000-0000-000064A40000}"/>
    <cellStyle name="Comma 7 2 2 2 3 2" xfId="46528" xr:uid="{00000000-0005-0000-0000-000065A40000}"/>
    <cellStyle name="Comma 7 2 2 2 3 2 2" xfId="46529" xr:uid="{00000000-0005-0000-0000-000066A40000}"/>
    <cellStyle name="Comma 7 2 2 2 3 2 2 2" xfId="46530" xr:uid="{00000000-0005-0000-0000-000067A40000}"/>
    <cellStyle name="Comma 7 2 2 2 3 2 2 3" xfId="46531" xr:uid="{00000000-0005-0000-0000-000068A40000}"/>
    <cellStyle name="Comma 7 2 2 2 3 2 3" xfId="46532" xr:uid="{00000000-0005-0000-0000-000069A40000}"/>
    <cellStyle name="Comma 7 2 2 2 3 2 3 2" xfId="46533" xr:uid="{00000000-0005-0000-0000-00006AA40000}"/>
    <cellStyle name="Comma 7 2 2 2 3 2 3 3" xfId="46534" xr:uid="{00000000-0005-0000-0000-00006BA40000}"/>
    <cellStyle name="Comma 7 2 2 2 3 2 4" xfId="46535" xr:uid="{00000000-0005-0000-0000-00006CA40000}"/>
    <cellStyle name="Comma 7 2 2 2 3 2 4 2" xfId="46536" xr:uid="{00000000-0005-0000-0000-00006DA40000}"/>
    <cellStyle name="Comma 7 2 2 2 3 2 5" xfId="46537" xr:uid="{00000000-0005-0000-0000-00006EA40000}"/>
    <cellStyle name="Comma 7 2 2 2 3 2 6" xfId="46538" xr:uid="{00000000-0005-0000-0000-00006FA40000}"/>
    <cellStyle name="Comma 7 2 2 2 3 3" xfId="46539" xr:uid="{00000000-0005-0000-0000-000070A40000}"/>
    <cellStyle name="Comma 7 2 2 2 3 3 2" xfId="46540" xr:uid="{00000000-0005-0000-0000-000071A40000}"/>
    <cellStyle name="Comma 7 2 2 2 3 3 2 2" xfId="46541" xr:uid="{00000000-0005-0000-0000-000072A40000}"/>
    <cellStyle name="Comma 7 2 2 2 3 3 2 3" xfId="46542" xr:uid="{00000000-0005-0000-0000-000073A40000}"/>
    <cellStyle name="Comma 7 2 2 2 3 3 3" xfId="46543" xr:uid="{00000000-0005-0000-0000-000074A40000}"/>
    <cellStyle name="Comma 7 2 2 2 3 3 3 2" xfId="46544" xr:uid="{00000000-0005-0000-0000-000075A40000}"/>
    <cellStyle name="Comma 7 2 2 2 3 3 3 3" xfId="46545" xr:uid="{00000000-0005-0000-0000-000076A40000}"/>
    <cellStyle name="Comma 7 2 2 2 3 3 4" xfId="46546" xr:uid="{00000000-0005-0000-0000-000077A40000}"/>
    <cellStyle name="Comma 7 2 2 2 3 3 4 2" xfId="46547" xr:uid="{00000000-0005-0000-0000-000078A40000}"/>
    <cellStyle name="Comma 7 2 2 2 3 3 5" xfId="46548" xr:uid="{00000000-0005-0000-0000-000079A40000}"/>
    <cellStyle name="Comma 7 2 2 2 3 3 6" xfId="46549" xr:uid="{00000000-0005-0000-0000-00007AA40000}"/>
    <cellStyle name="Comma 7 2 2 2 3 4" xfId="46550" xr:uid="{00000000-0005-0000-0000-00007BA40000}"/>
    <cellStyle name="Comma 7 2 2 2 3 4 2" xfId="46551" xr:uid="{00000000-0005-0000-0000-00007CA40000}"/>
    <cellStyle name="Comma 7 2 2 2 3 4 2 2" xfId="46552" xr:uid="{00000000-0005-0000-0000-00007DA40000}"/>
    <cellStyle name="Comma 7 2 2 2 3 4 2 3" xfId="46553" xr:uid="{00000000-0005-0000-0000-00007EA40000}"/>
    <cellStyle name="Comma 7 2 2 2 3 4 3" xfId="46554" xr:uid="{00000000-0005-0000-0000-00007FA40000}"/>
    <cellStyle name="Comma 7 2 2 2 3 4 3 2" xfId="46555" xr:uid="{00000000-0005-0000-0000-000080A40000}"/>
    <cellStyle name="Comma 7 2 2 2 3 4 4" xfId="46556" xr:uid="{00000000-0005-0000-0000-000081A40000}"/>
    <cellStyle name="Comma 7 2 2 2 3 4 5" xfId="46557" xr:uid="{00000000-0005-0000-0000-000082A40000}"/>
    <cellStyle name="Comma 7 2 2 2 3 5" xfId="46558" xr:uid="{00000000-0005-0000-0000-000083A40000}"/>
    <cellStyle name="Comma 7 2 2 2 3 5 2" xfId="46559" xr:uid="{00000000-0005-0000-0000-000084A40000}"/>
    <cellStyle name="Comma 7 2 2 2 3 5 3" xfId="46560" xr:uid="{00000000-0005-0000-0000-000085A40000}"/>
    <cellStyle name="Comma 7 2 2 2 3 6" xfId="46561" xr:uid="{00000000-0005-0000-0000-000086A40000}"/>
    <cellStyle name="Comma 7 2 2 2 3 6 2" xfId="46562" xr:uid="{00000000-0005-0000-0000-000087A40000}"/>
    <cellStyle name="Comma 7 2 2 2 3 6 3" xfId="46563" xr:uid="{00000000-0005-0000-0000-000088A40000}"/>
    <cellStyle name="Comma 7 2 2 2 3 7" xfId="46564" xr:uid="{00000000-0005-0000-0000-000089A40000}"/>
    <cellStyle name="Comma 7 2 2 2 3 7 2" xfId="46565" xr:uid="{00000000-0005-0000-0000-00008AA40000}"/>
    <cellStyle name="Comma 7 2 2 2 3 8" xfId="46566" xr:uid="{00000000-0005-0000-0000-00008BA40000}"/>
    <cellStyle name="Comma 7 2 2 2 3 9" xfId="46567" xr:uid="{00000000-0005-0000-0000-00008CA40000}"/>
    <cellStyle name="Comma 7 2 2 2 4" xfId="46568" xr:uid="{00000000-0005-0000-0000-00008DA40000}"/>
    <cellStyle name="Comma 7 2 2 2 4 2" xfId="46569" xr:uid="{00000000-0005-0000-0000-00008EA40000}"/>
    <cellStyle name="Comma 7 2 2 2 4 2 2" xfId="46570" xr:uid="{00000000-0005-0000-0000-00008FA40000}"/>
    <cellStyle name="Comma 7 2 2 2 4 2 2 2" xfId="46571" xr:uid="{00000000-0005-0000-0000-000090A40000}"/>
    <cellStyle name="Comma 7 2 2 2 4 2 2 3" xfId="46572" xr:uid="{00000000-0005-0000-0000-000091A40000}"/>
    <cellStyle name="Comma 7 2 2 2 4 2 3" xfId="46573" xr:uid="{00000000-0005-0000-0000-000092A40000}"/>
    <cellStyle name="Comma 7 2 2 2 4 2 3 2" xfId="46574" xr:uid="{00000000-0005-0000-0000-000093A40000}"/>
    <cellStyle name="Comma 7 2 2 2 4 2 3 3" xfId="46575" xr:uid="{00000000-0005-0000-0000-000094A40000}"/>
    <cellStyle name="Comma 7 2 2 2 4 2 4" xfId="46576" xr:uid="{00000000-0005-0000-0000-000095A40000}"/>
    <cellStyle name="Comma 7 2 2 2 4 2 4 2" xfId="46577" xr:uid="{00000000-0005-0000-0000-000096A40000}"/>
    <cellStyle name="Comma 7 2 2 2 4 2 5" xfId="46578" xr:uid="{00000000-0005-0000-0000-000097A40000}"/>
    <cellStyle name="Comma 7 2 2 2 4 2 6" xfId="46579" xr:uid="{00000000-0005-0000-0000-000098A40000}"/>
    <cellStyle name="Comma 7 2 2 2 4 3" xfId="46580" xr:uid="{00000000-0005-0000-0000-000099A40000}"/>
    <cellStyle name="Comma 7 2 2 2 4 3 2" xfId="46581" xr:uid="{00000000-0005-0000-0000-00009AA40000}"/>
    <cellStyle name="Comma 7 2 2 2 4 3 2 2" xfId="46582" xr:uid="{00000000-0005-0000-0000-00009BA40000}"/>
    <cellStyle name="Comma 7 2 2 2 4 3 2 3" xfId="46583" xr:uid="{00000000-0005-0000-0000-00009CA40000}"/>
    <cellStyle name="Comma 7 2 2 2 4 3 3" xfId="46584" xr:uid="{00000000-0005-0000-0000-00009DA40000}"/>
    <cellStyle name="Comma 7 2 2 2 4 3 3 2" xfId="46585" xr:uid="{00000000-0005-0000-0000-00009EA40000}"/>
    <cellStyle name="Comma 7 2 2 2 4 3 3 3" xfId="46586" xr:uid="{00000000-0005-0000-0000-00009FA40000}"/>
    <cellStyle name="Comma 7 2 2 2 4 3 4" xfId="46587" xr:uid="{00000000-0005-0000-0000-0000A0A40000}"/>
    <cellStyle name="Comma 7 2 2 2 4 3 4 2" xfId="46588" xr:uid="{00000000-0005-0000-0000-0000A1A40000}"/>
    <cellStyle name="Comma 7 2 2 2 4 3 5" xfId="46589" xr:uid="{00000000-0005-0000-0000-0000A2A40000}"/>
    <cellStyle name="Comma 7 2 2 2 4 3 6" xfId="46590" xr:uid="{00000000-0005-0000-0000-0000A3A40000}"/>
    <cellStyle name="Comma 7 2 2 2 4 4" xfId="46591" xr:uid="{00000000-0005-0000-0000-0000A4A40000}"/>
    <cellStyle name="Comma 7 2 2 2 4 4 2" xfId="46592" xr:uid="{00000000-0005-0000-0000-0000A5A40000}"/>
    <cellStyle name="Comma 7 2 2 2 4 4 2 2" xfId="46593" xr:uid="{00000000-0005-0000-0000-0000A6A40000}"/>
    <cellStyle name="Comma 7 2 2 2 4 4 2 3" xfId="46594" xr:uid="{00000000-0005-0000-0000-0000A7A40000}"/>
    <cellStyle name="Comma 7 2 2 2 4 4 3" xfId="46595" xr:uid="{00000000-0005-0000-0000-0000A8A40000}"/>
    <cellStyle name="Comma 7 2 2 2 4 4 3 2" xfId="46596" xr:uid="{00000000-0005-0000-0000-0000A9A40000}"/>
    <cellStyle name="Comma 7 2 2 2 4 4 4" xfId="46597" xr:uid="{00000000-0005-0000-0000-0000AAA40000}"/>
    <cellStyle name="Comma 7 2 2 2 4 4 5" xfId="46598" xr:uid="{00000000-0005-0000-0000-0000ABA40000}"/>
    <cellStyle name="Comma 7 2 2 2 4 5" xfId="46599" xr:uid="{00000000-0005-0000-0000-0000ACA40000}"/>
    <cellStyle name="Comma 7 2 2 2 4 5 2" xfId="46600" xr:uid="{00000000-0005-0000-0000-0000ADA40000}"/>
    <cellStyle name="Comma 7 2 2 2 4 5 3" xfId="46601" xr:uid="{00000000-0005-0000-0000-0000AEA40000}"/>
    <cellStyle name="Comma 7 2 2 2 4 6" xfId="46602" xr:uid="{00000000-0005-0000-0000-0000AFA40000}"/>
    <cellStyle name="Comma 7 2 2 2 4 6 2" xfId="46603" xr:uid="{00000000-0005-0000-0000-0000B0A40000}"/>
    <cellStyle name="Comma 7 2 2 2 4 6 3" xfId="46604" xr:uid="{00000000-0005-0000-0000-0000B1A40000}"/>
    <cellStyle name="Comma 7 2 2 2 4 7" xfId="46605" xr:uid="{00000000-0005-0000-0000-0000B2A40000}"/>
    <cellStyle name="Comma 7 2 2 2 4 7 2" xfId="46606" xr:uid="{00000000-0005-0000-0000-0000B3A40000}"/>
    <cellStyle name="Comma 7 2 2 2 4 8" xfId="46607" xr:uid="{00000000-0005-0000-0000-0000B4A40000}"/>
    <cellStyle name="Comma 7 2 2 2 4 9" xfId="46608" xr:uid="{00000000-0005-0000-0000-0000B5A40000}"/>
    <cellStyle name="Comma 7 2 2 2 5" xfId="46609" xr:uid="{00000000-0005-0000-0000-0000B6A40000}"/>
    <cellStyle name="Comma 7 2 2 2 5 2" xfId="46610" xr:uid="{00000000-0005-0000-0000-0000B7A40000}"/>
    <cellStyle name="Comma 7 2 2 2 5 2 2" xfId="46611" xr:uid="{00000000-0005-0000-0000-0000B8A40000}"/>
    <cellStyle name="Comma 7 2 2 2 5 2 3" xfId="46612" xr:uid="{00000000-0005-0000-0000-0000B9A40000}"/>
    <cellStyle name="Comma 7 2 2 2 5 3" xfId="46613" xr:uid="{00000000-0005-0000-0000-0000BAA40000}"/>
    <cellStyle name="Comma 7 2 2 2 5 3 2" xfId="46614" xr:uid="{00000000-0005-0000-0000-0000BBA40000}"/>
    <cellStyle name="Comma 7 2 2 2 5 3 3" xfId="46615" xr:uid="{00000000-0005-0000-0000-0000BCA40000}"/>
    <cellStyle name="Comma 7 2 2 2 5 4" xfId="46616" xr:uid="{00000000-0005-0000-0000-0000BDA40000}"/>
    <cellStyle name="Comma 7 2 2 2 5 4 2" xfId="46617" xr:uid="{00000000-0005-0000-0000-0000BEA40000}"/>
    <cellStyle name="Comma 7 2 2 2 5 5" xfId="46618" xr:uid="{00000000-0005-0000-0000-0000BFA40000}"/>
    <cellStyle name="Comma 7 2 2 2 5 6" xfId="46619" xr:uid="{00000000-0005-0000-0000-0000C0A40000}"/>
    <cellStyle name="Comma 7 2 2 2 6" xfId="46620" xr:uid="{00000000-0005-0000-0000-0000C1A40000}"/>
    <cellStyle name="Comma 7 2 2 2 6 2" xfId="46621" xr:uid="{00000000-0005-0000-0000-0000C2A40000}"/>
    <cellStyle name="Comma 7 2 2 2 6 2 2" xfId="46622" xr:uid="{00000000-0005-0000-0000-0000C3A40000}"/>
    <cellStyle name="Comma 7 2 2 2 6 2 3" xfId="46623" xr:uid="{00000000-0005-0000-0000-0000C4A40000}"/>
    <cellStyle name="Comma 7 2 2 2 6 3" xfId="46624" xr:uid="{00000000-0005-0000-0000-0000C5A40000}"/>
    <cellStyle name="Comma 7 2 2 2 6 3 2" xfId="46625" xr:uid="{00000000-0005-0000-0000-0000C6A40000}"/>
    <cellStyle name="Comma 7 2 2 2 6 3 3" xfId="46626" xr:uid="{00000000-0005-0000-0000-0000C7A40000}"/>
    <cellStyle name="Comma 7 2 2 2 6 4" xfId="46627" xr:uid="{00000000-0005-0000-0000-0000C8A40000}"/>
    <cellStyle name="Comma 7 2 2 2 6 4 2" xfId="46628" xr:uid="{00000000-0005-0000-0000-0000C9A40000}"/>
    <cellStyle name="Comma 7 2 2 2 6 5" xfId="46629" xr:uid="{00000000-0005-0000-0000-0000CAA40000}"/>
    <cellStyle name="Comma 7 2 2 2 6 6" xfId="46630" xr:uid="{00000000-0005-0000-0000-0000CBA40000}"/>
    <cellStyle name="Comma 7 2 2 2 7" xfId="46631" xr:uid="{00000000-0005-0000-0000-0000CCA40000}"/>
    <cellStyle name="Comma 7 2 2 2 7 2" xfId="46632" xr:uid="{00000000-0005-0000-0000-0000CDA40000}"/>
    <cellStyle name="Comma 7 2 2 2 7 2 2" xfId="46633" xr:uid="{00000000-0005-0000-0000-0000CEA40000}"/>
    <cellStyle name="Comma 7 2 2 2 7 2 3" xfId="46634" xr:uid="{00000000-0005-0000-0000-0000CFA40000}"/>
    <cellStyle name="Comma 7 2 2 2 7 3" xfId="46635" xr:uid="{00000000-0005-0000-0000-0000D0A40000}"/>
    <cellStyle name="Comma 7 2 2 2 7 3 2" xfId="46636" xr:uid="{00000000-0005-0000-0000-0000D1A40000}"/>
    <cellStyle name="Comma 7 2 2 2 7 4" xfId="46637" xr:uid="{00000000-0005-0000-0000-0000D2A40000}"/>
    <cellStyle name="Comma 7 2 2 2 7 5" xfId="46638" xr:uid="{00000000-0005-0000-0000-0000D3A40000}"/>
    <cellStyle name="Comma 7 2 2 2 8" xfId="46639" xr:uid="{00000000-0005-0000-0000-0000D4A40000}"/>
    <cellStyle name="Comma 7 2 2 2 8 2" xfId="46640" xr:uid="{00000000-0005-0000-0000-0000D5A40000}"/>
    <cellStyle name="Comma 7 2 2 2 8 3" xfId="46641" xr:uid="{00000000-0005-0000-0000-0000D6A40000}"/>
    <cellStyle name="Comma 7 2 2 2 9" xfId="46642" xr:uid="{00000000-0005-0000-0000-0000D7A40000}"/>
    <cellStyle name="Comma 7 2 2 2 9 2" xfId="46643" xr:uid="{00000000-0005-0000-0000-0000D8A40000}"/>
    <cellStyle name="Comma 7 2 2 2 9 3" xfId="46644" xr:uid="{00000000-0005-0000-0000-0000D9A40000}"/>
    <cellStyle name="Comma 7 2 2 3" xfId="9099" xr:uid="{00000000-0005-0000-0000-0000DAA40000}"/>
    <cellStyle name="Comma 7 2 2 3 10" xfId="46645" xr:uid="{00000000-0005-0000-0000-0000DBA40000}"/>
    <cellStyle name="Comma 7 2 2 3 2" xfId="46646" xr:uid="{00000000-0005-0000-0000-0000DCA40000}"/>
    <cellStyle name="Comma 7 2 2 3 2 2" xfId="46647" xr:uid="{00000000-0005-0000-0000-0000DDA40000}"/>
    <cellStyle name="Comma 7 2 2 3 2 2 2" xfId="46648" xr:uid="{00000000-0005-0000-0000-0000DEA40000}"/>
    <cellStyle name="Comma 7 2 2 3 2 2 2 2" xfId="46649" xr:uid="{00000000-0005-0000-0000-0000DFA40000}"/>
    <cellStyle name="Comma 7 2 2 3 2 2 2 3" xfId="46650" xr:uid="{00000000-0005-0000-0000-0000E0A40000}"/>
    <cellStyle name="Comma 7 2 2 3 2 2 3" xfId="46651" xr:uid="{00000000-0005-0000-0000-0000E1A40000}"/>
    <cellStyle name="Comma 7 2 2 3 2 2 3 2" xfId="46652" xr:uid="{00000000-0005-0000-0000-0000E2A40000}"/>
    <cellStyle name="Comma 7 2 2 3 2 2 3 3" xfId="46653" xr:uid="{00000000-0005-0000-0000-0000E3A40000}"/>
    <cellStyle name="Comma 7 2 2 3 2 2 4" xfId="46654" xr:uid="{00000000-0005-0000-0000-0000E4A40000}"/>
    <cellStyle name="Comma 7 2 2 3 2 2 4 2" xfId="46655" xr:uid="{00000000-0005-0000-0000-0000E5A40000}"/>
    <cellStyle name="Comma 7 2 2 3 2 2 5" xfId="46656" xr:uid="{00000000-0005-0000-0000-0000E6A40000}"/>
    <cellStyle name="Comma 7 2 2 3 2 2 6" xfId="46657" xr:uid="{00000000-0005-0000-0000-0000E7A40000}"/>
    <cellStyle name="Comma 7 2 2 3 2 3" xfId="46658" xr:uid="{00000000-0005-0000-0000-0000E8A40000}"/>
    <cellStyle name="Comma 7 2 2 3 2 3 2" xfId="46659" xr:uid="{00000000-0005-0000-0000-0000E9A40000}"/>
    <cellStyle name="Comma 7 2 2 3 2 3 2 2" xfId="46660" xr:uid="{00000000-0005-0000-0000-0000EAA40000}"/>
    <cellStyle name="Comma 7 2 2 3 2 3 2 3" xfId="46661" xr:uid="{00000000-0005-0000-0000-0000EBA40000}"/>
    <cellStyle name="Comma 7 2 2 3 2 3 3" xfId="46662" xr:uid="{00000000-0005-0000-0000-0000ECA40000}"/>
    <cellStyle name="Comma 7 2 2 3 2 3 3 2" xfId="46663" xr:uid="{00000000-0005-0000-0000-0000EDA40000}"/>
    <cellStyle name="Comma 7 2 2 3 2 3 3 3" xfId="46664" xr:uid="{00000000-0005-0000-0000-0000EEA40000}"/>
    <cellStyle name="Comma 7 2 2 3 2 3 4" xfId="46665" xr:uid="{00000000-0005-0000-0000-0000EFA40000}"/>
    <cellStyle name="Comma 7 2 2 3 2 3 4 2" xfId="46666" xr:uid="{00000000-0005-0000-0000-0000F0A40000}"/>
    <cellStyle name="Comma 7 2 2 3 2 3 5" xfId="46667" xr:uid="{00000000-0005-0000-0000-0000F1A40000}"/>
    <cellStyle name="Comma 7 2 2 3 2 3 6" xfId="46668" xr:uid="{00000000-0005-0000-0000-0000F2A40000}"/>
    <cellStyle name="Comma 7 2 2 3 2 4" xfId="46669" xr:uid="{00000000-0005-0000-0000-0000F3A40000}"/>
    <cellStyle name="Comma 7 2 2 3 2 4 2" xfId="46670" xr:uid="{00000000-0005-0000-0000-0000F4A40000}"/>
    <cellStyle name="Comma 7 2 2 3 2 4 2 2" xfId="46671" xr:uid="{00000000-0005-0000-0000-0000F5A40000}"/>
    <cellStyle name="Comma 7 2 2 3 2 4 2 3" xfId="46672" xr:uid="{00000000-0005-0000-0000-0000F6A40000}"/>
    <cellStyle name="Comma 7 2 2 3 2 4 3" xfId="46673" xr:uid="{00000000-0005-0000-0000-0000F7A40000}"/>
    <cellStyle name="Comma 7 2 2 3 2 4 3 2" xfId="46674" xr:uid="{00000000-0005-0000-0000-0000F8A40000}"/>
    <cellStyle name="Comma 7 2 2 3 2 4 4" xfId="46675" xr:uid="{00000000-0005-0000-0000-0000F9A40000}"/>
    <cellStyle name="Comma 7 2 2 3 2 4 5" xfId="46676" xr:uid="{00000000-0005-0000-0000-0000FAA40000}"/>
    <cellStyle name="Comma 7 2 2 3 2 5" xfId="46677" xr:uid="{00000000-0005-0000-0000-0000FBA40000}"/>
    <cellStyle name="Comma 7 2 2 3 2 5 2" xfId="46678" xr:uid="{00000000-0005-0000-0000-0000FCA40000}"/>
    <cellStyle name="Comma 7 2 2 3 2 5 3" xfId="46679" xr:uid="{00000000-0005-0000-0000-0000FDA40000}"/>
    <cellStyle name="Comma 7 2 2 3 2 6" xfId="46680" xr:uid="{00000000-0005-0000-0000-0000FEA40000}"/>
    <cellStyle name="Comma 7 2 2 3 2 6 2" xfId="46681" xr:uid="{00000000-0005-0000-0000-0000FFA40000}"/>
    <cellStyle name="Comma 7 2 2 3 2 6 3" xfId="46682" xr:uid="{00000000-0005-0000-0000-000000A50000}"/>
    <cellStyle name="Comma 7 2 2 3 2 7" xfId="46683" xr:uid="{00000000-0005-0000-0000-000001A50000}"/>
    <cellStyle name="Comma 7 2 2 3 2 7 2" xfId="46684" xr:uid="{00000000-0005-0000-0000-000002A50000}"/>
    <cellStyle name="Comma 7 2 2 3 2 8" xfId="46685" xr:uid="{00000000-0005-0000-0000-000003A50000}"/>
    <cellStyle name="Comma 7 2 2 3 2 9" xfId="46686" xr:uid="{00000000-0005-0000-0000-000004A50000}"/>
    <cellStyle name="Comma 7 2 2 3 3" xfId="46687" xr:uid="{00000000-0005-0000-0000-000005A50000}"/>
    <cellStyle name="Comma 7 2 2 3 3 2" xfId="46688" xr:uid="{00000000-0005-0000-0000-000006A50000}"/>
    <cellStyle name="Comma 7 2 2 3 3 2 2" xfId="46689" xr:uid="{00000000-0005-0000-0000-000007A50000}"/>
    <cellStyle name="Comma 7 2 2 3 3 2 3" xfId="46690" xr:uid="{00000000-0005-0000-0000-000008A50000}"/>
    <cellStyle name="Comma 7 2 2 3 3 3" xfId="46691" xr:uid="{00000000-0005-0000-0000-000009A50000}"/>
    <cellStyle name="Comma 7 2 2 3 3 3 2" xfId="46692" xr:uid="{00000000-0005-0000-0000-00000AA50000}"/>
    <cellStyle name="Comma 7 2 2 3 3 3 3" xfId="46693" xr:uid="{00000000-0005-0000-0000-00000BA50000}"/>
    <cellStyle name="Comma 7 2 2 3 3 4" xfId="46694" xr:uid="{00000000-0005-0000-0000-00000CA50000}"/>
    <cellStyle name="Comma 7 2 2 3 3 4 2" xfId="46695" xr:uid="{00000000-0005-0000-0000-00000DA50000}"/>
    <cellStyle name="Comma 7 2 2 3 3 5" xfId="46696" xr:uid="{00000000-0005-0000-0000-00000EA50000}"/>
    <cellStyle name="Comma 7 2 2 3 3 6" xfId="46697" xr:uid="{00000000-0005-0000-0000-00000FA50000}"/>
    <cellStyle name="Comma 7 2 2 3 4" xfId="46698" xr:uid="{00000000-0005-0000-0000-000010A50000}"/>
    <cellStyle name="Comma 7 2 2 3 4 2" xfId="46699" xr:uid="{00000000-0005-0000-0000-000011A50000}"/>
    <cellStyle name="Comma 7 2 2 3 4 2 2" xfId="46700" xr:uid="{00000000-0005-0000-0000-000012A50000}"/>
    <cellStyle name="Comma 7 2 2 3 4 2 3" xfId="46701" xr:uid="{00000000-0005-0000-0000-000013A50000}"/>
    <cellStyle name="Comma 7 2 2 3 4 3" xfId="46702" xr:uid="{00000000-0005-0000-0000-000014A50000}"/>
    <cellStyle name="Comma 7 2 2 3 4 3 2" xfId="46703" xr:uid="{00000000-0005-0000-0000-000015A50000}"/>
    <cellStyle name="Comma 7 2 2 3 4 3 3" xfId="46704" xr:uid="{00000000-0005-0000-0000-000016A50000}"/>
    <cellStyle name="Comma 7 2 2 3 4 4" xfId="46705" xr:uid="{00000000-0005-0000-0000-000017A50000}"/>
    <cellStyle name="Comma 7 2 2 3 4 4 2" xfId="46706" xr:uid="{00000000-0005-0000-0000-000018A50000}"/>
    <cellStyle name="Comma 7 2 2 3 4 5" xfId="46707" xr:uid="{00000000-0005-0000-0000-000019A50000}"/>
    <cellStyle name="Comma 7 2 2 3 4 6" xfId="46708" xr:uid="{00000000-0005-0000-0000-00001AA50000}"/>
    <cellStyle name="Comma 7 2 2 3 5" xfId="46709" xr:uid="{00000000-0005-0000-0000-00001BA50000}"/>
    <cellStyle name="Comma 7 2 2 3 5 2" xfId="46710" xr:uid="{00000000-0005-0000-0000-00001CA50000}"/>
    <cellStyle name="Comma 7 2 2 3 5 2 2" xfId="46711" xr:uid="{00000000-0005-0000-0000-00001DA50000}"/>
    <cellStyle name="Comma 7 2 2 3 5 2 3" xfId="46712" xr:uid="{00000000-0005-0000-0000-00001EA50000}"/>
    <cellStyle name="Comma 7 2 2 3 5 3" xfId="46713" xr:uid="{00000000-0005-0000-0000-00001FA50000}"/>
    <cellStyle name="Comma 7 2 2 3 5 3 2" xfId="46714" xr:uid="{00000000-0005-0000-0000-000020A50000}"/>
    <cellStyle name="Comma 7 2 2 3 5 4" xfId="46715" xr:uid="{00000000-0005-0000-0000-000021A50000}"/>
    <cellStyle name="Comma 7 2 2 3 5 5" xfId="46716" xr:uid="{00000000-0005-0000-0000-000022A50000}"/>
    <cellStyle name="Comma 7 2 2 3 6" xfId="46717" xr:uid="{00000000-0005-0000-0000-000023A50000}"/>
    <cellStyle name="Comma 7 2 2 3 6 2" xfId="46718" xr:uid="{00000000-0005-0000-0000-000024A50000}"/>
    <cellStyle name="Comma 7 2 2 3 6 3" xfId="46719" xr:uid="{00000000-0005-0000-0000-000025A50000}"/>
    <cellStyle name="Comma 7 2 2 3 7" xfId="46720" xr:uid="{00000000-0005-0000-0000-000026A50000}"/>
    <cellStyle name="Comma 7 2 2 3 7 2" xfId="46721" xr:uid="{00000000-0005-0000-0000-000027A50000}"/>
    <cellStyle name="Comma 7 2 2 3 7 3" xfId="46722" xr:uid="{00000000-0005-0000-0000-000028A50000}"/>
    <cellStyle name="Comma 7 2 2 3 8" xfId="46723" xr:uid="{00000000-0005-0000-0000-000029A50000}"/>
    <cellStyle name="Comma 7 2 2 3 8 2" xfId="46724" xr:uid="{00000000-0005-0000-0000-00002AA50000}"/>
    <cellStyle name="Comma 7 2 2 3 9" xfId="46725" xr:uid="{00000000-0005-0000-0000-00002BA50000}"/>
    <cellStyle name="Comma 7 2 2 4" xfId="9100" xr:uid="{00000000-0005-0000-0000-00002CA50000}"/>
    <cellStyle name="Comma 7 2 2 4 2" xfId="46726" xr:uid="{00000000-0005-0000-0000-00002DA50000}"/>
    <cellStyle name="Comma 7 2 2 4 2 2" xfId="46727" xr:uid="{00000000-0005-0000-0000-00002EA50000}"/>
    <cellStyle name="Comma 7 2 2 4 2 2 2" xfId="46728" xr:uid="{00000000-0005-0000-0000-00002FA50000}"/>
    <cellStyle name="Comma 7 2 2 4 2 2 3" xfId="46729" xr:uid="{00000000-0005-0000-0000-000030A50000}"/>
    <cellStyle name="Comma 7 2 2 4 2 3" xfId="46730" xr:uid="{00000000-0005-0000-0000-000031A50000}"/>
    <cellStyle name="Comma 7 2 2 4 2 3 2" xfId="46731" xr:uid="{00000000-0005-0000-0000-000032A50000}"/>
    <cellStyle name="Comma 7 2 2 4 2 3 3" xfId="46732" xr:uid="{00000000-0005-0000-0000-000033A50000}"/>
    <cellStyle name="Comma 7 2 2 4 2 4" xfId="46733" xr:uid="{00000000-0005-0000-0000-000034A50000}"/>
    <cellStyle name="Comma 7 2 2 4 2 4 2" xfId="46734" xr:uid="{00000000-0005-0000-0000-000035A50000}"/>
    <cellStyle name="Comma 7 2 2 4 2 5" xfId="46735" xr:uid="{00000000-0005-0000-0000-000036A50000}"/>
    <cellStyle name="Comma 7 2 2 4 2 6" xfId="46736" xr:uid="{00000000-0005-0000-0000-000037A50000}"/>
    <cellStyle name="Comma 7 2 2 4 3" xfId="46737" xr:uid="{00000000-0005-0000-0000-000038A50000}"/>
    <cellStyle name="Comma 7 2 2 4 3 2" xfId="46738" xr:uid="{00000000-0005-0000-0000-000039A50000}"/>
    <cellStyle name="Comma 7 2 2 4 3 2 2" xfId="46739" xr:uid="{00000000-0005-0000-0000-00003AA50000}"/>
    <cellStyle name="Comma 7 2 2 4 3 2 3" xfId="46740" xr:uid="{00000000-0005-0000-0000-00003BA50000}"/>
    <cellStyle name="Comma 7 2 2 4 3 3" xfId="46741" xr:uid="{00000000-0005-0000-0000-00003CA50000}"/>
    <cellStyle name="Comma 7 2 2 4 3 3 2" xfId="46742" xr:uid="{00000000-0005-0000-0000-00003DA50000}"/>
    <cellStyle name="Comma 7 2 2 4 3 3 3" xfId="46743" xr:uid="{00000000-0005-0000-0000-00003EA50000}"/>
    <cellStyle name="Comma 7 2 2 4 3 4" xfId="46744" xr:uid="{00000000-0005-0000-0000-00003FA50000}"/>
    <cellStyle name="Comma 7 2 2 4 3 4 2" xfId="46745" xr:uid="{00000000-0005-0000-0000-000040A50000}"/>
    <cellStyle name="Comma 7 2 2 4 3 5" xfId="46746" xr:uid="{00000000-0005-0000-0000-000041A50000}"/>
    <cellStyle name="Comma 7 2 2 4 3 6" xfId="46747" xr:uid="{00000000-0005-0000-0000-000042A50000}"/>
    <cellStyle name="Comma 7 2 2 4 4" xfId="46748" xr:uid="{00000000-0005-0000-0000-000043A50000}"/>
    <cellStyle name="Comma 7 2 2 4 4 2" xfId="46749" xr:uid="{00000000-0005-0000-0000-000044A50000}"/>
    <cellStyle name="Comma 7 2 2 4 4 2 2" xfId="46750" xr:uid="{00000000-0005-0000-0000-000045A50000}"/>
    <cellStyle name="Comma 7 2 2 4 4 2 3" xfId="46751" xr:uid="{00000000-0005-0000-0000-000046A50000}"/>
    <cellStyle name="Comma 7 2 2 4 4 3" xfId="46752" xr:uid="{00000000-0005-0000-0000-000047A50000}"/>
    <cellStyle name="Comma 7 2 2 4 4 3 2" xfId="46753" xr:uid="{00000000-0005-0000-0000-000048A50000}"/>
    <cellStyle name="Comma 7 2 2 4 4 4" xfId="46754" xr:uid="{00000000-0005-0000-0000-000049A50000}"/>
    <cellStyle name="Comma 7 2 2 4 4 5" xfId="46755" xr:uid="{00000000-0005-0000-0000-00004AA50000}"/>
    <cellStyle name="Comma 7 2 2 4 5" xfId="46756" xr:uid="{00000000-0005-0000-0000-00004BA50000}"/>
    <cellStyle name="Comma 7 2 2 4 5 2" xfId="46757" xr:uid="{00000000-0005-0000-0000-00004CA50000}"/>
    <cellStyle name="Comma 7 2 2 4 5 3" xfId="46758" xr:uid="{00000000-0005-0000-0000-00004DA50000}"/>
    <cellStyle name="Comma 7 2 2 4 6" xfId="46759" xr:uid="{00000000-0005-0000-0000-00004EA50000}"/>
    <cellStyle name="Comma 7 2 2 4 6 2" xfId="46760" xr:uid="{00000000-0005-0000-0000-00004FA50000}"/>
    <cellStyle name="Comma 7 2 2 4 6 3" xfId="46761" xr:uid="{00000000-0005-0000-0000-000050A50000}"/>
    <cellStyle name="Comma 7 2 2 4 7" xfId="46762" xr:uid="{00000000-0005-0000-0000-000051A50000}"/>
    <cellStyle name="Comma 7 2 2 4 7 2" xfId="46763" xr:uid="{00000000-0005-0000-0000-000052A50000}"/>
    <cellStyle name="Comma 7 2 2 4 8" xfId="46764" xr:uid="{00000000-0005-0000-0000-000053A50000}"/>
    <cellStyle name="Comma 7 2 2 4 9" xfId="46765" xr:uid="{00000000-0005-0000-0000-000054A50000}"/>
    <cellStyle name="Comma 7 2 2 5" xfId="46766" xr:uid="{00000000-0005-0000-0000-000055A50000}"/>
    <cellStyle name="Comma 7 2 2 5 2" xfId="46767" xr:uid="{00000000-0005-0000-0000-000056A50000}"/>
    <cellStyle name="Comma 7 2 2 5 2 2" xfId="46768" xr:uid="{00000000-0005-0000-0000-000057A50000}"/>
    <cellStyle name="Comma 7 2 2 5 2 2 2" xfId="46769" xr:uid="{00000000-0005-0000-0000-000058A50000}"/>
    <cellStyle name="Comma 7 2 2 5 2 2 3" xfId="46770" xr:uid="{00000000-0005-0000-0000-000059A50000}"/>
    <cellStyle name="Comma 7 2 2 5 2 3" xfId="46771" xr:uid="{00000000-0005-0000-0000-00005AA50000}"/>
    <cellStyle name="Comma 7 2 2 5 2 3 2" xfId="46772" xr:uid="{00000000-0005-0000-0000-00005BA50000}"/>
    <cellStyle name="Comma 7 2 2 5 2 3 3" xfId="46773" xr:uid="{00000000-0005-0000-0000-00005CA50000}"/>
    <cellStyle name="Comma 7 2 2 5 2 4" xfId="46774" xr:uid="{00000000-0005-0000-0000-00005DA50000}"/>
    <cellStyle name="Comma 7 2 2 5 2 4 2" xfId="46775" xr:uid="{00000000-0005-0000-0000-00005EA50000}"/>
    <cellStyle name="Comma 7 2 2 5 2 5" xfId="46776" xr:uid="{00000000-0005-0000-0000-00005FA50000}"/>
    <cellStyle name="Comma 7 2 2 5 2 6" xfId="46777" xr:uid="{00000000-0005-0000-0000-000060A50000}"/>
    <cellStyle name="Comma 7 2 2 5 3" xfId="46778" xr:uid="{00000000-0005-0000-0000-000061A50000}"/>
    <cellStyle name="Comma 7 2 2 5 3 2" xfId="46779" xr:uid="{00000000-0005-0000-0000-000062A50000}"/>
    <cellStyle name="Comma 7 2 2 5 3 2 2" xfId="46780" xr:uid="{00000000-0005-0000-0000-000063A50000}"/>
    <cellStyle name="Comma 7 2 2 5 3 2 3" xfId="46781" xr:uid="{00000000-0005-0000-0000-000064A50000}"/>
    <cellStyle name="Comma 7 2 2 5 3 3" xfId="46782" xr:uid="{00000000-0005-0000-0000-000065A50000}"/>
    <cellStyle name="Comma 7 2 2 5 3 3 2" xfId="46783" xr:uid="{00000000-0005-0000-0000-000066A50000}"/>
    <cellStyle name="Comma 7 2 2 5 3 3 3" xfId="46784" xr:uid="{00000000-0005-0000-0000-000067A50000}"/>
    <cellStyle name="Comma 7 2 2 5 3 4" xfId="46785" xr:uid="{00000000-0005-0000-0000-000068A50000}"/>
    <cellStyle name="Comma 7 2 2 5 3 4 2" xfId="46786" xr:uid="{00000000-0005-0000-0000-000069A50000}"/>
    <cellStyle name="Comma 7 2 2 5 3 5" xfId="46787" xr:uid="{00000000-0005-0000-0000-00006AA50000}"/>
    <cellStyle name="Comma 7 2 2 5 3 6" xfId="46788" xr:uid="{00000000-0005-0000-0000-00006BA50000}"/>
    <cellStyle name="Comma 7 2 2 5 4" xfId="46789" xr:uid="{00000000-0005-0000-0000-00006CA50000}"/>
    <cellStyle name="Comma 7 2 2 5 4 2" xfId="46790" xr:uid="{00000000-0005-0000-0000-00006DA50000}"/>
    <cellStyle name="Comma 7 2 2 5 4 2 2" xfId="46791" xr:uid="{00000000-0005-0000-0000-00006EA50000}"/>
    <cellStyle name="Comma 7 2 2 5 4 2 3" xfId="46792" xr:uid="{00000000-0005-0000-0000-00006FA50000}"/>
    <cellStyle name="Comma 7 2 2 5 4 3" xfId="46793" xr:uid="{00000000-0005-0000-0000-000070A50000}"/>
    <cellStyle name="Comma 7 2 2 5 4 3 2" xfId="46794" xr:uid="{00000000-0005-0000-0000-000071A50000}"/>
    <cellStyle name="Comma 7 2 2 5 4 4" xfId="46795" xr:uid="{00000000-0005-0000-0000-000072A50000}"/>
    <cellStyle name="Comma 7 2 2 5 4 5" xfId="46796" xr:uid="{00000000-0005-0000-0000-000073A50000}"/>
    <cellStyle name="Comma 7 2 2 5 5" xfId="46797" xr:uid="{00000000-0005-0000-0000-000074A50000}"/>
    <cellStyle name="Comma 7 2 2 5 5 2" xfId="46798" xr:uid="{00000000-0005-0000-0000-000075A50000}"/>
    <cellStyle name="Comma 7 2 2 5 5 3" xfId="46799" xr:uid="{00000000-0005-0000-0000-000076A50000}"/>
    <cellStyle name="Comma 7 2 2 5 6" xfId="46800" xr:uid="{00000000-0005-0000-0000-000077A50000}"/>
    <cellStyle name="Comma 7 2 2 5 6 2" xfId="46801" xr:uid="{00000000-0005-0000-0000-000078A50000}"/>
    <cellStyle name="Comma 7 2 2 5 6 3" xfId="46802" xr:uid="{00000000-0005-0000-0000-000079A50000}"/>
    <cellStyle name="Comma 7 2 2 5 7" xfId="46803" xr:uid="{00000000-0005-0000-0000-00007AA50000}"/>
    <cellStyle name="Comma 7 2 2 5 7 2" xfId="46804" xr:uid="{00000000-0005-0000-0000-00007BA50000}"/>
    <cellStyle name="Comma 7 2 2 5 8" xfId="46805" xr:uid="{00000000-0005-0000-0000-00007CA50000}"/>
    <cellStyle name="Comma 7 2 2 5 9" xfId="46806" xr:uid="{00000000-0005-0000-0000-00007DA50000}"/>
    <cellStyle name="Comma 7 2 2 6" xfId="46807" xr:uid="{00000000-0005-0000-0000-00007EA50000}"/>
    <cellStyle name="Comma 7 2 2 6 2" xfId="46808" xr:uid="{00000000-0005-0000-0000-00007FA50000}"/>
    <cellStyle name="Comma 7 2 2 6 2 2" xfId="46809" xr:uid="{00000000-0005-0000-0000-000080A50000}"/>
    <cellStyle name="Comma 7 2 2 6 2 3" xfId="46810" xr:uid="{00000000-0005-0000-0000-000081A50000}"/>
    <cellStyle name="Comma 7 2 2 6 3" xfId="46811" xr:uid="{00000000-0005-0000-0000-000082A50000}"/>
    <cellStyle name="Comma 7 2 2 6 3 2" xfId="46812" xr:uid="{00000000-0005-0000-0000-000083A50000}"/>
    <cellStyle name="Comma 7 2 2 6 3 3" xfId="46813" xr:uid="{00000000-0005-0000-0000-000084A50000}"/>
    <cellStyle name="Comma 7 2 2 6 4" xfId="46814" xr:uid="{00000000-0005-0000-0000-000085A50000}"/>
    <cellStyle name="Comma 7 2 2 6 4 2" xfId="46815" xr:uid="{00000000-0005-0000-0000-000086A50000}"/>
    <cellStyle name="Comma 7 2 2 6 5" xfId="46816" xr:uid="{00000000-0005-0000-0000-000087A50000}"/>
    <cellStyle name="Comma 7 2 2 6 6" xfId="46817" xr:uid="{00000000-0005-0000-0000-000088A50000}"/>
    <cellStyle name="Comma 7 2 2 7" xfId="46818" xr:uid="{00000000-0005-0000-0000-000089A50000}"/>
    <cellStyle name="Comma 7 2 2 7 2" xfId="46819" xr:uid="{00000000-0005-0000-0000-00008AA50000}"/>
    <cellStyle name="Comma 7 2 2 7 2 2" xfId="46820" xr:uid="{00000000-0005-0000-0000-00008BA50000}"/>
    <cellStyle name="Comma 7 2 2 7 2 3" xfId="46821" xr:uid="{00000000-0005-0000-0000-00008CA50000}"/>
    <cellStyle name="Comma 7 2 2 7 3" xfId="46822" xr:uid="{00000000-0005-0000-0000-00008DA50000}"/>
    <cellStyle name="Comma 7 2 2 7 3 2" xfId="46823" xr:uid="{00000000-0005-0000-0000-00008EA50000}"/>
    <cellStyle name="Comma 7 2 2 7 3 3" xfId="46824" xr:uid="{00000000-0005-0000-0000-00008FA50000}"/>
    <cellStyle name="Comma 7 2 2 7 4" xfId="46825" xr:uid="{00000000-0005-0000-0000-000090A50000}"/>
    <cellStyle name="Comma 7 2 2 7 4 2" xfId="46826" xr:uid="{00000000-0005-0000-0000-000091A50000}"/>
    <cellStyle name="Comma 7 2 2 7 5" xfId="46827" xr:uid="{00000000-0005-0000-0000-000092A50000}"/>
    <cellStyle name="Comma 7 2 2 7 6" xfId="46828" xr:uid="{00000000-0005-0000-0000-000093A50000}"/>
    <cellStyle name="Comma 7 2 2 8" xfId="46829" xr:uid="{00000000-0005-0000-0000-000094A50000}"/>
    <cellStyle name="Comma 7 2 2 8 2" xfId="46830" xr:uid="{00000000-0005-0000-0000-000095A50000}"/>
    <cellStyle name="Comma 7 2 2 8 2 2" xfId="46831" xr:uid="{00000000-0005-0000-0000-000096A50000}"/>
    <cellStyle name="Comma 7 2 2 8 2 3" xfId="46832" xr:uid="{00000000-0005-0000-0000-000097A50000}"/>
    <cellStyle name="Comma 7 2 2 8 3" xfId="46833" xr:uid="{00000000-0005-0000-0000-000098A50000}"/>
    <cellStyle name="Comma 7 2 2 8 3 2" xfId="46834" xr:uid="{00000000-0005-0000-0000-000099A50000}"/>
    <cellStyle name="Comma 7 2 2 8 4" xfId="46835" xr:uid="{00000000-0005-0000-0000-00009AA50000}"/>
    <cellStyle name="Comma 7 2 2 8 5" xfId="46836" xr:uid="{00000000-0005-0000-0000-00009BA50000}"/>
    <cellStyle name="Comma 7 2 2 9" xfId="46837" xr:uid="{00000000-0005-0000-0000-00009CA50000}"/>
    <cellStyle name="Comma 7 2 2 9 2" xfId="46838" xr:uid="{00000000-0005-0000-0000-00009DA50000}"/>
    <cellStyle name="Comma 7 2 2 9 3" xfId="46839" xr:uid="{00000000-0005-0000-0000-00009EA50000}"/>
    <cellStyle name="Comma 7 2 3" xfId="3714" xr:uid="{00000000-0005-0000-0000-00009FA50000}"/>
    <cellStyle name="Comma 7 2 3 10" xfId="46840" xr:uid="{00000000-0005-0000-0000-0000A0A50000}"/>
    <cellStyle name="Comma 7 2 3 10 2" xfId="46841" xr:uid="{00000000-0005-0000-0000-0000A1A50000}"/>
    <cellStyle name="Comma 7 2 3 11" xfId="46842" xr:uid="{00000000-0005-0000-0000-0000A2A50000}"/>
    <cellStyle name="Comma 7 2 3 12" xfId="46843" xr:uid="{00000000-0005-0000-0000-0000A3A50000}"/>
    <cellStyle name="Comma 7 2 3 13" xfId="46844" xr:uid="{00000000-0005-0000-0000-0000A4A50000}"/>
    <cellStyle name="Comma 7 2 3 2" xfId="9101" xr:uid="{00000000-0005-0000-0000-0000A5A50000}"/>
    <cellStyle name="Comma 7 2 3 2 10" xfId="46845" xr:uid="{00000000-0005-0000-0000-0000A6A50000}"/>
    <cellStyle name="Comma 7 2 3 2 2" xfId="46846" xr:uid="{00000000-0005-0000-0000-0000A7A50000}"/>
    <cellStyle name="Comma 7 2 3 2 2 2" xfId="46847" xr:uid="{00000000-0005-0000-0000-0000A8A50000}"/>
    <cellStyle name="Comma 7 2 3 2 2 2 2" xfId="46848" xr:uid="{00000000-0005-0000-0000-0000A9A50000}"/>
    <cellStyle name="Comma 7 2 3 2 2 2 2 2" xfId="46849" xr:uid="{00000000-0005-0000-0000-0000AAA50000}"/>
    <cellStyle name="Comma 7 2 3 2 2 2 2 3" xfId="46850" xr:uid="{00000000-0005-0000-0000-0000ABA50000}"/>
    <cellStyle name="Comma 7 2 3 2 2 2 3" xfId="46851" xr:uid="{00000000-0005-0000-0000-0000ACA50000}"/>
    <cellStyle name="Comma 7 2 3 2 2 2 3 2" xfId="46852" xr:uid="{00000000-0005-0000-0000-0000ADA50000}"/>
    <cellStyle name="Comma 7 2 3 2 2 2 3 3" xfId="46853" xr:uid="{00000000-0005-0000-0000-0000AEA50000}"/>
    <cellStyle name="Comma 7 2 3 2 2 2 4" xfId="46854" xr:uid="{00000000-0005-0000-0000-0000AFA50000}"/>
    <cellStyle name="Comma 7 2 3 2 2 2 4 2" xfId="46855" xr:uid="{00000000-0005-0000-0000-0000B0A50000}"/>
    <cellStyle name="Comma 7 2 3 2 2 2 5" xfId="46856" xr:uid="{00000000-0005-0000-0000-0000B1A50000}"/>
    <cellStyle name="Comma 7 2 3 2 2 2 6" xfId="46857" xr:uid="{00000000-0005-0000-0000-0000B2A50000}"/>
    <cellStyle name="Comma 7 2 3 2 2 3" xfId="46858" xr:uid="{00000000-0005-0000-0000-0000B3A50000}"/>
    <cellStyle name="Comma 7 2 3 2 2 3 2" xfId="46859" xr:uid="{00000000-0005-0000-0000-0000B4A50000}"/>
    <cellStyle name="Comma 7 2 3 2 2 3 2 2" xfId="46860" xr:uid="{00000000-0005-0000-0000-0000B5A50000}"/>
    <cellStyle name="Comma 7 2 3 2 2 3 2 3" xfId="46861" xr:uid="{00000000-0005-0000-0000-0000B6A50000}"/>
    <cellStyle name="Comma 7 2 3 2 2 3 3" xfId="46862" xr:uid="{00000000-0005-0000-0000-0000B7A50000}"/>
    <cellStyle name="Comma 7 2 3 2 2 3 3 2" xfId="46863" xr:uid="{00000000-0005-0000-0000-0000B8A50000}"/>
    <cellStyle name="Comma 7 2 3 2 2 3 3 3" xfId="46864" xr:uid="{00000000-0005-0000-0000-0000B9A50000}"/>
    <cellStyle name="Comma 7 2 3 2 2 3 4" xfId="46865" xr:uid="{00000000-0005-0000-0000-0000BAA50000}"/>
    <cellStyle name="Comma 7 2 3 2 2 3 4 2" xfId="46866" xr:uid="{00000000-0005-0000-0000-0000BBA50000}"/>
    <cellStyle name="Comma 7 2 3 2 2 3 5" xfId="46867" xr:uid="{00000000-0005-0000-0000-0000BCA50000}"/>
    <cellStyle name="Comma 7 2 3 2 2 3 6" xfId="46868" xr:uid="{00000000-0005-0000-0000-0000BDA50000}"/>
    <cellStyle name="Comma 7 2 3 2 2 4" xfId="46869" xr:uid="{00000000-0005-0000-0000-0000BEA50000}"/>
    <cellStyle name="Comma 7 2 3 2 2 4 2" xfId="46870" xr:uid="{00000000-0005-0000-0000-0000BFA50000}"/>
    <cellStyle name="Comma 7 2 3 2 2 4 2 2" xfId="46871" xr:uid="{00000000-0005-0000-0000-0000C0A50000}"/>
    <cellStyle name="Comma 7 2 3 2 2 4 2 3" xfId="46872" xr:uid="{00000000-0005-0000-0000-0000C1A50000}"/>
    <cellStyle name="Comma 7 2 3 2 2 4 3" xfId="46873" xr:uid="{00000000-0005-0000-0000-0000C2A50000}"/>
    <cellStyle name="Comma 7 2 3 2 2 4 3 2" xfId="46874" xr:uid="{00000000-0005-0000-0000-0000C3A50000}"/>
    <cellStyle name="Comma 7 2 3 2 2 4 4" xfId="46875" xr:uid="{00000000-0005-0000-0000-0000C4A50000}"/>
    <cellStyle name="Comma 7 2 3 2 2 4 5" xfId="46876" xr:uid="{00000000-0005-0000-0000-0000C5A50000}"/>
    <cellStyle name="Comma 7 2 3 2 2 5" xfId="46877" xr:uid="{00000000-0005-0000-0000-0000C6A50000}"/>
    <cellStyle name="Comma 7 2 3 2 2 5 2" xfId="46878" xr:uid="{00000000-0005-0000-0000-0000C7A50000}"/>
    <cellStyle name="Comma 7 2 3 2 2 5 3" xfId="46879" xr:uid="{00000000-0005-0000-0000-0000C8A50000}"/>
    <cellStyle name="Comma 7 2 3 2 2 6" xfId="46880" xr:uid="{00000000-0005-0000-0000-0000C9A50000}"/>
    <cellStyle name="Comma 7 2 3 2 2 6 2" xfId="46881" xr:uid="{00000000-0005-0000-0000-0000CAA50000}"/>
    <cellStyle name="Comma 7 2 3 2 2 6 3" xfId="46882" xr:uid="{00000000-0005-0000-0000-0000CBA50000}"/>
    <cellStyle name="Comma 7 2 3 2 2 7" xfId="46883" xr:uid="{00000000-0005-0000-0000-0000CCA50000}"/>
    <cellStyle name="Comma 7 2 3 2 2 7 2" xfId="46884" xr:uid="{00000000-0005-0000-0000-0000CDA50000}"/>
    <cellStyle name="Comma 7 2 3 2 2 8" xfId="46885" xr:uid="{00000000-0005-0000-0000-0000CEA50000}"/>
    <cellStyle name="Comma 7 2 3 2 2 9" xfId="46886" xr:uid="{00000000-0005-0000-0000-0000CFA50000}"/>
    <cellStyle name="Comma 7 2 3 2 3" xfId="46887" xr:uid="{00000000-0005-0000-0000-0000D0A50000}"/>
    <cellStyle name="Comma 7 2 3 2 3 2" xfId="46888" xr:uid="{00000000-0005-0000-0000-0000D1A50000}"/>
    <cellStyle name="Comma 7 2 3 2 3 2 2" xfId="46889" xr:uid="{00000000-0005-0000-0000-0000D2A50000}"/>
    <cellStyle name="Comma 7 2 3 2 3 2 3" xfId="46890" xr:uid="{00000000-0005-0000-0000-0000D3A50000}"/>
    <cellStyle name="Comma 7 2 3 2 3 3" xfId="46891" xr:uid="{00000000-0005-0000-0000-0000D4A50000}"/>
    <cellStyle name="Comma 7 2 3 2 3 3 2" xfId="46892" xr:uid="{00000000-0005-0000-0000-0000D5A50000}"/>
    <cellStyle name="Comma 7 2 3 2 3 3 3" xfId="46893" xr:uid="{00000000-0005-0000-0000-0000D6A50000}"/>
    <cellStyle name="Comma 7 2 3 2 3 4" xfId="46894" xr:uid="{00000000-0005-0000-0000-0000D7A50000}"/>
    <cellStyle name="Comma 7 2 3 2 3 4 2" xfId="46895" xr:uid="{00000000-0005-0000-0000-0000D8A50000}"/>
    <cellStyle name="Comma 7 2 3 2 3 5" xfId="46896" xr:uid="{00000000-0005-0000-0000-0000D9A50000}"/>
    <cellStyle name="Comma 7 2 3 2 3 6" xfId="46897" xr:uid="{00000000-0005-0000-0000-0000DAA50000}"/>
    <cellStyle name="Comma 7 2 3 2 4" xfId="46898" xr:uid="{00000000-0005-0000-0000-0000DBA50000}"/>
    <cellStyle name="Comma 7 2 3 2 4 2" xfId="46899" xr:uid="{00000000-0005-0000-0000-0000DCA50000}"/>
    <cellStyle name="Comma 7 2 3 2 4 2 2" xfId="46900" xr:uid="{00000000-0005-0000-0000-0000DDA50000}"/>
    <cellStyle name="Comma 7 2 3 2 4 2 3" xfId="46901" xr:uid="{00000000-0005-0000-0000-0000DEA50000}"/>
    <cellStyle name="Comma 7 2 3 2 4 3" xfId="46902" xr:uid="{00000000-0005-0000-0000-0000DFA50000}"/>
    <cellStyle name="Comma 7 2 3 2 4 3 2" xfId="46903" xr:uid="{00000000-0005-0000-0000-0000E0A50000}"/>
    <cellStyle name="Comma 7 2 3 2 4 3 3" xfId="46904" xr:uid="{00000000-0005-0000-0000-0000E1A50000}"/>
    <cellStyle name="Comma 7 2 3 2 4 4" xfId="46905" xr:uid="{00000000-0005-0000-0000-0000E2A50000}"/>
    <cellStyle name="Comma 7 2 3 2 4 4 2" xfId="46906" xr:uid="{00000000-0005-0000-0000-0000E3A50000}"/>
    <cellStyle name="Comma 7 2 3 2 4 5" xfId="46907" xr:uid="{00000000-0005-0000-0000-0000E4A50000}"/>
    <cellStyle name="Comma 7 2 3 2 4 6" xfId="46908" xr:uid="{00000000-0005-0000-0000-0000E5A50000}"/>
    <cellStyle name="Comma 7 2 3 2 5" xfId="46909" xr:uid="{00000000-0005-0000-0000-0000E6A50000}"/>
    <cellStyle name="Comma 7 2 3 2 5 2" xfId="46910" xr:uid="{00000000-0005-0000-0000-0000E7A50000}"/>
    <cellStyle name="Comma 7 2 3 2 5 2 2" xfId="46911" xr:uid="{00000000-0005-0000-0000-0000E8A50000}"/>
    <cellStyle name="Comma 7 2 3 2 5 2 3" xfId="46912" xr:uid="{00000000-0005-0000-0000-0000E9A50000}"/>
    <cellStyle name="Comma 7 2 3 2 5 3" xfId="46913" xr:uid="{00000000-0005-0000-0000-0000EAA50000}"/>
    <cellStyle name="Comma 7 2 3 2 5 3 2" xfId="46914" xr:uid="{00000000-0005-0000-0000-0000EBA50000}"/>
    <cellStyle name="Comma 7 2 3 2 5 4" xfId="46915" xr:uid="{00000000-0005-0000-0000-0000ECA50000}"/>
    <cellStyle name="Comma 7 2 3 2 5 5" xfId="46916" xr:uid="{00000000-0005-0000-0000-0000EDA50000}"/>
    <cellStyle name="Comma 7 2 3 2 6" xfId="46917" xr:uid="{00000000-0005-0000-0000-0000EEA50000}"/>
    <cellStyle name="Comma 7 2 3 2 6 2" xfId="46918" xr:uid="{00000000-0005-0000-0000-0000EFA50000}"/>
    <cellStyle name="Comma 7 2 3 2 6 3" xfId="46919" xr:uid="{00000000-0005-0000-0000-0000F0A50000}"/>
    <cellStyle name="Comma 7 2 3 2 7" xfId="46920" xr:uid="{00000000-0005-0000-0000-0000F1A50000}"/>
    <cellStyle name="Comma 7 2 3 2 7 2" xfId="46921" xr:uid="{00000000-0005-0000-0000-0000F2A50000}"/>
    <cellStyle name="Comma 7 2 3 2 7 3" xfId="46922" xr:uid="{00000000-0005-0000-0000-0000F3A50000}"/>
    <cellStyle name="Comma 7 2 3 2 8" xfId="46923" xr:uid="{00000000-0005-0000-0000-0000F4A50000}"/>
    <cellStyle name="Comma 7 2 3 2 8 2" xfId="46924" xr:uid="{00000000-0005-0000-0000-0000F5A50000}"/>
    <cellStyle name="Comma 7 2 3 2 9" xfId="46925" xr:uid="{00000000-0005-0000-0000-0000F6A50000}"/>
    <cellStyle name="Comma 7 2 3 3" xfId="9102" xr:uid="{00000000-0005-0000-0000-0000F7A50000}"/>
    <cellStyle name="Comma 7 2 3 3 2" xfId="46926" xr:uid="{00000000-0005-0000-0000-0000F8A50000}"/>
    <cellStyle name="Comma 7 2 3 3 2 2" xfId="46927" xr:uid="{00000000-0005-0000-0000-0000F9A50000}"/>
    <cellStyle name="Comma 7 2 3 3 2 2 2" xfId="46928" xr:uid="{00000000-0005-0000-0000-0000FAA50000}"/>
    <cellStyle name="Comma 7 2 3 3 2 2 3" xfId="46929" xr:uid="{00000000-0005-0000-0000-0000FBA50000}"/>
    <cellStyle name="Comma 7 2 3 3 2 3" xfId="46930" xr:uid="{00000000-0005-0000-0000-0000FCA50000}"/>
    <cellStyle name="Comma 7 2 3 3 2 3 2" xfId="46931" xr:uid="{00000000-0005-0000-0000-0000FDA50000}"/>
    <cellStyle name="Comma 7 2 3 3 2 3 3" xfId="46932" xr:uid="{00000000-0005-0000-0000-0000FEA50000}"/>
    <cellStyle name="Comma 7 2 3 3 2 4" xfId="46933" xr:uid="{00000000-0005-0000-0000-0000FFA50000}"/>
    <cellStyle name="Comma 7 2 3 3 2 4 2" xfId="46934" xr:uid="{00000000-0005-0000-0000-000000A60000}"/>
    <cellStyle name="Comma 7 2 3 3 2 5" xfId="46935" xr:uid="{00000000-0005-0000-0000-000001A60000}"/>
    <cellStyle name="Comma 7 2 3 3 2 6" xfId="46936" xr:uid="{00000000-0005-0000-0000-000002A60000}"/>
    <cellStyle name="Comma 7 2 3 3 3" xfId="46937" xr:uid="{00000000-0005-0000-0000-000003A60000}"/>
    <cellStyle name="Comma 7 2 3 3 3 2" xfId="46938" xr:uid="{00000000-0005-0000-0000-000004A60000}"/>
    <cellStyle name="Comma 7 2 3 3 3 2 2" xfId="46939" xr:uid="{00000000-0005-0000-0000-000005A60000}"/>
    <cellStyle name="Comma 7 2 3 3 3 2 3" xfId="46940" xr:uid="{00000000-0005-0000-0000-000006A60000}"/>
    <cellStyle name="Comma 7 2 3 3 3 3" xfId="46941" xr:uid="{00000000-0005-0000-0000-000007A60000}"/>
    <cellStyle name="Comma 7 2 3 3 3 3 2" xfId="46942" xr:uid="{00000000-0005-0000-0000-000008A60000}"/>
    <cellStyle name="Comma 7 2 3 3 3 3 3" xfId="46943" xr:uid="{00000000-0005-0000-0000-000009A60000}"/>
    <cellStyle name="Comma 7 2 3 3 3 4" xfId="46944" xr:uid="{00000000-0005-0000-0000-00000AA60000}"/>
    <cellStyle name="Comma 7 2 3 3 3 4 2" xfId="46945" xr:uid="{00000000-0005-0000-0000-00000BA60000}"/>
    <cellStyle name="Comma 7 2 3 3 3 5" xfId="46946" xr:uid="{00000000-0005-0000-0000-00000CA60000}"/>
    <cellStyle name="Comma 7 2 3 3 3 6" xfId="46947" xr:uid="{00000000-0005-0000-0000-00000DA60000}"/>
    <cellStyle name="Comma 7 2 3 3 4" xfId="46948" xr:uid="{00000000-0005-0000-0000-00000EA60000}"/>
    <cellStyle name="Comma 7 2 3 3 4 2" xfId="46949" xr:uid="{00000000-0005-0000-0000-00000FA60000}"/>
    <cellStyle name="Comma 7 2 3 3 4 2 2" xfId="46950" xr:uid="{00000000-0005-0000-0000-000010A60000}"/>
    <cellStyle name="Comma 7 2 3 3 4 2 3" xfId="46951" xr:uid="{00000000-0005-0000-0000-000011A60000}"/>
    <cellStyle name="Comma 7 2 3 3 4 3" xfId="46952" xr:uid="{00000000-0005-0000-0000-000012A60000}"/>
    <cellStyle name="Comma 7 2 3 3 4 3 2" xfId="46953" xr:uid="{00000000-0005-0000-0000-000013A60000}"/>
    <cellStyle name="Comma 7 2 3 3 4 4" xfId="46954" xr:uid="{00000000-0005-0000-0000-000014A60000}"/>
    <cellStyle name="Comma 7 2 3 3 4 5" xfId="46955" xr:uid="{00000000-0005-0000-0000-000015A60000}"/>
    <cellStyle name="Comma 7 2 3 3 5" xfId="46956" xr:uid="{00000000-0005-0000-0000-000016A60000}"/>
    <cellStyle name="Comma 7 2 3 3 5 2" xfId="46957" xr:uid="{00000000-0005-0000-0000-000017A60000}"/>
    <cellStyle name="Comma 7 2 3 3 5 3" xfId="46958" xr:uid="{00000000-0005-0000-0000-000018A60000}"/>
    <cellStyle name="Comma 7 2 3 3 6" xfId="46959" xr:uid="{00000000-0005-0000-0000-000019A60000}"/>
    <cellStyle name="Comma 7 2 3 3 6 2" xfId="46960" xr:uid="{00000000-0005-0000-0000-00001AA60000}"/>
    <cellStyle name="Comma 7 2 3 3 6 3" xfId="46961" xr:uid="{00000000-0005-0000-0000-00001BA60000}"/>
    <cellStyle name="Comma 7 2 3 3 7" xfId="46962" xr:uid="{00000000-0005-0000-0000-00001CA60000}"/>
    <cellStyle name="Comma 7 2 3 3 7 2" xfId="46963" xr:uid="{00000000-0005-0000-0000-00001DA60000}"/>
    <cellStyle name="Comma 7 2 3 3 8" xfId="46964" xr:uid="{00000000-0005-0000-0000-00001EA60000}"/>
    <cellStyle name="Comma 7 2 3 3 9" xfId="46965" xr:uid="{00000000-0005-0000-0000-00001FA60000}"/>
    <cellStyle name="Comma 7 2 3 4" xfId="46966" xr:uid="{00000000-0005-0000-0000-000020A60000}"/>
    <cellStyle name="Comma 7 2 3 4 2" xfId="46967" xr:uid="{00000000-0005-0000-0000-000021A60000}"/>
    <cellStyle name="Comma 7 2 3 4 2 2" xfId="46968" xr:uid="{00000000-0005-0000-0000-000022A60000}"/>
    <cellStyle name="Comma 7 2 3 4 2 2 2" xfId="46969" xr:uid="{00000000-0005-0000-0000-000023A60000}"/>
    <cellStyle name="Comma 7 2 3 4 2 2 3" xfId="46970" xr:uid="{00000000-0005-0000-0000-000024A60000}"/>
    <cellStyle name="Comma 7 2 3 4 2 3" xfId="46971" xr:uid="{00000000-0005-0000-0000-000025A60000}"/>
    <cellStyle name="Comma 7 2 3 4 2 3 2" xfId="46972" xr:uid="{00000000-0005-0000-0000-000026A60000}"/>
    <cellStyle name="Comma 7 2 3 4 2 3 3" xfId="46973" xr:uid="{00000000-0005-0000-0000-000027A60000}"/>
    <cellStyle name="Comma 7 2 3 4 2 4" xfId="46974" xr:uid="{00000000-0005-0000-0000-000028A60000}"/>
    <cellStyle name="Comma 7 2 3 4 2 4 2" xfId="46975" xr:uid="{00000000-0005-0000-0000-000029A60000}"/>
    <cellStyle name="Comma 7 2 3 4 2 5" xfId="46976" xr:uid="{00000000-0005-0000-0000-00002AA60000}"/>
    <cellStyle name="Comma 7 2 3 4 2 6" xfId="46977" xr:uid="{00000000-0005-0000-0000-00002BA60000}"/>
    <cellStyle name="Comma 7 2 3 4 3" xfId="46978" xr:uid="{00000000-0005-0000-0000-00002CA60000}"/>
    <cellStyle name="Comma 7 2 3 4 3 2" xfId="46979" xr:uid="{00000000-0005-0000-0000-00002DA60000}"/>
    <cellStyle name="Comma 7 2 3 4 3 2 2" xfId="46980" xr:uid="{00000000-0005-0000-0000-00002EA60000}"/>
    <cellStyle name="Comma 7 2 3 4 3 2 3" xfId="46981" xr:uid="{00000000-0005-0000-0000-00002FA60000}"/>
    <cellStyle name="Comma 7 2 3 4 3 3" xfId="46982" xr:uid="{00000000-0005-0000-0000-000030A60000}"/>
    <cellStyle name="Comma 7 2 3 4 3 3 2" xfId="46983" xr:uid="{00000000-0005-0000-0000-000031A60000}"/>
    <cellStyle name="Comma 7 2 3 4 3 3 3" xfId="46984" xr:uid="{00000000-0005-0000-0000-000032A60000}"/>
    <cellStyle name="Comma 7 2 3 4 3 4" xfId="46985" xr:uid="{00000000-0005-0000-0000-000033A60000}"/>
    <cellStyle name="Comma 7 2 3 4 3 4 2" xfId="46986" xr:uid="{00000000-0005-0000-0000-000034A60000}"/>
    <cellStyle name="Comma 7 2 3 4 3 5" xfId="46987" xr:uid="{00000000-0005-0000-0000-000035A60000}"/>
    <cellStyle name="Comma 7 2 3 4 3 6" xfId="46988" xr:uid="{00000000-0005-0000-0000-000036A60000}"/>
    <cellStyle name="Comma 7 2 3 4 4" xfId="46989" xr:uid="{00000000-0005-0000-0000-000037A60000}"/>
    <cellStyle name="Comma 7 2 3 4 4 2" xfId="46990" xr:uid="{00000000-0005-0000-0000-000038A60000}"/>
    <cellStyle name="Comma 7 2 3 4 4 2 2" xfId="46991" xr:uid="{00000000-0005-0000-0000-000039A60000}"/>
    <cellStyle name="Comma 7 2 3 4 4 2 3" xfId="46992" xr:uid="{00000000-0005-0000-0000-00003AA60000}"/>
    <cellStyle name="Comma 7 2 3 4 4 3" xfId="46993" xr:uid="{00000000-0005-0000-0000-00003BA60000}"/>
    <cellStyle name="Comma 7 2 3 4 4 3 2" xfId="46994" xr:uid="{00000000-0005-0000-0000-00003CA60000}"/>
    <cellStyle name="Comma 7 2 3 4 4 4" xfId="46995" xr:uid="{00000000-0005-0000-0000-00003DA60000}"/>
    <cellStyle name="Comma 7 2 3 4 4 5" xfId="46996" xr:uid="{00000000-0005-0000-0000-00003EA60000}"/>
    <cellStyle name="Comma 7 2 3 4 5" xfId="46997" xr:uid="{00000000-0005-0000-0000-00003FA60000}"/>
    <cellStyle name="Comma 7 2 3 4 5 2" xfId="46998" xr:uid="{00000000-0005-0000-0000-000040A60000}"/>
    <cellStyle name="Comma 7 2 3 4 5 3" xfId="46999" xr:uid="{00000000-0005-0000-0000-000041A60000}"/>
    <cellStyle name="Comma 7 2 3 4 6" xfId="47000" xr:uid="{00000000-0005-0000-0000-000042A60000}"/>
    <cellStyle name="Comma 7 2 3 4 6 2" xfId="47001" xr:uid="{00000000-0005-0000-0000-000043A60000}"/>
    <cellStyle name="Comma 7 2 3 4 6 3" xfId="47002" xr:uid="{00000000-0005-0000-0000-000044A60000}"/>
    <cellStyle name="Comma 7 2 3 4 7" xfId="47003" xr:uid="{00000000-0005-0000-0000-000045A60000}"/>
    <cellStyle name="Comma 7 2 3 4 7 2" xfId="47004" xr:uid="{00000000-0005-0000-0000-000046A60000}"/>
    <cellStyle name="Comma 7 2 3 4 8" xfId="47005" xr:uid="{00000000-0005-0000-0000-000047A60000}"/>
    <cellStyle name="Comma 7 2 3 4 9" xfId="47006" xr:uid="{00000000-0005-0000-0000-000048A60000}"/>
    <cellStyle name="Comma 7 2 3 5" xfId="47007" xr:uid="{00000000-0005-0000-0000-000049A60000}"/>
    <cellStyle name="Comma 7 2 3 5 2" xfId="47008" xr:uid="{00000000-0005-0000-0000-00004AA60000}"/>
    <cellStyle name="Comma 7 2 3 5 2 2" xfId="47009" xr:uid="{00000000-0005-0000-0000-00004BA60000}"/>
    <cellStyle name="Comma 7 2 3 5 2 3" xfId="47010" xr:uid="{00000000-0005-0000-0000-00004CA60000}"/>
    <cellStyle name="Comma 7 2 3 5 3" xfId="47011" xr:uid="{00000000-0005-0000-0000-00004DA60000}"/>
    <cellStyle name="Comma 7 2 3 5 3 2" xfId="47012" xr:uid="{00000000-0005-0000-0000-00004EA60000}"/>
    <cellStyle name="Comma 7 2 3 5 3 3" xfId="47013" xr:uid="{00000000-0005-0000-0000-00004FA60000}"/>
    <cellStyle name="Comma 7 2 3 5 4" xfId="47014" xr:uid="{00000000-0005-0000-0000-000050A60000}"/>
    <cellStyle name="Comma 7 2 3 5 4 2" xfId="47015" xr:uid="{00000000-0005-0000-0000-000051A60000}"/>
    <cellStyle name="Comma 7 2 3 5 5" xfId="47016" xr:uid="{00000000-0005-0000-0000-000052A60000}"/>
    <cellStyle name="Comma 7 2 3 5 6" xfId="47017" xr:uid="{00000000-0005-0000-0000-000053A60000}"/>
    <cellStyle name="Comma 7 2 3 6" xfId="47018" xr:uid="{00000000-0005-0000-0000-000054A60000}"/>
    <cellStyle name="Comma 7 2 3 6 2" xfId="47019" xr:uid="{00000000-0005-0000-0000-000055A60000}"/>
    <cellStyle name="Comma 7 2 3 6 2 2" xfId="47020" xr:uid="{00000000-0005-0000-0000-000056A60000}"/>
    <cellStyle name="Comma 7 2 3 6 2 3" xfId="47021" xr:uid="{00000000-0005-0000-0000-000057A60000}"/>
    <cellStyle name="Comma 7 2 3 6 3" xfId="47022" xr:uid="{00000000-0005-0000-0000-000058A60000}"/>
    <cellStyle name="Comma 7 2 3 6 3 2" xfId="47023" xr:uid="{00000000-0005-0000-0000-000059A60000}"/>
    <cellStyle name="Comma 7 2 3 6 3 3" xfId="47024" xr:uid="{00000000-0005-0000-0000-00005AA60000}"/>
    <cellStyle name="Comma 7 2 3 6 4" xfId="47025" xr:uid="{00000000-0005-0000-0000-00005BA60000}"/>
    <cellStyle name="Comma 7 2 3 6 4 2" xfId="47026" xr:uid="{00000000-0005-0000-0000-00005CA60000}"/>
    <cellStyle name="Comma 7 2 3 6 5" xfId="47027" xr:uid="{00000000-0005-0000-0000-00005DA60000}"/>
    <cellStyle name="Comma 7 2 3 6 6" xfId="47028" xr:uid="{00000000-0005-0000-0000-00005EA60000}"/>
    <cellStyle name="Comma 7 2 3 7" xfId="47029" xr:uid="{00000000-0005-0000-0000-00005FA60000}"/>
    <cellStyle name="Comma 7 2 3 7 2" xfId="47030" xr:uid="{00000000-0005-0000-0000-000060A60000}"/>
    <cellStyle name="Comma 7 2 3 7 2 2" xfId="47031" xr:uid="{00000000-0005-0000-0000-000061A60000}"/>
    <cellStyle name="Comma 7 2 3 7 2 3" xfId="47032" xr:uid="{00000000-0005-0000-0000-000062A60000}"/>
    <cellStyle name="Comma 7 2 3 7 3" xfId="47033" xr:uid="{00000000-0005-0000-0000-000063A60000}"/>
    <cellStyle name="Comma 7 2 3 7 3 2" xfId="47034" xr:uid="{00000000-0005-0000-0000-000064A60000}"/>
    <cellStyle name="Comma 7 2 3 7 4" xfId="47035" xr:uid="{00000000-0005-0000-0000-000065A60000}"/>
    <cellStyle name="Comma 7 2 3 7 5" xfId="47036" xr:uid="{00000000-0005-0000-0000-000066A60000}"/>
    <cellStyle name="Comma 7 2 3 8" xfId="47037" xr:uid="{00000000-0005-0000-0000-000067A60000}"/>
    <cellStyle name="Comma 7 2 3 8 2" xfId="47038" xr:uid="{00000000-0005-0000-0000-000068A60000}"/>
    <cellStyle name="Comma 7 2 3 8 3" xfId="47039" xr:uid="{00000000-0005-0000-0000-000069A60000}"/>
    <cellStyle name="Comma 7 2 3 9" xfId="47040" xr:uid="{00000000-0005-0000-0000-00006AA60000}"/>
    <cellStyle name="Comma 7 2 3 9 2" xfId="47041" xr:uid="{00000000-0005-0000-0000-00006BA60000}"/>
    <cellStyle name="Comma 7 2 3 9 3" xfId="47042" xr:uid="{00000000-0005-0000-0000-00006CA60000}"/>
    <cellStyle name="Comma 7 2 4" xfId="9103" xr:uid="{00000000-0005-0000-0000-00006DA60000}"/>
    <cellStyle name="Comma 7 2 4 10" xfId="47043" xr:uid="{00000000-0005-0000-0000-00006EA60000}"/>
    <cellStyle name="Comma 7 2 4 2" xfId="47044" xr:uid="{00000000-0005-0000-0000-00006FA60000}"/>
    <cellStyle name="Comma 7 2 4 2 2" xfId="47045" xr:uid="{00000000-0005-0000-0000-000070A60000}"/>
    <cellStyle name="Comma 7 2 4 2 2 2" xfId="47046" xr:uid="{00000000-0005-0000-0000-000071A60000}"/>
    <cellStyle name="Comma 7 2 4 2 2 2 2" xfId="47047" xr:uid="{00000000-0005-0000-0000-000072A60000}"/>
    <cellStyle name="Comma 7 2 4 2 2 2 3" xfId="47048" xr:uid="{00000000-0005-0000-0000-000073A60000}"/>
    <cellStyle name="Comma 7 2 4 2 2 3" xfId="47049" xr:uid="{00000000-0005-0000-0000-000074A60000}"/>
    <cellStyle name="Comma 7 2 4 2 2 3 2" xfId="47050" xr:uid="{00000000-0005-0000-0000-000075A60000}"/>
    <cellStyle name="Comma 7 2 4 2 2 3 3" xfId="47051" xr:uid="{00000000-0005-0000-0000-000076A60000}"/>
    <cellStyle name="Comma 7 2 4 2 2 4" xfId="47052" xr:uid="{00000000-0005-0000-0000-000077A60000}"/>
    <cellStyle name="Comma 7 2 4 2 2 4 2" xfId="47053" xr:uid="{00000000-0005-0000-0000-000078A60000}"/>
    <cellStyle name="Comma 7 2 4 2 2 5" xfId="47054" xr:uid="{00000000-0005-0000-0000-000079A60000}"/>
    <cellStyle name="Comma 7 2 4 2 2 6" xfId="47055" xr:uid="{00000000-0005-0000-0000-00007AA60000}"/>
    <cellStyle name="Comma 7 2 4 2 3" xfId="47056" xr:uid="{00000000-0005-0000-0000-00007BA60000}"/>
    <cellStyle name="Comma 7 2 4 2 3 2" xfId="47057" xr:uid="{00000000-0005-0000-0000-00007CA60000}"/>
    <cellStyle name="Comma 7 2 4 2 3 2 2" xfId="47058" xr:uid="{00000000-0005-0000-0000-00007DA60000}"/>
    <cellStyle name="Comma 7 2 4 2 3 2 3" xfId="47059" xr:uid="{00000000-0005-0000-0000-00007EA60000}"/>
    <cellStyle name="Comma 7 2 4 2 3 3" xfId="47060" xr:uid="{00000000-0005-0000-0000-00007FA60000}"/>
    <cellStyle name="Comma 7 2 4 2 3 3 2" xfId="47061" xr:uid="{00000000-0005-0000-0000-000080A60000}"/>
    <cellStyle name="Comma 7 2 4 2 3 3 3" xfId="47062" xr:uid="{00000000-0005-0000-0000-000081A60000}"/>
    <cellStyle name="Comma 7 2 4 2 3 4" xfId="47063" xr:uid="{00000000-0005-0000-0000-000082A60000}"/>
    <cellStyle name="Comma 7 2 4 2 3 4 2" xfId="47064" xr:uid="{00000000-0005-0000-0000-000083A60000}"/>
    <cellStyle name="Comma 7 2 4 2 3 5" xfId="47065" xr:uid="{00000000-0005-0000-0000-000084A60000}"/>
    <cellStyle name="Comma 7 2 4 2 3 6" xfId="47066" xr:uid="{00000000-0005-0000-0000-000085A60000}"/>
    <cellStyle name="Comma 7 2 4 2 4" xfId="47067" xr:uid="{00000000-0005-0000-0000-000086A60000}"/>
    <cellStyle name="Comma 7 2 4 2 4 2" xfId="47068" xr:uid="{00000000-0005-0000-0000-000087A60000}"/>
    <cellStyle name="Comma 7 2 4 2 4 2 2" xfId="47069" xr:uid="{00000000-0005-0000-0000-000088A60000}"/>
    <cellStyle name="Comma 7 2 4 2 4 2 3" xfId="47070" xr:uid="{00000000-0005-0000-0000-000089A60000}"/>
    <cellStyle name="Comma 7 2 4 2 4 3" xfId="47071" xr:uid="{00000000-0005-0000-0000-00008AA60000}"/>
    <cellStyle name="Comma 7 2 4 2 4 3 2" xfId="47072" xr:uid="{00000000-0005-0000-0000-00008BA60000}"/>
    <cellStyle name="Comma 7 2 4 2 4 4" xfId="47073" xr:uid="{00000000-0005-0000-0000-00008CA60000}"/>
    <cellStyle name="Comma 7 2 4 2 4 5" xfId="47074" xr:uid="{00000000-0005-0000-0000-00008DA60000}"/>
    <cellStyle name="Comma 7 2 4 2 5" xfId="47075" xr:uid="{00000000-0005-0000-0000-00008EA60000}"/>
    <cellStyle name="Comma 7 2 4 2 5 2" xfId="47076" xr:uid="{00000000-0005-0000-0000-00008FA60000}"/>
    <cellStyle name="Comma 7 2 4 2 5 3" xfId="47077" xr:uid="{00000000-0005-0000-0000-000090A60000}"/>
    <cellStyle name="Comma 7 2 4 2 6" xfId="47078" xr:uid="{00000000-0005-0000-0000-000091A60000}"/>
    <cellStyle name="Comma 7 2 4 2 6 2" xfId="47079" xr:uid="{00000000-0005-0000-0000-000092A60000}"/>
    <cellStyle name="Comma 7 2 4 2 6 3" xfId="47080" xr:uid="{00000000-0005-0000-0000-000093A60000}"/>
    <cellStyle name="Comma 7 2 4 2 7" xfId="47081" xr:uid="{00000000-0005-0000-0000-000094A60000}"/>
    <cellStyle name="Comma 7 2 4 2 7 2" xfId="47082" xr:uid="{00000000-0005-0000-0000-000095A60000}"/>
    <cellStyle name="Comma 7 2 4 2 8" xfId="47083" xr:uid="{00000000-0005-0000-0000-000096A60000}"/>
    <cellStyle name="Comma 7 2 4 2 9" xfId="47084" xr:uid="{00000000-0005-0000-0000-000097A60000}"/>
    <cellStyle name="Comma 7 2 4 3" xfId="47085" xr:uid="{00000000-0005-0000-0000-000098A60000}"/>
    <cellStyle name="Comma 7 2 4 3 2" xfId="47086" xr:uid="{00000000-0005-0000-0000-000099A60000}"/>
    <cellStyle name="Comma 7 2 4 3 2 2" xfId="47087" xr:uid="{00000000-0005-0000-0000-00009AA60000}"/>
    <cellStyle name="Comma 7 2 4 3 2 3" xfId="47088" xr:uid="{00000000-0005-0000-0000-00009BA60000}"/>
    <cellStyle name="Comma 7 2 4 3 3" xfId="47089" xr:uid="{00000000-0005-0000-0000-00009CA60000}"/>
    <cellStyle name="Comma 7 2 4 3 3 2" xfId="47090" xr:uid="{00000000-0005-0000-0000-00009DA60000}"/>
    <cellStyle name="Comma 7 2 4 3 3 3" xfId="47091" xr:uid="{00000000-0005-0000-0000-00009EA60000}"/>
    <cellStyle name="Comma 7 2 4 3 4" xfId="47092" xr:uid="{00000000-0005-0000-0000-00009FA60000}"/>
    <cellStyle name="Comma 7 2 4 3 4 2" xfId="47093" xr:uid="{00000000-0005-0000-0000-0000A0A60000}"/>
    <cellStyle name="Comma 7 2 4 3 5" xfId="47094" xr:uid="{00000000-0005-0000-0000-0000A1A60000}"/>
    <cellStyle name="Comma 7 2 4 3 6" xfId="47095" xr:uid="{00000000-0005-0000-0000-0000A2A60000}"/>
    <cellStyle name="Comma 7 2 4 4" xfId="47096" xr:uid="{00000000-0005-0000-0000-0000A3A60000}"/>
    <cellStyle name="Comma 7 2 4 4 2" xfId="47097" xr:uid="{00000000-0005-0000-0000-0000A4A60000}"/>
    <cellStyle name="Comma 7 2 4 4 2 2" xfId="47098" xr:uid="{00000000-0005-0000-0000-0000A5A60000}"/>
    <cellStyle name="Comma 7 2 4 4 2 3" xfId="47099" xr:uid="{00000000-0005-0000-0000-0000A6A60000}"/>
    <cellStyle name="Comma 7 2 4 4 3" xfId="47100" xr:uid="{00000000-0005-0000-0000-0000A7A60000}"/>
    <cellStyle name="Comma 7 2 4 4 3 2" xfId="47101" xr:uid="{00000000-0005-0000-0000-0000A8A60000}"/>
    <cellStyle name="Comma 7 2 4 4 3 3" xfId="47102" xr:uid="{00000000-0005-0000-0000-0000A9A60000}"/>
    <cellStyle name="Comma 7 2 4 4 4" xfId="47103" xr:uid="{00000000-0005-0000-0000-0000AAA60000}"/>
    <cellStyle name="Comma 7 2 4 4 4 2" xfId="47104" xr:uid="{00000000-0005-0000-0000-0000ABA60000}"/>
    <cellStyle name="Comma 7 2 4 4 5" xfId="47105" xr:uid="{00000000-0005-0000-0000-0000ACA60000}"/>
    <cellStyle name="Comma 7 2 4 4 6" xfId="47106" xr:uid="{00000000-0005-0000-0000-0000ADA60000}"/>
    <cellStyle name="Comma 7 2 4 5" xfId="47107" xr:uid="{00000000-0005-0000-0000-0000AEA60000}"/>
    <cellStyle name="Comma 7 2 4 5 2" xfId="47108" xr:uid="{00000000-0005-0000-0000-0000AFA60000}"/>
    <cellStyle name="Comma 7 2 4 5 2 2" xfId="47109" xr:uid="{00000000-0005-0000-0000-0000B0A60000}"/>
    <cellStyle name="Comma 7 2 4 5 2 3" xfId="47110" xr:uid="{00000000-0005-0000-0000-0000B1A60000}"/>
    <cellStyle name="Comma 7 2 4 5 3" xfId="47111" xr:uid="{00000000-0005-0000-0000-0000B2A60000}"/>
    <cellStyle name="Comma 7 2 4 5 3 2" xfId="47112" xr:uid="{00000000-0005-0000-0000-0000B3A60000}"/>
    <cellStyle name="Comma 7 2 4 5 4" xfId="47113" xr:uid="{00000000-0005-0000-0000-0000B4A60000}"/>
    <cellStyle name="Comma 7 2 4 5 5" xfId="47114" xr:uid="{00000000-0005-0000-0000-0000B5A60000}"/>
    <cellStyle name="Comma 7 2 4 6" xfId="47115" xr:uid="{00000000-0005-0000-0000-0000B6A60000}"/>
    <cellStyle name="Comma 7 2 4 6 2" xfId="47116" xr:uid="{00000000-0005-0000-0000-0000B7A60000}"/>
    <cellStyle name="Comma 7 2 4 6 3" xfId="47117" xr:uid="{00000000-0005-0000-0000-0000B8A60000}"/>
    <cellStyle name="Comma 7 2 4 7" xfId="47118" xr:uid="{00000000-0005-0000-0000-0000B9A60000}"/>
    <cellStyle name="Comma 7 2 4 7 2" xfId="47119" xr:uid="{00000000-0005-0000-0000-0000BAA60000}"/>
    <cellStyle name="Comma 7 2 4 7 3" xfId="47120" xr:uid="{00000000-0005-0000-0000-0000BBA60000}"/>
    <cellStyle name="Comma 7 2 4 8" xfId="47121" xr:uid="{00000000-0005-0000-0000-0000BCA60000}"/>
    <cellStyle name="Comma 7 2 4 8 2" xfId="47122" xr:uid="{00000000-0005-0000-0000-0000BDA60000}"/>
    <cellStyle name="Comma 7 2 4 9" xfId="47123" xr:uid="{00000000-0005-0000-0000-0000BEA60000}"/>
    <cellStyle name="Comma 7 2 5" xfId="9104" xr:uid="{00000000-0005-0000-0000-0000BFA60000}"/>
    <cellStyle name="Comma 7 2 5 2" xfId="47124" xr:uid="{00000000-0005-0000-0000-0000C0A60000}"/>
    <cellStyle name="Comma 7 2 5 2 2" xfId="47125" xr:uid="{00000000-0005-0000-0000-0000C1A60000}"/>
    <cellStyle name="Comma 7 2 5 2 2 2" xfId="47126" xr:uid="{00000000-0005-0000-0000-0000C2A60000}"/>
    <cellStyle name="Comma 7 2 5 2 2 3" xfId="47127" xr:uid="{00000000-0005-0000-0000-0000C3A60000}"/>
    <cellStyle name="Comma 7 2 5 2 3" xfId="47128" xr:uid="{00000000-0005-0000-0000-0000C4A60000}"/>
    <cellStyle name="Comma 7 2 5 2 3 2" xfId="47129" xr:uid="{00000000-0005-0000-0000-0000C5A60000}"/>
    <cellStyle name="Comma 7 2 5 2 3 3" xfId="47130" xr:uid="{00000000-0005-0000-0000-0000C6A60000}"/>
    <cellStyle name="Comma 7 2 5 2 4" xfId="47131" xr:uid="{00000000-0005-0000-0000-0000C7A60000}"/>
    <cellStyle name="Comma 7 2 5 2 4 2" xfId="47132" xr:uid="{00000000-0005-0000-0000-0000C8A60000}"/>
    <cellStyle name="Comma 7 2 5 2 5" xfId="47133" xr:uid="{00000000-0005-0000-0000-0000C9A60000}"/>
    <cellStyle name="Comma 7 2 5 2 6" xfId="47134" xr:uid="{00000000-0005-0000-0000-0000CAA60000}"/>
    <cellStyle name="Comma 7 2 5 3" xfId="47135" xr:uid="{00000000-0005-0000-0000-0000CBA60000}"/>
    <cellStyle name="Comma 7 2 5 3 2" xfId="47136" xr:uid="{00000000-0005-0000-0000-0000CCA60000}"/>
    <cellStyle name="Comma 7 2 5 3 2 2" xfId="47137" xr:uid="{00000000-0005-0000-0000-0000CDA60000}"/>
    <cellStyle name="Comma 7 2 5 3 2 3" xfId="47138" xr:uid="{00000000-0005-0000-0000-0000CEA60000}"/>
    <cellStyle name="Comma 7 2 5 3 3" xfId="47139" xr:uid="{00000000-0005-0000-0000-0000CFA60000}"/>
    <cellStyle name="Comma 7 2 5 3 3 2" xfId="47140" xr:uid="{00000000-0005-0000-0000-0000D0A60000}"/>
    <cellStyle name="Comma 7 2 5 3 3 3" xfId="47141" xr:uid="{00000000-0005-0000-0000-0000D1A60000}"/>
    <cellStyle name="Comma 7 2 5 3 4" xfId="47142" xr:uid="{00000000-0005-0000-0000-0000D2A60000}"/>
    <cellStyle name="Comma 7 2 5 3 4 2" xfId="47143" xr:uid="{00000000-0005-0000-0000-0000D3A60000}"/>
    <cellStyle name="Comma 7 2 5 3 5" xfId="47144" xr:uid="{00000000-0005-0000-0000-0000D4A60000}"/>
    <cellStyle name="Comma 7 2 5 3 6" xfId="47145" xr:uid="{00000000-0005-0000-0000-0000D5A60000}"/>
    <cellStyle name="Comma 7 2 5 4" xfId="47146" xr:uid="{00000000-0005-0000-0000-0000D6A60000}"/>
    <cellStyle name="Comma 7 2 5 4 2" xfId="47147" xr:uid="{00000000-0005-0000-0000-0000D7A60000}"/>
    <cellStyle name="Comma 7 2 5 4 2 2" xfId="47148" xr:uid="{00000000-0005-0000-0000-0000D8A60000}"/>
    <cellStyle name="Comma 7 2 5 4 2 3" xfId="47149" xr:uid="{00000000-0005-0000-0000-0000D9A60000}"/>
    <cellStyle name="Comma 7 2 5 4 3" xfId="47150" xr:uid="{00000000-0005-0000-0000-0000DAA60000}"/>
    <cellStyle name="Comma 7 2 5 4 3 2" xfId="47151" xr:uid="{00000000-0005-0000-0000-0000DBA60000}"/>
    <cellStyle name="Comma 7 2 5 4 4" xfId="47152" xr:uid="{00000000-0005-0000-0000-0000DCA60000}"/>
    <cellStyle name="Comma 7 2 5 4 5" xfId="47153" xr:uid="{00000000-0005-0000-0000-0000DDA60000}"/>
    <cellStyle name="Comma 7 2 5 5" xfId="47154" xr:uid="{00000000-0005-0000-0000-0000DEA60000}"/>
    <cellStyle name="Comma 7 2 5 5 2" xfId="47155" xr:uid="{00000000-0005-0000-0000-0000DFA60000}"/>
    <cellStyle name="Comma 7 2 5 5 3" xfId="47156" xr:uid="{00000000-0005-0000-0000-0000E0A60000}"/>
    <cellStyle name="Comma 7 2 5 6" xfId="47157" xr:uid="{00000000-0005-0000-0000-0000E1A60000}"/>
    <cellStyle name="Comma 7 2 5 6 2" xfId="47158" xr:uid="{00000000-0005-0000-0000-0000E2A60000}"/>
    <cellStyle name="Comma 7 2 5 6 3" xfId="47159" xr:uid="{00000000-0005-0000-0000-0000E3A60000}"/>
    <cellStyle name="Comma 7 2 5 7" xfId="47160" xr:uid="{00000000-0005-0000-0000-0000E4A60000}"/>
    <cellStyle name="Comma 7 2 5 7 2" xfId="47161" xr:uid="{00000000-0005-0000-0000-0000E5A60000}"/>
    <cellStyle name="Comma 7 2 5 8" xfId="47162" xr:uid="{00000000-0005-0000-0000-0000E6A60000}"/>
    <cellStyle name="Comma 7 2 5 9" xfId="47163" xr:uid="{00000000-0005-0000-0000-0000E7A60000}"/>
    <cellStyle name="Comma 7 2 6" xfId="47164" xr:uid="{00000000-0005-0000-0000-0000E8A60000}"/>
    <cellStyle name="Comma 7 2 6 2" xfId="47165" xr:uid="{00000000-0005-0000-0000-0000E9A60000}"/>
    <cellStyle name="Comma 7 2 6 2 2" xfId="47166" xr:uid="{00000000-0005-0000-0000-0000EAA60000}"/>
    <cellStyle name="Comma 7 2 6 2 2 2" xfId="47167" xr:uid="{00000000-0005-0000-0000-0000EBA60000}"/>
    <cellStyle name="Comma 7 2 6 2 2 3" xfId="47168" xr:uid="{00000000-0005-0000-0000-0000ECA60000}"/>
    <cellStyle name="Comma 7 2 6 2 3" xfId="47169" xr:uid="{00000000-0005-0000-0000-0000EDA60000}"/>
    <cellStyle name="Comma 7 2 6 2 3 2" xfId="47170" xr:uid="{00000000-0005-0000-0000-0000EEA60000}"/>
    <cellStyle name="Comma 7 2 6 2 3 3" xfId="47171" xr:uid="{00000000-0005-0000-0000-0000EFA60000}"/>
    <cellStyle name="Comma 7 2 6 2 4" xfId="47172" xr:uid="{00000000-0005-0000-0000-0000F0A60000}"/>
    <cellStyle name="Comma 7 2 6 2 4 2" xfId="47173" xr:uid="{00000000-0005-0000-0000-0000F1A60000}"/>
    <cellStyle name="Comma 7 2 6 2 5" xfId="47174" xr:uid="{00000000-0005-0000-0000-0000F2A60000}"/>
    <cellStyle name="Comma 7 2 6 2 6" xfId="47175" xr:uid="{00000000-0005-0000-0000-0000F3A60000}"/>
    <cellStyle name="Comma 7 2 6 3" xfId="47176" xr:uid="{00000000-0005-0000-0000-0000F4A60000}"/>
    <cellStyle name="Comma 7 2 6 3 2" xfId="47177" xr:uid="{00000000-0005-0000-0000-0000F5A60000}"/>
    <cellStyle name="Comma 7 2 6 3 2 2" xfId="47178" xr:uid="{00000000-0005-0000-0000-0000F6A60000}"/>
    <cellStyle name="Comma 7 2 6 3 2 3" xfId="47179" xr:uid="{00000000-0005-0000-0000-0000F7A60000}"/>
    <cellStyle name="Comma 7 2 6 3 3" xfId="47180" xr:uid="{00000000-0005-0000-0000-0000F8A60000}"/>
    <cellStyle name="Comma 7 2 6 3 3 2" xfId="47181" xr:uid="{00000000-0005-0000-0000-0000F9A60000}"/>
    <cellStyle name="Comma 7 2 6 3 3 3" xfId="47182" xr:uid="{00000000-0005-0000-0000-0000FAA60000}"/>
    <cellStyle name="Comma 7 2 6 3 4" xfId="47183" xr:uid="{00000000-0005-0000-0000-0000FBA60000}"/>
    <cellStyle name="Comma 7 2 6 3 4 2" xfId="47184" xr:uid="{00000000-0005-0000-0000-0000FCA60000}"/>
    <cellStyle name="Comma 7 2 6 3 5" xfId="47185" xr:uid="{00000000-0005-0000-0000-0000FDA60000}"/>
    <cellStyle name="Comma 7 2 6 3 6" xfId="47186" xr:uid="{00000000-0005-0000-0000-0000FEA60000}"/>
    <cellStyle name="Comma 7 2 6 4" xfId="47187" xr:uid="{00000000-0005-0000-0000-0000FFA60000}"/>
    <cellStyle name="Comma 7 2 6 4 2" xfId="47188" xr:uid="{00000000-0005-0000-0000-000000A70000}"/>
    <cellStyle name="Comma 7 2 6 4 2 2" xfId="47189" xr:uid="{00000000-0005-0000-0000-000001A70000}"/>
    <cellStyle name="Comma 7 2 6 4 2 3" xfId="47190" xr:uid="{00000000-0005-0000-0000-000002A70000}"/>
    <cellStyle name="Comma 7 2 6 4 3" xfId="47191" xr:uid="{00000000-0005-0000-0000-000003A70000}"/>
    <cellStyle name="Comma 7 2 6 4 3 2" xfId="47192" xr:uid="{00000000-0005-0000-0000-000004A70000}"/>
    <cellStyle name="Comma 7 2 6 4 4" xfId="47193" xr:uid="{00000000-0005-0000-0000-000005A70000}"/>
    <cellStyle name="Comma 7 2 6 4 5" xfId="47194" xr:uid="{00000000-0005-0000-0000-000006A70000}"/>
    <cellStyle name="Comma 7 2 6 5" xfId="47195" xr:uid="{00000000-0005-0000-0000-000007A70000}"/>
    <cellStyle name="Comma 7 2 6 5 2" xfId="47196" xr:uid="{00000000-0005-0000-0000-000008A70000}"/>
    <cellStyle name="Comma 7 2 6 5 3" xfId="47197" xr:uid="{00000000-0005-0000-0000-000009A70000}"/>
    <cellStyle name="Comma 7 2 6 6" xfId="47198" xr:uid="{00000000-0005-0000-0000-00000AA70000}"/>
    <cellStyle name="Comma 7 2 6 6 2" xfId="47199" xr:uid="{00000000-0005-0000-0000-00000BA70000}"/>
    <cellStyle name="Comma 7 2 6 6 3" xfId="47200" xr:uid="{00000000-0005-0000-0000-00000CA70000}"/>
    <cellStyle name="Comma 7 2 6 7" xfId="47201" xr:uid="{00000000-0005-0000-0000-00000DA70000}"/>
    <cellStyle name="Comma 7 2 6 7 2" xfId="47202" xr:uid="{00000000-0005-0000-0000-00000EA70000}"/>
    <cellStyle name="Comma 7 2 6 8" xfId="47203" xr:uid="{00000000-0005-0000-0000-00000FA70000}"/>
    <cellStyle name="Comma 7 2 6 9" xfId="47204" xr:uid="{00000000-0005-0000-0000-000010A70000}"/>
    <cellStyle name="Comma 7 2 7" xfId="47205" xr:uid="{00000000-0005-0000-0000-000011A70000}"/>
    <cellStyle name="Comma 7 2 7 2" xfId="47206" xr:uid="{00000000-0005-0000-0000-000012A70000}"/>
    <cellStyle name="Comma 7 2 7 2 2" xfId="47207" xr:uid="{00000000-0005-0000-0000-000013A70000}"/>
    <cellStyle name="Comma 7 2 7 2 3" xfId="47208" xr:uid="{00000000-0005-0000-0000-000014A70000}"/>
    <cellStyle name="Comma 7 2 7 3" xfId="47209" xr:uid="{00000000-0005-0000-0000-000015A70000}"/>
    <cellStyle name="Comma 7 2 7 3 2" xfId="47210" xr:uid="{00000000-0005-0000-0000-000016A70000}"/>
    <cellStyle name="Comma 7 2 7 3 3" xfId="47211" xr:uid="{00000000-0005-0000-0000-000017A70000}"/>
    <cellStyle name="Comma 7 2 7 4" xfId="47212" xr:uid="{00000000-0005-0000-0000-000018A70000}"/>
    <cellStyle name="Comma 7 2 7 4 2" xfId="47213" xr:uid="{00000000-0005-0000-0000-000019A70000}"/>
    <cellStyle name="Comma 7 2 7 5" xfId="47214" xr:uid="{00000000-0005-0000-0000-00001AA70000}"/>
    <cellStyle name="Comma 7 2 7 6" xfId="47215" xr:uid="{00000000-0005-0000-0000-00001BA70000}"/>
    <cellStyle name="Comma 7 2 8" xfId="47216" xr:uid="{00000000-0005-0000-0000-00001CA70000}"/>
    <cellStyle name="Comma 7 2 8 2" xfId="47217" xr:uid="{00000000-0005-0000-0000-00001DA70000}"/>
    <cellStyle name="Comma 7 2 8 2 2" xfId="47218" xr:uid="{00000000-0005-0000-0000-00001EA70000}"/>
    <cellStyle name="Comma 7 2 8 2 3" xfId="47219" xr:uid="{00000000-0005-0000-0000-00001FA70000}"/>
    <cellStyle name="Comma 7 2 8 3" xfId="47220" xr:uid="{00000000-0005-0000-0000-000020A70000}"/>
    <cellStyle name="Comma 7 2 8 3 2" xfId="47221" xr:uid="{00000000-0005-0000-0000-000021A70000}"/>
    <cellStyle name="Comma 7 2 8 3 3" xfId="47222" xr:uid="{00000000-0005-0000-0000-000022A70000}"/>
    <cellStyle name="Comma 7 2 8 4" xfId="47223" xr:uid="{00000000-0005-0000-0000-000023A70000}"/>
    <cellStyle name="Comma 7 2 8 4 2" xfId="47224" xr:uid="{00000000-0005-0000-0000-000024A70000}"/>
    <cellStyle name="Comma 7 2 8 5" xfId="47225" xr:uid="{00000000-0005-0000-0000-000025A70000}"/>
    <cellStyle name="Comma 7 2 8 6" xfId="47226" xr:uid="{00000000-0005-0000-0000-000026A70000}"/>
    <cellStyle name="Comma 7 2 9" xfId="47227" xr:uid="{00000000-0005-0000-0000-000027A70000}"/>
    <cellStyle name="Comma 7 2 9 2" xfId="47228" xr:uid="{00000000-0005-0000-0000-000028A70000}"/>
    <cellStyle name="Comma 7 2 9 2 2" xfId="47229" xr:uid="{00000000-0005-0000-0000-000029A70000}"/>
    <cellStyle name="Comma 7 2 9 2 3" xfId="47230" xr:uid="{00000000-0005-0000-0000-00002AA70000}"/>
    <cellStyle name="Comma 7 2 9 3" xfId="47231" xr:uid="{00000000-0005-0000-0000-00002BA70000}"/>
    <cellStyle name="Comma 7 2 9 3 2" xfId="47232" xr:uid="{00000000-0005-0000-0000-00002CA70000}"/>
    <cellStyle name="Comma 7 2 9 4" xfId="47233" xr:uid="{00000000-0005-0000-0000-00002DA70000}"/>
    <cellStyle name="Comma 7 2 9 5" xfId="47234" xr:uid="{00000000-0005-0000-0000-00002EA70000}"/>
    <cellStyle name="Comma 7 3" xfId="3715" xr:uid="{00000000-0005-0000-0000-00002FA70000}"/>
    <cellStyle name="Comma 7 3 10" xfId="47235" xr:uid="{00000000-0005-0000-0000-000030A70000}"/>
    <cellStyle name="Comma 7 3 10 2" xfId="47236" xr:uid="{00000000-0005-0000-0000-000031A70000}"/>
    <cellStyle name="Comma 7 3 10 3" xfId="47237" xr:uid="{00000000-0005-0000-0000-000032A70000}"/>
    <cellStyle name="Comma 7 3 11" xfId="47238" xr:uid="{00000000-0005-0000-0000-000033A70000}"/>
    <cellStyle name="Comma 7 3 11 2" xfId="47239" xr:uid="{00000000-0005-0000-0000-000034A70000}"/>
    <cellStyle name="Comma 7 3 12" xfId="47240" xr:uid="{00000000-0005-0000-0000-000035A70000}"/>
    <cellStyle name="Comma 7 3 13" xfId="47241" xr:uid="{00000000-0005-0000-0000-000036A70000}"/>
    <cellStyle name="Comma 7 3 14" xfId="47242" xr:uid="{00000000-0005-0000-0000-000037A70000}"/>
    <cellStyle name="Comma 7 3 2" xfId="3716" xr:uid="{00000000-0005-0000-0000-000038A70000}"/>
    <cellStyle name="Comma 7 3 2 10" xfId="47243" xr:uid="{00000000-0005-0000-0000-000039A70000}"/>
    <cellStyle name="Comma 7 3 2 10 2" xfId="47244" xr:uid="{00000000-0005-0000-0000-00003AA70000}"/>
    <cellStyle name="Comma 7 3 2 11" xfId="47245" xr:uid="{00000000-0005-0000-0000-00003BA70000}"/>
    <cellStyle name="Comma 7 3 2 12" xfId="47246" xr:uid="{00000000-0005-0000-0000-00003CA70000}"/>
    <cellStyle name="Comma 7 3 2 2" xfId="9105" xr:uid="{00000000-0005-0000-0000-00003DA70000}"/>
    <cellStyle name="Comma 7 3 2 2 10" xfId="47247" xr:uid="{00000000-0005-0000-0000-00003EA70000}"/>
    <cellStyle name="Comma 7 3 2 2 2" xfId="9106" xr:uid="{00000000-0005-0000-0000-00003FA70000}"/>
    <cellStyle name="Comma 7 3 2 2 2 2" xfId="47248" xr:uid="{00000000-0005-0000-0000-000040A70000}"/>
    <cellStyle name="Comma 7 3 2 2 2 2 2" xfId="47249" xr:uid="{00000000-0005-0000-0000-000041A70000}"/>
    <cellStyle name="Comma 7 3 2 2 2 2 2 2" xfId="47250" xr:uid="{00000000-0005-0000-0000-000042A70000}"/>
    <cellStyle name="Comma 7 3 2 2 2 2 2 3" xfId="47251" xr:uid="{00000000-0005-0000-0000-000043A70000}"/>
    <cellStyle name="Comma 7 3 2 2 2 2 3" xfId="47252" xr:uid="{00000000-0005-0000-0000-000044A70000}"/>
    <cellStyle name="Comma 7 3 2 2 2 2 3 2" xfId="47253" xr:uid="{00000000-0005-0000-0000-000045A70000}"/>
    <cellStyle name="Comma 7 3 2 2 2 2 3 3" xfId="47254" xr:uid="{00000000-0005-0000-0000-000046A70000}"/>
    <cellStyle name="Comma 7 3 2 2 2 2 4" xfId="47255" xr:uid="{00000000-0005-0000-0000-000047A70000}"/>
    <cellStyle name="Comma 7 3 2 2 2 2 4 2" xfId="47256" xr:uid="{00000000-0005-0000-0000-000048A70000}"/>
    <cellStyle name="Comma 7 3 2 2 2 2 5" xfId="47257" xr:uid="{00000000-0005-0000-0000-000049A70000}"/>
    <cellStyle name="Comma 7 3 2 2 2 2 6" xfId="47258" xr:uid="{00000000-0005-0000-0000-00004AA70000}"/>
    <cellStyle name="Comma 7 3 2 2 2 3" xfId="47259" xr:uid="{00000000-0005-0000-0000-00004BA70000}"/>
    <cellStyle name="Comma 7 3 2 2 2 3 2" xfId="47260" xr:uid="{00000000-0005-0000-0000-00004CA70000}"/>
    <cellStyle name="Comma 7 3 2 2 2 3 2 2" xfId="47261" xr:uid="{00000000-0005-0000-0000-00004DA70000}"/>
    <cellStyle name="Comma 7 3 2 2 2 3 2 3" xfId="47262" xr:uid="{00000000-0005-0000-0000-00004EA70000}"/>
    <cellStyle name="Comma 7 3 2 2 2 3 3" xfId="47263" xr:uid="{00000000-0005-0000-0000-00004FA70000}"/>
    <cellStyle name="Comma 7 3 2 2 2 3 3 2" xfId="47264" xr:uid="{00000000-0005-0000-0000-000050A70000}"/>
    <cellStyle name="Comma 7 3 2 2 2 3 3 3" xfId="47265" xr:uid="{00000000-0005-0000-0000-000051A70000}"/>
    <cellStyle name="Comma 7 3 2 2 2 3 4" xfId="47266" xr:uid="{00000000-0005-0000-0000-000052A70000}"/>
    <cellStyle name="Comma 7 3 2 2 2 3 4 2" xfId="47267" xr:uid="{00000000-0005-0000-0000-000053A70000}"/>
    <cellStyle name="Comma 7 3 2 2 2 3 5" xfId="47268" xr:uid="{00000000-0005-0000-0000-000054A70000}"/>
    <cellStyle name="Comma 7 3 2 2 2 3 6" xfId="47269" xr:uid="{00000000-0005-0000-0000-000055A70000}"/>
    <cellStyle name="Comma 7 3 2 2 2 4" xfId="47270" xr:uid="{00000000-0005-0000-0000-000056A70000}"/>
    <cellStyle name="Comma 7 3 2 2 2 4 2" xfId="47271" xr:uid="{00000000-0005-0000-0000-000057A70000}"/>
    <cellStyle name="Comma 7 3 2 2 2 4 2 2" xfId="47272" xr:uid="{00000000-0005-0000-0000-000058A70000}"/>
    <cellStyle name="Comma 7 3 2 2 2 4 2 3" xfId="47273" xr:uid="{00000000-0005-0000-0000-000059A70000}"/>
    <cellStyle name="Comma 7 3 2 2 2 4 3" xfId="47274" xr:uid="{00000000-0005-0000-0000-00005AA70000}"/>
    <cellStyle name="Comma 7 3 2 2 2 4 3 2" xfId="47275" xr:uid="{00000000-0005-0000-0000-00005BA70000}"/>
    <cellStyle name="Comma 7 3 2 2 2 4 4" xfId="47276" xr:uid="{00000000-0005-0000-0000-00005CA70000}"/>
    <cellStyle name="Comma 7 3 2 2 2 4 5" xfId="47277" xr:uid="{00000000-0005-0000-0000-00005DA70000}"/>
    <cellStyle name="Comma 7 3 2 2 2 5" xfId="47278" xr:uid="{00000000-0005-0000-0000-00005EA70000}"/>
    <cellStyle name="Comma 7 3 2 2 2 5 2" xfId="47279" xr:uid="{00000000-0005-0000-0000-00005FA70000}"/>
    <cellStyle name="Comma 7 3 2 2 2 5 3" xfId="47280" xr:uid="{00000000-0005-0000-0000-000060A70000}"/>
    <cellStyle name="Comma 7 3 2 2 2 6" xfId="47281" xr:uid="{00000000-0005-0000-0000-000061A70000}"/>
    <cellStyle name="Comma 7 3 2 2 2 6 2" xfId="47282" xr:uid="{00000000-0005-0000-0000-000062A70000}"/>
    <cellStyle name="Comma 7 3 2 2 2 6 3" xfId="47283" xr:uid="{00000000-0005-0000-0000-000063A70000}"/>
    <cellStyle name="Comma 7 3 2 2 2 7" xfId="47284" xr:uid="{00000000-0005-0000-0000-000064A70000}"/>
    <cellStyle name="Comma 7 3 2 2 2 7 2" xfId="47285" xr:uid="{00000000-0005-0000-0000-000065A70000}"/>
    <cellStyle name="Comma 7 3 2 2 2 8" xfId="47286" xr:uid="{00000000-0005-0000-0000-000066A70000}"/>
    <cellStyle name="Comma 7 3 2 2 2 9" xfId="47287" xr:uid="{00000000-0005-0000-0000-000067A70000}"/>
    <cellStyle name="Comma 7 3 2 2 3" xfId="47288" xr:uid="{00000000-0005-0000-0000-000068A70000}"/>
    <cellStyle name="Comma 7 3 2 2 3 2" xfId="47289" xr:uid="{00000000-0005-0000-0000-000069A70000}"/>
    <cellStyle name="Comma 7 3 2 2 3 2 2" xfId="47290" xr:uid="{00000000-0005-0000-0000-00006AA70000}"/>
    <cellStyle name="Comma 7 3 2 2 3 2 3" xfId="47291" xr:uid="{00000000-0005-0000-0000-00006BA70000}"/>
    <cellStyle name="Comma 7 3 2 2 3 3" xfId="47292" xr:uid="{00000000-0005-0000-0000-00006CA70000}"/>
    <cellStyle name="Comma 7 3 2 2 3 3 2" xfId="47293" xr:uid="{00000000-0005-0000-0000-00006DA70000}"/>
    <cellStyle name="Comma 7 3 2 2 3 3 3" xfId="47294" xr:uid="{00000000-0005-0000-0000-00006EA70000}"/>
    <cellStyle name="Comma 7 3 2 2 3 4" xfId="47295" xr:uid="{00000000-0005-0000-0000-00006FA70000}"/>
    <cellStyle name="Comma 7 3 2 2 3 4 2" xfId="47296" xr:uid="{00000000-0005-0000-0000-000070A70000}"/>
    <cellStyle name="Comma 7 3 2 2 3 5" xfId="47297" xr:uid="{00000000-0005-0000-0000-000071A70000}"/>
    <cellStyle name="Comma 7 3 2 2 3 6" xfId="47298" xr:uid="{00000000-0005-0000-0000-000072A70000}"/>
    <cellStyle name="Comma 7 3 2 2 4" xfId="47299" xr:uid="{00000000-0005-0000-0000-000073A70000}"/>
    <cellStyle name="Comma 7 3 2 2 4 2" xfId="47300" xr:uid="{00000000-0005-0000-0000-000074A70000}"/>
    <cellStyle name="Comma 7 3 2 2 4 2 2" xfId="47301" xr:uid="{00000000-0005-0000-0000-000075A70000}"/>
    <cellStyle name="Comma 7 3 2 2 4 2 3" xfId="47302" xr:uid="{00000000-0005-0000-0000-000076A70000}"/>
    <cellStyle name="Comma 7 3 2 2 4 3" xfId="47303" xr:uid="{00000000-0005-0000-0000-000077A70000}"/>
    <cellStyle name="Comma 7 3 2 2 4 3 2" xfId="47304" xr:uid="{00000000-0005-0000-0000-000078A70000}"/>
    <cellStyle name="Comma 7 3 2 2 4 3 3" xfId="47305" xr:uid="{00000000-0005-0000-0000-000079A70000}"/>
    <cellStyle name="Comma 7 3 2 2 4 4" xfId="47306" xr:uid="{00000000-0005-0000-0000-00007AA70000}"/>
    <cellStyle name="Comma 7 3 2 2 4 4 2" xfId="47307" xr:uid="{00000000-0005-0000-0000-00007BA70000}"/>
    <cellStyle name="Comma 7 3 2 2 4 5" xfId="47308" xr:uid="{00000000-0005-0000-0000-00007CA70000}"/>
    <cellStyle name="Comma 7 3 2 2 4 6" xfId="47309" xr:uid="{00000000-0005-0000-0000-00007DA70000}"/>
    <cellStyle name="Comma 7 3 2 2 5" xfId="47310" xr:uid="{00000000-0005-0000-0000-00007EA70000}"/>
    <cellStyle name="Comma 7 3 2 2 5 2" xfId="47311" xr:uid="{00000000-0005-0000-0000-00007FA70000}"/>
    <cellStyle name="Comma 7 3 2 2 5 2 2" xfId="47312" xr:uid="{00000000-0005-0000-0000-000080A70000}"/>
    <cellStyle name="Comma 7 3 2 2 5 2 3" xfId="47313" xr:uid="{00000000-0005-0000-0000-000081A70000}"/>
    <cellStyle name="Comma 7 3 2 2 5 3" xfId="47314" xr:uid="{00000000-0005-0000-0000-000082A70000}"/>
    <cellStyle name="Comma 7 3 2 2 5 3 2" xfId="47315" xr:uid="{00000000-0005-0000-0000-000083A70000}"/>
    <cellStyle name="Comma 7 3 2 2 5 4" xfId="47316" xr:uid="{00000000-0005-0000-0000-000084A70000}"/>
    <cellStyle name="Comma 7 3 2 2 5 5" xfId="47317" xr:uid="{00000000-0005-0000-0000-000085A70000}"/>
    <cellStyle name="Comma 7 3 2 2 6" xfId="47318" xr:uid="{00000000-0005-0000-0000-000086A70000}"/>
    <cellStyle name="Comma 7 3 2 2 6 2" xfId="47319" xr:uid="{00000000-0005-0000-0000-000087A70000}"/>
    <cellStyle name="Comma 7 3 2 2 6 3" xfId="47320" xr:uid="{00000000-0005-0000-0000-000088A70000}"/>
    <cellStyle name="Comma 7 3 2 2 7" xfId="47321" xr:uid="{00000000-0005-0000-0000-000089A70000}"/>
    <cellStyle name="Comma 7 3 2 2 7 2" xfId="47322" xr:uid="{00000000-0005-0000-0000-00008AA70000}"/>
    <cellStyle name="Comma 7 3 2 2 7 3" xfId="47323" xr:uid="{00000000-0005-0000-0000-00008BA70000}"/>
    <cellStyle name="Comma 7 3 2 2 8" xfId="47324" xr:uid="{00000000-0005-0000-0000-00008CA70000}"/>
    <cellStyle name="Comma 7 3 2 2 8 2" xfId="47325" xr:uid="{00000000-0005-0000-0000-00008DA70000}"/>
    <cellStyle name="Comma 7 3 2 2 9" xfId="47326" xr:uid="{00000000-0005-0000-0000-00008EA70000}"/>
    <cellStyle name="Comma 7 3 2 3" xfId="9107" xr:uid="{00000000-0005-0000-0000-00008FA70000}"/>
    <cellStyle name="Comma 7 3 2 3 2" xfId="47327" xr:uid="{00000000-0005-0000-0000-000090A70000}"/>
    <cellStyle name="Comma 7 3 2 3 2 2" xfId="47328" xr:uid="{00000000-0005-0000-0000-000091A70000}"/>
    <cellStyle name="Comma 7 3 2 3 2 2 2" xfId="47329" xr:uid="{00000000-0005-0000-0000-000092A70000}"/>
    <cellStyle name="Comma 7 3 2 3 2 2 3" xfId="47330" xr:uid="{00000000-0005-0000-0000-000093A70000}"/>
    <cellStyle name="Comma 7 3 2 3 2 3" xfId="47331" xr:uid="{00000000-0005-0000-0000-000094A70000}"/>
    <cellStyle name="Comma 7 3 2 3 2 3 2" xfId="47332" xr:uid="{00000000-0005-0000-0000-000095A70000}"/>
    <cellStyle name="Comma 7 3 2 3 2 3 3" xfId="47333" xr:uid="{00000000-0005-0000-0000-000096A70000}"/>
    <cellStyle name="Comma 7 3 2 3 2 4" xfId="47334" xr:uid="{00000000-0005-0000-0000-000097A70000}"/>
    <cellStyle name="Comma 7 3 2 3 2 4 2" xfId="47335" xr:uid="{00000000-0005-0000-0000-000098A70000}"/>
    <cellStyle name="Comma 7 3 2 3 2 5" xfId="47336" xr:uid="{00000000-0005-0000-0000-000099A70000}"/>
    <cellStyle name="Comma 7 3 2 3 2 6" xfId="47337" xr:uid="{00000000-0005-0000-0000-00009AA70000}"/>
    <cellStyle name="Comma 7 3 2 3 3" xfId="47338" xr:uid="{00000000-0005-0000-0000-00009BA70000}"/>
    <cellStyle name="Comma 7 3 2 3 3 2" xfId="47339" xr:uid="{00000000-0005-0000-0000-00009CA70000}"/>
    <cellStyle name="Comma 7 3 2 3 3 2 2" xfId="47340" xr:uid="{00000000-0005-0000-0000-00009DA70000}"/>
    <cellStyle name="Comma 7 3 2 3 3 2 3" xfId="47341" xr:uid="{00000000-0005-0000-0000-00009EA70000}"/>
    <cellStyle name="Comma 7 3 2 3 3 3" xfId="47342" xr:uid="{00000000-0005-0000-0000-00009FA70000}"/>
    <cellStyle name="Comma 7 3 2 3 3 3 2" xfId="47343" xr:uid="{00000000-0005-0000-0000-0000A0A70000}"/>
    <cellStyle name="Comma 7 3 2 3 3 3 3" xfId="47344" xr:uid="{00000000-0005-0000-0000-0000A1A70000}"/>
    <cellStyle name="Comma 7 3 2 3 3 4" xfId="47345" xr:uid="{00000000-0005-0000-0000-0000A2A70000}"/>
    <cellStyle name="Comma 7 3 2 3 3 4 2" xfId="47346" xr:uid="{00000000-0005-0000-0000-0000A3A70000}"/>
    <cellStyle name="Comma 7 3 2 3 3 5" xfId="47347" xr:uid="{00000000-0005-0000-0000-0000A4A70000}"/>
    <cellStyle name="Comma 7 3 2 3 3 6" xfId="47348" xr:uid="{00000000-0005-0000-0000-0000A5A70000}"/>
    <cellStyle name="Comma 7 3 2 3 4" xfId="47349" xr:uid="{00000000-0005-0000-0000-0000A6A70000}"/>
    <cellStyle name="Comma 7 3 2 3 4 2" xfId="47350" xr:uid="{00000000-0005-0000-0000-0000A7A70000}"/>
    <cellStyle name="Comma 7 3 2 3 4 2 2" xfId="47351" xr:uid="{00000000-0005-0000-0000-0000A8A70000}"/>
    <cellStyle name="Comma 7 3 2 3 4 2 3" xfId="47352" xr:uid="{00000000-0005-0000-0000-0000A9A70000}"/>
    <cellStyle name="Comma 7 3 2 3 4 3" xfId="47353" xr:uid="{00000000-0005-0000-0000-0000AAA70000}"/>
    <cellStyle name="Comma 7 3 2 3 4 3 2" xfId="47354" xr:uid="{00000000-0005-0000-0000-0000ABA70000}"/>
    <cellStyle name="Comma 7 3 2 3 4 4" xfId="47355" xr:uid="{00000000-0005-0000-0000-0000ACA70000}"/>
    <cellStyle name="Comma 7 3 2 3 4 5" xfId="47356" xr:uid="{00000000-0005-0000-0000-0000ADA70000}"/>
    <cellStyle name="Comma 7 3 2 3 5" xfId="47357" xr:uid="{00000000-0005-0000-0000-0000AEA70000}"/>
    <cellStyle name="Comma 7 3 2 3 5 2" xfId="47358" xr:uid="{00000000-0005-0000-0000-0000AFA70000}"/>
    <cellStyle name="Comma 7 3 2 3 5 3" xfId="47359" xr:uid="{00000000-0005-0000-0000-0000B0A70000}"/>
    <cellStyle name="Comma 7 3 2 3 6" xfId="47360" xr:uid="{00000000-0005-0000-0000-0000B1A70000}"/>
    <cellStyle name="Comma 7 3 2 3 6 2" xfId="47361" xr:uid="{00000000-0005-0000-0000-0000B2A70000}"/>
    <cellStyle name="Comma 7 3 2 3 6 3" xfId="47362" xr:uid="{00000000-0005-0000-0000-0000B3A70000}"/>
    <cellStyle name="Comma 7 3 2 3 7" xfId="47363" xr:uid="{00000000-0005-0000-0000-0000B4A70000}"/>
    <cellStyle name="Comma 7 3 2 3 7 2" xfId="47364" xr:uid="{00000000-0005-0000-0000-0000B5A70000}"/>
    <cellStyle name="Comma 7 3 2 3 8" xfId="47365" xr:uid="{00000000-0005-0000-0000-0000B6A70000}"/>
    <cellStyle name="Comma 7 3 2 3 9" xfId="47366" xr:uid="{00000000-0005-0000-0000-0000B7A70000}"/>
    <cellStyle name="Comma 7 3 2 4" xfId="9108" xr:uid="{00000000-0005-0000-0000-0000B8A70000}"/>
    <cellStyle name="Comma 7 3 2 4 2" xfId="47367" xr:uid="{00000000-0005-0000-0000-0000B9A70000}"/>
    <cellStyle name="Comma 7 3 2 4 2 2" xfId="47368" xr:uid="{00000000-0005-0000-0000-0000BAA70000}"/>
    <cellStyle name="Comma 7 3 2 4 2 2 2" xfId="47369" xr:uid="{00000000-0005-0000-0000-0000BBA70000}"/>
    <cellStyle name="Comma 7 3 2 4 2 2 3" xfId="47370" xr:uid="{00000000-0005-0000-0000-0000BCA70000}"/>
    <cellStyle name="Comma 7 3 2 4 2 3" xfId="47371" xr:uid="{00000000-0005-0000-0000-0000BDA70000}"/>
    <cellStyle name="Comma 7 3 2 4 2 3 2" xfId="47372" xr:uid="{00000000-0005-0000-0000-0000BEA70000}"/>
    <cellStyle name="Comma 7 3 2 4 2 3 3" xfId="47373" xr:uid="{00000000-0005-0000-0000-0000BFA70000}"/>
    <cellStyle name="Comma 7 3 2 4 2 4" xfId="47374" xr:uid="{00000000-0005-0000-0000-0000C0A70000}"/>
    <cellStyle name="Comma 7 3 2 4 2 4 2" xfId="47375" xr:uid="{00000000-0005-0000-0000-0000C1A70000}"/>
    <cellStyle name="Comma 7 3 2 4 2 5" xfId="47376" xr:uid="{00000000-0005-0000-0000-0000C2A70000}"/>
    <cellStyle name="Comma 7 3 2 4 2 6" xfId="47377" xr:uid="{00000000-0005-0000-0000-0000C3A70000}"/>
    <cellStyle name="Comma 7 3 2 4 3" xfId="47378" xr:uid="{00000000-0005-0000-0000-0000C4A70000}"/>
    <cellStyle name="Comma 7 3 2 4 3 2" xfId="47379" xr:uid="{00000000-0005-0000-0000-0000C5A70000}"/>
    <cellStyle name="Comma 7 3 2 4 3 2 2" xfId="47380" xr:uid="{00000000-0005-0000-0000-0000C6A70000}"/>
    <cellStyle name="Comma 7 3 2 4 3 2 3" xfId="47381" xr:uid="{00000000-0005-0000-0000-0000C7A70000}"/>
    <cellStyle name="Comma 7 3 2 4 3 3" xfId="47382" xr:uid="{00000000-0005-0000-0000-0000C8A70000}"/>
    <cellStyle name="Comma 7 3 2 4 3 3 2" xfId="47383" xr:uid="{00000000-0005-0000-0000-0000C9A70000}"/>
    <cellStyle name="Comma 7 3 2 4 3 3 3" xfId="47384" xr:uid="{00000000-0005-0000-0000-0000CAA70000}"/>
    <cellStyle name="Comma 7 3 2 4 3 4" xfId="47385" xr:uid="{00000000-0005-0000-0000-0000CBA70000}"/>
    <cellStyle name="Comma 7 3 2 4 3 4 2" xfId="47386" xr:uid="{00000000-0005-0000-0000-0000CCA70000}"/>
    <cellStyle name="Comma 7 3 2 4 3 5" xfId="47387" xr:uid="{00000000-0005-0000-0000-0000CDA70000}"/>
    <cellStyle name="Comma 7 3 2 4 3 6" xfId="47388" xr:uid="{00000000-0005-0000-0000-0000CEA70000}"/>
    <cellStyle name="Comma 7 3 2 4 4" xfId="47389" xr:uid="{00000000-0005-0000-0000-0000CFA70000}"/>
    <cellStyle name="Comma 7 3 2 4 4 2" xfId="47390" xr:uid="{00000000-0005-0000-0000-0000D0A70000}"/>
    <cellStyle name="Comma 7 3 2 4 4 2 2" xfId="47391" xr:uid="{00000000-0005-0000-0000-0000D1A70000}"/>
    <cellStyle name="Comma 7 3 2 4 4 2 3" xfId="47392" xr:uid="{00000000-0005-0000-0000-0000D2A70000}"/>
    <cellStyle name="Comma 7 3 2 4 4 3" xfId="47393" xr:uid="{00000000-0005-0000-0000-0000D3A70000}"/>
    <cellStyle name="Comma 7 3 2 4 4 3 2" xfId="47394" xr:uid="{00000000-0005-0000-0000-0000D4A70000}"/>
    <cellStyle name="Comma 7 3 2 4 4 4" xfId="47395" xr:uid="{00000000-0005-0000-0000-0000D5A70000}"/>
    <cellStyle name="Comma 7 3 2 4 4 5" xfId="47396" xr:uid="{00000000-0005-0000-0000-0000D6A70000}"/>
    <cellStyle name="Comma 7 3 2 4 5" xfId="47397" xr:uid="{00000000-0005-0000-0000-0000D7A70000}"/>
    <cellStyle name="Comma 7 3 2 4 5 2" xfId="47398" xr:uid="{00000000-0005-0000-0000-0000D8A70000}"/>
    <cellStyle name="Comma 7 3 2 4 5 3" xfId="47399" xr:uid="{00000000-0005-0000-0000-0000D9A70000}"/>
    <cellStyle name="Comma 7 3 2 4 6" xfId="47400" xr:uid="{00000000-0005-0000-0000-0000DAA70000}"/>
    <cellStyle name="Comma 7 3 2 4 6 2" xfId="47401" xr:uid="{00000000-0005-0000-0000-0000DBA70000}"/>
    <cellStyle name="Comma 7 3 2 4 6 3" xfId="47402" xr:uid="{00000000-0005-0000-0000-0000DCA70000}"/>
    <cellStyle name="Comma 7 3 2 4 7" xfId="47403" xr:uid="{00000000-0005-0000-0000-0000DDA70000}"/>
    <cellStyle name="Comma 7 3 2 4 7 2" xfId="47404" xr:uid="{00000000-0005-0000-0000-0000DEA70000}"/>
    <cellStyle name="Comma 7 3 2 4 8" xfId="47405" xr:uid="{00000000-0005-0000-0000-0000DFA70000}"/>
    <cellStyle name="Comma 7 3 2 4 9" xfId="47406" xr:uid="{00000000-0005-0000-0000-0000E0A70000}"/>
    <cellStyle name="Comma 7 3 2 5" xfId="47407" xr:uid="{00000000-0005-0000-0000-0000E1A70000}"/>
    <cellStyle name="Comma 7 3 2 5 2" xfId="47408" xr:uid="{00000000-0005-0000-0000-0000E2A70000}"/>
    <cellStyle name="Comma 7 3 2 5 2 2" xfId="47409" xr:uid="{00000000-0005-0000-0000-0000E3A70000}"/>
    <cellStyle name="Comma 7 3 2 5 2 3" xfId="47410" xr:uid="{00000000-0005-0000-0000-0000E4A70000}"/>
    <cellStyle name="Comma 7 3 2 5 3" xfId="47411" xr:uid="{00000000-0005-0000-0000-0000E5A70000}"/>
    <cellStyle name="Comma 7 3 2 5 3 2" xfId="47412" xr:uid="{00000000-0005-0000-0000-0000E6A70000}"/>
    <cellStyle name="Comma 7 3 2 5 3 3" xfId="47413" xr:uid="{00000000-0005-0000-0000-0000E7A70000}"/>
    <cellStyle name="Comma 7 3 2 5 4" xfId="47414" xr:uid="{00000000-0005-0000-0000-0000E8A70000}"/>
    <cellStyle name="Comma 7 3 2 5 4 2" xfId="47415" xr:uid="{00000000-0005-0000-0000-0000E9A70000}"/>
    <cellStyle name="Comma 7 3 2 5 5" xfId="47416" xr:uid="{00000000-0005-0000-0000-0000EAA70000}"/>
    <cellStyle name="Comma 7 3 2 5 6" xfId="47417" xr:uid="{00000000-0005-0000-0000-0000EBA70000}"/>
    <cellStyle name="Comma 7 3 2 6" xfId="47418" xr:uid="{00000000-0005-0000-0000-0000ECA70000}"/>
    <cellStyle name="Comma 7 3 2 6 2" xfId="47419" xr:uid="{00000000-0005-0000-0000-0000EDA70000}"/>
    <cellStyle name="Comma 7 3 2 6 2 2" xfId="47420" xr:uid="{00000000-0005-0000-0000-0000EEA70000}"/>
    <cellStyle name="Comma 7 3 2 6 2 3" xfId="47421" xr:uid="{00000000-0005-0000-0000-0000EFA70000}"/>
    <cellStyle name="Comma 7 3 2 6 3" xfId="47422" xr:uid="{00000000-0005-0000-0000-0000F0A70000}"/>
    <cellStyle name="Comma 7 3 2 6 3 2" xfId="47423" xr:uid="{00000000-0005-0000-0000-0000F1A70000}"/>
    <cellStyle name="Comma 7 3 2 6 3 3" xfId="47424" xr:uid="{00000000-0005-0000-0000-0000F2A70000}"/>
    <cellStyle name="Comma 7 3 2 6 4" xfId="47425" xr:uid="{00000000-0005-0000-0000-0000F3A70000}"/>
    <cellStyle name="Comma 7 3 2 6 4 2" xfId="47426" xr:uid="{00000000-0005-0000-0000-0000F4A70000}"/>
    <cellStyle name="Comma 7 3 2 6 5" xfId="47427" xr:uid="{00000000-0005-0000-0000-0000F5A70000}"/>
    <cellStyle name="Comma 7 3 2 6 6" xfId="47428" xr:uid="{00000000-0005-0000-0000-0000F6A70000}"/>
    <cellStyle name="Comma 7 3 2 7" xfId="47429" xr:uid="{00000000-0005-0000-0000-0000F7A70000}"/>
    <cellStyle name="Comma 7 3 2 7 2" xfId="47430" xr:uid="{00000000-0005-0000-0000-0000F8A70000}"/>
    <cellStyle name="Comma 7 3 2 7 2 2" xfId="47431" xr:uid="{00000000-0005-0000-0000-0000F9A70000}"/>
    <cellStyle name="Comma 7 3 2 7 2 3" xfId="47432" xr:uid="{00000000-0005-0000-0000-0000FAA70000}"/>
    <cellStyle name="Comma 7 3 2 7 3" xfId="47433" xr:uid="{00000000-0005-0000-0000-0000FBA70000}"/>
    <cellStyle name="Comma 7 3 2 7 3 2" xfId="47434" xr:uid="{00000000-0005-0000-0000-0000FCA70000}"/>
    <cellStyle name="Comma 7 3 2 7 4" xfId="47435" xr:uid="{00000000-0005-0000-0000-0000FDA70000}"/>
    <cellStyle name="Comma 7 3 2 7 5" xfId="47436" xr:uid="{00000000-0005-0000-0000-0000FEA70000}"/>
    <cellStyle name="Comma 7 3 2 8" xfId="47437" xr:uid="{00000000-0005-0000-0000-0000FFA70000}"/>
    <cellStyle name="Comma 7 3 2 8 2" xfId="47438" xr:uid="{00000000-0005-0000-0000-000000A80000}"/>
    <cellStyle name="Comma 7 3 2 8 3" xfId="47439" xr:uid="{00000000-0005-0000-0000-000001A80000}"/>
    <cellStyle name="Comma 7 3 2 9" xfId="47440" xr:uid="{00000000-0005-0000-0000-000002A80000}"/>
    <cellStyle name="Comma 7 3 2 9 2" xfId="47441" xr:uid="{00000000-0005-0000-0000-000003A80000}"/>
    <cellStyle name="Comma 7 3 2 9 3" xfId="47442" xr:uid="{00000000-0005-0000-0000-000004A80000}"/>
    <cellStyle name="Comma 7 3 3" xfId="9109" xr:uid="{00000000-0005-0000-0000-000005A80000}"/>
    <cellStyle name="Comma 7 3 3 10" xfId="47443" xr:uid="{00000000-0005-0000-0000-000006A80000}"/>
    <cellStyle name="Comma 7 3 3 2" xfId="9110" xr:uid="{00000000-0005-0000-0000-000007A80000}"/>
    <cellStyle name="Comma 7 3 3 2 2" xfId="47444" xr:uid="{00000000-0005-0000-0000-000008A80000}"/>
    <cellStyle name="Comma 7 3 3 2 2 2" xfId="47445" xr:uid="{00000000-0005-0000-0000-000009A80000}"/>
    <cellStyle name="Comma 7 3 3 2 2 2 2" xfId="47446" xr:uid="{00000000-0005-0000-0000-00000AA80000}"/>
    <cellStyle name="Comma 7 3 3 2 2 2 3" xfId="47447" xr:uid="{00000000-0005-0000-0000-00000BA80000}"/>
    <cellStyle name="Comma 7 3 3 2 2 3" xfId="47448" xr:uid="{00000000-0005-0000-0000-00000CA80000}"/>
    <cellStyle name="Comma 7 3 3 2 2 3 2" xfId="47449" xr:uid="{00000000-0005-0000-0000-00000DA80000}"/>
    <cellStyle name="Comma 7 3 3 2 2 3 3" xfId="47450" xr:uid="{00000000-0005-0000-0000-00000EA80000}"/>
    <cellStyle name="Comma 7 3 3 2 2 4" xfId="47451" xr:uid="{00000000-0005-0000-0000-00000FA80000}"/>
    <cellStyle name="Comma 7 3 3 2 2 4 2" xfId="47452" xr:uid="{00000000-0005-0000-0000-000010A80000}"/>
    <cellStyle name="Comma 7 3 3 2 2 5" xfId="47453" xr:uid="{00000000-0005-0000-0000-000011A80000}"/>
    <cellStyle name="Comma 7 3 3 2 2 6" xfId="47454" xr:uid="{00000000-0005-0000-0000-000012A80000}"/>
    <cellStyle name="Comma 7 3 3 2 3" xfId="47455" xr:uid="{00000000-0005-0000-0000-000013A80000}"/>
    <cellStyle name="Comma 7 3 3 2 3 2" xfId="47456" xr:uid="{00000000-0005-0000-0000-000014A80000}"/>
    <cellStyle name="Comma 7 3 3 2 3 2 2" xfId="47457" xr:uid="{00000000-0005-0000-0000-000015A80000}"/>
    <cellStyle name="Comma 7 3 3 2 3 2 3" xfId="47458" xr:uid="{00000000-0005-0000-0000-000016A80000}"/>
    <cellStyle name="Comma 7 3 3 2 3 3" xfId="47459" xr:uid="{00000000-0005-0000-0000-000017A80000}"/>
    <cellStyle name="Comma 7 3 3 2 3 3 2" xfId="47460" xr:uid="{00000000-0005-0000-0000-000018A80000}"/>
    <cellStyle name="Comma 7 3 3 2 3 3 3" xfId="47461" xr:uid="{00000000-0005-0000-0000-000019A80000}"/>
    <cellStyle name="Comma 7 3 3 2 3 4" xfId="47462" xr:uid="{00000000-0005-0000-0000-00001AA80000}"/>
    <cellStyle name="Comma 7 3 3 2 3 4 2" xfId="47463" xr:uid="{00000000-0005-0000-0000-00001BA80000}"/>
    <cellStyle name="Comma 7 3 3 2 3 5" xfId="47464" xr:uid="{00000000-0005-0000-0000-00001CA80000}"/>
    <cellStyle name="Comma 7 3 3 2 3 6" xfId="47465" xr:uid="{00000000-0005-0000-0000-00001DA80000}"/>
    <cellStyle name="Comma 7 3 3 2 4" xfId="47466" xr:uid="{00000000-0005-0000-0000-00001EA80000}"/>
    <cellStyle name="Comma 7 3 3 2 4 2" xfId="47467" xr:uid="{00000000-0005-0000-0000-00001FA80000}"/>
    <cellStyle name="Comma 7 3 3 2 4 2 2" xfId="47468" xr:uid="{00000000-0005-0000-0000-000020A80000}"/>
    <cellStyle name="Comma 7 3 3 2 4 2 3" xfId="47469" xr:uid="{00000000-0005-0000-0000-000021A80000}"/>
    <cellStyle name="Comma 7 3 3 2 4 3" xfId="47470" xr:uid="{00000000-0005-0000-0000-000022A80000}"/>
    <cellStyle name="Comma 7 3 3 2 4 3 2" xfId="47471" xr:uid="{00000000-0005-0000-0000-000023A80000}"/>
    <cellStyle name="Comma 7 3 3 2 4 4" xfId="47472" xr:uid="{00000000-0005-0000-0000-000024A80000}"/>
    <cellStyle name="Comma 7 3 3 2 4 5" xfId="47473" xr:uid="{00000000-0005-0000-0000-000025A80000}"/>
    <cellStyle name="Comma 7 3 3 2 5" xfId="47474" xr:uid="{00000000-0005-0000-0000-000026A80000}"/>
    <cellStyle name="Comma 7 3 3 2 5 2" xfId="47475" xr:uid="{00000000-0005-0000-0000-000027A80000}"/>
    <cellStyle name="Comma 7 3 3 2 5 3" xfId="47476" xr:uid="{00000000-0005-0000-0000-000028A80000}"/>
    <cellStyle name="Comma 7 3 3 2 6" xfId="47477" xr:uid="{00000000-0005-0000-0000-000029A80000}"/>
    <cellStyle name="Comma 7 3 3 2 6 2" xfId="47478" xr:uid="{00000000-0005-0000-0000-00002AA80000}"/>
    <cellStyle name="Comma 7 3 3 2 6 3" xfId="47479" xr:uid="{00000000-0005-0000-0000-00002BA80000}"/>
    <cellStyle name="Comma 7 3 3 2 7" xfId="47480" xr:uid="{00000000-0005-0000-0000-00002CA80000}"/>
    <cellStyle name="Comma 7 3 3 2 7 2" xfId="47481" xr:uid="{00000000-0005-0000-0000-00002DA80000}"/>
    <cellStyle name="Comma 7 3 3 2 8" xfId="47482" xr:uid="{00000000-0005-0000-0000-00002EA80000}"/>
    <cellStyle name="Comma 7 3 3 2 9" xfId="47483" xr:uid="{00000000-0005-0000-0000-00002FA80000}"/>
    <cellStyle name="Comma 7 3 3 3" xfId="47484" xr:uid="{00000000-0005-0000-0000-000030A80000}"/>
    <cellStyle name="Comma 7 3 3 3 2" xfId="47485" xr:uid="{00000000-0005-0000-0000-000031A80000}"/>
    <cellStyle name="Comma 7 3 3 3 2 2" xfId="47486" xr:uid="{00000000-0005-0000-0000-000032A80000}"/>
    <cellStyle name="Comma 7 3 3 3 2 3" xfId="47487" xr:uid="{00000000-0005-0000-0000-000033A80000}"/>
    <cellStyle name="Comma 7 3 3 3 3" xfId="47488" xr:uid="{00000000-0005-0000-0000-000034A80000}"/>
    <cellStyle name="Comma 7 3 3 3 3 2" xfId="47489" xr:uid="{00000000-0005-0000-0000-000035A80000}"/>
    <cellStyle name="Comma 7 3 3 3 3 3" xfId="47490" xr:uid="{00000000-0005-0000-0000-000036A80000}"/>
    <cellStyle name="Comma 7 3 3 3 4" xfId="47491" xr:uid="{00000000-0005-0000-0000-000037A80000}"/>
    <cellStyle name="Comma 7 3 3 3 4 2" xfId="47492" xr:uid="{00000000-0005-0000-0000-000038A80000}"/>
    <cellStyle name="Comma 7 3 3 3 5" xfId="47493" xr:uid="{00000000-0005-0000-0000-000039A80000}"/>
    <cellStyle name="Comma 7 3 3 3 6" xfId="47494" xr:uid="{00000000-0005-0000-0000-00003AA80000}"/>
    <cellStyle name="Comma 7 3 3 4" xfId="47495" xr:uid="{00000000-0005-0000-0000-00003BA80000}"/>
    <cellStyle name="Comma 7 3 3 4 2" xfId="47496" xr:uid="{00000000-0005-0000-0000-00003CA80000}"/>
    <cellStyle name="Comma 7 3 3 4 2 2" xfId="47497" xr:uid="{00000000-0005-0000-0000-00003DA80000}"/>
    <cellStyle name="Comma 7 3 3 4 2 3" xfId="47498" xr:uid="{00000000-0005-0000-0000-00003EA80000}"/>
    <cellStyle name="Comma 7 3 3 4 3" xfId="47499" xr:uid="{00000000-0005-0000-0000-00003FA80000}"/>
    <cellStyle name="Comma 7 3 3 4 3 2" xfId="47500" xr:uid="{00000000-0005-0000-0000-000040A80000}"/>
    <cellStyle name="Comma 7 3 3 4 3 3" xfId="47501" xr:uid="{00000000-0005-0000-0000-000041A80000}"/>
    <cellStyle name="Comma 7 3 3 4 4" xfId="47502" xr:uid="{00000000-0005-0000-0000-000042A80000}"/>
    <cellStyle name="Comma 7 3 3 4 4 2" xfId="47503" xr:uid="{00000000-0005-0000-0000-000043A80000}"/>
    <cellStyle name="Comma 7 3 3 4 5" xfId="47504" xr:uid="{00000000-0005-0000-0000-000044A80000}"/>
    <cellStyle name="Comma 7 3 3 4 6" xfId="47505" xr:uid="{00000000-0005-0000-0000-000045A80000}"/>
    <cellStyle name="Comma 7 3 3 5" xfId="47506" xr:uid="{00000000-0005-0000-0000-000046A80000}"/>
    <cellStyle name="Comma 7 3 3 5 2" xfId="47507" xr:uid="{00000000-0005-0000-0000-000047A80000}"/>
    <cellStyle name="Comma 7 3 3 5 2 2" xfId="47508" xr:uid="{00000000-0005-0000-0000-000048A80000}"/>
    <cellStyle name="Comma 7 3 3 5 2 3" xfId="47509" xr:uid="{00000000-0005-0000-0000-000049A80000}"/>
    <cellStyle name="Comma 7 3 3 5 3" xfId="47510" xr:uid="{00000000-0005-0000-0000-00004AA80000}"/>
    <cellStyle name="Comma 7 3 3 5 3 2" xfId="47511" xr:uid="{00000000-0005-0000-0000-00004BA80000}"/>
    <cellStyle name="Comma 7 3 3 5 4" xfId="47512" xr:uid="{00000000-0005-0000-0000-00004CA80000}"/>
    <cellStyle name="Comma 7 3 3 5 5" xfId="47513" xr:uid="{00000000-0005-0000-0000-00004DA80000}"/>
    <cellStyle name="Comma 7 3 3 6" xfId="47514" xr:uid="{00000000-0005-0000-0000-00004EA80000}"/>
    <cellStyle name="Comma 7 3 3 6 2" xfId="47515" xr:uid="{00000000-0005-0000-0000-00004FA80000}"/>
    <cellStyle name="Comma 7 3 3 6 3" xfId="47516" xr:uid="{00000000-0005-0000-0000-000050A80000}"/>
    <cellStyle name="Comma 7 3 3 7" xfId="47517" xr:uid="{00000000-0005-0000-0000-000051A80000}"/>
    <cellStyle name="Comma 7 3 3 7 2" xfId="47518" xr:uid="{00000000-0005-0000-0000-000052A80000}"/>
    <cellStyle name="Comma 7 3 3 7 3" xfId="47519" xr:uid="{00000000-0005-0000-0000-000053A80000}"/>
    <cellStyle name="Comma 7 3 3 8" xfId="47520" xr:uid="{00000000-0005-0000-0000-000054A80000}"/>
    <cellStyle name="Comma 7 3 3 8 2" xfId="47521" xr:uid="{00000000-0005-0000-0000-000055A80000}"/>
    <cellStyle name="Comma 7 3 3 9" xfId="47522" xr:uid="{00000000-0005-0000-0000-000056A80000}"/>
    <cellStyle name="Comma 7 3 4" xfId="9111" xr:uid="{00000000-0005-0000-0000-000057A80000}"/>
    <cellStyle name="Comma 7 3 4 2" xfId="47523" xr:uid="{00000000-0005-0000-0000-000058A80000}"/>
    <cellStyle name="Comma 7 3 4 2 2" xfId="47524" xr:uid="{00000000-0005-0000-0000-000059A80000}"/>
    <cellStyle name="Comma 7 3 4 2 2 2" xfId="47525" xr:uid="{00000000-0005-0000-0000-00005AA80000}"/>
    <cellStyle name="Comma 7 3 4 2 2 3" xfId="47526" xr:uid="{00000000-0005-0000-0000-00005BA80000}"/>
    <cellStyle name="Comma 7 3 4 2 3" xfId="47527" xr:uid="{00000000-0005-0000-0000-00005CA80000}"/>
    <cellStyle name="Comma 7 3 4 2 3 2" xfId="47528" xr:uid="{00000000-0005-0000-0000-00005DA80000}"/>
    <cellStyle name="Comma 7 3 4 2 3 3" xfId="47529" xr:uid="{00000000-0005-0000-0000-00005EA80000}"/>
    <cellStyle name="Comma 7 3 4 2 4" xfId="47530" xr:uid="{00000000-0005-0000-0000-00005FA80000}"/>
    <cellStyle name="Comma 7 3 4 2 4 2" xfId="47531" xr:uid="{00000000-0005-0000-0000-000060A80000}"/>
    <cellStyle name="Comma 7 3 4 2 5" xfId="47532" xr:uid="{00000000-0005-0000-0000-000061A80000}"/>
    <cellStyle name="Comma 7 3 4 2 6" xfId="47533" xr:uid="{00000000-0005-0000-0000-000062A80000}"/>
    <cellStyle name="Comma 7 3 4 3" xfId="47534" xr:uid="{00000000-0005-0000-0000-000063A80000}"/>
    <cellStyle name="Comma 7 3 4 3 2" xfId="47535" xr:uid="{00000000-0005-0000-0000-000064A80000}"/>
    <cellStyle name="Comma 7 3 4 3 2 2" xfId="47536" xr:uid="{00000000-0005-0000-0000-000065A80000}"/>
    <cellStyle name="Comma 7 3 4 3 2 3" xfId="47537" xr:uid="{00000000-0005-0000-0000-000066A80000}"/>
    <cellStyle name="Comma 7 3 4 3 3" xfId="47538" xr:uid="{00000000-0005-0000-0000-000067A80000}"/>
    <cellStyle name="Comma 7 3 4 3 3 2" xfId="47539" xr:uid="{00000000-0005-0000-0000-000068A80000}"/>
    <cellStyle name="Comma 7 3 4 3 3 3" xfId="47540" xr:uid="{00000000-0005-0000-0000-000069A80000}"/>
    <cellStyle name="Comma 7 3 4 3 4" xfId="47541" xr:uid="{00000000-0005-0000-0000-00006AA80000}"/>
    <cellStyle name="Comma 7 3 4 3 4 2" xfId="47542" xr:uid="{00000000-0005-0000-0000-00006BA80000}"/>
    <cellStyle name="Comma 7 3 4 3 5" xfId="47543" xr:uid="{00000000-0005-0000-0000-00006CA80000}"/>
    <cellStyle name="Comma 7 3 4 3 6" xfId="47544" xr:uid="{00000000-0005-0000-0000-00006DA80000}"/>
    <cellStyle name="Comma 7 3 4 4" xfId="47545" xr:uid="{00000000-0005-0000-0000-00006EA80000}"/>
    <cellStyle name="Comma 7 3 4 4 2" xfId="47546" xr:uid="{00000000-0005-0000-0000-00006FA80000}"/>
    <cellStyle name="Comma 7 3 4 4 2 2" xfId="47547" xr:uid="{00000000-0005-0000-0000-000070A80000}"/>
    <cellStyle name="Comma 7 3 4 4 2 3" xfId="47548" xr:uid="{00000000-0005-0000-0000-000071A80000}"/>
    <cellStyle name="Comma 7 3 4 4 3" xfId="47549" xr:uid="{00000000-0005-0000-0000-000072A80000}"/>
    <cellStyle name="Comma 7 3 4 4 3 2" xfId="47550" xr:uid="{00000000-0005-0000-0000-000073A80000}"/>
    <cellStyle name="Comma 7 3 4 4 4" xfId="47551" xr:uid="{00000000-0005-0000-0000-000074A80000}"/>
    <cellStyle name="Comma 7 3 4 4 5" xfId="47552" xr:uid="{00000000-0005-0000-0000-000075A80000}"/>
    <cellStyle name="Comma 7 3 4 5" xfId="47553" xr:uid="{00000000-0005-0000-0000-000076A80000}"/>
    <cellStyle name="Comma 7 3 4 5 2" xfId="47554" xr:uid="{00000000-0005-0000-0000-000077A80000}"/>
    <cellStyle name="Comma 7 3 4 5 3" xfId="47555" xr:uid="{00000000-0005-0000-0000-000078A80000}"/>
    <cellStyle name="Comma 7 3 4 6" xfId="47556" xr:uid="{00000000-0005-0000-0000-000079A80000}"/>
    <cellStyle name="Comma 7 3 4 6 2" xfId="47557" xr:uid="{00000000-0005-0000-0000-00007AA80000}"/>
    <cellStyle name="Comma 7 3 4 6 3" xfId="47558" xr:uid="{00000000-0005-0000-0000-00007BA80000}"/>
    <cellStyle name="Comma 7 3 4 7" xfId="47559" xr:uid="{00000000-0005-0000-0000-00007CA80000}"/>
    <cellStyle name="Comma 7 3 4 7 2" xfId="47560" xr:uid="{00000000-0005-0000-0000-00007DA80000}"/>
    <cellStyle name="Comma 7 3 4 8" xfId="47561" xr:uid="{00000000-0005-0000-0000-00007EA80000}"/>
    <cellStyle name="Comma 7 3 4 9" xfId="47562" xr:uid="{00000000-0005-0000-0000-00007FA80000}"/>
    <cellStyle name="Comma 7 3 5" xfId="9112" xr:uid="{00000000-0005-0000-0000-000080A80000}"/>
    <cellStyle name="Comma 7 3 5 2" xfId="47563" xr:uid="{00000000-0005-0000-0000-000081A80000}"/>
    <cellStyle name="Comma 7 3 5 2 2" xfId="47564" xr:uid="{00000000-0005-0000-0000-000082A80000}"/>
    <cellStyle name="Comma 7 3 5 2 2 2" xfId="47565" xr:uid="{00000000-0005-0000-0000-000083A80000}"/>
    <cellStyle name="Comma 7 3 5 2 2 3" xfId="47566" xr:uid="{00000000-0005-0000-0000-000084A80000}"/>
    <cellStyle name="Comma 7 3 5 2 3" xfId="47567" xr:uid="{00000000-0005-0000-0000-000085A80000}"/>
    <cellStyle name="Comma 7 3 5 2 3 2" xfId="47568" xr:uid="{00000000-0005-0000-0000-000086A80000}"/>
    <cellStyle name="Comma 7 3 5 2 3 3" xfId="47569" xr:uid="{00000000-0005-0000-0000-000087A80000}"/>
    <cellStyle name="Comma 7 3 5 2 4" xfId="47570" xr:uid="{00000000-0005-0000-0000-000088A80000}"/>
    <cellStyle name="Comma 7 3 5 2 4 2" xfId="47571" xr:uid="{00000000-0005-0000-0000-000089A80000}"/>
    <cellStyle name="Comma 7 3 5 2 5" xfId="47572" xr:uid="{00000000-0005-0000-0000-00008AA80000}"/>
    <cellStyle name="Comma 7 3 5 2 6" xfId="47573" xr:uid="{00000000-0005-0000-0000-00008BA80000}"/>
    <cellStyle name="Comma 7 3 5 3" xfId="47574" xr:uid="{00000000-0005-0000-0000-00008CA80000}"/>
    <cellStyle name="Comma 7 3 5 3 2" xfId="47575" xr:uid="{00000000-0005-0000-0000-00008DA80000}"/>
    <cellStyle name="Comma 7 3 5 3 2 2" xfId="47576" xr:uid="{00000000-0005-0000-0000-00008EA80000}"/>
    <cellStyle name="Comma 7 3 5 3 2 3" xfId="47577" xr:uid="{00000000-0005-0000-0000-00008FA80000}"/>
    <cellStyle name="Comma 7 3 5 3 3" xfId="47578" xr:uid="{00000000-0005-0000-0000-000090A80000}"/>
    <cellStyle name="Comma 7 3 5 3 3 2" xfId="47579" xr:uid="{00000000-0005-0000-0000-000091A80000}"/>
    <cellStyle name="Comma 7 3 5 3 3 3" xfId="47580" xr:uid="{00000000-0005-0000-0000-000092A80000}"/>
    <cellStyle name="Comma 7 3 5 3 4" xfId="47581" xr:uid="{00000000-0005-0000-0000-000093A80000}"/>
    <cellStyle name="Comma 7 3 5 3 4 2" xfId="47582" xr:uid="{00000000-0005-0000-0000-000094A80000}"/>
    <cellStyle name="Comma 7 3 5 3 5" xfId="47583" xr:uid="{00000000-0005-0000-0000-000095A80000}"/>
    <cellStyle name="Comma 7 3 5 3 6" xfId="47584" xr:uid="{00000000-0005-0000-0000-000096A80000}"/>
    <cellStyle name="Comma 7 3 5 4" xfId="47585" xr:uid="{00000000-0005-0000-0000-000097A80000}"/>
    <cellStyle name="Comma 7 3 5 4 2" xfId="47586" xr:uid="{00000000-0005-0000-0000-000098A80000}"/>
    <cellStyle name="Comma 7 3 5 4 2 2" xfId="47587" xr:uid="{00000000-0005-0000-0000-000099A80000}"/>
    <cellStyle name="Comma 7 3 5 4 2 3" xfId="47588" xr:uid="{00000000-0005-0000-0000-00009AA80000}"/>
    <cellStyle name="Comma 7 3 5 4 3" xfId="47589" xr:uid="{00000000-0005-0000-0000-00009BA80000}"/>
    <cellStyle name="Comma 7 3 5 4 3 2" xfId="47590" xr:uid="{00000000-0005-0000-0000-00009CA80000}"/>
    <cellStyle name="Comma 7 3 5 4 4" xfId="47591" xr:uid="{00000000-0005-0000-0000-00009DA80000}"/>
    <cellStyle name="Comma 7 3 5 4 5" xfId="47592" xr:uid="{00000000-0005-0000-0000-00009EA80000}"/>
    <cellStyle name="Comma 7 3 5 5" xfId="47593" xr:uid="{00000000-0005-0000-0000-00009FA80000}"/>
    <cellStyle name="Comma 7 3 5 5 2" xfId="47594" xr:uid="{00000000-0005-0000-0000-0000A0A80000}"/>
    <cellStyle name="Comma 7 3 5 5 3" xfId="47595" xr:uid="{00000000-0005-0000-0000-0000A1A80000}"/>
    <cellStyle name="Comma 7 3 5 6" xfId="47596" xr:uid="{00000000-0005-0000-0000-0000A2A80000}"/>
    <cellStyle name="Comma 7 3 5 6 2" xfId="47597" xr:uid="{00000000-0005-0000-0000-0000A3A80000}"/>
    <cellStyle name="Comma 7 3 5 6 3" xfId="47598" xr:uid="{00000000-0005-0000-0000-0000A4A80000}"/>
    <cellStyle name="Comma 7 3 5 7" xfId="47599" xr:uid="{00000000-0005-0000-0000-0000A5A80000}"/>
    <cellStyle name="Comma 7 3 5 7 2" xfId="47600" xr:uid="{00000000-0005-0000-0000-0000A6A80000}"/>
    <cellStyle name="Comma 7 3 5 8" xfId="47601" xr:uid="{00000000-0005-0000-0000-0000A7A80000}"/>
    <cellStyle name="Comma 7 3 5 9" xfId="47602" xr:uid="{00000000-0005-0000-0000-0000A8A80000}"/>
    <cellStyle name="Comma 7 3 6" xfId="47603" xr:uid="{00000000-0005-0000-0000-0000A9A80000}"/>
    <cellStyle name="Comma 7 3 6 2" xfId="47604" xr:uid="{00000000-0005-0000-0000-0000AAA80000}"/>
    <cellStyle name="Comma 7 3 6 2 2" xfId="47605" xr:uid="{00000000-0005-0000-0000-0000ABA80000}"/>
    <cellStyle name="Comma 7 3 6 2 3" xfId="47606" xr:uid="{00000000-0005-0000-0000-0000ACA80000}"/>
    <cellStyle name="Comma 7 3 6 3" xfId="47607" xr:uid="{00000000-0005-0000-0000-0000ADA80000}"/>
    <cellStyle name="Comma 7 3 6 3 2" xfId="47608" xr:uid="{00000000-0005-0000-0000-0000AEA80000}"/>
    <cellStyle name="Comma 7 3 6 3 3" xfId="47609" xr:uid="{00000000-0005-0000-0000-0000AFA80000}"/>
    <cellStyle name="Comma 7 3 6 4" xfId="47610" xr:uid="{00000000-0005-0000-0000-0000B0A80000}"/>
    <cellStyle name="Comma 7 3 6 4 2" xfId="47611" xr:uid="{00000000-0005-0000-0000-0000B1A80000}"/>
    <cellStyle name="Comma 7 3 6 5" xfId="47612" xr:uid="{00000000-0005-0000-0000-0000B2A80000}"/>
    <cellStyle name="Comma 7 3 6 6" xfId="47613" xr:uid="{00000000-0005-0000-0000-0000B3A80000}"/>
    <cellStyle name="Comma 7 3 7" xfId="47614" xr:uid="{00000000-0005-0000-0000-0000B4A80000}"/>
    <cellStyle name="Comma 7 3 7 2" xfId="47615" xr:uid="{00000000-0005-0000-0000-0000B5A80000}"/>
    <cellStyle name="Comma 7 3 7 2 2" xfId="47616" xr:uid="{00000000-0005-0000-0000-0000B6A80000}"/>
    <cellStyle name="Comma 7 3 7 2 3" xfId="47617" xr:uid="{00000000-0005-0000-0000-0000B7A80000}"/>
    <cellStyle name="Comma 7 3 7 3" xfId="47618" xr:uid="{00000000-0005-0000-0000-0000B8A80000}"/>
    <cellStyle name="Comma 7 3 7 3 2" xfId="47619" xr:uid="{00000000-0005-0000-0000-0000B9A80000}"/>
    <cellStyle name="Comma 7 3 7 3 3" xfId="47620" xr:uid="{00000000-0005-0000-0000-0000BAA80000}"/>
    <cellStyle name="Comma 7 3 7 4" xfId="47621" xr:uid="{00000000-0005-0000-0000-0000BBA80000}"/>
    <cellStyle name="Comma 7 3 7 4 2" xfId="47622" xr:uid="{00000000-0005-0000-0000-0000BCA80000}"/>
    <cellStyle name="Comma 7 3 7 5" xfId="47623" xr:uid="{00000000-0005-0000-0000-0000BDA80000}"/>
    <cellStyle name="Comma 7 3 7 6" xfId="47624" xr:uid="{00000000-0005-0000-0000-0000BEA80000}"/>
    <cellStyle name="Comma 7 3 8" xfId="47625" xr:uid="{00000000-0005-0000-0000-0000BFA80000}"/>
    <cellStyle name="Comma 7 3 8 2" xfId="47626" xr:uid="{00000000-0005-0000-0000-0000C0A80000}"/>
    <cellStyle name="Comma 7 3 8 2 2" xfId="47627" xr:uid="{00000000-0005-0000-0000-0000C1A80000}"/>
    <cellStyle name="Comma 7 3 8 2 3" xfId="47628" xr:uid="{00000000-0005-0000-0000-0000C2A80000}"/>
    <cellStyle name="Comma 7 3 8 3" xfId="47629" xr:uid="{00000000-0005-0000-0000-0000C3A80000}"/>
    <cellStyle name="Comma 7 3 8 3 2" xfId="47630" xr:uid="{00000000-0005-0000-0000-0000C4A80000}"/>
    <cellStyle name="Comma 7 3 8 4" xfId="47631" xr:uid="{00000000-0005-0000-0000-0000C5A80000}"/>
    <cellStyle name="Comma 7 3 8 5" xfId="47632" xr:uid="{00000000-0005-0000-0000-0000C6A80000}"/>
    <cellStyle name="Comma 7 3 9" xfId="47633" xr:uid="{00000000-0005-0000-0000-0000C7A80000}"/>
    <cellStyle name="Comma 7 3 9 2" xfId="47634" xr:uid="{00000000-0005-0000-0000-0000C8A80000}"/>
    <cellStyle name="Comma 7 3 9 3" xfId="47635" xr:uid="{00000000-0005-0000-0000-0000C9A80000}"/>
    <cellStyle name="Comma 7 4" xfId="3717" xr:uid="{00000000-0005-0000-0000-0000CAA80000}"/>
    <cellStyle name="Comma 7 4 10" xfId="47636" xr:uid="{00000000-0005-0000-0000-0000CBA80000}"/>
    <cellStyle name="Comma 7 4 10 2" xfId="47637" xr:uid="{00000000-0005-0000-0000-0000CCA80000}"/>
    <cellStyle name="Comma 7 4 11" xfId="47638" xr:uid="{00000000-0005-0000-0000-0000CDA80000}"/>
    <cellStyle name="Comma 7 4 12" xfId="47639" xr:uid="{00000000-0005-0000-0000-0000CEA80000}"/>
    <cellStyle name="Comma 7 4 2" xfId="3718" xr:uid="{00000000-0005-0000-0000-0000CFA80000}"/>
    <cellStyle name="Comma 7 4 2 10" xfId="47640" xr:uid="{00000000-0005-0000-0000-0000D0A80000}"/>
    <cellStyle name="Comma 7 4 2 2" xfId="9113" xr:uid="{00000000-0005-0000-0000-0000D1A80000}"/>
    <cellStyle name="Comma 7 4 2 2 2" xfId="9114" xr:uid="{00000000-0005-0000-0000-0000D2A80000}"/>
    <cellStyle name="Comma 7 4 2 2 2 2" xfId="47641" xr:uid="{00000000-0005-0000-0000-0000D3A80000}"/>
    <cellStyle name="Comma 7 4 2 2 2 2 2" xfId="47642" xr:uid="{00000000-0005-0000-0000-0000D4A80000}"/>
    <cellStyle name="Comma 7 4 2 2 2 2 3" xfId="47643" xr:uid="{00000000-0005-0000-0000-0000D5A80000}"/>
    <cellStyle name="Comma 7 4 2 2 2 3" xfId="47644" xr:uid="{00000000-0005-0000-0000-0000D6A80000}"/>
    <cellStyle name="Comma 7 4 2 2 2 3 2" xfId="47645" xr:uid="{00000000-0005-0000-0000-0000D7A80000}"/>
    <cellStyle name="Comma 7 4 2 2 2 3 3" xfId="47646" xr:uid="{00000000-0005-0000-0000-0000D8A80000}"/>
    <cellStyle name="Comma 7 4 2 2 2 4" xfId="47647" xr:uid="{00000000-0005-0000-0000-0000D9A80000}"/>
    <cellStyle name="Comma 7 4 2 2 2 4 2" xfId="47648" xr:uid="{00000000-0005-0000-0000-0000DAA80000}"/>
    <cellStyle name="Comma 7 4 2 2 2 5" xfId="47649" xr:uid="{00000000-0005-0000-0000-0000DBA80000}"/>
    <cellStyle name="Comma 7 4 2 2 2 6" xfId="47650" xr:uid="{00000000-0005-0000-0000-0000DCA80000}"/>
    <cellStyle name="Comma 7 4 2 2 3" xfId="47651" xr:uid="{00000000-0005-0000-0000-0000DDA80000}"/>
    <cellStyle name="Comma 7 4 2 2 3 2" xfId="47652" xr:uid="{00000000-0005-0000-0000-0000DEA80000}"/>
    <cellStyle name="Comma 7 4 2 2 3 2 2" xfId="47653" xr:uid="{00000000-0005-0000-0000-0000DFA80000}"/>
    <cellStyle name="Comma 7 4 2 2 3 2 3" xfId="47654" xr:uid="{00000000-0005-0000-0000-0000E0A80000}"/>
    <cellStyle name="Comma 7 4 2 2 3 3" xfId="47655" xr:uid="{00000000-0005-0000-0000-0000E1A80000}"/>
    <cellStyle name="Comma 7 4 2 2 3 3 2" xfId="47656" xr:uid="{00000000-0005-0000-0000-0000E2A80000}"/>
    <cellStyle name="Comma 7 4 2 2 3 3 3" xfId="47657" xr:uid="{00000000-0005-0000-0000-0000E3A80000}"/>
    <cellStyle name="Comma 7 4 2 2 3 4" xfId="47658" xr:uid="{00000000-0005-0000-0000-0000E4A80000}"/>
    <cellStyle name="Comma 7 4 2 2 3 4 2" xfId="47659" xr:uid="{00000000-0005-0000-0000-0000E5A80000}"/>
    <cellStyle name="Comma 7 4 2 2 3 5" xfId="47660" xr:uid="{00000000-0005-0000-0000-0000E6A80000}"/>
    <cellStyle name="Comma 7 4 2 2 3 6" xfId="47661" xr:uid="{00000000-0005-0000-0000-0000E7A80000}"/>
    <cellStyle name="Comma 7 4 2 2 4" xfId="47662" xr:uid="{00000000-0005-0000-0000-0000E8A80000}"/>
    <cellStyle name="Comma 7 4 2 2 4 2" xfId="47663" xr:uid="{00000000-0005-0000-0000-0000E9A80000}"/>
    <cellStyle name="Comma 7 4 2 2 4 2 2" xfId="47664" xr:uid="{00000000-0005-0000-0000-0000EAA80000}"/>
    <cellStyle name="Comma 7 4 2 2 4 2 3" xfId="47665" xr:uid="{00000000-0005-0000-0000-0000EBA80000}"/>
    <cellStyle name="Comma 7 4 2 2 4 3" xfId="47666" xr:uid="{00000000-0005-0000-0000-0000ECA80000}"/>
    <cellStyle name="Comma 7 4 2 2 4 3 2" xfId="47667" xr:uid="{00000000-0005-0000-0000-0000EDA80000}"/>
    <cellStyle name="Comma 7 4 2 2 4 4" xfId="47668" xr:uid="{00000000-0005-0000-0000-0000EEA80000}"/>
    <cellStyle name="Comma 7 4 2 2 4 5" xfId="47669" xr:uid="{00000000-0005-0000-0000-0000EFA80000}"/>
    <cellStyle name="Comma 7 4 2 2 5" xfId="47670" xr:uid="{00000000-0005-0000-0000-0000F0A80000}"/>
    <cellStyle name="Comma 7 4 2 2 5 2" xfId="47671" xr:uid="{00000000-0005-0000-0000-0000F1A80000}"/>
    <cellStyle name="Comma 7 4 2 2 5 3" xfId="47672" xr:uid="{00000000-0005-0000-0000-0000F2A80000}"/>
    <cellStyle name="Comma 7 4 2 2 6" xfId="47673" xr:uid="{00000000-0005-0000-0000-0000F3A80000}"/>
    <cellStyle name="Comma 7 4 2 2 6 2" xfId="47674" xr:uid="{00000000-0005-0000-0000-0000F4A80000}"/>
    <cellStyle name="Comma 7 4 2 2 6 3" xfId="47675" xr:uid="{00000000-0005-0000-0000-0000F5A80000}"/>
    <cellStyle name="Comma 7 4 2 2 7" xfId="47676" xr:uid="{00000000-0005-0000-0000-0000F6A80000}"/>
    <cellStyle name="Comma 7 4 2 2 7 2" xfId="47677" xr:uid="{00000000-0005-0000-0000-0000F7A80000}"/>
    <cellStyle name="Comma 7 4 2 2 8" xfId="47678" xr:uid="{00000000-0005-0000-0000-0000F8A80000}"/>
    <cellStyle name="Comma 7 4 2 2 9" xfId="47679" xr:uid="{00000000-0005-0000-0000-0000F9A80000}"/>
    <cellStyle name="Comma 7 4 2 3" xfId="9115" xr:uid="{00000000-0005-0000-0000-0000FAA80000}"/>
    <cellStyle name="Comma 7 4 2 3 2" xfId="47680" xr:uid="{00000000-0005-0000-0000-0000FBA80000}"/>
    <cellStyle name="Comma 7 4 2 3 2 2" xfId="47681" xr:uid="{00000000-0005-0000-0000-0000FCA80000}"/>
    <cellStyle name="Comma 7 4 2 3 2 3" xfId="47682" xr:uid="{00000000-0005-0000-0000-0000FDA80000}"/>
    <cellStyle name="Comma 7 4 2 3 3" xfId="47683" xr:uid="{00000000-0005-0000-0000-0000FEA80000}"/>
    <cellStyle name="Comma 7 4 2 3 3 2" xfId="47684" xr:uid="{00000000-0005-0000-0000-0000FFA80000}"/>
    <cellStyle name="Comma 7 4 2 3 3 3" xfId="47685" xr:uid="{00000000-0005-0000-0000-000000A90000}"/>
    <cellStyle name="Comma 7 4 2 3 4" xfId="47686" xr:uid="{00000000-0005-0000-0000-000001A90000}"/>
    <cellStyle name="Comma 7 4 2 3 4 2" xfId="47687" xr:uid="{00000000-0005-0000-0000-000002A90000}"/>
    <cellStyle name="Comma 7 4 2 3 5" xfId="47688" xr:uid="{00000000-0005-0000-0000-000003A90000}"/>
    <cellStyle name="Comma 7 4 2 3 6" xfId="47689" xr:uid="{00000000-0005-0000-0000-000004A90000}"/>
    <cellStyle name="Comma 7 4 2 4" xfId="9116" xr:uid="{00000000-0005-0000-0000-000005A90000}"/>
    <cellStyle name="Comma 7 4 2 4 2" xfId="47690" xr:uid="{00000000-0005-0000-0000-000006A90000}"/>
    <cellStyle name="Comma 7 4 2 4 2 2" xfId="47691" xr:uid="{00000000-0005-0000-0000-000007A90000}"/>
    <cellStyle name="Comma 7 4 2 4 2 3" xfId="47692" xr:uid="{00000000-0005-0000-0000-000008A90000}"/>
    <cellStyle name="Comma 7 4 2 4 3" xfId="47693" xr:uid="{00000000-0005-0000-0000-000009A90000}"/>
    <cellStyle name="Comma 7 4 2 4 3 2" xfId="47694" xr:uid="{00000000-0005-0000-0000-00000AA90000}"/>
    <cellStyle name="Comma 7 4 2 4 3 3" xfId="47695" xr:uid="{00000000-0005-0000-0000-00000BA90000}"/>
    <cellStyle name="Comma 7 4 2 4 4" xfId="47696" xr:uid="{00000000-0005-0000-0000-00000CA90000}"/>
    <cellStyle name="Comma 7 4 2 4 4 2" xfId="47697" xr:uid="{00000000-0005-0000-0000-00000DA90000}"/>
    <cellStyle name="Comma 7 4 2 4 5" xfId="47698" xr:uid="{00000000-0005-0000-0000-00000EA90000}"/>
    <cellStyle name="Comma 7 4 2 4 6" xfId="47699" xr:uid="{00000000-0005-0000-0000-00000FA90000}"/>
    <cellStyle name="Comma 7 4 2 5" xfId="47700" xr:uid="{00000000-0005-0000-0000-000010A90000}"/>
    <cellStyle name="Comma 7 4 2 5 2" xfId="47701" xr:uid="{00000000-0005-0000-0000-000011A90000}"/>
    <cellStyle name="Comma 7 4 2 5 2 2" xfId="47702" xr:uid="{00000000-0005-0000-0000-000012A90000}"/>
    <cellStyle name="Comma 7 4 2 5 2 3" xfId="47703" xr:uid="{00000000-0005-0000-0000-000013A90000}"/>
    <cellStyle name="Comma 7 4 2 5 3" xfId="47704" xr:uid="{00000000-0005-0000-0000-000014A90000}"/>
    <cellStyle name="Comma 7 4 2 5 3 2" xfId="47705" xr:uid="{00000000-0005-0000-0000-000015A90000}"/>
    <cellStyle name="Comma 7 4 2 5 4" xfId="47706" xr:uid="{00000000-0005-0000-0000-000016A90000}"/>
    <cellStyle name="Comma 7 4 2 5 5" xfId="47707" xr:uid="{00000000-0005-0000-0000-000017A90000}"/>
    <cellStyle name="Comma 7 4 2 6" xfId="47708" xr:uid="{00000000-0005-0000-0000-000018A90000}"/>
    <cellStyle name="Comma 7 4 2 6 2" xfId="47709" xr:uid="{00000000-0005-0000-0000-000019A90000}"/>
    <cellStyle name="Comma 7 4 2 6 3" xfId="47710" xr:uid="{00000000-0005-0000-0000-00001AA90000}"/>
    <cellStyle name="Comma 7 4 2 7" xfId="47711" xr:uid="{00000000-0005-0000-0000-00001BA90000}"/>
    <cellStyle name="Comma 7 4 2 7 2" xfId="47712" xr:uid="{00000000-0005-0000-0000-00001CA90000}"/>
    <cellStyle name="Comma 7 4 2 7 3" xfId="47713" xr:uid="{00000000-0005-0000-0000-00001DA90000}"/>
    <cellStyle name="Comma 7 4 2 8" xfId="47714" xr:uid="{00000000-0005-0000-0000-00001EA90000}"/>
    <cellStyle name="Comma 7 4 2 8 2" xfId="47715" xr:uid="{00000000-0005-0000-0000-00001FA90000}"/>
    <cellStyle name="Comma 7 4 2 9" xfId="47716" xr:uid="{00000000-0005-0000-0000-000020A90000}"/>
    <cellStyle name="Comma 7 4 3" xfId="9117" xr:uid="{00000000-0005-0000-0000-000021A90000}"/>
    <cellStyle name="Comma 7 4 3 2" xfId="9118" xr:uid="{00000000-0005-0000-0000-000022A90000}"/>
    <cellStyle name="Comma 7 4 3 2 2" xfId="47717" xr:uid="{00000000-0005-0000-0000-000023A90000}"/>
    <cellStyle name="Comma 7 4 3 2 2 2" xfId="47718" xr:uid="{00000000-0005-0000-0000-000024A90000}"/>
    <cellStyle name="Comma 7 4 3 2 2 3" xfId="47719" xr:uid="{00000000-0005-0000-0000-000025A90000}"/>
    <cellStyle name="Comma 7 4 3 2 3" xfId="47720" xr:uid="{00000000-0005-0000-0000-000026A90000}"/>
    <cellStyle name="Comma 7 4 3 2 3 2" xfId="47721" xr:uid="{00000000-0005-0000-0000-000027A90000}"/>
    <cellStyle name="Comma 7 4 3 2 3 3" xfId="47722" xr:uid="{00000000-0005-0000-0000-000028A90000}"/>
    <cellStyle name="Comma 7 4 3 2 4" xfId="47723" xr:uid="{00000000-0005-0000-0000-000029A90000}"/>
    <cellStyle name="Comma 7 4 3 2 4 2" xfId="47724" xr:uid="{00000000-0005-0000-0000-00002AA90000}"/>
    <cellStyle name="Comma 7 4 3 2 5" xfId="47725" xr:uid="{00000000-0005-0000-0000-00002BA90000}"/>
    <cellStyle name="Comma 7 4 3 2 6" xfId="47726" xr:uid="{00000000-0005-0000-0000-00002CA90000}"/>
    <cellStyle name="Comma 7 4 3 3" xfId="47727" xr:uid="{00000000-0005-0000-0000-00002DA90000}"/>
    <cellStyle name="Comma 7 4 3 3 2" xfId="47728" xr:uid="{00000000-0005-0000-0000-00002EA90000}"/>
    <cellStyle name="Comma 7 4 3 3 2 2" xfId="47729" xr:uid="{00000000-0005-0000-0000-00002FA90000}"/>
    <cellStyle name="Comma 7 4 3 3 2 3" xfId="47730" xr:uid="{00000000-0005-0000-0000-000030A90000}"/>
    <cellStyle name="Comma 7 4 3 3 3" xfId="47731" xr:uid="{00000000-0005-0000-0000-000031A90000}"/>
    <cellStyle name="Comma 7 4 3 3 3 2" xfId="47732" xr:uid="{00000000-0005-0000-0000-000032A90000}"/>
    <cellStyle name="Comma 7 4 3 3 3 3" xfId="47733" xr:uid="{00000000-0005-0000-0000-000033A90000}"/>
    <cellStyle name="Comma 7 4 3 3 4" xfId="47734" xr:uid="{00000000-0005-0000-0000-000034A90000}"/>
    <cellStyle name="Comma 7 4 3 3 4 2" xfId="47735" xr:uid="{00000000-0005-0000-0000-000035A90000}"/>
    <cellStyle name="Comma 7 4 3 3 5" xfId="47736" xr:uid="{00000000-0005-0000-0000-000036A90000}"/>
    <cellStyle name="Comma 7 4 3 3 6" xfId="47737" xr:uid="{00000000-0005-0000-0000-000037A90000}"/>
    <cellStyle name="Comma 7 4 3 4" xfId="47738" xr:uid="{00000000-0005-0000-0000-000038A90000}"/>
    <cellStyle name="Comma 7 4 3 4 2" xfId="47739" xr:uid="{00000000-0005-0000-0000-000039A90000}"/>
    <cellStyle name="Comma 7 4 3 4 2 2" xfId="47740" xr:uid="{00000000-0005-0000-0000-00003AA90000}"/>
    <cellStyle name="Comma 7 4 3 4 2 3" xfId="47741" xr:uid="{00000000-0005-0000-0000-00003BA90000}"/>
    <cellStyle name="Comma 7 4 3 4 3" xfId="47742" xr:uid="{00000000-0005-0000-0000-00003CA90000}"/>
    <cellStyle name="Comma 7 4 3 4 3 2" xfId="47743" xr:uid="{00000000-0005-0000-0000-00003DA90000}"/>
    <cellStyle name="Comma 7 4 3 4 4" xfId="47744" xr:uid="{00000000-0005-0000-0000-00003EA90000}"/>
    <cellStyle name="Comma 7 4 3 4 5" xfId="47745" xr:uid="{00000000-0005-0000-0000-00003FA90000}"/>
    <cellStyle name="Comma 7 4 3 5" xfId="47746" xr:uid="{00000000-0005-0000-0000-000040A90000}"/>
    <cellStyle name="Comma 7 4 3 5 2" xfId="47747" xr:uid="{00000000-0005-0000-0000-000041A90000}"/>
    <cellStyle name="Comma 7 4 3 5 3" xfId="47748" xr:uid="{00000000-0005-0000-0000-000042A90000}"/>
    <cellStyle name="Comma 7 4 3 6" xfId="47749" xr:uid="{00000000-0005-0000-0000-000043A90000}"/>
    <cellStyle name="Comma 7 4 3 6 2" xfId="47750" xr:uid="{00000000-0005-0000-0000-000044A90000}"/>
    <cellStyle name="Comma 7 4 3 6 3" xfId="47751" xr:uid="{00000000-0005-0000-0000-000045A90000}"/>
    <cellStyle name="Comma 7 4 3 7" xfId="47752" xr:uid="{00000000-0005-0000-0000-000046A90000}"/>
    <cellStyle name="Comma 7 4 3 7 2" xfId="47753" xr:uid="{00000000-0005-0000-0000-000047A90000}"/>
    <cellStyle name="Comma 7 4 3 8" xfId="47754" xr:uid="{00000000-0005-0000-0000-000048A90000}"/>
    <cellStyle name="Comma 7 4 3 9" xfId="47755" xr:uid="{00000000-0005-0000-0000-000049A90000}"/>
    <cellStyle name="Comma 7 4 4" xfId="9119" xr:uid="{00000000-0005-0000-0000-00004AA90000}"/>
    <cellStyle name="Comma 7 4 4 2" xfId="47756" xr:uid="{00000000-0005-0000-0000-00004BA90000}"/>
    <cellStyle name="Comma 7 4 4 2 2" xfId="47757" xr:uid="{00000000-0005-0000-0000-00004CA90000}"/>
    <cellStyle name="Comma 7 4 4 2 2 2" xfId="47758" xr:uid="{00000000-0005-0000-0000-00004DA90000}"/>
    <cellStyle name="Comma 7 4 4 2 2 3" xfId="47759" xr:uid="{00000000-0005-0000-0000-00004EA90000}"/>
    <cellStyle name="Comma 7 4 4 2 3" xfId="47760" xr:uid="{00000000-0005-0000-0000-00004FA90000}"/>
    <cellStyle name="Comma 7 4 4 2 3 2" xfId="47761" xr:uid="{00000000-0005-0000-0000-000050A90000}"/>
    <cellStyle name="Comma 7 4 4 2 3 3" xfId="47762" xr:uid="{00000000-0005-0000-0000-000051A90000}"/>
    <cellStyle name="Comma 7 4 4 2 4" xfId="47763" xr:uid="{00000000-0005-0000-0000-000052A90000}"/>
    <cellStyle name="Comma 7 4 4 2 4 2" xfId="47764" xr:uid="{00000000-0005-0000-0000-000053A90000}"/>
    <cellStyle name="Comma 7 4 4 2 5" xfId="47765" xr:uid="{00000000-0005-0000-0000-000054A90000}"/>
    <cellStyle name="Comma 7 4 4 2 6" xfId="47766" xr:uid="{00000000-0005-0000-0000-000055A90000}"/>
    <cellStyle name="Comma 7 4 4 3" xfId="47767" xr:uid="{00000000-0005-0000-0000-000056A90000}"/>
    <cellStyle name="Comma 7 4 4 3 2" xfId="47768" xr:uid="{00000000-0005-0000-0000-000057A90000}"/>
    <cellStyle name="Comma 7 4 4 3 2 2" xfId="47769" xr:uid="{00000000-0005-0000-0000-000058A90000}"/>
    <cellStyle name="Comma 7 4 4 3 2 3" xfId="47770" xr:uid="{00000000-0005-0000-0000-000059A90000}"/>
    <cellStyle name="Comma 7 4 4 3 3" xfId="47771" xr:uid="{00000000-0005-0000-0000-00005AA90000}"/>
    <cellStyle name="Comma 7 4 4 3 3 2" xfId="47772" xr:uid="{00000000-0005-0000-0000-00005BA90000}"/>
    <cellStyle name="Comma 7 4 4 3 3 3" xfId="47773" xr:uid="{00000000-0005-0000-0000-00005CA90000}"/>
    <cellStyle name="Comma 7 4 4 3 4" xfId="47774" xr:uid="{00000000-0005-0000-0000-00005DA90000}"/>
    <cellStyle name="Comma 7 4 4 3 4 2" xfId="47775" xr:uid="{00000000-0005-0000-0000-00005EA90000}"/>
    <cellStyle name="Comma 7 4 4 3 5" xfId="47776" xr:uid="{00000000-0005-0000-0000-00005FA90000}"/>
    <cellStyle name="Comma 7 4 4 3 6" xfId="47777" xr:uid="{00000000-0005-0000-0000-000060A90000}"/>
    <cellStyle name="Comma 7 4 4 4" xfId="47778" xr:uid="{00000000-0005-0000-0000-000061A90000}"/>
    <cellStyle name="Comma 7 4 4 4 2" xfId="47779" xr:uid="{00000000-0005-0000-0000-000062A90000}"/>
    <cellStyle name="Comma 7 4 4 4 2 2" xfId="47780" xr:uid="{00000000-0005-0000-0000-000063A90000}"/>
    <cellStyle name="Comma 7 4 4 4 2 3" xfId="47781" xr:uid="{00000000-0005-0000-0000-000064A90000}"/>
    <cellStyle name="Comma 7 4 4 4 3" xfId="47782" xr:uid="{00000000-0005-0000-0000-000065A90000}"/>
    <cellStyle name="Comma 7 4 4 4 3 2" xfId="47783" xr:uid="{00000000-0005-0000-0000-000066A90000}"/>
    <cellStyle name="Comma 7 4 4 4 4" xfId="47784" xr:uid="{00000000-0005-0000-0000-000067A90000}"/>
    <cellStyle name="Comma 7 4 4 4 5" xfId="47785" xr:uid="{00000000-0005-0000-0000-000068A90000}"/>
    <cellStyle name="Comma 7 4 4 5" xfId="47786" xr:uid="{00000000-0005-0000-0000-000069A90000}"/>
    <cellStyle name="Comma 7 4 4 5 2" xfId="47787" xr:uid="{00000000-0005-0000-0000-00006AA90000}"/>
    <cellStyle name="Comma 7 4 4 5 3" xfId="47788" xr:uid="{00000000-0005-0000-0000-00006BA90000}"/>
    <cellStyle name="Comma 7 4 4 6" xfId="47789" xr:uid="{00000000-0005-0000-0000-00006CA90000}"/>
    <cellStyle name="Comma 7 4 4 6 2" xfId="47790" xr:uid="{00000000-0005-0000-0000-00006DA90000}"/>
    <cellStyle name="Comma 7 4 4 6 3" xfId="47791" xr:uid="{00000000-0005-0000-0000-00006EA90000}"/>
    <cellStyle name="Comma 7 4 4 7" xfId="47792" xr:uid="{00000000-0005-0000-0000-00006FA90000}"/>
    <cellStyle name="Comma 7 4 4 7 2" xfId="47793" xr:uid="{00000000-0005-0000-0000-000070A90000}"/>
    <cellStyle name="Comma 7 4 4 8" xfId="47794" xr:uid="{00000000-0005-0000-0000-000071A90000}"/>
    <cellStyle name="Comma 7 4 4 9" xfId="47795" xr:uid="{00000000-0005-0000-0000-000072A90000}"/>
    <cellStyle name="Comma 7 4 5" xfId="9120" xr:uid="{00000000-0005-0000-0000-000073A90000}"/>
    <cellStyle name="Comma 7 4 5 2" xfId="47796" xr:uid="{00000000-0005-0000-0000-000074A90000}"/>
    <cellStyle name="Comma 7 4 5 2 2" xfId="47797" xr:uid="{00000000-0005-0000-0000-000075A90000}"/>
    <cellStyle name="Comma 7 4 5 2 3" xfId="47798" xr:uid="{00000000-0005-0000-0000-000076A90000}"/>
    <cellStyle name="Comma 7 4 5 3" xfId="47799" xr:uid="{00000000-0005-0000-0000-000077A90000}"/>
    <cellStyle name="Comma 7 4 5 3 2" xfId="47800" xr:uid="{00000000-0005-0000-0000-000078A90000}"/>
    <cellStyle name="Comma 7 4 5 3 3" xfId="47801" xr:uid="{00000000-0005-0000-0000-000079A90000}"/>
    <cellStyle name="Comma 7 4 5 4" xfId="47802" xr:uid="{00000000-0005-0000-0000-00007AA90000}"/>
    <cellStyle name="Comma 7 4 5 4 2" xfId="47803" xr:uid="{00000000-0005-0000-0000-00007BA90000}"/>
    <cellStyle name="Comma 7 4 5 5" xfId="47804" xr:uid="{00000000-0005-0000-0000-00007CA90000}"/>
    <cellStyle name="Comma 7 4 5 6" xfId="47805" xr:uid="{00000000-0005-0000-0000-00007DA90000}"/>
    <cellStyle name="Comma 7 4 6" xfId="47806" xr:uid="{00000000-0005-0000-0000-00007EA90000}"/>
    <cellStyle name="Comma 7 4 6 2" xfId="47807" xr:uid="{00000000-0005-0000-0000-00007FA90000}"/>
    <cellStyle name="Comma 7 4 6 2 2" xfId="47808" xr:uid="{00000000-0005-0000-0000-000080A90000}"/>
    <cellStyle name="Comma 7 4 6 2 3" xfId="47809" xr:uid="{00000000-0005-0000-0000-000081A90000}"/>
    <cellStyle name="Comma 7 4 6 3" xfId="47810" xr:uid="{00000000-0005-0000-0000-000082A90000}"/>
    <cellStyle name="Comma 7 4 6 3 2" xfId="47811" xr:uid="{00000000-0005-0000-0000-000083A90000}"/>
    <cellStyle name="Comma 7 4 6 3 3" xfId="47812" xr:uid="{00000000-0005-0000-0000-000084A90000}"/>
    <cellStyle name="Comma 7 4 6 4" xfId="47813" xr:uid="{00000000-0005-0000-0000-000085A90000}"/>
    <cellStyle name="Comma 7 4 6 4 2" xfId="47814" xr:uid="{00000000-0005-0000-0000-000086A90000}"/>
    <cellStyle name="Comma 7 4 6 5" xfId="47815" xr:uid="{00000000-0005-0000-0000-000087A90000}"/>
    <cellStyle name="Comma 7 4 6 6" xfId="47816" xr:uid="{00000000-0005-0000-0000-000088A90000}"/>
    <cellStyle name="Comma 7 4 7" xfId="47817" xr:uid="{00000000-0005-0000-0000-000089A90000}"/>
    <cellStyle name="Comma 7 4 7 2" xfId="47818" xr:uid="{00000000-0005-0000-0000-00008AA90000}"/>
    <cellStyle name="Comma 7 4 7 2 2" xfId="47819" xr:uid="{00000000-0005-0000-0000-00008BA90000}"/>
    <cellStyle name="Comma 7 4 7 2 3" xfId="47820" xr:uid="{00000000-0005-0000-0000-00008CA90000}"/>
    <cellStyle name="Comma 7 4 7 3" xfId="47821" xr:uid="{00000000-0005-0000-0000-00008DA90000}"/>
    <cellStyle name="Comma 7 4 7 3 2" xfId="47822" xr:uid="{00000000-0005-0000-0000-00008EA90000}"/>
    <cellStyle name="Comma 7 4 7 4" xfId="47823" xr:uid="{00000000-0005-0000-0000-00008FA90000}"/>
    <cellStyle name="Comma 7 4 7 5" xfId="47824" xr:uid="{00000000-0005-0000-0000-000090A90000}"/>
    <cellStyle name="Comma 7 4 8" xfId="47825" xr:uid="{00000000-0005-0000-0000-000091A90000}"/>
    <cellStyle name="Comma 7 4 8 2" xfId="47826" xr:uid="{00000000-0005-0000-0000-000092A90000}"/>
    <cellStyle name="Comma 7 4 8 3" xfId="47827" xr:uid="{00000000-0005-0000-0000-000093A90000}"/>
    <cellStyle name="Comma 7 4 9" xfId="47828" xr:uid="{00000000-0005-0000-0000-000094A90000}"/>
    <cellStyle name="Comma 7 4 9 2" xfId="47829" xr:uid="{00000000-0005-0000-0000-000095A90000}"/>
    <cellStyle name="Comma 7 4 9 3" xfId="47830" xr:uid="{00000000-0005-0000-0000-000096A90000}"/>
    <cellStyle name="Comma 7 5" xfId="3719" xr:uid="{00000000-0005-0000-0000-000097A90000}"/>
    <cellStyle name="Comma 7 5 10" xfId="47831" xr:uid="{00000000-0005-0000-0000-000098A90000}"/>
    <cellStyle name="Comma 7 5 2" xfId="3720" xr:uid="{00000000-0005-0000-0000-000099A90000}"/>
    <cellStyle name="Comma 7 5 2 2" xfId="9121" xr:uid="{00000000-0005-0000-0000-00009AA90000}"/>
    <cellStyle name="Comma 7 5 2 2 2" xfId="9122" xr:uid="{00000000-0005-0000-0000-00009BA90000}"/>
    <cellStyle name="Comma 7 5 2 2 2 2" xfId="47832" xr:uid="{00000000-0005-0000-0000-00009CA90000}"/>
    <cellStyle name="Comma 7 5 2 2 2 3" xfId="47833" xr:uid="{00000000-0005-0000-0000-00009DA90000}"/>
    <cellStyle name="Comma 7 5 2 2 3" xfId="47834" xr:uid="{00000000-0005-0000-0000-00009EA90000}"/>
    <cellStyle name="Comma 7 5 2 2 3 2" xfId="47835" xr:uid="{00000000-0005-0000-0000-00009FA90000}"/>
    <cellStyle name="Comma 7 5 2 2 3 3" xfId="47836" xr:uid="{00000000-0005-0000-0000-0000A0A90000}"/>
    <cellStyle name="Comma 7 5 2 2 4" xfId="47837" xr:uid="{00000000-0005-0000-0000-0000A1A90000}"/>
    <cellStyle name="Comma 7 5 2 2 4 2" xfId="47838" xr:uid="{00000000-0005-0000-0000-0000A2A90000}"/>
    <cellStyle name="Comma 7 5 2 2 5" xfId="47839" xr:uid="{00000000-0005-0000-0000-0000A3A90000}"/>
    <cellStyle name="Comma 7 5 2 2 6" xfId="47840" xr:uid="{00000000-0005-0000-0000-0000A4A90000}"/>
    <cellStyle name="Comma 7 5 2 3" xfId="9123" xr:uid="{00000000-0005-0000-0000-0000A5A90000}"/>
    <cellStyle name="Comma 7 5 2 3 2" xfId="47841" xr:uid="{00000000-0005-0000-0000-0000A6A90000}"/>
    <cellStyle name="Comma 7 5 2 3 2 2" xfId="47842" xr:uid="{00000000-0005-0000-0000-0000A7A90000}"/>
    <cellStyle name="Comma 7 5 2 3 2 3" xfId="47843" xr:uid="{00000000-0005-0000-0000-0000A8A90000}"/>
    <cellStyle name="Comma 7 5 2 3 3" xfId="47844" xr:uid="{00000000-0005-0000-0000-0000A9A90000}"/>
    <cellStyle name="Comma 7 5 2 3 3 2" xfId="47845" xr:uid="{00000000-0005-0000-0000-0000AAA90000}"/>
    <cellStyle name="Comma 7 5 2 3 3 3" xfId="47846" xr:uid="{00000000-0005-0000-0000-0000ABA90000}"/>
    <cellStyle name="Comma 7 5 2 3 4" xfId="47847" xr:uid="{00000000-0005-0000-0000-0000ACA90000}"/>
    <cellStyle name="Comma 7 5 2 3 4 2" xfId="47848" xr:uid="{00000000-0005-0000-0000-0000ADA90000}"/>
    <cellStyle name="Comma 7 5 2 3 5" xfId="47849" xr:uid="{00000000-0005-0000-0000-0000AEA90000}"/>
    <cellStyle name="Comma 7 5 2 3 6" xfId="47850" xr:uid="{00000000-0005-0000-0000-0000AFA90000}"/>
    <cellStyle name="Comma 7 5 2 4" xfId="9124" xr:uid="{00000000-0005-0000-0000-0000B0A90000}"/>
    <cellStyle name="Comma 7 5 2 4 2" xfId="47851" xr:uid="{00000000-0005-0000-0000-0000B1A90000}"/>
    <cellStyle name="Comma 7 5 2 4 2 2" xfId="47852" xr:uid="{00000000-0005-0000-0000-0000B2A90000}"/>
    <cellStyle name="Comma 7 5 2 4 2 3" xfId="47853" xr:uid="{00000000-0005-0000-0000-0000B3A90000}"/>
    <cellStyle name="Comma 7 5 2 4 3" xfId="47854" xr:uid="{00000000-0005-0000-0000-0000B4A90000}"/>
    <cellStyle name="Comma 7 5 2 4 3 2" xfId="47855" xr:uid="{00000000-0005-0000-0000-0000B5A90000}"/>
    <cellStyle name="Comma 7 5 2 4 4" xfId="47856" xr:uid="{00000000-0005-0000-0000-0000B6A90000}"/>
    <cellStyle name="Comma 7 5 2 4 5" xfId="47857" xr:uid="{00000000-0005-0000-0000-0000B7A90000}"/>
    <cellStyle name="Comma 7 5 2 5" xfId="47858" xr:uid="{00000000-0005-0000-0000-0000B8A90000}"/>
    <cellStyle name="Comma 7 5 2 5 2" xfId="47859" xr:uid="{00000000-0005-0000-0000-0000B9A90000}"/>
    <cellStyle name="Comma 7 5 2 5 3" xfId="47860" xr:uid="{00000000-0005-0000-0000-0000BAA90000}"/>
    <cellStyle name="Comma 7 5 2 6" xfId="47861" xr:uid="{00000000-0005-0000-0000-0000BBA90000}"/>
    <cellStyle name="Comma 7 5 2 6 2" xfId="47862" xr:uid="{00000000-0005-0000-0000-0000BCA90000}"/>
    <cellStyle name="Comma 7 5 2 6 3" xfId="47863" xr:uid="{00000000-0005-0000-0000-0000BDA90000}"/>
    <cellStyle name="Comma 7 5 2 7" xfId="47864" xr:uid="{00000000-0005-0000-0000-0000BEA90000}"/>
    <cellStyle name="Comma 7 5 2 7 2" xfId="47865" xr:uid="{00000000-0005-0000-0000-0000BFA90000}"/>
    <cellStyle name="Comma 7 5 2 8" xfId="47866" xr:uid="{00000000-0005-0000-0000-0000C0A90000}"/>
    <cellStyle name="Comma 7 5 2 9" xfId="47867" xr:uid="{00000000-0005-0000-0000-0000C1A90000}"/>
    <cellStyle name="Comma 7 5 3" xfId="9125" xr:uid="{00000000-0005-0000-0000-0000C2A90000}"/>
    <cellStyle name="Comma 7 5 3 2" xfId="9126" xr:uid="{00000000-0005-0000-0000-0000C3A90000}"/>
    <cellStyle name="Comma 7 5 3 2 2" xfId="47868" xr:uid="{00000000-0005-0000-0000-0000C4A90000}"/>
    <cellStyle name="Comma 7 5 3 2 3" xfId="47869" xr:uid="{00000000-0005-0000-0000-0000C5A90000}"/>
    <cellStyle name="Comma 7 5 3 3" xfId="47870" xr:uid="{00000000-0005-0000-0000-0000C6A90000}"/>
    <cellStyle name="Comma 7 5 3 3 2" xfId="47871" xr:uid="{00000000-0005-0000-0000-0000C7A90000}"/>
    <cellStyle name="Comma 7 5 3 3 3" xfId="47872" xr:uid="{00000000-0005-0000-0000-0000C8A90000}"/>
    <cellStyle name="Comma 7 5 3 4" xfId="47873" xr:uid="{00000000-0005-0000-0000-0000C9A90000}"/>
    <cellStyle name="Comma 7 5 3 4 2" xfId="47874" xr:uid="{00000000-0005-0000-0000-0000CAA90000}"/>
    <cellStyle name="Comma 7 5 3 5" xfId="47875" xr:uid="{00000000-0005-0000-0000-0000CBA90000}"/>
    <cellStyle name="Comma 7 5 3 6" xfId="47876" xr:uid="{00000000-0005-0000-0000-0000CCA90000}"/>
    <cellStyle name="Comma 7 5 4" xfId="9127" xr:uid="{00000000-0005-0000-0000-0000CDA90000}"/>
    <cellStyle name="Comma 7 5 4 2" xfId="47877" xr:uid="{00000000-0005-0000-0000-0000CEA90000}"/>
    <cellStyle name="Comma 7 5 4 2 2" xfId="47878" xr:uid="{00000000-0005-0000-0000-0000CFA90000}"/>
    <cellStyle name="Comma 7 5 4 2 3" xfId="47879" xr:uid="{00000000-0005-0000-0000-0000D0A90000}"/>
    <cellStyle name="Comma 7 5 4 3" xfId="47880" xr:uid="{00000000-0005-0000-0000-0000D1A90000}"/>
    <cellStyle name="Comma 7 5 4 3 2" xfId="47881" xr:uid="{00000000-0005-0000-0000-0000D2A90000}"/>
    <cellStyle name="Comma 7 5 4 3 3" xfId="47882" xr:uid="{00000000-0005-0000-0000-0000D3A90000}"/>
    <cellStyle name="Comma 7 5 4 4" xfId="47883" xr:uid="{00000000-0005-0000-0000-0000D4A90000}"/>
    <cellStyle name="Comma 7 5 4 4 2" xfId="47884" xr:uid="{00000000-0005-0000-0000-0000D5A90000}"/>
    <cellStyle name="Comma 7 5 4 5" xfId="47885" xr:uid="{00000000-0005-0000-0000-0000D6A90000}"/>
    <cellStyle name="Comma 7 5 4 6" xfId="47886" xr:uid="{00000000-0005-0000-0000-0000D7A90000}"/>
    <cellStyle name="Comma 7 5 5" xfId="9128" xr:uid="{00000000-0005-0000-0000-0000D8A90000}"/>
    <cellStyle name="Comma 7 5 5 2" xfId="47887" xr:uid="{00000000-0005-0000-0000-0000D9A90000}"/>
    <cellStyle name="Comma 7 5 5 2 2" xfId="47888" xr:uid="{00000000-0005-0000-0000-0000DAA90000}"/>
    <cellStyle name="Comma 7 5 5 2 3" xfId="47889" xr:uid="{00000000-0005-0000-0000-0000DBA90000}"/>
    <cellStyle name="Comma 7 5 5 3" xfId="47890" xr:uid="{00000000-0005-0000-0000-0000DCA90000}"/>
    <cellStyle name="Comma 7 5 5 3 2" xfId="47891" xr:uid="{00000000-0005-0000-0000-0000DDA90000}"/>
    <cellStyle name="Comma 7 5 5 4" xfId="47892" xr:uid="{00000000-0005-0000-0000-0000DEA90000}"/>
    <cellStyle name="Comma 7 5 5 5" xfId="47893" xr:uid="{00000000-0005-0000-0000-0000DFA90000}"/>
    <cellStyle name="Comma 7 5 6" xfId="47894" xr:uid="{00000000-0005-0000-0000-0000E0A90000}"/>
    <cellStyle name="Comma 7 5 6 2" xfId="47895" xr:uid="{00000000-0005-0000-0000-0000E1A90000}"/>
    <cellStyle name="Comma 7 5 6 3" xfId="47896" xr:uid="{00000000-0005-0000-0000-0000E2A90000}"/>
    <cellStyle name="Comma 7 5 7" xfId="47897" xr:uid="{00000000-0005-0000-0000-0000E3A90000}"/>
    <cellStyle name="Comma 7 5 7 2" xfId="47898" xr:uid="{00000000-0005-0000-0000-0000E4A90000}"/>
    <cellStyle name="Comma 7 5 7 3" xfId="47899" xr:uid="{00000000-0005-0000-0000-0000E5A90000}"/>
    <cellStyle name="Comma 7 5 8" xfId="47900" xr:uid="{00000000-0005-0000-0000-0000E6A90000}"/>
    <cellStyle name="Comma 7 5 8 2" xfId="47901" xr:uid="{00000000-0005-0000-0000-0000E7A90000}"/>
    <cellStyle name="Comma 7 5 9" xfId="47902" xr:uid="{00000000-0005-0000-0000-0000E8A90000}"/>
    <cellStyle name="Comma 7 6" xfId="3721" xr:uid="{00000000-0005-0000-0000-0000E9A90000}"/>
    <cellStyle name="Comma 7 6 2" xfId="3722" xr:uid="{00000000-0005-0000-0000-0000EAA90000}"/>
    <cellStyle name="Comma 7 6 2 2" xfId="9129" xr:uid="{00000000-0005-0000-0000-0000EBA90000}"/>
    <cellStyle name="Comma 7 6 2 2 2" xfId="9130" xr:uid="{00000000-0005-0000-0000-0000ECA90000}"/>
    <cellStyle name="Comma 7 6 2 2 3" xfId="47903" xr:uid="{00000000-0005-0000-0000-0000EDA90000}"/>
    <cellStyle name="Comma 7 6 2 3" xfId="9131" xr:uid="{00000000-0005-0000-0000-0000EEA90000}"/>
    <cellStyle name="Comma 7 6 2 3 2" xfId="47904" xr:uid="{00000000-0005-0000-0000-0000EFA90000}"/>
    <cellStyle name="Comma 7 6 2 3 3" xfId="47905" xr:uid="{00000000-0005-0000-0000-0000F0A90000}"/>
    <cellStyle name="Comma 7 6 2 4" xfId="9132" xr:uid="{00000000-0005-0000-0000-0000F1A90000}"/>
    <cellStyle name="Comma 7 6 2 4 2" xfId="47906" xr:uid="{00000000-0005-0000-0000-0000F2A90000}"/>
    <cellStyle name="Comma 7 6 2 5" xfId="47907" xr:uid="{00000000-0005-0000-0000-0000F3A90000}"/>
    <cellStyle name="Comma 7 6 2 6" xfId="47908" xr:uid="{00000000-0005-0000-0000-0000F4A90000}"/>
    <cellStyle name="Comma 7 6 3" xfId="9133" xr:uid="{00000000-0005-0000-0000-0000F5A90000}"/>
    <cellStyle name="Comma 7 6 3 2" xfId="9134" xr:uid="{00000000-0005-0000-0000-0000F6A90000}"/>
    <cellStyle name="Comma 7 6 3 2 2" xfId="47909" xr:uid="{00000000-0005-0000-0000-0000F7A90000}"/>
    <cellStyle name="Comma 7 6 3 2 3" xfId="47910" xr:uid="{00000000-0005-0000-0000-0000F8A90000}"/>
    <cellStyle name="Comma 7 6 3 3" xfId="47911" xr:uid="{00000000-0005-0000-0000-0000F9A90000}"/>
    <cellStyle name="Comma 7 6 3 3 2" xfId="47912" xr:uid="{00000000-0005-0000-0000-0000FAA90000}"/>
    <cellStyle name="Comma 7 6 3 3 3" xfId="47913" xr:uid="{00000000-0005-0000-0000-0000FBA90000}"/>
    <cellStyle name="Comma 7 6 3 4" xfId="47914" xr:uid="{00000000-0005-0000-0000-0000FCA90000}"/>
    <cellStyle name="Comma 7 6 3 4 2" xfId="47915" xr:uid="{00000000-0005-0000-0000-0000FDA90000}"/>
    <cellStyle name="Comma 7 6 3 5" xfId="47916" xr:uid="{00000000-0005-0000-0000-0000FEA90000}"/>
    <cellStyle name="Comma 7 6 3 6" xfId="47917" xr:uid="{00000000-0005-0000-0000-0000FFA90000}"/>
    <cellStyle name="Comma 7 6 4" xfId="9135" xr:uid="{00000000-0005-0000-0000-000000AA0000}"/>
    <cellStyle name="Comma 7 6 4 2" xfId="47918" xr:uid="{00000000-0005-0000-0000-000001AA0000}"/>
    <cellStyle name="Comma 7 6 4 2 2" xfId="47919" xr:uid="{00000000-0005-0000-0000-000002AA0000}"/>
    <cellStyle name="Comma 7 6 4 2 3" xfId="47920" xr:uid="{00000000-0005-0000-0000-000003AA0000}"/>
    <cellStyle name="Comma 7 6 4 3" xfId="47921" xr:uid="{00000000-0005-0000-0000-000004AA0000}"/>
    <cellStyle name="Comma 7 6 4 3 2" xfId="47922" xr:uid="{00000000-0005-0000-0000-000005AA0000}"/>
    <cellStyle name="Comma 7 6 4 4" xfId="47923" xr:uid="{00000000-0005-0000-0000-000006AA0000}"/>
    <cellStyle name="Comma 7 6 4 5" xfId="47924" xr:uid="{00000000-0005-0000-0000-000007AA0000}"/>
    <cellStyle name="Comma 7 6 5" xfId="9136" xr:uid="{00000000-0005-0000-0000-000008AA0000}"/>
    <cellStyle name="Comma 7 6 5 2" xfId="47925" xr:uid="{00000000-0005-0000-0000-000009AA0000}"/>
    <cellStyle name="Comma 7 6 5 3" xfId="47926" xr:uid="{00000000-0005-0000-0000-00000AAA0000}"/>
    <cellStyle name="Comma 7 6 6" xfId="47927" xr:uid="{00000000-0005-0000-0000-00000BAA0000}"/>
    <cellStyle name="Comma 7 6 6 2" xfId="47928" xr:uid="{00000000-0005-0000-0000-00000CAA0000}"/>
    <cellStyle name="Comma 7 6 6 3" xfId="47929" xr:uid="{00000000-0005-0000-0000-00000DAA0000}"/>
    <cellStyle name="Comma 7 6 7" xfId="47930" xr:uid="{00000000-0005-0000-0000-00000EAA0000}"/>
    <cellStyle name="Comma 7 6 7 2" xfId="47931" xr:uid="{00000000-0005-0000-0000-00000FAA0000}"/>
    <cellStyle name="Comma 7 6 8" xfId="47932" xr:uid="{00000000-0005-0000-0000-000010AA0000}"/>
    <cellStyle name="Comma 7 6 9" xfId="47933" xr:uid="{00000000-0005-0000-0000-000011AA0000}"/>
    <cellStyle name="Comma 7 7" xfId="3723" xr:uid="{00000000-0005-0000-0000-000012AA0000}"/>
    <cellStyle name="Comma 7 7 2" xfId="9137" xr:uid="{00000000-0005-0000-0000-000013AA0000}"/>
    <cellStyle name="Comma 7 7 2 2" xfId="9138" xr:uid="{00000000-0005-0000-0000-000014AA0000}"/>
    <cellStyle name="Comma 7 7 2 2 2" xfId="47934" xr:uid="{00000000-0005-0000-0000-000015AA0000}"/>
    <cellStyle name="Comma 7 7 2 2 3" xfId="47935" xr:uid="{00000000-0005-0000-0000-000016AA0000}"/>
    <cellStyle name="Comma 7 7 2 3" xfId="47936" xr:uid="{00000000-0005-0000-0000-000017AA0000}"/>
    <cellStyle name="Comma 7 7 2 3 2" xfId="47937" xr:uid="{00000000-0005-0000-0000-000018AA0000}"/>
    <cellStyle name="Comma 7 7 2 3 3" xfId="47938" xr:uid="{00000000-0005-0000-0000-000019AA0000}"/>
    <cellStyle name="Comma 7 7 2 4" xfId="47939" xr:uid="{00000000-0005-0000-0000-00001AAA0000}"/>
    <cellStyle name="Comma 7 7 2 4 2" xfId="47940" xr:uid="{00000000-0005-0000-0000-00001BAA0000}"/>
    <cellStyle name="Comma 7 7 2 5" xfId="47941" xr:uid="{00000000-0005-0000-0000-00001CAA0000}"/>
    <cellStyle name="Comma 7 7 2 6" xfId="47942" xr:uid="{00000000-0005-0000-0000-00001DAA0000}"/>
    <cellStyle name="Comma 7 7 3" xfId="9139" xr:uid="{00000000-0005-0000-0000-00001EAA0000}"/>
    <cellStyle name="Comma 7 7 3 2" xfId="47943" xr:uid="{00000000-0005-0000-0000-00001FAA0000}"/>
    <cellStyle name="Comma 7 7 3 2 2" xfId="47944" xr:uid="{00000000-0005-0000-0000-000020AA0000}"/>
    <cellStyle name="Comma 7 7 3 2 3" xfId="47945" xr:uid="{00000000-0005-0000-0000-000021AA0000}"/>
    <cellStyle name="Comma 7 7 3 3" xfId="47946" xr:uid="{00000000-0005-0000-0000-000022AA0000}"/>
    <cellStyle name="Comma 7 7 3 3 2" xfId="47947" xr:uid="{00000000-0005-0000-0000-000023AA0000}"/>
    <cellStyle name="Comma 7 7 3 3 3" xfId="47948" xr:uid="{00000000-0005-0000-0000-000024AA0000}"/>
    <cellStyle name="Comma 7 7 3 4" xfId="47949" xr:uid="{00000000-0005-0000-0000-000025AA0000}"/>
    <cellStyle name="Comma 7 7 3 4 2" xfId="47950" xr:uid="{00000000-0005-0000-0000-000026AA0000}"/>
    <cellStyle name="Comma 7 7 3 5" xfId="47951" xr:uid="{00000000-0005-0000-0000-000027AA0000}"/>
    <cellStyle name="Comma 7 7 3 6" xfId="47952" xr:uid="{00000000-0005-0000-0000-000028AA0000}"/>
    <cellStyle name="Comma 7 7 4" xfId="9140" xr:uid="{00000000-0005-0000-0000-000029AA0000}"/>
    <cellStyle name="Comma 7 7 4 2" xfId="47953" xr:uid="{00000000-0005-0000-0000-00002AAA0000}"/>
    <cellStyle name="Comma 7 7 4 2 2" xfId="47954" xr:uid="{00000000-0005-0000-0000-00002BAA0000}"/>
    <cellStyle name="Comma 7 7 4 2 3" xfId="47955" xr:uid="{00000000-0005-0000-0000-00002CAA0000}"/>
    <cellStyle name="Comma 7 7 4 3" xfId="47956" xr:uid="{00000000-0005-0000-0000-00002DAA0000}"/>
    <cellStyle name="Comma 7 7 4 3 2" xfId="47957" xr:uid="{00000000-0005-0000-0000-00002EAA0000}"/>
    <cellStyle name="Comma 7 7 4 4" xfId="47958" xr:uid="{00000000-0005-0000-0000-00002FAA0000}"/>
    <cellStyle name="Comma 7 7 4 5" xfId="47959" xr:uid="{00000000-0005-0000-0000-000030AA0000}"/>
    <cellStyle name="Comma 7 7 5" xfId="47960" xr:uid="{00000000-0005-0000-0000-000031AA0000}"/>
    <cellStyle name="Comma 7 7 5 2" xfId="47961" xr:uid="{00000000-0005-0000-0000-000032AA0000}"/>
    <cellStyle name="Comma 7 7 5 3" xfId="47962" xr:uid="{00000000-0005-0000-0000-000033AA0000}"/>
    <cellStyle name="Comma 7 7 6" xfId="47963" xr:uid="{00000000-0005-0000-0000-000034AA0000}"/>
    <cellStyle name="Comma 7 7 6 2" xfId="47964" xr:uid="{00000000-0005-0000-0000-000035AA0000}"/>
    <cellStyle name="Comma 7 7 6 3" xfId="47965" xr:uid="{00000000-0005-0000-0000-000036AA0000}"/>
    <cellStyle name="Comma 7 7 7" xfId="47966" xr:uid="{00000000-0005-0000-0000-000037AA0000}"/>
    <cellStyle name="Comma 7 7 7 2" xfId="47967" xr:uid="{00000000-0005-0000-0000-000038AA0000}"/>
    <cellStyle name="Comma 7 7 8" xfId="47968" xr:uid="{00000000-0005-0000-0000-000039AA0000}"/>
    <cellStyle name="Comma 7 7 9" xfId="47969" xr:uid="{00000000-0005-0000-0000-00003AAA0000}"/>
    <cellStyle name="Comma 7 8" xfId="3724" xr:uid="{00000000-0005-0000-0000-00003BAA0000}"/>
    <cellStyle name="Comma 7 8 2" xfId="9141" xr:uid="{00000000-0005-0000-0000-00003CAA0000}"/>
    <cellStyle name="Comma 7 8 2 2" xfId="47970" xr:uid="{00000000-0005-0000-0000-00003DAA0000}"/>
    <cellStyle name="Comma 7 8 2 3" xfId="47971" xr:uid="{00000000-0005-0000-0000-00003EAA0000}"/>
    <cellStyle name="Comma 7 8 3" xfId="9142" xr:uid="{00000000-0005-0000-0000-00003FAA0000}"/>
    <cellStyle name="Comma 7 8 3 2" xfId="47972" xr:uid="{00000000-0005-0000-0000-000040AA0000}"/>
    <cellStyle name="Comma 7 8 3 3" xfId="47973" xr:uid="{00000000-0005-0000-0000-000041AA0000}"/>
    <cellStyle name="Comma 7 8 4" xfId="47974" xr:uid="{00000000-0005-0000-0000-000042AA0000}"/>
    <cellStyle name="Comma 7 8 4 2" xfId="47975" xr:uid="{00000000-0005-0000-0000-000043AA0000}"/>
    <cellStyle name="Comma 7 8 5" xfId="47976" xr:uid="{00000000-0005-0000-0000-000044AA0000}"/>
    <cellStyle name="Comma 7 8 6" xfId="47977" xr:uid="{00000000-0005-0000-0000-000045AA0000}"/>
    <cellStyle name="Comma 7 9" xfId="9143" xr:uid="{00000000-0005-0000-0000-000046AA0000}"/>
    <cellStyle name="Comma 7 9 2" xfId="47978" xr:uid="{00000000-0005-0000-0000-000047AA0000}"/>
    <cellStyle name="Comma 7 9 2 2" xfId="47979" xr:uid="{00000000-0005-0000-0000-000048AA0000}"/>
    <cellStyle name="Comma 7 9 2 3" xfId="47980" xr:uid="{00000000-0005-0000-0000-000049AA0000}"/>
    <cellStyle name="Comma 7 9 3" xfId="47981" xr:uid="{00000000-0005-0000-0000-00004AAA0000}"/>
    <cellStyle name="Comma 7 9 3 2" xfId="47982" xr:uid="{00000000-0005-0000-0000-00004BAA0000}"/>
    <cellStyle name="Comma 7 9 3 3" xfId="47983" xr:uid="{00000000-0005-0000-0000-00004CAA0000}"/>
    <cellStyle name="Comma 7 9 4" xfId="47984" xr:uid="{00000000-0005-0000-0000-00004DAA0000}"/>
    <cellStyle name="Comma 7 9 4 2" xfId="47985" xr:uid="{00000000-0005-0000-0000-00004EAA0000}"/>
    <cellStyle name="Comma 7 9 5" xfId="47986" xr:uid="{00000000-0005-0000-0000-00004FAA0000}"/>
    <cellStyle name="Comma 7 9 6" xfId="47987" xr:uid="{00000000-0005-0000-0000-000050AA0000}"/>
    <cellStyle name="Comma 70" xfId="3725" xr:uid="{00000000-0005-0000-0000-000051AA0000}"/>
    <cellStyle name="Comma 71" xfId="3726" xr:uid="{00000000-0005-0000-0000-000052AA0000}"/>
    <cellStyle name="Comma 71 2" xfId="3727" xr:uid="{00000000-0005-0000-0000-000053AA0000}"/>
    <cellStyle name="Comma 72" xfId="3728" xr:uid="{00000000-0005-0000-0000-000054AA0000}"/>
    <cellStyle name="Comma 73" xfId="3729" xr:uid="{00000000-0005-0000-0000-000055AA0000}"/>
    <cellStyle name="Comma 73 2" xfId="3730" xr:uid="{00000000-0005-0000-0000-000056AA0000}"/>
    <cellStyle name="Comma 73 3" xfId="3731" xr:uid="{00000000-0005-0000-0000-000057AA0000}"/>
    <cellStyle name="Comma 74" xfId="3732" xr:uid="{00000000-0005-0000-0000-000058AA0000}"/>
    <cellStyle name="Comma 74 2" xfId="3733" xr:uid="{00000000-0005-0000-0000-000059AA0000}"/>
    <cellStyle name="Comma 74 3" xfId="3734" xr:uid="{00000000-0005-0000-0000-00005AAA0000}"/>
    <cellStyle name="Comma 75" xfId="3735" xr:uid="{00000000-0005-0000-0000-00005BAA0000}"/>
    <cellStyle name="Comma 76" xfId="3736" xr:uid="{00000000-0005-0000-0000-00005CAA0000}"/>
    <cellStyle name="Comma 77" xfId="3737" xr:uid="{00000000-0005-0000-0000-00005DAA0000}"/>
    <cellStyle name="Comma 78" xfId="3738" xr:uid="{00000000-0005-0000-0000-00005EAA0000}"/>
    <cellStyle name="Comma 79" xfId="3739" xr:uid="{00000000-0005-0000-0000-00005FAA0000}"/>
    <cellStyle name="Comma 8" xfId="3740" xr:uid="{00000000-0005-0000-0000-000060AA0000}"/>
    <cellStyle name="Comma 8 10" xfId="47988" xr:uid="{00000000-0005-0000-0000-000061AA0000}"/>
    <cellStyle name="Comma 8 10 2" xfId="47989" xr:uid="{00000000-0005-0000-0000-000062AA0000}"/>
    <cellStyle name="Comma 8 10 2 2" xfId="47990" xr:uid="{00000000-0005-0000-0000-000063AA0000}"/>
    <cellStyle name="Comma 8 10 2 3" xfId="47991" xr:uid="{00000000-0005-0000-0000-000064AA0000}"/>
    <cellStyle name="Comma 8 10 3" xfId="47992" xr:uid="{00000000-0005-0000-0000-000065AA0000}"/>
    <cellStyle name="Comma 8 10 3 2" xfId="47993" xr:uid="{00000000-0005-0000-0000-000066AA0000}"/>
    <cellStyle name="Comma 8 10 4" xfId="47994" xr:uid="{00000000-0005-0000-0000-000067AA0000}"/>
    <cellStyle name="Comma 8 10 5" xfId="47995" xr:uid="{00000000-0005-0000-0000-000068AA0000}"/>
    <cellStyle name="Comma 8 11" xfId="47996" xr:uid="{00000000-0005-0000-0000-000069AA0000}"/>
    <cellStyle name="Comma 8 11 2" xfId="47997" xr:uid="{00000000-0005-0000-0000-00006AAA0000}"/>
    <cellStyle name="Comma 8 11 3" xfId="47998" xr:uid="{00000000-0005-0000-0000-00006BAA0000}"/>
    <cellStyle name="Comma 8 12" xfId="47999" xr:uid="{00000000-0005-0000-0000-00006CAA0000}"/>
    <cellStyle name="Comma 8 12 2" xfId="48000" xr:uid="{00000000-0005-0000-0000-00006DAA0000}"/>
    <cellStyle name="Comma 8 12 3" xfId="48001" xr:uid="{00000000-0005-0000-0000-00006EAA0000}"/>
    <cellStyle name="Comma 8 13" xfId="48002" xr:uid="{00000000-0005-0000-0000-00006FAA0000}"/>
    <cellStyle name="Comma 8 13 2" xfId="48003" xr:uid="{00000000-0005-0000-0000-000070AA0000}"/>
    <cellStyle name="Comma 8 14" xfId="48004" xr:uid="{00000000-0005-0000-0000-000071AA0000}"/>
    <cellStyle name="Comma 8 15" xfId="48005" xr:uid="{00000000-0005-0000-0000-000072AA0000}"/>
    <cellStyle name="Comma 8 16" xfId="48006" xr:uid="{00000000-0005-0000-0000-000073AA0000}"/>
    <cellStyle name="Comma 8 2" xfId="3741" xr:uid="{00000000-0005-0000-0000-000074AA0000}"/>
    <cellStyle name="Comma 8 2 10" xfId="48007" xr:uid="{00000000-0005-0000-0000-000075AA0000}"/>
    <cellStyle name="Comma 8 2 10 2" xfId="48008" xr:uid="{00000000-0005-0000-0000-000076AA0000}"/>
    <cellStyle name="Comma 8 2 10 3" xfId="48009" xr:uid="{00000000-0005-0000-0000-000077AA0000}"/>
    <cellStyle name="Comma 8 2 11" xfId="48010" xr:uid="{00000000-0005-0000-0000-000078AA0000}"/>
    <cellStyle name="Comma 8 2 11 2" xfId="48011" xr:uid="{00000000-0005-0000-0000-000079AA0000}"/>
    <cellStyle name="Comma 8 2 11 3" xfId="48012" xr:uid="{00000000-0005-0000-0000-00007AAA0000}"/>
    <cellStyle name="Comma 8 2 12" xfId="48013" xr:uid="{00000000-0005-0000-0000-00007BAA0000}"/>
    <cellStyle name="Comma 8 2 12 2" xfId="48014" xr:uid="{00000000-0005-0000-0000-00007CAA0000}"/>
    <cellStyle name="Comma 8 2 13" xfId="48015" xr:uid="{00000000-0005-0000-0000-00007DAA0000}"/>
    <cellStyle name="Comma 8 2 14" xfId="48016" xr:uid="{00000000-0005-0000-0000-00007EAA0000}"/>
    <cellStyle name="Comma 8 2 15" xfId="48017" xr:uid="{00000000-0005-0000-0000-00007FAA0000}"/>
    <cellStyle name="Comma 8 2 2" xfId="3742" xr:uid="{00000000-0005-0000-0000-000080AA0000}"/>
    <cellStyle name="Comma 8 2 2 10" xfId="48018" xr:uid="{00000000-0005-0000-0000-000081AA0000}"/>
    <cellStyle name="Comma 8 2 2 10 2" xfId="48019" xr:uid="{00000000-0005-0000-0000-000082AA0000}"/>
    <cellStyle name="Comma 8 2 2 10 3" xfId="48020" xr:uid="{00000000-0005-0000-0000-000083AA0000}"/>
    <cellStyle name="Comma 8 2 2 11" xfId="48021" xr:uid="{00000000-0005-0000-0000-000084AA0000}"/>
    <cellStyle name="Comma 8 2 2 11 2" xfId="48022" xr:uid="{00000000-0005-0000-0000-000085AA0000}"/>
    <cellStyle name="Comma 8 2 2 12" xfId="48023" xr:uid="{00000000-0005-0000-0000-000086AA0000}"/>
    <cellStyle name="Comma 8 2 2 13" xfId="48024" xr:uid="{00000000-0005-0000-0000-000087AA0000}"/>
    <cellStyle name="Comma 8 2 2 14" xfId="48025" xr:uid="{00000000-0005-0000-0000-000088AA0000}"/>
    <cellStyle name="Comma 8 2 2 2" xfId="9144" xr:uid="{00000000-0005-0000-0000-000089AA0000}"/>
    <cellStyle name="Comma 8 2 2 2 10" xfId="48026" xr:uid="{00000000-0005-0000-0000-00008AAA0000}"/>
    <cellStyle name="Comma 8 2 2 2 10 2" xfId="48027" xr:uid="{00000000-0005-0000-0000-00008BAA0000}"/>
    <cellStyle name="Comma 8 2 2 2 11" xfId="48028" xr:uid="{00000000-0005-0000-0000-00008CAA0000}"/>
    <cellStyle name="Comma 8 2 2 2 12" xfId="48029" xr:uid="{00000000-0005-0000-0000-00008DAA0000}"/>
    <cellStyle name="Comma 8 2 2 2 13" xfId="48030" xr:uid="{00000000-0005-0000-0000-00008EAA0000}"/>
    <cellStyle name="Comma 8 2 2 2 2" xfId="48031" xr:uid="{00000000-0005-0000-0000-00008FAA0000}"/>
    <cellStyle name="Comma 8 2 2 2 2 10" xfId="48032" xr:uid="{00000000-0005-0000-0000-000090AA0000}"/>
    <cellStyle name="Comma 8 2 2 2 2 2" xfId="48033" xr:uid="{00000000-0005-0000-0000-000091AA0000}"/>
    <cellStyle name="Comma 8 2 2 2 2 2 2" xfId="48034" xr:uid="{00000000-0005-0000-0000-000092AA0000}"/>
    <cellStyle name="Comma 8 2 2 2 2 2 2 2" xfId="48035" xr:uid="{00000000-0005-0000-0000-000093AA0000}"/>
    <cellStyle name="Comma 8 2 2 2 2 2 2 2 2" xfId="48036" xr:uid="{00000000-0005-0000-0000-000094AA0000}"/>
    <cellStyle name="Comma 8 2 2 2 2 2 2 2 3" xfId="48037" xr:uid="{00000000-0005-0000-0000-000095AA0000}"/>
    <cellStyle name="Comma 8 2 2 2 2 2 2 3" xfId="48038" xr:uid="{00000000-0005-0000-0000-000096AA0000}"/>
    <cellStyle name="Comma 8 2 2 2 2 2 2 3 2" xfId="48039" xr:uid="{00000000-0005-0000-0000-000097AA0000}"/>
    <cellStyle name="Comma 8 2 2 2 2 2 2 3 3" xfId="48040" xr:uid="{00000000-0005-0000-0000-000098AA0000}"/>
    <cellStyle name="Comma 8 2 2 2 2 2 2 4" xfId="48041" xr:uid="{00000000-0005-0000-0000-000099AA0000}"/>
    <cellStyle name="Comma 8 2 2 2 2 2 2 4 2" xfId="48042" xr:uid="{00000000-0005-0000-0000-00009AAA0000}"/>
    <cellStyle name="Comma 8 2 2 2 2 2 2 5" xfId="48043" xr:uid="{00000000-0005-0000-0000-00009BAA0000}"/>
    <cellStyle name="Comma 8 2 2 2 2 2 2 6" xfId="48044" xr:uid="{00000000-0005-0000-0000-00009CAA0000}"/>
    <cellStyle name="Comma 8 2 2 2 2 2 3" xfId="48045" xr:uid="{00000000-0005-0000-0000-00009DAA0000}"/>
    <cellStyle name="Comma 8 2 2 2 2 2 3 2" xfId="48046" xr:uid="{00000000-0005-0000-0000-00009EAA0000}"/>
    <cellStyle name="Comma 8 2 2 2 2 2 3 2 2" xfId="48047" xr:uid="{00000000-0005-0000-0000-00009FAA0000}"/>
    <cellStyle name="Comma 8 2 2 2 2 2 3 2 3" xfId="48048" xr:uid="{00000000-0005-0000-0000-0000A0AA0000}"/>
    <cellStyle name="Comma 8 2 2 2 2 2 3 3" xfId="48049" xr:uid="{00000000-0005-0000-0000-0000A1AA0000}"/>
    <cellStyle name="Comma 8 2 2 2 2 2 3 3 2" xfId="48050" xr:uid="{00000000-0005-0000-0000-0000A2AA0000}"/>
    <cellStyle name="Comma 8 2 2 2 2 2 3 3 3" xfId="48051" xr:uid="{00000000-0005-0000-0000-0000A3AA0000}"/>
    <cellStyle name="Comma 8 2 2 2 2 2 3 4" xfId="48052" xr:uid="{00000000-0005-0000-0000-0000A4AA0000}"/>
    <cellStyle name="Comma 8 2 2 2 2 2 3 4 2" xfId="48053" xr:uid="{00000000-0005-0000-0000-0000A5AA0000}"/>
    <cellStyle name="Comma 8 2 2 2 2 2 3 5" xfId="48054" xr:uid="{00000000-0005-0000-0000-0000A6AA0000}"/>
    <cellStyle name="Comma 8 2 2 2 2 2 3 6" xfId="48055" xr:uid="{00000000-0005-0000-0000-0000A7AA0000}"/>
    <cellStyle name="Comma 8 2 2 2 2 2 4" xfId="48056" xr:uid="{00000000-0005-0000-0000-0000A8AA0000}"/>
    <cellStyle name="Comma 8 2 2 2 2 2 4 2" xfId="48057" xr:uid="{00000000-0005-0000-0000-0000A9AA0000}"/>
    <cellStyle name="Comma 8 2 2 2 2 2 4 2 2" xfId="48058" xr:uid="{00000000-0005-0000-0000-0000AAAA0000}"/>
    <cellStyle name="Comma 8 2 2 2 2 2 4 2 3" xfId="48059" xr:uid="{00000000-0005-0000-0000-0000ABAA0000}"/>
    <cellStyle name="Comma 8 2 2 2 2 2 4 3" xfId="48060" xr:uid="{00000000-0005-0000-0000-0000ACAA0000}"/>
    <cellStyle name="Comma 8 2 2 2 2 2 4 3 2" xfId="48061" xr:uid="{00000000-0005-0000-0000-0000ADAA0000}"/>
    <cellStyle name="Comma 8 2 2 2 2 2 4 4" xfId="48062" xr:uid="{00000000-0005-0000-0000-0000AEAA0000}"/>
    <cellStyle name="Comma 8 2 2 2 2 2 4 5" xfId="48063" xr:uid="{00000000-0005-0000-0000-0000AFAA0000}"/>
    <cellStyle name="Comma 8 2 2 2 2 2 5" xfId="48064" xr:uid="{00000000-0005-0000-0000-0000B0AA0000}"/>
    <cellStyle name="Comma 8 2 2 2 2 2 5 2" xfId="48065" xr:uid="{00000000-0005-0000-0000-0000B1AA0000}"/>
    <cellStyle name="Comma 8 2 2 2 2 2 5 3" xfId="48066" xr:uid="{00000000-0005-0000-0000-0000B2AA0000}"/>
    <cellStyle name="Comma 8 2 2 2 2 2 6" xfId="48067" xr:uid="{00000000-0005-0000-0000-0000B3AA0000}"/>
    <cellStyle name="Comma 8 2 2 2 2 2 6 2" xfId="48068" xr:uid="{00000000-0005-0000-0000-0000B4AA0000}"/>
    <cellStyle name="Comma 8 2 2 2 2 2 6 3" xfId="48069" xr:uid="{00000000-0005-0000-0000-0000B5AA0000}"/>
    <cellStyle name="Comma 8 2 2 2 2 2 7" xfId="48070" xr:uid="{00000000-0005-0000-0000-0000B6AA0000}"/>
    <cellStyle name="Comma 8 2 2 2 2 2 7 2" xfId="48071" xr:uid="{00000000-0005-0000-0000-0000B7AA0000}"/>
    <cellStyle name="Comma 8 2 2 2 2 2 8" xfId="48072" xr:uid="{00000000-0005-0000-0000-0000B8AA0000}"/>
    <cellStyle name="Comma 8 2 2 2 2 2 9" xfId="48073" xr:uid="{00000000-0005-0000-0000-0000B9AA0000}"/>
    <cellStyle name="Comma 8 2 2 2 2 3" xfId="48074" xr:uid="{00000000-0005-0000-0000-0000BAAA0000}"/>
    <cellStyle name="Comma 8 2 2 2 2 3 2" xfId="48075" xr:uid="{00000000-0005-0000-0000-0000BBAA0000}"/>
    <cellStyle name="Comma 8 2 2 2 2 3 2 2" xfId="48076" xr:uid="{00000000-0005-0000-0000-0000BCAA0000}"/>
    <cellStyle name="Comma 8 2 2 2 2 3 2 3" xfId="48077" xr:uid="{00000000-0005-0000-0000-0000BDAA0000}"/>
    <cellStyle name="Comma 8 2 2 2 2 3 3" xfId="48078" xr:uid="{00000000-0005-0000-0000-0000BEAA0000}"/>
    <cellStyle name="Comma 8 2 2 2 2 3 3 2" xfId="48079" xr:uid="{00000000-0005-0000-0000-0000BFAA0000}"/>
    <cellStyle name="Comma 8 2 2 2 2 3 3 3" xfId="48080" xr:uid="{00000000-0005-0000-0000-0000C0AA0000}"/>
    <cellStyle name="Comma 8 2 2 2 2 3 4" xfId="48081" xr:uid="{00000000-0005-0000-0000-0000C1AA0000}"/>
    <cellStyle name="Comma 8 2 2 2 2 3 4 2" xfId="48082" xr:uid="{00000000-0005-0000-0000-0000C2AA0000}"/>
    <cellStyle name="Comma 8 2 2 2 2 3 5" xfId="48083" xr:uid="{00000000-0005-0000-0000-0000C3AA0000}"/>
    <cellStyle name="Comma 8 2 2 2 2 3 6" xfId="48084" xr:uid="{00000000-0005-0000-0000-0000C4AA0000}"/>
    <cellStyle name="Comma 8 2 2 2 2 4" xfId="48085" xr:uid="{00000000-0005-0000-0000-0000C5AA0000}"/>
    <cellStyle name="Comma 8 2 2 2 2 4 2" xfId="48086" xr:uid="{00000000-0005-0000-0000-0000C6AA0000}"/>
    <cellStyle name="Comma 8 2 2 2 2 4 2 2" xfId="48087" xr:uid="{00000000-0005-0000-0000-0000C7AA0000}"/>
    <cellStyle name="Comma 8 2 2 2 2 4 2 3" xfId="48088" xr:uid="{00000000-0005-0000-0000-0000C8AA0000}"/>
    <cellStyle name="Comma 8 2 2 2 2 4 3" xfId="48089" xr:uid="{00000000-0005-0000-0000-0000C9AA0000}"/>
    <cellStyle name="Comma 8 2 2 2 2 4 3 2" xfId="48090" xr:uid="{00000000-0005-0000-0000-0000CAAA0000}"/>
    <cellStyle name="Comma 8 2 2 2 2 4 3 3" xfId="48091" xr:uid="{00000000-0005-0000-0000-0000CBAA0000}"/>
    <cellStyle name="Comma 8 2 2 2 2 4 4" xfId="48092" xr:uid="{00000000-0005-0000-0000-0000CCAA0000}"/>
    <cellStyle name="Comma 8 2 2 2 2 4 4 2" xfId="48093" xr:uid="{00000000-0005-0000-0000-0000CDAA0000}"/>
    <cellStyle name="Comma 8 2 2 2 2 4 5" xfId="48094" xr:uid="{00000000-0005-0000-0000-0000CEAA0000}"/>
    <cellStyle name="Comma 8 2 2 2 2 4 6" xfId="48095" xr:uid="{00000000-0005-0000-0000-0000CFAA0000}"/>
    <cellStyle name="Comma 8 2 2 2 2 5" xfId="48096" xr:uid="{00000000-0005-0000-0000-0000D0AA0000}"/>
    <cellStyle name="Comma 8 2 2 2 2 5 2" xfId="48097" xr:uid="{00000000-0005-0000-0000-0000D1AA0000}"/>
    <cellStyle name="Comma 8 2 2 2 2 5 2 2" xfId="48098" xr:uid="{00000000-0005-0000-0000-0000D2AA0000}"/>
    <cellStyle name="Comma 8 2 2 2 2 5 2 3" xfId="48099" xr:uid="{00000000-0005-0000-0000-0000D3AA0000}"/>
    <cellStyle name="Comma 8 2 2 2 2 5 3" xfId="48100" xr:uid="{00000000-0005-0000-0000-0000D4AA0000}"/>
    <cellStyle name="Comma 8 2 2 2 2 5 3 2" xfId="48101" xr:uid="{00000000-0005-0000-0000-0000D5AA0000}"/>
    <cellStyle name="Comma 8 2 2 2 2 5 4" xfId="48102" xr:uid="{00000000-0005-0000-0000-0000D6AA0000}"/>
    <cellStyle name="Comma 8 2 2 2 2 5 5" xfId="48103" xr:uid="{00000000-0005-0000-0000-0000D7AA0000}"/>
    <cellStyle name="Comma 8 2 2 2 2 6" xfId="48104" xr:uid="{00000000-0005-0000-0000-0000D8AA0000}"/>
    <cellStyle name="Comma 8 2 2 2 2 6 2" xfId="48105" xr:uid="{00000000-0005-0000-0000-0000D9AA0000}"/>
    <cellStyle name="Comma 8 2 2 2 2 6 3" xfId="48106" xr:uid="{00000000-0005-0000-0000-0000DAAA0000}"/>
    <cellStyle name="Comma 8 2 2 2 2 7" xfId="48107" xr:uid="{00000000-0005-0000-0000-0000DBAA0000}"/>
    <cellStyle name="Comma 8 2 2 2 2 7 2" xfId="48108" xr:uid="{00000000-0005-0000-0000-0000DCAA0000}"/>
    <cellStyle name="Comma 8 2 2 2 2 7 3" xfId="48109" xr:uid="{00000000-0005-0000-0000-0000DDAA0000}"/>
    <cellStyle name="Comma 8 2 2 2 2 8" xfId="48110" xr:uid="{00000000-0005-0000-0000-0000DEAA0000}"/>
    <cellStyle name="Comma 8 2 2 2 2 8 2" xfId="48111" xr:uid="{00000000-0005-0000-0000-0000DFAA0000}"/>
    <cellStyle name="Comma 8 2 2 2 2 9" xfId="48112" xr:uid="{00000000-0005-0000-0000-0000E0AA0000}"/>
    <cellStyle name="Comma 8 2 2 2 3" xfId="48113" xr:uid="{00000000-0005-0000-0000-0000E1AA0000}"/>
    <cellStyle name="Comma 8 2 2 2 3 2" xfId="48114" xr:uid="{00000000-0005-0000-0000-0000E2AA0000}"/>
    <cellStyle name="Comma 8 2 2 2 3 2 2" xfId="48115" xr:uid="{00000000-0005-0000-0000-0000E3AA0000}"/>
    <cellStyle name="Comma 8 2 2 2 3 2 2 2" xfId="48116" xr:uid="{00000000-0005-0000-0000-0000E4AA0000}"/>
    <cellStyle name="Comma 8 2 2 2 3 2 2 3" xfId="48117" xr:uid="{00000000-0005-0000-0000-0000E5AA0000}"/>
    <cellStyle name="Comma 8 2 2 2 3 2 3" xfId="48118" xr:uid="{00000000-0005-0000-0000-0000E6AA0000}"/>
    <cellStyle name="Comma 8 2 2 2 3 2 3 2" xfId="48119" xr:uid="{00000000-0005-0000-0000-0000E7AA0000}"/>
    <cellStyle name="Comma 8 2 2 2 3 2 3 3" xfId="48120" xr:uid="{00000000-0005-0000-0000-0000E8AA0000}"/>
    <cellStyle name="Comma 8 2 2 2 3 2 4" xfId="48121" xr:uid="{00000000-0005-0000-0000-0000E9AA0000}"/>
    <cellStyle name="Comma 8 2 2 2 3 2 4 2" xfId="48122" xr:uid="{00000000-0005-0000-0000-0000EAAA0000}"/>
    <cellStyle name="Comma 8 2 2 2 3 2 5" xfId="48123" xr:uid="{00000000-0005-0000-0000-0000EBAA0000}"/>
    <cellStyle name="Comma 8 2 2 2 3 2 6" xfId="48124" xr:uid="{00000000-0005-0000-0000-0000ECAA0000}"/>
    <cellStyle name="Comma 8 2 2 2 3 3" xfId="48125" xr:uid="{00000000-0005-0000-0000-0000EDAA0000}"/>
    <cellStyle name="Comma 8 2 2 2 3 3 2" xfId="48126" xr:uid="{00000000-0005-0000-0000-0000EEAA0000}"/>
    <cellStyle name="Comma 8 2 2 2 3 3 2 2" xfId="48127" xr:uid="{00000000-0005-0000-0000-0000EFAA0000}"/>
    <cellStyle name="Comma 8 2 2 2 3 3 2 3" xfId="48128" xr:uid="{00000000-0005-0000-0000-0000F0AA0000}"/>
    <cellStyle name="Comma 8 2 2 2 3 3 3" xfId="48129" xr:uid="{00000000-0005-0000-0000-0000F1AA0000}"/>
    <cellStyle name="Comma 8 2 2 2 3 3 3 2" xfId="48130" xr:uid="{00000000-0005-0000-0000-0000F2AA0000}"/>
    <cellStyle name="Comma 8 2 2 2 3 3 3 3" xfId="48131" xr:uid="{00000000-0005-0000-0000-0000F3AA0000}"/>
    <cellStyle name="Comma 8 2 2 2 3 3 4" xfId="48132" xr:uid="{00000000-0005-0000-0000-0000F4AA0000}"/>
    <cellStyle name="Comma 8 2 2 2 3 3 4 2" xfId="48133" xr:uid="{00000000-0005-0000-0000-0000F5AA0000}"/>
    <cellStyle name="Comma 8 2 2 2 3 3 5" xfId="48134" xr:uid="{00000000-0005-0000-0000-0000F6AA0000}"/>
    <cellStyle name="Comma 8 2 2 2 3 3 6" xfId="48135" xr:uid="{00000000-0005-0000-0000-0000F7AA0000}"/>
    <cellStyle name="Comma 8 2 2 2 3 4" xfId="48136" xr:uid="{00000000-0005-0000-0000-0000F8AA0000}"/>
    <cellStyle name="Comma 8 2 2 2 3 4 2" xfId="48137" xr:uid="{00000000-0005-0000-0000-0000F9AA0000}"/>
    <cellStyle name="Comma 8 2 2 2 3 4 2 2" xfId="48138" xr:uid="{00000000-0005-0000-0000-0000FAAA0000}"/>
    <cellStyle name="Comma 8 2 2 2 3 4 2 3" xfId="48139" xr:uid="{00000000-0005-0000-0000-0000FBAA0000}"/>
    <cellStyle name="Comma 8 2 2 2 3 4 3" xfId="48140" xr:uid="{00000000-0005-0000-0000-0000FCAA0000}"/>
    <cellStyle name="Comma 8 2 2 2 3 4 3 2" xfId="48141" xr:uid="{00000000-0005-0000-0000-0000FDAA0000}"/>
    <cellStyle name="Comma 8 2 2 2 3 4 4" xfId="48142" xr:uid="{00000000-0005-0000-0000-0000FEAA0000}"/>
    <cellStyle name="Comma 8 2 2 2 3 4 5" xfId="48143" xr:uid="{00000000-0005-0000-0000-0000FFAA0000}"/>
    <cellStyle name="Comma 8 2 2 2 3 5" xfId="48144" xr:uid="{00000000-0005-0000-0000-000000AB0000}"/>
    <cellStyle name="Comma 8 2 2 2 3 5 2" xfId="48145" xr:uid="{00000000-0005-0000-0000-000001AB0000}"/>
    <cellStyle name="Comma 8 2 2 2 3 5 3" xfId="48146" xr:uid="{00000000-0005-0000-0000-000002AB0000}"/>
    <cellStyle name="Comma 8 2 2 2 3 6" xfId="48147" xr:uid="{00000000-0005-0000-0000-000003AB0000}"/>
    <cellStyle name="Comma 8 2 2 2 3 6 2" xfId="48148" xr:uid="{00000000-0005-0000-0000-000004AB0000}"/>
    <cellStyle name="Comma 8 2 2 2 3 6 3" xfId="48149" xr:uid="{00000000-0005-0000-0000-000005AB0000}"/>
    <cellStyle name="Comma 8 2 2 2 3 7" xfId="48150" xr:uid="{00000000-0005-0000-0000-000006AB0000}"/>
    <cellStyle name="Comma 8 2 2 2 3 7 2" xfId="48151" xr:uid="{00000000-0005-0000-0000-000007AB0000}"/>
    <cellStyle name="Comma 8 2 2 2 3 8" xfId="48152" xr:uid="{00000000-0005-0000-0000-000008AB0000}"/>
    <cellStyle name="Comma 8 2 2 2 3 9" xfId="48153" xr:uid="{00000000-0005-0000-0000-000009AB0000}"/>
    <cellStyle name="Comma 8 2 2 2 4" xfId="48154" xr:uid="{00000000-0005-0000-0000-00000AAB0000}"/>
    <cellStyle name="Comma 8 2 2 2 4 2" xfId="48155" xr:uid="{00000000-0005-0000-0000-00000BAB0000}"/>
    <cellStyle name="Comma 8 2 2 2 4 2 2" xfId="48156" xr:uid="{00000000-0005-0000-0000-00000CAB0000}"/>
    <cellStyle name="Comma 8 2 2 2 4 2 2 2" xfId="48157" xr:uid="{00000000-0005-0000-0000-00000DAB0000}"/>
    <cellStyle name="Comma 8 2 2 2 4 2 2 3" xfId="48158" xr:uid="{00000000-0005-0000-0000-00000EAB0000}"/>
    <cellStyle name="Comma 8 2 2 2 4 2 3" xfId="48159" xr:uid="{00000000-0005-0000-0000-00000FAB0000}"/>
    <cellStyle name="Comma 8 2 2 2 4 2 3 2" xfId="48160" xr:uid="{00000000-0005-0000-0000-000010AB0000}"/>
    <cellStyle name="Comma 8 2 2 2 4 2 3 3" xfId="48161" xr:uid="{00000000-0005-0000-0000-000011AB0000}"/>
    <cellStyle name="Comma 8 2 2 2 4 2 4" xfId="48162" xr:uid="{00000000-0005-0000-0000-000012AB0000}"/>
    <cellStyle name="Comma 8 2 2 2 4 2 4 2" xfId="48163" xr:uid="{00000000-0005-0000-0000-000013AB0000}"/>
    <cellStyle name="Comma 8 2 2 2 4 2 5" xfId="48164" xr:uid="{00000000-0005-0000-0000-000014AB0000}"/>
    <cellStyle name="Comma 8 2 2 2 4 2 6" xfId="48165" xr:uid="{00000000-0005-0000-0000-000015AB0000}"/>
    <cellStyle name="Comma 8 2 2 2 4 3" xfId="48166" xr:uid="{00000000-0005-0000-0000-000016AB0000}"/>
    <cellStyle name="Comma 8 2 2 2 4 3 2" xfId="48167" xr:uid="{00000000-0005-0000-0000-000017AB0000}"/>
    <cellStyle name="Comma 8 2 2 2 4 3 2 2" xfId="48168" xr:uid="{00000000-0005-0000-0000-000018AB0000}"/>
    <cellStyle name="Comma 8 2 2 2 4 3 2 3" xfId="48169" xr:uid="{00000000-0005-0000-0000-000019AB0000}"/>
    <cellStyle name="Comma 8 2 2 2 4 3 3" xfId="48170" xr:uid="{00000000-0005-0000-0000-00001AAB0000}"/>
    <cellStyle name="Comma 8 2 2 2 4 3 3 2" xfId="48171" xr:uid="{00000000-0005-0000-0000-00001BAB0000}"/>
    <cellStyle name="Comma 8 2 2 2 4 3 3 3" xfId="48172" xr:uid="{00000000-0005-0000-0000-00001CAB0000}"/>
    <cellStyle name="Comma 8 2 2 2 4 3 4" xfId="48173" xr:uid="{00000000-0005-0000-0000-00001DAB0000}"/>
    <cellStyle name="Comma 8 2 2 2 4 3 4 2" xfId="48174" xr:uid="{00000000-0005-0000-0000-00001EAB0000}"/>
    <cellStyle name="Comma 8 2 2 2 4 3 5" xfId="48175" xr:uid="{00000000-0005-0000-0000-00001FAB0000}"/>
    <cellStyle name="Comma 8 2 2 2 4 3 6" xfId="48176" xr:uid="{00000000-0005-0000-0000-000020AB0000}"/>
    <cellStyle name="Comma 8 2 2 2 4 4" xfId="48177" xr:uid="{00000000-0005-0000-0000-000021AB0000}"/>
    <cellStyle name="Comma 8 2 2 2 4 4 2" xfId="48178" xr:uid="{00000000-0005-0000-0000-000022AB0000}"/>
    <cellStyle name="Comma 8 2 2 2 4 4 2 2" xfId="48179" xr:uid="{00000000-0005-0000-0000-000023AB0000}"/>
    <cellStyle name="Comma 8 2 2 2 4 4 2 3" xfId="48180" xr:uid="{00000000-0005-0000-0000-000024AB0000}"/>
    <cellStyle name="Comma 8 2 2 2 4 4 3" xfId="48181" xr:uid="{00000000-0005-0000-0000-000025AB0000}"/>
    <cellStyle name="Comma 8 2 2 2 4 4 3 2" xfId="48182" xr:uid="{00000000-0005-0000-0000-000026AB0000}"/>
    <cellStyle name="Comma 8 2 2 2 4 4 4" xfId="48183" xr:uid="{00000000-0005-0000-0000-000027AB0000}"/>
    <cellStyle name="Comma 8 2 2 2 4 4 5" xfId="48184" xr:uid="{00000000-0005-0000-0000-000028AB0000}"/>
    <cellStyle name="Comma 8 2 2 2 4 5" xfId="48185" xr:uid="{00000000-0005-0000-0000-000029AB0000}"/>
    <cellStyle name="Comma 8 2 2 2 4 5 2" xfId="48186" xr:uid="{00000000-0005-0000-0000-00002AAB0000}"/>
    <cellStyle name="Comma 8 2 2 2 4 5 3" xfId="48187" xr:uid="{00000000-0005-0000-0000-00002BAB0000}"/>
    <cellStyle name="Comma 8 2 2 2 4 6" xfId="48188" xr:uid="{00000000-0005-0000-0000-00002CAB0000}"/>
    <cellStyle name="Comma 8 2 2 2 4 6 2" xfId="48189" xr:uid="{00000000-0005-0000-0000-00002DAB0000}"/>
    <cellStyle name="Comma 8 2 2 2 4 6 3" xfId="48190" xr:uid="{00000000-0005-0000-0000-00002EAB0000}"/>
    <cellStyle name="Comma 8 2 2 2 4 7" xfId="48191" xr:uid="{00000000-0005-0000-0000-00002FAB0000}"/>
    <cellStyle name="Comma 8 2 2 2 4 7 2" xfId="48192" xr:uid="{00000000-0005-0000-0000-000030AB0000}"/>
    <cellStyle name="Comma 8 2 2 2 4 8" xfId="48193" xr:uid="{00000000-0005-0000-0000-000031AB0000}"/>
    <cellStyle name="Comma 8 2 2 2 4 9" xfId="48194" xr:uid="{00000000-0005-0000-0000-000032AB0000}"/>
    <cellStyle name="Comma 8 2 2 2 5" xfId="48195" xr:uid="{00000000-0005-0000-0000-000033AB0000}"/>
    <cellStyle name="Comma 8 2 2 2 5 2" xfId="48196" xr:uid="{00000000-0005-0000-0000-000034AB0000}"/>
    <cellStyle name="Comma 8 2 2 2 5 2 2" xfId="48197" xr:uid="{00000000-0005-0000-0000-000035AB0000}"/>
    <cellStyle name="Comma 8 2 2 2 5 2 3" xfId="48198" xr:uid="{00000000-0005-0000-0000-000036AB0000}"/>
    <cellStyle name="Comma 8 2 2 2 5 3" xfId="48199" xr:uid="{00000000-0005-0000-0000-000037AB0000}"/>
    <cellStyle name="Comma 8 2 2 2 5 3 2" xfId="48200" xr:uid="{00000000-0005-0000-0000-000038AB0000}"/>
    <cellStyle name="Comma 8 2 2 2 5 3 3" xfId="48201" xr:uid="{00000000-0005-0000-0000-000039AB0000}"/>
    <cellStyle name="Comma 8 2 2 2 5 4" xfId="48202" xr:uid="{00000000-0005-0000-0000-00003AAB0000}"/>
    <cellStyle name="Comma 8 2 2 2 5 4 2" xfId="48203" xr:uid="{00000000-0005-0000-0000-00003BAB0000}"/>
    <cellStyle name="Comma 8 2 2 2 5 5" xfId="48204" xr:uid="{00000000-0005-0000-0000-00003CAB0000}"/>
    <cellStyle name="Comma 8 2 2 2 5 6" xfId="48205" xr:uid="{00000000-0005-0000-0000-00003DAB0000}"/>
    <cellStyle name="Comma 8 2 2 2 6" xfId="48206" xr:uid="{00000000-0005-0000-0000-00003EAB0000}"/>
    <cellStyle name="Comma 8 2 2 2 6 2" xfId="48207" xr:uid="{00000000-0005-0000-0000-00003FAB0000}"/>
    <cellStyle name="Comma 8 2 2 2 6 2 2" xfId="48208" xr:uid="{00000000-0005-0000-0000-000040AB0000}"/>
    <cellStyle name="Comma 8 2 2 2 6 2 3" xfId="48209" xr:uid="{00000000-0005-0000-0000-000041AB0000}"/>
    <cellStyle name="Comma 8 2 2 2 6 3" xfId="48210" xr:uid="{00000000-0005-0000-0000-000042AB0000}"/>
    <cellStyle name="Comma 8 2 2 2 6 3 2" xfId="48211" xr:uid="{00000000-0005-0000-0000-000043AB0000}"/>
    <cellStyle name="Comma 8 2 2 2 6 3 3" xfId="48212" xr:uid="{00000000-0005-0000-0000-000044AB0000}"/>
    <cellStyle name="Comma 8 2 2 2 6 4" xfId="48213" xr:uid="{00000000-0005-0000-0000-000045AB0000}"/>
    <cellStyle name="Comma 8 2 2 2 6 4 2" xfId="48214" xr:uid="{00000000-0005-0000-0000-000046AB0000}"/>
    <cellStyle name="Comma 8 2 2 2 6 5" xfId="48215" xr:uid="{00000000-0005-0000-0000-000047AB0000}"/>
    <cellStyle name="Comma 8 2 2 2 6 6" xfId="48216" xr:uid="{00000000-0005-0000-0000-000048AB0000}"/>
    <cellStyle name="Comma 8 2 2 2 7" xfId="48217" xr:uid="{00000000-0005-0000-0000-000049AB0000}"/>
    <cellStyle name="Comma 8 2 2 2 7 2" xfId="48218" xr:uid="{00000000-0005-0000-0000-00004AAB0000}"/>
    <cellStyle name="Comma 8 2 2 2 7 2 2" xfId="48219" xr:uid="{00000000-0005-0000-0000-00004BAB0000}"/>
    <cellStyle name="Comma 8 2 2 2 7 2 3" xfId="48220" xr:uid="{00000000-0005-0000-0000-00004CAB0000}"/>
    <cellStyle name="Comma 8 2 2 2 7 3" xfId="48221" xr:uid="{00000000-0005-0000-0000-00004DAB0000}"/>
    <cellStyle name="Comma 8 2 2 2 7 3 2" xfId="48222" xr:uid="{00000000-0005-0000-0000-00004EAB0000}"/>
    <cellStyle name="Comma 8 2 2 2 7 4" xfId="48223" xr:uid="{00000000-0005-0000-0000-00004FAB0000}"/>
    <cellStyle name="Comma 8 2 2 2 7 5" xfId="48224" xr:uid="{00000000-0005-0000-0000-000050AB0000}"/>
    <cellStyle name="Comma 8 2 2 2 8" xfId="48225" xr:uid="{00000000-0005-0000-0000-000051AB0000}"/>
    <cellStyle name="Comma 8 2 2 2 8 2" xfId="48226" xr:uid="{00000000-0005-0000-0000-000052AB0000}"/>
    <cellStyle name="Comma 8 2 2 2 8 3" xfId="48227" xr:uid="{00000000-0005-0000-0000-000053AB0000}"/>
    <cellStyle name="Comma 8 2 2 2 9" xfId="48228" xr:uid="{00000000-0005-0000-0000-000054AB0000}"/>
    <cellStyle name="Comma 8 2 2 2 9 2" xfId="48229" xr:uid="{00000000-0005-0000-0000-000055AB0000}"/>
    <cellStyle name="Comma 8 2 2 2 9 3" xfId="48230" xr:uid="{00000000-0005-0000-0000-000056AB0000}"/>
    <cellStyle name="Comma 8 2 2 3" xfId="9145" xr:uid="{00000000-0005-0000-0000-000057AB0000}"/>
    <cellStyle name="Comma 8 2 2 3 10" xfId="48231" xr:uid="{00000000-0005-0000-0000-000058AB0000}"/>
    <cellStyle name="Comma 8 2 2 3 2" xfId="48232" xr:uid="{00000000-0005-0000-0000-000059AB0000}"/>
    <cellStyle name="Comma 8 2 2 3 2 2" xfId="48233" xr:uid="{00000000-0005-0000-0000-00005AAB0000}"/>
    <cellStyle name="Comma 8 2 2 3 2 2 2" xfId="48234" xr:uid="{00000000-0005-0000-0000-00005BAB0000}"/>
    <cellStyle name="Comma 8 2 2 3 2 2 2 2" xfId="48235" xr:uid="{00000000-0005-0000-0000-00005CAB0000}"/>
    <cellStyle name="Comma 8 2 2 3 2 2 2 3" xfId="48236" xr:uid="{00000000-0005-0000-0000-00005DAB0000}"/>
    <cellStyle name="Comma 8 2 2 3 2 2 3" xfId="48237" xr:uid="{00000000-0005-0000-0000-00005EAB0000}"/>
    <cellStyle name="Comma 8 2 2 3 2 2 3 2" xfId="48238" xr:uid="{00000000-0005-0000-0000-00005FAB0000}"/>
    <cellStyle name="Comma 8 2 2 3 2 2 3 3" xfId="48239" xr:uid="{00000000-0005-0000-0000-000060AB0000}"/>
    <cellStyle name="Comma 8 2 2 3 2 2 4" xfId="48240" xr:uid="{00000000-0005-0000-0000-000061AB0000}"/>
    <cellStyle name="Comma 8 2 2 3 2 2 4 2" xfId="48241" xr:uid="{00000000-0005-0000-0000-000062AB0000}"/>
    <cellStyle name="Comma 8 2 2 3 2 2 5" xfId="48242" xr:uid="{00000000-0005-0000-0000-000063AB0000}"/>
    <cellStyle name="Comma 8 2 2 3 2 2 6" xfId="48243" xr:uid="{00000000-0005-0000-0000-000064AB0000}"/>
    <cellStyle name="Comma 8 2 2 3 2 3" xfId="48244" xr:uid="{00000000-0005-0000-0000-000065AB0000}"/>
    <cellStyle name="Comma 8 2 2 3 2 3 2" xfId="48245" xr:uid="{00000000-0005-0000-0000-000066AB0000}"/>
    <cellStyle name="Comma 8 2 2 3 2 3 2 2" xfId="48246" xr:uid="{00000000-0005-0000-0000-000067AB0000}"/>
    <cellStyle name="Comma 8 2 2 3 2 3 2 3" xfId="48247" xr:uid="{00000000-0005-0000-0000-000068AB0000}"/>
    <cellStyle name="Comma 8 2 2 3 2 3 3" xfId="48248" xr:uid="{00000000-0005-0000-0000-000069AB0000}"/>
    <cellStyle name="Comma 8 2 2 3 2 3 3 2" xfId="48249" xr:uid="{00000000-0005-0000-0000-00006AAB0000}"/>
    <cellStyle name="Comma 8 2 2 3 2 3 3 3" xfId="48250" xr:uid="{00000000-0005-0000-0000-00006BAB0000}"/>
    <cellStyle name="Comma 8 2 2 3 2 3 4" xfId="48251" xr:uid="{00000000-0005-0000-0000-00006CAB0000}"/>
    <cellStyle name="Comma 8 2 2 3 2 3 4 2" xfId="48252" xr:uid="{00000000-0005-0000-0000-00006DAB0000}"/>
    <cellStyle name="Comma 8 2 2 3 2 3 5" xfId="48253" xr:uid="{00000000-0005-0000-0000-00006EAB0000}"/>
    <cellStyle name="Comma 8 2 2 3 2 3 6" xfId="48254" xr:uid="{00000000-0005-0000-0000-00006FAB0000}"/>
    <cellStyle name="Comma 8 2 2 3 2 4" xfId="48255" xr:uid="{00000000-0005-0000-0000-000070AB0000}"/>
    <cellStyle name="Comma 8 2 2 3 2 4 2" xfId="48256" xr:uid="{00000000-0005-0000-0000-000071AB0000}"/>
    <cellStyle name="Comma 8 2 2 3 2 4 2 2" xfId="48257" xr:uid="{00000000-0005-0000-0000-000072AB0000}"/>
    <cellStyle name="Comma 8 2 2 3 2 4 2 3" xfId="48258" xr:uid="{00000000-0005-0000-0000-000073AB0000}"/>
    <cellStyle name="Comma 8 2 2 3 2 4 3" xfId="48259" xr:uid="{00000000-0005-0000-0000-000074AB0000}"/>
    <cellStyle name="Comma 8 2 2 3 2 4 3 2" xfId="48260" xr:uid="{00000000-0005-0000-0000-000075AB0000}"/>
    <cellStyle name="Comma 8 2 2 3 2 4 4" xfId="48261" xr:uid="{00000000-0005-0000-0000-000076AB0000}"/>
    <cellStyle name="Comma 8 2 2 3 2 4 5" xfId="48262" xr:uid="{00000000-0005-0000-0000-000077AB0000}"/>
    <cellStyle name="Comma 8 2 2 3 2 5" xfId="48263" xr:uid="{00000000-0005-0000-0000-000078AB0000}"/>
    <cellStyle name="Comma 8 2 2 3 2 5 2" xfId="48264" xr:uid="{00000000-0005-0000-0000-000079AB0000}"/>
    <cellStyle name="Comma 8 2 2 3 2 5 3" xfId="48265" xr:uid="{00000000-0005-0000-0000-00007AAB0000}"/>
    <cellStyle name="Comma 8 2 2 3 2 6" xfId="48266" xr:uid="{00000000-0005-0000-0000-00007BAB0000}"/>
    <cellStyle name="Comma 8 2 2 3 2 6 2" xfId="48267" xr:uid="{00000000-0005-0000-0000-00007CAB0000}"/>
    <cellStyle name="Comma 8 2 2 3 2 6 3" xfId="48268" xr:uid="{00000000-0005-0000-0000-00007DAB0000}"/>
    <cellStyle name="Comma 8 2 2 3 2 7" xfId="48269" xr:uid="{00000000-0005-0000-0000-00007EAB0000}"/>
    <cellStyle name="Comma 8 2 2 3 2 7 2" xfId="48270" xr:uid="{00000000-0005-0000-0000-00007FAB0000}"/>
    <cellStyle name="Comma 8 2 2 3 2 8" xfId="48271" xr:uid="{00000000-0005-0000-0000-000080AB0000}"/>
    <cellStyle name="Comma 8 2 2 3 2 9" xfId="48272" xr:uid="{00000000-0005-0000-0000-000081AB0000}"/>
    <cellStyle name="Comma 8 2 2 3 3" xfId="48273" xr:uid="{00000000-0005-0000-0000-000082AB0000}"/>
    <cellStyle name="Comma 8 2 2 3 3 2" xfId="48274" xr:uid="{00000000-0005-0000-0000-000083AB0000}"/>
    <cellStyle name="Comma 8 2 2 3 3 2 2" xfId="48275" xr:uid="{00000000-0005-0000-0000-000084AB0000}"/>
    <cellStyle name="Comma 8 2 2 3 3 2 3" xfId="48276" xr:uid="{00000000-0005-0000-0000-000085AB0000}"/>
    <cellStyle name="Comma 8 2 2 3 3 3" xfId="48277" xr:uid="{00000000-0005-0000-0000-000086AB0000}"/>
    <cellStyle name="Comma 8 2 2 3 3 3 2" xfId="48278" xr:uid="{00000000-0005-0000-0000-000087AB0000}"/>
    <cellStyle name="Comma 8 2 2 3 3 3 3" xfId="48279" xr:uid="{00000000-0005-0000-0000-000088AB0000}"/>
    <cellStyle name="Comma 8 2 2 3 3 4" xfId="48280" xr:uid="{00000000-0005-0000-0000-000089AB0000}"/>
    <cellStyle name="Comma 8 2 2 3 3 4 2" xfId="48281" xr:uid="{00000000-0005-0000-0000-00008AAB0000}"/>
    <cellStyle name="Comma 8 2 2 3 3 5" xfId="48282" xr:uid="{00000000-0005-0000-0000-00008BAB0000}"/>
    <cellStyle name="Comma 8 2 2 3 3 6" xfId="48283" xr:uid="{00000000-0005-0000-0000-00008CAB0000}"/>
    <cellStyle name="Comma 8 2 2 3 4" xfId="48284" xr:uid="{00000000-0005-0000-0000-00008DAB0000}"/>
    <cellStyle name="Comma 8 2 2 3 4 2" xfId="48285" xr:uid="{00000000-0005-0000-0000-00008EAB0000}"/>
    <cellStyle name="Comma 8 2 2 3 4 2 2" xfId="48286" xr:uid="{00000000-0005-0000-0000-00008FAB0000}"/>
    <cellStyle name="Comma 8 2 2 3 4 2 3" xfId="48287" xr:uid="{00000000-0005-0000-0000-000090AB0000}"/>
    <cellStyle name="Comma 8 2 2 3 4 3" xfId="48288" xr:uid="{00000000-0005-0000-0000-000091AB0000}"/>
    <cellStyle name="Comma 8 2 2 3 4 3 2" xfId="48289" xr:uid="{00000000-0005-0000-0000-000092AB0000}"/>
    <cellStyle name="Comma 8 2 2 3 4 3 3" xfId="48290" xr:uid="{00000000-0005-0000-0000-000093AB0000}"/>
    <cellStyle name="Comma 8 2 2 3 4 4" xfId="48291" xr:uid="{00000000-0005-0000-0000-000094AB0000}"/>
    <cellStyle name="Comma 8 2 2 3 4 4 2" xfId="48292" xr:uid="{00000000-0005-0000-0000-000095AB0000}"/>
    <cellStyle name="Comma 8 2 2 3 4 5" xfId="48293" xr:uid="{00000000-0005-0000-0000-000096AB0000}"/>
    <cellStyle name="Comma 8 2 2 3 4 6" xfId="48294" xr:uid="{00000000-0005-0000-0000-000097AB0000}"/>
    <cellStyle name="Comma 8 2 2 3 5" xfId="48295" xr:uid="{00000000-0005-0000-0000-000098AB0000}"/>
    <cellStyle name="Comma 8 2 2 3 5 2" xfId="48296" xr:uid="{00000000-0005-0000-0000-000099AB0000}"/>
    <cellStyle name="Comma 8 2 2 3 5 2 2" xfId="48297" xr:uid="{00000000-0005-0000-0000-00009AAB0000}"/>
    <cellStyle name="Comma 8 2 2 3 5 2 3" xfId="48298" xr:uid="{00000000-0005-0000-0000-00009BAB0000}"/>
    <cellStyle name="Comma 8 2 2 3 5 3" xfId="48299" xr:uid="{00000000-0005-0000-0000-00009CAB0000}"/>
    <cellStyle name="Comma 8 2 2 3 5 3 2" xfId="48300" xr:uid="{00000000-0005-0000-0000-00009DAB0000}"/>
    <cellStyle name="Comma 8 2 2 3 5 4" xfId="48301" xr:uid="{00000000-0005-0000-0000-00009EAB0000}"/>
    <cellStyle name="Comma 8 2 2 3 5 5" xfId="48302" xr:uid="{00000000-0005-0000-0000-00009FAB0000}"/>
    <cellStyle name="Comma 8 2 2 3 6" xfId="48303" xr:uid="{00000000-0005-0000-0000-0000A0AB0000}"/>
    <cellStyle name="Comma 8 2 2 3 6 2" xfId="48304" xr:uid="{00000000-0005-0000-0000-0000A1AB0000}"/>
    <cellStyle name="Comma 8 2 2 3 6 3" xfId="48305" xr:uid="{00000000-0005-0000-0000-0000A2AB0000}"/>
    <cellStyle name="Comma 8 2 2 3 7" xfId="48306" xr:uid="{00000000-0005-0000-0000-0000A3AB0000}"/>
    <cellStyle name="Comma 8 2 2 3 7 2" xfId="48307" xr:uid="{00000000-0005-0000-0000-0000A4AB0000}"/>
    <cellStyle name="Comma 8 2 2 3 7 3" xfId="48308" xr:uid="{00000000-0005-0000-0000-0000A5AB0000}"/>
    <cellStyle name="Comma 8 2 2 3 8" xfId="48309" xr:uid="{00000000-0005-0000-0000-0000A6AB0000}"/>
    <cellStyle name="Comma 8 2 2 3 8 2" xfId="48310" xr:uid="{00000000-0005-0000-0000-0000A7AB0000}"/>
    <cellStyle name="Comma 8 2 2 3 9" xfId="48311" xr:uid="{00000000-0005-0000-0000-0000A8AB0000}"/>
    <cellStyle name="Comma 8 2 2 4" xfId="48312" xr:uid="{00000000-0005-0000-0000-0000A9AB0000}"/>
    <cellStyle name="Comma 8 2 2 4 2" xfId="48313" xr:uid="{00000000-0005-0000-0000-0000AAAB0000}"/>
    <cellStyle name="Comma 8 2 2 4 2 2" xfId="48314" xr:uid="{00000000-0005-0000-0000-0000ABAB0000}"/>
    <cellStyle name="Comma 8 2 2 4 2 2 2" xfId="48315" xr:uid="{00000000-0005-0000-0000-0000ACAB0000}"/>
    <cellStyle name="Comma 8 2 2 4 2 2 3" xfId="48316" xr:uid="{00000000-0005-0000-0000-0000ADAB0000}"/>
    <cellStyle name="Comma 8 2 2 4 2 3" xfId="48317" xr:uid="{00000000-0005-0000-0000-0000AEAB0000}"/>
    <cellStyle name="Comma 8 2 2 4 2 3 2" xfId="48318" xr:uid="{00000000-0005-0000-0000-0000AFAB0000}"/>
    <cellStyle name="Comma 8 2 2 4 2 3 3" xfId="48319" xr:uid="{00000000-0005-0000-0000-0000B0AB0000}"/>
    <cellStyle name="Comma 8 2 2 4 2 4" xfId="48320" xr:uid="{00000000-0005-0000-0000-0000B1AB0000}"/>
    <cellStyle name="Comma 8 2 2 4 2 4 2" xfId="48321" xr:uid="{00000000-0005-0000-0000-0000B2AB0000}"/>
    <cellStyle name="Comma 8 2 2 4 2 5" xfId="48322" xr:uid="{00000000-0005-0000-0000-0000B3AB0000}"/>
    <cellStyle name="Comma 8 2 2 4 2 6" xfId="48323" xr:uid="{00000000-0005-0000-0000-0000B4AB0000}"/>
    <cellStyle name="Comma 8 2 2 4 3" xfId="48324" xr:uid="{00000000-0005-0000-0000-0000B5AB0000}"/>
    <cellStyle name="Comma 8 2 2 4 3 2" xfId="48325" xr:uid="{00000000-0005-0000-0000-0000B6AB0000}"/>
    <cellStyle name="Comma 8 2 2 4 3 2 2" xfId="48326" xr:uid="{00000000-0005-0000-0000-0000B7AB0000}"/>
    <cellStyle name="Comma 8 2 2 4 3 2 3" xfId="48327" xr:uid="{00000000-0005-0000-0000-0000B8AB0000}"/>
    <cellStyle name="Comma 8 2 2 4 3 3" xfId="48328" xr:uid="{00000000-0005-0000-0000-0000B9AB0000}"/>
    <cellStyle name="Comma 8 2 2 4 3 3 2" xfId="48329" xr:uid="{00000000-0005-0000-0000-0000BAAB0000}"/>
    <cellStyle name="Comma 8 2 2 4 3 3 3" xfId="48330" xr:uid="{00000000-0005-0000-0000-0000BBAB0000}"/>
    <cellStyle name="Comma 8 2 2 4 3 4" xfId="48331" xr:uid="{00000000-0005-0000-0000-0000BCAB0000}"/>
    <cellStyle name="Comma 8 2 2 4 3 4 2" xfId="48332" xr:uid="{00000000-0005-0000-0000-0000BDAB0000}"/>
    <cellStyle name="Comma 8 2 2 4 3 5" xfId="48333" xr:uid="{00000000-0005-0000-0000-0000BEAB0000}"/>
    <cellStyle name="Comma 8 2 2 4 3 6" xfId="48334" xr:uid="{00000000-0005-0000-0000-0000BFAB0000}"/>
    <cellStyle name="Comma 8 2 2 4 4" xfId="48335" xr:uid="{00000000-0005-0000-0000-0000C0AB0000}"/>
    <cellStyle name="Comma 8 2 2 4 4 2" xfId="48336" xr:uid="{00000000-0005-0000-0000-0000C1AB0000}"/>
    <cellStyle name="Comma 8 2 2 4 4 2 2" xfId="48337" xr:uid="{00000000-0005-0000-0000-0000C2AB0000}"/>
    <cellStyle name="Comma 8 2 2 4 4 2 3" xfId="48338" xr:uid="{00000000-0005-0000-0000-0000C3AB0000}"/>
    <cellStyle name="Comma 8 2 2 4 4 3" xfId="48339" xr:uid="{00000000-0005-0000-0000-0000C4AB0000}"/>
    <cellStyle name="Comma 8 2 2 4 4 3 2" xfId="48340" xr:uid="{00000000-0005-0000-0000-0000C5AB0000}"/>
    <cellStyle name="Comma 8 2 2 4 4 4" xfId="48341" xr:uid="{00000000-0005-0000-0000-0000C6AB0000}"/>
    <cellStyle name="Comma 8 2 2 4 4 5" xfId="48342" xr:uid="{00000000-0005-0000-0000-0000C7AB0000}"/>
    <cellStyle name="Comma 8 2 2 4 5" xfId="48343" xr:uid="{00000000-0005-0000-0000-0000C8AB0000}"/>
    <cellStyle name="Comma 8 2 2 4 5 2" xfId="48344" xr:uid="{00000000-0005-0000-0000-0000C9AB0000}"/>
    <cellStyle name="Comma 8 2 2 4 5 3" xfId="48345" xr:uid="{00000000-0005-0000-0000-0000CAAB0000}"/>
    <cellStyle name="Comma 8 2 2 4 6" xfId="48346" xr:uid="{00000000-0005-0000-0000-0000CBAB0000}"/>
    <cellStyle name="Comma 8 2 2 4 6 2" xfId="48347" xr:uid="{00000000-0005-0000-0000-0000CCAB0000}"/>
    <cellStyle name="Comma 8 2 2 4 6 3" xfId="48348" xr:uid="{00000000-0005-0000-0000-0000CDAB0000}"/>
    <cellStyle name="Comma 8 2 2 4 7" xfId="48349" xr:uid="{00000000-0005-0000-0000-0000CEAB0000}"/>
    <cellStyle name="Comma 8 2 2 4 7 2" xfId="48350" xr:uid="{00000000-0005-0000-0000-0000CFAB0000}"/>
    <cellStyle name="Comma 8 2 2 4 8" xfId="48351" xr:uid="{00000000-0005-0000-0000-0000D0AB0000}"/>
    <cellStyle name="Comma 8 2 2 4 9" xfId="48352" xr:uid="{00000000-0005-0000-0000-0000D1AB0000}"/>
    <cellStyle name="Comma 8 2 2 5" xfId="48353" xr:uid="{00000000-0005-0000-0000-0000D2AB0000}"/>
    <cellStyle name="Comma 8 2 2 5 2" xfId="48354" xr:uid="{00000000-0005-0000-0000-0000D3AB0000}"/>
    <cellStyle name="Comma 8 2 2 5 2 2" xfId="48355" xr:uid="{00000000-0005-0000-0000-0000D4AB0000}"/>
    <cellStyle name="Comma 8 2 2 5 2 2 2" xfId="48356" xr:uid="{00000000-0005-0000-0000-0000D5AB0000}"/>
    <cellStyle name="Comma 8 2 2 5 2 2 3" xfId="48357" xr:uid="{00000000-0005-0000-0000-0000D6AB0000}"/>
    <cellStyle name="Comma 8 2 2 5 2 3" xfId="48358" xr:uid="{00000000-0005-0000-0000-0000D7AB0000}"/>
    <cellStyle name="Comma 8 2 2 5 2 3 2" xfId="48359" xr:uid="{00000000-0005-0000-0000-0000D8AB0000}"/>
    <cellStyle name="Comma 8 2 2 5 2 3 3" xfId="48360" xr:uid="{00000000-0005-0000-0000-0000D9AB0000}"/>
    <cellStyle name="Comma 8 2 2 5 2 4" xfId="48361" xr:uid="{00000000-0005-0000-0000-0000DAAB0000}"/>
    <cellStyle name="Comma 8 2 2 5 2 4 2" xfId="48362" xr:uid="{00000000-0005-0000-0000-0000DBAB0000}"/>
    <cellStyle name="Comma 8 2 2 5 2 5" xfId="48363" xr:uid="{00000000-0005-0000-0000-0000DCAB0000}"/>
    <cellStyle name="Comma 8 2 2 5 2 6" xfId="48364" xr:uid="{00000000-0005-0000-0000-0000DDAB0000}"/>
    <cellStyle name="Comma 8 2 2 5 3" xfId="48365" xr:uid="{00000000-0005-0000-0000-0000DEAB0000}"/>
    <cellStyle name="Comma 8 2 2 5 3 2" xfId="48366" xr:uid="{00000000-0005-0000-0000-0000DFAB0000}"/>
    <cellStyle name="Comma 8 2 2 5 3 2 2" xfId="48367" xr:uid="{00000000-0005-0000-0000-0000E0AB0000}"/>
    <cellStyle name="Comma 8 2 2 5 3 2 3" xfId="48368" xr:uid="{00000000-0005-0000-0000-0000E1AB0000}"/>
    <cellStyle name="Comma 8 2 2 5 3 3" xfId="48369" xr:uid="{00000000-0005-0000-0000-0000E2AB0000}"/>
    <cellStyle name="Comma 8 2 2 5 3 3 2" xfId="48370" xr:uid="{00000000-0005-0000-0000-0000E3AB0000}"/>
    <cellStyle name="Comma 8 2 2 5 3 3 3" xfId="48371" xr:uid="{00000000-0005-0000-0000-0000E4AB0000}"/>
    <cellStyle name="Comma 8 2 2 5 3 4" xfId="48372" xr:uid="{00000000-0005-0000-0000-0000E5AB0000}"/>
    <cellStyle name="Comma 8 2 2 5 3 4 2" xfId="48373" xr:uid="{00000000-0005-0000-0000-0000E6AB0000}"/>
    <cellStyle name="Comma 8 2 2 5 3 5" xfId="48374" xr:uid="{00000000-0005-0000-0000-0000E7AB0000}"/>
    <cellStyle name="Comma 8 2 2 5 3 6" xfId="48375" xr:uid="{00000000-0005-0000-0000-0000E8AB0000}"/>
    <cellStyle name="Comma 8 2 2 5 4" xfId="48376" xr:uid="{00000000-0005-0000-0000-0000E9AB0000}"/>
    <cellStyle name="Comma 8 2 2 5 4 2" xfId="48377" xr:uid="{00000000-0005-0000-0000-0000EAAB0000}"/>
    <cellStyle name="Comma 8 2 2 5 4 2 2" xfId="48378" xr:uid="{00000000-0005-0000-0000-0000EBAB0000}"/>
    <cellStyle name="Comma 8 2 2 5 4 2 3" xfId="48379" xr:uid="{00000000-0005-0000-0000-0000ECAB0000}"/>
    <cellStyle name="Comma 8 2 2 5 4 3" xfId="48380" xr:uid="{00000000-0005-0000-0000-0000EDAB0000}"/>
    <cellStyle name="Comma 8 2 2 5 4 3 2" xfId="48381" xr:uid="{00000000-0005-0000-0000-0000EEAB0000}"/>
    <cellStyle name="Comma 8 2 2 5 4 4" xfId="48382" xr:uid="{00000000-0005-0000-0000-0000EFAB0000}"/>
    <cellStyle name="Comma 8 2 2 5 4 5" xfId="48383" xr:uid="{00000000-0005-0000-0000-0000F0AB0000}"/>
    <cellStyle name="Comma 8 2 2 5 5" xfId="48384" xr:uid="{00000000-0005-0000-0000-0000F1AB0000}"/>
    <cellStyle name="Comma 8 2 2 5 5 2" xfId="48385" xr:uid="{00000000-0005-0000-0000-0000F2AB0000}"/>
    <cellStyle name="Comma 8 2 2 5 5 3" xfId="48386" xr:uid="{00000000-0005-0000-0000-0000F3AB0000}"/>
    <cellStyle name="Comma 8 2 2 5 6" xfId="48387" xr:uid="{00000000-0005-0000-0000-0000F4AB0000}"/>
    <cellStyle name="Comma 8 2 2 5 6 2" xfId="48388" xr:uid="{00000000-0005-0000-0000-0000F5AB0000}"/>
    <cellStyle name="Comma 8 2 2 5 6 3" xfId="48389" xr:uid="{00000000-0005-0000-0000-0000F6AB0000}"/>
    <cellStyle name="Comma 8 2 2 5 7" xfId="48390" xr:uid="{00000000-0005-0000-0000-0000F7AB0000}"/>
    <cellStyle name="Comma 8 2 2 5 7 2" xfId="48391" xr:uid="{00000000-0005-0000-0000-0000F8AB0000}"/>
    <cellStyle name="Comma 8 2 2 5 8" xfId="48392" xr:uid="{00000000-0005-0000-0000-0000F9AB0000}"/>
    <cellStyle name="Comma 8 2 2 5 9" xfId="48393" xr:uid="{00000000-0005-0000-0000-0000FAAB0000}"/>
    <cellStyle name="Comma 8 2 2 6" xfId="48394" xr:uid="{00000000-0005-0000-0000-0000FBAB0000}"/>
    <cellStyle name="Comma 8 2 2 6 2" xfId="48395" xr:uid="{00000000-0005-0000-0000-0000FCAB0000}"/>
    <cellStyle name="Comma 8 2 2 6 2 2" xfId="48396" xr:uid="{00000000-0005-0000-0000-0000FDAB0000}"/>
    <cellStyle name="Comma 8 2 2 6 2 3" xfId="48397" xr:uid="{00000000-0005-0000-0000-0000FEAB0000}"/>
    <cellStyle name="Comma 8 2 2 6 3" xfId="48398" xr:uid="{00000000-0005-0000-0000-0000FFAB0000}"/>
    <cellStyle name="Comma 8 2 2 6 3 2" xfId="48399" xr:uid="{00000000-0005-0000-0000-000000AC0000}"/>
    <cellStyle name="Comma 8 2 2 6 3 3" xfId="48400" xr:uid="{00000000-0005-0000-0000-000001AC0000}"/>
    <cellStyle name="Comma 8 2 2 6 4" xfId="48401" xr:uid="{00000000-0005-0000-0000-000002AC0000}"/>
    <cellStyle name="Comma 8 2 2 6 4 2" xfId="48402" xr:uid="{00000000-0005-0000-0000-000003AC0000}"/>
    <cellStyle name="Comma 8 2 2 6 5" xfId="48403" xr:uid="{00000000-0005-0000-0000-000004AC0000}"/>
    <cellStyle name="Comma 8 2 2 6 6" xfId="48404" xr:uid="{00000000-0005-0000-0000-000005AC0000}"/>
    <cellStyle name="Comma 8 2 2 7" xfId="48405" xr:uid="{00000000-0005-0000-0000-000006AC0000}"/>
    <cellStyle name="Comma 8 2 2 7 2" xfId="48406" xr:uid="{00000000-0005-0000-0000-000007AC0000}"/>
    <cellStyle name="Comma 8 2 2 7 2 2" xfId="48407" xr:uid="{00000000-0005-0000-0000-000008AC0000}"/>
    <cellStyle name="Comma 8 2 2 7 2 3" xfId="48408" xr:uid="{00000000-0005-0000-0000-000009AC0000}"/>
    <cellStyle name="Comma 8 2 2 7 3" xfId="48409" xr:uid="{00000000-0005-0000-0000-00000AAC0000}"/>
    <cellStyle name="Comma 8 2 2 7 3 2" xfId="48410" xr:uid="{00000000-0005-0000-0000-00000BAC0000}"/>
    <cellStyle name="Comma 8 2 2 7 3 3" xfId="48411" xr:uid="{00000000-0005-0000-0000-00000CAC0000}"/>
    <cellStyle name="Comma 8 2 2 7 4" xfId="48412" xr:uid="{00000000-0005-0000-0000-00000DAC0000}"/>
    <cellStyle name="Comma 8 2 2 7 4 2" xfId="48413" xr:uid="{00000000-0005-0000-0000-00000EAC0000}"/>
    <cellStyle name="Comma 8 2 2 7 5" xfId="48414" xr:uid="{00000000-0005-0000-0000-00000FAC0000}"/>
    <cellStyle name="Comma 8 2 2 7 6" xfId="48415" xr:uid="{00000000-0005-0000-0000-000010AC0000}"/>
    <cellStyle name="Comma 8 2 2 8" xfId="48416" xr:uid="{00000000-0005-0000-0000-000011AC0000}"/>
    <cellStyle name="Comma 8 2 2 8 2" xfId="48417" xr:uid="{00000000-0005-0000-0000-000012AC0000}"/>
    <cellStyle name="Comma 8 2 2 8 2 2" xfId="48418" xr:uid="{00000000-0005-0000-0000-000013AC0000}"/>
    <cellStyle name="Comma 8 2 2 8 2 3" xfId="48419" xr:uid="{00000000-0005-0000-0000-000014AC0000}"/>
    <cellStyle name="Comma 8 2 2 8 3" xfId="48420" xr:uid="{00000000-0005-0000-0000-000015AC0000}"/>
    <cellStyle name="Comma 8 2 2 8 3 2" xfId="48421" xr:uid="{00000000-0005-0000-0000-000016AC0000}"/>
    <cellStyle name="Comma 8 2 2 8 4" xfId="48422" xr:uid="{00000000-0005-0000-0000-000017AC0000}"/>
    <cellStyle name="Comma 8 2 2 8 5" xfId="48423" xr:uid="{00000000-0005-0000-0000-000018AC0000}"/>
    <cellStyle name="Comma 8 2 2 9" xfId="48424" xr:uid="{00000000-0005-0000-0000-000019AC0000}"/>
    <cellStyle name="Comma 8 2 2 9 2" xfId="48425" xr:uid="{00000000-0005-0000-0000-00001AAC0000}"/>
    <cellStyle name="Comma 8 2 2 9 3" xfId="48426" xr:uid="{00000000-0005-0000-0000-00001BAC0000}"/>
    <cellStyle name="Comma 8 2 3" xfId="9146" xr:uid="{00000000-0005-0000-0000-00001CAC0000}"/>
    <cellStyle name="Comma 8 2 3 10" xfId="48427" xr:uid="{00000000-0005-0000-0000-00001DAC0000}"/>
    <cellStyle name="Comma 8 2 3 10 2" xfId="48428" xr:uid="{00000000-0005-0000-0000-00001EAC0000}"/>
    <cellStyle name="Comma 8 2 3 11" xfId="48429" xr:uid="{00000000-0005-0000-0000-00001FAC0000}"/>
    <cellStyle name="Comma 8 2 3 12" xfId="48430" xr:uid="{00000000-0005-0000-0000-000020AC0000}"/>
    <cellStyle name="Comma 8 2 3 13" xfId="48431" xr:uid="{00000000-0005-0000-0000-000021AC0000}"/>
    <cellStyle name="Comma 8 2 3 2" xfId="48432" xr:uid="{00000000-0005-0000-0000-000022AC0000}"/>
    <cellStyle name="Comma 8 2 3 2 10" xfId="48433" xr:uid="{00000000-0005-0000-0000-000023AC0000}"/>
    <cellStyle name="Comma 8 2 3 2 2" xfId="48434" xr:uid="{00000000-0005-0000-0000-000024AC0000}"/>
    <cellStyle name="Comma 8 2 3 2 2 2" xfId="48435" xr:uid="{00000000-0005-0000-0000-000025AC0000}"/>
    <cellStyle name="Comma 8 2 3 2 2 2 2" xfId="48436" xr:uid="{00000000-0005-0000-0000-000026AC0000}"/>
    <cellStyle name="Comma 8 2 3 2 2 2 2 2" xfId="48437" xr:uid="{00000000-0005-0000-0000-000027AC0000}"/>
    <cellStyle name="Comma 8 2 3 2 2 2 2 3" xfId="48438" xr:uid="{00000000-0005-0000-0000-000028AC0000}"/>
    <cellStyle name="Comma 8 2 3 2 2 2 3" xfId="48439" xr:uid="{00000000-0005-0000-0000-000029AC0000}"/>
    <cellStyle name="Comma 8 2 3 2 2 2 3 2" xfId="48440" xr:uid="{00000000-0005-0000-0000-00002AAC0000}"/>
    <cellStyle name="Comma 8 2 3 2 2 2 3 3" xfId="48441" xr:uid="{00000000-0005-0000-0000-00002BAC0000}"/>
    <cellStyle name="Comma 8 2 3 2 2 2 4" xfId="48442" xr:uid="{00000000-0005-0000-0000-00002CAC0000}"/>
    <cellStyle name="Comma 8 2 3 2 2 2 4 2" xfId="48443" xr:uid="{00000000-0005-0000-0000-00002DAC0000}"/>
    <cellStyle name="Comma 8 2 3 2 2 2 5" xfId="48444" xr:uid="{00000000-0005-0000-0000-00002EAC0000}"/>
    <cellStyle name="Comma 8 2 3 2 2 2 6" xfId="48445" xr:uid="{00000000-0005-0000-0000-00002FAC0000}"/>
    <cellStyle name="Comma 8 2 3 2 2 3" xfId="48446" xr:uid="{00000000-0005-0000-0000-000030AC0000}"/>
    <cellStyle name="Comma 8 2 3 2 2 3 2" xfId="48447" xr:uid="{00000000-0005-0000-0000-000031AC0000}"/>
    <cellStyle name="Comma 8 2 3 2 2 3 2 2" xfId="48448" xr:uid="{00000000-0005-0000-0000-000032AC0000}"/>
    <cellStyle name="Comma 8 2 3 2 2 3 2 3" xfId="48449" xr:uid="{00000000-0005-0000-0000-000033AC0000}"/>
    <cellStyle name="Comma 8 2 3 2 2 3 3" xfId="48450" xr:uid="{00000000-0005-0000-0000-000034AC0000}"/>
    <cellStyle name="Comma 8 2 3 2 2 3 3 2" xfId="48451" xr:uid="{00000000-0005-0000-0000-000035AC0000}"/>
    <cellStyle name="Comma 8 2 3 2 2 3 3 3" xfId="48452" xr:uid="{00000000-0005-0000-0000-000036AC0000}"/>
    <cellStyle name="Comma 8 2 3 2 2 3 4" xfId="48453" xr:uid="{00000000-0005-0000-0000-000037AC0000}"/>
    <cellStyle name="Comma 8 2 3 2 2 3 4 2" xfId="48454" xr:uid="{00000000-0005-0000-0000-000038AC0000}"/>
    <cellStyle name="Comma 8 2 3 2 2 3 5" xfId="48455" xr:uid="{00000000-0005-0000-0000-000039AC0000}"/>
    <cellStyle name="Comma 8 2 3 2 2 3 6" xfId="48456" xr:uid="{00000000-0005-0000-0000-00003AAC0000}"/>
    <cellStyle name="Comma 8 2 3 2 2 4" xfId="48457" xr:uid="{00000000-0005-0000-0000-00003BAC0000}"/>
    <cellStyle name="Comma 8 2 3 2 2 4 2" xfId="48458" xr:uid="{00000000-0005-0000-0000-00003CAC0000}"/>
    <cellStyle name="Comma 8 2 3 2 2 4 2 2" xfId="48459" xr:uid="{00000000-0005-0000-0000-00003DAC0000}"/>
    <cellStyle name="Comma 8 2 3 2 2 4 2 3" xfId="48460" xr:uid="{00000000-0005-0000-0000-00003EAC0000}"/>
    <cellStyle name="Comma 8 2 3 2 2 4 3" xfId="48461" xr:uid="{00000000-0005-0000-0000-00003FAC0000}"/>
    <cellStyle name="Comma 8 2 3 2 2 4 3 2" xfId="48462" xr:uid="{00000000-0005-0000-0000-000040AC0000}"/>
    <cellStyle name="Comma 8 2 3 2 2 4 4" xfId="48463" xr:uid="{00000000-0005-0000-0000-000041AC0000}"/>
    <cellStyle name="Comma 8 2 3 2 2 4 5" xfId="48464" xr:uid="{00000000-0005-0000-0000-000042AC0000}"/>
    <cellStyle name="Comma 8 2 3 2 2 5" xfId="48465" xr:uid="{00000000-0005-0000-0000-000043AC0000}"/>
    <cellStyle name="Comma 8 2 3 2 2 5 2" xfId="48466" xr:uid="{00000000-0005-0000-0000-000044AC0000}"/>
    <cellStyle name="Comma 8 2 3 2 2 5 3" xfId="48467" xr:uid="{00000000-0005-0000-0000-000045AC0000}"/>
    <cellStyle name="Comma 8 2 3 2 2 6" xfId="48468" xr:uid="{00000000-0005-0000-0000-000046AC0000}"/>
    <cellStyle name="Comma 8 2 3 2 2 6 2" xfId="48469" xr:uid="{00000000-0005-0000-0000-000047AC0000}"/>
    <cellStyle name="Comma 8 2 3 2 2 6 3" xfId="48470" xr:uid="{00000000-0005-0000-0000-000048AC0000}"/>
    <cellStyle name="Comma 8 2 3 2 2 7" xfId="48471" xr:uid="{00000000-0005-0000-0000-000049AC0000}"/>
    <cellStyle name="Comma 8 2 3 2 2 7 2" xfId="48472" xr:uid="{00000000-0005-0000-0000-00004AAC0000}"/>
    <cellStyle name="Comma 8 2 3 2 2 8" xfId="48473" xr:uid="{00000000-0005-0000-0000-00004BAC0000}"/>
    <cellStyle name="Comma 8 2 3 2 2 9" xfId="48474" xr:uid="{00000000-0005-0000-0000-00004CAC0000}"/>
    <cellStyle name="Comma 8 2 3 2 3" xfId="48475" xr:uid="{00000000-0005-0000-0000-00004DAC0000}"/>
    <cellStyle name="Comma 8 2 3 2 3 2" xfId="48476" xr:uid="{00000000-0005-0000-0000-00004EAC0000}"/>
    <cellStyle name="Comma 8 2 3 2 3 2 2" xfId="48477" xr:uid="{00000000-0005-0000-0000-00004FAC0000}"/>
    <cellStyle name="Comma 8 2 3 2 3 2 3" xfId="48478" xr:uid="{00000000-0005-0000-0000-000050AC0000}"/>
    <cellStyle name="Comma 8 2 3 2 3 3" xfId="48479" xr:uid="{00000000-0005-0000-0000-000051AC0000}"/>
    <cellStyle name="Comma 8 2 3 2 3 3 2" xfId="48480" xr:uid="{00000000-0005-0000-0000-000052AC0000}"/>
    <cellStyle name="Comma 8 2 3 2 3 3 3" xfId="48481" xr:uid="{00000000-0005-0000-0000-000053AC0000}"/>
    <cellStyle name="Comma 8 2 3 2 3 4" xfId="48482" xr:uid="{00000000-0005-0000-0000-000054AC0000}"/>
    <cellStyle name="Comma 8 2 3 2 3 4 2" xfId="48483" xr:uid="{00000000-0005-0000-0000-000055AC0000}"/>
    <cellStyle name="Comma 8 2 3 2 3 5" xfId="48484" xr:uid="{00000000-0005-0000-0000-000056AC0000}"/>
    <cellStyle name="Comma 8 2 3 2 3 6" xfId="48485" xr:uid="{00000000-0005-0000-0000-000057AC0000}"/>
    <cellStyle name="Comma 8 2 3 2 4" xfId="48486" xr:uid="{00000000-0005-0000-0000-000058AC0000}"/>
    <cellStyle name="Comma 8 2 3 2 4 2" xfId="48487" xr:uid="{00000000-0005-0000-0000-000059AC0000}"/>
    <cellStyle name="Comma 8 2 3 2 4 2 2" xfId="48488" xr:uid="{00000000-0005-0000-0000-00005AAC0000}"/>
    <cellStyle name="Comma 8 2 3 2 4 2 3" xfId="48489" xr:uid="{00000000-0005-0000-0000-00005BAC0000}"/>
    <cellStyle name="Comma 8 2 3 2 4 3" xfId="48490" xr:uid="{00000000-0005-0000-0000-00005CAC0000}"/>
    <cellStyle name="Comma 8 2 3 2 4 3 2" xfId="48491" xr:uid="{00000000-0005-0000-0000-00005DAC0000}"/>
    <cellStyle name="Comma 8 2 3 2 4 3 3" xfId="48492" xr:uid="{00000000-0005-0000-0000-00005EAC0000}"/>
    <cellStyle name="Comma 8 2 3 2 4 4" xfId="48493" xr:uid="{00000000-0005-0000-0000-00005FAC0000}"/>
    <cellStyle name="Comma 8 2 3 2 4 4 2" xfId="48494" xr:uid="{00000000-0005-0000-0000-000060AC0000}"/>
    <cellStyle name="Comma 8 2 3 2 4 5" xfId="48495" xr:uid="{00000000-0005-0000-0000-000061AC0000}"/>
    <cellStyle name="Comma 8 2 3 2 4 6" xfId="48496" xr:uid="{00000000-0005-0000-0000-000062AC0000}"/>
    <cellStyle name="Comma 8 2 3 2 5" xfId="48497" xr:uid="{00000000-0005-0000-0000-000063AC0000}"/>
    <cellStyle name="Comma 8 2 3 2 5 2" xfId="48498" xr:uid="{00000000-0005-0000-0000-000064AC0000}"/>
    <cellStyle name="Comma 8 2 3 2 5 2 2" xfId="48499" xr:uid="{00000000-0005-0000-0000-000065AC0000}"/>
    <cellStyle name="Comma 8 2 3 2 5 2 3" xfId="48500" xr:uid="{00000000-0005-0000-0000-000066AC0000}"/>
    <cellStyle name="Comma 8 2 3 2 5 3" xfId="48501" xr:uid="{00000000-0005-0000-0000-000067AC0000}"/>
    <cellStyle name="Comma 8 2 3 2 5 3 2" xfId="48502" xr:uid="{00000000-0005-0000-0000-000068AC0000}"/>
    <cellStyle name="Comma 8 2 3 2 5 4" xfId="48503" xr:uid="{00000000-0005-0000-0000-000069AC0000}"/>
    <cellStyle name="Comma 8 2 3 2 5 5" xfId="48504" xr:uid="{00000000-0005-0000-0000-00006AAC0000}"/>
    <cellStyle name="Comma 8 2 3 2 6" xfId="48505" xr:uid="{00000000-0005-0000-0000-00006BAC0000}"/>
    <cellStyle name="Comma 8 2 3 2 6 2" xfId="48506" xr:uid="{00000000-0005-0000-0000-00006CAC0000}"/>
    <cellStyle name="Comma 8 2 3 2 6 3" xfId="48507" xr:uid="{00000000-0005-0000-0000-00006DAC0000}"/>
    <cellStyle name="Comma 8 2 3 2 7" xfId="48508" xr:uid="{00000000-0005-0000-0000-00006EAC0000}"/>
    <cellStyle name="Comma 8 2 3 2 7 2" xfId="48509" xr:uid="{00000000-0005-0000-0000-00006FAC0000}"/>
    <cellStyle name="Comma 8 2 3 2 7 3" xfId="48510" xr:uid="{00000000-0005-0000-0000-000070AC0000}"/>
    <cellStyle name="Comma 8 2 3 2 8" xfId="48511" xr:uid="{00000000-0005-0000-0000-000071AC0000}"/>
    <cellStyle name="Comma 8 2 3 2 8 2" xfId="48512" xr:uid="{00000000-0005-0000-0000-000072AC0000}"/>
    <cellStyle name="Comma 8 2 3 2 9" xfId="48513" xr:uid="{00000000-0005-0000-0000-000073AC0000}"/>
    <cellStyle name="Comma 8 2 3 3" xfId="48514" xr:uid="{00000000-0005-0000-0000-000074AC0000}"/>
    <cellStyle name="Comma 8 2 3 3 2" xfId="48515" xr:uid="{00000000-0005-0000-0000-000075AC0000}"/>
    <cellStyle name="Comma 8 2 3 3 2 2" xfId="48516" xr:uid="{00000000-0005-0000-0000-000076AC0000}"/>
    <cellStyle name="Comma 8 2 3 3 2 2 2" xfId="48517" xr:uid="{00000000-0005-0000-0000-000077AC0000}"/>
    <cellStyle name="Comma 8 2 3 3 2 2 3" xfId="48518" xr:uid="{00000000-0005-0000-0000-000078AC0000}"/>
    <cellStyle name="Comma 8 2 3 3 2 3" xfId="48519" xr:uid="{00000000-0005-0000-0000-000079AC0000}"/>
    <cellStyle name="Comma 8 2 3 3 2 3 2" xfId="48520" xr:uid="{00000000-0005-0000-0000-00007AAC0000}"/>
    <cellStyle name="Comma 8 2 3 3 2 3 3" xfId="48521" xr:uid="{00000000-0005-0000-0000-00007BAC0000}"/>
    <cellStyle name="Comma 8 2 3 3 2 4" xfId="48522" xr:uid="{00000000-0005-0000-0000-00007CAC0000}"/>
    <cellStyle name="Comma 8 2 3 3 2 4 2" xfId="48523" xr:uid="{00000000-0005-0000-0000-00007DAC0000}"/>
    <cellStyle name="Comma 8 2 3 3 2 5" xfId="48524" xr:uid="{00000000-0005-0000-0000-00007EAC0000}"/>
    <cellStyle name="Comma 8 2 3 3 2 6" xfId="48525" xr:uid="{00000000-0005-0000-0000-00007FAC0000}"/>
    <cellStyle name="Comma 8 2 3 3 3" xfId="48526" xr:uid="{00000000-0005-0000-0000-000080AC0000}"/>
    <cellStyle name="Comma 8 2 3 3 3 2" xfId="48527" xr:uid="{00000000-0005-0000-0000-000081AC0000}"/>
    <cellStyle name="Comma 8 2 3 3 3 2 2" xfId="48528" xr:uid="{00000000-0005-0000-0000-000082AC0000}"/>
    <cellStyle name="Comma 8 2 3 3 3 2 3" xfId="48529" xr:uid="{00000000-0005-0000-0000-000083AC0000}"/>
    <cellStyle name="Comma 8 2 3 3 3 3" xfId="48530" xr:uid="{00000000-0005-0000-0000-000084AC0000}"/>
    <cellStyle name="Comma 8 2 3 3 3 3 2" xfId="48531" xr:uid="{00000000-0005-0000-0000-000085AC0000}"/>
    <cellStyle name="Comma 8 2 3 3 3 3 3" xfId="48532" xr:uid="{00000000-0005-0000-0000-000086AC0000}"/>
    <cellStyle name="Comma 8 2 3 3 3 4" xfId="48533" xr:uid="{00000000-0005-0000-0000-000087AC0000}"/>
    <cellStyle name="Comma 8 2 3 3 3 4 2" xfId="48534" xr:uid="{00000000-0005-0000-0000-000088AC0000}"/>
    <cellStyle name="Comma 8 2 3 3 3 5" xfId="48535" xr:uid="{00000000-0005-0000-0000-000089AC0000}"/>
    <cellStyle name="Comma 8 2 3 3 3 6" xfId="48536" xr:uid="{00000000-0005-0000-0000-00008AAC0000}"/>
    <cellStyle name="Comma 8 2 3 3 4" xfId="48537" xr:uid="{00000000-0005-0000-0000-00008BAC0000}"/>
    <cellStyle name="Comma 8 2 3 3 4 2" xfId="48538" xr:uid="{00000000-0005-0000-0000-00008CAC0000}"/>
    <cellStyle name="Comma 8 2 3 3 4 2 2" xfId="48539" xr:uid="{00000000-0005-0000-0000-00008DAC0000}"/>
    <cellStyle name="Comma 8 2 3 3 4 2 3" xfId="48540" xr:uid="{00000000-0005-0000-0000-00008EAC0000}"/>
    <cellStyle name="Comma 8 2 3 3 4 3" xfId="48541" xr:uid="{00000000-0005-0000-0000-00008FAC0000}"/>
    <cellStyle name="Comma 8 2 3 3 4 3 2" xfId="48542" xr:uid="{00000000-0005-0000-0000-000090AC0000}"/>
    <cellStyle name="Comma 8 2 3 3 4 4" xfId="48543" xr:uid="{00000000-0005-0000-0000-000091AC0000}"/>
    <cellStyle name="Comma 8 2 3 3 4 5" xfId="48544" xr:uid="{00000000-0005-0000-0000-000092AC0000}"/>
    <cellStyle name="Comma 8 2 3 3 5" xfId="48545" xr:uid="{00000000-0005-0000-0000-000093AC0000}"/>
    <cellStyle name="Comma 8 2 3 3 5 2" xfId="48546" xr:uid="{00000000-0005-0000-0000-000094AC0000}"/>
    <cellStyle name="Comma 8 2 3 3 5 3" xfId="48547" xr:uid="{00000000-0005-0000-0000-000095AC0000}"/>
    <cellStyle name="Comma 8 2 3 3 6" xfId="48548" xr:uid="{00000000-0005-0000-0000-000096AC0000}"/>
    <cellStyle name="Comma 8 2 3 3 6 2" xfId="48549" xr:uid="{00000000-0005-0000-0000-000097AC0000}"/>
    <cellStyle name="Comma 8 2 3 3 6 3" xfId="48550" xr:uid="{00000000-0005-0000-0000-000098AC0000}"/>
    <cellStyle name="Comma 8 2 3 3 7" xfId="48551" xr:uid="{00000000-0005-0000-0000-000099AC0000}"/>
    <cellStyle name="Comma 8 2 3 3 7 2" xfId="48552" xr:uid="{00000000-0005-0000-0000-00009AAC0000}"/>
    <cellStyle name="Comma 8 2 3 3 8" xfId="48553" xr:uid="{00000000-0005-0000-0000-00009BAC0000}"/>
    <cellStyle name="Comma 8 2 3 3 9" xfId="48554" xr:uid="{00000000-0005-0000-0000-00009CAC0000}"/>
    <cellStyle name="Comma 8 2 3 4" xfId="48555" xr:uid="{00000000-0005-0000-0000-00009DAC0000}"/>
    <cellStyle name="Comma 8 2 3 4 2" xfId="48556" xr:uid="{00000000-0005-0000-0000-00009EAC0000}"/>
    <cellStyle name="Comma 8 2 3 4 2 2" xfId="48557" xr:uid="{00000000-0005-0000-0000-00009FAC0000}"/>
    <cellStyle name="Comma 8 2 3 4 2 2 2" xfId="48558" xr:uid="{00000000-0005-0000-0000-0000A0AC0000}"/>
    <cellStyle name="Comma 8 2 3 4 2 2 3" xfId="48559" xr:uid="{00000000-0005-0000-0000-0000A1AC0000}"/>
    <cellStyle name="Comma 8 2 3 4 2 3" xfId="48560" xr:uid="{00000000-0005-0000-0000-0000A2AC0000}"/>
    <cellStyle name="Comma 8 2 3 4 2 3 2" xfId="48561" xr:uid="{00000000-0005-0000-0000-0000A3AC0000}"/>
    <cellStyle name="Comma 8 2 3 4 2 3 3" xfId="48562" xr:uid="{00000000-0005-0000-0000-0000A4AC0000}"/>
    <cellStyle name="Comma 8 2 3 4 2 4" xfId="48563" xr:uid="{00000000-0005-0000-0000-0000A5AC0000}"/>
    <cellStyle name="Comma 8 2 3 4 2 4 2" xfId="48564" xr:uid="{00000000-0005-0000-0000-0000A6AC0000}"/>
    <cellStyle name="Comma 8 2 3 4 2 5" xfId="48565" xr:uid="{00000000-0005-0000-0000-0000A7AC0000}"/>
    <cellStyle name="Comma 8 2 3 4 2 6" xfId="48566" xr:uid="{00000000-0005-0000-0000-0000A8AC0000}"/>
    <cellStyle name="Comma 8 2 3 4 3" xfId="48567" xr:uid="{00000000-0005-0000-0000-0000A9AC0000}"/>
    <cellStyle name="Comma 8 2 3 4 3 2" xfId="48568" xr:uid="{00000000-0005-0000-0000-0000AAAC0000}"/>
    <cellStyle name="Comma 8 2 3 4 3 2 2" xfId="48569" xr:uid="{00000000-0005-0000-0000-0000ABAC0000}"/>
    <cellStyle name="Comma 8 2 3 4 3 2 3" xfId="48570" xr:uid="{00000000-0005-0000-0000-0000ACAC0000}"/>
    <cellStyle name="Comma 8 2 3 4 3 3" xfId="48571" xr:uid="{00000000-0005-0000-0000-0000ADAC0000}"/>
    <cellStyle name="Comma 8 2 3 4 3 3 2" xfId="48572" xr:uid="{00000000-0005-0000-0000-0000AEAC0000}"/>
    <cellStyle name="Comma 8 2 3 4 3 3 3" xfId="48573" xr:uid="{00000000-0005-0000-0000-0000AFAC0000}"/>
    <cellStyle name="Comma 8 2 3 4 3 4" xfId="48574" xr:uid="{00000000-0005-0000-0000-0000B0AC0000}"/>
    <cellStyle name="Comma 8 2 3 4 3 4 2" xfId="48575" xr:uid="{00000000-0005-0000-0000-0000B1AC0000}"/>
    <cellStyle name="Comma 8 2 3 4 3 5" xfId="48576" xr:uid="{00000000-0005-0000-0000-0000B2AC0000}"/>
    <cellStyle name="Comma 8 2 3 4 3 6" xfId="48577" xr:uid="{00000000-0005-0000-0000-0000B3AC0000}"/>
    <cellStyle name="Comma 8 2 3 4 4" xfId="48578" xr:uid="{00000000-0005-0000-0000-0000B4AC0000}"/>
    <cellStyle name="Comma 8 2 3 4 4 2" xfId="48579" xr:uid="{00000000-0005-0000-0000-0000B5AC0000}"/>
    <cellStyle name="Comma 8 2 3 4 4 2 2" xfId="48580" xr:uid="{00000000-0005-0000-0000-0000B6AC0000}"/>
    <cellStyle name="Comma 8 2 3 4 4 2 3" xfId="48581" xr:uid="{00000000-0005-0000-0000-0000B7AC0000}"/>
    <cellStyle name="Comma 8 2 3 4 4 3" xfId="48582" xr:uid="{00000000-0005-0000-0000-0000B8AC0000}"/>
    <cellStyle name="Comma 8 2 3 4 4 3 2" xfId="48583" xr:uid="{00000000-0005-0000-0000-0000B9AC0000}"/>
    <cellStyle name="Comma 8 2 3 4 4 4" xfId="48584" xr:uid="{00000000-0005-0000-0000-0000BAAC0000}"/>
    <cellStyle name="Comma 8 2 3 4 4 5" xfId="48585" xr:uid="{00000000-0005-0000-0000-0000BBAC0000}"/>
    <cellStyle name="Comma 8 2 3 4 5" xfId="48586" xr:uid="{00000000-0005-0000-0000-0000BCAC0000}"/>
    <cellStyle name="Comma 8 2 3 4 5 2" xfId="48587" xr:uid="{00000000-0005-0000-0000-0000BDAC0000}"/>
    <cellStyle name="Comma 8 2 3 4 5 3" xfId="48588" xr:uid="{00000000-0005-0000-0000-0000BEAC0000}"/>
    <cellStyle name="Comma 8 2 3 4 6" xfId="48589" xr:uid="{00000000-0005-0000-0000-0000BFAC0000}"/>
    <cellStyle name="Comma 8 2 3 4 6 2" xfId="48590" xr:uid="{00000000-0005-0000-0000-0000C0AC0000}"/>
    <cellStyle name="Comma 8 2 3 4 6 3" xfId="48591" xr:uid="{00000000-0005-0000-0000-0000C1AC0000}"/>
    <cellStyle name="Comma 8 2 3 4 7" xfId="48592" xr:uid="{00000000-0005-0000-0000-0000C2AC0000}"/>
    <cellStyle name="Comma 8 2 3 4 7 2" xfId="48593" xr:uid="{00000000-0005-0000-0000-0000C3AC0000}"/>
    <cellStyle name="Comma 8 2 3 4 8" xfId="48594" xr:uid="{00000000-0005-0000-0000-0000C4AC0000}"/>
    <cellStyle name="Comma 8 2 3 4 9" xfId="48595" xr:uid="{00000000-0005-0000-0000-0000C5AC0000}"/>
    <cellStyle name="Comma 8 2 3 5" xfId="48596" xr:uid="{00000000-0005-0000-0000-0000C6AC0000}"/>
    <cellStyle name="Comma 8 2 3 5 2" xfId="48597" xr:uid="{00000000-0005-0000-0000-0000C7AC0000}"/>
    <cellStyle name="Comma 8 2 3 5 2 2" xfId="48598" xr:uid="{00000000-0005-0000-0000-0000C8AC0000}"/>
    <cellStyle name="Comma 8 2 3 5 2 3" xfId="48599" xr:uid="{00000000-0005-0000-0000-0000C9AC0000}"/>
    <cellStyle name="Comma 8 2 3 5 3" xfId="48600" xr:uid="{00000000-0005-0000-0000-0000CAAC0000}"/>
    <cellStyle name="Comma 8 2 3 5 3 2" xfId="48601" xr:uid="{00000000-0005-0000-0000-0000CBAC0000}"/>
    <cellStyle name="Comma 8 2 3 5 3 3" xfId="48602" xr:uid="{00000000-0005-0000-0000-0000CCAC0000}"/>
    <cellStyle name="Comma 8 2 3 5 4" xfId="48603" xr:uid="{00000000-0005-0000-0000-0000CDAC0000}"/>
    <cellStyle name="Comma 8 2 3 5 4 2" xfId="48604" xr:uid="{00000000-0005-0000-0000-0000CEAC0000}"/>
    <cellStyle name="Comma 8 2 3 5 5" xfId="48605" xr:uid="{00000000-0005-0000-0000-0000CFAC0000}"/>
    <cellStyle name="Comma 8 2 3 5 6" xfId="48606" xr:uid="{00000000-0005-0000-0000-0000D0AC0000}"/>
    <cellStyle name="Comma 8 2 3 6" xfId="48607" xr:uid="{00000000-0005-0000-0000-0000D1AC0000}"/>
    <cellStyle name="Comma 8 2 3 6 2" xfId="48608" xr:uid="{00000000-0005-0000-0000-0000D2AC0000}"/>
    <cellStyle name="Comma 8 2 3 6 2 2" xfId="48609" xr:uid="{00000000-0005-0000-0000-0000D3AC0000}"/>
    <cellStyle name="Comma 8 2 3 6 2 3" xfId="48610" xr:uid="{00000000-0005-0000-0000-0000D4AC0000}"/>
    <cellStyle name="Comma 8 2 3 6 3" xfId="48611" xr:uid="{00000000-0005-0000-0000-0000D5AC0000}"/>
    <cellStyle name="Comma 8 2 3 6 3 2" xfId="48612" xr:uid="{00000000-0005-0000-0000-0000D6AC0000}"/>
    <cellStyle name="Comma 8 2 3 6 3 3" xfId="48613" xr:uid="{00000000-0005-0000-0000-0000D7AC0000}"/>
    <cellStyle name="Comma 8 2 3 6 4" xfId="48614" xr:uid="{00000000-0005-0000-0000-0000D8AC0000}"/>
    <cellStyle name="Comma 8 2 3 6 4 2" xfId="48615" xr:uid="{00000000-0005-0000-0000-0000D9AC0000}"/>
    <cellStyle name="Comma 8 2 3 6 5" xfId="48616" xr:uid="{00000000-0005-0000-0000-0000DAAC0000}"/>
    <cellStyle name="Comma 8 2 3 6 6" xfId="48617" xr:uid="{00000000-0005-0000-0000-0000DBAC0000}"/>
    <cellStyle name="Comma 8 2 3 7" xfId="48618" xr:uid="{00000000-0005-0000-0000-0000DCAC0000}"/>
    <cellStyle name="Comma 8 2 3 7 2" xfId="48619" xr:uid="{00000000-0005-0000-0000-0000DDAC0000}"/>
    <cellStyle name="Comma 8 2 3 7 2 2" xfId="48620" xr:uid="{00000000-0005-0000-0000-0000DEAC0000}"/>
    <cellStyle name="Comma 8 2 3 7 2 3" xfId="48621" xr:uid="{00000000-0005-0000-0000-0000DFAC0000}"/>
    <cellStyle name="Comma 8 2 3 7 3" xfId="48622" xr:uid="{00000000-0005-0000-0000-0000E0AC0000}"/>
    <cellStyle name="Comma 8 2 3 7 3 2" xfId="48623" xr:uid="{00000000-0005-0000-0000-0000E1AC0000}"/>
    <cellStyle name="Comma 8 2 3 7 4" xfId="48624" xr:uid="{00000000-0005-0000-0000-0000E2AC0000}"/>
    <cellStyle name="Comma 8 2 3 7 5" xfId="48625" xr:uid="{00000000-0005-0000-0000-0000E3AC0000}"/>
    <cellStyle name="Comma 8 2 3 8" xfId="48626" xr:uid="{00000000-0005-0000-0000-0000E4AC0000}"/>
    <cellStyle name="Comma 8 2 3 8 2" xfId="48627" xr:uid="{00000000-0005-0000-0000-0000E5AC0000}"/>
    <cellStyle name="Comma 8 2 3 8 3" xfId="48628" xr:uid="{00000000-0005-0000-0000-0000E6AC0000}"/>
    <cellStyle name="Comma 8 2 3 9" xfId="48629" xr:uid="{00000000-0005-0000-0000-0000E7AC0000}"/>
    <cellStyle name="Comma 8 2 3 9 2" xfId="48630" xr:uid="{00000000-0005-0000-0000-0000E8AC0000}"/>
    <cellStyle name="Comma 8 2 3 9 3" xfId="48631" xr:uid="{00000000-0005-0000-0000-0000E9AC0000}"/>
    <cellStyle name="Comma 8 2 4" xfId="9147" xr:uid="{00000000-0005-0000-0000-0000EAAC0000}"/>
    <cellStyle name="Comma 8 2 4 10" xfId="48632" xr:uid="{00000000-0005-0000-0000-0000EBAC0000}"/>
    <cellStyle name="Comma 8 2 4 2" xfId="48633" xr:uid="{00000000-0005-0000-0000-0000ECAC0000}"/>
    <cellStyle name="Comma 8 2 4 2 2" xfId="48634" xr:uid="{00000000-0005-0000-0000-0000EDAC0000}"/>
    <cellStyle name="Comma 8 2 4 2 2 2" xfId="48635" xr:uid="{00000000-0005-0000-0000-0000EEAC0000}"/>
    <cellStyle name="Comma 8 2 4 2 2 2 2" xfId="48636" xr:uid="{00000000-0005-0000-0000-0000EFAC0000}"/>
    <cellStyle name="Comma 8 2 4 2 2 2 3" xfId="48637" xr:uid="{00000000-0005-0000-0000-0000F0AC0000}"/>
    <cellStyle name="Comma 8 2 4 2 2 3" xfId="48638" xr:uid="{00000000-0005-0000-0000-0000F1AC0000}"/>
    <cellStyle name="Comma 8 2 4 2 2 3 2" xfId="48639" xr:uid="{00000000-0005-0000-0000-0000F2AC0000}"/>
    <cellStyle name="Comma 8 2 4 2 2 3 3" xfId="48640" xr:uid="{00000000-0005-0000-0000-0000F3AC0000}"/>
    <cellStyle name="Comma 8 2 4 2 2 4" xfId="48641" xr:uid="{00000000-0005-0000-0000-0000F4AC0000}"/>
    <cellStyle name="Comma 8 2 4 2 2 4 2" xfId="48642" xr:uid="{00000000-0005-0000-0000-0000F5AC0000}"/>
    <cellStyle name="Comma 8 2 4 2 2 5" xfId="48643" xr:uid="{00000000-0005-0000-0000-0000F6AC0000}"/>
    <cellStyle name="Comma 8 2 4 2 2 6" xfId="48644" xr:uid="{00000000-0005-0000-0000-0000F7AC0000}"/>
    <cellStyle name="Comma 8 2 4 2 3" xfId="48645" xr:uid="{00000000-0005-0000-0000-0000F8AC0000}"/>
    <cellStyle name="Comma 8 2 4 2 3 2" xfId="48646" xr:uid="{00000000-0005-0000-0000-0000F9AC0000}"/>
    <cellStyle name="Comma 8 2 4 2 3 2 2" xfId="48647" xr:uid="{00000000-0005-0000-0000-0000FAAC0000}"/>
    <cellStyle name="Comma 8 2 4 2 3 2 3" xfId="48648" xr:uid="{00000000-0005-0000-0000-0000FBAC0000}"/>
    <cellStyle name="Comma 8 2 4 2 3 3" xfId="48649" xr:uid="{00000000-0005-0000-0000-0000FCAC0000}"/>
    <cellStyle name="Comma 8 2 4 2 3 3 2" xfId="48650" xr:uid="{00000000-0005-0000-0000-0000FDAC0000}"/>
    <cellStyle name="Comma 8 2 4 2 3 3 3" xfId="48651" xr:uid="{00000000-0005-0000-0000-0000FEAC0000}"/>
    <cellStyle name="Comma 8 2 4 2 3 4" xfId="48652" xr:uid="{00000000-0005-0000-0000-0000FFAC0000}"/>
    <cellStyle name="Comma 8 2 4 2 3 4 2" xfId="48653" xr:uid="{00000000-0005-0000-0000-000000AD0000}"/>
    <cellStyle name="Comma 8 2 4 2 3 5" xfId="48654" xr:uid="{00000000-0005-0000-0000-000001AD0000}"/>
    <cellStyle name="Comma 8 2 4 2 3 6" xfId="48655" xr:uid="{00000000-0005-0000-0000-000002AD0000}"/>
    <cellStyle name="Comma 8 2 4 2 4" xfId="48656" xr:uid="{00000000-0005-0000-0000-000003AD0000}"/>
    <cellStyle name="Comma 8 2 4 2 4 2" xfId="48657" xr:uid="{00000000-0005-0000-0000-000004AD0000}"/>
    <cellStyle name="Comma 8 2 4 2 4 2 2" xfId="48658" xr:uid="{00000000-0005-0000-0000-000005AD0000}"/>
    <cellStyle name="Comma 8 2 4 2 4 2 3" xfId="48659" xr:uid="{00000000-0005-0000-0000-000006AD0000}"/>
    <cellStyle name="Comma 8 2 4 2 4 3" xfId="48660" xr:uid="{00000000-0005-0000-0000-000007AD0000}"/>
    <cellStyle name="Comma 8 2 4 2 4 3 2" xfId="48661" xr:uid="{00000000-0005-0000-0000-000008AD0000}"/>
    <cellStyle name="Comma 8 2 4 2 4 4" xfId="48662" xr:uid="{00000000-0005-0000-0000-000009AD0000}"/>
    <cellStyle name="Comma 8 2 4 2 4 5" xfId="48663" xr:uid="{00000000-0005-0000-0000-00000AAD0000}"/>
    <cellStyle name="Comma 8 2 4 2 5" xfId="48664" xr:uid="{00000000-0005-0000-0000-00000BAD0000}"/>
    <cellStyle name="Comma 8 2 4 2 5 2" xfId="48665" xr:uid="{00000000-0005-0000-0000-00000CAD0000}"/>
    <cellStyle name="Comma 8 2 4 2 5 3" xfId="48666" xr:uid="{00000000-0005-0000-0000-00000DAD0000}"/>
    <cellStyle name="Comma 8 2 4 2 6" xfId="48667" xr:uid="{00000000-0005-0000-0000-00000EAD0000}"/>
    <cellStyle name="Comma 8 2 4 2 6 2" xfId="48668" xr:uid="{00000000-0005-0000-0000-00000FAD0000}"/>
    <cellStyle name="Comma 8 2 4 2 6 3" xfId="48669" xr:uid="{00000000-0005-0000-0000-000010AD0000}"/>
    <cellStyle name="Comma 8 2 4 2 7" xfId="48670" xr:uid="{00000000-0005-0000-0000-000011AD0000}"/>
    <cellStyle name="Comma 8 2 4 2 7 2" xfId="48671" xr:uid="{00000000-0005-0000-0000-000012AD0000}"/>
    <cellStyle name="Comma 8 2 4 2 8" xfId="48672" xr:uid="{00000000-0005-0000-0000-000013AD0000}"/>
    <cellStyle name="Comma 8 2 4 2 9" xfId="48673" xr:uid="{00000000-0005-0000-0000-000014AD0000}"/>
    <cellStyle name="Comma 8 2 4 3" xfId="48674" xr:uid="{00000000-0005-0000-0000-000015AD0000}"/>
    <cellStyle name="Comma 8 2 4 3 2" xfId="48675" xr:uid="{00000000-0005-0000-0000-000016AD0000}"/>
    <cellStyle name="Comma 8 2 4 3 2 2" xfId="48676" xr:uid="{00000000-0005-0000-0000-000017AD0000}"/>
    <cellStyle name="Comma 8 2 4 3 2 3" xfId="48677" xr:uid="{00000000-0005-0000-0000-000018AD0000}"/>
    <cellStyle name="Comma 8 2 4 3 3" xfId="48678" xr:uid="{00000000-0005-0000-0000-000019AD0000}"/>
    <cellStyle name="Comma 8 2 4 3 3 2" xfId="48679" xr:uid="{00000000-0005-0000-0000-00001AAD0000}"/>
    <cellStyle name="Comma 8 2 4 3 3 3" xfId="48680" xr:uid="{00000000-0005-0000-0000-00001BAD0000}"/>
    <cellStyle name="Comma 8 2 4 3 4" xfId="48681" xr:uid="{00000000-0005-0000-0000-00001CAD0000}"/>
    <cellStyle name="Comma 8 2 4 3 4 2" xfId="48682" xr:uid="{00000000-0005-0000-0000-00001DAD0000}"/>
    <cellStyle name="Comma 8 2 4 3 5" xfId="48683" xr:uid="{00000000-0005-0000-0000-00001EAD0000}"/>
    <cellStyle name="Comma 8 2 4 3 6" xfId="48684" xr:uid="{00000000-0005-0000-0000-00001FAD0000}"/>
    <cellStyle name="Comma 8 2 4 4" xfId="48685" xr:uid="{00000000-0005-0000-0000-000020AD0000}"/>
    <cellStyle name="Comma 8 2 4 4 2" xfId="48686" xr:uid="{00000000-0005-0000-0000-000021AD0000}"/>
    <cellStyle name="Comma 8 2 4 4 2 2" xfId="48687" xr:uid="{00000000-0005-0000-0000-000022AD0000}"/>
    <cellStyle name="Comma 8 2 4 4 2 3" xfId="48688" xr:uid="{00000000-0005-0000-0000-000023AD0000}"/>
    <cellStyle name="Comma 8 2 4 4 3" xfId="48689" xr:uid="{00000000-0005-0000-0000-000024AD0000}"/>
    <cellStyle name="Comma 8 2 4 4 3 2" xfId="48690" xr:uid="{00000000-0005-0000-0000-000025AD0000}"/>
    <cellStyle name="Comma 8 2 4 4 3 3" xfId="48691" xr:uid="{00000000-0005-0000-0000-000026AD0000}"/>
    <cellStyle name="Comma 8 2 4 4 4" xfId="48692" xr:uid="{00000000-0005-0000-0000-000027AD0000}"/>
    <cellStyle name="Comma 8 2 4 4 4 2" xfId="48693" xr:uid="{00000000-0005-0000-0000-000028AD0000}"/>
    <cellStyle name="Comma 8 2 4 4 5" xfId="48694" xr:uid="{00000000-0005-0000-0000-000029AD0000}"/>
    <cellStyle name="Comma 8 2 4 4 6" xfId="48695" xr:uid="{00000000-0005-0000-0000-00002AAD0000}"/>
    <cellStyle name="Comma 8 2 4 5" xfId="48696" xr:uid="{00000000-0005-0000-0000-00002BAD0000}"/>
    <cellStyle name="Comma 8 2 4 5 2" xfId="48697" xr:uid="{00000000-0005-0000-0000-00002CAD0000}"/>
    <cellStyle name="Comma 8 2 4 5 2 2" xfId="48698" xr:uid="{00000000-0005-0000-0000-00002DAD0000}"/>
    <cellStyle name="Comma 8 2 4 5 2 3" xfId="48699" xr:uid="{00000000-0005-0000-0000-00002EAD0000}"/>
    <cellStyle name="Comma 8 2 4 5 3" xfId="48700" xr:uid="{00000000-0005-0000-0000-00002FAD0000}"/>
    <cellStyle name="Comma 8 2 4 5 3 2" xfId="48701" xr:uid="{00000000-0005-0000-0000-000030AD0000}"/>
    <cellStyle name="Comma 8 2 4 5 4" xfId="48702" xr:uid="{00000000-0005-0000-0000-000031AD0000}"/>
    <cellStyle name="Comma 8 2 4 5 5" xfId="48703" xr:uid="{00000000-0005-0000-0000-000032AD0000}"/>
    <cellStyle name="Comma 8 2 4 6" xfId="48704" xr:uid="{00000000-0005-0000-0000-000033AD0000}"/>
    <cellStyle name="Comma 8 2 4 6 2" xfId="48705" xr:uid="{00000000-0005-0000-0000-000034AD0000}"/>
    <cellStyle name="Comma 8 2 4 6 3" xfId="48706" xr:uid="{00000000-0005-0000-0000-000035AD0000}"/>
    <cellStyle name="Comma 8 2 4 7" xfId="48707" xr:uid="{00000000-0005-0000-0000-000036AD0000}"/>
    <cellStyle name="Comma 8 2 4 7 2" xfId="48708" xr:uid="{00000000-0005-0000-0000-000037AD0000}"/>
    <cellStyle name="Comma 8 2 4 7 3" xfId="48709" xr:uid="{00000000-0005-0000-0000-000038AD0000}"/>
    <cellStyle name="Comma 8 2 4 8" xfId="48710" xr:uid="{00000000-0005-0000-0000-000039AD0000}"/>
    <cellStyle name="Comma 8 2 4 8 2" xfId="48711" xr:uid="{00000000-0005-0000-0000-00003AAD0000}"/>
    <cellStyle name="Comma 8 2 4 9" xfId="48712" xr:uid="{00000000-0005-0000-0000-00003BAD0000}"/>
    <cellStyle name="Comma 8 2 5" xfId="48713" xr:uid="{00000000-0005-0000-0000-00003CAD0000}"/>
    <cellStyle name="Comma 8 2 5 2" xfId="48714" xr:uid="{00000000-0005-0000-0000-00003DAD0000}"/>
    <cellStyle name="Comma 8 2 5 2 2" xfId="48715" xr:uid="{00000000-0005-0000-0000-00003EAD0000}"/>
    <cellStyle name="Comma 8 2 5 2 2 2" xfId="48716" xr:uid="{00000000-0005-0000-0000-00003FAD0000}"/>
    <cellStyle name="Comma 8 2 5 2 2 3" xfId="48717" xr:uid="{00000000-0005-0000-0000-000040AD0000}"/>
    <cellStyle name="Comma 8 2 5 2 3" xfId="48718" xr:uid="{00000000-0005-0000-0000-000041AD0000}"/>
    <cellStyle name="Comma 8 2 5 2 3 2" xfId="48719" xr:uid="{00000000-0005-0000-0000-000042AD0000}"/>
    <cellStyle name="Comma 8 2 5 2 3 3" xfId="48720" xr:uid="{00000000-0005-0000-0000-000043AD0000}"/>
    <cellStyle name="Comma 8 2 5 2 4" xfId="48721" xr:uid="{00000000-0005-0000-0000-000044AD0000}"/>
    <cellStyle name="Comma 8 2 5 2 4 2" xfId="48722" xr:uid="{00000000-0005-0000-0000-000045AD0000}"/>
    <cellStyle name="Comma 8 2 5 2 5" xfId="48723" xr:uid="{00000000-0005-0000-0000-000046AD0000}"/>
    <cellStyle name="Comma 8 2 5 2 6" xfId="48724" xr:uid="{00000000-0005-0000-0000-000047AD0000}"/>
    <cellStyle name="Comma 8 2 5 3" xfId="48725" xr:uid="{00000000-0005-0000-0000-000048AD0000}"/>
    <cellStyle name="Comma 8 2 5 3 2" xfId="48726" xr:uid="{00000000-0005-0000-0000-000049AD0000}"/>
    <cellStyle name="Comma 8 2 5 3 2 2" xfId="48727" xr:uid="{00000000-0005-0000-0000-00004AAD0000}"/>
    <cellStyle name="Comma 8 2 5 3 2 3" xfId="48728" xr:uid="{00000000-0005-0000-0000-00004BAD0000}"/>
    <cellStyle name="Comma 8 2 5 3 3" xfId="48729" xr:uid="{00000000-0005-0000-0000-00004CAD0000}"/>
    <cellStyle name="Comma 8 2 5 3 3 2" xfId="48730" xr:uid="{00000000-0005-0000-0000-00004DAD0000}"/>
    <cellStyle name="Comma 8 2 5 3 3 3" xfId="48731" xr:uid="{00000000-0005-0000-0000-00004EAD0000}"/>
    <cellStyle name="Comma 8 2 5 3 4" xfId="48732" xr:uid="{00000000-0005-0000-0000-00004FAD0000}"/>
    <cellStyle name="Comma 8 2 5 3 4 2" xfId="48733" xr:uid="{00000000-0005-0000-0000-000050AD0000}"/>
    <cellStyle name="Comma 8 2 5 3 5" xfId="48734" xr:uid="{00000000-0005-0000-0000-000051AD0000}"/>
    <cellStyle name="Comma 8 2 5 3 6" xfId="48735" xr:uid="{00000000-0005-0000-0000-000052AD0000}"/>
    <cellStyle name="Comma 8 2 5 4" xfId="48736" xr:uid="{00000000-0005-0000-0000-000053AD0000}"/>
    <cellStyle name="Comma 8 2 5 4 2" xfId="48737" xr:uid="{00000000-0005-0000-0000-000054AD0000}"/>
    <cellStyle name="Comma 8 2 5 4 2 2" xfId="48738" xr:uid="{00000000-0005-0000-0000-000055AD0000}"/>
    <cellStyle name="Comma 8 2 5 4 2 3" xfId="48739" xr:uid="{00000000-0005-0000-0000-000056AD0000}"/>
    <cellStyle name="Comma 8 2 5 4 3" xfId="48740" xr:uid="{00000000-0005-0000-0000-000057AD0000}"/>
    <cellStyle name="Comma 8 2 5 4 3 2" xfId="48741" xr:uid="{00000000-0005-0000-0000-000058AD0000}"/>
    <cellStyle name="Comma 8 2 5 4 4" xfId="48742" xr:uid="{00000000-0005-0000-0000-000059AD0000}"/>
    <cellStyle name="Comma 8 2 5 4 5" xfId="48743" xr:uid="{00000000-0005-0000-0000-00005AAD0000}"/>
    <cellStyle name="Comma 8 2 5 5" xfId="48744" xr:uid="{00000000-0005-0000-0000-00005BAD0000}"/>
    <cellStyle name="Comma 8 2 5 5 2" xfId="48745" xr:uid="{00000000-0005-0000-0000-00005CAD0000}"/>
    <cellStyle name="Comma 8 2 5 5 3" xfId="48746" xr:uid="{00000000-0005-0000-0000-00005DAD0000}"/>
    <cellStyle name="Comma 8 2 5 6" xfId="48747" xr:uid="{00000000-0005-0000-0000-00005EAD0000}"/>
    <cellStyle name="Comma 8 2 5 6 2" xfId="48748" xr:uid="{00000000-0005-0000-0000-00005FAD0000}"/>
    <cellStyle name="Comma 8 2 5 6 3" xfId="48749" xr:uid="{00000000-0005-0000-0000-000060AD0000}"/>
    <cellStyle name="Comma 8 2 5 7" xfId="48750" xr:uid="{00000000-0005-0000-0000-000061AD0000}"/>
    <cellStyle name="Comma 8 2 5 7 2" xfId="48751" xr:uid="{00000000-0005-0000-0000-000062AD0000}"/>
    <cellStyle name="Comma 8 2 5 8" xfId="48752" xr:uid="{00000000-0005-0000-0000-000063AD0000}"/>
    <cellStyle name="Comma 8 2 5 9" xfId="48753" xr:uid="{00000000-0005-0000-0000-000064AD0000}"/>
    <cellStyle name="Comma 8 2 6" xfId="48754" xr:uid="{00000000-0005-0000-0000-000065AD0000}"/>
    <cellStyle name="Comma 8 2 6 2" xfId="48755" xr:uid="{00000000-0005-0000-0000-000066AD0000}"/>
    <cellStyle name="Comma 8 2 6 2 2" xfId="48756" xr:uid="{00000000-0005-0000-0000-000067AD0000}"/>
    <cellStyle name="Comma 8 2 6 2 2 2" xfId="48757" xr:uid="{00000000-0005-0000-0000-000068AD0000}"/>
    <cellStyle name="Comma 8 2 6 2 2 3" xfId="48758" xr:uid="{00000000-0005-0000-0000-000069AD0000}"/>
    <cellStyle name="Comma 8 2 6 2 3" xfId="48759" xr:uid="{00000000-0005-0000-0000-00006AAD0000}"/>
    <cellStyle name="Comma 8 2 6 2 3 2" xfId="48760" xr:uid="{00000000-0005-0000-0000-00006BAD0000}"/>
    <cellStyle name="Comma 8 2 6 2 3 3" xfId="48761" xr:uid="{00000000-0005-0000-0000-00006CAD0000}"/>
    <cellStyle name="Comma 8 2 6 2 4" xfId="48762" xr:uid="{00000000-0005-0000-0000-00006DAD0000}"/>
    <cellStyle name="Comma 8 2 6 2 4 2" xfId="48763" xr:uid="{00000000-0005-0000-0000-00006EAD0000}"/>
    <cellStyle name="Comma 8 2 6 2 5" xfId="48764" xr:uid="{00000000-0005-0000-0000-00006FAD0000}"/>
    <cellStyle name="Comma 8 2 6 2 6" xfId="48765" xr:uid="{00000000-0005-0000-0000-000070AD0000}"/>
    <cellStyle name="Comma 8 2 6 3" xfId="48766" xr:uid="{00000000-0005-0000-0000-000071AD0000}"/>
    <cellStyle name="Comma 8 2 6 3 2" xfId="48767" xr:uid="{00000000-0005-0000-0000-000072AD0000}"/>
    <cellStyle name="Comma 8 2 6 3 2 2" xfId="48768" xr:uid="{00000000-0005-0000-0000-000073AD0000}"/>
    <cellStyle name="Comma 8 2 6 3 2 3" xfId="48769" xr:uid="{00000000-0005-0000-0000-000074AD0000}"/>
    <cellStyle name="Comma 8 2 6 3 3" xfId="48770" xr:uid="{00000000-0005-0000-0000-000075AD0000}"/>
    <cellStyle name="Comma 8 2 6 3 3 2" xfId="48771" xr:uid="{00000000-0005-0000-0000-000076AD0000}"/>
    <cellStyle name="Comma 8 2 6 3 3 3" xfId="48772" xr:uid="{00000000-0005-0000-0000-000077AD0000}"/>
    <cellStyle name="Comma 8 2 6 3 4" xfId="48773" xr:uid="{00000000-0005-0000-0000-000078AD0000}"/>
    <cellStyle name="Comma 8 2 6 3 4 2" xfId="48774" xr:uid="{00000000-0005-0000-0000-000079AD0000}"/>
    <cellStyle name="Comma 8 2 6 3 5" xfId="48775" xr:uid="{00000000-0005-0000-0000-00007AAD0000}"/>
    <cellStyle name="Comma 8 2 6 3 6" xfId="48776" xr:uid="{00000000-0005-0000-0000-00007BAD0000}"/>
    <cellStyle name="Comma 8 2 6 4" xfId="48777" xr:uid="{00000000-0005-0000-0000-00007CAD0000}"/>
    <cellStyle name="Comma 8 2 6 4 2" xfId="48778" xr:uid="{00000000-0005-0000-0000-00007DAD0000}"/>
    <cellStyle name="Comma 8 2 6 4 2 2" xfId="48779" xr:uid="{00000000-0005-0000-0000-00007EAD0000}"/>
    <cellStyle name="Comma 8 2 6 4 2 3" xfId="48780" xr:uid="{00000000-0005-0000-0000-00007FAD0000}"/>
    <cellStyle name="Comma 8 2 6 4 3" xfId="48781" xr:uid="{00000000-0005-0000-0000-000080AD0000}"/>
    <cellStyle name="Comma 8 2 6 4 3 2" xfId="48782" xr:uid="{00000000-0005-0000-0000-000081AD0000}"/>
    <cellStyle name="Comma 8 2 6 4 4" xfId="48783" xr:uid="{00000000-0005-0000-0000-000082AD0000}"/>
    <cellStyle name="Comma 8 2 6 4 5" xfId="48784" xr:uid="{00000000-0005-0000-0000-000083AD0000}"/>
    <cellStyle name="Comma 8 2 6 5" xfId="48785" xr:uid="{00000000-0005-0000-0000-000084AD0000}"/>
    <cellStyle name="Comma 8 2 6 5 2" xfId="48786" xr:uid="{00000000-0005-0000-0000-000085AD0000}"/>
    <cellStyle name="Comma 8 2 6 5 3" xfId="48787" xr:uid="{00000000-0005-0000-0000-000086AD0000}"/>
    <cellStyle name="Comma 8 2 6 6" xfId="48788" xr:uid="{00000000-0005-0000-0000-000087AD0000}"/>
    <cellStyle name="Comma 8 2 6 6 2" xfId="48789" xr:uid="{00000000-0005-0000-0000-000088AD0000}"/>
    <cellStyle name="Comma 8 2 6 6 3" xfId="48790" xr:uid="{00000000-0005-0000-0000-000089AD0000}"/>
    <cellStyle name="Comma 8 2 6 7" xfId="48791" xr:uid="{00000000-0005-0000-0000-00008AAD0000}"/>
    <cellStyle name="Comma 8 2 6 7 2" xfId="48792" xr:uid="{00000000-0005-0000-0000-00008BAD0000}"/>
    <cellStyle name="Comma 8 2 6 8" xfId="48793" xr:uid="{00000000-0005-0000-0000-00008CAD0000}"/>
    <cellStyle name="Comma 8 2 6 9" xfId="48794" xr:uid="{00000000-0005-0000-0000-00008DAD0000}"/>
    <cellStyle name="Comma 8 2 7" xfId="48795" xr:uid="{00000000-0005-0000-0000-00008EAD0000}"/>
    <cellStyle name="Comma 8 2 7 2" xfId="48796" xr:uid="{00000000-0005-0000-0000-00008FAD0000}"/>
    <cellStyle name="Comma 8 2 7 2 2" xfId="48797" xr:uid="{00000000-0005-0000-0000-000090AD0000}"/>
    <cellStyle name="Comma 8 2 7 2 3" xfId="48798" xr:uid="{00000000-0005-0000-0000-000091AD0000}"/>
    <cellStyle name="Comma 8 2 7 3" xfId="48799" xr:uid="{00000000-0005-0000-0000-000092AD0000}"/>
    <cellStyle name="Comma 8 2 7 3 2" xfId="48800" xr:uid="{00000000-0005-0000-0000-000093AD0000}"/>
    <cellStyle name="Comma 8 2 7 3 3" xfId="48801" xr:uid="{00000000-0005-0000-0000-000094AD0000}"/>
    <cellStyle name="Comma 8 2 7 4" xfId="48802" xr:uid="{00000000-0005-0000-0000-000095AD0000}"/>
    <cellStyle name="Comma 8 2 7 4 2" xfId="48803" xr:uid="{00000000-0005-0000-0000-000096AD0000}"/>
    <cellStyle name="Comma 8 2 7 5" xfId="48804" xr:uid="{00000000-0005-0000-0000-000097AD0000}"/>
    <cellStyle name="Comma 8 2 7 6" xfId="48805" xr:uid="{00000000-0005-0000-0000-000098AD0000}"/>
    <cellStyle name="Comma 8 2 8" xfId="48806" xr:uid="{00000000-0005-0000-0000-000099AD0000}"/>
    <cellStyle name="Comma 8 2 8 2" xfId="48807" xr:uid="{00000000-0005-0000-0000-00009AAD0000}"/>
    <cellStyle name="Comma 8 2 8 2 2" xfId="48808" xr:uid="{00000000-0005-0000-0000-00009BAD0000}"/>
    <cellStyle name="Comma 8 2 8 2 3" xfId="48809" xr:uid="{00000000-0005-0000-0000-00009CAD0000}"/>
    <cellStyle name="Comma 8 2 8 3" xfId="48810" xr:uid="{00000000-0005-0000-0000-00009DAD0000}"/>
    <cellStyle name="Comma 8 2 8 3 2" xfId="48811" xr:uid="{00000000-0005-0000-0000-00009EAD0000}"/>
    <cellStyle name="Comma 8 2 8 3 3" xfId="48812" xr:uid="{00000000-0005-0000-0000-00009FAD0000}"/>
    <cellStyle name="Comma 8 2 8 4" xfId="48813" xr:uid="{00000000-0005-0000-0000-0000A0AD0000}"/>
    <cellStyle name="Comma 8 2 8 4 2" xfId="48814" xr:uid="{00000000-0005-0000-0000-0000A1AD0000}"/>
    <cellStyle name="Comma 8 2 8 5" xfId="48815" xr:uid="{00000000-0005-0000-0000-0000A2AD0000}"/>
    <cellStyle name="Comma 8 2 8 6" xfId="48816" xr:uid="{00000000-0005-0000-0000-0000A3AD0000}"/>
    <cellStyle name="Comma 8 2 9" xfId="48817" xr:uid="{00000000-0005-0000-0000-0000A4AD0000}"/>
    <cellStyle name="Comma 8 2 9 2" xfId="48818" xr:uid="{00000000-0005-0000-0000-0000A5AD0000}"/>
    <cellStyle name="Comma 8 2 9 2 2" xfId="48819" xr:uid="{00000000-0005-0000-0000-0000A6AD0000}"/>
    <cellStyle name="Comma 8 2 9 2 3" xfId="48820" xr:uid="{00000000-0005-0000-0000-0000A7AD0000}"/>
    <cellStyle name="Comma 8 2 9 3" xfId="48821" xr:uid="{00000000-0005-0000-0000-0000A8AD0000}"/>
    <cellStyle name="Comma 8 2 9 3 2" xfId="48822" xr:uid="{00000000-0005-0000-0000-0000A9AD0000}"/>
    <cellStyle name="Comma 8 2 9 4" xfId="48823" xr:uid="{00000000-0005-0000-0000-0000AAAD0000}"/>
    <cellStyle name="Comma 8 2 9 5" xfId="48824" xr:uid="{00000000-0005-0000-0000-0000ABAD0000}"/>
    <cellStyle name="Comma 8 3" xfId="3743" xr:uid="{00000000-0005-0000-0000-0000ACAD0000}"/>
    <cellStyle name="Comma 8 3 10" xfId="48825" xr:uid="{00000000-0005-0000-0000-0000ADAD0000}"/>
    <cellStyle name="Comma 8 3 10 2" xfId="48826" xr:uid="{00000000-0005-0000-0000-0000AEAD0000}"/>
    <cellStyle name="Comma 8 3 10 3" xfId="48827" xr:uid="{00000000-0005-0000-0000-0000AFAD0000}"/>
    <cellStyle name="Comma 8 3 11" xfId="48828" xr:uid="{00000000-0005-0000-0000-0000B0AD0000}"/>
    <cellStyle name="Comma 8 3 11 2" xfId="48829" xr:uid="{00000000-0005-0000-0000-0000B1AD0000}"/>
    <cellStyle name="Comma 8 3 12" xfId="48830" xr:uid="{00000000-0005-0000-0000-0000B2AD0000}"/>
    <cellStyle name="Comma 8 3 13" xfId="48831" xr:uid="{00000000-0005-0000-0000-0000B3AD0000}"/>
    <cellStyle name="Comma 8 3 14" xfId="48832" xr:uid="{00000000-0005-0000-0000-0000B4AD0000}"/>
    <cellStyle name="Comma 8 3 2" xfId="9148" xr:uid="{00000000-0005-0000-0000-0000B5AD0000}"/>
    <cellStyle name="Comma 8 3 2 10" xfId="48833" xr:uid="{00000000-0005-0000-0000-0000B6AD0000}"/>
    <cellStyle name="Comma 8 3 2 10 2" xfId="48834" xr:uid="{00000000-0005-0000-0000-0000B7AD0000}"/>
    <cellStyle name="Comma 8 3 2 11" xfId="48835" xr:uid="{00000000-0005-0000-0000-0000B8AD0000}"/>
    <cellStyle name="Comma 8 3 2 12" xfId="48836" xr:uid="{00000000-0005-0000-0000-0000B9AD0000}"/>
    <cellStyle name="Comma 8 3 2 13" xfId="48837" xr:uid="{00000000-0005-0000-0000-0000BAAD0000}"/>
    <cellStyle name="Comma 8 3 2 2" xfId="48838" xr:uid="{00000000-0005-0000-0000-0000BBAD0000}"/>
    <cellStyle name="Comma 8 3 2 2 10" xfId="48839" xr:uid="{00000000-0005-0000-0000-0000BCAD0000}"/>
    <cellStyle name="Comma 8 3 2 2 2" xfId="48840" xr:uid="{00000000-0005-0000-0000-0000BDAD0000}"/>
    <cellStyle name="Comma 8 3 2 2 2 2" xfId="48841" xr:uid="{00000000-0005-0000-0000-0000BEAD0000}"/>
    <cellStyle name="Comma 8 3 2 2 2 2 2" xfId="48842" xr:uid="{00000000-0005-0000-0000-0000BFAD0000}"/>
    <cellStyle name="Comma 8 3 2 2 2 2 2 2" xfId="48843" xr:uid="{00000000-0005-0000-0000-0000C0AD0000}"/>
    <cellStyle name="Comma 8 3 2 2 2 2 2 3" xfId="48844" xr:uid="{00000000-0005-0000-0000-0000C1AD0000}"/>
    <cellStyle name="Comma 8 3 2 2 2 2 3" xfId="48845" xr:uid="{00000000-0005-0000-0000-0000C2AD0000}"/>
    <cellStyle name="Comma 8 3 2 2 2 2 3 2" xfId="48846" xr:uid="{00000000-0005-0000-0000-0000C3AD0000}"/>
    <cellStyle name="Comma 8 3 2 2 2 2 3 3" xfId="48847" xr:uid="{00000000-0005-0000-0000-0000C4AD0000}"/>
    <cellStyle name="Comma 8 3 2 2 2 2 4" xfId="48848" xr:uid="{00000000-0005-0000-0000-0000C5AD0000}"/>
    <cellStyle name="Comma 8 3 2 2 2 2 4 2" xfId="48849" xr:uid="{00000000-0005-0000-0000-0000C6AD0000}"/>
    <cellStyle name="Comma 8 3 2 2 2 2 5" xfId="48850" xr:uid="{00000000-0005-0000-0000-0000C7AD0000}"/>
    <cellStyle name="Comma 8 3 2 2 2 2 6" xfId="48851" xr:uid="{00000000-0005-0000-0000-0000C8AD0000}"/>
    <cellStyle name="Comma 8 3 2 2 2 3" xfId="48852" xr:uid="{00000000-0005-0000-0000-0000C9AD0000}"/>
    <cellStyle name="Comma 8 3 2 2 2 3 2" xfId="48853" xr:uid="{00000000-0005-0000-0000-0000CAAD0000}"/>
    <cellStyle name="Comma 8 3 2 2 2 3 2 2" xfId="48854" xr:uid="{00000000-0005-0000-0000-0000CBAD0000}"/>
    <cellStyle name="Comma 8 3 2 2 2 3 2 3" xfId="48855" xr:uid="{00000000-0005-0000-0000-0000CCAD0000}"/>
    <cellStyle name="Comma 8 3 2 2 2 3 3" xfId="48856" xr:uid="{00000000-0005-0000-0000-0000CDAD0000}"/>
    <cellStyle name="Comma 8 3 2 2 2 3 3 2" xfId="48857" xr:uid="{00000000-0005-0000-0000-0000CEAD0000}"/>
    <cellStyle name="Comma 8 3 2 2 2 3 3 3" xfId="48858" xr:uid="{00000000-0005-0000-0000-0000CFAD0000}"/>
    <cellStyle name="Comma 8 3 2 2 2 3 4" xfId="48859" xr:uid="{00000000-0005-0000-0000-0000D0AD0000}"/>
    <cellStyle name="Comma 8 3 2 2 2 3 4 2" xfId="48860" xr:uid="{00000000-0005-0000-0000-0000D1AD0000}"/>
    <cellStyle name="Comma 8 3 2 2 2 3 5" xfId="48861" xr:uid="{00000000-0005-0000-0000-0000D2AD0000}"/>
    <cellStyle name="Comma 8 3 2 2 2 3 6" xfId="48862" xr:uid="{00000000-0005-0000-0000-0000D3AD0000}"/>
    <cellStyle name="Comma 8 3 2 2 2 4" xfId="48863" xr:uid="{00000000-0005-0000-0000-0000D4AD0000}"/>
    <cellStyle name="Comma 8 3 2 2 2 4 2" xfId="48864" xr:uid="{00000000-0005-0000-0000-0000D5AD0000}"/>
    <cellStyle name="Comma 8 3 2 2 2 4 2 2" xfId="48865" xr:uid="{00000000-0005-0000-0000-0000D6AD0000}"/>
    <cellStyle name="Comma 8 3 2 2 2 4 2 3" xfId="48866" xr:uid="{00000000-0005-0000-0000-0000D7AD0000}"/>
    <cellStyle name="Comma 8 3 2 2 2 4 3" xfId="48867" xr:uid="{00000000-0005-0000-0000-0000D8AD0000}"/>
    <cellStyle name="Comma 8 3 2 2 2 4 3 2" xfId="48868" xr:uid="{00000000-0005-0000-0000-0000D9AD0000}"/>
    <cellStyle name="Comma 8 3 2 2 2 4 4" xfId="48869" xr:uid="{00000000-0005-0000-0000-0000DAAD0000}"/>
    <cellStyle name="Comma 8 3 2 2 2 4 5" xfId="48870" xr:uid="{00000000-0005-0000-0000-0000DBAD0000}"/>
    <cellStyle name="Comma 8 3 2 2 2 5" xfId="48871" xr:uid="{00000000-0005-0000-0000-0000DCAD0000}"/>
    <cellStyle name="Comma 8 3 2 2 2 5 2" xfId="48872" xr:uid="{00000000-0005-0000-0000-0000DDAD0000}"/>
    <cellStyle name="Comma 8 3 2 2 2 5 3" xfId="48873" xr:uid="{00000000-0005-0000-0000-0000DEAD0000}"/>
    <cellStyle name="Comma 8 3 2 2 2 6" xfId="48874" xr:uid="{00000000-0005-0000-0000-0000DFAD0000}"/>
    <cellStyle name="Comma 8 3 2 2 2 6 2" xfId="48875" xr:uid="{00000000-0005-0000-0000-0000E0AD0000}"/>
    <cellStyle name="Comma 8 3 2 2 2 6 3" xfId="48876" xr:uid="{00000000-0005-0000-0000-0000E1AD0000}"/>
    <cellStyle name="Comma 8 3 2 2 2 7" xfId="48877" xr:uid="{00000000-0005-0000-0000-0000E2AD0000}"/>
    <cellStyle name="Comma 8 3 2 2 2 7 2" xfId="48878" xr:uid="{00000000-0005-0000-0000-0000E3AD0000}"/>
    <cellStyle name="Comma 8 3 2 2 2 8" xfId="48879" xr:uid="{00000000-0005-0000-0000-0000E4AD0000}"/>
    <cellStyle name="Comma 8 3 2 2 2 9" xfId="48880" xr:uid="{00000000-0005-0000-0000-0000E5AD0000}"/>
    <cellStyle name="Comma 8 3 2 2 3" xfId="48881" xr:uid="{00000000-0005-0000-0000-0000E6AD0000}"/>
    <cellStyle name="Comma 8 3 2 2 3 2" xfId="48882" xr:uid="{00000000-0005-0000-0000-0000E7AD0000}"/>
    <cellStyle name="Comma 8 3 2 2 3 2 2" xfId="48883" xr:uid="{00000000-0005-0000-0000-0000E8AD0000}"/>
    <cellStyle name="Comma 8 3 2 2 3 2 3" xfId="48884" xr:uid="{00000000-0005-0000-0000-0000E9AD0000}"/>
    <cellStyle name="Comma 8 3 2 2 3 3" xfId="48885" xr:uid="{00000000-0005-0000-0000-0000EAAD0000}"/>
    <cellStyle name="Comma 8 3 2 2 3 3 2" xfId="48886" xr:uid="{00000000-0005-0000-0000-0000EBAD0000}"/>
    <cellStyle name="Comma 8 3 2 2 3 3 3" xfId="48887" xr:uid="{00000000-0005-0000-0000-0000ECAD0000}"/>
    <cellStyle name="Comma 8 3 2 2 3 4" xfId="48888" xr:uid="{00000000-0005-0000-0000-0000EDAD0000}"/>
    <cellStyle name="Comma 8 3 2 2 3 4 2" xfId="48889" xr:uid="{00000000-0005-0000-0000-0000EEAD0000}"/>
    <cellStyle name="Comma 8 3 2 2 3 5" xfId="48890" xr:uid="{00000000-0005-0000-0000-0000EFAD0000}"/>
    <cellStyle name="Comma 8 3 2 2 3 6" xfId="48891" xr:uid="{00000000-0005-0000-0000-0000F0AD0000}"/>
    <cellStyle name="Comma 8 3 2 2 4" xfId="48892" xr:uid="{00000000-0005-0000-0000-0000F1AD0000}"/>
    <cellStyle name="Comma 8 3 2 2 4 2" xfId="48893" xr:uid="{00000000-0005-0000-0000-0000F2AD0000}"/>
    <cellStyle name="Comma 8 3 2 2 4 2 2" xfId="48894" xr:uid="{00000000-0005-0000-0000-0000F3AD0000}"/>
    <cellStyle name="Comma 8 3 2 2 4 2 3" xfId="48895" xr:uid="{00000000-0005-0000-0000-0000F4AD0000}"/>
    <cellStyle name="Comma 8 3 2 2 4 3" xfId="48896" xr:uid="{00000000-0005-0000-0000-0000F5AD0000}"/>
    <cellStyle name="Comma 8 3 2 2 4 3 2" xfId="48897" xr:uid="{00000000-0005-0000-0000-0000F6AD0000}"/>
    <cellStyle name="Comma 8 3 2 2 4 3 3" xfId="48898" xr:uid="{00000000-0005-0000-0000-0000F7AD0000}"/>
    <cellStyle name="Comma 8 3 2 2 4 4" xfId="48899" xr:uid="{00000000-0005-0000-0000-0000F8AD0000}"/>
    <cellStyle name="Comma 8 3 2 2 4 4 2" xfId="48900" xr:uid="{00000000-0005-0000-0000-0000F9AD0000}"/>
    <cellStyle name="Comma 8 3 2 2 4 5" xfId="48901" xr:uid="{00000000-0005-0000-0000-0000FAAD0000}"/>
    <cellStyle name="Comma 8 3 2 2 4 6" xfId="48902" xr:uid="{00000000-0005-0000-0000-0000FBAD0000}"/>
    <cellStyle name="Comma 8 3 2 2 5" xfId="48903" xr:uid="{00000000-0005-0000-0000-0000FCAD0000}"/>
    <cellStyle name="Comma 8 3 2 2 5 2" xfId="48904" xr:uid="{00000000-0005-0000-0000-0000FDAD0000}"/>
    <cellStyle name="Comma 8 3 2 2 5 2 2" xfId="48905" xr:uid="{00000000-0005-0000-0000-0000FEAD0000}"/>
    <cellStyle name="Comma 8 3 2 2 5 2 3" xfId="48906" xr:uid="{00000000-0005-0000-0000-0000FFAD0000}"/>
    <cellStyle name="Comma 8 3 2 2 5 3" xfId="48907" xr:uid="{00000000-0005-0000-0000-000000AE0000}"/>
    <cellStyle name="Comma 8 3 2 2 5 3 2" xfId="48908" xr:uid="{00000000-0005-0000-0000-000001AE0000}"/>
    <cellStyle name="Comma 8 3 2 2 5 4" xfId="48909" xr:uid="{00000000-0005-0000-0000-000002AE0000}"/>
    <cellStyle name="Comma 8 3 2 2 5 5" xfId="48910" xr:uid="{00000000-0005-0000-0000-000003AE0000}"/>
    <cellStyle name="Comma 8 3 2 2 6" xfId="48911" xr:uid="{00000000-0005-0000-0000-000004AE0000}"/>
    <cellStyle name="Comma 8 3 2 2 6 2" xfId="48912" xr:uid="{00000000-0005-0000-0000-000005AE0000}"/>
    <cellStyle name="Comma 8 3 2 2 6 3" xfId="48913" xr:uid="{00000000-0005-0000-0000-000006AE0000}"/>
    <cellStyle name="Comma 8 3 2 2 7" xfId="48914" xr:uid="{00000000-0005-0000-0000-000007AE0000}"/>
    <cellStyle name="Comma 8 3 2 2 7 2" xfId="48915" xr:uid="{00000000-0005-0000-0000-000008AE0000}"/>
    <cellStyle name="Comma 8 3 2 2 7 3" xfId="48916" xr:uid="{00000000-0005-0000-0000-000009AE0000}"/>
    <cellStyle name="Comma 8 3 2 2 8" xfId="48917" xr:uid="{00000000-0005-0000-0000-00000AAE0000}"/>
    <cellStyle name="Comma 8 3 2 2 8 2" xfId="48918" xr:uid="{00000000-0005-0000-0000-00000BAE0000}"/>
    <cellStyle name="Comma 8 3 2 2 9" xfId="48919" xr:uid="{00000000-0005-0000-0000-00000CAE0000}"/>
    <cellStyle name="Comma 8 3 2 3" xfId="48920" xr:uid="{00000000-0005-0000-0000-00000DAE0000}"/>
    <cellStyle name="Comma 8 3 2 3 2" xfId="48921" xr:uid="{00000000-0005-0000-0000-00000EAE0000}"/>
    <cellStyle name="Comma 8 3 2 3 2 2" xfId="48922" xr:uid="{00000000-0005-0000-0000-00000FAE0000}"/>
    <cellStyle name="Comma 8 3 2 3 2 2 2" xfId="48923" xr:uid="{00000000-0005-0000-0000-000010AE0000}"/>
    <cellStyle name="Comma 8 3 2 3 2 2 3" xfId="48924" xr:uid="{00000000-0005-0000-0000-000011AE0000}"/>
    <cellStyle name="Comma 8 3 2 3 2 3" xfId="48925" xr:uid="{00000000-0005-0000-0000-000012AE0000}"/>
    <cellStyle name="Comma 8 3 2 3 2 3 2" xfId="48926" xr:uid="{00000000-0005-0000-0000-000013AE0000}"/>
    <cellStyle name="Comma 8 3 2 3 2 3 3" xfId="48927" xr:uid="{00000000-0005-0000-0000-000014AE0000}"/>
    <cellStyle name="Comma 8 3 2 3 2 4" xfId="48928" xr:uid="{00000000-0005-0000-0000-000015AE0000}"/>
    <cellStyle name="Comma 8 3 2 3 2 4 2" xfId="48929" xr:uid="{00000000-0005-0000-0000-000016AE0000}"/>
    <cellStyle name="Comma 8 3 2 3 2 5" xfId="48930" xr:uid="{00000000-0005-0000-0000-000017AE0000}"/>
    <cellStyle name="Comma 8 3 2 3 2 6" xfId="48931" xr:uid="{00000000-0005-0000-0000-000018AE0000}"/>
    <cellStyle name="Comma 8 3 2 3 3" xfId="48932" xr:uid="{00000000-0005-0000-0000-000019AE0000}"/>
    <cellStyle name="Comma 8 3 2 3 3 2" xfId="48933" xr:uid="{00000000-0005-0000-0000-00001AAE0000}"/>
    <cellStyle name="Comma 8 3 2 3 3 2 2" xfId="48934" xr:uid="{00000000-0005-0000-0000-00001BAE0000}"/>
    <cellStyle name="Comma 8 3 2 3 3 2 3" xfId="48935" xr:uid="{00000000-0005-0000-0000-00001CAE0000}"/>
    <cellStyle name="Comma 8 3 2 3 3 3" xfId="48936" xr:uid="{00000000-0005-0000-0000-00001DAE0000}"/>
    <cellStyle name="Comma 8 3 2 3 3 3 2" xfId="48937" xr:uid="{00000000-0005-0000-0000-00001EAE0000}"/>
    <cellStyle name="Comma 8 3 2 3 3 3 3" xfId="48938" xr:uid="{00000000-0005-0000-0000-00001FAE0000}"/>
    <cellStyle name="Comma 8 3 2 3 3 4" xfId="48939" xr:uid="{00000000-0005-0000-0000-000020AE0000}"/>
    <cellStyle name="Comma 8 3 2 3 3 4 2" xfId="48940" xr:uid="{00000000-0005-0000-0000-000021AE0000}"/>
    <cellStyle name="Comma 8 3 2 3 3 5" xfId="48941" xr:uid="{00000000-0005-0000-0000-000022AE0000}"/>
    <cellStyle name="Comma 8 3 2 3 3 6" xfId="48942" xr:uid="{00000000-0005-0000-0000-000023AE0000}"/>
    <cellStyle name="Comma 8 3 2 3 4" xfId="48943" xr:uid="{00000000-0005-0000-0000-000024AE0000}"/>
    <cellStyle name="Comma 8 3 2 3 4 2" xfId="48944" xr:uid="{00000000-0005-0000-0000-000025AE0000}"/>
    <cellStyle name="Comma 8 3 2 3 4 2 2" xfId="48945" xr:uid="{00000000-0005-0000-0000-000026AE0000}"/>
    <cellStyle name="Comma 8 3 2 3 4 2 3" xfId="48946" xr:uid="{00000000-0005-0000-0000-000027AE0000}"/>
    <cellStyle name="Comma 8 3 2 3 4 3" xfId="48947" xr:uid="{00000000-0005-0000-0000-000028AE0000}"/>
    <cellStyle name="Comma 8 3 2 3 4 3 2" xfId="48948" xr:uid="{00000000-0005-0000-0000-000029AE0000}"/>
    <cellStyle name="Comma 8 3 2 3 4 4" xfId="48949" xr:uid="{00000000-0005-0000-0000-00002AAE0000}"/>
    <cellStyle name="Comma 8 3 2 3 4 5" xfId="48950" xr:uid="{00000000-0005-0000-0000-00002BAE0000}"/>
    <cellStyle name="Comma 8 3 2 3 5" xfId="48951" xr:uid="{00000000-0005-0000-0000-00002CAE0000}"/>
    <cellStyle name="Comma 8 3 2 3 5 2" xfId="48952" xr:uid="{00000000-0005-0000-0000-00002DAE0000}"/>
    <cellStyle name="Comma 8 3 2 3 5 3" xfId="48953" xr:uid="{00000000-0005-0000-0000-00002EAE0000}"/>
    <cellStyle name="Comma 8 3 2 3 6" xfId="48954" xr:uid="{00000000-0005-0000-0000-00002FAE0000}"/>
    <cellStyle name="Comma 8 3 2 3 6 2" xfId="48955" xr:uid="{00000000-0005-0000-0000-000030AE0000}"/>
    <cellStyle name="Comma 8 3 2 3 6 3" xfId="48956" xr:uid="{00000000-0005-0000-0000-000031AE0000}"/>
    <cellStyle name="Comma 8 3 2 3 7" xfId="48957" xr:uid="{00000000-0005-0000-0000-000032AE0000}"/>
    <cellStyle name="Comma 8 3 2 3 7 2" xfId="48958" xr:uid="{00000000-0005-0000-0000-000033AE0000}"/>
    <cellStyle name="Comma 8 3 2 3 8" xfId="48959" xr:uid="{00000000-0005-0000-0000-000034AE0000}"/>
    <cellStyle name="Comma 8 3 2 3 9" xfId="48960" xr:uid="{00000000-0005-0000-0000-000035AE0000}"/>
    <cellStyle name="Comma 8 3 2 4" xfId="48961" xr:uid="{00000000-0005-0000-0000-000036AE0000}"/>
    <cellStyle name="Comma 8 3 2 4 2" xfId="48962" xr:uid="{00000000-0005-0000-0000-000037AE0000}"/>
    <cellStyle name="Comma 8 3 2 4 2 2" xfId="48963" xr:uid="{00000000-0005-0000-0000-000038AE0000}"/>
    <cellStyle name="Comma 8 3 2 4 2 2 2" xfId="48964" xr:uid="{00000000-0005-0000-0000-000039AE0000}"/>
    <cellStyle name="Comma 8 3 2 4 2 2 3" xfId="48965" xr:uid="{00000000-0005-0000-0000-00003AAE0000}"/>
    <cellStyle name="Comma 8 3 2 4 2 3" xfId="48966" xr:uid="{00000000-0005-0000-0000-00003BAE0000}"/>
    <cellStyle name="Comma 8 3 2 4 2 3 2" xfId="48967" xr:uid="{00000000-0005-0000-0000-00003CAE0000}"/>
    <cellStyle name="Comma 8 3 2 4 2 3 3" xfId="48968" xr:uid="{00000000-0005-0000-0000-00003DAE0000}"/>
    <cellStyle name="Comma 8 3 2 4 2 4" xfId="48969" xr:uid="{00000000-0005-0000-0000-00003EAE0000}"/>
    <cellStyle name="Comma 8 3 2 4 2 4 2" xfId="48970" xr:uid="{00000000-0005-0000-0000-00003FAE0000}"/>
    <cellStyle name="Comma 8 3 2 4 2 5" xfId="48971" xr:uid="{00000000-0005-0000-0000-000040AE0000}"/>
    <cellStyle name="Comma 8 3 2 4 2 6" xfId="48972" xr:uid="{00000000-0005-0000-0000-000041AE0000}"/>
    <cellStyle name="Comma 8 3 2 4 3" xfId="48973" xr:uid="{00000000-0005-0000-0000-000042AE0000}"/>
    <cellStyle name="Comma 8 3 2 4 3 2" xfId="48974" xr:uid="{00000000-0005-0000-0000-000043AE0000}"/>
    <cellStyle name="Comma 8 3 2 4 3 2 2" xfId="48975" xr:uid="{00000000-0005-0000-0000-000044AE0000}"/>
    <cellStyle name="Comma 8 3 2 4 3 2 3" xfId="48976" xr:uid="{00000000-0005-0000-0000-000045AE0000}"/>
    <cellStyle name="Comma 8 3 2 4 3 3" xfId="48977" xr:uid="{00000000-0005-0000-0000-000046AE0000}"/>
    <cellStyle name="Comma 8 3 2 4 3 3 2" xfId="48978" xr:uid="{00000000-0005-0000-0000-000047AE0000}"/>
    <cellStyle name="Comma 8 3 2 4 3 3 3" xfId="48979" xr:uid="{00000000-0005-0000-0000-000048AE0000}"/>
    <cellStyle name="Comma 8 3 2 4 3 4" xfId="48980" xr:uid="{00000000-0005-0000-0000-000049AE0000}"/>
    <cellStyle name="Comma 8 3 2 4 3 4 2" xfId="48981" xr:uid="{00000000-0005-0000-0000-00004AAE0000}"/>
    <cellStyle name="Comma 8 3 2 4 3 5" xfId="48982" xr:uid="{00000000-0005-0000-0000-00004BAE0000}"/>
    <cellStyle name="Comma 8 3 2 4 3 6" xfId="48983" xr:uid="{00000000-0005-0000-0000-00004CAE0000}"/>
    <cellStyle name="Comma 8 3 2 4 4" xfId="48984" xr:uid="{00000000-0005-0000-0000-00004DAE0000}"/>
    <cellStyle name="Comma 8 3 2 4 4 2" xfId="48985" xr:uid="{00000000-0005-0000-0000-00004EAE0000}"/>
    <cellStyle name="Comma 8 3 2 4 4 2 2" xfId="48986" xr:uid="{00000000-0005-0000-0000-00004FAE0000}"/>
    <cellStyle name="Comma 8 3 2 4 4 2 3" xfId="48987" xr:uid="{00000000-0005-0000-0000-000050AE0000}"/>
    <cellStyle name="Comma 8 3 2 4 4 3" xfId="48988" xr:uid="{00000000-0005-0000-0000-000051AE0000}"/>
    <cellStyle name="Comma 8 3 2 4 4 3 2" xfId="48989" xr:uid="{00000000-0005-0000-0000-000052AE0000}"/>
    <cellStyle name="Comma 8 3 2 4 4 4" xfId="48990" xr:uid="{00000000-0005-0000-0000-000053AE0000}"/>
    <cellStyle name="Comma 8 3 2 4 4 5" xfId="48991" xr:uid="{00000000-0005-0000-0000-000054AE0000}"/>
    <cellStyle name="Comma 8 3 2 4 5" xfId="48992" xr:uid="{00000000-0005-0000-0000-000055AE0000}"/>
    <cellStyle name="Comma 8 3 2 4 5 2" xfId="48993" xr:uid="{00000000-0005-0000-0000-000056AE0000}"/>
    <cellStyle name="Comma 8 3 2 4 5 3" xfId="48994" xr:uid="{00000000-0005-0000-0000-000057AE0000}"/>
    <cellStyle name="Comma 8 3 2 4 6" xfId="48995" xr:uid="{00000000-0005-0000-0000-000058AE0000}"/>
    <cellStyle name="Comma 8 3 2 4 6 2" xfId="48996" xr:uid="{00000000-0005-0000-0000-000059AE0000}"/>
    <cellStyle name="Comma 8 3 2 4 6 3" xfId="48997" xr:uid="{00000000-0005-0000-0000-00005AAE0000}"/>
    <cellStyle name="Comma 8 3 2 4 7" xfId="48998" xr:uid="{00000000-0005-0000-0000-00005BAE0000}"/>
    <cellStyle name="Comma 8 3 2 4 7 2" xfId="48999" xr:uid="{00000000-0005-0000-0000-00005CAE0000}"/>
    <cellStyle name="Comma 8 3 2 4 8" xfId="49000" xr:uid="{00000000-0005-0000-0000-00005DAE0000}"/>
    <cellStyle name="Comma 8 3 2 4 9" xfId="49001" xr:uid="{00000000-0005-0000-0000-00005EAE0000}"/>
    <cellStyle name="Comma 8 3 2 5" xfId="49002" xr:uid="{00000000-0005-0000-0000-00005FAE0000}"/>
    <cellStyle name="Comma 8 3 2 5 2" xfId="49003" xr:uid="{00000000-0005-0000-0000-000060AE0000}"/>
    <cellStyle name="Comma 8 3 2 5 2 2" xfId="49004" xr:uid="{00000000-0005-0000-0000-000061AE0000}"/>
    <cellStyle name="Comma 8 3 2 5 2 3" xfId="49005" xr:uid="{00000000-0005-0000-0000-000062AE0000}"/>
    <cellStyle name="Comma 8 3 2 5 3" xfId="49006" xr:uid="{00000000-0005-0000-0000-000063AE0000}"/>
    <cellStyle name="Comma 8 3 2 5 3 2" xfId="49007" xr:uid="{00000000-0005-0000-0000-000064AE0000}"/>
    <cellStyle name="Comma 8 3 2 5 3 3" xfId="49008" xr:uid="{00000000-0005-0000-0000-000065AE0000}"/>
    <cellStyle name="Comma 8 3 2 5 4" xfId="49009" xr:uid="{00000000-0005-0000-0000-000066AE0000}"/>
    <cellStyle name="Comma 8 3 2 5 4 2" xfId="49010" xr:uid="{00000000-0005-0000-0000-000067AE0000}"/>
    <cellStyle name="Comma 8 3 2 5 5" xfId="49011" xr:uid="{00000000-0005-0000-0000-000068AE0000}"/>
    <cellStyle name="Comma 8 3 2 5 6" xfId="49012" xr:uid="{00000000-0005-0000-0000-000069AE0000}"/>
    <cellStyle name="Comma 8 3 2 6" xfId="49013" xr:uid="{00000000-0005-0000-0000-00006AAE0000}"/>
    <cellStyle name="Comma 8 3 2 6 2" xfId="49014" xr:uid="{00000000-0005-0000-0000-00006BAE0000}"/>
    <cellStyle name="Comma 8 3 2 6 2 2" xfId="49015" xr:uid="{00000000-0005-0000-0000-00006CAE0000}"/>
    <cellStyle name="Comma 8 3 2 6 2 3" xfId="49016" xr:uid="{00000000-0005-0000-0000-00006DAE0000}"/>
    <cellStyle name="Comma 8 3 2 6 3" xfId="49017" xr:uid="{00000000-0005-0000-0000-00006EAE0000}"/>
    <cellStyle name="Comma 8 3 2 6 3 2" xfId="49018" xr:uid="{00000000-0005-0000-0000-00006FAE0000}"/>
    <cellStyle name="Comma 8 3 2 6 3 3" xfId="49019" xr:uid="{00000000-0005-0000-0000-000070AE0000}"/>
    <cellStyle name="Comma 8 3 2 6 4" xfId="49020" xr:uid="{00000000-0005-0000-0000-000071AE0000}"/>
    <cellStyle name="Comma 8 3 2 6 4 2" xfId="49021" xr:uid="{00000000-0005-0000-0000-000072AE0000}"/>
    <cellStyle name="Comma 8 3 2 6 5" xfId="49022" xr:uid="{00000000-0005-0000-0000-000073AE0000}"/>
    <cellStyle name="Comma 8 3 2 6 6" xfId="49023" xr:uid="{00000000-0005-0000-0000-000074AE0000}"/>
    <cellStyle name="Comma 8 3 2 7" xfId="49024" xr:uid="{00000000-0005-0000-0000-000075AE0000}"/>
    <cellStyle name="Comma 8 3 2 7 2" xfId="49025" xr:uid="{00000000-0005-0000-0000-000076AE0000}"/>
    <cellStyle name="Comma 8 3 2 7 2 2" xfId="49026" xr:uid="{00000000-0005-0000-0000-000077AE0000}"/>
    <cellStyle name="Comma 8 3 2 7 2 3" xfId="49027" xr:uid="{00000000-0005-0000-0000-000078AE0000}"/>
    <cellStyle name="Comma 8 3 2 7 3" xfId="49028" xr:uid="{00000000-0005-0000-0000-000079AE0000}"/>
    <cellStyle name="Comma 8 3 2 7 3 2" xfId="49029" xr:uid="{00000000-0005-0000-0000-00007AAE0000}"/>
    <cellStyle name="Comma 8 3 2 7 4" xfId="49030" xr:uid="{00000000-0005-0000-0000-00007BAE0000}"/>
    <cellStyle name="Comma 8 3 2 7 5" xfId="49031" xr:uid="{00000000-0005-0000-0000-00007CAE0000}"/>
    <cellStyle name="Comma 8 3 2 8" xfId="49032" xr:uid="{00000000-0005-0000-0000-00007DAE0000}"/>
    <cellStyle name="Comma 8 3 2 8 2" xfId="49033" xr:uid="{00000000-0005-0000-0000-00007EAE0000}"/>
    <cellStyle name="Comma 8 3 2 8 3" xfId="49034" xr:uid="{00000000-0005-0000-0000-00007FAE0000}"/>
    <cellStyle name="Comma 8 3 2 9" xfId="49035" xr:uid="{00000000-0005-0000-0000-000080AE0000}"/>
    <cellStyle name="Comma 8 3 2 9 2" xfId="49036" xr:uid="{00000000-0005-0000-0000-000081AE0000}"/>
    <cellStyle name="Comma 8 3 2 9 3" xfId="49037" xr:uid="{00000000-0005-0000-0000-000082AE0000}"/>
    <cellStyle name="Comma 8 3 3" xfId="9149" xr:uid="{00000000-0005-0000-0000-000083AE0000}"/>
    <cellStyle name="Comma 8 3 3 10" xfId="49038" xr:uid="{00000000-0005-0000-0000-000084AE0000}"/>
    <cellStyle name="Comma 8 3 3 2" xfId="49039" xr:uid="{00000000-0005-0000-0000-000085AE0000}"/>
    <cellStyle name="Comma 8 3 3 2 2" xfId="49040" xr:uid="{00000000-0005-0000-0000-000086AE0000}"/>
    <cellStyle name="Comma 8 3 3 2 2 2" xfId="49041" xr:uid="{00000000-0005-0000-0000-000087AE0000}"/>
    <cellStyle name="Comma 8 3 3 2 2 2 2" xfId="49042" xr:uid="{00000000-0005-0000-0000-000088AE0000}"/>
    <cellStyle name="Comma 8 3 3 2 2 2 3" xfId="49043" xr:uid="{00000000-0005-0000-0000-000089AE0000}"/>
    <cellStyle name="Comma 8 3 3 2 2 3" xfId="49044" xr:uid="{00000000-0005-0000-0000-00008AAE0000}"/>
    <cellStyle name="Comma 8 3 3 2 2 3 2" xfId="49045" xr:uid="{00000000-0005-0000-0000-00008BAE0000}"/>
    <cellStyle name="Comma 8 3 3 2 2 3 3" xfId="49046" xr:uid="{00000000-0005-0000-0000-00008CAE0000}"/>
    <cellStyle name="Comma 8 3 3 2 2 4" xfId="49047" xr:uid="{00000000-0005-0000-0000-00008DAE0000}"/>
    <cellStyle name="Comma 8 3 3 2 2 4 2" xfId="49048" xr:uid="{00000000-0005-0000-0000-00008EAE0000}"/>
    <cellStyle name="Comma 8 3 3 2 2 5" xfId="49049" xr:uid="{00000000-0005-0000-0000-00008FAE0000}"/>
    <cellStyle name="Comma 8 3 3 2 2 6" xfId="49050" xr:uid="{00000000-0005-0000-0000-000090AE0000}"/>
    <cellStyle name="Comma 8 3 3 2 3" xfId="49051" xr:uid="{00000000-0005-0000-0000-000091AE0000}"/>
    <cellStyle name="Comma 8 3 3 2 3 2" xfId="49052" xr:uid="{00000000-0005-0000-0000-000092AE0000}"/>
    <cellStyle name="Comma 8 3 3 2 3 2 2" xfId="49053" xr:uid="{00000000-0005-0000-0000-000093AE0000}"/>
    <cellStyle name="Comma 8 3 3 2 3 2 3" xfId="49054" xr:uid="{00000000-0005-0000-0000-000094AE0000}"/>
    <cellStyle name="Comma 8 3 3 2 3 3" xfId="49055" xr:uid="{00000000-0005-0000-0000-000095AE0000}"/>
    <cellStyle name="Comma 8 3 3 2 3 3 2" xfId="49056" xr:uid="{00000000-0005-0000-0000-000096AE0000}"/>
    <cellStyle name="Comma 8 3 3 2 3 3 3" xfId="49057" xr:uid="{00000000-0005-0000-0000-000097AE0000}"/>
    <cellStyle name="Comma 8 3 3 2 3 4" xfId="49058" xr:uid="{00000000-0005-0000-0000-000098AE0000}"/>
    <cellStyle name="Comma 8 3 3 2 3 4 2" xfId="49059" xr:uid="{00000000-0005-0000-0000-000099AE0000}"/>
    <cellStyle name="Comma 8 3 3 2 3 5" xfId="49060" xr:uid="{00000000-0005-0000-0000-00009AAE0000}"/>
    <cellStyle name="Comma 8 3 3 2 3 6" xfId="49061" xr:uid="{00000000-0005-0000-0000-00009BAE0000}"/>
    <cellStyle name="Comma 8 3 3 2 4" xfId="49062" xr:uid="{00000000-0005-0000-0000-00009CAE0000}"/>
    <cellStyle name="Comma 8 3 3 2 4 2" xfId="49063" xr:uid="{00000000-0005-0000-0000-00009DAE0000}"/>
    <cellStyle name="Comma 8 3 3 2 4 2 2" xfId="49064" xr:uid="{00000000-0005-0000-0000-00009EAE0000}"/>
    <cellStyle name="Comma 8 3 3 2 4 2 3" xfId="49065" xr:uid="{00000000-0005-0000-0000-00009FAE0000}"/>
    <cellStyle name="Comma 8 3 3 2 4 3" xfId="49066" xr:uid="{00000000-0005-0000-0000-0000A0AE0000}"/>
    <cellStyle name="Comma 8 3 3 2 4 3 2" xfId="49067" xr:uid="{00000000-0005-0000-0000-0000A1AE0000}"/>
    <cellStyle name="Comma 8 3 3 2 4 4" xfId="49068" xr:uid="{00000000-0005-0000-0000-0000A2AE0000}"/>
    <cellStyle name="Comma 8 3 3 2 4 5" xfId="49069" xr:uid="{00000000-0005-0000-0000-0000A3AE0000}"/>
    <cellStyle name="Comma 8 3 3 2 5" xfId="49070" xr:uid="{00000000-0005-0000-0000-0000A4AE0000}"/>
    <cellStyle name="Comma 8 3 3 2 5 2" xfId="49071" xr:uid="{00000000-0005-0000-0000-0000A5AE0000}"/>
    <cellStyle name="Comma 8 3 3 2 5 3" xfId="49072" xr:uid="{00000000-0005-0000-0000-0000A6AE0000}"/>
    <cellStyle name="Comma 8 3 3 2 6" xfId="49073" xr:uid="{00000000-0005-0000-0000-0000A7AE0000}"/>
    <cellStyle name="Comma 8 3 3 2 6 2" xfId="49074" xr:uid="{00000000-0005-0000-0000-0000A8AE0000}"/>
    <cellStyle name="Comma 8 3 3 2 6 3" xfId="49075" xr:uid="{00000000-0005-0000-0000-0000A9AE0000}"/>
    <cellStyle name="Comma 8 3 3 2 7" xfId="49076" xr:uid="{00000000-0005-0000-0000-0000AAAE0000}"/>
    <cellStyle name="Comma 8 3 3 2 7 2" xfId="49077" xr:uid="{00000000-0005-0000-0000-0000ABAE0000}"/>
    <cellStyle name="Comma 8 3 3 2 8" xfId="49078" xr:uid="{00000000-0005-0000-0000-0000ACAE0000}"/>
    <cellStyle name="Comma 8 3 3 2 9" xfId="49079" xr:uid="{00000000-0005-0000-0000-0000ADAE0000}"/>
    <cellStyle name="Comma 8 3 3 3" xfId="49080" xr:uid="{00000000-0005-0000-0000-0000AEAE0000}"/>
    <cellStyle name="Comma 8 3 3 3 2" xfId="49081" xr:uid="{00000000-0005-0000-0000-0000AFAE0000}"/>
    <cellStyle name="Comma 8 3 3 3 2 2" xfId="49082" xr:uid="{00000000-0005-0000-0000-0000B0AE0000}"/>
    <cellStyle name="Comma 8 3 3 3 2 3" xfId="49083" xr:uid="{00000000-0005-0000-0000-0000B1AE0000}"/>
    <cellStyle name="Comma 8 3 3 3 3" xfId="49084" xr:uid="{00000000-0005-0000-0000-0000B2AE0000}"/>
    <cellStyle name="Comma 8 3 3 3 3 2" xfId="49085" xr:uid="{00000000-0005-0000-0000-0000B3AE0000}"/>
    <cellStyle name="Comma 8 3 3 3 3 3" xfId="49086" xr:uid="{00000000-0005-0000-0000-0000B4AE0000}"/>
    <cellStyle name="Comma 8 3 3 3 4" xfId="49087" xr:uid="{00000000-0005-0000-0000-0000B5AE0000}"/>
    <cellStyle name="Comma 8 3 3 3 4 2" xfId="49088" xr:uid="{00000000-0005-0000-0000-0000B6AE0000}"/>
    <cellStyle name="Comma 8 3 3 3 5" xfId="49089" xr:uid="{00000000-0005-0000-0000-0000B7AE0000}"/>
    <cellStyle name="Comma 8 3 3 3 6" xfId="49090" xr:uid="{00000000-0005-0000-0000-0000B8AE0000}"/>
    <cellStyle name="Comma 8 3 3 4" xfId="49091" xr:uid="{00000000-0005-0000-0000-0000B9AE0000}"/>
    <cellStyle name="Comma 8 3 3 4 2" xfId="49092" xr:uid="{00000000-0005-0000-0000-0000BAAE0000}"/>
    <cellStyle name="Comma 8 3 3 4 2 2" xfId="49093" xr:uid="{00000000-0005-0000-0000-0000BBAE0000}"/>
    <cellStyle name="Comma 8 3 3 4 2 3" xfId="49094" xr:uid="{00000000-0005-0000-0000-0000BCAE0000}"/>
    <cellStyle name="Comma 8 3 3 4 3" xfId="49095" xr:uid="{00000000-0005-0000-0000-0000BDAE0000}"/>
    <cellStyle name="Comma 8 3 3 4 3 2" xfId="49096" xr:uid="{00000000-0005-0000-0000-0000BEAE0000}"/>
    <cellStyle name="Comma 8 3 3 4 3 3" xfId="49097" xr:uid="{00000000-0005-0000-0000-0000BFAE0000}"/>
    <cellStyle name="Comma 8 3 3 4 4" xfId="49098" xr:uid="{00000000-0005-0000-0000-0000C0AE0000}"/>
    <cellStyle name="Comma 8 3 3 4 4 2" xfId="49099" xr:uid="{00000000-0005-0000-0000-0000C1AE0000}"/>
    <cellStyle name="Comma 8 3 3 4 5" xfId="49100" xr:uid="{00000000-0005-0000-0000-0000C2AE0000}"/>
    <cellStyle name="Comma 8 3 3 4 6" xfId="49101" xr:uid="{00000000-0005-0000-0000-0000C3AE0000}"/>
    <cellStyle name="Comma 8 3 3 5" xfId="49102" xr:uid="{00000000-0005-0000-0000-0000C4AE0000}"/>
    <cellStyle name="Comma 8 3 3 5 2" xfId="49103" xr:uid="{00000000-0005-0000-0000-0000C5AE0000}"/>
    <cellStyle name="Comma 8 3 3 5 2 2" xfId="49104" xr:uid="{00000000-0005-0000-0000-0000C6AE0000}"/>
    <cellStyle name="Comma 8 3 3 5 2 3" xfId="49105" xr:uid="{00000000-0005-0000-0000-0000C7AE0000}"/>
    <cellStyle name="Comma 8 3 3 5 3" xfId="49106" xr:uid="{00000000-0005-0000-0000-0000C8AE0000}"/>
    <cellStyle name="Comma 8 3 3 5 3 2" xfId="49107" xr:uid="{00000000-0005-0000-0000-0000C9AE0000}"/>
    <cellStyle name="Comma 8 3 3 5 4" xfId="49108" xr:uid="{00000000-0005-0000-0000-0000CAAE0000}"/>
    <cellStyle name="Comma 8 3 3 5 5" xfId="49109" xr:uid="{00000000-0005-0000-0000-0000CBAE0000}"/>
    <cellStyle name="Comma 8 3 3 6" xfId="49110" xr:uid="{00000000-0005-0000-0000-0000CCAE0000}"/>
    <cellStyle name="Comma 8 3 3 6 2" xfId="49111" xr:uid="{00000000-0005-0000-0000-0000CDAE0000}"/>
    <cellStyle name="Comma 8 3 3 6 3" xfId="49112" xr:uid="{00000000-0005-0000-0000-0000CEAE0000}"/>
    <cellStyle name="Comma 8 3 3 7" xfId="49113" xr:uid="{00000000-0005-0000-0000-0000CFAE0000}"/>
    <cellStyle name="Comma 8 3 3 7 2" xfId="49114" xr:uid="{00000000-0005-0000-0000-0000D0AE0000}"/>
    <cellStyle name="Comma 8 3 3 7 3" xfId="49115" xr:uid="{00000000-0005-0000-0000-0000D1AE0000}"/>
    <cellStyle name="Comma 8 3 3 8" xfId="49116" xr:uid="{00000000-0005-0000-0000-0000D2AE0000}"/>
    <cellStyle name="Comma 8 3 3 8 2" xfId="49117" xr:uid="{00000000-0005-0000-0000-0000D3AE0000}"/>
    <cellStyle name="Comma 8 3 3 9" xfId="49118" xr:uid="{00000000-0005-0000-0000-0000D4AE0000}"/>
    <cellStyle name="Comma 8 3 4" xfId="49119" xr:uid="{00000000-0005-0000-0000-0000D5AE0000}"/>
    <cellStyle name="Comma 8 3 4 2" xfId="49120" xr:uid="{00000000-0005-0000-0000-0000D6AE0000}"/>
    <cellStyle name="Comma 8 3 4 2 2" xfId="49121" xr:uid="{00000000-0005-0000-0000-0000D7AE0000}"/>
    <cellStyle name="Comma 8 3 4 2 2 2" xfId="49122" xr:uid="{00000000-0005-0000-0000-0000D8AE0000}"/>
    <cellStyle name="Comma 8 3 4 2 2 3" xfId="49123" xr:uid="{00000000-0005-0000-0000-0000D9AE0000}"/>
    <cellStyle name="Comma 8 3 4 2 3" xfId="49124" xr:uid="{00000000-0005-0000-0000-0000DAAE0000}"/>
    <cellStyle name="Comma 8 3 4 2 3 2" xfId="49125" xr:uid="{00000000-0005-0000-0000-0000DBAE0000}"/>
    <cellStyle name="Comma 8 3 4 2 3 3" xfId="49126" xr:uid="{00000000-0005-0000-0000-0000DCAE0000}"/>
    <cellStyle name="Comma 8 3 4 2 4" xfId="49127" xr:uid="{00000000-0005-0000-0000-0000DDAE0000}"/>
    <cellStyle name="Comma 8 3 4 2 4 2" xfId="49128" xr:uid="{00000000-0005-0000-0000-0000DEAE0000}"/>
    <cellStyle name="Comma 8 3 4 2 5" xfId="49129" xr:uid="{00000000-0005-0000-0000-0000DFAE0000}"/>
    <cellStyle name="Comma 8 3 4 2 6" xfId="49130" xr:uid="{00000000-0005-0000-0000-0000E0AE0000}"/>
    <cellStyle name="Comma 8 3 4 3" xfId="49131" xr:uid="{00000000-0005-0000-0000-0000E1AE0000}"/>
    <cellStyle name="Comma 8 3 4 3 2" xfId="49132" xr:uid="{00000000-0005-0000-0000-0000E2AE0000}"/>
    <cellStyle name="Comma 8 3 4 3 2 2" xfId="49133" xr:uid="{00000000-0005-0000-0000-0000E3AE0000}"/>
    <cellStyle name="Comma 8 3 4 3 2 3" xfId="49134" xr:uid="{00000000-0005-0000-0000-0000E4AE0000}"/>
    <cellStyle name="Comma 8 3 4 3 3" xfId="49135" xr:uid="{00000000-0005-0000-0000-0000E5AE0000}"/>
    <cellStyle name="Comma 8 3 4 3 3 2" xfId="49136" xr:uid="{00000000-0005-0000-0000-0000E6AE0000}"/>
    <cellStyle name="Comma 8 3 4 3 3 3" xfId="49137" xr:uid="{00000000-0005-0000-0000-0000E7AE0000}"/>
    <cellStyle name="Comma 8 3 4 3 4" xfId="49138" xr:uid="{00000000-0005-0000-0000-0000E8AE0000}"/>
    <cellStyle name="Comma 8 3 4 3 4 2" xfId="49139" xr:uid="{00000000-0005-0000-0000-0000E9AE0000}"/>
    <cellStyle name="Comma 8 3 4 3 5" xfId="49140" xr:uid="{00000000-0005-0000-0000-0000EAAE0000}"/>
    <cellStyle name="Comma 8 3 4 3 6" xfId="49141" xr:uid="{00000000-0005-0000-0000-0000EBAE0000}"/>
    <cellStyle name="Comma 8 3 4 4" xfId="49142" xr:uid="{00000000-0005-0000-0000-0000ECAE0000}"/>
    <cellStyle name="Comma 8 3 4 4 2" xfId="49143" xr:uid="{00000000-0005-0000-0000-0000EDAE0000}"/>
    <cellStyle name="Comma 8 3 4 4 2 2" xfId="49144" xr:uid="{00000000-0005-0000-0000-0000EEAE0000}"/>
    <cellStyle name="Comma 8 3 4 4 2 3" xfId="49145" xr:uid="{00000000-0005-0000-0000-0000EFAE0000}"/>
    <cellStyle name="Comma 8 3 4 4 3" xfId="49146" xr:uid="{00000000-0005-0000-0000-0000F0AE0000}"/>
    <cellStyle name="Comma 8 3 4 4 3 2" xfId="49147" xr:uid="{00000000-0005-0000-0000-0000F1AE0000}"/>
    <cellStyle name="Comma 8 3 4 4 4" xfId="49148" xr:uid="{00000000-0005-0000-0000-0000F2AE0000}"/>
    <cellStyle name="Comma 8 3 4 4 5" xfId="49149" xr:uid="{00000000-0005-0000-0000-0000F3AE0000}"/>
    <cellStyle name="Comma 8 3 4 5" xfId="49150" xr:uid="{00000000-0005-0000-0000-0000F4AE0000}"/>
    <cellStyle name="Comma 8 3 4 5 2" xfId="49151" xr:uid="{00000000-0005-0000-0000-0000F5AE0000}"/>
    <cellStyle name="Comma 8 3 4 5 3" xfId="49152" xr:uid="{00000000-0005-0000-0000-0000F6AE0000}"/>
    <cellStyle name="Comma 8 3 4 6" xfId="49153" xr:uid="{00000000-0005-0000-0000-0000F7AE0000}"/>
    <cellStyle name="Comma 8 3 4 6 2" xfId="49154" xr:uid="{00000000-0005-0000-0000-0000F8AE0000}"/>
    <cellStyle name="Comma 8 3 4 6 3" xfId="49155" xr:uid="{00000000-0005-0000-0000-0000F9AE0000}"/>
    <cellStyle name="Comma 8 3 4 7" xfId="49156" xr:uid="{00000000-0005-0000-0000-0000FAAE0000}"/>
    <cellStyle name="Comma 8 3 4 7 2" xfId="49157" xr:uid="{00000000-0005-0000-0000-0000FBAE0000}"/>
    <cellStyle name="Comma 8 3 4 8" xfId="49158" xr:uid="{00000000-0005-0000-0000-0000FCAE0000}"/>
    <cellStyle name="Comma 8 3 4 9" xfId="49159" xr:uid="{00000000-0005-0000-0000-0000FDAE0000}"/>
    <cellStyle name="Comma 8 3 5" xfId="49160" xr:uid="{00000000-0005-0000-0000-0000FEAE0000}"/>
    <cellStyle name="Comma 8 3 5 2" xfId="49161" xr:uid="{00000000-0005-0000-0000-0000FFAE0000}"/>
    <cellStyle name="Comma 8 3 5 2 2" xfId="49162" xr:uid="{00000000-0005-0000-0000-000000AF0000}"/>
    <cellStyle name="Comma 8 3 5 2 2 2" xfId="49163" xr:uid="{00000000-0005-0000-0000-000001AF0000}"/>
    <cellStyle name="Comma 8 3 5 2 2 3" xfId="49164" xr:uid="{00000000-0005-0000-0000-000002AF0000}"/>
    <cellStyle name="Comma 8 3 5 2 3" xfId="49165" xr:uid="{00000000-0005-0000-0000-000003AF0000}"/>
    <cellStyle name="Comma 8 3 5 2 3 2" xfId="49166" xr:uid="{00000000-0005-0000-0000-000004AF0000}"/>
    <cellStyle name="Comma 8 3 5 2 3 3" xfId="49167" xr:uid="{00000000-0005-0000-0000-000005AF0000}"/>
    <cellStyle name="Comma 8 3 5 2 4" xfId="49168" xr:uid="{00000000-0005-0000-0000-000006AF0000}"/>
    <cellStyle name="Comma 8 3 5 2 4 2" xfId="49169" xr:uid="{00000000-0005-0000-0000-000007AF0000}"/>
    <cellStyle name="Comma 8 3 5 2 5" xfId="49170" xr:uid="{00000000-0005-0000-0000-000008AF0000}"/>
    <cellStyle name="Comma 8 3 5 2 6" xfId="49171" xr:uid="{00000000-0005-0000-0000-000009AF0000}"/>
    <cellStyle name="Comma 8 3 5 3" xfId="49172" xr:uid="{00000000-0005-0000-0000-00000AAF0000}"/>
    <cellStyle name="Comma 8 3 5 3 2" xfId="49173" xr:uid="{00000000-0005-0000-0000-00000BAF0000}"/>
    <cellStyle name="Comma 8 3 5 3 2 2" xfId="49174" xr:uid="{00000000-0005-0000-0000-00000CAF0000}"/>
    <cellStyle name="Comma 8 3 5 3 2 3" xfId="49175" xr:uid="{00000000-0005-0000-0000-00000DAF0000}"/>
    <cellStyle name="Comma 8 3 5 3 3" xfId="49176" xr:uid="{00000000-0005-0000-0000-00000EAF0000}"/>
    <cellStyle name="Comma 8 3 5 3 3 2" xfId="49177" xr:uid="{00000000-0005-0000-0000-00000FAF0000}"/>
    <cellStyle name="Comma 8 3 5 3 3 3" xfId="49178" xr:uid="{00000000-0005-0000-0000-000010AF0000}"/>
    <cellStyle name="Comma 8 3 5 3 4" xfId="49179" xr:uid="{00000000-0005-0000-0000-000011AF0000}"/>
    <cellStyle name="Comma 8 3 5 3 4 2" xfId="49180" xr:uid="{00000000-0005-0000-0000-000012AF0000}"/>
    <cellStyle name="Comma 8 3 5 3 5" xfId="49181" xr:uid="{00000000-0005-0000-0000-000013AF0000}"/>
    <cellStyle name="Comma 8 3 5 3 6" xfId="49182" xr:uid="{00000000-0005-0000-0000-000014AF0000}"/>
    <cellStyle name="Comma 8 3 5 4" xfId="49183" xr:uid="{00000000-0005-0000-0000-000015AF0000}"/>
    <cellStyle name="Comma 8 3 5 4 2" xfId="49184" xr:uid="{00000000-0005-0000-0000-000016AF0000}"/>
    <cellStyle name="Comma 8 3 5 4 2 2" xfId="49185" xr:uid="{00000000-0005-0000-0000-000017AF0000}"/>
    <cellStyle name="Comma 8 3 5 4 2 3" xfId="49186" xr:uid="{00000000-0005-0000-0000-000018AF0000}"/>
    <cellStyle name="Comma 8 3 5 4 3" xfId="49187" xr:uid="{00000000-0005-0000-0000-000019AF0000}"/>
    <cellStyle name="Comma 8 3 5 4 3 2" xfId="49188" xr:uid="{00000000-0005-0000-0000-00001AAF0000}"/>
    <cellStyle name="Comma 8 3 5 4 4" xfId="49189" xr:uid="{00000000-0005-0000-0000-00001BAF0000}"/>
    <cellStyle name="Comma 8 3 5 4 5" xfId="49190" xr:uid="{00000000-0005-0000-0000-00001CAF0000}"/>
    <cellStyle name="Comma 8 3 5 5" xfId="49191" xr:uid="{00000000-0005-0000-0000-00001DAF0000}"/>
    <cellStyle name="Comma 8 3 5 5 2" xfId="49192" xr:uid="{00000000-0005-0000-0000-00001EAF0000}"/>
    <cellStyle name="Comma 8 3 5 5 3" xfId="49193" xr:uid="{00000000-0005-0000-0000-00001FAF0000}"/>
    <cellStyle name="Comma 8 3 5 6" xfId="49194" xr:uid="{00000000-0005-0000-0000-000020AF0000}"/>
    <cellStyle name="Comma 8 3 5 6 2" xfId="49195" xr:uid="{00000000-0005-0000-0000-000021AF0000}"/>
    <cellStyle name="Comma 8 3 5 6 3" xfId="49196" xr:uid="{00000000-0005-0000-0000-000022AF0000}"/>
    <cellStyle name="Comma 8 3 5 7" xfId="49197" xr:uid="{00000000-0005-0000-0000-000023AF0000}"/>
    <cellStyle name="Comma 8 3 5 7 2" xfId="49198" xr:uid="{00000000-0005-0000-0000-000024AF0000}"/>
    <cellStyle name="Comma 8 3 5 8" xfId="49199" xr:uid="{00000000-0005-0000-0000-000025AF0000}"/>
    <cellStyle name="Comma 8 3 5 9" xfId="49200" xr:uid="{00000000-0005-0000-0000-000026AF0000}"/>
    <cellStyle name="Comma 8 3 6" xfId="49201" xr:uid="{00000000-0005-0000-0000-000027AF0000}"/>
    <cellStyle name="Comma 8 3 6 2" xfId="49202" xr:uid="{00000000-0005-0000-0000-000028AF0000}"/>
    <cellStyle name="Comma 8 3 6 2 2" xfId="49203" xr:uid="{00000000-0005-0000-0000-000029AF0000}"/>
    <cellStyle name="Comma 8 3 6 2 3" xfId="49204" xr:uid="{00000000-0005-0000-0000-00002AAF0000}"/>
    <cellStyle name="Comma 8 3 6 3" xfId="49205" xr:uid="{00000000-0005-0000-0000-00002BAF0000}"/>
    <cellStyle name="Comma 8 3 6 3 2" xfId="49206" xr:uid="{00000000-0005-0000-0000-00002CAF0000}"/>
    <cellStyle name="Comma 8 3 6 3 3" xfId="49207" xr:uid="{00000000-0005-0000-0000-00002DAF0000}"/>
    <cellStyle name="Comma 8 3 6 4" xfId="49208" xr:uid="{00000000-0005-0000-0000-00002EAF0000}"/>
    <cellStyle name="Comma 8 3 6 4 2" xfId="49209" xr:uid="{00000000-0005-0000-0000-00002FAF0000}"/>
    <cellStyle name="Comma 8 3 6 5" xfId="49210" xr:uid="{00000000-0005-0000-0000-000030AF0000}"/>
    <cellStyle name="Comma 8 3 6 6" xfId="49211" xr:uid="{00000000-0005-0000-0000-000031AF0000}"/>
    <cellStyle name="Comma 8 3 7" xfId="49212" xr:uid="{00000000-0005-0000-0000-000032AF0000}"/>
    <cellStyle name="Comma 8 3 7 2" xfId="49213" xr:uid="{00000000-0005-0000-0000-000033AF0000}"/>
    <cellStyle name="Comma 8 3 7 2 2" xfId="49214" xr:uid="{00000000-0005-0000-0000-000034AF0000}"/>
    <cellStyle name="Comma 8 3 7 2 3" xfId="49215" xr:uid="{00000000-0005-0000-0000-000035AF0000}"/>
    <cellStyle name="Comma 8 3 7 3" xfId="49216" xr:uid="{00000000-0005-0000-0000-000036AF0000}"/>
    <cellStyle name="Comma 8 3 7 3 2" xfId="49217" xr:uid="{00000000-0005-0000-0000-000037AF0000}"/>
    <cellStyle name="Comma 8 3 7 3 3" xfId="49218" xr:uid="{00000000-0005-0000-0000-000038AF0000}"/>
    <cellStyle name="Comma 8 3 7 4" xfId="49219" xr:uid="{00000000-0005-0000-0000-000039AF0000}"/>
    <cellStyle name="Comma 8 3 7 4 2" xfId="49220" xr:uid="{00000000-0005-0000-0000-00003AAF0000}"/>
    <cellStyle name="Comma 8 3 7 5" xfId="49221" xr:uid="{00000000-0005-0000-0000-00003BAF0000}"/>
    <cellStyle name="Comma 8 3 7 6" xfId="49222" xr:uid="{00000000-0005-0000-0000-00003CAF0000}"/>
    <cellStyle name="Comma 8 3 8" xfId="49223" xr:uid="{00000000-0005-0000-0000-00003DAF0000}"/>
    <cellStyle name="Comma 8 3 8 2" xfId="49224" xr:uid="{00000000-0005-0000-0000-00003EAF0000}"/>
    <cellStyle name="Comma 8 3 8 2 2" xfId="49225" xr:uid="{00000000-0005-0000-0000-00003FAF0000}"/>
    <cellStyle name="Comma 8 3 8 2 3" xfId="49226" xr:uid="{00000000-0005-0000-0000-000040AF0000}"/>
    <cellStyle name="Comma 8 3 8 3" xfId="49227" xr:uid="{00000000-0005-0000-0000-000041AF0000}"/>
    <cellStyle name="Comma 8 3 8 3 2" xfId="49228" xr:uid="{00000000-0005-0000-0000-000042AF0000}"/>
    <cellStyle name="Comma 8 3 8 4" xfId="49229" xr:uid="{00000000-0005-0000-0000-000043AF0000}"/>
    <cellStyle name="Comma 8 3 8 5" xfId="49230" xr:uid="{00000000-0005-0000-0000-000044AF0000}"/>
    <cellStyle name="Comma 8 3 9" xfId="49231" xr:uid="{00000000-0005-0000-0000-000045AF0000}"/>
    <cellStyle name="Comma 8 3 9 2" xfId="49232" xr:uid="{00000000-0005-0000-0000-000046AF0000}"/>
    <cellStyle name="Comma 8 3 9 3" xfId="49233" xr:uid="{00000000-0005-0000-0000-000047AF0000}"/>
    <cellStyle name="Comma 8 4" xfId="3744" xr:uid="{00000000-0005-0000-0000-000048AF0000}"/>
    <cellStyle name="Comma 8 4 10" xfId="49234" xr:uid="{00000000-0005-0000-0000-000049AF0000}"/>
    <cellStyle name="Comma 8 4 10 2" xfId="49235" xr:uid="{00000000-0005-0000-0000-00004AAF0000}"/>
    <cellStyle name="Comma 8 4 11" xfId="49236" xr:uid="{00000000-0005-0000-0000-00004BAF0000}"/>
    <cellStyle name="Comma 8 4 12" xfId="49237" xr:uid="{00000000-0005-0000-0000-00004CAF0000}"/>
    <cellStyle name="Comma 8 4 13" xfId="49238" xr:uid="{00000000-0005-0000-0000-00004DAF0000}"/>
    <cellStyle name="Comma 8 4 2" xfId="9150" xr:uid="{00000000-0005-0000-0000-00004EAF0000}"/>
    <cellStyle name="Comma 8 4 2 10" xfId="49239" xr:uid="{00000000-0005-0000-0000-00004FAF0000}"/>
    <cellStyle name="Comma 8 4 2 2" xfId="49240" xr:uid="{00000000-0005-0000-0000-000050AF0000}"/>
    <cellStyle name="Comma 8 4 2 2 2" xfId="49241" xr:uid="{00000000-0005-0000-0000-000051AF0000}"/>
    <cellStyle name="Comma 8 4 2 2 2 2" xfId="49242" xr:uid="{00000000-0005-0000-0000-000052AF0000}"/>
    <cellStyle name="Comma 8 4 2 2 2 2 2" xfId="49243" xr:uid="{00000000-0005-0000-0000-000053AF0000}"/>
    <cellStyle name="Comma 8 4 2 2 2 2 3" xfId="49244" xr:uid="{00000000-0005-0000-0000-000054AF0000}"/>
    <cellStyle name="Comma 8 4 2 2 2 3" xfId="49245" xr:uid="{00000000-0005-0000-0000-000055AF0000}"/>
    <cellStyle name="Comma 8 4 2 2 2 3 2" xfId="49246" xr:uid="{00000000-0005-0000-0000-000056AF0000}"/>
    <cellStyle name="Comma 8 4 2 2 2 3 3" xfId="49247" xr:uid="{00000000-0005-0000-0000-000057AF0000}"/>
    <cellStyle name="Comma 8 4 2 2 2 4" xfId="49248" xr:uid="{00000000-0005-0000-0000-000058AF0000}"/>
    <cellStyle name="Comma 8 4 2 2 2 4 2" xfId="49249" xr:uid="{00000000-0005-0000-0000-000059AF0000}"/>
    <cellStyle name="Comma 8 4 2 2 2 5" xfId="49250" xr:uid="{00000000-0005-0000-0000-00005AAF0000}"/>
    <cellStyle name="Comma 8 4 2 2 2 6" xfId="49251" xr:uid="{00000000-0005-0000-0000-00005BAF0000}"/>
    <cellStyle name="Comma 8 4 2 2 3" xfId="49252" xr:uid="{00000000-0005-0000-0000-00005CAF0000}"/>
    <cellStyle name="Comma 8 4 2 2 3 2" xfId="49253" xr:uid="{00000000-0005-0000-0000-00005DAF0000}"/>
    <cellStyle name="Comma 8 4 2 2 3 2 2" xfId="49254" xr:uid="{00000000-0005-0000-0000-00005EAF0000}"/>
    <cellStyle name="Comma 8 4 2 2 3 2 3" xfId="49255" xr:uid="{00000000-0005-0000-0000-00005FAF0000}"/>
    <cellStyle name="Comma 8 4 2 2 3 3" xfId="49256" xr:uid="{00000000-0005-0000-0000-000060AF0000}"/>
    <cellStyle name="Comma 8 4 2 2 3 3 2" xfId="49257" xr:uid="{00000000-0005-0000-0000-000061AF0000}"/>
    <cellStyle name="Comma 8 4 2 2 3 3 3" xfId="49258" xr:uid="{00000000-0005-0000-0000-000062AF0000}"/>
    <cellStyle name="Comma 8 4 2 2 3 4" xfId="49259" xr:uid="{00000000-0005-0000-0000-000063AF0000}"/>
    <cellStyle name="Comma 8 4 2 2 3 4 2" xfId="49260" xr:uid="{00000000-0005-0000-0000-000064AF0000}"/>
    <cellStyle name="Comma 8 4 2 2 3 5" xfId="49261" xr:uid="{00000000-0005-0000-0000-000065AF0000}"/>
    <cellStyle name="Comma 8 4 2 2 3 6" xfId="49262" xr:uid="{00000000-0005-0000-0000-000066AF0000}"/>
    <cellStyle name="Comma 8 4 2 2 4" xfId="49263" xr:uid="{00000000-0005-0000-0000-000067AF0000}"/>
    <cellStyle name="Comma 8 4 2 2 4 2" xfId="49264" xr:uid="{00000000-0005-0000-0000-000068AF0000}"/>
    <cellStyle name="Comma 8 4 2 2 4 2 2" xfId="49265" xr:uid="{00000000-0005-0000-0000-000069AF0000}"/>
    <cellStyle name="Comma 8 4 2 2 4 2 3" xfId="49266" xr:uid="{00000000-0005-0000-0000-00006AAF0000}"/>
    <cellStyle name="Comma 8 4 2 2 4 3" xfId="49267" xr:uid="{00000000-0005-0000-0000-00006BAF0000}"/>
    <cellStyle name="Comma 8 4 2 2 4 3 2" xfId="49268" xr:uid="{00000000-0005-0000-0000-00006CAF0000}"/>
    <cellStyle name="Comma 8 4 2 2 4 4" xfId="49269" xr:uid="{00000000-0005-0000-0000-00006DAF0000}"/>
    <cellStyle name="Comma 8 4 2 2 4 5" xfId="49270" xr:uid="{00000000-0005-0000-0000-00006EAF0000}"/>
    <cellStyle name="Comma 8 4 2 2 5" xfId="49271" xr:uid="{00000000-0005-0000-0000-00006FAF0000}"/>
    <cellStyle name="Comma 8 4 2 2 5 2" xfId="49272" xr:uid="{00000000-0005-0000-0000-000070AF0000}"/>
    <cellStyle name="Comma 8 4 2 2 5 3" xfId="49273" xr:uid="{00000000-0005-0000-0000-000071AF0000}"/>
    <cellStyle name="Comma 8 4 2 2 6" xfId="49274" xr:uid="{00000000-0005-0000-0000-000072AF0000}"/>
    <cellStyle name="Comma 8 4 2 2 6 2" xfId="49275" xr:uid="{00000000-0005-0000-0000-000073AF0000}"/>
    <cellStyle name="Comma 8 4 2 2 6 3" xfId="49276" xr:uid="{00000000-0005-0000-0000-000074AF0000}"/>
    <cellStyle name="Comma 8 4 2 2 7" xfId="49277" xr:uid="{00000000-0005-0000-0000-000075AF0000}"/>
    <cellStyle name="Comma 8 4 2 2 7 2" xfId="49278" xr:uid="{00000000-0005-0000-0000-000076AF0000}"/>
    <cellStyle name="Comma 8 4 2 2 8" xfId="49279" xr:uid="{00000000-0005-0000-0000-000077AF0000}"/>
    <cellStyle name="Comma 8 4 2 2 9" xfId="49280" xr:uid="{00000000-0005-0000-0000-000078AF0000}"/>
    <cellStyle name="Comma 8 4 2 3" xfId="49281" xr:uid="{00000000-0005-0000-0000-000079AF0000}"/>
    <cellStyle name="Comma 8 4 2 3 2" xfId="49282" xr:uid="{00000000-0005-0000-0000-00007AAF0000}"/>
    <cellStyle name="Comma 8 4 2 3 2 2" xfId="49283" xr:uid="{00000000-0005-0000-0000-00007BAF0000}"/>
    <cellStyle name="Comma 8 4 2 3 2 3" xfId="49284" xr:uid="{00000000-0005-0000-0000-00007CAF0000}"/>
    <cellStyle name="Comma 8 4 2 3 3" xfId="49285" xr:uid="{00000000-0005-0000-0000-00007DAF0000}"/>
    <cellStyle name="Comma 8 4 2 3 3 2" xfId="49286" xr:uid="{00000000-0005-0000-0000-00007EAF0000}"/>
    <cellStyle name="Comma 8 4 2 3 3 3" xfId="49287" xr:uid="{00000000-0005-0000-0000-00007FAF0000}"/>
    <cellStyle name="Comma 8 4 2 3 4" xfId="49288" xr:uid="{00000000-0005-0000-0000-000080AF0000}"/>
    <cellStyle name="Comma 8 4 2 3 4 2" xfId="49289" xr:uid="{00000000-0005-0000-0000-000081AF0000}"/>
    <cellStyle name="Comma 8 4 2 3 5" xfId="49290" xr:uid="{00000000-0005-0000-0000-000082AF0000}"/>
    <cellStyle name="Comma 8 4 2 3 6" xfId="49291" xr:uid="{00000000-0005-0000-0000-000083AF0000}"/>
    <cellStyle name="Comma 8 4 2 4" xfId="49292" xr:uid="{00000000-0005-0000-0000-000084AF0000}"/>
    <cellStyle name="Comma 8 4 2 4 2" xfId="49293" xr:uid="{00000000-0005-0000-0000-000085AF0000}"/>
    <cellStyle name="Comma 8 4 2 4 2 2" xfId="49294" xr:uid="{00000000-0005-0000-0000-000086AF0000}"/>
    <cellStyle name="Comma 8 4 2 4 2 3" xfId="49295" xr:uid="{00000000-0005-0000-0000-000087AF0000}"/>
    <cellStyle name="Comma 8 4 2 4 3" xfId="49296" xr:uid="{00000000-0005-0000-0000-000088AF0000}"/>
    <cellStyle name="Comma 8 4 2 4 3 2" xfId="49297" xr:uid="{00000000-0005-0000-0000-000089AF0000}"/>
    <cellStyle name="Comma 8 4 2 4 3 3" xfId="49298" xr:uid="{00000000-0005-0000-0000-00008AAF0000}"/>
    <cellStyle name="Comma 8 4 2 4 4" xfId="49299" xr:uid="{00000000-0005-0000-0000-00008BAF0000}"/>
    <cellStyle name="Comma 8 4 2 4 4 2" xfId="49300" xr:uid="{00000000-0005-0000-0000-00008CAF0000}"/>
    <cellStyle name="Comma 8 4 2 4 5" xfId="49301" xr:uid="{00000000-0005-0000-0000-00008DAF0000}"/>
    <cellStyle name="Comma 8 4 2 4 6" xfId="49302" xr:uid="{00000000-0005-0000-0000-00008EAF0000}"/>
    <cellStyle name="Comma 8 4 2 5" xfId="49303" xr:uid="{00000000-0005-0000-0000-00008FAF0000}"/>
    <cellStyle name="Comma 8 4 2 5 2" xfId="49304" xr:uid="{00000000-0005-0000-0000-000090AF0000}"/>
    <cellStyle name="Comma 8 4 2 5 2 2" xfId="49305" xr:uid="{00000000-0005-0000-0000-000091AF0000}"/>
    <cellStyle name="Comma 8 4 2 5 2 3" xfId="49306" xr:uid="{00000000-0005-0000-0000-000092AF0000}"/>
    <cellStyle name="Comma 8 4 2 5 3" xfId="49307" xr:uid="{00000000-0005-0000-0000-000093AF0000}"/>
    <cellStyle name="Comma 8 4 2 5 3 2" xfId="49308" xr:uid="{00000000-0005-0000-0000-000094AF0000}"/>
    <cellStyle name="Comma 8 4 2 5 4" xfId="49309" xr:uid="{00000000-0005-0000-0000-000095AF0000}"/>
    <cellStyle name="Comma 8 4 2 5 5" xfId="49310" xr:uid="{00000000-0005-0000-0000-000096AF0000}"/>
    <cellStyle name="Comma 8 4 2 6" xfId="49311" xr:uid="{00000000-0005-0000-0000-000097AF0000}"/>
    <cellStyle name="Comma 8 4 2 6 2" xfId="49312" xr:uid="{00000000-0005-0000-0000-000098AF0000}"/>
    <cellStyle name="Comma 8 4 2 6 3" xfId="49313" xr:uid="{00000000-0005-0000-0000-000099AF0000}"/>
    <cellStyle name="Comma 8 4 2 7" xfId="49314" xr:uid="{00000000-0005-0000-0000-00009AAF0000}"/>
    <cellStyle name="Comma 8 4 2 7 2" xfId="49315" xr:uid="{00000000-0005-0000-0000-00009BAF0000}"/>
    <cellStyle name="Comma 8 4 2 7 3" xfId="49316" xr:uid="{00000000-0005-0000-0000-00009CAF0000}"/>
    <cellStyle name="Comma 8 4 2 8" xfId="49317" xr:uid="{00000000-0005-0000-0000-00009DAF0000}"/>
    <cellStyle name="Comma 8 4 2 8 2" xfId="49318" xr:uid="{00000000-0005-0000-0000-00009EAF0000}"/>
    <cellStyle name="Comma 8 4 2 9" xfId="49319" xr:uid="{00000000-0005-0000-0000-00009FAF0000}"/>
    <cellStyle name="Comma 8 4 3" xfId="49320" xr:uid="{00000000-0005-0000-0000-0000A0AF0000}"/>
    <cellStyle name="Comma 8 4 3 2" xfId="49321" xr:uid="{00000000-0005-0000-0000-0000A1AF0000}"/>
    <cellStyle name="Comma 8 4 3 2 2" xfId="49322" xr:uid="{00000000-0005-0000-0000-0000A2AF0000}"/>
    <cellStyle name="Comma 8 4 3 2 2 2" xfId="49323" xr:uid="{00000000-0005-0000-0000-0000A3AF0000}"/>
    <cellStyle name="Comma 8 4 3 2 2 3" xfId="49324" xr:uid="{00000000-0005-0000-0000-0000A4AF0000}"/>
    <cellStyle name="Comma 8 4 3 2 3" xfId="49325" xr:uid="{00000000-0005-0000-0000-0000A5AF0000}"/>
    <cellStyle name="Comma 8 4 3 2 3 2" xfId="49326" xr:uid="{00000000-0005-0000-0000-0000A6AF0000}"/>
    <cellStyle name="Comma 8 4 3 2 3 3" xfId="49327" xr:uid="{00000000-0005-0000-0000-0000A7AF0000}"/>
    <cellStyle name="Comma 8 4 3 2 4" xfId="49328" xr:uid="{00000000-0005-0000-0000-0000A8AF0000}"/>
    <cellStyle name="Comma 8 4 3 2 4 2" xfId="49329" xr:uid="{00000000-0005-0000-0000-0000A9AF0000}"/>
    <cellStyle name="Comma 8 4 3 2 5" xfId="49330" xr:uid="{00000000-0005-0000-0000-0000AAAF0000}"/>
    <cellStyle name="Comma 8 4 3 2 6" xfId="49331" xr:uid="{00000000-0005-0000-0000-0000ABAF0000}"/>
    <cellStyle name="Comma 8 4 3 3" xfId="49332" xr:uid="{00000000-0005-0000-0000-0000ACAF0000}"/>
    <cellStyle name="Comma 8 4 3 3 2" xfId="49333" xr:uid="{00000000-0005-0000-0000-0000ADAF0000}"/>
    <cellStyle name="Comma 8 4 3 3 2 2" xfId="49334" xr:uid="{00000000-0005-0000-0000-0000AEAF0000}"/>
    <cellStyle name="Comma 8 4 3 3 2 3" xfId="49335" xr:uid="{00000000-0005-0000-0000-0000AFAF0000}"/>
    <cellStyle name="Comma 8 4 3 3 3" xfId="49336" xr:uid="{00000000-0005-0000-0000-0000B0AF0000}"/>
    <cellStyle name="Comma 8 4 3 3 3 2" xfId="49337" xr:uid="{00000000-0005-0000-0000-0000B1AF0000}"/>
    <cellStyle name="Comma 8 4 3 3 3 3" xfId="49338" xr:uid="{00000000-0005-0000-0000-0000B2AF0000}"/>
    <cellStyle name="Comma 8 4 3 3 4" xfId="49339" xr:uid="{00000000-0005-0000-0000-0000B3AF0000}"/>
    <cellStyle name="Comma 8 4 3 3 4 2" xfId="49340" xr:uid="{00000000-0005-0000-0000-0000B4AF0000}"/>
    <cellStyle name="Comma 8 4 3 3 5" xfId="49341" xr:uid="{00000000-0005-0000-0000-0000B5AF0000}"/>
    <cellStyle name="Comma 8 4 3 3 6" xfId="49342" xr:uid="{00000000-0005-0000-0000-0000B6AF0000}"/>
    <cellStyle name="Comma 8 4 3 4" xfId="49343" xr:uid="{00000000-0005-0000-0000-0000B7AF0000}"/>
    <cellStyle name="Comma 8 4 3 4 2" xfId="49344" xr:uid="{00000000-0005-0000-0000-0000B8AF0000}"/>
    <cellStyle name="Comma 8 4 3 4 2 2" xfId="49345" xr:uid="{00000000-0005-0000-0000-0000B9AF0000}"/>
    <cellStyle name="Comma 8 4 3 4 2 3" xfId="49346" xr:uid="{00000000-0005-0000-0000-0000BAAF0000}"/>
    <cellStyle name="Comma 8 4 3 4 3" xfId="49347" xr:uid="{00000000-0005-0000-0000-0000BBAF0000}"/>
    <cellStyle name="Comma 8 4 3 4 3 2" xfId="49348" xr:uid="{00000000-0005-0000-0000-0000BCAF0000}"/>
    <cellStyle name="Comma 8 4 3 4 4" xfId="49349" xr:uid="{00000000-0005-0000-0000-0000BDAF0000}"/>
    <cellStyle name="Comma 8 4 3 4 5" xfId="49350" xr:uid="{00000000-0005-0000-0000-0000BEAF0000}"/>
    <cellStyle name="Comma 8 4 3 5" xfId="49351" xr:uid="{00000000-0005-0000-0000-0000BFAF0000}"/>
    <cellStyle name="Comma 8 4 3 5 2" xfId="49352" xr:uid="{00000000-0005-0000-0000-0000C0AF0000}"/>
    <cellStyle name="Comma 8 4 3 5 3" xfId="49353" xr:uid="{00000000-0005-0000-0000-0000C1AF0000}"/>
    <cellStyle name="Comma 8 4 3 6" xfId="49354" xr:uid="{00000000-0005-0000-0000-0000C2AF0000}"/>
    <cellStyle name="Comma 8 4 3 6 2" xfId="49355" xr:uid="{00000000-0005-0000-0000-0000C3AF0000}"/>
    <cellStyle name="Comma 8 4 3 6 3" xfId="49356" xr:uid="{00000000-0005-0000-0000-0000C4AF0000}"/>
    <cellStyle name="Comma 8 4 3 7" xfId="49357" xr:uid="{00000000-0005-0000-0000-0000C5AF0000}"/>
    <cellStyle name="Comma 8 4 3 7 2" xfId="49358" xr:uid="{00000000-0005-0000-0000-0000C6AF0000}"/>
    <cellStyle name="Comma 8 4 3 8" xfId="49359" xr:uid="{00000000-0005-0000-0000-0000C7AF0000}"/>
    <cellStyle name="Comma 8 4 3 9" xfId="49360" xr:uid="{00000000-0005-0000-0000-0000C8AF0000}"/>
    <cellStyle name="Comma 8 4 4" xfId="49361" xr:uid="{00000000-0005-0000-0000-0000C9AF0000}"/>
    <cellStyle name="Comma 8 4 4 2" xfId="49362" xr:uid="{00000000-0005-0000-0000-0000CAAF0000}"/>
    <cellStyle name="Comma 8 4 4 2 2" xfId="49363" xr:uid="{00000000-0005-0000-0000-0000CBAF0000}"/>
    <cellStyle name="Comma 8 4 4 2 2 2" xfId="49364" xr:uid="{00000000-0005-0000-0000-0000CCAF0000}"/>
    <cellStyle name="Comma 8 4 4 2 2 3" xfId="49365" xr:uid="{00000000-0005-0000-0000-0000CDAF0000}"/>
    <cellStyle name="Comma 8 4 4 2 3" xfId="49366" xr:uid="{00000000-0005-0000-0000-0000CEAF0000}"/>
    <cellStyle name="Comma 8 4 4 2 3 2" xfId="49367" xr:uid="{00000000-0005-0000-0000-0000CFAF0000}"/>
    <cellStyle name="Comma 8 4 4 2 3 3" xfId="49368" xr:uid="{00000000-0005-0000-0000-0000D0AF0000}"/>
    <cellStyle name="Comma 8 4 4 2 4" xfId="49369" xr:uid="{00000000-0005-0000-0000-0000D1AF0000}"/>
    <cellStyle name="Comma 8 4 4 2 4 2" xfId="49370" xr:uid="{00000000-0005-0000-0000-0000D2AF0000}"/>
    <cellStyle name="Comma 8 4 4 2 5" xfId="49371" xr:uid="{00000000-0005-0000-0000-0000D3AF0000}"/>
    <cellStyle name="Comma 8 4 4 2 6" xfId="49372" xr:uid="{00000000-0005-0000-0000-0000D4AF0000}"/>
    <cellStyle name="Comma 8 4 4 3" xfId="49373" xr:uid="{00000000-0005-0000-0000-0000D5AF0000}"/>
    <cellStyle name="Comma 8 4 4 3 2" xfId="49374" xr:uid="{00000000-0005-0000-0000-0000D6AF0000}"/>
    <cellStyle name="Comma 8 4 4 3 2 2" xfId="49375" xr:uid="{00000000-0005-0000-0000-0000D7AF0000}"/>
    <cellStyle name="Comma 8 4 4 3 2 3" xfId="49376" xr:uid="{00000000-0005-0000-0000-0000D8AF0000}"/>
    <cellStyle name="Comma 8 4 4 3 3" xfId="49377" xr:uid="{00000000-0005-0000-0000-0000D9AF0000}"/>
    <cellStyle name="Comma 8 4 4 3 3 2" xfId="49378" xr:uid="{00000000-0005-0000-0000-0000DAAF0000}"/>
    <cellStyle name="Comma 8 4 4 3 3 3" xfId="49379" xr:uid="{00000000-0005-0000-0000-0000DBAF0000}"/>
    <cellStyle name="Comma 8 4 4 3 4" xfId="49380" xr:uid="{00000000-0005-0000-0000-0000DCAF0000}"/>
    <cellStyle name="Comma 8 4 4 3 4 2" xfId="49381" xr:uid="{00000000-0005-0000-0000-0000DDAF0000}"/>
    <cellStyle name="Comma 8 4 4 3 5" xfId="49382" xr:uid="{00000000-0005-0000-0000-0000DEAF0000}"/>
    <cellStyle name="Comma 8 4 4 3 6" xfId="49383" xr:uid="{00000000-0005-0000-0000-0000DFAF0000}"/>
    <cellStyle name="Comma 8 4 4 4" xfId="49384" xr:uid="{00000000-0005-0000-0000-0000E0AF0000}"/>
    <cellStyle name="Comma 8 4 4 4 2" xfId="49385" xr:uid="{00000000-0005-0000-0000-0000E1AF0000}"/>
    <cellStyle name="Comma 8 4 4 4 2 2" xfId="49386" xr:uid="{00000000-0005-0000-0000-0000E2AF0000}"/>
    <cellStyle name="Comma 8 4 4 4 2 3" xfId="49387" xr:uid="{00000000-0005-0000-0000-0000E3AF0000}"/>
    <cellStyle name="Comma 8 4 4 4 3" xfId="49388" xr:uid="{00000000-0005-0000-0000-0000E4AF0000}"/>
    <cellStyle name="Comma 8 4 4 4 3 2" xfId="49389" xr:uid="{00000000-0005-0000-0000-0000E5AF0000}"/>
    <cellStyle name="Comma 8 4 4 4 4" xfId="49390" xr:uid="{00000000-0005-0000-0000-0000E6AF0000}"/>
    <cellStyle name="Comma 8 4 4 4 5" xfId="49391" xr:uid="{00000000-0005-0000-0000-0000E7AF0000}"/>
    <cellStyle name="Comma 8 4 4 5" xfId="49392" xr:uid="{00000000-0005-0000-0000-0000E8AF0000}"/>
    <cellStyle name="Comma 8 4 4 5 2" xfId="49393" xr:uid="{00000000-0005-0000-0000-0000E9AF0000}"/>
    <cellStyle name="Comma 8 4 4 5 3" xfId="49394" xr:uid="{00000000-0005-0000-0000-0000EAAF0000}"/>
    <cellStyle name="Comma 8 4 4 6" xfId="49395" xr:uid="{00000000-0005-0000-0000-0000EBAF0000}"/>
    <cellStyle name="Comma 8 4 4 6 2" xfId="49396" xr:uid="{00000000-0005-0000-0000-0000ECAF0000}"/>
    <cellStyle name="Comma 8 4 4 6 3" xfId="49397" xr:uid="{00000000-0005-0000-0000-0000EDAF0000}"/>
    <cellStyle name="Comma 8 4 4 7" xfId="49398" xr:uid="{00000000-0005-0000-0000-0000EEAF0000}"/>
    <cellStyle name="Comma 8 4 4 7 2" xfId="49399" xr:uid="{00000000-0005-0000-0000-0000EFAF0000}"/>
    <cellStyle name="Comma 8 4 4 8" xfId="49400" xr:uid="{00000000-0005-0000-0000-0000F0AF0000}"/>
    <cellStyle name="Comma 8 4 4 9" xfId="49401" xr:uid="{00000000-0005-0000-0000-0000F1AF0000}"/>
    <cellStyle name="Comma 8 4 5" xfId="49402" xr:uid="{00000000-0005-0000-0000-0000F2AF0000}"/>
    <cellStyle name="Comma 8 4 5 2" xfId="49403" xr:uid="{00000000-0005-0000-0000-0000F3AF0000}"/>
    <cellStyle name="Comma 8 4 5 2 2" xfId="49404" xr:uid="{00000000-0005-0000-0000-0000F4AF0000}"/>
    <cellStyle name="Comma 8 4 5 2 3" xfId="49405" xr:uid="{00000000-0005-0000-0000-0000F5AF0000}"/>
    <cellStyle name="Comma 8 4 5 3" xfId="49406" xr:uid="{00000000-0005-0000-0000-0000F6AF0000}"/>
    <cellStyle name="Comma 8 4 5 3 2" xfId="49407" xr:uid="{00000000-0005-0000-0000-0000F7AF0000}"/>
    <cellStyle name="Comma 8 4 5 3 3" xfId="49408" xr:uid="{00000000-0005-0000-0000-0000F8AF0000}"/>
    <cellStyle name="Comma 8 4 5 4" xfId="49409" xr:uid="{00000000-0005-0000-0000-0000F9AF0000}"/>
    <cellStyle name="Comma 8 4 5 4 2" xfId="49410" xr:uid="{00000000-0005-0000-0000-0000FAAF0000}"/>
    <cellStyle name="Comma 8 4 5 5" xfId="49411" xr:uid="{00000000-0005-0000-0000-0000FBAF0000}"/>
    <cellStyle name="Comma 8 4 5 6" xfId="49412" xr:uid="{00000000-0005-0000-0000-0000FCAF0000}"/>
    <cellStyle name="Comma 8 4 6" xfId="49413" xr:uid="{00000000-0005-0000-0000-0000FDAF0000}"/>
    <cellStyle name="Comma 8 4 6 2" xfId="49414" xr:uid="{00000000-0005-0000-0000-0000FEAF0000}"/>
    <cellStyle name="Comma 8 4 6 2 2" xfId="49415" xr:uid="{00000000-0005-0000-0000-0000FFAF0000}"/>
    <cellStyle name="Comma 8 4 6 2 3" xfId="49416" xr:uid="{00000000-0005-0000-0000-000000B00000}"/>
    <cellStyle name="Comma 8 4 6 3" xfId="49417" xr:uid="{00000000-0005-0000-0000-000001B00000}"/>
    <cellStyle name="Comma 8 4 6 3 2" xfId="49418" xr:uid="{00000000-0005-0000-0000-000002B00000}"/>
    <cellStyle name="Comma 8 4 6 3 3" xfId="49419" xr:uid="{00000000-0005-0000-0000-000003B00000}"/>
    <cellStyle name="Comma 8 4 6 4" xfId="49420" xr:uid="{00000000-0005-0000-0000-000004B00000}"/>
    <cellStyle name="Comma 8 4 6 4 2" xfId="49421" xr:uid="{00000000-0005-0000-0000-000005B00000}"/>
    <cellStyle name="Comma 8 4 6 5" xfId="49422" xr:uid="{00000000-0005-0000-0000-000006B00000}"/>
    <cellStyle name="Comma 8 4 6 6" xfId="49423" xr:uid="{00000000-0005-0000-0000-000007B00000}"/>
    <cellStyle name="Comma 8 4 7" xfId="49424" xr:uid="{00000000-0005-0000-0000-000008B00000}"/>
    <cellStyle name="Comma 8 4 7 2" xfId="49425" xr:uid="{00000000-0005-0000-0000-000009B00000}"/>
    <cellStyle name="Comma 8 4 7 2 2" xfId="49426" xr:uid="{00000000-0005-0000-0000-00000AB00000}"/>
    <cellStyle name="Comma 8 4 7 2 3" xfId="49427" xr:uid="{00000000-0005-0000-0000-00000BB00000}"/>
    <cellStyle name="Comma 8 4 7 3" xfId="49428" xr:uid="{00000000-0005-0000-0000-00000CB00000}"/>
    <cellStyle name="Comma 8 4 7 3 2" xfId="49429" xr:uid="{00000000-0005-0000-0000-00000DB00000}"/>
    <cellStyle name="Comma 8 4 7 4" xfId="49430" xr:uid="{00000000-0005-0000-0000-00000EB00000}"/>
    <cellStyle name="Comma 8 4 7 5" xfId="49431" xr:uid="{00000000-0005-0000-0000-00000FB00000}"/>
    <cellStyle name="Comma 8 4 8" xfId="49432" xr:uid="{00000000-0005-0000-0000-000010B00000}"/>
    <cellStyle name="Comma 8 4 8 2" xfId="49433" xr:uid="{00000000-0005-0000-0000-000011B00000}"/>
    <cellStyle name="Comma 8 4 8 3" xfId="49434" xr:uid="{00000000-0005-0000-0000-000012B00000}"/>
    <cellStyle name="Comma 8 4 9" xfId="49435" xr:uid="{00000000-0005-0000-0000-000013B00000}"/>
    <cellStyle name="Comma 8 4 9 2" xfId="49436" xr:uid="{00000000-0005-0000-0000-000014B00000}"/>
    <cellStyle name="Comma 8 4 9 3" xfId="49437" xr:uid="{00000000-0005-0000-0000-000015B00000}"/>
    <cellStyle name="Comma 8 5" xfId="3745" xr:uid="{00000000-0005-0000-0000-000016B00000}"/>
    <cellStyle name="Comma 8 5 10" xfId="49438" xr:uid="{00000000-0005-0000-0000-000017B00000}"/>
    <cellStyle name="Comma 8 5 2" xfId="49439" xr:uid="{00000000-0005-0000-0000-000018B00000}"/>
    <cellStyle name="Comma 8 5 2 2" xfId="49440" xr:uid="{00000000-0005-0000-0000-000019B00000}"/>
    <cellStyle name="Comma 8 5 2 2 2" xfId="49441" xr:uid="{00000000-0005-0000-0000-00001AB00000}"/>
    <cellStyle name="Comma 8 5 2 2 2 2" xfId="49442" xr:uid="{00000000-0005-0000-0000-00001BB00000}"/>
    <cellStyle name="Comma 8 5 2 2 2 3" xfId="49443" xr:uid="{00000000-0005-0000-0000-00001CB00000}"/>
    <cellStyle name="Comma 8 5 2 2 3" xfId="49444" xr:uid="{00000000-0005-0000-0000-00001DB00000}"/>
    <cellStyle name="Comma 8 5 2 2 3 2" xfId="49445" xr:uid="{00000000-0005-0000-0000-00001EB00000}"/>
    <cellStyle name="Comma 8 5 2 2 3 3" xfId="49446" xr:uid="{00000000-0005-0000-0000-00001FB00000}"/>
    <cellStyle name="Comma 8 5 2 2 4" xfId="49447" xr:uid="{00000000-0005-0000-0000-000020B00000}"/>
    <cellStyle name="Comma 8 5 2 2 4 2" xfId="49448" xr:uid="{00000000-0005-0000-0000-000021B00000}"/>
    <cellStyle name="Comma 8 5 2 2 5" xfId="49449" xr:uid="{00000000-0005-0000-0000-000022B00000}"/>
    <cellStyle name="Comma 8 5 2 2 6" xfId="49450" xr:uid="{00000000-0005-0000-0000-000023B00000}"/>
    <cellStyle name="Comma 8 5 2 3" xfId="49451" xr:uid="{00000000-0005-0000-0000-000024B00000}"/>
    <cellStyle name="Comma 8 5 2 3 2" xfId="49452" xr:uid="{00000000-0005-0000-0000-000025B00000}"/>
    <cellStyle name="Comma 8 5 2 3 2 2" xfId="49453" xr:uid="{00000000-0005-0000-0000-000026B00000}"/>
    <cellStyle name="Comma 8 5 2 3 2 3" xfId="49454" xr:uid="{00000000-0005-0000-0000-000027B00000}"/>
    <cellStyle name="Comma 8 5 2 3 3" xfId="49455" xr:uid="{00000000-0005-0000-0000-000028B00000}"/>
    <cellStyle name="Comma 8 5 2 3 3 2" xfId="49456" xr:uid="{00000000-0005-0000-0000-000029B00000}"/>
    <cellStyle name="Comma 8 5 2 3 3 3" xfId="49457" xr:uid="{00000000-0005-0000-0000-00002AB00000}"/>
    <cellStyle name="Comma 8 5 2 3 4" xfId="49458" xr:uid="{00000000-0005-0000-0000-00002BB00000}"/>
    <cellStyle name="Comma 8 5 2 3 4 2" xfId="49459" xr:uid="{00000000-0005-0000-0000-00002CB00000}"/>
    <cellStyle name="Comma 8 5 2 3 5" xfId="49460" xr:uid="{00000000-0005-0000-0000-00002DB00000}"/>
    <cellStyle name="Comma 8 5 2 3 6" xfId="49461" xr:uid="{00000000-0005-0000-0000-00002EB00000}"/>
    <cellStyle name="Comma 8 5 2 4" xfId="49462" xr:uid="{00000000-0005-0000-0000-00002FB00000}"/>
    <cellStyle name="Comma 8 5 2 4 2" xfId="49463" xr:uid="{00000000-0005-0000-0000-000030B00000}"/>
    <cellStyle name="Comma 8 5 2 4 2 2" xfId="49464" xr:uid="{00000000-0005-0000-0000-000031B00000}"/>
    <cellStyle name="Comma 8 5 2 4 2 3" xfId="49465" xr:uid="{00000000-0005-0000-0000-000032B00000}"/>
    <cellStyle name="Comma 8 5 2 4 3" xfId="49466" xr:uid="{00000000-0005-0000-0000-000033B00000}"/>
    <cellStyle name="Comma 8 5 2 4 3 2" xfId="49467" xr:uid="{00000000-0005-0000-0000-000034B00000}"/>
    <cellStyle name="Comma 8 5 2 4 4" xfId="49468" xr:uid="{00000000-0005-0000-0000-000035B00000}"/>
    <cellStyle name="Comma 8 5 2 4 5" xfId="49469" xr:uid="{00000000-0005-0000-0000-000036B00000}"/>
    <cellStyle name="Comma 8 5 2 5" xfId="49470" xr:uid="{00000000-0005-0000-0000-000037B00000}"/>
    <cellStyle name="Comma 8 5 2 5 2" xfId="49471" xr:uid="{00000000-0005-0000-0000-000038B00000}"/>
    <cellStyle name="Comma 8 5 2 5 3" xfId="49472" xr:uid="{00000000-0005-0000-0000-000039B00000}"/>
    <cellStyle name="Comma 8 5 2 6" xfId="49473" xr:uid="{00000000-0005-0000-0000-00003AB00000}"/>
    <cellStyle name="Comma 8 5 2 6 2" xfId="49474" xr:uid="{00000000-0005-0000-0000-00003BB00000}"/>
    <cellStyle name="Comma 8 5 2 6 3" xfId="49475" xr:uid="{00000000-0005-0000-0000-00003CB00000}"/>
    <cellStyle name="Comma 8 5 2 7" xfId="49476" xr:uid="{00000000-0005-0000-0000-00003DB00000}"/>
    <cellStyle name="Comma 8 5 2 7 2" xfId="49477" xr:uid="{00000000-0005-0000-0000-00003EB00000}"/>
    <cellStyle name="Comma 8 5 2 8" xfId="49478" xr:uid="{00000000-0005-0000-0000-00003FB00000}"/>
    <cellStyle name="Comma 8 5 2 9" xfId="49479" xr:uid="{00000000-0005-0000-0000-000040B00000}"/>
    <cellStyle name="Comma 8 5 3" xfId="49480" xr:uid="{00000000-0005-0000-0000-000041B00000}"/>
    <cellStyle name="Comma 8 5 3 2" xfId="49481" xr:uid="{00000000-0005-0000-0000-000042B00000}"/>
    <cellStyle name="Comma 8 5 3 2 2" xfId="49482" xr:uid="{00000000-0005-0000-0000-000043B00000}"/>
    <cellStyle name="Comma 8 5 3 2 3" xfId="49483" xr:uid="{00000000-0005-0000-0000-000044B00000}"/>
    <cellStyle name="Comma 8 5 3 3" xfId="49484" xr:uid="{00000000-0005-0000-0000-000045B00000}"/>
    <cellStyle name="Comma 8 5 3 3 2" xfId="49485" xr:uid="{00000000-0005-0000-0000-000046B00000}"/>
    <cellStyle name="Comma 8 5 3 3 3" xfId="49486" xr:uid="{00000000-0005-0000-0000-000047B00000}"/>
    <cellStyle name="Comma 8 5 3 4" xfId="49487" xr:uid="{00000000-0005-0000-0000-000048B00000}"/>
    <cellStyle name="Comma 8 5 3 4 2" xfId="49488" xr:uid="{00000000-0005-0000-0000-000049B00000}"/>
    <cellStyle name="Comma 8 5 3 5" xfId="49489" xr:uid="{00000000-0005-0000-0000-00004AB00000}"/>
    <cellStyle name="Comma 8 5 3 6" xfId="49490" xr:uid="{00000000-0005-0000-0000-00004BB00000}"/>
    <cellStyle name="Comma 8 5 4" xfId="49491" xr:uid="{00000000-0005-0000-0000-00004CB00000}"/>
    <cellStyle name="Comma 8 5 4 2" xfId="49492" xr:uid="{00000000-0005-0000-0000-00004DB00000}"/>
    <cellStyle name="Comma 8 5 4 2 2" xfId="49493" xr:uid="{00000000-0005-0000-0000-00004EB00000}"/>
    <cellStyle name="Comma 8 5 4 2 3" xfId="49494" xr:uid="{00000000-0005-0000-0000-00004FB00000}"/>
    <cellStyle name="Comma 8 5 4 3" xfId="49495" xr:uid="{00000000-0005-0000-0000-000050B00000}"/>
    <cellStyle name="Comma 8 5 4 3 2" xfId="49496" xr:uid="{00000000-0005-0000-0000-000051B00000}"/>
    <cellStyle name="Comma 8 5 4 3 3" xfId="49497" xr:uid="{00000000-0005-0000-0000-000052B00000}"/>
    <cellStyle name="Comma 8 5 4 4" xfId="49498" xr:uid="{00000000-0005-0000-0000-000053B00000}"/>
    <cellStyle name="Comma 8 5 4 4 2" xfId="49499" xr:uid="{00000000-0005-0000-0000-000054B00000}"/>
    <cellStyle name="Comma 8 5 4 5" xfId="49500" xr:uid="{00000000-0005-0000-0000-000055B00000}"/>
    <cellStyle name="Comma 8 5 4 6" xfId="49501" xr:uid="{00000000-0005-0000-0000-000056B00000}"/>
    <cellStyle name="Comma 8 5 5" xfId="49502" xr:uid="{00000000-0005-0000-0000-000057B00000}"/>
    <cellStyle name="Comma 8 5 5 2" xfId="49503" xr:uid="{00000000-0005-0000-0000-000058B00000}"/>
    <cellStyle name="Comma 8 5 5 2 2" xfId="49504" xr:uid="{00000000-0005-0000-0000-000059B00000}"/>
    <cellStyle name="Comma 8 5 5 2 3" xfId="49505" xr:uid="{00000000-0005-0000-0000-00005AB00000}"/>
    <cellStyle name="Comma 8 5 5 3" xfId="49506" xr:uid="{00000000-0005-0000-0000-00005BB00000}"/>
    <cellStyle name="Comma 8 5 5 3 2" xfId="49507" xr:uid="{00000000-0005-0000-0000-00005CB00000}"/>
    <cellStyle name="Comma 8 5 5 4" xfId="49508" xr:uid="{00000000-0005-0000-0000-00005DB00000}"/>
    <cellStyle name="Comma 8 5 5 5" xfId="49509" xr:uid="{00000000-0005-0000-0000-00005EB00000}"/>
    <cellStyle name="Comma 8 5 6" xfId="49510" xr:uid="{00000000-0005-0000-0000-00005FB00000}"/>
    <cellStyle name="Comma 8 5 6 2" xfId="49511" xr:uid="{00000000-0005-0000-0000-000060B00000}"/>
    <cellStyle name="Comma 8 5 6 3" xfId="49512" xr:uid="{00000000-0005-0000-0000-000061B00000}"/>
    <cellStyle name="Comma 8 5 7" xfId="49513" xr:uid="{00000000-0005-0000-0000-000062B00000}"/>
    <cellStyle name="Comma 8 5 7 2" xfId="49514" xr:uid="{00000000-0005-0000-0000-000063B00000}"/>
    <cellStyle name="Comma 8 5 7 3" xfId="49515" xr:uid="{00000000-0005-0000-0000-000064B00000}"/>
    <cellStyle name="Comma 8 5 8" xfId="49516" xr:uid="{00000000-0005-0000-0000-000065B00000}"/>
    <cellStyle name="Comma 8 5 8 2" xfId="49517" xr:uid="{00000000-0005-0000-0000-000066B00000}"/>
    <cellStyle name="Comma 8 5 9" xfId="49518" xr:uid="{00000000-0005-0000-0000-000067B00000}"/>
    <cellStyle name="Comma 8 6" xfId="9151" xr:uid="{00000000-0005-0000-0000-000068B00000}"/>
    <cellStyle name="Comma 8 6 2" xfId="49519" xr:uid="{00000000-0005-0000-0000-000069B00000}"/>
    <cellStyle name="Comma 8 6 2 2" xfId="49520" xr:uid="{00000000-0005-0000-0000-00006AB00000}"/>
    <cellStyle name="Comma 8 6 2 2 2" xfId="49521" xr:uid="{00000000-0005-0000-0000-00006BB00000}"/>
    <cellStyle name="Comma 8 6 2 2 3" xfId="49522" xr:uid="{00000000-0005-0000-0000-00006CB00000}"/>
    <cellStyle name="Comma 8 6 2 3" xfId="49523" xr:uid="{00000000-0005-0000-0000-00006DB00000}"/>
    <cellStyle name="Comma 8 6 2 3 2" xfId="49524" xr:uid="{00000000-0005-0000-0000-00006EB00000}"/>
    <cellStyle name="Comma 8 6 2 3 3" xfId="49525" xr:uid="{00000000-0005-0000-0000-00006FB00000}"/>
    <cellStyle name="Comma 8 6 2 4" xfId="49526" xr:uid="{00000000-0005-0000-0000-000070B00000}"/>
    <cellStyle name="Comma 8 6 2 4 2" xfId="49527" xr:uid="{00000000-0005-0000-0000-000071B00000}"/>
    <cellStyle name="Comma 8 6 2 5" xfId="49528" xr:uid="{00000000-0005-0000-0000-000072B00000}"/>
    <cellStyle name="Comma 8 6 2 6" xfId="49529" xr:uid="{00000000-0005-0000-0000-000073B00000}"/>
    <cellStyle name="Comma 8 6 3" xfId="49530" xr:uid="{00000000-0005-0000-0000-000074B00000}"/>
    <cellStyle name="Comma 8 6 3 2" xfId="49531" xr:uid="{00000000-0005-0000-0000-000075B00000}"/>
    <cellStyle name="Comma 8 6 3 2 2" xfId="49532" xr:uid="{00000000-0005-0000-0000-000076B00000}"/>
    <cellStyle name="Comma 8 6 3 2 3" xfId="49533" xr:uid="{00000000-0005-0000-0000-000077B00000}"/>
    <cellStyle name="Comma 8 6 3 3" xfId="49534" xr:uid="{00000000-0005-0000-0000-000078B00000}"/>
    <cellStyle name="Comma 8 6 3 3 2" xfId="49535" xr:uid="{00000000-0005-0000-0000-000079B00000}"/>
    <cellStyle name="Comma 8 6 3 3 3" xfId="49536" xr:uid="{00000000-0005-0000-0000-00007AB00000}"/>
    <cellStyle name="Comma 8 6 3 4" xfId="49537" xr:uid="{00000000-0005-0000-0000-00007BB00000}"/>
    <cellStyle name="Comma 8 6 3 4 2" xfId="49538" xr:uid="{00000000-0005-0000-0000-00007CB00000}"/>
    <cellStyle name="Comma 8 6 3 5" xfId="49539" xr:uid="{00000000-0005-0000-0000-00007DB00000}"/>
    <cellStyle name="Comma 8 6 3 6" xfId="49540" xr:uid="{00000000-0005-0000-0000-00007EB00000}"/>
    <cellStyle name="Comma 8 6 4" xfId="49541" xr:uid="{00000000-0005-0000-0000-00007FB00000}"/>
    <cellStyle name="Comma 8 6 4 2" xfId="49542" xr:uid="{00000000-0005-0000-0000-000080B00000}"/>
    <cellStyle name="Comma 8 6 4 2 2" xfId="49543" xr:uid="{00000000-0005-0000-0000-000081B00000}"/>
    <cellStyle name="Comma 8 6 4 2 3" xfId="49544" xr:uid="{00000000-0005-0000-0000-000082B00000}"/>
    <cellStyle name="Comma 8 6 4 3" xfId="49545" xr:uid="{00000000-0005-0000-0000-000083B00000}"/>
    <cellStyle name="Comma 8 6 4 3 2" xfId="49546" xr:uid="{00000000-0005-0000-0000-000084B00000}"/>
    <cellStyle name="Comma 8 6 4 4" xfId="49547" xr:uid="{00000000-0005-0000-0000-000085B00000}"/>
    <cellStyle name="Comma 8 6 4 5" xfId="49548" xr:uid="{00000000-0005-0000-0000-000086B00000}"/>
    <cellStyle name="Comma 8 6 5" xfId="49549" xr:uid="{00000000-0005-0000-0000-000087B00000}"/>
    <cellStyle name="Comma 8 6 5 2" xfId="49550" xr:uid="{00000000-0005-0000-0000-000088B00000}"/>
    <cellStyle name="Comma 8 6 5 3" xfId="49551" xr:uid="{00000000-0005-0000-0000-000089B00000}"/>
    <cellStyle name="Comma 8 6 6" xfId="49552" xr:uid="{00000000-0005-0000-0000-00008AB00000}"/>
    <cellStyle name="Comma 8 6 6 2" xfId="49553" xr:uid="{00000000-0005-0000-0000-00008BB00000}"/>
    <cellStyle name="Comma 8 6 6 3" xfId="49554" xr:uid="{00000000-0005-0000-0000-00008CB00000}"/>
    <cellStyle name="Comma 8 6 7" xfId="49555" xr:uid="{00000000-0005-0000-0000-00008DB00000}"/>
    <cellStyle name="Comma 8 6 7 2" xfId="49556" xr:uid="{00000000-0005-0000-0000-00008EB00000}"/>
    <cellStyle name="Comma 8 6 8" xfId="49557" xr:uid="{00000000-0005-0000-0000-00008FB00000}"/>
    <cellStyle name="Comma 8 6 9" xfId="49558" xr:uid="{00000000-0005-0000-0000-000090B00000}"/>
    <cellStyle name="Comma 8 7" xfId="49559" xr:uid="{00000000-0005-0000-0000-000091B00000}"/>
    <cellStyle name="Comma 8 7 2" xfId="49560" xr:uid="{00000000-0005-0000-0000-000092B00000}"/>
    <cellStyle name="Comma 8 7 2 2" xfId="49561" xr:uid="{00000000-0005-0000-0000-000093B00000}"/>
    <cellStyle name="Comma 8 7 2 2 2" xfId="49562" xr:uid="{00000000-0005-0000-0000-000094B00000}"/>
    <cellStyle name="Comma 8 7 2 2 3" xfId="49563" xr:uid="{00000000-0005-0000-0000-000095B00000}"/>
    <cellStyle name="Comma 8 7 2 3" xfId="49564" xr:uid="{00000000-0005-0000-0000-000096B00000}"/>
    <cellStyle name="Comma 8 7 2 3 2" xfId="49565" xr:uid="{00000000-0005-0000-0000-000097B00000}"/>
    <cellStyle name="Comma 8 7 2 3 3" xfId="49566" xr:uid="{00000000-0005-0000-0000-000098B00000}"/>
    <cellStyle name="Comma 8 7 2 4" xfId="49567" xr:uid="{00000000-0005-0000-0000-000099B00000}"/>
    <cellStyle name="Comma 8 7 2 4 2" xfId="49568" xr:uid="{00000000-0005-0000-0000-00009AB00000}"/>
    <cellStyle name="Comma 8 7 2 5" xfId="49569" xr:uid="{00000000-0005-0000-0000-00009BB00000}"/>
    <cellStyle name="Comma 8 7 2 6" xfId="49570" xr:uid="{00000000-0005-0000-0000-00009CB00000}"/>
    <cellStyle name="Comma 8 7 3" xfId="49571" xr:uid="{00000000-0005-0000-0000-00009DB00000}"/>
    <cellStyle name="Comma 8 7 3 2" xfId="49572" xr:uid="{00000000-0005-0000-0000-00009EB00000}"/>
    <cellStyle name="Comma 8 7 3 2 2" xfId="49573" xr:uid="{00000000-0005-0000-0000-00009FB00000}"/>
    <cellStyle name="Comma 8 7 3 2 3" xfId="49574" xr:uid="{00000000-0005-0000-0000-0000A0B00000}"/>
    <cellStyle name="Comma 8 7 3 3" xfId="49575" xr:uid="{00000000-0005-0000-0000-0000A1B00000}"/>
    <cellStyle name="Comma 8 7 3 3 2" xfId="49576" xr:uid="{00000000-0005-0000-0000-0000A2B00000}"/>
    <cellStyle name="Comma 8 7 3 3 3" xfId="49577" xr:uid="{00000000-0005-0000-0000-0000A3B00000}"/>
    <cellStyle name="Comma 8 7 3 4" xfId="49578" xr:uid="{00000000-0005-0000-0000-0000A4B00000}"/>
    <cellStyle name="Comma 8 7 3 4 2" xfId="49579" xr:uid="{00000000-0005-0000-0000-0000A5B00000}"/>
    <cellStyle name="Comma 8 7 3 5" xfId="49580" xr:uid="{00000000-0005-0000-0000-0000A6B00000}"/>
    <cellStyle name="Comma 8 7 3 6" xfId="49581" xr:uid="{00000000-0005-0000-0000-0000A7B00000}"/>
    <cellStyle name="Comma 8 7 4" xfId="49582" xr:uid="{00000000-0005-0000-0000-0000A8B00000}"/>
    <cellStyle name="Comma 8 7 4 2" xfId="49583" xr:uid="{00000000-0005-0000-0000-0000A9B00000}"/>
    <cellStyle name="Comma 8 7 4 2 2" xfId="49584" xr:uid="{00000000-0005-0000-0000-0000AAB00000}"/>
    <cellStyle name="Comma 8 7 4 2 3" xfId="49585" xr:uid="{00000000-0005-0000-0000-0000ABB00000}"/>
    <cellStyle name="Comma 8 7 4 3" xfId="49586" xr:uid="{00000000-0005-0000-0000-0000ACB00000}"/>
    <cellStyle name="Comma 8 7 4 3 2" xfId="49587" xr:uid="{00000000-0005-0000-0000-0000ADB00000}"/>
    <cellStyle name="Comma 8 7 4 4" xfId="49588" xr:uid="{00000000-0005-0000-0000-0000AEB00000}"/>
    <cellStyle name="Comma 8 7 4 5" xfId="49589" xr:uid="{00000000-0005-0000-0000-0000AFB00000}"/>
    <cellStyle name="Comma 8 7 5" xfId="49590" xr:uid="{00000000-0005-0000-0000-0000B0B00000}"/>
    <cellStyle name="Comma 8 7 5 2" xfId="49591" xr:uid="{00000000-0005-0000-0000-0000B1B00000}"/>
    <cellStyle name="Comma 8 7 5 3" xfId="49592" xr:uid="{00000000-0005-0000-0000-0000B2B00000}"/>
    <cellStyle name="Comma 8 7 6" xfId="49593" xr:uid="{00000000-0005-0000-0000-0000B3B00000}"/>
    <cellStyle name="Comma 8 7 6 2" xfId="49594" xr:uid="{00000000-0005-0000-0000-0000B4B00000}"/>
    <cellStyle name="Comma 8 7 6 3" xfId="49595" xr:uid="{00000000-0005-0000-0000-0000B5B00000}"/>
    <cellStyle name="Comma 8 7 7" xfId="49596" xr:uid="{00000000-0005-0000-0000-0000B6B00000}"/>
    <cellStyle name="Comma 8 7 7 2" xfId="49597" xr:uid="{00000000-0005-0000-0000-0000B7B00000}"/>
    <cellStyle name="Comma 8 7 8" xfId="49598" xr:uid="{00000000-0005-0000-0000-0000B8B00000}"/>
    <cellStyle name="Comma 8 7 9" xfId="49599" xr:uid="{00000000-0005-0000-0000-0000B9B00000}"/>
    <cellStyle name="Comma 8 8" xfId="49600" xr:uid="{00000000-0005-0000-0000-0000BAB00000}"/>
    <cellStyle name="Comma 8 8 2" xfId="49601" xr:uid="{00000000-0005-0000-0000-0000BBB00000}"/>
    <cellStyle name="Comma 8 8 2 2" xfId="49602" xr:uid="{00000000-0005-0000-0000-0000BCB00000}"/>
    <cellStyle name="Comma 8 8 2 3" xfId="49603" xr:uid="{00000000-0005-0000-0000-0000BDB00000}"/>
    <cellStyle name="Comma 8 8 3" xfId="49604" xr:uid="{00000000-0005-0000-0000-0000BEB00000}"/>
    <cellStyle name="Comma 8 8 3 2" xfId="49605" xr:uid="{00000000-0005-0000-0000-0000BFB00000}"/>
    <cellStyle name="Comma 8 8 3 3" xfId="49606" xr:uid="{00000000-0005-0000-0000-0000C0B00000}"/>
    <cellStyle name="Comma 8 8 4" xfId="49607" xr:uid="{00000000-0005-0000-0000-0000C1B00000}"/>
    <cellStyle name="Comma 8 8 4 2" xfId="49608" xr:uid="{00000000-0005-0000-0000-0000C2B00000}"/>
    <cellStyle name="Comma 8 8 5" xfId="49609" xr:uid="{00000000-0005-0000-0000-0000C3B00000}"/>
    <cellStyle name="Comma 8 8 6" xfId="49610" xr:uid="{00000000-0005-0000-0000-0000C4B00000}"/>
    <cellStyle name="Comma 8 9" xfId="49611" xr:uid="{00000000-0005-0000-0000-0000C5B00000}"/>
    <cellStyle name="Comma 8 9 2" xfId="49612" xr:uid="{00000000-0005-0000-0000-0000C6B00000}"/>
    <cellStyle name="Comma 8 9 2 2" xfId="49613" xr:uid="{00000000-0005-0000-0000-0000C7B00000}"/>
    <cellStyle name="Comma 8 9 2 3" xfId="49614" xr:uid="{00000000-0005-0000-0000-0000C8B00000}"/>
    <cellStyle name="Comma 8 9 3" xfId="49615" xr:uid="{00000000-0005-0000-0000-0000C9B00000}"/>
    <cellStyle name="Comma 8 9 3 2" xfId="49616" xr:uid="{00000000-0005-0000-0000-0000CAB00000}"/>
    <cellStyle name="Comma 8 9 3 3" xfId="49617" xr:uid="{00000000-0005-0000-0000-0000CBB00000}"/>
    <cellStyle name="Comma 8 9 4" xfId="49618" xr:uid="{00000000-0005-0000-0000-0000CCB00000}"/>
    <cellStyle name="Comma 8 9 4 2" xfId="49619" xr:uid="{00000000-0005-0000-0000-0000CDB00000}"/>
    <cellStyle name="Comma 8 9 5" xfId="49620" xr:uid="{00000000-0005-0000-0000-0000CEB00000}"/>
    <cellStyle name="Comma 8 9 6" xfId="49621" xr:uid="{00000000-0005-0000-0000-0000CFB00000}"/>
    <cellStyle name="Comma 80" xfId="3746" xr:uid="{00000000-0005-0000-0000-0000D0B00000}"/>
    <cellStyle name="Comma 81" xfId="3747" xr:uid="{00000000-0005-0000-0000-0000D1B00000}"/>
    <cellStyle name="Comma 82" xfId="3748" xr:uid="{00000000-0005-0000-0000-0000D2B00000}"/>
    <cellStyle name="Comma 83" xfId="3749" xr:uid="{00000000-0005-0000-0000-0000D3B00000}"/>
    <cellStyle name="Comma 84" xfId="3750" xr:uid="{00000000-0005-0000-0000-0000D4B00000}"/>
    <cellStyle name="Comma 85" xfId="3751" xr:uid="{00000000-0005-0000-0000-0000D5B00000}"/>
    <cellStyle name="Comma 86" xfId="8668" xr:uid="{00000000-0005-0000-0000-0000D6B00000}"/>
    <cellStyle name="Comma 87" xfId="8722" xr:uid="{00000000-0005-0000-0000-0000D7B00000}"/>
    <cellStyle name="Comma 88" xfId="8723" xr:uid="{00000000-0005-0000-0000-0000D8B00000}"/>
    <cellStyle name="Comma 89" xfId="8724" xr:uid="{00000000-0005-0000-0000-0000D9B00000}"/>
    <cellStyle name="Comma 9" xfId="3752" xr:uid="{00000000-0005-0000-0000-0000DAB00000}"/>
    <cellStyle name="Comma 9 10" xfId="9152" xr:uid="{00000000-0005-0000-0000-0000DBB00000}"/>
    <cellStyle name="Comma 9 10 2" xfId="49622" xr:uid="{00000000-0005-0000-0000-0000DCB00000}"/>
    <cellStyle name="Comma 9 10 2 2" xfId="49623" xr:uid="{00000000-0005-0000-0000-0000DDB00000}"/>
    <cellStyle name="Comma 9 10 2 3" xfId="49624" xr:uid="{00000000-0005-0000-0000-0000DEB00000}"/>
    <cellStyle name="Comma 9 10 3" xfId="49625" xr:uid="{00000000-0005-0000-0000-0000DFB00000}"/>
    <cellStyle name="Comma 9 10 3 2" xfId="49626" xr:uid="{00000000-0005-0000-0000-0000E0B00000}"/>
    <cellStyle name="Comma 9 10 4" xfId="49627" xr:uid="{00000000-0005-0000-0000-0000E1B00000}"/>
    <cellStyle name="Comma 9 10 5" xfId="49628" xr:uid="{00000000-0005-0000-0000-0000E2B00000}"/>
    <cellStyle name="Comma 9 11" xfId="49629" xr:uid="{00000000-0005-0000-0000-0000E3B00000}"/>
    <cellStyle name="Comma 9 11 2" xfId="49630" xr:uid="{00000000-0005-0000-0000-0000E4B00000}"/>
    <cellStyle name="Comma 9 11 3" xfId="49631" xr:uid="{00000000-0005-0000-0000-0000E5B00000}"/>
    <cellStyle name="Comma 9 12" xfId="49632" xr:uid="{00000000-0005-0000-0000-0000E6B00000}"/>
    <cellStyle name="Comma 9 12 2" xfId="49633" xr:uid="{00000000-0005-0000-0000-0000E7B00000}"/>
    <cellStyle name="Comma 9 12 3" xfId="49634" xr:uid="{00000000-0005-0000-0000-0000E8B00000}"/>
    <cellStyle name="Comma 9 13" xfId="49635" xr:uid="{00000000-0005-0000-0000-0000E9B00000}"/>
    <cellStyle name="Comma 9 13 2" xfId="49636" xr:uid="{00000000-0005-0000-0000-0000EAB00000}"/>
    <cellStyle name="Comma 9 14" xfId="49637" xr:uid="{00000000-0005-0000-0000-0000EBB00000}"/>
    <cellStyle name="Comma 9 15" xfId="49638" xr:uid="{00000000-0005-0000-0000-0000ECB00000}"/>
    <cellStyle name="Comma 9 16" xfId="49639" xr:uid="{00000000-0005-0000-0000-0000EDB00000}"/>
    <cellStyle name="Comma 9 2" xfId="3753" xr:uid="{00000000-0005-0000-0000-0000EEB00000}"/>
    <cellStyle name="Comma 9 2 10" xfId="49640" xr:uid="{00000000-0005-0000-0000-0000EFB00000}"/>
    <cellStyle name="Comma 9 2 10 2" xfId="49641" xr:uid="{00000000-0005-0000-0000-0000F0B00000}"/>
    <cellStyle name="Comma 9 2 10 3" xfId="49642" xr:uid="{00000000-0005-0000-0000-0000F1B00000}"/>
    <cellStyle name="Comma 9 2 11" xfId="49643" xr:uid="{00000000-0005-0000-0000-0000F2B00000}"/>
    <cellStyle name="Comma 9 2 11 2" xfId="49644" xr:uid="{00000000-0005-0000-0000-0000F3B00000}"/>
    <cellStyle name="Comma 9 2 11 3" xfId="49645" xr:uid="{00000000-0005-0000-0000-0000F4B00000}"/>
    <cellStyle name="Comma 9 2 12" xfId="49646" xr:uid="{00000000-0005-0000-0000-0000F5B00000}"/>
    <cellStyle name="Comma 9 2 12 2" xfId="49647" xr:uid="{00000000-0005-0000-0000-0000F6B00000}"/>
    <cellStyle name="Comma 9 2 13" xfId="49648" xr:uid="{00000000-0005-0000-0000-0000F7B00000}"/>
    <cellStyle name="Comma 9 2 14" xfId="49649" xr:uid="{00000000-0005-0000-0000-0000F8B00000}"/>
    <cellStyle name="Comma 9 2 15" xfId="49650" xr:uid="{00000000-0005-0000-0000-0000F9B00000}"/>
    <cellStyle name="Comma 9 2 2" xfId="3754" xr:uid="{00000000-0005-0000-0000-0000FAB00000}"/>
    <cellStyle name="Comma 9 2 2 10" xfId="49651" xr:uid="{00000000-0005-0000-0000-0000FBB00000}"/>
    <cellStyle name="Comma 9 2 2 10 2" xfId="49652" xr:uid="{00000000-0005-0000-0000-0000FCB00000}"/>
    <cellStyle name="Comma 9 2 2 10 3" xfId="49653" xr:uid="{00000000-0005-0000-0000-0000FDB00000}"/>
    <cellStyle name="Comma 9 2 2 11" xfId="49654" xr:uid="{00000000-0005-0000-0000-0000FEB00000}"/>
    <cellStyle name="Comma 9 2 2 11 2" xfId="49655" xr:uid="{00000000-0005-0000-0000-0000FFB00000}"/>
    <cellStyle name="Comma 9 2 2 12" xfId="49656" xr:uid="{00000000-0005-0000-0000-000000B10000}"/>
    <cellStyle name="Comma 9 2 2 13" xfId="49657" xr:uid="{00000000-0005-0000-0000-000001B10000}"/>
    <cellStyle name="Comma 9 2 2 14" xfId="49658" xr:uid="{00000000-0005-0000-0000-000002B10000}"/>
    <cellStyle name="Comma 9 2 2 2" xfId="3755" xr:uid="{00000000-0005-0000-0000-000003B10000}"/>
    <cellStyle name="Comma 9 2 2 2 10" xfId="49659" xr:uid="{00000000-0005-0000-0000-000004B10000}"/>
    <cellStyle name="Comma 9 2 2 2 10 2" xfId="49660" xr:uid="{00000000-0005-0000-0000-000005B10000}"/>
    <cellStyle name="Comma 9 2 2 2 11" xfId="49661" xr:uid="{00000000-0005-0000-0000-000006B10000}"/>
    <cellStyle name="Comma 9 2 2 2 12" xfId="49662" xr:uid="{00000000-0005-0000-0000-000007B10000}"/>
    <cellStyle name="Comma 9 2 2 2 2" xfId="3756" xr:uid="{00000000-0005-0000-0000-000008B10000}"/>
    <cellStyle name="Comma 9 2 2 2 2 10" xfId="49663" xr:uid="{00000000-0005-0000-0000-000009B10000}"/>
    <cellStyle name="Comma 9 2 2 2 2 2" xfId="3757" xr:uid="{00000000-0005-0000-0000-00000AB10000}"/>
    <cellStyle name="Comma 9 2 2 2 2 2 2" xfId="3758" xr:uid="{00000000-0005-0000-0000-00000BB10000}"/>
    <cellStyle name="Comma 9 2 2 2 2 2 2 2" xfId="49664" xr:uid="{00000000-0005-0000-0000-00000CB10000}"/>
    <cellStyle name="Comma 9 2 2 2 2 2 2 2 2" xfId="49665" xr:uid="{00000000-0005-0000-0000-00000DB10000}"/>
    <cellStyle name="Comma 9 2 2 2 2 2 2 2 3" xfId="49666" xr:uid="{00000000-0005-0000-0000-00000EB10000}"/>
    <cellStyle name="Comma 9 2 2 2 2 2 2 3" xfId="49667" xr:uid="{00000000-0005-0000-0000-00000FB10000}"/>
    <cellStyle name="Comma 9 2 2 2 2 2 2 3 2" xfId="49668" xr:uid="{00000000-0005-0000-0000-000010B10000}"/>
    <cellStyle name="Comma 9 2 2 2 2 2 2 3 3" xfId="49669" xr:uid="{00000000-0005-0000-0000-000011B10000}"/>
    <cellStyle name="Comma 9 2 2 2 2 2 2 4" xfId="49670" xr:uid="{00000000-0005-0000-0000-000012B10000}"/>
    <cellStyle name="Comma 9 2 2 2 2 2 2 4 2" xfId="49671" xr:uid="{00000000-0005-0000-0000-000013B10000}"/>
    <cellStyle name="Comma 9 2 2 2 2 2 2 5" xfId="49672" xr:uid="{00000000-0005-0000-0000-000014B10000}"/>
    <cellStyle name="Comma 9 2 2 2 2 2 2 6" xfId="49673" xr:uid="{00000000-0005-0000-0000-000015B10000}"/>
    <cellStyle name="Comma 9 2 2 2 2 2 3" xfId="49674" xr:uid="{00000000-0005-0000-0000-000016B10000}"/>
    <cellStyle name="Comma 9 2 2 2 2 2 3 2" xfId="49675" xr:uid="{00000000-0005-0000-0000-000017B10000}"/>
    <cellStyle name="Comma 9 2 2 2 2 2 3 2 2" xfId="49676" xr:uid="{00000000-0005-0000-0000-000018B10000}"/>
    <cellStyle name="Comma 9 2 2 2 2 2 3 2 3" xfId="49677" xr:uid="{00000000-0005-0000-0000-000019B10000}"/>
    <cellStyle name="Comma 9 2 2 2 2 2 3 3" xfId="49678" xr:uid="{00000000-0005-0000-0000-00001AB10000}"/>
    <cellStyle name="Comma 9 2 2 2 2 2 3 3 2" xfId="49679" xr:uid="{00000000-0005-0000-0000-00001BB10000}"/>
    <cellStyle name="Comma 9 2 2 2 2 2 3 3 3" xfId="49680" xr:uid="{00000000-0005-0000-0000-00001CB10000}"/>
    <cellStyle name="Comma 9 2 2 2 2 2 3 4" xfId="49681" xr:uid="{00000000-0005-0000-0000-00001DB10000}"/>
    <cellStyle name="Comma 9 2 2 2 2 2 3 4 2" xfId="49682" xr:uid="{00000000-0005-0000-0000-00001EB10000}"/>
    <cellStyle name="Comma 9 2 2 2 2 2 3 5" xfId="49683" xr:uid="{00000000-0005-0000-0000-00001FB10000}"/>
    <cellStyle name="Comma 9 2 2 2 2 2 3 6" xfId="49684" xr:uid="{00000000-0005-0000-0000-000020B10000}"/>
    <cellStyle name="Comma 9 2 2 2 2 2 4" xfId="49685" xr:uid="{00000000-0005-0000-0000-000021B10000}"/>
    <cellStyle name="Comma 9 2 2 2 2 2 4 2" xfId="49686" xr:uid="{00000000-0005-0000-0000-000022B10000}"/>
    <cellStyle name="Comma 9 2 2 2 2 2 4 2 2" xfId="49687" xr:uid="{00000000-0005-0000-0000-000023B10000}"/>
    <cellStyle name="Comma 9 2 2 2 2 2 4 2 3" xfId="49688" xr:uid="{00000000-0005-0000-0000-000024B10000}"/>
    <cellStyle name="Comma 9 2 2 2 2 2 4 3" xfId="49689" xr:uid="{00000000-0005-0000-0000-000025B10000}"/>
    <cellStyle name="Comma 9 2 2 2 2 2 4 3 2" xfId="49690" xr:uid="{00000000-0005-0000-0000-000026B10000}"/>
    <cellStyle name="Comma 9 2 2 2 2 2 4 4" xfId="49691" xr:uid="{00000000-0005-0000-0000-000027B10000}"/>
    <cellStyle name="Comma 9 2 2 2 2 2 4 5" xfId="49692" xr:uid="{00000000-0005-0000-0000-000028B10000}"/>
    <cellStyle name="Comma 9 2 2 2 2 2 5" xfId="49693" xr:uid="{00000000-0005-0000-0000-000029B10000}"/>
    <cellStyle name="Comma 9 2 2 2 2 2 5 2" xfId="49694" xr:uid="{00000000-0005-0000-0000-00002AB10000}"/>
    <cellStyle name="Comma 9 2 2 2 2 2 5 3" xfId="49695" xr:uid="{00000000-0005-0000-0000-00002BB10000}"/>
    <cellStyle name="Comma 9 2 2 2 2 2 6" xfId="49696" xr:uid="{00000000-0005-0000-0000-00002CB10000}"/>
    <cellStyle name="Comma 9 2 2 2 2 2 6 2" xfId="49697" xr:uid="{00000000-0005-0000-0000-00002DB10000}"/>
    <cellStyle name="Comma 9 2 2 2 2 2 6 3" xfId="49698" xr:uid="{00000000-0005-0000-0000-00002EB10000}"/>
    <cellStyle name="Comma 9 2 2 2 2 2 7" xfId="49699" xr:uid="{00000000-0005-0000-0000-00002FB10000}"/>
    <cellStyle name="Comma 9 2 2 2 2 2 7 2" xfId="49700" xr:uid="{00000000-0005-0000-0000-000030B10000}"/>
    <cellStyle name="Comma 9 2 2 2 2 2 8" xfId="49701" xr:uid="{00000000-0005-0000-0000-000031B10000}"/>
    <cellStyle name="Comma 9 2 2 2 2 2 9" xfId="49702" xr:uid="{00000000-0005-0000-0000-000032B10000}"/>
    <cellStyle name="Comma 9 2 2 2 2 3" xfId="3759" xr:uid="{00000000-0005-0000-0000-000033B10000}"/>
    <cellStyle name="Comma 9 2 2 2 2 3 2" xfId="49703" xr:uid="{00000000-0005-0000-0000-000034B10000}"/>
    <cellStyle name="Comma 9 2 2 2 2 3 2 2" xfId="49704" xr:uid="{00000000-0005-0000-0000-000035B10000}"/>
    <cellStyle name="Comma 9 2 2 2 2 3 2 3" xfId="49705" xr:uid="{00000000-0005-0000-0000-000036B10000}"/>
    <cellStyle name="Comma 9 2 2 2 2 3 3" xfId="49706" xr:uid="{00000000-0005-0000-0000-000037B10000}"/>
    <cellStyle name="Comma 9 2 2 2 2 3 3 2" xfId="49707" xr:uid="{00000000-0005-0000-0000-000038B10000}"/>
    <cellStyle name="Comma 9 2 2 2 2 3 3 3" xfId="49708" xr:uid="{00000000-0005-0000-0000-000039B10000}"/>
    <cellStyle name="Comma 9 2 2 2 2 3 4" xfId="49709" xr:uid="{00000000-0005-0000-0000-00003AB10000}"/>
    <cellStyle name="Comma 9 2 2 2 2 3 4 2" xfId="49710" xr:uid="{00000000-0005-0000-0000-00003BB10000}"/>
    <cellStyle name="Comma 9 2 2 2 2 3 5" xfId="49711" xr:uid="{00000000-0005-0000-0000-00003CB10000}"/>
    <cellStyle name="Comma 9 2 2 2 2 3 6" xfId="49712" xr:uid="{00000000-0005-0000-0000-00003DB10000}"/>
    <cellStyle name="Comma 9 2 2 2 2 4" xfId="49713" xr:uid="{00000000-0005-0000-0000-00003EB10000}"/>
    <cellStyle name="Comma 9 2 2 2 2 4 2" xfId="49714" xr:uid="{00000000-0005-0000-0000-00003FB10000}"/>
    <cellStyle name="Comma 9 2 2 2 2 4 2 2" xfId="49715" xr:uid="{00000000-0005-0000-0000-000040B10000}"/>
    <cellStyle name="Comma 9 2 2 2 2 4 2 3" xfId="49716" xr:uid="{00000000-0005-0000-0000-000041B10000}"/>
    <cellStyle name="Comma 9 2 2 2 2 4 3" xfId="49717" xr:uid="{00000000-0005-0000-0000-000042B10000}"/>
    <cellStyle name="Comma 9 2 2 2 2 4 3 2" xfId="49718" xr:uid="{00000000-0005-0000-0000-000043B10000}"/>
    <cellStyle name="Comma 9 2 2 2 2 4 3 3" xfId="49719" xr:uid="{00000000-0005-0000-0000-000044B10000}"/>
    <cellStyle name="Comma 9 2 2 2 2 4 4" xfId="49720" xr:uid="{00000000-0005-0000-0000-000045B10000}"/>
    <cellStyle name="Comma 9 2 2 2 2 4 4 2" xfId="49721" xr:uid="{00000000-0005-0000-0000-000046B10000}"/>
    <cellStyle name="Comma 9 2 2 2 2 4 5" xfId="49722" xr:uid="{00000000-0005-0000-0000-000047B10000}"/>
    <cellStyle name="Comma 9 2 2 2 2 4 6" xfId="49723" xr:uid="{00000000-0005-0000-0000-000048B10000}"/>
    <cellStyle name="Comma 9 2 2 2 2 5" xfId="49724" xr:uid="{00000000-0005-0000-0000-000049B10000}"/>
    <cellStyle name="Comma 9 2 2 2 2 5 2" xfId="49725" xr:uid="{00000000-0005-0000-0000-00004AB10000}"/>
    <cellStyle name="Comma 9 2 2 2 2 5 2 2" xfId="49726" xr:uid="{00000000-0005-0000-0000-00004BB10000}"/>
    <cellStyle name="Comma 9 2 2 2 2 5 2 3" xfId="49727" xr:uid="{00000000-0005-0000-0000-00004CB10000}"/>
    <cellStyle name="Comma 9 2 2 2 2 5 3" xfId="49728" xr:uid="{00000000-0005-0000-0000-00004DB10000}"/>
    <cellStyle name="Comma 9 2 2 2 2 5 3 2" xfId="49729" xr:uid="{00000000-0005-0000-0000-00004EB10000}"/>
    <cellStyle name="Comma 9 2 2 2 2 5 4" xfId="49730" xr:uid="{00000000-0005-0000-0000-00004FB10000}"/>
    <cellStyle name="Comma 9 2 2 2 2 5 5" xfId="49731" xr:uid="{00000000-0005-0000-0000-000050B10000}"/>
    <cellStyle name="Comma 9 2 2 2 2 6" xfId="49732" xr:uid="{00000000-0005-0000-0000-000051B10000}"/>
    <cellStyle name="Comma 9 2 2 2 2 6 2" xfId="49733" xr:uid="{00000000-0005-0000-0000-000052B10000}"/>
    <cellStyle name="Comma 9 2 2 2 2 6 3" xfId="49734" xr:uid="{00000000-0005-0000-0000-000053B10000}"/>
    <cellStyle name="Comma 9 2 2 2 2 7" xfId="49735" xr:uid="{00000000-0005-0000-0000-000054B10000}"/>
    <cellStyle name="Comma 9 2 2 2 2 7 2" xfId="49736" xr:uid="{00000000-0005-0000-0000-000055B10000}"/>
    <cellStyle name="Comma 9 2 2 2 2 7 3" xfId="49737" xr:uid="{00000000-0005-0000-0000-000056B10000}"/>
    <cellStyle name="Comma 9 2 2 2 2 8" xfId="49738" xr:uid="{00000000-0005-0000-0000-000057B10000}"/>
    <cellStyle name="Comma 9 2 2 2 2 8 2" xfId="49739" xr:uid="{00000000-0005-0000-0000-000058B10000}"/>
    <cellStyle name="Comma 9 2 2 2 2 9" xfId="49740" xr:uid="{00000000-0005-0000-0000-000059B10000}"/>
    <cellStyle name="Comma 9 2 2 2 3" xfId="3760" xr:uid="{00000000-0005-0000-0000-00005AB10000}"/>
    <cellStyle name="Comma 9 2 2 2 3 2" xfId="3761" xr:uid="{00000000-0005-0000-0000-00005BB10000}"/>
    <cellStyle name="Comma 9 2 2 2 3 2 2" xfId="49741" xr:uid="{00000000-0005-0000-0000-00005CB10000}"/>
    <cellStyle name="Comma 9 2 2 2 3 2 2 2" xfId="49742" xr:uid="{00000000-0005-0000-0000-00005DB10000}"/>
    <cellStyle name="Comma 9 2 2 2 3 2 2 3" xfId="49743" xr:uid="{00000000-0005-0000-0000-00005EB10000}"/>
    <cellStyle name="Comma 9 2 2 2 3 2 3" xfId="49744" xr:uid="{00000000-0005-0000-0000-00005FB10000}"/>
    <cellStyle name="Comma 9 2 2 2 3 2 3 2" xfId="49745" xr:uid="{00000000-0005-0000-0000-000060B10000}"/>
    <cellStyle name="Comma 9 2 2 2 3 2 3 3" xfId="49746" xr:uid="{00000000-0005-0000-0000-000061B10000}"/>
    <cellStyle name="Comma 9 2 2 2 3 2 4" xfId="49747" xr:uid="{00000000-0005-0000-0000-000062B10000}"/>
    <cellStyle name="Comma 9 2 2 2 3 2 4 2" xfId="49748" xr:uid="{00000000-0005-0000-0000-000063B10000}"/>
    <cellStyle name="Comma 9 2 2 2 3 2 5" xfId="49749" xr:uid="{00000000-0005-0000-0000-000064B10000}"/>
    <cellStyle name="Comma 9 2 2 2 3 2 6" xfId="49750" xr:uid="{00000000-0005-0000-0000-000065B10000}"/>
    <cellStyle name="Comma 9 2 2 2 3 3" xfId="49751" xr:uid="{00000000-0005-0000-0000-000066B10000}"/>
    <cellStyle name="Comma 9 2 2 2 3 3 2" xfId="49752" xr:uid="{00000000-0005-0000-0000-000067B10000}"/>
    <cellStyle name="Comma 9 2 2 2 3 3 2 2" xfId="49753" xr:uid="{00000000-0005-0000-0000-000068B10000}"/>
    <cellStyle name="Comma 9 2 2 2 3 3 2 3" xfId="49754" xr:uid="{00000000-0005-0000-0000-000069B10000}"/>
    <cellStyle name="Comma 9 2 2 2 3 3 3" xfId="49755" xr:uid="{00000000-0005-0000-0000-00006AB10000}"/>
    <cellStyle name="Comma 9 2 2 2 3 3 3 2" xfId="49756" xr:uid="{00000000-0005-0000-0000-00006BB10000}"/>
    <cellStyle name="Comma 9 2 2 2 3 3 3 3" xfId="49757" xr:uid="{00000000-0005-0000-0000-00006CB10000}"/>
    <cellStyle name="Comma 9 2 2 2 3 3 4" xfId="49758" xr:uid="{00000000-0005-0000-0000-00006DB10000}"/>
    <cellStyle name="Comma 9 2 2 2 3 3 4 2" xfId="49759" xr:uid="{00000000-0005-0000-0000-00006EB10000}"/>
    <cellStyle name="Comma 9 2 2 2 3 3 5" xfId="49760" xr:uid="{00000000-0005-0000-0000-00006FB10000}"/>
    <cellStyle name="Comma 9 2 2 2 3 3 6" xfId="49761" xr:uid="{00000000-0005-0000-0000-000070B10000}"/>
    <cellStyle name="Comma 9 2 2 2 3 4" xfId="49762" xr:uid="{00000000-0005-0000-0000-000071B10000}"/>
    <cellStyle name="Comma 9 2 2 2 3 4 2" xfId="49763" xr:uid="{00000000-0005-0000-0000-000072B10000}"/>
    <cellStyle name="Comma 9 2 2 2 3 4 2 2" xfId="49764" xr:uid="{00000000-0005-0000-0000-000073B10000}"/>
    <cellStyle name="Comma 9 2 2 2 3 4 2 3" xfId="49765" xr:uid="{00000000-0005-0000-0000-000074B10000}"/>
    <cellStyle name="Comma 9 2 2 2 3 4 3" xfId="49766" xr:uid="{00000000-0005-0000-0000-000075B10000}"/>
    <cellStyle name="Comma 9 2 2 2 3 4 3 2" xfId="49767" xr:uid="{00000000-0005-0000-0000-000076B10000}"/>
    <cellStyle name="Comma 9 2 2 2 3 4 4" xfId="49768" xr:uid="{00000000-0005-0000-0000-000077B10000}"/>
    <cellStyle name="Comma 9 2 2 2 3 4 5" xfId="49769" xr:uid="{00000000-0005-0000-0000-000078B10000}"/>
    <cellStyle name="Comma 9 2 2 2 3 5" xfId="49770" xr:uid="{00000000-0005-0000-0000-000079B10000}"/>
    <cellStyle name="Comma 9 2 2 2 3 5 2" xfId="49771" xr:uid="{00000000-0005-0000-0000-00007AB10000}"/>
    <cellStyle name="Comma 9 2 2 2 3 5 3" xfId="49772" xr:uid="{00000000-0005-0000-0000-00007BB10000}"/>
    <cellStyle name="Comma 9 2 2 2 3 6" xfId="49773" xr:uid="{00000000-0005-0000-0000-00007CB10000}"/>
    <cellStyle name="Comma 9 2 2 2 3 6 2" xfId="49774" xr:uid="{00000000-0005-0000-0000-00007DB10000}"/>
    <cellStyle name="Comma 9 2 2 2 3 6 3" xfId="49775" xr:uid="{00000000-0005-0000-0000-00007EB10000}"/>
    <cellStyle name="Comma 9 2 2 2 3 7" xfId="49776" xr:uid="{00000000-0005-0000-0000-00007FB10000}"/>
    <cellStyle name="Comma 9 2 2 2 3 7 2" xfId="49777" xr:uid="{00000000-0005-0000-0000-000080B10000}"/>
    <cellStyle name="Comma 9 2 2 2 3 8" xfId="49778" xr:uid="{00000000-0005-0000-0000-000081B10000}"/>
    <cellStyle name="Comma 9 2 2 2 3 9" xfId="49779" xr:uid="{00000000-0005-0000-0000-000082B10000}"/>
    <cellStyle name="Comma 9 2 2 2 4" xfId="3762" xr:uid="{00000000-0005-0000-0000-000083B10000}"/>
    <cellStyle name="Comma 9 2 2 2 4 2" xfId="49780" xr:uid="{00000000-0005-0000-0000-000084B10000}"/>
    <cellStyle name="Comma 9 2 2 2 4 2 2" xfId="49781" xr:uid="{00000000-0005-0000-0000-000085B10000}"/>
    <cellStyle name="Comma 9 2 2 2 4 2 2 2" xfId="49782" xr:uid="{00000000-0005-0000-0000-000086B10000}"/>
    <cellStyle name="Comma 9 2 2 2 4 2 2 3" xfId="49783" xr:uid="{00000000-0005-0000-0000-000087B10000}"/>
    <cellStyle name="Comma 9 2 2 2 4 2 3" xfId="49784" xr:uid="{00000000-0005-0000-0000-000088B10000}"/>
    <cellStyle name="Comma 9 2 2 2 4 2 3 2" xfId="49785" xr:uid="{00000000-0005-0000-0000-000089B10000}"/>
    <cellStyle name="Comma 9 2 2 2 4 2 3 3" xfId="49786" xr:uid="{00000000-0005-0000-0000-00008AB10000}"/>
    <cellStyle name="Comma 9 2 2 2 4 2 4" xfId="49787" xr:uid="{00000000-0005-0000-0000-00008BB10000}"/>
    <cellStyle name="Comma 9 2 2 2 4 2 4 2" xfId="49788" xr:uid="{00000000-0005-0000-0000-00008CB10000}"/>
    <cellStyle name="Comma 9 2 2 2 4 2 5" xfId="49789" xr:uid="{00000000-0005-0000-0000-00008DB10000}"/>
    <cellStyle name="Comma 9 2 2 2 4 2 6" xfId="49790" xr:uid="{00000000-0005-0000-0000-00008EB10000}"/>
    <cellStyle name="Comma 9 2 2 2 4 3" xfId="49791" xr:uid="{00000000-0005-0000-0000-00008FB10000}"/>
    <cellStyle name="Comma 9 2 2 2 4 3 2" xfId="49792" xr:uid="{00000000-0005-0000-0000-000090B10000}"/>
    <cellStyle name="Comma 9 2 2 2 4 3 2 2" xfId="49793" xr:uid="{00000000-0005-0000-0000-000091B10000}"/>
    <cellStyle name="Comma 9 2 2 2 4 3 2 3" xfId="49794" xr:uid="{00000000-0005-0000-0000-000092B10000}"/>
    <cellStyle name="Comma 9 2 2 2 4 3 3" xfId="49795" xr:uid="{00000000-0005-0000-0000-000093B10000}"/>
    <cellStyle name="Comma 9 2 2 2 4 3 3 2" xfId="49796" xr:uid="{00000000-0005-0000-0000-000094B10000}"/>
    <cellStyle name="Comma 9 2 2 2 4 3 3 3" xfId="49797" xr:uid="{00000000-0005-0000-0000-000095B10000}"/>
    <cellStyle name="Comma 9 2 2 2 4 3 4" xfId="49798" xr:uid="{00000000-0005-0000-0000-000096B10000}"/>
    <cellStyle name="Comma 9 2 2 2 4 3 4 2" xfId="49799" xr:uid="{00000000-0005-0000-0000-000097B10000}"/>
    <cellStyle name="Comma 9 2 2 2 4 3 5" xfId="49800" xr:uid="{00000000-0005-0000-0000-000098B10000}"/>
    <cellStyle name="Comma 9 2 2 2 4 3 6" xfId="49801" xr:uid="{00000000-0005-0000-0000-000099B10000}"/>
    <cellStyle name="Comma 9 2 2 2 4 4" xfId="49802" xr:uid="{00000000-0005-0000-0000-00009AB10000}"/>
    <cellStyle name="Comma 9 2 2 2 4 4 2" xfId="49803" xr:uid="{00000000-0005-0000-0000-00009BB10000}"/>
    <cellStyle name="Comma 9 2 2 2 4 4 2 2" xfId="49804" xr:uid="{00000000-0005-0000-0000-00009CB10000}"/>
    <cellStyle name="Comma 9 2 2 2 4 4 2 3" xfId="49805" xr:uid="{00000000-0005-0000-0000-00009DB10000}"/>
    <cellStyle name="Comma 9 2 2 2 4 4 3" xfId="49806" xr:uid="{00000000-0005-0000-0000-00009EB10000}"/>
    <cellStyle name="Comma 9 2 2 2 4 4 3 2" xfId="49807" xr:uid="{00000000-0005-0000-0000-00009FB10000}"/>
    <cellStyle name="Comma 9 2 2 2 4 4 4" xfId="49808" xr:uid="{00000000-0005-0000-0000-0000A0B10000}"/>
    <cellStyle name="Comma 9 2 2 2 4 4 5" xfId="49809" xr:uid="{00000000-0005-0000-0000-0000A1B10000}"/>
    <cellStyle name="Comma 9 2 2 2 4 5" xfId="49810" xr:uid="{00000000-0005-0000-0000-0000A2B10000}"/>
    <cellStyle name="Comma 9 2 2 2 4 5 2" xfId="49811" xr:uid="{00000000-0005-0000-0000-0000A3B10000}"/>
    <cellStyle name="Comma 9 2 2 2 4 5 3" xfId="49812" xr:uid="{00000000-0005-0000-0000-0000A4B10000}"/>
    <cellStyle name="Comma 9 2 2 2 4 6" xfId="49813" xr:uid="{00000000-0005-0000-0000-0000A5B10000}"/>
    <cellStyle name="Comma 9 2 2 2 4 6 2" xfId="49814" xr:uid="{00000000-0005-0000-0000-0000A6B10000}"/>
    <cellStyle name="Comma 9 2 2 2 4 6 3" xfId="49815" xr:uid="{00000000-0005-0000-0000-0000A7B10000}"/>
    <cellStyle name="Comma 9 2 2 2 4 7" xfId="49816" xr:uid="{00000000-0005-0000-0000-0000A8B10000}"/>
    <cellStyle name="Comma 9 2 2 2 4 7 2" xfId="49817" xr:uid="{00000000-0005-0000-0000-0000A9B10000}"/>
    <cellStyle name="Comma 9 2 2 2 4 8" xfId="49818" xr:uid="{00000000-0005-0000-0000-0000AAB10000}"/>
    <cellStyle name="Comma 9 2 2 2 4 9" xfId="49819" xr:uid="{00000000-0005-0000-0000-0000ABB10000}"/>
    <cellStyle name="Comma 9 2 2 2 5" xfId="49820" xr:uid="{00000000-0005-0000-0000-0000ACB10000}"/>
    <cellStyle name="Comma 9 2 2 2 5 2" xfId="49821" xr:uid="{00000000-0005-0000-0000-0000ADB10000}"/>
    <cellStyle name="Comma 9 2 2 2 5 2 2" xfId="49822" xr:uid="{00000000-0005-0000-0000-0000AEB10000}"/>
    <cellStyle name="Comma 9 2 2 2 5 2 3" xfId="49823" xr:uid="{00000000-0005-0000-0000-0000AFB10000}"/>
    <cellStyle name="Comma 9 2 2 2 5 3" xfId="49824" xr:uid="{00000000-0005-0000-0000-0000B0B10000}"/>
    <cellStyle name="Comma 9 2 2 2 5 3 2" xfId="49825" xr:uid="{00000000-0005-0000-0000-0000B1B10000}"/>
    <cellStyle name="Comma 9 2 2 2 5 3 3" xfId="49826" xr:uid="{00000000-0005-0000-0000-0000B2B10000}"/>
    <cellStyle name="Comma 9 2 2 2 5 4" xfId="49827" xr:uid="{00000000-0005-0000-0000-0000B3B10000}"/>
    <cellStyle name="Comma 9 2 2 2 5 4 2" xfId="49828" xr:uid="{00000000-0005-0000-0000-0000B4B10000}"/>
    <cellStyle name="Comma 9 2 2 2 5 5" xfId="49829" xr:uid="{00000000-0005-0000-0000-0000B5B10000}"/>
    <cellStyle name="Comma 9 2 2 2 5 6" xfId="49830" xr:uid="{00000000-0005-0000-0000-0000B6B10000}"/>
    <cellStyle name="Comma 9 2 2 2 6" xfId="49831" xr:uid="{00000000-0005-0000-0000-0000B7B10000}"/>
    <cellStyle name="Comma 9 2 2 2 6 2" xfId="49832" xr:uid="{00000000-0005-0000-0000-0000B8B10000}"/>
    <cellStyle name="Comma 9 2 2 2 6 2 2" xfId="49833" xr:uid="{00000000-0005-0000-0000-0000B9B10000}"/>
    <cellStyle name="Comma 9 2 2 2 6 2 3" xfId="49834" xr:uid="{00000000-0005-0000-0000-0000BAB10000}"/>
    <cellStyle name="Comma 9 2 2 2 6 3" xfId="49835" xr:uid="{00000000-0005-0000-0000-0000BBB10000}"/>
    <cellStyle name="Comma 9 2 2 2 6 3 2" xfId="49836" xr:uid="{00000000-0005-0000-0000-0000BCB10000}"/>
    <cellStyle name="Comma 9 2 2 2 6 3 3" xfId="49837" xr:uid="{00000000-0005-0000-0000-0000BDB10000}"/>
    <cellStyle name="Comma 9 2 2 2 6 4" xfId="49838" xr:uid="{00000000-0005-0000-0000-0000BEB10000}"/>
    <cellStyle name="Comma 9 2 2 2 6 4 2" xfId="49839" xr:uid="{00000000-0005-0000-0000-0000BFB10000}"/>
    <cellStyle name="Comma 9 2 2 2 6 5" xfId="49840" xr:uid="{00000000-0005-0000-0000-0000C0B10000}"/>
    <cellStyle name="Comma 9 2 2 2 6 6" xfId="49841" xr:uid="{00000000-0005-0000-0000-0000C1B10000}"/>
    <cellStyle name="Comma 9 2 2 2 7" xfId="49842" xr:uid="{00000000-0005-0000-0000-0000C2B10000}"/>
    <cellStyle name="Comma 9 2 2 2 7 2" xfId="49843" xr:uid="{00000000-0005-0000-0000-0000C3B10000}"/>
    <cellStyle name="Comma 9 2 2 2 7 2 2" xfId="49844" xr:uid="{00000000-0005-0000-0000-0000C4B10000}"/>
    <cellStyle name="Comma 9 2 2 2 7 2 3" xfId="49845" xr:uid="{00000000-0005-0000-0000-0000C5B10000}"/>
    <cellStyle name="Comma 9 2 2 2 7 3" xfId="49846" xr:uid="{00000000-0005-0000-0000-0000C6B10000}"/>
    <cellStyle name="Comma 9 2 2 2 7 3 2" xfId="49847" xr:uid="{00000000-0005-0000-0000-0000C7B10000}"/>
    <cellStyle name="Comma 9 2 2 2 7 4" xfId="49848" xr:uid="{00000000-0005-0000-0000-0000C8B10000}"/>
    <cellStyle name="Comma 9 2 2 2 7 5" xfId="49849" xr:uid="{00000000-0005-0000-0000-0000C9B10000}"/>
    <cellStyle name="Comma 9 2 2 2 8" xfId="49850" xr:uid="{00000000-0005-0000-0000-0000CAB10000}"/>
    <cellStyle name="Comma 9 2 2 2 8 2" xfId="49851" xr:uid="{00000000-0005-0000-0000-0000CBB10000}"/>
    <cellStyle name="Comma 9 2 2 2 8 3" xfId="49852" xr:uid="{00000000-0005-0000-0000-0000CCB10000}"/>
    <cellStyle name="Comma 9 2 2 2 9" xfId="49853" xr:uid="{00000000-0005-0000-0000-0000CDB10000}"/>
    <cellStyle name="Comma 9 2 2 2 9 2" xfId="49854" xr:uid="{00000000-0005-0000-0000-0000CEB10000}"/>
    <cellStyle name="Comma 9 2 2 2 9 3" xfId="49855" xr:uid="{00000000-0005-0000-0000-0000CFB10000}"/>
    <cellStyle name="Comma 9 2 2 3" xfId="3763" xr:uid="{00000000-0005-0000-0000-0000D0B10000}"/>
    <cellStyle name="Comma 9 2 2 3 10" xfId="49856" xr:uid="{00000000-0005-0000-0000-0000D1B10000}"/>
    <cellStyle name="Comma 9 2 2 3 2" xfId="3764" xr:uid="{00000000-0005-0000-0000-0000D2B10000}"/>
    <cellStyle name="Comma 9 2 2 3 2 2" xfId="3765" xr:uid="{00000000-0005-0000-0000-0000D3B10000}"/>
    <cellStyle name="Comma 9 2 2 3 2 2 2" xfId="49857" xr:uid="{00000000-0005-0000-0000-0000D4B10000}"/>
    <cellStyle name="Comma 9 2 2 3 2 2 2 2" xfId="49858" xr:uid="{00000000-0005-0000-0000-0000D5B10000}"/>
    <cellStyle name="Comma 9 2 2 3 2 2 2 3" xfId="49859" xr:uid="{00000000-0005-0000-0000-0000D6B10000}"/>
    <cellStyle name="Comma 9 2 2 3 2 2 3" xfId="49860" xr:uid="{00000000-0005-0000-0000-0000D7B10000}"/>
    <cellStyle name="Comma 9 2 2 3 2 2 3 2" xfId="49861" xr:uid="{00000000-0005-0000-0000-0000D8B10000}"/>
    <cellStyle name="Comma 9 2 2 3 2 2 3 3" xfId="49862" xr:uid="{00000000-0005-0000-0000-0000D9B10000}"/>
    <cellStyle name="Comma 9 2 2 3 2 2 4" xfId="49863" xr:uid="{00000000-0005-0000-0000-0000DAB10000}"/>
    <cellStyle name="Comma 9 2 2 3 2 2 4 2" xfId="49864" xr:uid="{00000000-0005-0000-0000-0000DBB10000}"/>
    <cellStyle name="Comma 9 2 2 3 2 2 5" xfId="49865" xr:uid="{00000000-0005-0000-0000-0000DCB10000}"/>
    <cellStyle name="Comma 9 2 2 3 2 2 6" xfId="49866" xr:uid="{00000000-0005-0000-0000-0000DDB10000}"/>
    <cellStyle name="Comma 9 2 2 3 2 3" xfId="49867" xr:uid="{00000000-0005-0000-0000-0000DEB10000}"/>
    <cellStyle name="Comma 9 2 2 3 2 3 2" xfId="49868" xr:uid="{00000000-0005-0000-0000-0000DFB10000}"/>
    <cellStyle name="Comma 9 2 2 3 2 3 2 2" xfId="49869" xr:uid="{00000000-0005-0000-0000-0000E0B10000}"/>
    <cellStyle name="Comma 9 2 2 3 2 3 2 3" xfId="49870" xr:uid="{00000000-0005-0000-0000-0000E1B10000}"/>
    <cellStyle name="Comma 9 2 2 3 2 3 3" xfId="49871" xr:uid="{00000000-0005-0000-0000-0000E2B10000}"/>
    <cellStyle name="Comma 9 2 2 3 2 3 3 2" xfId="49872" xr:uid="{00000000-0005-0000-0000-0000E3B10000}"/>
    <cellStyle name="Comma 9 2 2 3 2 3 3 3" xfId="49873" xr:uid="{00000000-0005-0000-0000-0000E4B10000}"/>
    <cellStyle name="Comma 9 2 2 3 2 3 4" xfId="49874" xr:uid="{00000000-0005-0000-0000-0000E5B10000}"/>
    <cellStyle name="Comma 9 2 2 3 2 3 4 2" xfId="49875" xr:uid="{00000000-0005-0000-0000-0000E6B10000}"/>
    <cellStyle name="Comma 9 2 2 3 2 3 5" xfId="49876" xr:uid="{00000000-0005-0000-0000-0000E7B10000}"/>
    <cellStyle name="Comma 9 2 2 3 2 3 6" xfId="49877" xr:uid="{00000000-0005-0000-0000-0000E8B10000}"/>
    <cellStyle name="Comma 9 2 2 3 2 4" xfId="49878" xr:uid="{00000000-0005-0000-0000-0000E9B10000}"/>
    <cellStyle name="Comma 9 2 2 3 2 4 2" xfId="49879" xr:uid="{00000000-0005-0000-0000-0000EAB10000}"/>
    <cellStyle name="Comma 9 2 2 3 2 4 2 2" xfId="49880" xr:uid="{00000000-0005-0000-0000-0000EBB10000}"/>
    <cellStyle name="Comma 9 2 2 3 2 4 2 3" xfId="49881" xr:uid="{00000000-0005-0000-0000-0000ECB10000}"/>
    <cellStyle name="Comma 9 2 2 3 2 4 3" xfId="49882" xr:uid="{00000000-0005-0000-0000-0000EDB10000}"/>
    <cellStyle name="Comma 9 2 2 3 2 4 3 2" xfId="49883" xr:uid="{00000000-0005-0000-0000-0000EEB10000}"/>
    <cellStyle name="Comma 9 2 2 3 2 4 4" xfId="49884" xr:uid="{00000000-0005-0000-0000-0000EFB10000}"/>
    <cellStyle name="Comma 9 2 2 3 2 4 5" xfId="49885" xr:uid="{00000000-0005-0000-0000-0000F0B10000}"/>
    <cellStyle name="Comma 9 2 2 3 2 5" xfId="49886" xr:uid="{00000000-0005-0000-0000-0000F1B10000}"/>
    <cellStyle name="Comma 9 2 2 3 2 5 2" xfId="49887" xr:uid="{00000000-0005-0000-0000-0000F2B10000}"/>
    <cellStyle name="Comma 9 2 2 3 2 5 3" xfId="49888" xr:uid="{00000000-0005-0000-0000-0000F3B10000}"/>
    <cellStyle name="Comma 9 2 2 3 2 6" xfId="49889" xr:uid="{00000000-0005-0000-0000-0000F4B10000}"/>
    <cellStyle name="Comma 9 2 2 3 2 6 2" xfId="49890" xr:uid="{00000000-0005-0000-0000-0000F5B10000}"/>
    <cellStyle name="Comma 9 2 2 3 2 6 3" xfId="49891" xr:uid="{00000000-0005-0000-0000-0000F6B10000}"/>
    <cellStyle name="Comma 9 2 2 3 2 7" xfId="49892" xr:uid="{00000000-0005-0000-0000-0000F7B10000}"/>
    <cellStyle name="Comma 9 2 2 3 2 7 2" xfId="49893" xr:uid="{00000000-0005-0000-0000-0000F8B10000}"/>
    <cellStyle name="Comma 9 2 2 3 2 8" xfId="49894" xr:uid="{00000000-0005-0000-0000-0000F9B10000}"/>
    <cellStyle name="Comma 9 2 2 3 2 9" xfId="49895" xr:uid="{00000000-0005-0000-0000-0000FAB10000}"/>
    <cellStyle name="Comma 9 2 2 3 3" xfId="3766" xr:uid="{00000000-0005-0000-0000-0000FBB10000}"/>
    <cellStyle name="Comma 9 2 2 3 3 2" xfId="49896" xr:uid="{00000000-0005-0000-0000-0000FCB10000}"/>
    <cellStyle name="Comma 9 2 2 3 3 2 2" xfId="49897" xr:uid="{00000000-0005-0000-0000-0000FDB10000}"/>
    <cellStyle name="Comma 9 2 2 3 3 2 3" xfId="49898" xr:uid="{00000000-0005-0000-0000-0000FEB10000}"/>
    <cellStyle name="Comma 9 2 2 3 3 3" xfId="49899" xr:uid="{00000000-0005-0000-0000-0000FFB10000}"/>
    <cellStyle name="Comma 9 2 2 3 3 3 2" xfId="49900" xr:uid="{00000000-0005-0000-0000-000000B20000}"/>
    <cellStyle name="Comma 9 2 2 3 3 3 3" xfId="49901" xr:uid="{00000000-0005-0000-0000-000001B20000}"/>
    <cellStyle name="Comma 9 2 2 3 3 4" xfId="49902" xr:uid="{00000000-0005-0000-0000-000002B20000}"/>
    <cellStyle name="Comma 9 2 2 3 3 4 2" xfId="49903" xr:uid="{00000000-0005-0000-0000-000003B20000}"/>
    <cellStyle name="Comma 9 2 2 3 3 5" xfId="49904" xr:uid="{00000000-0005-0000-0000-000004B20000}"/>
    <cellStyle name="Comma 9 2 2 3 3 6" xfId="49905" xr:uid="{00000000-0005-0000-0000-000005B20000}"/>
    <cellStyle name="Comma 9 2 2 3 4" xfId="49906" xr:uid="{00000000-0005-0000-0000-000006B20000}"/>
    <cellStyle name="Comma 9 2 2 3 4 2" xfId="49907" xr:uid="{00000000-0005-0000-0000-000007B20000}"/>
    <cellStyle name="Comma 9 2 2 3 4 2 2" xfId="49908" xr:uid="{00000000-0005-0000-0000-000008B20000}"/>
    <cellStyle name="Comma 9 2 2 3 4 2 3" xfId="49909" xr:uid="{00000000-0005-0000-0000-000009B20000}"/>
    <cellStyle name="Comma 9 2 2 3 4 3" xfId="49910" xr:uid="{00000000-0005-0000-0000-00000AB20000}"/>
    <cellStyle name="Comma 9 2 2 3 4 3 2" xfId="49911" xr:uid="{00000000-0005-0000-0000-00000BB20000}"/>
    <cellStyle name="Comma 9 2 2 3 4 3 3" xfId="49912" xr:uid="{00000000-0005-0000-0000-00000CB20000}"/>
    <cellStyle name="Comma 9 2 2 3 4 4" xfId="49913" xr:uid="{00000000-0005-0000-0000-00000DB20000}"/>
    <cellStyle name="Comma 9 2 2 3 4 4 2" xfId="49914" xr:uid="{00000000-0005-0000-0000-00000EB20000}"/>
    <cellStyle name="Comma 9 2 2 3 4 5" xfId="49915" xr:uid="{00000000-0005-0000-0000-00000FB20000}"/>
    <cellStyle name="Comma 9 2 2 3 4 6" xfId="49916" xr:uid="{00000000-0005-0000-0000-000010B20000}"/>
    <cellStyle name="Comma 9 2 2 3 5" xfId="49917" xr:uid="{00000000-0005-0000-0000-000011B20000}"/>
    <cellStyle name="Comma 9 2 2 3 5 2" xfId="49918" xr:uid="{00000000-0005-0000-0000-000012B20000}"/>
    <cellStyle name="Comma 9 2 2 3 5 2 2" xfId="49919" xr:uid="{00000000-0005-0000-0000-000013B20000}"/>
    <cellStyle name="Comma 9 2 2 3 5 2 3" xfId="49920" xr:uid="{00000000-0005-0000-0000-000014B20000}"/>
    <cellStyle name="Comma 9 2 2 3 5 3" xfId="49921" xr:uid="{00000000-0005-0000-0000-000015B20000}"/>
    <cellStyle name="Comma 9 2 2 3 5 3 2" xfId="49922" xr:uid="{00000000-0005-0000-0000-000016B20000}"/>
    <cellStyle name="Comma 9 2 2 3 5 4" xfId="49923" xr:uid="{00000000-0005-0000-0000-000017B20000}"/>
    <cellStyle name="Comma 9 2 2 3 5 5" xfId="49924" xr:uid="{00000000-0005-0000-0000-000018B20000}"/>
    <cellStyle name="Comma 9 2 2 3 6" xfId="49925" xr:uid="{00000000-0005-0000-0000-000019B20000}"/>
    <cellStyle name="Comma 9 2 2 3 6 2" xfId="49926" xr:uid="{00000000-0005-0000-0000-00001AB20000}"/>
    <cellStyle name="Comma 9 2 2 3 6 3" xfId="49927" xr:uid="{00000000-0005-0000-0000-00001BB20000}"/>
    <cellStyle name="Comma 9 2 2 3 7" xfId="49928" xr:uid="{00000000-0005-0000-0000-00001CB20000}"/>
    <cellStyle name="Comma 9 2 2 3 7 2" xfId="49929" xr:uid="{00000000-0005-0000-0000-00001DB20000}"/>
    <cellStyle name="Comma 9 2 2 3 7 3" xfId="49930" xr:uid="{00000000-0005-0000-0000-00001EB20000}"/>
    <cellStyle name="Comma 9 2 2 3 8" xfId="49931" xr:uid="{00000000-0005-0000-0000-00001FB20000}"/>
    <cellStyle name="Comma 9 2 2 3 8 2" xfId="49932" xr:uid="{00000000-0005-0000-0000-000020B20000}"/>
    <cellStyle name="Comma 9 2 2 3 9" xfId="49933" xr:uid="{00000000-0005-0000-0000-000021B20000}"/>
    <cellStyle name="Comma 9 2 2 4" xfId="3767" xr:uid="{00000000-0005-0000-0000-000022B20000}"/>
    <cellStyle name="Comma 9 2 2 4 2" xfId="3768" xr:uid="{00000000-0005-0000-0000-000023B20000}"/>
    <cellStyle name="Comma 9 2 2 4 2 2" xfId="49934" xr:uid="{00000000-0005-0000-0000-000024B20000}"/>
    <cellStyle name="Comma 9 2 2 4 2 2 2" xfId="49935" xr:uid="{00000000-0005-0000-0000-000025B20000}"/>
    <cellStyle name="Comma 9 2 2 4 2 2 3" xfId="49936" xr:uid="{00000000-0005-0000-0000-000026B20000}"/>
    <cellStyle name="Comma 9 2 2 4 2 3" xfId="49937" xr:uid="{00000000-0005-0000-0000-000027B20000}"/>
    <cellStyle name="Comma 9 2 2 4 2 3 2" xfId="49938" xr:uid="{00000000-0005-0000-0000-000028B20000}"/>
    <cellStyle name="Comma 9 2 2 4 2 3 3" xfId="49939" xr:uid="{00000000-0005-0000-0000-000029B20000}"/>
    <cellStyle name="Comma 9 2 2 4 2 4" xfId="49940" xr:uid="{00000000-0005-0000-0000-00002AB20000}"/>
    <cellStyle name="Comma 9 2 2 4 2 4 2" xfId="49941" xr:uid="{00000000-0005-0000-0000-00002BB20000}"/>
    <cellStyle name="Comma 9 2 2 4 2 5" xfId="49942" xr:uid="{00000000-0005-0000-0000-00002CB20000}"/>
    <cellStyle name="Comma 9 2 2 4 2 6" xfId="49943" xr:uid="{00000000-0005-0000-0000-00002DB20000}"/>
    <cellStyle name="Comma 9 2 2 4 3" xfId="49944" xr:uid="{00000000-0005-0000-0000-00002EB20000}"/>
    <cellStyle name="Comma 9 2 2 4 3 2" xfId="49945" xr:uid="{00000000-0005-0000-0000-00002FB20000}"/>
    <cellStyle name="Comma 9 2 2 4 3 2 2" xfId="49946" xr:uid="{00000000-0005-0000-0000-000030B20000}"/>
    <cellStyle name="Comma 9 2 2 4 3 2 3" xfId="49947" xr:uid="{00000000-0005-0000-0000-000031B20000}"/>
    <cellStyle name="Comma 9 2 2 4 3 3" xfId="49948" xr:uid="{00000000-0005-0000-0000-000032B20000}"/>
    <cellStyle name="Comma 9 2 2 4 3 3 2" xfId="49949" xr:uid="{00000000-0005-0000-0000-000033B20000}"/>
    <cellStyle name="Comma 9 2 2 4 3 3 3" xfId="49950" xr:uid="{00000000-0005-0000-0000-000034B20000}"/>
    <cellStyle name="Comma 9 2 2 4 3 4" xfId="49951" xr:uid="{00000000-0005-0000-0000-000035B20000}"/>
    <cellStyle name="Comma 9 2 2 4 3 4 2" xfId="49952" xr:uid="{00000000-0005-0000-0000-000036B20000}"/>
    <cellStyle name="Comma 9 2 2 4 3 5" xfId="49953" xr:uid="{00000000-0005-0000-0000-000037B20000}"/>
    <cellStyle name="Comma 9 2 2 4 3 6" xfId="49954" xr:uid="{00000000-0005-0000-0000-000038B20000}"/>
    <cellStyle name="Comma 9 2 2 4 4" xfId="49955" xr:uid="{00000000-0005-0000-0000-000039B20000}"/>
    <cellStyle name="Comma 9 2 2 4 4 2" xfId="49956" xr:uid="{00000000-0005-0000-0000-00003AB20000}"/>
    <cellStyle name="Comma 9 2 2 4 4 2 2" xfId="49957" xr:uid="{00000000-0005-0000-0000-00003BB20000}"/>
    <cellStyle name="Comma 9 2 2 4 4 2 3" xfId="49958" xr:uid="{00000000-0005-0000-0000-00003CB20000}"/>
    <cellStyle name="Comma 9 2 2 4 4 3" xfId="49959" xr:uid="{00000000-0005-0000-0000-00003DB20000}"/>
    <cellStyle name="Comma 9 2 2 4 4 3 2" xfId="49960" xr:uid="{00000000-0005-0000-0000-00003EB20000}"/>
    <cellStyle name="Comma 9 2 2 4 4 4" xfId="49961" xr:uid="{00000000-0005-0000-0000-00003FB20000}"/>
    <cellStyle name="Comma 9 2 2 4 4 5" xfId="49962" xr:uid="{00000000-0005-0000-0000-000040B20000}"/>
    <cellStyle name="Comma 9 2 2 4 5" xfId="49963" xr:uid="{00000000-0005-0000-0000-000041B20000}"/>
    <cellStyle name="Comma 9 2 2 4 5 2" xfId="49964" xr:uid="{00000000-0005-0000-0000-000042B20000}"/>
    <cellStyle name="Comma 9 2 2 4 5 3" xfId="49965" xr:uid="{00000000-0005-0000-0000-000043B20000}"/>
    <cellStyle name="Comma 9 2 2 4 6" xfId="49966" xr:uid="{00000000-0005-0000-0000-000044B20000}"/>
    <cellStyle name="Comma 9 2 2 4 6 2" xfId="49967" xr:uid="{00000000-0005-0000-0000-000045B20000}"/>
    <cellStyle name="Comma 9 2 2 4 6 3" xfId="49968" xr:uid="{00000000-0005-0000-0000-000046B20000}"/>
    <cellStyle name="Comma 9 2 2 4 7" xfId="49969" xr:uid="{00000000-0005-0000-0000-000047B20000}"/>
    <cellStyle name="Comma 9 2 2 4 7 2" xfId="49970" xr:uid="{00000000-0005-0000-0000-000048B20000}"/>
    <cellStyle name="Comma 9 2 2 4 8" xfId="49971" xr:uid="{00000000-0005-0000-0000-000049B20000}"/>
    <cellStyle name="Comma 9 2 2 4 9" xfId="49972" xr:uid="{00000000-0005-0000-0000-00004AB20000}"/>
    <cellStyle name="Comma 9 2 2 5" xfId="3769" xr:uid="{00000000-0005-0000-0000-00004BB20000}"/>
    <cellStyle name="Comma 9 2 2 5 2" xfId="49973" xr:uid="{00000000-0005-0000-0000-00004CB20000}"/>
    <cellStyle name="Comma 9 2 2 5 2 2" xfId="49974" xr:uid="{00000000-0005-0000-0000-00004DB20000}"/>
    <cellStyle name="Comma 9 2 2 5 2 2 2" xfId="49975" xr:uid="{00000000-0005-0000-0000-00004EB20000}"/>
    <cellStyle name="Comma 9 2 2 5 2 2 3" xfId="49976" xr:uid="{00000000-0005-0000-0000-00004FB20000}"/>
    <cellStyle name="Comma 9 2 2 5 2 3" xfId="49977" xr:uid="{00000000-0005-0000-0000-000050B20000}"/>
    <cellStyle name="Comma 9 2 2 5 2 3 2" xfId="49978" xr:uid="{00000000-0005-0000-0000-000051B20000}"/>
    <cellStyle name="Comma 9 2 2 5 2 3 3" xfId="49979" xr:uid="{00000000-0005-0000-0000-000052B20000}"/>
    <cellStyle name="Comma 9 2 2 5 2 4" xfId="49980" xr:uid="{00000000-0005-0000-0000-000053B20000}"/>
    <cellStyle name="Comma 9 2 2 5 2 4 2" xfId="49981" xr:uid="{00000000-0005-0000-0000-000054B20000}"/>
    <cellStyle name="Comma 9 2 2 5 2 5" xfId="49982" xr:uid="{00000000-0005-0000-0000-000055B20000}"/>
    <cellStyle name="Comma 9 2 2 5 2 6" xfId="49983" xr:uid="{00000000-0005-0000-0000-000056B20000}"/>
    <cellStyle name="Comma 9 2 2 5 3" xfId="49984" xr:uid="{00000000-0005-0000-0000-000057B20000}"/>
    <cellStyle name="Comma 9 2 2 5 3 2" xfId="49985" xr:uid="{00000000-0005-0000-0000-000058B20000}"/>
    <cellStyle name="Comma 9 2 2 5 3 2 2" xfId="49986" xr:uid="{00000000-0005-0000-0000-000059B20000}"/>
    <cellStyle name="Comma 9 2 2 5 3 2 3" xfId="49987" xr:uid="{00000000-0005-0000-0000-00005AB20000}"/>
    <cellStyle name="Comma 9 2 2 5 3 3" xfId="49988" xr:uid="{00000000-0005-0000-0000-00005BB20000}"/>
    <cellStyle name="Comma 9 2 2 5 3 3 2" xfId="49989" xr:uid="{00000000-0005-0000-0000-00005CB20000}"/>
    <cellStyle name="Comma 9 2 2 5 3 3 3" xfId="49990" xr:uid="{00000000-0005-0000-0000-00005DB20000}"/>
    <cellStyle name="Comma 9 2 2 5 3 4" xfId="49991" xr:uid="{00000000-0005-0000-0000-00005EB20000}"/>
    <cellStyle name="Comma 9 2 2 5 3 4 2" xfId="49992" xr:uid="{00000000-0005-0000-0000-00005FB20000}"/>
    <cellStyle name="Comma 9 2 2 5 3 5" xfId="49993" xr:uid="{00000000-0005-0000-0000-000060B20000}"/>
    <cellStyle name="Comma 9 2 2 5 3 6" xfId="49994" xr:uid="{00000000-0005-0000-0000-000061B20000}"/>
    <cellStyle name="Comma 9 2 2 5 4" xfId="49995" xr:uid="{00000000-0005-0000-0000-000062B20000}"/>
    <cellStyle name="Comma 9 2 2 5 4 2" xfId="49996" xr:uid="{00000000-0005-0000-0000-000063B20000}"/>
    <cellStyle name="Comma 9 2 2 5 4 2 2" xfId="49997" xr:uid="{00000000-0005-0000-0000-000064B20000}"/>
    <cellStyle name="Comma 9 2 2 5 4 2 3" xfId="49998" xr:uid="{00000000-0005-0000-0000-000065B20000}"/>
    <cellStyle name="Comma 9 2 2 5 4 3" xfId="49999" xr:uid="{00000000-0005-0000-0000-000066B20000}"/>
    <cellStyle name="Comma 9 2 2 5 4 3 2" xfId="50000" xr:uid="{00000000-0005-0000-0000-000067B20000}"/>
    <cellStyle name="Comma 9 2 2 5 4 4" xfId="50001" xr:uid="{00000000-0005-0000-0000-000068B20000}"/>
    <cellStyle name="Comma 9 2 2 5 4 5" xfId="50002" xr:uid="{00000000-0005-0000-0000-000069B20000}"/>
    <cellStyle name="Comma 9 2 2 5 5" xfId="50003" xr:uid="{00000000-0005-0000-0000-00006AB20000}"/>
    <cellStyle name="Comma 9 2 2 5 5 2" xfId="50004" xr:uid="{00000000-0005-0000-0000-00006BB20000}"/>
    <cellStyle name="Comma 9 2 2 5 5 3" xfId="50005" xr:uid="{00000000-0005-0000-0000-00006CB20000}"/>
    <cellStyle name="Comma 9 2 2 5 6" xfId="50006" xr:uid="{00000000-0005-0000-0000-00006DB20000}"/>
    <cellStyle name="Comma 9 2 2 5 6 2" xfId="50007" xr:uid="{00000000-0005-0000-0000-00006EB20000}"/>
    <cellStyle name="Comma 9 2 2 5 6 3" xfId="50008" xr:uid="{00000000-0005-0000-0000-00006FB20000}"/>
    <cellStyle name="Comma 9 2 2 5 7" xfId="50009" xr:uid="{00000000-0005-0000-0000-000070B20000}"/>
    <cellStyle name="Comma 9 2 2 5 7 2" xfId="50010" xr:uid="{00000000-0005-0000-0000-000071B20000}"/>
    <cellStyle name="Comma 9 2 2 5 8" xfId="50011" xr:uid="{00000000-0005-0000-0000-000072B20000}"/>
    <cellStyle name="Comma 9 2 2 5 9" xfId="50012" xr:uid="{00000000-0005-0000-0000-000073B20000}"/>
    <cellStyle name="Comma 9 2 2 6" xfId="50013" xr:uid="{00000000-0005-0000-0000-000074B20000}"/>
    <cellStyle name="Comma 9 2 2 6 2" xfId="50014" xr:uid="{00000000-0005-0000-0000-000075B20000}"/>
    <cellStyle name="Comma 9 2 2 6 2 2" xfId="50015" xr:uid="{00000000-0005-0000-0000-000076B20000}"/>
    <cellStyle name="Comma 9 2 2 6 2 3" xfId="50016" xr:uid="{00000000-0005-0000-0000-000077B20000}"/>
    <cellStyle name="Comma 9 2 2 6 3" xfId="50017" xr:uid="{00000000-0005-0000-0000-000078B20000}"/>
    <cellStyle name="Comma 9 2 2 6 3 2" xfId="50018" xr:uid="{00000000-0005-0000-0000-000079B20000}"/>
    <cellStyle name="Comma 9 2 2 6 3 3" xfId="50019" xr:uid="{00000000-0005-0000-0000-00007AB20000}"/>
    <cellStyle name="Comma 9 2 2 6 4" xfId="50020" xr:uid="{00000000-0005-0000-0000-00007BB20000}"/>
    <cellStyle name="Comma 9 2 2 6 4 2" xfId="50021" xr:uid="{00000000-0005-0000-0000-00007CB20000}"/>
    <cellStyle name="Comma 9 2 2 6 5" xfId="50022" xr:uid="{00000000-0005-0000-0000-00007DB20000}"/>
    <cellStyle name="Comma 9 2 2 6 6" xfId="50023" xr:uid="{00000000-0005-0000-0000-00007EB20000}"/>
    <cellStyle name="Comma 9 2 2 7" xfId="50024" xr:uid="{00000000-0005-0000-0000-00007FB20000}"/>
    <cellStyle name="Comma 9 2 2 7 2" xfId="50025" xr:uid="{00000000-0005-0000-0000-000080B20000}"/>
    <cellStyle name="Comma 9 2 2 7 2 2" xfId="50026" xr:uid="{00000000-0005-0000-0000-000081B20000}"/>
    <cellStyle name="Comma 9 2 2 7 2 3" xfId="50027" xr:uid="{00000000-0005-0000-0000-000082B20000}"/>
    <cellStyle name="Comma 9 2 2 7 3" xfId="50028" xr:uid="{00000000-0005-0000-0000-000083B20000}"/>
    <cellStyle name="Comma 9 2 2 7 3 2" xfId="50029" xr:uid="{00000000-0005-0000-0000-000084B20000}"/>
    <cellStyle name="Comma 9 2 2 7 3 3" xfId="50030" xr:uid="{00000000-0005-0000-0000-000085B20000}"/>
    <cellStyle name="Comma 9 2 2 7 4" xfId="50031" xr:uid="{00000000-0005-0000-0000-000086B20000}"/>
    <cellStyle name="Comma 9 2 2 7 4 2" xfId="50032" xr:uid="{00000000-0005-0000-0000-000087B20000}"/>
    <cellStyle name="Comma 9 2 2 7 5" xfId="50033" xr:uid="{00000000-0005-0000-0000-000088B20000}"/>
    <cellStyle name="Comma 9 2 2 7 6" xfId="50034" xr:uid="{00000000-0005-0000-0000-000089B20000}"/>
    <cellStyle name="Comma 9 2 2 8" xfId="50035" xr:uid="{00000000-0005-0000-0000-00008AB20000}"/>
    <cellStyle name="Comma 9 2 2 8 2" xfId="50036" xr:uid="{00000000-0005-0000-0000-00008BB20000}"/>
    <cellStyle name="Comma 9 2 2 8 2 2" xfId="50037" xr:uid="{00000000-0005-0000-0000-00008CB20000}"/>
    <cellStyle name="Comma 9 2 2 8 2 3" xfId="50038" xr:uid="{00000000-0005-0000-0000-00008DB20000}"/>
    <cellStyle name="Comma 9 2 2 8 3" xfId="50039" xr:uid="{00000000-0005-0000-0000-00008EB20000}"/>
    <cellStyle name="Comma 9 2 2 8 3 2" xfId="50040" xr:uid="{00000000-0005-0000-0000-00008FB20000}"/>
    <cellStyle name="Comma 9 2 2 8 4" xfId="50041" xr:uid="{00000000-0005-0000-0000-000090B20000}"/>
    <cellStyle name="Comma 9 2 2 8 5" xfId="50042" xr:uid="{00000000-0005-0000-0000-000091B20000}"/>
    <cellStyle name="Comma 9 2 2 9" xfId="50043" xr:uid="{00000000-0005-0000-0000-000092B20000}"/>
    <cellStyle name="Comma 9 2 2 9 2" xfId="50044" xr:uid="{00000000-0005-0000-0000-000093B20000}"/>
    <cellStyle name="Comma 9 2 2 9 3" xfId="50045" xr:uid="{00000000-0005-0000-0000-000094B20000}"/>
    <cellStyle name="Comma 9 2 3" xfId="3770" xr:uid="{00000000-0005-0000-0000-000095B20000}"/>
    <cellStyle name="Comma 9 2 3 10" xfId="50046" xr:uid="{00000000-0005-0000-0000-000096B20000}"/>
    <cellStyle name="Comma 9 2 3 10 2" xfId="50047" xr:uid="{00000000-0005-0000-0000-000097B20000}"/>
    <cellStyle name="Comma 9 2 3 11" xfId="50048" xr:uid="{00000000-0005-0000-0000-000098B20000}"/>
    <cellStyle name="Comma 9 2 3 12" xfId="50049" xr:uid="{00000000-0005-0000-0000-000099B20000}"/>
    <cellStyle name="Comma 9 2 3 2" xfId="3771" xr:uid="{00000000-0005-0000-0000-00009AB20000}"/>
    <cellStyle name="Comma 9 2 3 2 10" xfId="50050" xr:uid="{00000000-0005-0000-0000-00009BB20000}"/>
    <cellStyle name="Comma 9 2 3 2 2" xfId="3772" xr:uid="{00000000-0005-0000-0000-00009CB20000}"/>
    <cellStyle name="Comma 9 2 3 2 2 2" xfId="3773" xr:uid="{00000000-0005-0000-0000-00009DB20000}"/>
    <cellStyle name="Comma 9 2 3 2 2 2 2" xfId="50051" xr:uid="{00000000-0005-0000-0000-00009EB20000}"/>
    <cellStyle name="Comma 9 2 3 2 2 2 2 2" xfId="50052" xr:uid="{00000000-0005-0000-0000-00009FB20000}"/>
    <cellStyle name="Comma 9 2 3 2 2 2 2 3" xfId="50053" xr:uid="{00000000-0005-0000-0000-0000A0B20000}"/>
    <cellStyle name="Comma 9 2 3 2 2 2 3" xfId="50054" xr:uid="{00000000-0005-0000-0000-0000A1B20000}"/>
    <cellStyle name="Comma 9 2 3 2 2 2 3 2" xfId="50055" xr:uid="{00000000-0005-0000-0000-0000A2B20000}"/>
    <cellStyle name="Comma 9 2 3 2 2 2 3 3" xfId="50056" xr:uid="{00000000-0005-0000-0000-0000A3B20000}"/>
    <cellStyle name="Comma 9 2 3 2 2 2 4" xfId="50057" xr:uid="{00000000-0005-0000-0000-0000A4B20000}"/>
    <cellStyle name="Comma 9 2 3 2 2 2 4 2" xfId="50058" xr:uid="{00000000-0005-0000-0000-0000A5B20000}"/>
    <cellStyle name="Comma 9 2 3 2 2 2 5" xfId="50059" xr:uid="{00000000-0005-0000-0000-0000A6B20000}"/>
    <cellStyle name="Comma 9 2 3 2 2 2 6" xfId="50060" xr:uid="{00000000-0005-0000-0000-0000A7B20000}"/>
    <cellStyle name="Comma 9 2 3 2 2 3" xfId="50061" xr:uid="{00000000-0005-0000-0000-0000A8B20000}"/>
    <cellStyle name="Comma 9 2 3 2 2 3 2" xfId="50062" xr:uid="{00000000-0005-0000-0000-0000A9B20000}"/>
    <cellStyle name="Comma 9 2 3 2 2 3 2 2" xfId="50063" xr:uid="{00000000-0005-0000-0000-0000AAB20000}"/>
    <cellStyle name="Comma 9 2 3 2 2 3 2 3" xfId="50064" xr:uid="{00000000-0005-0000-0000-0000ABB20000}"/>
    <cellStyle name="Comma 9 2 3 2 2 3 3" xfId="50065" xr:uid="{00000000-0005-0000-0000-0000ACB20000}"/>
    <cellStyle name="Comma 9 2 3 2 2 3 3 2" xfId="50066" xr:uid="{00000000-0005-0000-0000-0000ADB20000}"/>
    <cellStyle name="Comma 9 2 3 2 2 3 3 3" xfId="50067" xr:uid="{00000000-0005-0000-0000-0000AEB20000}"/>
    <cellStyle name="Comma 9 2 3 2 2 3 4" xfId="50068" xr:uid="{00000000-0005-0000-0000-0000AFB20000}"/>
    <cellStyle name="Comma 9 2 3 2 2 3 4 2" xfId="50069" xr:uid="{00000000-0005-0000-0000-0000B0B20000}"/>
    <cellStyle name="Comma 9 2 3 2 2 3 5" xfId="50070" xr:uid="{00000000-0005-0000-0000-0000B1B20000}"/>
    <cellStyle name="Comma 9 2 3 2 2 3 6" xfId="50071" xr:uid="{00000000-0005-0000-0000-0000B2B20000}"/>
    <cellStyle name="Comma 9 2 3 2 2 4" xfId="50072" xr:uid="{00000000-0005-0000-0000-0000B3B20000}"/>
    <cellStyle name="Comma 9 2 3 2 2 4 2" xfId="50073" xr:uid="{00000000-0005-0000-0000-0000B4B20000}"/>
    <cellStyle name="Comma 9 2 3 2 2 4 2 2" xfId="50074" xr:uid="{00000000-0005-0000-0000-0000B5B20000}"/>
    <cellStyle name="Comma 9 2 3 2 2 4 2 3" xfId="50075" xr:uid="{00000000-0005-0000-0000-0000B6B20000}"/>
    <cellStyle name="Comma 9 2 3 2 2 4 3" xfId="50076" xr:uid="{00000000-0005-0000-0000-0000B7B20000}"/>
    <cellStyle name="Comma 9 2 3 2 2 4 3 2" xfId="50077" xr:uid="{00000000-0005-0000-0000-0000B8B20000}"/>
    <cellStyle name="Comma 9 2 3 2 2 4 4" xfId="50078" xr:uid="{00000000-0005-0000-0000-0000B9B20000}"/>
    <cellStyle name="Comma 9 2 3 2 2 4 5" xfId="50079" xr:uid="{00000000-0005-0000-0000-0000BAB20000}"/>
    <cellStyle name="Comma 9 2 3 2 2 5" xfId="50080" xr:uid="{00000000-0005-0000-0000-0000BBB20000}"/>
    <cellStyle name="Comma 9 2 3 2 2 5 2" xfId="50081" xr:uid="{00000000-0005-0000-0000-0000BCB20000}"/>
    <cellStyle name="Comma 9 2 3 2 2 5 3" xfId="50082" xr:uid="{00000000-0005-0000-0000-0000BDB20000}"/>
    <cellStyle name="Comma 9 2 3 2 2 6" xfId="50083" xr:uid="{00000000-0005-0000-0000-0000BEB20000}"/>
    <cellStyle name="Comma 9 2 3 2 2 6 2" xfId="50084" xr:uid="{00000000-0005-0000-0000-0000BFB20000}"/>
    <cellStyle name="Comma 9 2 3 2 2 6 3" xfId="50085" xr:uid="{00000000-0005-0000-0000-0000C0B20000}"/>
    <cellStyle name="Comma 9 2 3 2 2 7" xfId="50086" xr:uid="{00000000-0005-0000-0000-0000C1B20000}"/>
    <cellStyle name="Comma 9 2 3 2 2 7 2" xfId="50087" xr:uid="{00000000-0005-0000-0000-0000C2B20000}"/>
    <cellStyle name="Comma 9 2 3 2 2 8" xfId="50088" xr:uid="{00000000-0005-0000-0000-0000C3B20000}"/>
    <cellStyle name="Comma 9 2 3 2 2 9" xfId="50089" xr:uid="{00000000-0005-0000-0000-0000C4B20000}"/>
    <cellStyle name="Comma 9 2 3 2 3" xfId="3774" xr:uid="{00000000-0005-0000-0000-0000C5B20000}"/>
    <cellStyle name="Comma 9 2 3 2 3 2" xfId="50090" xr:uid="{00000000-0005-0000-0000-0000C6B20000}"/>
    <cellStyle name="Comma 9 2 3 2 3 2 2" xfId="50091" xr:uid="{00000000-0005-0000-0000-0000C7B20000}"/>
    <cellStyle name="Comma 9 2 3 2 3 2 3" xfId="50092" xr:uid="{00000000-0005-0000-0000-0000C8B20000}"/>
    <cellStyle name="Comma 9 2 3 2 3 3" xfId="50093" xr:uid="{00000000-0005-0000-0000-0000C9B20000}"/>
    <cellStyle name="Comma 9 2 3 2 3 3 2" xfId="50094" xr:uid="{00000000-0005-0000-0000-0000CAB20000}"/>
    <cellStyle name="Comma 9 2 3 2 3 3 3" xfId="50095" xr:uid="{00000000-0005-0000-0000-0000CBB20000}"/>
    <cellStyle name="Comma 9 2 3 2 3 4" xfId="50096" xr:uid="{00000000-0005-0000-0000-0000CCB20000}"/>
    <cellStyle name="Comma 9 2 3 2 3 4 2" xfId="50097" xr:uid="{00000000-0005-0000-0000-0000CDB20000}"/>
    <cellStyle name="Comma 9 2 3 2 3 5" xfId="50098" xr:uid="{00000000-0005-0000-0000-0000CEB20000}"/>
    <cellStyle name="Comma 9 2 3 2 3 6" xfId="50099" xr:uid="{00000000-0005-0000-0000-0000CFB20000}"/>
    <cellStyle name="Comma 9 2 3 2 4" xfId="50100" xr:uid="{00000000-0005-0000-0000-0000D0B20000}"/>
    <cellStyle name="Comma 9 2 3 2 4 2" xfId="50101" xr:uid="{00000000-0005-0000-0000-0000D1B20000}"/>
    <cellStyle name="Comma 9 2 3 2 4 2 2" xfId="50102" xr:uid="{00000000-0005-0000-0000-0000D2B20000}"/>
    <cellStyle name="Comma 9 2 3 2 4 2 3" xfId="50103" xr:uid="{00000000-0005-0000-0000-0000D3B20000}"/>
    <cellStyle name="Comma 9 2 3 2 4 3" xfId="50104" xr:uid="{00000000-0005-0000-0000-0000D4B20000}"/>
    <cellStyle name="Comma 9 2 3 2 4 3 2" xfId="50105" xr:uid="{00000000-0005-0000-0000-0000D5B20000}"/>
    <cellStyle name="Comma 9 2 3 2 4 3 3" xfId="50106" xr:uid="{00000000-0005-0000-0000-0000D6B20000}"/>
    <cellStyle name="Comma 9 2 3 2 4 4" xfId="50107" xr:uid="{00000000-0005-0000-0000-0000D7B20000}"/>
    <cellStyle name="Comma 9 2 3 2 4 4 2" xfId="50108" xr:uid="{00000000-0005-0000-0000-0000D8B20000}"/>
    <cellStyle name="Comma 9 2 3 2 4 5" xfId="50109" xr:uid="{00000000-0005-0000-0000-0000D9B20000}"/>
    <cellStyle name="Comma 9 2 3 2 4 6" xfId="50110" xr:uid="{00000000-0005-0000-0000-0000DAB20000}"/>
    <cellStyle name="Comma 9 2 3 2 5" xfId="50111" xr:uid="{00000000-0005-0000-0000-0000DBB20000}"/>
    <cellStyle name="Comma 9 2 3 2 5 2" xfId="50112" xr:uid="{00000000-0005-0000-0000-0000DCB20000}"/>
    <cellStyle name="Comma 9 2 3 2 5 2 2" xfId="50113" xr:uid="{00000000-0005-0000-0000-0000DDB20000}"/>
    <cellStyle name="Comma 9 2 3 2 5 2 3" xfId="50114" xr:uid="{00000000-0005-0000-0000-0000DEB20000}"/>
    <cellStyle name="Comma 9 2 3 2 5 3" xfId="50115" xr:uid="{00000000-0005-0000-0000-0000DFB20000}"/>
    <cellStyle name="Comma 9 2 3 2 5 3 2" xfId="50116" xr:uid="{00000000-0005-0000-0000-0000E0B20000}"/>
    <cellStyle name="Comma 9 2 3 2 5 4" xfId="50117" xr:uid="{00000000-0005-0000-0000-0000E1B20000}"/>
    <cellStyle name="Comma 9 2 3 2 5 5" xfId="50118" xr:uid="{00000000-0005-0000-0000-0000E2B20000}"/>
    <cellStyle name="Comma 9 2 3 2 6" xfId="50119" xr:uid="{00000000-0005-0000-0000-0000E3B20000}"/>
    <cellStyle name="Comma 9 2 3 2 6 2" xfId="50120" xr:uid="{00000000-0005-0000-0000-0000E4B20000}"/>
    <cellStyle name="Comma 9 2 3 2 6 3" xfId="50121" xr:uid="{00000000-0005-0000-0000-0000E5B20000}"/>
    <cellStyle name="Comma 9 2 3 2 7" xfId="50122" xr:uid="{00000000-0005-0000-0000-0000E6B20000}"/>
    <cellStyle name="Comma 9 2 3 2 7 2" xfId="50123" xr:uid="{00000000-0005-0000-0000-0000E7B20000}"/>
    <cellStyle name="Comma 9 2 3 2 7 3" xfId="50124" xr:uid="{00000000-0005-0000-0000-0000E8B20000}"/>
    <cellStyle name="Comma 9 2 3 2 8" xfId="50125" xr:uid="{00000000-0005-0000-0000-0000E9B20000}"/>
    <cellStyle name="Comma 9 2 3 2 8 2" xfId="50126" xr:uid="{00000000-0005-0000-0000-0000EAB20000}"/>
    <cellStyle name="Comma 9 2 3 2 9" xfId="50127" xr:uid="{00000000-0005-0000-0000-0000EBB20000}"/>
    <cellStyle name="Comma 9 2 3 3" xfId="3775" xr:uid="{00000000-0005-0000-0000-0000ECB20000}"/>
    <cellStyle name="Comma 9 2 3 3 2" xfId="3776" xr:uid="{00000000-0005-0000-0000-0000EDB20000}"/>
    <cellStyle name="Comma 9 2 3 3 2 2" xfId="50128" xr:uid="{00000000-0005-0000-0000-0000EEB20000}"/>
    <cellStyle name="Comma 9 2 3 3 2 2 2" xfId="50129" xr:uid="{00000000-0005-0000-0000-0000EFB20000}"/>
    <cellStyle name="Comma 9 2 3 3 2 2 3" xfId="50130" xr:uid="{00000000-0005-0000-0000-0000F0B20000}"/>
    <cellStyle name="Comma 9 2 3 3 2 3" xfId="50131" xr:uid="{00000000-0005-0000-0000-0000F1B20000}"/>
    <cellStyle name="Comma 9 2 3 3 2 3 2" xfId="50132" xr:uid="{00000000-0005-0000-0000-0000F2B20000}"/>
    <cellStyle name="Comma 9 2 3 3 2 3 3" xfId="50133" xr:uid="{00000000-0005-0000-0000-0000F3B20000}"/>
    <cellStyle name="Comma 9 2 3 3 2 4" xfId="50134" xr:uid="{00000000-0005-0000-0000-0000F4B20000}"/>
    <cellStyle name="Comma 9 2 3 3 2 4 2" xfId="50135" xr:uid="{00000000-0005-0000-0000-0000F5B20000}"/>
    <cellStyle name="Comma 9 2 3 3 2 5" xfId="50136" xr:uid="{00000000-0005-0000-0000-0000F6B20000}"/>
    <cellStyle name="Comma 9 2 3 3 2 6" xfId="50137" xr:uid="{00000000-0005-0000-0000-0000F7B20000}"/>
    <cellStyle name="Comma 9 2 3 3 3" xfId="50138" xr:uid="{00000000-0005-0000-0000-0000F8B20000}"/>
    <cellStyle name="Comma 9 2 3 3 3 2" xfId="50139" xr:uid="{00000000-0005-0000-0000-0000F9B20000}"/>
    <cellStyle name="Comma 9 2 3 3 3 2 2" xfId="50140" xr:uid="{00000000-0005-0000-0000-0000FAB20000}"/>
    <cellStyle name="Comma 9 2 3 3 3 2 3" xfId="50141" xr:uid="{00000000-0005-0000-0000-0000FBB20000}"/>
    <cellStyle name="Comma 9 2 3 3 3 3" xfId="50142" xr:uid="{00000000-0005-0000-0000-0000FCB20000}"/>
    <cellStyle name="Comma 9 2 3 3 3 3 2" xfId="50143" xr:uid="{00000000-0005-0000-0000-0000FDB20000}"/>
    <cellStyle name="Comma 9 2 3 3 3 3 3" xfId="50144" xr:uid="{00000000-0005-0000-0000-0000FEB20000}"/>
    <cellStyle name="Comma 9 2 3 3 3 4" xfId="50145" xr:uid="{00000000-0005-0000-0000-0000FFB20000}"/>
    <cellStyle name="Comma 9 2 3 3 3 4 2" xfId="50146" xr:uid="{00000000-0005-0000-0000-000000B30000}"/>
    <cellStyle name="Comma 9 2 3 3 3 5" xfId="50147" xr:uid="{00000000-0005-0000-0000-000001B30000}"/>
    <cellStyle name="Comma 9 2 3 3 3 6" xfId="50148" xr:uid="{00000000-0005-0000-0000-000002B30000}"/>
    <cellStyle name="Comma 9 2 3 3 4" xfId="50149" xr:uid="{00000000-0005-0000-0000-000003B30000}"/>
    <cellStyle name="Comma 9 2 3 3 4 2" xfId="50150" xr:uid="{00000000-0005-0000-0000-000004B30000}"/>
    <cellStyle name="Comma 9 2 3 3 4 2 2" xfId="50151" xr:uid="{00000000-0005-0000-0000-000005B30000}"/>
    <cellStyle name="Comma 9 2 3 3 4 2 3" xfId="50152" xr:uid="{00000000-0005-0000-0000-000006B30000}"/>
    <cellStyle name="Comma 9 2 3 3 4 3" xfId="50153" xr:uid="{00000000-0005-0000-0000-000007B30000}"/>
    <cellStyle name="Comma 9 2 3 3 4 3 2" xfId="50154" xr:uid="{00000000-0005-0000-0000-000008B30000}"/>
    <cellStyle name="Comma 9 2 3 3 4 4" xfId="50155" xr:uid="{00000000-0005-0000-0000-000009B30000}"/>
    <cellStyle name="Comma 9 2 3 3 4 5" xfId="50156" xr:uid="{00000000-0005-0000-0000-00000AB30000}"/>
    <cellStyle name="Comma 9 2 3 3 5" xfId="50157" xr:uid="{00000000-0005-0000-0000-00000BB30000}"/>
    <cellStyle name="Comma 9 2 3 3 5 2" xfId="50158" xr:uid="{00000000-0005-0000-0000-00000CB30000}"/>
    <cellStyle name="Comma 9 2 3 3 5 3" xfId="50159" xr:uid="{00000000-0005-0000-0000-00000DB30000}"/>
    <cellStyle name="Comma 9 2 3 3 6" xfId="50160" xr:uid="{00000000-0005-0000-0000-00000EB30000}"/>
    <cellStyle name="Comma 9 2 3 3 6 2" xfId="50161" xr:uid="{00000000-0005-0000-0000-00000FB30000}"/>
    <cellStyle name="Comma 9 2 3 3 6 3" xfId="50162" xr:uid="{00000000-0005-0000-0000-000010B30000}"/>
    <cellStyle name="Comma 9 2 3 3 7" xfId="50163" xr:uid="{00000000-0005-0000-0000-000011B30000}"/>
    <cellStyle name="Comma 9 2 3 3 7 2" xfId="50164" xr:uid="{00000000-0005-0000-0000-000012B30000}"/>
    <cellStyle name="Comma 9 2 3 3 8" xfId="50165" xr:uid="{00000000-0005-0000-0000-000013B30000}"/>
    <cellStyle name="Comma 9 2 3 3 9" xfId="50166" xr:uid="{00000000-0005-0000-0000-000014B30000}"/>
    <cellStyle name="Comma 9 2 3 4" xfId="3777" xr:uid="{00000000-0005-0000-0000-000015B30000}"/>
    <cellStyle name="Comma 9 2 3 4 2" xfId="50167" xr:uid="{00000000-0005-0000-0000-000016B30000}"/>
    <cellStyle name="Comma 9 2 3 4 2 2" xfId="50168" xr:uid="{00000000-0005-0000-0000-000017B30000}"/>
    <cellStyle name="Comma 9 2 3 4 2 2 2" xfId="50169" xr:uid="{00000000-0005-0000-0000-000018B30000}"/>
    <cellStyle name="Comma 9 2 3 4 2 2 3" xfId="50170" xr:uid="{00000000-0005-0000-0000-000019B30000}"/>
    <cellStyle name="Comma 9 2 3 4 2 3" xfId="50171" xr:uid="{00000000-0005-0000-0000-00001AB30000}"/>
    <cellStyle name="Comma 9 2 3 4 2 3 2" xfId="50172" xr:uid="{00000000-0005-0000-0000-00001BB30000}"/>
    <cellStyle name="Comma 9 2 3 4 2 3 3" xfId="50173" xr:uid="{00000000-0005-0000-0000-00001CB30000}"/>
    <cellStyle name="Comma 9 2 3 4 2 4" xfId="50174" xr:uid="{00000000-0005-0000-0000-00001DB30000}"/>
    <cellStyle name="Comma 9 2 3 4 2 4 2" xfId="50175" xr:uid="{00000000-0005-0000-0000-00001EB30000}"/>
    <cellStyle name="Comma 9 2 3 4 2 5" xfId="50176" xr:uid="{00000000-0005-0000-0000-00001FB30000}"/>
    <cellStyle name="Comma 9 2 3 4 2 6" xfId="50177" xr:uid="{00000000-0005-0000-0000-000020B30000}"/>
    <cellStyle name="Comma 9 2 3 4 3" xfId="50178" xr:uid="{00000000-0005-0000-0000-000021B30000}"/>
    <cellStyle name="Comma 9 2 3 4 3 2" xfId="50179" xr:uid="{00000000-0005-0000-0000-000022B30000}"/>
    <cellStyle name="Comma 9 2 3 4 3 2 2" xfId="50180" xr:uid="{00000000-0005-0000-0000-000023B30000}"/>
    <cellStyle name="Comma 9 2 3 4 3 2 3" xfId="50181" xr:uid="{00000000-0005-0000-0000-000024B30000}"/>
    <cellStyle name="Comma 9 2 3 4 3 3" xfId="50182" xr:uid="{00000000-0005-0000-0000-000025B30000}"/>
    <cellStyle name="Comma 9 2 3 4 3 3 2" xfId="50183" xr:uid="{00000000-0005-0000-0000-000026B30000}"/>
    <cellStyle name="Comma 9 2 3 4 3 3 3" xfId="50184" xr:uid="{00000000-0005-0000-0000-000027B30000}"/>
    <cellStyle name="Comma 9 2 3 4 3 4" xfId="50185" xr:uid="{00000000-0005-0000-0000-000028B30000}"/>
    <cellStyle name="Comma 9 2 3 4 3 4 2" xfId="50186" xr:uid="{00000000-0005-0000-0000-000029B30000}"/>
    <cellStyle name="Comma 9 2 3 4 3 5" xfId="50187" xr:uid="{00000000-0005-0000-0000-00002AB30000}"/>
    <cellStyle name="Comma 9 2 3 4 3 6" xfId="50188" xr:uid="{00000000-0005-0000-0000-00002BB30000}"/>
    <cellStyle name="Comma 9 2 3 4 4" xfId="50189" xr:uid="{00000000-0005-0000-0000-00002CB30000}"/>
    <cellStyle name="Comma 9 2 3 4 4 2" xfId="50190" xr:uid="{00000000-0005-0000-0000-00002DB30000}"/>
    <cellStyle name="Comma 9 2 3 4 4 2 2" xfId="50191" xr:uid="{00000000-0005-0000-0000-00002EB30000}"/>
    <cellStyle name="Comma 9 2 3 4 4 2 3" xfId="50192" xr:uid="{00000000-0005-0000-0000-00002FB30000}"/>
    <cellStyle name="Comma 9 2 3 4 4 3" xfId="50193" xr:uid="{00000000-0005-0000-0000-000030B30000}"/>
    <cellStyle name="Comma 9 2 3 4 4 3 2" xfId="50194" xr:uid="{00000000-0005-0000-0000-000031B30000}"/>
    <cellStyle name="Comma 9 2 3 4 4 4" xfId="50195" xr:uid="{00000000-0005-0000-0000-000032B30000}"/>
    <cellStyle name="Comma 9 2 3 4 4 5" xfId="50196" xr:uid="{00000000-0005-0000-0000-000033B30000}"/>
    <cellStyle name="Comma 9 2 3 4 5" xfId="50197" xr:uid="{00000000-0005-0000-0000-000034B30000}"/>
    <cellStyle name="Comma 9 2 3 4 5 2" xfId="50198" xr:uid="{00000000-0005-0000-0000-000035B30000}"/>
    <cellStyle name="Comma 9 2 3 4 5 3" xfId="50199" xr:uid="{00000000-0005-0000-0000-000036B30000}"/>
    <cellStyle name="Comma 9 2 3 4 6" xfId="50200" xr:uid="{00000000-0005-0000-0000-000037B30000}"/>
    <cellStyle name="Comma 9 2 3 4 6 2" xfId="50201" xr:uid="{00000000-0005-0000-0000-000038B30000}"/>
    <cellStyle name="Comma 9 2 3 4 6 3" xfId="50202" xr:uid="{00000000-0005-0000-0000-000039B30000}"/>
    <cellStyle name="Comma 9 2 3 4 7" xfId="50203" xr:uid="{00000000-0005-0000-0000-00003AB30000}"/>
    <cellStyle name="Comma 9 2 3 4 7 2" xfId="50204" xr:uid="{00000000-0005-0000-0000-00003BB30000}"/>
    <cellStyle name="Comma 9 2 3 4 8" xfId="50205" xr:uid="{00000000-0005-0000-0000-00003CB30000}"/>
    <cellStyle name="Comma 9 2 3 4 9" xfId="50206" xr:uid="{00000000-0005-0000-0000-00003DB30000}"/>
    <cellStyle name="Comma 9 2 3 5" xfId="50207" xr:uid="{00000000-0005-0000-0000-00003EB30000}"/>
    <cellStyle name="Comma 9 2 3 5 2" xfId="50208" xr:uid="{00000000-0005-0000-0000-00003FB30000}"/>
    <cellStyle name="Comma 9 2 3 5 2 2" xfId="50209" xr:uid="{00000000-0005-0000-0000-000040B30000}"/>
    <cellStyle name="Comma 9 2 3 5 2 3" xfId="50210" xr:uid="{00000000-0005-0000-0000-000041B30000}"/>
    <cellStyle name="Comma 9 2 3 5 3" xfId="50211" xr:uid="{00000000-0005-0000-0000-000042B30000}"/>
    <cellStyle name="Comma 9 2 3 5 3 2" xfId="50212" xr:uid="{00000000-0005-0000-0000-000043B30000}"/>
    <cellStyle name="Comma 9 2 3 5 3 3" xfId="50213" xr:uid="{00000000-0005-0000-0000-000044B30000}"/>
    <cellStyle name="Comma 9 2 3 5 4" xfId="50214" xr:uid="{00000000-0005-0000-0000-000045B30000}"/>
    <cellStyle name="Comma 9 2 3 5 4 2" xfId="50215" xr:uid="{00000000-0005-0000-0000-000046B30000}"/>
    <cellStyle name="Comma 9 2 3 5 5" xfId="50216" xr:uid="{00000000-0005-0000-0000-000047B30000}"/>
    <cellStyle name="Comma 9 2 3 5 6" xfId="50217" xr:uid="{00000000-0005-0000-0000-000048B30000}"/>
    <cellStyle name="Comma 9 2 3 6" xfId="50218" xr:uid="{00000000-0005-0000-0000-000049B30000}"/>
    <cellStyle name="Comma 9 2 3 6 2" xfId="50219" xr:uid="{00000000-0005-0000-0000-00004AB30000}"/>
    <cellStyle name="Comma 9 2 3 6 2 2" xfId="50220" xr:uid="{00000000-0005-0000-0000-00004BB30000}"/>
    <cellStyle name="Comma 9 2 3 6 2 3" xfId="50221" xr:uid="{00000000-0005-0000-0000-00004CB30000}"/>
    <cellStyle name="Comma 9 2 3 6 3" xfId="50222" xr:uid="{00000000-0005-0000-0000-00004DB30000}"/>
    <cellStyle name="Comma 9 2 3 6 3 2" xfId="50223" xr:uid="{00000000-0005-0000-0000-00004EB30000}"/>
    <cellStyle name="Comma 9 2 3 6 3 3" xfId="50224" xr:uid="{00000000-0005-0000-0000-00004FB30000}"/>
    <cellStyle name="Comma 9 2 3 6 4" xfId="50225" xr:uid="{00000000-0005-0000-0000-000050B30000}"/>
    <cellStyle name="Comma 9 2 3 6 4 2" xfId="50226" xr:uid="{00000000-0005-0000-0000-000051B30000}"/>
    <cellStyle name="Comma 9 2 3 6 5" xfId="50227" xr:uid="{00000000-0005-0000-0000-000052B30000}"/>
    <cellStyle name="Comma 9 2 3 6 6" xfId="50228" xr:uid="{00000000-0005-0000-0000-000053B30000}"/>
    <cellStyle name="Comma 9 2 3 7" xfId="50229" xr:uid="{00000000-0005-0000-0000-000054B30000}"/>
    <cellStyle name="Comma 9 2 3 7 2" xfId="50230" xr:uid="{00000000-0005-0000-0000-000055B30000}"/>
    <cellStyle name="Comma 9 2 3 7 2 2" xfId="50231" xr:uid="{00000000-0005-0000-0000-000056B30000}"/>
    <cellStyle name="Comma 9 2 3 7 2 3" xfId="50232" xr:uid="{00000000-0005-0000-0000-000057B30000}"/>
    <cellStyle name="Comma 9 2 3 7 3" xfId="50233" xr:uid="{00000000-0005-0000-0000-000058B30000}"/>
    <cellStyle name="Comma 9 2 3 7 3 2" xfId="50234" xr:uid="{00000000-0005-0000-0000-000059B30000}"/>
    <cellStyle name="Comma 9 2 3 7 4" xfId="50235" xr:uid="{00000000-0005-0000-0000-00005AB30000}"/>
    <cellStyle name="Comma 9 2 3 7 5" xfId="50236" xr:uid="{00000000-0005-0000-0000-00005BB30000}"/>
    <cellStyle name="Comma 9 2 3 8" xfId="50237" xr:uid="{00000000-0005-0000-0000-00005CB30000}"/>
    <cellStyle name="Comma 9 2 3 8 2" xfId="50238" xr:uid="{00000000-0005-0000-0000-00005DB30000}"/>
    <cellStyle name="Comma 9 2 3 8 3" xfId="50239" xr:uid="{00000000-0005-0000-0000-00005EB30000}"/>
    <cellStyle name="Comma 9 2 3 9" xfId="50240" xr:uid="{00000000-0005-0000-0000-00005FB30000}"/>
    <cellStyle name="Comma 9 2 3 9 2" xfId="50241" xr:uid="{00000000-0005-0000-0000-000060B30000}"/>
    <cellStyle name="Comma 9 2 3 9 3" xfId="50242" xr:uid="{00000000-0005-0000-0000-000061B30000}"/>
    <cellStyle name="Comma 9 2 4" xfId="3778" xr:uid="{00000000-0005-0000-0000-000062B30000}"/>
    <cellStyle name="Comma 9 2 4 10" xfId="50243" xr:uid="{00000000-0005-0000-0000-000063B30000}"/>
    <cellStyle name="Comma 9 2 4 2" xfId="3779" xr:uid="{00000000-0005-0000-0000-000064B30000}"/>
    <cellStyle name="Comma 9 2 4 2 2" xfId="3780" xr:uid="{00000000-0005-0000-0000-000065B30000}"/>
    <cellStyle name="Comma 9 2 4 2 2 2" xfId="50244" xr:uid="{00000000-0005-0000-0000-000066B30000}"/>
    <cellStyle name="Comma 9 2 4 2 2 2 2" xfId="50245" xr:uid="{00000000-0005-0000-0000-000067B30000}"/>
    <cellStyle name="Comma 9 2 4 2 2 2 3" xfId="50246" xr:uid="{00000000-0005-0000-0000-000068B30000}"/>
    <cellStyle name="Comma 9 2 4 2 2 3" xfId="50247" xr:uid="{00000000-0005-0000-0000-000069B30000}"/>
    <cellStyle name="Comma 9 2 4 2 2 3 2" xfId="50248" xr:uid="{00000000-0005-0000-0000-00006AB30000}"/>
    <cellStyle name="Comma 9 2 4 2 2 3 3" xfId="50249" xr:uid="{00000000-0005-0000-0000-00006BB30000}"/>
    <cellStyle name="Comma 9 2 4 2 2 4" xfId="50250" xr:uid="{00000000-0005-0000-0000-00006CB30000}"/>
    <cellStyle name="Comma 9 2 4 2 2 4 2" xfId="50251" xr:uid="{00000000-0005-0000-0000-00006DB30000}"/>
    <cellStyle name="Comma 9 2 4 2 2 5" xfId="50252" xr:uid="{00000000-0005-0000-0000-00006EB30000}"/>
    <cellStyle name="Comma 9 2 4 2 2 6" xfId="50253" xr:uid="{00000000-0005-0000-0000-00006FB30000}"/>
    <cellStyle name="Comma 9 2 4 2 3" xfId="50254" xr:uid="{00000000-0005-0000-0000-000070B30000}"/>
    <cellStyle name="Comma 9 2 4 2 3 2" xfId="50255" xr:uid="{00000000-0005-0000-0000-000071B30000}"/>
    <cellStyle name="Comma 9 2 4 2 3 2 2" xfId="50256" xr:uid="{00000000-0005-0000-0000-000072B30000}"/>
    <cellStyle name="Comma 9 2 4 2 3 2 3" xfId="50257" xr:uid="{00000000-0005-0000-0000-000073B30000}"/>
    <cellStyle name="Comma 9 2 4 2 3 3" xfId="50258" xr:uid="{00000000-0005-0000-0000-000074B30000}"/>
    <cellStyle name="Comma 9 2 4 2 3 3 2" xfId="50259" xr:uid="{00000000-0005-0000-0000-000075B30000}"/>
    <cellStyle name="Comma 9 2 4 2 3 3 3" xfId="50260" xr:uid="{00000000-0005-0000-0000-000076B30000}"/>
    <cellStyle name="Comma 9 2 4 2 3 4" xfId="50261" xr:uid="{00000000-0005-0000-0000-000077B30000}"/>
    <cellStyle name="Comma 9 2 4 2 3 4 2" xfId="50262" xr:uid="{00000000-0005-0000-0000-000078B30000}"/>
    <cellStyle name="Comma 9 2 4 2 3 5" xfId="50263" xr:uid="{00000000-0005-0000-0000-000079B30000}"/>
    <cellStyle name="Comma 9 2 4 2 3 6" xfId="50264" xr:uid="{00000000-0005-0000-0000-00007AB30000}"/>
    <cellStyle name="Comma 9 2 4 2 4" xfId="50265" xr:uid="{00000000-0005-0000-0000-00007BB30000}"/>
    <cellStyle name="Comma 9 2 4 2 4 2" xfId="50266" xr:uid="{00000000-0005-0000-0000-00007CB30000}"/>
    <cellStyle name="Comma 9 2 4 2 4 2 2" xfId="50267" xr:uid="{00000000-0005-0000-0000-00007DB30000}"/>
    <cellStyle name="Comma 9 2 4 2 4 2 3" xfId="50268" xr:uid="{00000000-0005-0000-0000-00007EB30000}"/>
    <cellStyle name="Comma 9 2 4 2 4 3" xfId="50269" xr:uid="{00000000-0005-0000-0000-00007FB30000}"/>
    <cellStyle name="Comma 9 2 4 2 4 3 2" xfId="50270" xr:uid="{00000000-0005-0000-0000-000080B30000}"/>
    <cellStyle name="Comma 9 2 4 2 4 4" xfId="50271" xr:uid="{00000000-0005-0000-0000-000081B30000}"/>
    <cellStyle name="Comma 9 2 4 2 4 5" xfId="50272" xr:uid="{00000000-0005-0000-0000-000082B30000}"/>
    <cellStyle name="Comma 9 2 4 2 5" xfId="50273" xr:uid="{00000000-0005-0000-0000-000083B30000}"/>
    <cellStyle name="Comma 9 2 4 2 5 2" xfId="50274" xr:uid="{00000000-0005-0000-0000-000084B30000}"/>
    <cellStyle name="Comma 9 2 4 2 5 3" xfId="50275" xr:uid="{00000000-0005-0000-0000-000085B30000}"/>
    <cellStyle name="Comma 9 2 4 2 6" xfId="50276" xr:uid="{00000000-0005-0000-0000-000086B30000}"/>
    <cellStyle name="Comma 9 2 4 2 6 2" xfId="50277" xr:uid="{00000000-0005-0000-0000-000087B30000}"/>
    <cellStyle name="Comma 9 2 4 2 6 3" xfId="50278" xr:uid="{00000000-0005-0000-0000-000088B30000}"/>
    <cellStyle name="Comma 9 2 4 2 7" xfId="50279" xr:uid="{00000000-0005-0000-0000-000089B30000}"/>
    <cellStyle name="Comma 9 2 4 2 7 2" xfId="50280" xr:uid="{00000000-0005-0000-0000-00008AB30000}"/>
    <cellStyle name="Comma 9 2 4 2 8" xfId="50281" xr:uid="{00000000-0005-0000-0000-00008BB30000}"/>
    <cellStyle name="Comma 9 2 4 2 9" xfId="50282" xr:uid="{00000000-0005-0000-0000-00008CB30000}"/>
    <cellStyle name="Comma 9 2 4 3" xfId="3781" xr:uid="{00000000-0005-0000-0000-00008DB30000}"/>
    <cellStyle name="Comma 9 2 4 3 2" xfId="50283" xr:uid="{00000000-0005-0000-0000-00008EB30000}"/>
    <cellStyle name="Comma 9 2 4 3 2 2" xfId="50284" xr:uid="{00000000-0005-0000-0000-00008FB30000}"/>
    <cellStyle name="Comma 9 2 4 3 2 3" xfId="50285" xr:uid="{00000000-0005-0000-0000-000090B30000}"/>
    <cellStyle name="Comma 9 2 4 3 3" xfId="50286" xr:uid="{00000000-0005-0000-0000-000091B30000}"/>
    <cellStyle name="Comma 9 2 4 3 3 2" xfId="50287" xr:uid="{00000000-0005-0000-0000-000092B30000}"/>
    <cellStyle name="Comma 9 2 4 3 3 3" xfId="50288" xr:uid="{00000000-0005-0000-0000-000093B30000}"/>
    <cellStyle name="Comma 9 2 4 3 4" xfId="50289" xr:uid="{00000000-0005-0000-0000-000094B30000}"/>
    <cellStyle name="Comma 9 2 4 3 4 2" xfId="50290" xr:uid="{00000000-0005-0000-0000-000095B30000}"/>
    <cellStyle name="Comma 9 2 4 3 5" xfId="50291" xr:uid="{00000000-0005-0000-0000-000096B30000}"/>
    <cellStyle name="Comma 9 2 4 3 6" xfId="50292" xr:uid="{00000000-0005-0000-0000-000097B30000}"/>
    <cellStyle name="Comma 9 2 4 4" xfId="50293" xr:uid="{00000000-0005-0000-0000-000098B30000}"/>
    <cellStyle name="Comma 9 2 4 4 2" xfId="50294" xr:uid="{00000000-0005-0000-0000-000099B30000}"/>
    <cellStyle name="Comma 9 2 4 4 2 2" xfId="50295" xr:uid="{00000000-0005-0000-0000-00009AB30000}"/>
    <cellStyle name="Comma 9 2 4 4 2 3" xfId="50296" xr:uid="{00000000-0005-0000-0000-00009BB30000}"/>
    <cellStyle name="Comma 9 2 4 4 3" xfId="50297" xr:uid="{00000000-0005-0000-0000-00009CB30000}"/>
    <cellStyle name="Comma 9 2 4 4 3 2" xfId="50298" xr:uid="{00000000-0005-0000-0000-00009DB30000}"/>
    <cellStyle name="Comma 9 2 4 4 3 3" xfId="50299" xr:uid="{00000000-0005-0000-0000-00009EB30000}"/>
    <cellStyle name="Comma 9 2 4 4 4" xfId="50300" xr:uid="{00000000-0005-0000-0000-00009FB30000}"/>
    <cellStyle name="Comma 9 2 4 4 4 2" xfId="50301" xr:uid="{00000000-0005-0000-0000-0000A0B30000}"/>
    <cellStyle name="Comma 9 2 4 4 5" xfId="50302" xr:uid="{00000000-0005-0000-0000-0000A1B30000}"/>
    <cellStyle name="Comma 9 2 4 4 6" xfId="50303" xr:uid="{00000000-0005-0000-0000-0000A2B30000}"/>
    <cellStyle name="Comma 9 2 4 5" xfId="50304" xr:uid="{00000000-0005-0000-0000-0000A3B30000}"/>
    <cellStyle name="Comma 9 2 4 5 2" xfId="50305" xr:uid="{00000000-0005-0000-0000-0000A4B30000}"/>
    <cellStyle name="Comma 9 2 4 5 2 2" xfId="50306" xr:uid="{00000000-0005-0000-0000-0000A5B30000}"/>
    <cellStyle name="Comma 9 2 4 5 2 3" xfId="50307" xr:uid="{00000000-0005-0000-0000-0000A6B30000}"/>
    <cellStyle name="Comma 9 2 4 5 3" xfId="50308" xr:uid="{00000000-0005-0000-0000-0000A7B30000}"/>
    <cellStyle name="Comma 9 2 4 5 3 2" xfId="50309" xr:uid="{00000000-0005-0000-0000-0000A8B30000}"/>
    <cellStyle name="Comma 9 2 4 5 4" xfId="50310" xr:uid="{00000000-0005-0000-0000-0000A9B30000}"/>
    <cellStyle name="Comma 9 2 4 5 5" xfId="50311" xr:uid="{00000000-0005-0000-0000-0000AAB30000}"/>
    <cellStyle name="Comma 9 2 4 6" xfId="50312" xr:uid="{00000000-0005-0000-0000-0000ABB30000}"/>
    <cellStyle name="Comma 9 2 4 6 2" xfId="50313" xr:uid="{00000000-0005-0000-0000-0000ACB30000}"/>
    <cellStyle name="Comma 9 2 4 6 3" xfId="50314" xr:uid="{00000000-0005-0000-0000-0000ADB30000}"/>
    <cellStyle name="Comma 9 2 4 7" xfId="50315" xr:uid="{00000000-0005-0000-0000-0000AEB30000}"/>
    <cellStyle name="Comma 9 2 4 7 2" xfId="50316" xr:uid="{00000000-0005-0000-0000-0000AFB30000}"/>
    <cellStyle name="Comma 9 2 4 7 3" xfId="50317" xr:uid="{00000000-0005-0000-0000-0000B0B30000}"/>
    <cellStyle name="Comma 9 2 4 8" xfId="50318" xr:uid="{00000000-0005-0000-0000-0000B1B30000}"/>
    <cellStyle name="Comma 9 2 4 8 2" xfId="50319" xr:uid="{00000000-0005-0000-0000-0000B2B30000}"/>
    <cellStyle name="Comma 9 2 4 9" xfId="50320" xr:uid="{00000000-0005-0000-0000-0000B3B30000}"/>
    <cellStyle name="Comma 9 2 5" xfId="3782" xr:uid="{00000000-0005-0000-0000-0000B4B30000}"/>
    <cellStyle name="Comma 9 2 5 2" xfId="3783" xr:uid="{00000000-0005-0000-0000-0000B5B30000}"/>
    <cellStyle name="Comma 9 2 5 2 2" xfId="50321" xr:uid="{00000000-0005-0000-0000-0000B6B30000}"/>
    <cellStyle name="Comma 9 2 5 2 2 2" xfId="50322" xr:uid="{00000000-0005-0000-0000-0000B7B30000}"/>
    <cellStyle name="Comma 9 2 5 2 2 3" xfId="50323" xr:uid="{00000000-0005-0000-0000-0000B8B30000}"/>
    <cellStyle name="Comma 9 2 5 2 3" xfId="50324" xr:uid="{00000000-0005-0000-0000-0000B9B30000}"/>
    <cellStyle name="Comma 9 2 5 2 3 2" xfId="50325" xr:uid="{00000000-0005-0000-0000-0000BAB30000}"/>
    <cellStyle name="Comma 9 2 5 2 3 3" xfId="50326" xr:uid="{00000000-0005-0000-0000-0000BBB30000}"/>
    <cellStyle name="Comma 9 2 5 2 4" xfId="50327" xr:uid="{00000000-0005-0000-0000-0000BCB30000}"/>
    <cellStyle name="Comma 9 2 5 2 4 2" xfId="50328" xr:uid="{00000000-0005-0000-0000-0000BDB30000}"/>
    <cellStyle name="Comma 9 2 5 2 5" xfId="50329" xr:uid="{00000000-0005-0000-0000-0000BEB30000}"/>
    <cellStyle name="Comma 9 2 5 2 6" xfId="50330" xr:uid="{00000000-0005-0000-0000-0000BFB30000}"/>
    <cellStyle name="Comma 9 2 5 3" xfId="50331" xr:uid="{00000000-0005-0000-0000-0000C0B30000}"/>
    <cellStyle name="Comma 9 2 5 3 2" xfId="50332" xr:uid="{00000000-0005-0000-0000-0000C1B30000}"/>
    <cellStyle name="Comma 9 2 5 3 2 2" xfId="50333" xr:uid="{00000000-0005-0000-0000-0000C2B30000}"/>
    <cellStyle name="Comma 9 2 5 3 2 3" xfId="50334" xr:uid="{00000000-0005-0000-0000-0000C3B30000}"/>
    <cellStyle name="Comma 9 2 5 3 3" xfId="50335" xr:uid="{00000000-0005-0000-0000-0000C4B30000}"/>
    <cellStyle name="Comma 9 2 5 3 3 2" xfId="50336" xr:uid="{00000000-0005-0000-0000-0000C5B30000}"/>
    <cellStyle name="Comma 9 2 5 3 3 3" xfId="50337" xr:uid="{00000000-0005-0000-0000-0000C6B30000}"/>
    <cellStyle name="Comma 9 2 5 3 4" xfId="50338" xr:uid="{00000000-0005-0000-0000-0000C7B30000}"/>
    <cellStyle name="Comma 9 2 5 3 4 2" xfId="50339" xr:uid="{00000000-0005-0000-0000-0000C8B30000}"/>
    <cellStyle name="Comma 9 2 5 3 5" xfId="50340" xr:uid="{00000000-0005-0000-0000-0000C9B30000}"/>
    <cellStyle name="Comma 9 2 5 3 6" xfId="50341" xr:uid="{00000000-0005-0000-0000-0000CAB30000}"/>
    <cellStyle name="Comma 9 2 5 4" xfId="50342" xr:uid="{00000000-0005-0000-0000-0000CBB30000}"/>
    <cellStyle name="Comma 9 2 5 4 2" xfId="50343" xr:uid="{00000000-0005-0000-0000-0000CCB30000}"/>
    <cellStyle name="Comma 9 2 5 4 2 2" xfId="50344" xr:uid="{00000000-0005-0000-0000-0000CDB30000}"/>
    <cellStyle name="Comma 9 2 5 4 2 3" xfId="50345" xr:uid="{00000000-0005-0000-0000-0000CEB30000}"/>
    <cellStyle name="Comma 9 2 5 4 3" xfId="50346" xr:uid="{00000000-0005-0000-0000-0000CFB30000}"/>
    <cellStyle name="Comma 9 2 5 4 3 2" xfId="50347" xr:uid="{00000000-0005-0000-0000-0000D0B30000}"/>
    <cellStyle name="Comma 9 2 5 4 4" xfId="50348" xr:uid="{00000000-0005-0000-0000-0000D1B30000}"/>
    <cellStyle name="Comma 9 2 5 4 5" xfId="50349" xr:uid="{00000000-0005-0000-0000-0000D2B30000}"/>
    <cellStyle name="Comma 9 2 5 5" xfId="50350" xr:uid="{00000000-0005-0000-0000-0000D3B30000}"/>
    <cellStyle name="Comma 9 2 5 5 2" xfId="50351" xr:uid="{00000000-0005-0000-0000-0000D4B30000}"/>
    <cellStyle name="Comma 9 2 5 5 3" xfId="50352" xr:uid="{00000000-0005-0000-0000-0000D5B30000}"/>
    <cellStyle name="Comma 9 2 5 6" xfId="50353" xr:uid="{00000000-0005-0000-0000-0000D6B30000}"/>
    <cellStyle name="Comma 9 2 5 6 2" xfId="50354" xr:uid="{00000000-0005-0000-0000-0000D7B30000}"/>
    <cellStyle name="Comma 9 2 5 6 3" xfId="50355" xr:uid="{00000000-0005-0000-0000-0000D8B30000}"/>
    <cellStyle name="Comma 9 2 5 7" xfId="50356" xr:uid="{00000000-0005-0000-0000-0000D9B30000}"/>
    <cellStyle name="Comma 9 2 5 7 2" xfId="50357" xr:uid="{00000000-0005-0000-0000-0000DAB30000}"/>
    <cellStyle name="Comma 9 2 5 8" xfId="50358" xr:uid="{00000000-0005-0000-0000-0000DBB30000}"/>
    <cellStyle name="Comma 9 2 5 9" xfId="50359" xr:uid="{00000000-0005-0000-0000-0000DCB30000}"/>
    <cellStyle name="Comma 9 2 6" xfId="3784" xr:uid="{00000000-0005-0000-0000-0000DDB30000}"/>
    <cellStyle name="Comma 9 2 6 2" xfId="50360" xr:uid="{00000000-0005-0000-0000-0000DEB30000}"/>
    <cellStyle name="Comma 9 2 6 2 2" xfId="50361" xr:uid="{00000000-0005-0000-0000-0000DFB30000}"/>
    <cellStyle name="Comma 9 2 6 2 2 2" xfId="50362" xr:uid="{00000000-0005-0000-0000-0000E0B30000}"/>
    <cellStyle name="Comma 9 2 6 2 2 3" xfId="50363" xr:uid="{00000000-0005-0000-0000-0000E1B30000}"/>
    <cellStyle name="Comma 9 2 6 2 3" xfId="50364" xr:uid="{00000000-0005-0000-0000-0000E2B30000}"/>
    <cellStyle name="Comma 9 2 6 2 3 2" xfId="50365" xr:uid="{00000000-0005-0000-0000-0000E3B30000}"/>
    <cellStyle name="Comma 9 2 6 2 3 3" xfId="50366" xr:uid="{00000000-0005-0000-0000-0000E4B30000}"/>
    <cellStyle name="Comma 9 2 6 2 4" xfId="50367" xr:uid="{00000000-0005-0000-0000-0000E5B30000}"/>
    <cellStyle name="Comma 9 2 6 2 4 2" xfId="50368" xr:uid="{00000000-0005-0000-0000-0000E6B30000}"/>
    <cellStyle name="Comma 9 2 6 2 5" xfId="50369" xr:uid="{00000000-0005-0000-0000-0000E7B30000}"/>
    <cellStyle name="Comma 9 2 6 2 6" xfId="50370" xr:uid="{00000000-0005-0000-0000-0000E8B30000}"/>
    <cellStyle name="Comma 9 2 6 3" xfId="50371" xr:uid="{00000000-0005-0000-0000-0000E9B30000}"/>
    <cellStyle name="Comma 9 2 6 3 2" xfId="50372" xr:uid="{00000000-0005-0000-0000-0000EAB30000}"/>
    <cellStyle name="Comma 9 2 6 3 2 2" xfId="50373" xr:uid="{00000000-0005-0000-0000-0000EBB30000}"/>
    <cellStyle name="Comma 9 2 6 3 2 3" xfId="50374" xr:uid="{00000000-0005-0000-0000-0000ECB30000}"/>
    <cellStyle name="Comma 9 2 6 3 3" xfId="50375" xr:uid="{00000000-0005-0000-0000-0000EDB30000}"/>
    <cellStyle name="Comma 9 2 6 3 3 2" xfId="50376" xr:uid="{00000000-0005-0000-0000-0000EEB30000}"/>
    <cellStyle name="Comma 9 2 6 3 3 3" xfId="50377" xr:uid="{00000000-0005-0000-0000-0000EFB30000}"/>
    <cellStyle name="Comma 9 2 6 3 4" xfId="50378" xr:uid="{00000000-0005-0000-0000-0000F0B30000}"/>
    <cellStyle name="Comma 9 2 6 3 4 2" xfId="50379" xr:uid="{00000000-0005-0000-0000-0000F1B30000}"/>
    <cellStyle name="Comma 9 2 6 3 5" xfId="50380" xr:uid="{00000000-0005-0000-0000-0000F2B30000}"/>
    <cellStyle name="Comma 9 2 6 3 6" xfId="50381" xr:uid="{00000000-0005-0000-0000-0000F3B30000}"/>
    <cellStyle name="Comma 9 2 6 4" xfId="50382" xr:uid="{00000000-0005-0000-0000-0000F4B30000}"/>
    <cellStyle name="Comma 9 2 6 4 2" xfId="50383" xr:uid="{00000000-0005-0000-0000-0000F5B30000}"/>
    <cellStyle name="Comma 9 2 6 4 2 2" xfId="50384" xr:uid="{00000000-0005-0000-0000-0000F6B30000}"/>
    <cellStyle name="Comma 9 2 6 4 2 3" xfId="50385" xr:uid="{00000000-0005-0000-0000-0000F7B30000}"/>
    <cellStyle name="Comma 9 2 6 4 3" xfId="50386" xr:uid="{00000000-0005-0000-0000-0000F8B30000}"/>
    <cellStyle name="Comma 9 2 6 4 3 2" xfId="50387" xr:uid="{00000000-0005-0000-0000-0000F9B30000}"/>
    <cellStyle name="Comma 9 2 6 4 4" xfId="50388" xr:uid="{00000000-0005-0000-0000-0000FAB30000}"/>
    <cellStyle name="Comma 9 2 6 4 5" xfId="50389" xr:uid="{00000000-0005-0000-0000-0000FBB30000}"/>
    <cellStyle name="Comma 9 2 6 5" xfId="50390" xr:uid="{00000000-0005-0000-0000-0000FCB30000}"/>
    <cellStyle name="Comma 9 2 6 5 2" xfId="50391" xr:uid="{00000000-0005-0000-0000-0000FDB30000}"/>
    <cellStyle name="Comma 9 2 6 5 3" xfId="50392" xr:uid="{00000000-0005-0000-0000-0000FEB30000}"/>
    <cellStyle name="Comma 9 2 6 6" xfId="50393" xr:uid="{00000000-0005-0000-0000-0000FFB30000}"/>
    <cellStyle name="Comma 9 2 6 6 2" xfId="50394" xr:uid="{00000000-0005-0000-0000-000000B40000}"/>
    <cellStyle name="Comma 9 2 6 6 3" xfId="50395" xr:uid="{00000000-0005-0000-0000-000001B40000}"/>
    <cellStyle name="Comma 9 2 6 7" xfId="50396" xr:uid="{00000000-0005-0000-0000-000002B40000}"/>
    <cellStyle name="Comma 9 2 6 7 2" xfId="50397" xr:uid="{00000000-0005-0000-0000-000003B40000}"/>
    <cellStyle name="Comma 9 2 6 8" xfId="50398" xr:uid="{00000000-0005-0000-0000-000004B40000}"/>
    <cellStyle name="Comma 9 2 6 9" xfId="50399" xr:uid="{00000000-0005-0000-0000-000005B40000}"/>
    <cellStyle name="Comma 9 2 7" xfId="3785" xr:uid="{00000000-0005-0000-0000-000006B40000}"/>
    <cellStyle name="Comma 9 2 7 2" xfId="50400" xr:uid="{00000000-0005-0000-0000-000007B40000}"/>
    <cellStyle name="Comma 9 2 7 2 2" xfId="50401" xr:uid="{00000000-0005-0000-0000-000008B40000}"/>
    <cellStyle name="Comma 9 2 7 2 3" xfId="50402" xr:uid="{00000000-0005-0000-0000-000009B40000}"/>
    <cellStyle name="Comma 9 2 7 3" xfId="50403" xr:uid="{00000000-0005-0000-0000-00000AB40000}"/>
    <cellStyle name="Comma 9 2 7 3 2" xfId="50404" xr:uid="{00000000-0005-0000-0000-00000BB40000}"/>
    <cellStyle name="Comma 9 2 7 3 3" xfId="50405" xr:uid="{00000000-0005-0000-0000-00000CB40000}"/>
    <cellStyle name="Comma 9 2 7 4" xfId="50406" xr:uid="{00000000-0005-0000-0000-00000DB40000}"/>
    <cellStyle name="Comma 9 2 7 4 2" xfId="50407" xr:uid="{00000000-0005-0000-0000-00000EB40000}"/>
    <cellStyle name="Comma 9 2 7 5" xfId="50408" xr:uid="{00000000-0005-0000-0000-00000FB40000}"/>
    <cellStyle name="Comma 9 2 7 6" xfId="50409" xr:uid="{00000000-0005-0000-0000-000010B40000}"/>
    <cellStyle name="Comma 9 2 8" xfId="50410" xr:uid="{00000000-0005-0000-0000-000011B40000}"/>
    <cellStyle name="Comma 9 2 8 2" xfId="50411" xr:uid="{00000000-0005-0000-0000-000012B40000}"/>
    <cellStyle name="Comma 9 2 8 2 2" xfId="50412" xr:uid="{00000000-0005-0000-0000-000013B40000}"/>
    <cellStyle name="Comma 9 2 8 2 3" xfId="50413" xr:uid="{00000000-0005-0000-0000-000014B40000}"/>
    <cellStyle name="Comma 9 2 8 3" xfId="50414" xr:uid="{00000000-0005-0000-0000-000015B40000}"/>
    <cellStyle name="Comma 9 2 8 3 2" xfId="50415" xr:uid="{00000000-0005-0000-0000-000016B40000}"/>
    <cellStyle name="Comma 9 2 8 3 3" xfId="50416" xr:uid="{00000000-0005-0000-0000-000017B40000}"/>
    <cellStyle name="Comma 9 2 8 4" xfId="50417" xr:uid="{00000000-0005-0000-0000-000018B40000}"/>
    <cellStyle name="Comma 9 2 8 4 2" xfId="50418" xr:uid="{00000000-0005-0000-0000-000019B40000}"/>
    <cellStyle name="Comma 9 2 8 5" xfId="50419" xr:uid="{00000000-0005-0000-0000-00001AB40000}"/>
    <cellStyle name="Comma 9 2 8 6" xfId="50420" xr:uid="{00000000-0005-0000-0000-00001BB40000}"/>
    <cellStyle name="Comma 9 2 9" xfId="50421" xr:uid="{00000000-0005-0000-0000-00001CB40000}"/>
    <cellStyle name="Comma 9 2 9 2" xfId="50422" xr:uid="{00000000-0005-0000-0000-00001DB40000}"/>
    <cellStyle name="Comma 9 2 9 2 2" xfId="50423" xr:uid="{00000000-0005-0000-0000-00001EB40000}"/>
    <cellStyle name="Comma 9 2 9 2 3" xfId="50424" xr:uid="{00000000-0005-0000-0000-00001FB40000}"/>
    <cellStyle name="Comma 9 2 9 3" xfId="50425" xr:uid="{00000000-0005-0000-0000-000020B40000}"/>
    <cellStyle name="Comma 9 2 9 3 2" xfId="50426" xr:uid="{00000000-0005-0000-0000-000021B40000}"/>
    <cellStyle name="Comma 9 2 9 4" xfId="50427" xr:uid="{00000000-0005-0000-0000-000022B40000}"/>
    <cellStyle name="Comma 9 2 9 5" xfId="50428" xr:uid="{00000000-0005-0000-0000-000023B40000}"/>
    <cellStyle name="Comma 9 3" xfId="3786" xr:uid="{00000000-0005-0000-0000-000024B40000}"/>
    <cellStyle name="Comma 9 3 10" xfId="50429" xr:uid="{00000000-0005-0000-0000-000025B40000}"/>
    <cellStyle name="Comma 9 3 10 2" xfId="50430" xr:uid="{00000000-0005-0000-0000-000026B40000}"/>
    <cellStyle name="Comma 9 3 10 3" xfId="50431" xr:uid="{00000000-0005-0000-0000-000027B40000}"/>
    <cellStyle name="Comma 9 3 11" xfId="50432" xr:uid="{00000000-0005-0000-0000-000028B40000}"/>
    <cellStyle name="Comma 9 3 11 2" xfId="50433" xr:uid="{00000000-0005-0000-0000-000029B40000}"/>
    <cellStyle name="Comma 9 3 12" xfId="50434" xr:uid="{00000000-0005-0000-0000-00002AB40000}"/>
    <cellStyle name="Comma 9 3 13" xfId="50435" xr:uid="{00000000-0005-0000-0000-00002BB40000}"/>
    <cellStyle name="Comma 9 3 14" xfId="50436" xr:uid="{00000000-0005-0000-0000-00002CB40000}"/>
    <cellStyle name="Comma 9 3 2" xfId="3787" xr:uid="{00000000-0005-0000-0000-00002DB40000}"/>
    <cellStyle name="Comma 9 3 2 10" xfId="50437" xr:uid="{00000000-0005-0000-0000-00002EB40000}"/>
    <cellStyle name="Comma 9 3 2 10 2" xfId="50438" xr:uid="{00000000-0005-0000-0000-00002FB40000}"/>
    <cellStyle name="Comma 9 3 2 11" xfId="50439" xr:uid="{00000000-0005-0000-0000-000030B40000}"/>
    <cellStyle name="Comma 9 3 2 12" xfId="50440" xr:uid="{00000000-0005-0000-0000-000031B40000}"/>
    <cellStyle name="Comma 9 3 2 2" xfId="3788" xr:uid="{00000000-0005-0000-0000-000032B40000}"/>
    <cellStyle name="Comma 9 3 2 2 10" xfId="50441" xr:uid="{00000000-0005-0000-0000-000033B40000}"/>
    <cellStyle name="Comma 9 3 2 2 2" xfId="3789" xr:uid="{00000000-0005-0000-0000-000034B40000}"/>
    <cellStyle name="Comma 9 3 2 2 2 2" xfId="3790" xr:uid="{00000000-0005-0000-0000-000035B40000}"/>
    <cellStyle name="Comma 9 3 2 2 2 2 2" xfId="50442" xr:uid="{00000000-0005-0000-0000-000036B40000}"/>
    <cellStyle name="Comma 9 3 2 2 2 2 2 2" xfId="50443" xr:uid="{00000000-0005-0000-0000-000037B40000}"/>
    <cellStyle name="Comma 9 3 2 2 2 2 2 3" xfId="50444" xr:uid="{00000000-0005-0000-0000-000038B40000}"/>
    <cellStyle name="Comma 9 3 2 2 2 2 3" xfId="50445" xr:uid="{00000000-0005-0000-0000-000039B40000}"/>
    <cellStyle name="Comma 9 3 2 2 2 2 3 2" xfId="50446" xr:uid="{00000000-0005-0000-0000-00003AB40000}"/>
    <cellStyle name="Comma 9 3 2 2 2 2 3 3" xfId="50447" xr:uid="{00000000-0005-0000-0000-00003BB40000}"/>
    <cellStyle name="Comma 9 3 2 2 2 2 4" xfId="50448" xr:uid="{00000000-0005-0000-0000-00003CB40000}"/>
    <cellStyle name="Comma 9 3 2 2 2 2 4 2" xfId="50449" xr:uid="{00000000-0005-0000-0000-00003DB40000}"/>
    <cellStyle name="Comma 9 3 2 2 2 2 5" xfId="50450" xr:uid="{00000000-0005-0000-0000-00003EB40000}"/>
    <cellStyle name="Comma 9 3 2 2 2 2 6" xfId="50451" xr:uid="{00000000-0005-0000-0000-00003FB40000}"/>
    <cellStyle name="Comma 9 3 2 2 2 3" xfId="50452" xr:uid="{00000000-0005-0000-0000-000040B40000}"/>
    <cellStyle name="Comma 9 3 2 2 2 3 2" xfId="50453" xr:uid="{00000000-0005-0000-0000-000041B40000}"/>
    <cellStyle name="Comma 9 3 2 2 2 3 2 2" xfId="50454" xr:uid="{00000000-0005-0000-0000-000042B40000}"/>
    <cellStyle name="Comma 9 3 2 2 2 3 2 3" xfId="50455" xr:uid="{00000000-0005-0000-0000-000043B40000}"/>
    <cellStyle name="Comma 9 3 2 2 2 3 3" xfId="50456" xr:uid="{00000000-0005-0000-0000-000044B40000}"/>
    <cellStyle name="Comma 9 3 2 2 2 3 3 2" xfId="50457" xr:uid="{00000000-0005-0000-0000-000045B40000}"/>
    <cellStyle name="Comma 9 3 2 2 2 3 3 3" xfId="50458" xr:uid="{00000000-0005-0000-0000-000046B40000}"/>
    <cellStyle name="Comma 9 3 2 2 2 3 4" xfId="50459" xr:uid="{00000000-0005-0000-0000-000047B40000}"/>
    <cellStyle name="Comma 9 3 2 2 2 3 4 2" xfId="50460" xr:uid="{00000000-0005-0000-0000-000048B40000}"/>
    <cellStyle name="Comma 9 3 2 2 2 3 5" xfId="50461" xr:uid="{00000000-0005-0000-0000-000049B40000}"/>
    <cellStyle name="Comma 9 3 2 2 2 3 6" xfId="50462" xr:uid="{00000000-0005-0000-0000-00004AB40000}"/>
    <cellStyle name="Comma 9 3 2 2 2 4" xfId="50463" xr:uid="{00000000-0005-0000-0000-00004BB40000}"/>
    <cellStyle name="Comma 9 3 2 2 2 4 2" xfId="50464" xr:uid="{00000000-0005-0000-0000-00004CB40000}"/>
    <cellStyle name="Comma 9 3 2 2 2 4 2 2" xfId="50465" xr:uid="{00000000-0005-0000-0000-00004DB40000}"/>
    <cellStyle name="Comma 9 3 2 2 2 4 2 3" xfId="50466" xr:uid="{00000000-0005-0000-0000-00004EB40000}"/>
    <cellStyle name="Comma 9 3 2 2 2 4 3" xfId="50467" xr:uid="{00000000-0005-0000-0000-00004FB40000}"/>
    <cellStyle name="Comma 9 3 2 2 2 4 3 2" xfId="50468" xr:uid="{00000000-0005-0000-0000-000050B40000}"/>
    <cellStyle name="Comma 9 3 2 2 2 4 4" xfId="50469" xr:uid="{00000000-0005-0000-0000-000051B40000}"/>
    <cellStyle name="Comma 9 3 2 2 2 4 5" xfId="50470" xr:uid="{00000000-0005-0000-0000-000052B40000}"/>
    <cellStyle name="Comma 9 3 2 2 2 5" xfId="50471" xr:uid="{00000000-0005-0000-0000-000053B40000}"/>
    <cellStyle name="Comma 9 3 2 2 2 5 2" xfId="50472" xr:uid="{00000000-0005-0000-0000-000054B40000}"/>
    <cellStyle name="Comma 9 3 2 2 2 5 3" xfId="50473" xr:uid="{00000000-0005-0000-0000-000055B40000}"/>
    <cellStyle name="Comma 9 3 2 2 2 6" xfId="50474" xr:uid="{00000000-0005-0000-0000-000056B40000}"/>
    <cellStyle name="Comma 9 3 2 2 2 6 2" xfId="50475" xr:uid="{00000000-0005-0000-0000-000057B40000}"/>
    <cellStyle name="Comma 9 3 2 2 2 6 3" xfId="50476" xr:uid="{00000000-0005-0000-0000-000058B40000}"/>
    <cellStyle name="Comma 9 3 2 2 2 7" xfId="50477" xr:uid="{00000000-0005-0000-0000-000059B40000}"/>
    <cellStyle name="Comma 9 3 2 2 2 7 2" xfId="50478" xr:uid="{00000000-0005-0000-0000-00005AB40000}"/>
    <cellStyle name="Comma 9 3 2 2 2 8" xfId="50479" xr:uid="{00000000-0005-0000-0000-00005BB40000}"/>
    <cellStyle name="Comma 9 3 2 2 2 9" xfId="50480" xr:uid="{00000000-0005-0000-0000-00005CB40000}"/>
    <cellStyle name="Comma 9 3 2 2 3" xfId="3791" xr:uid="{00000000-0005-0000-0000-00005DB40000}"/>
    <cellStyle name="Comma 9 3 2 2 3 2" xfId="50481" xr:uid="{00000000-0005-0000-0000-00005EB40000}"/>
    <cellStyle name="Comma 9 3 2 2 3 2 2" xfId="50482" xr:uid="{00000000-0005-0000-0000-00005FB40000}"/>
    <cellStyle name="Comma 9 3 2 2 3 2 3" xfId="50483" xr:uid="{00000000-0005-0000-0000-000060B40000}"/>
    <cellStyle name="Comma 9 3 2 2 3 3" xfId="50484" xr:uid="{00000000-0005-0000-0000-000061B40000}"/>
    <cellStyle name="Comma 9 3 2 2 3 3 2" xfId="50485" xr:uid="{00000000-0005-0000-0000-000062B40000}"/>
    <cellStyle name="Comma 9 3 2 2 3 3 3" xfId="50486" xr:uid="{00000000-0005-0000-0000-000063B40000}"/>
    <cellStyle name="Comma 9 3 2 2 3 4" xfId="50487" xr:uid="{00000000-0005-0000-0000-000064B40000}"/>
    <cellStyle name="Comma 9 3 2 2 3 4 2" xfId="50488" xr:uid="{00000000-0005-0000-0000-000065B40000}"/>
    <cellStyle name="Comma 9 3 2 2 3 5" xfId="50489" xr:uid="{00000000-0005-0000-0000-000066B40000}"/>
    <cellStyle name="Comma 9 3 2 2 3 6" xfId="50490" xr:uid="{00000000-0005-0000-0000-000067B40000}"/>
    <cellStyle name="Comma 9 3 2 2 4" xfId="50491" xr:uid="{00000000-0005-0000-0000-000068B40000}"/>
    <cellStyle name="Comma 9 3 2 2 4 2" xfId="50492" xr:uid="{00000000-0005-0000-0000-000069B40000}"/>
    <cellStyle name="Comma 9 3 2 2 4 2 2" xfId="50493" xr:uid="{00000000-0005-0000-0000-00006AB40000}"/>
    <cellStyle name="Comma 9 3 2 2 4 2 3" xfId="50494" xr:uid="{00000000-0005-0000-0000-00006BB40000}"/>
    <cellStyle name="Comma 9 3 2 2 4 3" xfId="50495" xr:uid="{00000000-0005-0000-0000-00006CB40000}"/>
    <cellStyle name="Comma 9 3 2 2 4 3 2" xfId="50496" xr:uid="{00000000-0005-0000-0000-00006DB40000}"/>
    <cellStyle name="Comma 9 3 2 2 4 3 3" xfId="50497" xr:uid="{00000000-0005-0000-0000-00006EB40000}"/>
    <cellStyle name="Comma 9 3 2 2 4 4" xfId="50498" xr:uid="{00000000-0005-0000-0000-00006FB40000}"/>
    <cellStyle name="Comma 9 3 2 2 4 4 2" xfId="50499" xr:uid="{00000000-0005-0000-0000-000070B40000}"/>
    <cellStyle name="Comma 9 3 2 2 4 5" xfId="50500" xr:uid="{00000000-0005-0000-0000-000071B40000}"/>
    <cellStyle name="Comma 9 3 2 2 4 6" xfId="50501" xr:uid="{00000000-0005-0000-0000-000072B40000}"/>
    <cellStyle name="Comma 9 3 2 2 5" xfId="50502" xr:uid="{00000000-0005-0000-0000-000073B40000}"/>
    <cellStyle name="Comma 9 3 2 2 5 2" xfId="50503" xr:uid="{00000000-0005-0000-0000-000074B40000}"/>
    <cellStyle name="Comma 9 3 2 2 5 2 2" xfId="50504" xr:uid="{00000000-0005-0000-0000-000075B40000}"/>
    <cellStyle name="Comma 9 3 2 2 5 2 3" xfId="50505" xr:uid="{00000000-0005-0000-0000-000076B40000}"/>
    <cellStyle name="Comma 9 3 2 2 5 3" xfId="50506" xr:uid="{00000000-0005-0000-0000-000077B40000}"/>
    <cellStyle name="Comma 9 3 2 2 5 3 2" xfId="50507" xr:uid="{00000000-0005-0000-0000-000078B40000}"/>
    <cellStyle name="Comma 9 3 2 2 5 4" xfId="50508" xr:uid="{00000000-0005-0000-0000-000079B40000}"/>
    <cellStyle name="Comma 9 3 2 2 5 5" xfId="50509" xr:uid="{00000000-0005-0000-0000-00007AB40000}"/>
    <cellStyle name="Comma 9 3 2 2 6" xfId="50510" xr:uid="{00000000-0005-0000-0000-00007BB40000}"/>
    <cellStyle name="Comma 9 3 2 2 6 2" xfId="50511" xr:uid="{00000000-0005-0000-0000-00007CB40000}"/>
    <cellStyle name="Comma 9 3 2 2 6 3" xfId="50512" xr:uid="{00000000-0005-0000-0000-00007DB40000}"/>
    <cellStyle name="Comma 9 3 2 2 7" xfId="50513" xr:uid="{00000000-0005-0000-0000-00007EB40000}"/>
    <cellStyle name="Comma 9 3 2 2 7 2" xfId="50514" xr:uid="{00000000-0005-0000-0000-00007FB40000}"/>
    <cellStyle name="Comma 9 3 2 2 7 3" xfId="50515" xr:uid="{00000000-0005-0000-0000-000080B40000}"/>
    <cellStyle name="Comma 9 3 2 2 8" xfId="50516" xr:uid="{00000000-0005-0000-0000-000081B40000}"/>
    <cellStyle name="Comma 9 3 2 2 8 2" xfId="50517" xr:uid="{00000000-0005-0000-0000-000082B40000}"/>
    <cellStyle name="Comma 9 3 2 2 9" xfId="50518" xr:uid="{00000000-0005-0000-0000-000083B40000}"/>
    <cellStyle name="Comma 9 3 2 3" xfId="3792" xr:uid="{00000000-0005-0000-0000-000084B40000}"/>
    <cellStyle name="Comma 9 3 2 3 2" xfId="3793" xr:uid="{00000000-0005-0000-0000-000085B40000}"/>
    <cellStyle name="Comma 9 3 2 3 2 2" xfId="50519" xr:uid="{00000000-0005-0000-0000-000086B40000}"/>
    <cellStyle name="Comma 9 3 2 3 2 2 2" xfId="50520" xr:uid="{00000000-0005-0000-0000-000087B40000}"/>
    <cellStyle name="Comma 9 3 2 3 2 2 3" xfId="50521" xr:uid="{00000000-0005-0000-0000-000088B40000}"/>
    <cellStyle name="Comma 9 3 2 3 2 3" xfId="50522" xr:uid="{00000000-0005-0000-0000-000089B40000}"/>
    <cellStyle name="Comma 9 3 2 3 2 3 2" xfId="50523" xr:uid="{00000000-0005-0000-0000-00008AB40000}"/>
    <cellStyle name="Comma 9 3 2 3 2 3 3" xfId="50524" xr:uid="{00000000-0005-0000-0000-00008BB40000}"/>
    <cellStyle name="Comma 9 3 2 3 2 4" xfId="50525" xr:uid="{00000000-0005-0000-0000-00008CB40000}"/>
    <cellStyle name="Comma 9 3 2 3 2 4 2" xfId="50526" xr:uid="{00000000-0005-0000-0000-00008DB40000}"/>
    <cellStyle name="Comma 9 3 2 3 2 5" xfId="50527" xr:uid="{00000000-0005-0000-0000-00008EB40000}"/>
    <cellStyle name="Comma 9 3 2 3 2 6" xfId="50528" xr:uid="{00000000-0005-0000-0000-00008FB40000}"/>
    <cellStyle name="Comma 9 3 2 3 3" xfId="50529" xr:uid="{00000000-0005-0000-0000-000090B40000}"/>
    <cellStyle name="Comma 9 3 2 3 3 2" xfId="50530" xr:uid="{00000000-0005-0000-0000-000091B40000}"/>
    <cellStyle name="Comma 9 3 2 3 3 2 2" xfId="50531" xr:uid="{00000000-0005-0000-0000-000092B40000}"/>
    <cellStyle name="Comma 9 3 2 3 3 2 3" xfId="50532" xr:uid="{00000000-0005-0000-0000-000093B40000}"/>
    <cellStyle name="Comma 9 3 2 3 3 3" xfId="50533" xr:uid="{00000000-0005-0000-0000-000094B40000}"/>
    <cellStyle name="Comma 9 3 2 3 3 3 2" xfId="50534" xr:uid="{00000000-0005-0000-0000-000095B40000}"/>
    <cellStyle name="Comma 9 3 2 3 3 3 3" xfId="50535" xr:uid="{00000000-0005-0000-0000-000096B40000}"/>
    <cellStyle name="Comma 9 3 2 3 3 4" xfId="50536" xr:uid="{00000000-0005-0000-0000-000097B40000}"/>
    <cellStyle name="Comma 9 3 2 3 3 4 2" xfId="50537" xr:uid="{00000000-0005-0000-0000-000098B40000}"/>
    <cellStyle name="Comma 9 3 2 3 3 5" xfId="50538" xr:uid="{00000000-0005-0000-0000-000099B40000}"/>
    <cellStyle name="Comma 9 3 2 3 3 6" xfId="50539" xr:uid="{00000000-0005-0000-0000-00009AB40000}"/>
    <cellStyle name="Comma 9 3 2 3 4" xfId="50540" xr:uid="{00000000-0005-0000-0000-00009BB40000}"/>
    <cellStyle name="Comma 9 3 2 3 4 2" xfId="50541" xr:uid="{00000000-0005-0000-0000-00009CB40000}"/>
    <cellStyle name="Comma 9 3 2 3 4 2 2" xfId="50542" xr:uid="{00000000-0005-0000-0000-00009DB40000}"/>
    <cellStyle name="Comma 9 3 2 3 4 2 3" xfId="50543" xr:uid="{00000000-0005-0000-0000-00009EB40000}"/>
    <cellStyle name="Comma 9 3 2 3 4 3" xfId="50544" xr:uid="{00000000-0005-0000-0000-00009FB40000}"/>
    <cellStyle name="Comma 9 3 2 3 4 3 2" xfId="50545" xr:uid="{00000000-0005-0000-0000-0000A0B40000}"/>
    <cellStyle name="Comma 9 3 2 3 4 4" xfId="50546" xr:uid="{00000000-0005-0000-0000-0000A1B40000}"/>
    <cellStyle name="Comma 9 3 2 3 4 5" xfId="50547" xr:uid="{00000000-0005-0000-0000-0000A2B40000}"/>
    <cellStyle name="Comma 9 3 2 3 5" xfId="50548" xr:uid="{00000000-0005-0000-0000-0000A3B40000}"/>
    <cellStyle name="Comma 9 3 2 3 5 2" xfId="50549" xr:uid="{00000000-0005-0000-0000-0000A4B40000}"/>
    <cellStyle name="Comma 9 3 2 3 5 3" xfId="50550" xr:uid="{00000000-0005-0000-0000-0000A5B40000}"/>
    <cellStyle name="Comma 9 3 2 3 6" xfId="50551" xr:uid="{00000000-0005-0000-0000-0000A6B40000}"/>
    <cellStyle name="Comma 9 3 2 3 6 2" xfId="50552" xr:uid="{00000000-0005-0000-0000-0000A7B40000}"/>
    <cellStyle name="Comma 9 3 2 3 6 3" xfId="50553" xr:uid="{00000000-0005-0000-0000-0000A8B40000}"/>
    <cellStyle name="Comma 9 3 2 3 7" xfId="50554" xr:uid="{00000000-0005-0000-0000-0000A9B40000}"/>
    <cellStyle name="Comma 9 3 2 3 7 2" xfId="50555" xr:uid="{00000000-0005-0000-0000-0000AAB40000}"/>
    <cellStyle name="Comma 9 3 2 3 8" xfId="50556" xr:uid="{00000000-0005-0000-0000-0000ABB40000}"/>
    <cellStyle name="Comma 9 3 2 3 9" xfId="50557" xr:uid="{00000000-0005-0000-0000-0000ACB40000}"/>
    <cellStyle name="Comma 9 3 2 4" xfId="3794" xr:uid="{00000000-0005-0000-0000-0000ADB40000}"/>
    <cellStyle name="Comma 9 3 2 4 2" xfId="50558" xr:uid="{00000000-0005-0000-0000-0000AEB40000}"/>
    <cellStyle name="Comma 9 3 2 4 2 2" xfId="50559" xr:uid="{00000000-0005-0000-0000-0000AFB40000}"/>
    <cellStyle name="Comma 9 3 2 4 2 2 2" xfId="50560" xr:uid="{00000000-0005-0000-0000-0000B0B40000}"/>
    <cellStyle name="Comma 9 3 2 4 2 2 3" xfId="50561" xr:uid="{00000000-0005-0000-0000-0000B1B40000}"/>
    <cellStyle name="Comma 9 3 2 4 2 3" xfId="50562" xr:uid="{00000000-0005-0000-0000-0000B2B40000}"/>
    <cellStyle name="Comma 9 3 2 4 2 3 2" xfId="50563" xr:uid="{00000000-0005-0000-0000-0000B3B40000}"/>
    <cellStyle name="Comma 9 3 2 4 2 3 3" xfId="50564" xr:uid="{00000000-0005-0000-0000-0000B4B40000}"/>
    <cellStyle name="Comma 9 3 2 4 2 4" xfId="50565" xr:uid="{00000000-0005-0000-0000-0000B5B40000}"/>
    <cellStyle name="Comma 9 3 2 4 2 4 2" xfId="50566" xr:uid="{00000000-0005-0000-0000-0000B6B40000}"/>
    <cellStyle name="Comma 9 3 2 4 2 5" xfId="50567" xr:uid="{00000000-0005-0000-0000-0000B7B40000}"/>
    <cellStyle name="Comma 9 3 2 4 2 6" xfId="50568" xr:uid="{00000000-0005-0000-0000-0000B8B40000}"/>
    <cellStyle name="Comma 9 3 2 4 3" xfId="50569" xr:uid="{00000000-0005-0000-0000-0000B9B40000}"/>
    <cellStyle name="Comma 9 3 2 4 3 2" xfId="50570" xr:uid="{00000000-0005-0000-0000-0000BAB40000}"/>
    <cellStyle name="Comma 9 3 2 4 3 2 2" xfId="50571" xr:uid="{00000000-0005-0000-0000-0000BBB40000}"/>
    <cellStyle name="Comma 9 3 2 4 3 2 3" xfId="50572" xr:uid="{00000000-0005-0000-0000-0000BCB40000}"/>
    <cellStyle name="Comma 9 3 2 4 3 3" xfId="50573" xr:uid="{00000000-0005-0000-0000-0000BDB40000}"/>
    <cellStyle name="Comma 9 3 2 4 3 3 2" xfId="50574" xr:uid="{00000000-0005-0000-0000-0000BEB40000}"/>
    <cellStyle name="Comma 9 3 2 4 3 3 3" xfId="50575" xr:uid="{00000000-0005-0000-0000-0000BFB40000}"/>
    <cellStyle name="Comma 9 3 2 4 3 4" xfId="50576" xr:uid="{00000000-0005-0000-0000-0000C0B40000}"/>
    <cellStyle name="Comma 9 3 2 4 3 4 2" xfId="50577" xr:uid="{00000000-0005-0000-0000-0000C1B40000}"/>
    <cellStyle name="Comma 9 3 2 4 3 5" xfId="50578" xr:uid="{00000000-0005-0000-0000-0000C2B40000}"/>
    <cellStyle name="Comma 9 3 2 4 3 6" xfId="50579" xr:uid="{00000000-0005-0000-0000-0000C3B40000}"/>
    <cellStyle name="Comma 9 3 2 4 4" xfId="50580" xr:uid="{00000000-0005-0000-0000-0000C4B40000}"/>
    <cellStyle name="Comma 9 3 2 4 4 2" xfId="50581" xr:uid="{00000000-0005-0000-0000-0000C5B40000}"/>
    <cellStyle name="Comma 9 3 2 4 4 2 2" xfId="50582" xr:uid="{00000000-0005-0000-0000-0000C6B40000}"/>
    <cellStyle name="Comma 9 3 2 4 4 2 3" xfId="50583" xr:uid="{00000000-0005-0000-0000-0000C7B40000}"/>
    <cellStyle name="Comma 9 3 2 4 4 3" xfId="50584" xr:uid="{00000000-0005-0000-0000-0000C8B40000}"/>
    <cellStyle name="Comma 9 3 2 4 4 3 2" xfId="50585" xr:uid="{00000000-0005-0000-0000-0000C9B40000}"/>
    <cellStyle name="Comma 9 3 2 4 4 4" xfId="50586" xr:uid="{00000000-0005-0000-0000-0000CAB40000}"/>
    <cellStyle name="Comma 9 3 2 4 4 5" xfId="50587" xr:uid="{00000000-0005-0000-0000-0000CBB40000}"/>
    <cellStyle name="Comma 9 3 2 4 5" xfId="50588" xr:uid="{00000000-0005-0000-0000-0000CCB40000}"/>
    <cellStyle name="Comma 9 3 2 4 5 2" xfId="50589" xr:uid="{00000000-0005-0000-0000-0000CDB40000}"/>
    <cellStyle name="Comma 9 3 2 4 5 3" xfId="50590" xr:uid="{00000000-0005-0000-0000-0000CEB40000}"/>
    <cellStyle name="Comma 9 3 2 4 6" xfId="50591" xr:uid="{00000000-0005-0000-0000-0000CFB40000}"/>
    <cellStyle name="Comma 9 3 2 4 6 2" xfId="50592" xr:uid="{00000000-0005-0000-0000-0000D0B40000}"/>
    <cellStyle name="Comma 9 3 2 4 6 3" xfId="50593" xr:uid="{00000000-0005-0000-0000-0000D1B40000}"/>
    <cellStyle name="Comma 9 3 2 4 7" xfId="50594" xr:uid="{00000000-0005-0000-0000-0000D2B40000}"/>
    <cellStyle name="Comma 9 3 2 4 7 2" xfId="50595" xr:uid="{00000000-0005-0000-0000-0000D3B40000}"/>
    <cellStyle name="Comma 9 3 2 4 8" xfId="50596" xr:uid="{00000000-0005-0000-0000-0000D4B40000}"/>
    <cellStyle name="Comma 9 3 2 4 9" xfId="50597" xr:uid="{00000000-0005-0000-0000-0000D5B40000}"/>
    <cellStyle name="Comma 9 3 2 5" xfId="50598" xr:uid="{00000000-0005-0000-0000-0000D6B40000}"/>
    <cellStyle name="Comma 9 3 2 5 2" xfId="50599" xr:uid="{00000000-0005-0000-0000-0000D7B40000}"/>
    <cellStyle name="Comma 9 3 2 5 2 2" xfId="50600" xr:uid="{00000000-0005-0000-0000-0000D8B40000}"/>
    <cellStyle name="Comma 9 3 2 5 2 3" xfId="50601" xr:uid="{00000000-0005-0000-0000-0000D9B40000}"/>
    <cellStyle name="Comma 9 3 2 5 3" xfId="50602" xr:uid="{00000000-0005-0000-0000-0000DAB40000}"/>
    <cellStyle name="Comma 9 3 2 5 3 2" xfId="50603" xr:uid="{00000000-0005-0000-0000-0000DBB40000}"/>
    <cellStyle name="Comma 9 3 2 5 3 3" xfId="50604" xr:uid="{00000000-0005-0000-0000-0000DCB40000}"/>
    <cellStyle name="Comma 9 3 2 5 4" xfId="50605" xr:uid="{00000000-0005-0000-0000-0000DDB40000}"/>
    <cellStyle name="Comma 9 3 2 5 4 2" xfId="50606" xr:uid="{00000000-0005-0000-0000-0000DEB40000}"/>
    <cellStyle name="Comma 9 3 2 5 5" xfId="50607" xr:uid="{00000000-0005-0000-0000-0000DFB40000}"/>
    <cellStyle name="Comma 9 3 2 5 6" xfId="50608" xr:uid="{00000000-0005-0000-0000-0000E0B40000}"/>
    <cellStyle name="Comma 9 3 2 6" xfId="50609" xr:uid="{00000000-0005-0000-0000-0000E1B40000}"/>
    <cellStyle name="Comma 9 3 2 6 2" xfId="50610" xr:uid="{00000000-0005-0000-0000-0000E2B40000}"/>
    <cellStyle name="Comma 9 3 2 6 2 2" xfId="50611" xr:uid="{00000000-0005-0000-0000-0000E3B40000}"/>
    <cellStyle name="Comma 9 3 2 6 2 3" xfId="50612" xr:uid="{00000000-0005-0000-0000-0000E4B40000}"/>
    <cellStyle name="Comma 9 3 2 6 3" xfId="50613" xr:uid="{00000000-0005-0000-0000-0000E5B40000}"/>
    <cellStyle name="Comma 9 3 2 6 3 2" xfId="50614" xr:uid="{00000000-0005-0000-0000-0000E6B40000}"/>
    <cellStyle name="Comma 9 3 2 6 3 3" xfId="50615" xr:uid="{00000000-0005-0000-0000-0000E7B40000}"/>
    <cellStyle name="Comma 9 3 2 6 4" xfId="50616" xr:uid="{00000000-0005-0000-0000-0000E8B40000}"/>
    <cellStyle name="Comma 9 3 2 6 4 2" xfId="50617" xr:uid="{00000000-0005-0000-0000-0000E9B40000}"/>
    <cellStyle name="Comma 9 3 2 6 5" xfId="50618" xr:uid="{00000000-0005-0000-0000-0000EAB40000}"/>
    <cellStyle name="Comma 9 3 2 6 6" xfId="50619" xr:uid="{00000000-0005-0000-0000-0000EBB40000}"/>
    <cellStyle name="Comma 9 3 2 7" xfId="50620" xr:uid="{00000000-0005-0000-0000-0000ECB40000}"/>
    <cellStyle name="Comma 9 3 2 7 2" xfId="50621" xr:uid="{00000000-0005-0000-0000-0000EDB40000}"/>
    <cellStyle name="Comma 9 3 2 7 2 2" xfId="50622" xr:uid="{00000000-0005-0000-0000-0000EEB40000}"/>
    <cellStyle name="Comma 9 3 2 7 2 3" xfId="50623" xr:uid="{00000000-0005-0000-0000-0000EFB40000}"/>
    <cellStyle name="Comma 9 3 2 7 3" xfId="50624" xr:uid="{00000000-0005-0000-0000-0000F0B40000}"/>
    <cellStyle name="Comma 9 3 2 7 3 2" xfId="50625" xr:uid="{00000000-0005-0000-0000-0000F1B40000}"/>
    <cellStyle name="Comma 9 3 2 7 4" xfId="50626" xr:uid="{00000000-0005-0000-0000-0000F2B40000}"/>
    <cellStyle name="Comma 9 3 2 7 5" xfId="50627" xr:uid="{00000000-0005-0000-0000-0000F3B40000}"/>
    <cellStyle name="Comma 9 3 2 8" xfId="50628" xr:uid="{00000000-0005-0000-0000-0000F4B40000}"/>
    <cellStyle name="Comma 9 3 2 8 2" xfId="50629" xr:uid="{00000000-0005-0000-0000-0000F5B40000}"/>
    <cellStyle name="Comma 9 3 2 8 3" xfId="50630" xr:uid="{00000000-0005-0000-0000-0000F6B40000}"/>
    <cellStyle name="Comma 9 3 2 9" xfId="50631" xr:uid="{00000000-0005-0000-0000-0000F7B40000}"/>
    <cellStyle name="Comma 9 3 2 9 2" xfId="50632" xr:uid="{00000000-0005-0000-0000-0000F8B40000}"/>
    <cellStyle name="Comma 9 3 2 9 3" xfId="50633" xr:uid="{00000000-0005-0000-0000-0000F9B40000}"/>
    <cellStyle name="Comma 9 3 3" xfId="3795" xr:uid="{00000000-0005-0000-0000-0000FAB40000}"/>
    <cellStyle name="Comma 9 3 3 10" xfId="50634" xr:uid="{00000000-0005-0000-0000-0000FBB40000}"/>
    <cellStyle name="Comma 9 3 3 2" xfId="3796" xr:uid="{00000000-0005-0000-0000-0000FCB40000}"/>
    <cellStyle name="Comma 9 3 3 2 2" xfId="3797" xr:uid="{00000000-0005-0000-0000-0000FDB40000}"/>
    <cellStyle name="Comma 9 3 3 2 2 2" xfId="50635" xr:uid="{00000000-0005-0000-0000-0000FEB40000}"/>
    <cellStyle name="Comma 9 3 3 2 2 2 2" xfId="50636" xr:uid="{00000000-0005-0000-0000-0000FFB40000}"/>
    <cellStyle name="Comma 9 3 3 2 2 2 3" xfId="50637" xr:uid="{00000000-0005-0000-0000-000000B50000}"/>
    <cellStyle name="Comma 9 3 3 2 2 3" xfId="50638" xr:uid="{00000000-0005-0000-0000-000001B50000}"/>
    <cellStyle name="Comma 9 3 3 2 2 3 2" xfId="50639" xr:uid="{00000000-0005-0000-0000-000002B50000}"/>
    <cellStyle name="Comma 9 3 3 2 2 3 3" xfId="50640" xr:uid="{00000000-0005-0000-0000-000003B50000}"/>
    <cellStyle name="Comma 9 3 3 2 2 4" xfId="50641" xr:uid="{00000000-0005-0000-0000-000004B50000}"/>
    <cellStyle name="Comma 9 3 3 2 2 4 2" xfId="50642" xr:uid="{00000000-0005-0000-0000-000005B50000}"/>
    <cellStyle name="Comma 9 3 3 2 2 5" xfId="50643" xr:uid="{00000000-0005-0000-0000-000006B50000}"/>
    <cellStyle name="Comma 9 3 3 2 2 6" xfId="50644" xr:uid="{00000000-0005-0000-0000-000007B50000}"/>
    <cellStyle name="Comma 9 3 3 2 3" xfId="50645" xr:uid="{00000000-0005-0000-0000-000008B50000}"/>
    <cellStyle name="Comma 9 3 3 2 3 2" xfId="50646" xr:uid="{00000000-0005-0000-0000-000009B50000}"/>
    <cellStyle name="Comma 9 3 3 2 3 2 2" xfId="50647" xr:uid="{00000000-0005-0000-0000-00000AB50000}"/>
    <cellStyle name="Comma 9 3 3 2 3 2 3" xfId="50648" xr:uid="{00000000-0005-0000-0000-00000BB50000}"/>
    <cellStyle name="Comma 9 3 3 2 3 3" xfId="50649" xr:uid="{00000000-0005-0000-0000-00000CB50000}"/>
    <cellStyle name="Comma 9 3 3 2 3 3 2" xfId="50650" xr:uid="{00000000-0005-0000-0000-00000DB50000}"/>
    <cellStyle name="Comma 9 3 3 2 3 3 3" xfId="50651" xr:uid="{00000000-0005-0000-0000-00000EB50000}"/>
    <cellStyle name="Comma 9 3 3 2 3 4" xfId="50652" xr:uid="{00000000-0005-0000-0000-00000FB50000}"/>
    <cellStyle name="Comma 9 3 3 2 3 4 2" xfId="50653" xr:uid="{00000000-0005-0000-0000-000010B50000}"/>
    <cellStyle name="Comma 9 3 3 2 3 5" xfId="50654" xr:uid="{00000000-0005-0000-0000-000011B50000}"/>
    <cellStyle name="Comma 9 3 3 2 3 6" xfId="50655" xr:uid="{00000000-0005-0000-0000-000012B50000}"/>
    <cellStyle name="Comma 9 3 3 2 4" xfId="50656" xr:uid="{00000000-0005-0000-0000-000013B50000}"/>
    <cellStyle name="Comma 9 3 3 2 4 2" xfId="50657" xr:uid="{00000000-0005-0000-0000-000014B50000}"/>
    <cellStyle name="Comma 9 3 3 2 4 2 2" xfId="50658" xr:uid="{00000000-0005-0000-0000-000015B50000}"/>
    <cellStyle name="Comma 9 3 3 2 4 2 3" xfId="50659" xr:uid="{00000000-0005-0000-0000-000016B50000}"/>
    <cellStyle name="Comma 9 3 3 2 4 3" xfId="50660" xr:uid="{00000000-0005-0000-0000-000017B50000}"/>
    <cellStyle name="Comma 9 3 3 2 4 3 2" xfId="50661" xr:uid="{00000000-0005-0000-0000-000018B50000}"/>
    <cellStyle name="Comma 9 3 3 2 4 4" xfId="50662" xr:uid="{00000000-0005-0000-0000-000019B50000}"/>
    <cellStyle name="Comma 9 3 3 2 4 5" xfId="50663" xr:uid="{00000000-0005-0000-0000-00001AB50000}"/>
    <cellStyle name="Comma 9 3 3 2 5" xfId="50664" xr:uid="{00000000-0005-0000-0000-00001BB50000}"/>
    <cellStyle name="Comma 9 3 3 2 5 2" xfId="50665" xr:uid="{00000000-0005-0000-0000-00001CB50000}"/>
    <cellStyle name="Comma 9 3 3 2 5 3" xfId="50666" xr:uid="{00000000-0005-0000-0000-00001DB50000}"/>
    <cellStyle name="Comma 9 3 3 2 6" xfId="50667" xr:uid="{00000000-0005-0000-0000-00001EB50000}"/>
    <cellStyle name="Comma 9 3 3 2 6 2" xfId="50668" xr:uid="{00000000-0005-0000-0000-00001FB50000}"/>
    <cellStyle name="Comma 9 3 3 2 6 3" xfId="50669" xr:uid="{00000000-0005-0000-0000-000020B50000}"/>
    <cellStyle name="Comma 9 3 3 2 7" xfId="50670" xr:uid="{00000000-0005-0000-0000-000021B50000}"/>
    <cellStyle name="Comma 9 3 3 2 7 2" xfId="50671" xr:uid="{00000000-0005-0000-0000-000022B50000}"/>
    <cellStyle name="Comma 9 3 3 2 8" xfId="50672" xr:uid="{00000000-0005-0000-0000-000023B50000}"/>
    <cellStyle name="Comma 9 3 3 2 9" xfId="50673" xr:uid="{00000000-0005-0000-0000-000024B50000}"/>
    <cellStyle name="Comma 9 3 3 3" xfId="3798" xr:uid="{00000000-0005-0000-0000-000025B50000}"/>
    <cellStyle name="Comma 9 3 3 3 2" xfId="50674" xr:uid="{00000000-0005-0000-0000-000026B50000}"/>
    <cellStyle name="Comma 9 3 3 3 2 2" xfId="50675" xr:uid="{00000000-0005-0000-0000-000027B50000}"/>
    <cellStyle name="Comma 9 3 3 3 2 3" xfId="50676" xr:uid="{00000000-0005-0000-0000-000028B50000}"/>
    <cellStyle name="Comma 9 3 3 3 3" xfId="50677" xr:uid="{00000000-0005-0000-0000-000029B50000}"/>
    <cellStyle name="Comma 9 3 3 3 3 2" xfId="50678" xr:uid="{00000000-0005-0000-0000-00002AB50000}"/>
    <cellStyle name="Comma 9 3 3 3 3 3" xfId="50679" xr:uid="{00000000-0005-0000-0000-00002BB50000}"/>
    <cellStyle name="Comma 9 3 3 3 4" xfId="50680" xr:uid="{00000000-0005-0000-0000-00002CB50000}"/>
    <cellStyle name="Comma 9 3 3 3 4 2" xfId="50681" xr:uid="{00000000-0005-0000-0000-00002DB50000}"/>
    <cellStyle name="Comma 9 3 3 3 5" xfId="50682" xr:uid="{00000000-0005-0000-0000-00002EB50000}"/>
    <cellStyle name="Comma 9 3 3 3 6" xfId="50683" xr:uid="{00000000-0005-0000-0000-00002FB50000}"/>
    <cellStyle name="Comma 9 3 3 4" xfId="50684" xr:uid="{00000000-0005-0000-0000-000030B50000}"/>
    <cellStyle name="Comma 9 3 3 4 2" xfId="50685" xr:uid="{00000000-0005-0000-0000-000031B50000}"/>
    <cellStyle name="Comma 9 3 3 4 2 2" xfId="50686" xr:uid="{00000000-0005-0000-0000-000032B50000}"/>
    <cellStyle name="Comma 9 3 3 4 2 3" xfId="50687" xr:uid="{00000000-0005-0000-0000-000033B50000}"/>
    <cellStyle name="Comma 9 3 3 4 3" xfId="50688" xr:uid="{00000000-0005-0000-0000-000034B50000}"/>
    <cellStyle name="Comma 9 3 3 4 3 2" xfId="50689" xr:uid="{00000000-0005-0000-0000-000035B50000}"/>
    <cellStyle name="Comma 9 3 3 4 3 3" xfId="50690" xr:uid="{00000000-0005-0000-0000-000036B50000}"/>
    <cellStyle name="Comma 9 3 3 4 4" xfId="50691" xr:uid="{00000000-0005-0000-0000-000037B50000}"/>
    <cellStyle name="Comma 9 3 3 4 4 2" xfId="50692" xr:uid="{00000000-0005-0000-0000-000038B50000}"/>
    <cellStyle name="Comma 9 3 3 4 5" xfId="50693" xr:uid="{00000000-0005-0000-0000-000039B50000}"/>
    <cellStyle name="Comma 9 3 3 4 6" xfId="50694" xr:uid="{00000000-0005-0000-0000-00003AB50000}"/>
    <cellStyle name="Comma 9 3 3 5" xfId="50695" xr:uid="{00000000-0005-0000-0000-00003BB50000}"/>
    <cellStyle name="Comma 9 3 3 5 2" xfId="50696" xr:uid="{00000000-0005-0000-0000-00003CB50000}"/>
    <cellStyle name="Comma 9 3 3 5 2 2" xfId="50697" xr:uid="{00000000-0005-0000-0000-00003DB50000}"/>
    <cellStyle name="Comma 9 3 3 5 2 3" xfId="50698" xr:uid="{00000000-0005-0000-0000-00003EB50000}"/>
    <cellStyle name="Comma 9 3 3 5 3" xfId="50699" xr:uid="{00000000-0005-0000-0000-00003FB50000}"/>
    <cellStyle name="Comma 9 3 3 5 3 2" xfId="50700" xr:uid="{00000000-0005-0000-0000-000040B50000}"/>
    <cellStyle name="Comma 9 3 3 5 4" xfId="50701" xr:uid="{00000000-0005-0000-0000-000041B50000}"/>
    <cellStyle name="Comma 9 3 3 5 5" xfId="50702" xr:uid="{00000000-0005-0000-0000-000042B50000}"/>
    <cellStyle name="Comma 9 3 3 6" xfId="50703" xr:uid="{00000000-0005-0000-0000-000043B50000}"/>
    <cellStyle name="Comma 9 3 3 6 2" xfId="50704" xr:uid="{00000000-0005-0000-0000-000044B50000}"/>
    <cellStyle name="Comma 9 3 3 6 3" xfId="50705" xr:uid="{00000000-0005-0000-0000-000045B50000}"/>
    <cellStyle name="Comma 9 3 3 7" xfId="50706" xr:uid="{00000000-0005-0000-0000-000046B50000}"/>
    <cellStyle name="Comma 9 3 3 7 2" xfId="50707" xr:uid="{00000000-0005-0000-0000-000047B50000}"/>
    <cellStyle name="Comma 9 3 3 7 3" xfId="50708" xr:uid="{00000000-0005-0000-0000-000048B50000}"/>
    <cellStyle name="Comma 9 3 3 8" xfId="50709" xr:uid="{00000000-0005-0000-0000-000049B50000}"/>
    <cellStyle name="Comma 9 3 3 8 2" xfId="50710" xr:uid="{00000000-0005-0000-0000-00004AB50000}"/>
    <cellStyle name="Comma 9 3 3 9" xfId="50711" xr:uid="{00000000-0005-0000-0000-00004BB50000}"/>
    <cellStyle name="Comma 9 3 4" xfId="3799" xr:uid="{00000000-0005-0000-0000-00004CB50000}"/>
    <cellStyle name="Comma 9 3 4 2" xfId="3800" xr:uid="{00000000-0005-0000-0000-00004DB50000}"/>
    <cellStyle name="Comma 9 3 4 2 2" xfId="50712" xr:uid="{00000000-0005-0000-0000-00004EB50000}"/>
    <cellStyle name="Comma 9 3 4 2 2 2" xfId="50713" xr:uid="{00000000-0005-0000-0000-00004FB50000}"/>
    <cellStyle name="Comma 9 3 4 2 2 3" xfId="50714" xr:uid="{00000000-0005-0000-0000-000050B50000}"/>
    <cellStyle name="Comma 9 3 4 2 3" xfId="50715" xr:uid="{00000000-0005-0000-0000-000051B50000}"/>
    <cellStyle name="Comma 9 3 4 2 3 2" xfId="50716" xr:uid="{00000000-0005-0000-0000-000052B50000}"/>
    <cellStyle name="Comma 9 3 4 2 3 3" xfId="50717" xr:uid="{00000000-0005-0000-0000-000053B50000}"/>
    <cellStyle name="Comma 9 3 4 2 4" xfId="50718" xr:uid="{00000000-0005-0000-0000-000054B50000}"/>
    <cellStyle name="Comma 9 3 4 2 4 2" xfId="50719" xr:uid="{00000000-0005-0000-0000-000055B50000}"/>
    <cellStyle name="Comma 9 3 4 2 5" xfId="50720" xr:uid="{00000000-0005-0000-0000-000056B50000}"/>
    <cellStyle name="Comma 9 3 4 2 6" xfId="50721" xr:uid="{00000000-0005-0000-0000-000057B50000}"/>
    <cellStyle name="Comma 9 3 4 3" xfId="50722" xr:uid="{00000000-0005-0000-0000-000058B50000}"/>
    <cellStyle name="Comma 9 3 4 3 2" xfId="50723" xr:uid="{00000000-0005-0000-0000-000059B50000}"/>
    <cellStyle name="Comma 9 3 4 3 2 2" xfId="50724" xr:uid="{00000000-0005-0000-0000-00005AB50000}"/>
    <cellStyle name="Comma 9 3 4 3 2 3" xfId="50725" xr:uid="{00000000-0005-0000-0000-00005BB50000}"/>
    <cellStyle name="Comma 9 3 4 3 3" xfId="50726" xr:uid="{00000000-0005-0000-0000-00005CB50000}"/>
    <cellStyle name="Comma 9 3 4 3 3 2" xfId="50727" xr:uid="{00000000-0005-0000-0000-00005DB50000}"/>
    <cellStyle name="Comma 9 3 4 3 3 3" xfId="50728" xr:uid="{00000000-0005-0000-0000-00005EB50000}"/>
    <cellStyle name="Comma 9 3 4 3 4" xfId="50729" xr:uid="{00000000-0005-0000-0000-00005FB50000}"/>
    <cellStyle name="Comma 9 3 4 3 4 2" xfId="50730" xr:uid="{00000000-0005-0000-0000-000060B50000}"/>
    <cellStyle name="Comma 9 3 4 3 5" xfId="50731" xr:uid="{00000000-0005-0000-0000-000061B50000}"/>
    <cellStyle name="Comma 9 3 4 3 6" xfId="50732" xr:uid="{00000000-0005-0000-0000-000062B50000}"/>
    <cellStyle name="Comma 9 3 4 4" xfId="50733" xr:uid="{00000000-0005-0000-0000-000063B50000}"/>
    <cellStyle name="Comma 9 3 4 4 2" xfId="50734" xr:uid="{00000000-0005-0000-0000-000064B50000}"/>
    <cellStyle name="Comma 9 3 4 4 2 2" xfId="50735" xr:uid="{00000000-0005-0000-0000-000065B50000}"/>
    <cellStyle name="Comma 9 3 4 4 2 3" xfId="50736" xr:uid="{00000000-0005-0000-0000-000066B50000}"/>
    <cellStyle name="Comma 9 3 4 4 3" xfId="50737" xr:uid="{00000000-0005-0000-0000-000067B50000}"/>
    <cellStyle name="Comma 9 3 4 4 3 2" xfId="50738" xr:uid="{00000000-0005-0000-0000-000068B50000}"/>
    <cellStyle name="Comma 9 3 4 4 4" xfId="50739" xr:uid="{00000000-0005-0000-0000-000069B50000}"/>
    <cellStyle name="Comma 9 3 4 4 5" xfId="50740" xr:uid="{00000000-0005-0000-0000-00006AB50000}"/>
    <cellStyle name="Comma 9 3 4 5" xfId="50741" xr:uid="{00000000-0005-0000-0000-00006BB50000}"/>
    <cellStyle name="Comma 9 3 4 5 2" xfId="50742" xr:uid="{00000000-0005-0000-0000-00006CB50000}"/>
    <cellStyle name="Comma 9 3 4 5 3" xfId="50743" xr:uid="{00000000-0005-0000-0000-00006DB50000}"/>
    <cellStyle name="Comma 9 3 4 6" xfId="50744" xr:uid="{00000000-0005-0000-0000-00006EB50000}"/>
    <cellStyle name="Comma 9 3 4 6 2" xfId="50745" xr:uid="{00000000-0005-0000-0000-00006FB50000}"/>
    <cellStyle name="Comma 9 3 4 6 3" xfId="50746" xr:uid="{00000000-0005-0000-0000-000070B50000}"/>
    <cellStyle name="Comma 9 3 4 7" xfId="50747" xr:uid="{00000000-0005-0000-0000-000071B50000}"/>
    <cellStyle name="Comma 9 3 4 7 2" xfId="50748" xr:uid="{00000000-0005-0000-0000-000072B50000}"/>
    <cellStyle name="Comma 9 3 4 8" xfId="50749" xr:uid="{00000000-0005-0000-0000-000073B50000}"/>
    <cellStyle name="Comma 9 3 4 9" xfId="50750" xr:uid="{00000000-0005-0000-0000-000074B50000}"/>
    <cellStyle name="Comma 9 3 5" xfId="3801" xr:uid="{00000000-0005-0000-0000-000075B50000}"/>
    <cellStyle name="Comma 9 3 5 2" xfId="50751" xr:uid="{00000000-0005-0000-0000-000076B50000}"/>
    <cellStyle name="Comma 9 3 5 2 2" xfId="50752" xr:uid="{00000000-0005-0000-0000-000077B50000}"/>
    <cellStyle name="Comma 9 3 5 2 2 2" xfId="50753" xr:uid="{00000000-0005-0000-0000-000078B50000}"/>
    <cellStyle name="Comma 9 3 5 2 2 3" xfId="50754" xr:uid="{00000000-0005-0000-0000-000079B50000}"/>
    <cellStyle name="Comma 9 3 5 2 3" xfId="50755" xr:uid="{00000000-0005-0000-0000-00007AB50000}"/>
    <cellStyle name="Comma 9 3 5 2 3 2" xfId="50756" xr:uid="{00000000-0005-0000-0000-00007BB50000}"/>
    <cellStyle name="Comma 9 3 5 2 3 3" xfId="50757" xr:uid="{00000000-0005-0000-0000-00007CB50000}"/>
    <cellStyle name="Comma 9 3 5 2 4" xfId="50758" xr:uid="{00000000-0005-0000-0000-00007DB50000}"/>
    <cellStyle name="Comma 9 3 5 2 4 2" xfId="50759" xr:uid="{00000000-0005-0000-0000-00007EB50000}"/>
    <cellStyle name="Comma 9 3 5 2 5" xfId="50760" xr:uid="{00000000-0005-0000-0000-00007FB50000}"/>
    <cellStyle name="Comma 9 3 5 2 6" xfId="50761" xr:uid="{00000000-0005-0000-0000-000080B50000}"/>
    <cellStyle name="Comma 9 3 5 3" xfId="50762" xr:uid="{00000000-0005-0000-0000-000081B50000}"/>
    <cellStyle name="Comma 9 3 5 3 2" xfId="50763" xr:uid="{00000000-0005-0000-0000-000082B50000}"/>
    <cellStyle name="Comma 9 3 5 3 2 2" xfId="50764" xr:uid="{00000000-0005-0000-0000-000083B50000}"/>
    <cellStyle name="Comma 9 3 5 3 2 3" xfId="50765" xr:uid="{00000000-0005-0000-0000-000084B50000}"/>
    <cellStyle name="Comma 9 3 5 3 3" xfId="50766" xr:uid="{00000000-0005-0000-0000-000085B50000}"/>
    <cellStyle name="Comma 9 3 5 3 3 2" xfId="50767" xr:uid="{00000000-0005-0000-0000-000086B50000}"/>
    <cellStyle name="Comma 9 3 5 3 3 3" xfId="50768" xr:uid="{00000000-0005-0000-0000-000087B50000}"/>
    <cellStyle name="Comma 9 3 5 3 4" xfId="50769" xr:uid="{00000000-0005-0000-0000-000088B50000}"/>
    <cellStyle name="Comma 9 3 5 3 4 2" xfId="50770" xr:uid="{00000000-0005-0000-0000-000089B50000}"/>
    <cellStyle name="Comma 9 3 5 3 5" xfId="50771" xr:uid="{00000000-0005-0000-0000-00008AB50000}"/>
    <cellStyle name="Comma 9 3 5 3 6" xfId="50772" xr:uid="{00000000-0005-0000-0000-00008BB50000}"/>
    <cellStyle name="Comma 9 3 5 4" xfId="50773" xr:uid="{00000000-0005-0000-0000-00008CB50000}"/>
    <cellStyle name="Comma 9 3 5 4 2" xfId="50774" xr:uid="{00000000-0005-0000-0000-00008DB50000}"/>
    <cellStyle name="Comma 9 3 5 4 2 2" xfId="50775" xr:uid="{00000000-0005-0000-0000-00008EB50000}"/>
    <cellStyle name="Comma 9 3 5 4 2 3" xfId="50776" xr:uid="{00000000-0005-0000-0000-00008FB50000}"/>
    <cellStyle name="Comma 9 3 5 4 3" xfId="50777" xr:uid="{00000000-0005-0000-0000-000090B50000}"/>
    <cellStyle name="Comma 9 3 5 4 3 2" xfId="50778" xr:uid="{00000000-0005-0000-0000-000091B50000}"/>
    <cellStyle name="Comma 9 3 5 4 4" xfId="50779" xr:uid="{00000000-0005-0000-0000-000092B50000}"/>
    <cellStyle name="Comma 9 3 5 4 5" xfId="50780" xr:uid="{00000000-0005-0000-0000-000093B50000}"/>
    <cellStyle name="Comma 9 3 5 5" xfId="50781" xr:uid="{00000000-0005-0000-0000-000094B50000}"/>
    <cellStyle name="Comma 9 3 5 5 2" xfId="50782" xr:uid="{00000000-0005-0000-0000-000095B50000}"/>
    <cellStyle name="Comma 9 3 5 5 3" xfId="50783" xr:uid="{00000000-0005-0000-0000-000096B50000}"/>
    <cellStyle name="Comma 9 3 5 6" xfId="50784" xr:uid="{00000000-0005-0000-0000-000097B50000}"/>
    <cellStyle name="Comma 9 3 5 6 2" xfId="50785" xr:uid="{00000000-0005-0000-0000-000098B50000}"/>
    <cellStyle name="Comma 9 3 5 6 3" xfId="50786" xr:uid="{00000000-0005-0000-0000-000099B50000}"/>
    <cellStyle name="Comma 9 3 5 7" xfId="50787" xr:uid="{00000000-0005-0000-0000-00009AB50000}"/>
    <cellStyle name="Comma 9 3 5 7 2" xfId="50788" xr:uid="{00000000-0005-0000-0000-00009BB50000}"/>
    <cellStyle name="Comma 9 3 5 8" xfId="50789" xr:uid="{00000000-0005-0000-0000-00009CB50000}"/>
    <cellStyle name="Comma 9 3 5 9" xfId="50790" xr:uid="{00000000-0005-0000-0000-00009DB50000}"/>
    <cellStyle name="Comma 9 3 6" xfId="50791" xr:uid="{00000000-0005-0000-0000-00009EB50000}"/>
    <cellStyle name="Comma 9 3 6 2" xfId="50792" xr:uid="{00000000-0005-0000-0000-00009FB50000}"/>
    <cellStyle name="Comma 9 3 6 2 2" xfId="50793" xr:uid="{00000000-0005-0000-0000-0000A0B50000}"/>
    <cellStyle name="Comma 9 3 6 2 3" xfId="50794" xr:uid="{00000000-0005-0000-0000-0000A1B50000}"/>
    <cellStyle name="Comma 9 3 6 3" xfId="50795" xr:uid="{00000000-0005-0000-0000-0000A2B50000}"/>
    <cellStyle name="Comma 9 3 6 3 2" xfId="50796" xr:uid="{00000000-0005-0000-0000-0000A3B50000}"/>
    <cellStyle name="Comma 9 3 6 3 3" xfId="50797" xr:uid="{00000000-0005-0000-0000-0000A4B50000}"/>
    <cellStyle name="Comma 9 3 6 4" xfId="50798" xr:uid="{00000000-0005-0000-0000-0000A5B50000}"/>
    <cellStyle name="Comma 9 3 6 4 2" xfId="50799" xr:uid="{00000000-0005-0000-0000-0000A6B50000}"/>
    <cellStyle name="Comma 9 3 6 5" xfId="50800" xr:uid="{00000000-0005-0000-0000-0000A7B50000}"/>
    <cellStyle name="Comma 9 3 6 6" xfId="50801" xr:uid="{00000000-0005-0000-0000-0000A8B50000}"/>
    <cellStyle name="Comma 9 3 7" xfId="50802" xr:uid="{00000000-0005-0000-0000-0000A9B50000}"/>
    <cellStyle name="Comma 9 3 7 2" xfId="50803" xr:uid="{00000000-0005-0000-0000-0000AAB50000}"/>
    <cellStyle name="Comma 9 3 7 2 2" xfId="50804" xr:uid="{00000000-0005-0000-0000-0000ABB50000}"/>
    <cellStyle name="Comma 9 3 7 2 3" xfId="50805" xr:uid="{00000000-0005-0000-0000-0000ACB50000}"/>
    <cellStyle name="Comma 9 3 7 3" xfId="50806" xr:uid="{00000000-0005-0000-0000-0000ADB50000}"/>
    <cellStyle name="Comma 9 3 7 3 2" xfId="50807" xr:uid="{00000000-0005-0000-0000-0000AEB50000}"/>
    <cellStyle name="Comma 9 3 7 3 3" xfId="50808" xr:uid="{00000000-0005-0000-0000-0000AFB50000}"/>
    <cellStyle name="Comma 9 3 7 4" xfId="50809" xr:uid="{00000000-0005-0000-0000-0000B0B50000}"/>
    <cellStyle name="Comma 9 3 7 4 2" xfId="50810" xr:uid="{00000000-0005-0000-0000-0000B1B50000}"/>
    <cellStyle name="Comma 9 3 7 5" xfId="50811" xr:uid="{00000000-0005-0000-0000-0000B2B50000}"/>
    <cellStyle name="Comma 9 3 7 6" xfId="50812" xr:uid="{00000000-0005-0000-0000-0000B3B50000}"/>
    <cellStyle name="Comma 9 3 8" xfId="50813" xr:uid="{00000000-0005-0000-0000-0000B4B50000}"/>
    <cellStyle name="Comma 9 3 8 2" xfId="50814" xr:uid="{00000000-0005-0000-0000-0000B5B50000}"/>
    <cellStyle name="Comma 9 3 8 2 2" xfId="50815" xr:uid="{00000000-0005-0000-0000-0000B6B50000}"/>
    <cellStyle name="Comma 9 3 8 2 3" xfId="50816" xr:uid="{00000000-0005-0000-0000-0000B7B50000}"/>
    <cellStyle name="Comma 9 3 8 3" xfId="50817" xr:uid="{00000000-0005-0000-0000-0000B8B50000}"/>
    <cellStyle name="Comma 9 3 8 3 2" xfId="50818" xr:uid="{00000000-0005-0000-0000-0000B9B50000}"/>
    <cellStyle name="Comma 9 3 8 4" xfId="50819" xr:uid="{00000000-0005-0000-0000-0000BAB50000}"/>
    <cellStyle name="Comma 9 3 8 5" xfId="50820" xr:uid="{00000000-0005-0000-0000-0000BBB50000}"/>
    <cellStyle name="Comma 9 3 9" xfId="50821" xr:uid="{00000000-0005-0000-0000-0000BCB50000}"/>
    <cellStyle name="Comma 9 3 9 2" xfId="50822" xr:uid="{00000000-0005-0000-0000-0000BDB50000}"/>
    <cellStyle name="Comma 9 3 9 3" xfId="50823" xr:uid="{00000000-0005-0000-0000-0000BEB50000}"/>
    <cellStyle name="Comma 9 4" xfId="3802" xr:uid="{00000000-0005-0000-0000-0000BFB50000}"/>
    <cellStyle name="Comma 9 4 10" xfId="50824" xr:uid="{00000000-0005-0000-0000-0000C0B50000}"/>
    <cellStyle name="Comma 9 4 10 2" xfId="50825" xr:uid="{00000000-0005-0000-0000-0000C1B50000}"/>
    <cellStyle name="Comma 9 4 11" xfId="50826" xr:uid="{00000000-0005-0000-0000-0000C2B50000}"/>
    <cellStyle name="Comma 9 4 12" xfId="50827" xr:uid="{00000000-0005-0000-0000-0000C3B50000}"/>
    <cellStyle name="Comma 9 4 2" xfId="3803" xr:uid="{00000000-0005-0000-0000-0000C4B50000}"/>
    <cellStyle name="Comma 9 4 2 10" xfId="50828" xr:uid="{00000000-0005-0000-0000-0000C5B50000}"/>
    <cellStyle name="Comma 9 4 2 2" xfId="3804" xr:uid="{00000000-0005-0000-0000-0000C6B50000}"/>
    <cellStyle name="Comma 9 4 2 2 2" xfId="3805" xr:uid="{00000000-0005-0000-0000-0000C7B50000}"/>
    <cellStyle name="Comma 9 4 2 2 2 2" xfId="50829" xr:uid="{00000000-0005-0000-0000-0000C8B50000}"/>
    <cellStyle name="Comma 9 4 2 2 2 2 2" xfId="50830" xr:uid="{00000000-0005-0000-0000-0000C9B50000}"/>
    <cellStyle name="Comma 9 4 2 2 2 2 3" xfId="50831" xr:uid="{00000000-0005-0000-0000-0000CAB50000}"/>
    <cellStyle name="Comma 9 4 2 2 2 3" xfId="50832" xr:uid="{00000000-0005-0000-0000-0000CBB50000}"/>
    <cellStyle name="Comma 9 4 2 2 2 3 2" xfId="50833" xr:uid="{00000000-0005-0000-0000-0000CCB50000}"/>
    <cellStyle name="Comma 9 4 2 2 2 3 3" xfId="50834" xr:uid="{00000000-0005-0000-0000-0000CDB50000}"/>
    <cellStyle name="Comma 9 4 2 2 2 4" xfId="50835" xr:uid="{00000000-0005-0000-0000-0000CEB50000}"/>
    <cellStyle name="Comma 9 4 2 2 2 4 2" xfId="50836" xr:uid="{00000000-0005-0000-0000-0000CFB50000}"/>
    <cellStyle name="Comma 9 4 2 2 2 5" xfId="50837" xr:uid="{00000000-0005-0000-0000-0000D0B50000}"/>
    <cellStyle name="Comma 9 4 2 2 2 6" xfId="50838" xr:uid="{00000000-0005-0000-0000-0000D1B50000}"/>
    <cellStyle name="Comma 9 4 2 2 3" xfId="50839" xr:uid="{00000000-0005-0000-0000-0000D2B50000}"/>
    <cellStyle name="Comma 9 4 2 2 3 2" xfId="50840" xr:uid="{00000000-0005-0000-0000-0000D3B50000}"/>
    <cellStyle name="Comma 9 4 2 2 3 2 2" xfId="50841" xr:uid="{00000000-0005-0000-0000-0000D4B50000}"/>
    <cellStyle name="Comma 9 4 2 2 3 2 3" xfId="50842" xr:uid="{00000000-0005-0000-0000-0000D5B50000}"/>
    <cellStyle name="Comma 9 4 2 2 3 3" xfId="50843" xr:uid="{00000000-0005-0000-0000-0000D6B50000}"/>
    <cellStyle name="Comma 9 4 2 2 3 3 2" xfId="50844" xr:uid="{00000000-0005-0000-0000-0000D7B50000}"/>
    <cellStyle name="Comma 9 4 2 2 3 3 3" xfId="50845" xr:uid="{00000000-0005-0000-0000-0000D8B50000}"/>
    <cellStyle name="Comma 9 4 2 2 3 4" xfId="50846" xr:uid="{00000000-0005-0000-0000-0000D9B50000}"/>
    <cellStyle name="Comma 9 4 2 2 3 4 2" xfId="50847" xr:uid="{00000000-0005-0000-0000-0000DAB50000}"/>
    <cellStyle name="Comma 9 4 2 2 3 5" xfId="50848" xr:uid="{00000000-0005-0000-0000-0000DBB50000}"/>
    <cellStyle name="Comma 9 4 2 2 3 6" xfId="50849" xr:uid="{00000000-0005-0000-0000-0000DCB50000}"/>
    <cellStyle name="Comma 9 4 2 2 4" xfId="50850" xr:uid="{00000000-0005-0000-0000-0000DDB50000}"/>
    <cellStyle name="Comma 9 4 2 2 4 2" xfId="50851" xr:uid="{00000000-0005-0000-0000-0000DEB50000}"/>
    <cellStyle name="Comma 9 4 2 2 4 2 2" xfId="50852" xr:uid="{00000000-0005-0000-0000-0000DFB50000}"/>
    <cellStyle name="Comma 9 4 2 2 4 2 3" xfId="50853" xr:uid="{00000000-0005-0000-0000-0000E0B50000}"/>
    <cellStyle name="Comma 9 4 2 2 4 3" xfId="50854" xr:uid="{00000000-0005-0000-0000-0000E1B50000}"/>
    <cellStyle name="Comma 9 4 2 2 4 3 2" xfId="50855" xr:uid="{00000000-0005-0000-0000-0000E2B50000}"/>
    <cellStyle name="Comma 9 4 2 2 4 4" xfId="50856" xr:uid="{00000000-0005-0000-0000-0000E3B50000}"/>
    <cellStyle name="Comma 9 4 2 2 4 5" xfId="50857" xr:uid="{00000000-0005-0000-0000-0000E4B50000}"/>
    <cellStyle name="Comma 9 4 2 2 5" xfId="50858" xr:uid="{00000000-0005-0000-0000-0000E5B50000}"/>
    <cellStyle name="Comma 9 4 2 2 5 2" xfId="50859" xr:uid="{00000000-0005-0000-0000-0000E6B50000}"/>
    <cellStyle name="Comma 9 4 2 2 5 3" xfId="50860" xr:uid="{00000000-0005-0000-0000-0000E7B50000}"/>
    <cellStyle name="Comma 9 4 2 2 6" xfId="50861" xr:uid="{00000000-0005-0000-0000-0000E8B50000}"/>
    <cellStyle name="Comma 9 4 2 2 6 2" xfId="50862" xr:uid="{00000000-0005-0000-0000-0000E9B50000}"/>
    <cellStyle name="Comma 9 4 2 2 6 3" xfId="50863" xr:uid="{00000000-0005-0000-0000-0000EAB50000}"/>
    <cellStyle name="Comma 9 4 2 2 7" xfId="50864" xr:uid="{00000000-0005-0000-0000-0000EBB50000}"/>
    <cellStyle name="Comma 9 4 2 2 7 2" xfId="50865" xr:uid="{00000000-0005-0000-0000-0000ECB50000}"/>
    <cellStyle name="Comma 9 4 2 2 8" xfId="50866" xr:uid="{00000000-0005-0000-0000-0000EDB50000}"/>
    <cellStyle name="Comma 9 4 2 2 9" xfId="50867" xr:uid="{00000000-0005-0000-0000-0000EEB50000}"/>
    <cellStyle name="Comma 9 4 2 3" xfId="3806" xr:uid="{00000000-0005-0000-0000-0000EFB50000}"/>
    <cellStyle name="Comma 9 4 2 3 2" xfId="50868" xr:uid="{00000000-0005-0000-0000-0000F0B50000}"/>
    <cellStyle name="Comma 9 4 2 3 2 2" xfId="50869" xr:uid="{00000000-0005-0000-0000-0000F1B50000}"/>
    <cellStyle name="Comma 9 4 2 3 2 3" xfId="50870" xr:uid="{00000000-0005-0000-0000-0000F2B50000}"/>
    <cellStyle name="Comma 9 4 2 3 3" xfId="50871" xr:uid="{00000000-0005-0000-0000-0000F3B50000}"/>
    <cellStyle name="Comma 9 4 2 3 3 2" xfId="50872" xr:uid="{00000000-0005-0000-0000-0000F4B50000}"/>
    <cellStyle name="Comma 9 4 2 3 3 3" xfId="50873" xr:uid="{00000000-0005-0000-0000-0000F5B50000}"/>
    <cellStyle name="Comma 9 4 2 3 4" xfId="50874" xr:uid="{00000000-0005-0000-0000-0000F6B50000}"/>
    <cellStyle name="Comma 9 4 2 3 4 2" xfId="50875" xr:uid="{00000000-0005-0000-0000-0000F7B50000}"/>
    <cellStyle name="Comma 9 4 2 3 5" xfId="50876" xr:uid="{00000000-0005-0000-0000-0000F8B50000}"/>
    <cellStyle name="Comma 9 4 2 3 6" xfId="50877" xr:uid="{00000000-0005-0000-0000-0000F9B50000}"/>
    <cellStyle name="Comma 9 4 2 4" xfId="50878" xr:uid="{00000000-0005-0000-0000-0000FAB50000}"/>
    <cellStyle name="Comma 9 4 2 4 2" xfId="50879" xr:uid="{00000000-0005-0000-0000-0000FBB50000}"/>
    <cellStyle name="Comma 9 4 2 4 2 2" xfId="50880" xr:uid="{00000000-0005-0000-0000-0000FCB50000}"/>
    <cellStyle name="Comma 9 4 2 4 2 3" xfId="50881" xr:uid="{00000000-0005-0000-0000-0000FDB50000}"/>
    <cellStyle name="Comma 9 4 2 4 3" xfId="50882" xr:uid="{00000000-0005-0000-0000-0000FEB50000}"/>
    <cellStyle name="Comma 9 4 2 4 3 2" xfId="50883" xr:uid="{00000000-0005-0000-0000-0000FFB50000}"/>
    <cellStyle name="Comma 9 4 2 4 3 3" xfId="50884" xr:uid="{00000000-0005-0000-0000-000000B60000}"/>
    <cellStyle name="Comma 9 4 2 4 4" xfId="50885" xr:uid="{00000000-0005-0000-0000-000001B60000}"/>
    <cellStyle name="Comma 9 4 2 4 4 2" xfId="50886" xr:uid="{00000000-0005-0000-0000-000002B60000}"/>
    <cellStyle name="Comma 9 4 2 4 5" xfId="50887" xr:uid="{00000000-0005-0000-0000-000003B60000}"/>
    <cellStyle name="Comma 9 4 2 4 6" xfId="50888" xr:uid="{00000000-0005-0000-0000-000004B60000}"/>
    <cellStyle name="Comma 9 4 2 5" xfId="50889" xr:uid="{00000000-0005-0000-0000-000005B60000}"/>
    <cellStyle name="Comma 9 4 2 5 2" xfId="50890" xr:uid="{00000000-0005-0000-0000-000006B60000}"/>
    <cellStyle name="Comma 9 4 2 5 2 2" xfId="50891" xr:uid="{00000000-0005-0000-0000-000007B60000}"/>
    <cellStyle name="Comma 9 4 2 5 2 3" xfId="50892" xr:uid="{00000000-0005-0000-0000-000008B60000}"/>
    <cellStyle name="Comma 9 4 2 5 3" xfId="50893" xr:uid="{00000000-0005-0000-0000-000009B60000}"/>
    <cellStyle name="Comma 9 4 2 5 3 2" xfId="50894" xr:uid="{00000000-0005-0000-0000-00000AB60000}"/>
    <cellStyle name="Comma 9 4 2 5 4" xfId="50895" xr:uid="{00000000-0005-0000-0000-00000BB60000}"/>
    <cellStyle name="Comma 9 4 2 5 5" xfId="50896" xr:uid="{00000000-0005-0000-0000-00000CB60000}"/>
    <cellStyle name="Comma 9 4 2 6" xfId="50897" xr:uid="{00000000-0005-0000-0000-00000DB60000}"/>
    <cellStyle name="Comma 9 4 2 6 2" xfId="50898" xr:uid="{00000000-0005-0000-0000-00000EB60000}"/>
    <cellStyle name="Comma 9 4 2 6 3" xfId="50899" xr:uid="{00000000-0005-0000-0000-00000FB60000}"/>
    <cellStyle name="Comma 9 4 2 7" xfId="50900" xr:uid="{00000000-0005-0000-0000-000010B60000}"/>
    <cellStyle name="Comma 9 4 2 7 2" xfId="50901" xr:uid="{00000000-0005-0000-0000-000011B60000}"/>
    <cellStyle name="Comma 9 4 2 7 3" xfId="50902" xr:uid="{00000000-0005-0000-0000-000012B60000}"/>
    <cellStyle name="Comma 9 4 2 8" xfId="50903" xr:uid="{00000000-0005-0000-0000-000013B60000}"/>
    <cellStyle name="Comma 9 4 2 8 2" xfId="50904" xr:uid="{00000000-0005-0000-0000-000014B60000}"/>
    <cellStyle name="Comma 9 4 2 9" xfId="50905" xr:uid="{00000000-0005-0000-0000-000015B60000}"/>
    <cellStyle name="Comma 9 4 3" xfId="3807" xr:uid="{00000000-0005-0000-0000-000016B60000}"/>
    <cellStyle name="Comma 9 4 3 2" xfId="3808" xr:uid="{00000000-0005-0000-0000-000017B60000}"/>
    <cellStyle name="Comma 9 4 3 2 2" xfId="50906" xr:uid="{00000000-0005-0000-0000-000018B60000}"/>
    <cellStyle name="Comma 9 4 3 2 2 2" xfId="50907" xr:uid="{00000000-0005-0000-0000-000019B60000}"/>
    <cellStyle name="Comma 9 4 3 2 2 3" xfId="50908" xr:uid="{00000000-0005-0000-0000-00001AB60000}"/>
    <cellStyle name="Comma 9 4 3 2 3" xfId="50909" xr:uid="{00000000-0005-0000-0000-00001BB60000}"/>
    <cellStyle name="Comma 9 4 3 2 3 2" xfId="50910" xr:uid="{00000000-0005-0000-0000-00001CB60000}"/>
    <cellStyle name="Comma 9 4 3 2 3 3" xfId="50911" xr:uid="{00000000-0005-0000-0000-00001DB60000}"/>
    <cellStyle name="Comma 9 4 3 2 4" xfId="50912" xr:uid="{00000000-0005-0000-0000-00001EB60000}"/>
    <cellStyle name="Comma 9 4 3 2 4 2" xfId="50913" xr:uid="{00000000-0005-0000-0000-00001FB60000}"/>
    <cellStyle name="Comma 9 4 3 2 5" xfId="50914" xr:uid="{00000000-0005-0000-0000-000020B60000}"/>
    <cellStyle name="Comma 9 4 3 2 6" xfId="50915" xr:uid="{00000000-0005-0000-0000-000021B60000}"/>
    <cellStyle name="Comma 9 4 3 3" xfId="50916" xr:uid="{00000000-0005-0000-0000-000022B60000}"/>
    <cellStyle name="Comma 9 4 3 3 2" xfId="50917" xr:uid="{00000000-0005-0000-0000-000023B60000}"/>
    <cellStyle name="Comma 9 4 3 3 2 2" xfId="50918" xr:uid="{00000000-0005-0000-0000-000024B60000}"/>
    <cellStyle name="Comma 9 4 3 3 2 3" xfId="50919" xr:uid="{00000000-0005-0000-0000-000025B60000}"/>
    <cellStyle name="Comma 9 4 3 3 3" xfId="50920" xr:uid="{00000000-0005-0000-0000-000026B60000}"/>
    <cellStyle name="Comma 9 4 3 3 3 2" xfId="50921" xr:uid="{00000000-0005-0000-0000-000027B60000}"/>
    <cellStyle name="Comma 9 4 3 3 3 3" xfId="50922" xr:uid="{00000000-0005-0000-0000-000028B60000}"/>
    <cellStyle name="Comma 9 4 3 3 4" xfId="50923" xr:uid="{00000000-0005-0000-0000-000029B60000}"/>
    <cellStyle name="Comma 9 4 3 3 4 2" xfId="50924" xr:uid="{00000000-0005-0000-0000-00002AB60000}"/>
    <cellStyle name="Comma 9 4 3 3 5" xfId="50925" xr:uid="{00000000-0005-0000-0000-00002BB60000}"/>
    <cellStyle name="Comma 9 4 3 3 6" xfId="50926" xr:uid="{00000000-0005-0000-0000-00002CB60000}"/>
    <cellStyle name="Comma 9 4 3 4" xfId="50927" xr:uid="{00000000-0005-0000-0000-00002DB60000}"/>
    <cellStyle name="Comma 9 4 3 4 2" xfId="50928" xr:uid="{00000000-0005-0000-0000-00002EB60000}"/>
    <cellStyle name="Comma 9 4 3 4 2 2" xfId="50929" xr:uid="{00000000-0005-0000-0000-00002FB60000}"/>
    <cellStyle name="Comma 9 4 3 4 2 3" xfId="50930" xr:uid="{00000000-0005-0000-0000-000030B60000}"/>
    <cellStyle name="Comma 9 4 3 4 3" xfId="50931" xr:uid="{00000000-0005-0000-0000-000031B60000}"/>
    <cellStyle name="Comma 9 4 3 4 3 2" xfId="50932" xr:uid="{00000000-0005-0000-0000-000032B60000}"/>
    <cellStyle name="Comma 9 4 3 4 4" xfId="50933" xr:uid="{00000000-0005-0000-0000-000033B60000}"/>
    <cellStyle name="Comma 9 4 3 4 5" xfId="50934" xr:uid="{00000000-0005-0000-0000-000034B60000}"/>
    <cellStyle name="Comma 9 4 3 5" xfId="50935" xr:uid="{00000000-0005-0000-0000-000035B60000}"/>
    <cellStyle name="Comma 9 4 3 5 2" xfId="50936" xr:uid="{00000000-0005-0000-0000-000036B60000}"/>
    <cellStyle name="Comma 9 4 3 5 3" xfId="50937" xr:uid="{00000000-0005-0000-0000-000037B60000}"/>
    <cellStyle name="Comma 9 4 3 6" xfId="50938" xr:uid="{00000000-0005-0000-0000-000038B60000}"/>
    <cellStyle name="Comma 9 4 3 6 2" xfId="50939" xr:uid="{00000000-0005-0000-0000-000039B60000}"/>
    <cellStyle name="Comma 9 4 3 6 3" xfId="50940" xr:uid="{00000000-0005-0000-0000-00003AB60000}"/>
    <cellStyle name="Comma 9 4 3 7" xfId="50941" xr:uid="{00000000-0005-0000-0000-00003BB60000}"/>
    <cellStyle name="Comma 9 4 3 7 2" xfId="50942" xr:uid="{00000000-0005-0000-0000-00003CB60000}"/>
    <cellStyle name="Comma 9 4 3 8" xfId="50943" xr:uid="{00000000-0005-0000-0000-00003DB60000}"/>
    <cellStyle name="Comma 9 4 3 9" xfId="50944" xr:uid="{00000000-0005-0000-0000-00003EB60000}"/>
    <cellStyle name="Comma 9 4 4" xfId="3809" xr:uid="{00000000-0005-0000-0000-00003FB60000}"/>
    <cellStyle name="Comma 9 4 4 2" xfId="50945" xr:uid="{00000000-0005-0000-0000-000040B60000}"/>
    <cellStyle name="Comma 9 4 4 2 2" xfId="50946" xr:uid="{00000000-0005-0000-0000-000041B60000}"/>
    <cellStyle name="Comma 9 4 4 2 2 2" xfId="50947" xr:uid="{00000000-0005-0000-0000-000042B60000}"/>
    <cellStyle name="Comma 9 4 4 2 2 3" xfId="50948" xr:uid="{00000000-0005-0000-0000-000043B60000}"/>
    <cellStyle name="Comma 9 4 4 2 3" xfId="50949" xr:uid="{00000000-0005-0000-0000-000044B60000}"/>
    <cellStyle name="Comma 9 4 4 2 3 2" xfId="50950" xr:uid="{00000000-0005-0000-0000-000045B60000}"/>
    <cellStyle name="Comma 9 4 4 2 3 3" xfId="50951" xr:uid="{00000000-0005-0000-0000-000046B60000}"/>
    <cellStyle name="Comma 9 4 4 2 4" xfId="50952" xr:uid="{00000000-0005-0000-0000-000047B60000}"/>
    <cellStyle name="Comma 9 4 4 2 4 2" xfId="50953" xr:uid="{00000000-0005-0000-0000-000048B60000}"/>
    <cellStyle name="Comma 9 4 4 2 5" xfId="50954" xr:uid="{00000000-0005-0000-0000-000049B60000}"/>
    <cellStyle name="Comma 9 4 4 2 6" xfId="50955" xr:uid="{00000000-0005-0000-0000-00004AB60000}"/>
    <cellStyle name="Comma 9 4 4 3" xfId="50956" xr:uid="{00000000-0005-0000-0000-00004BB60000}"/>
    <cellStyle name="Comma 9 4 4 3 2" xfId="50957" xr:uid="{00000000-0005-0000-0000-00004CB60000}"/>
    <cellStyle name="Comma 9 4 4 3 2 2" xfId="50958" xr:uid="{00000000-0005-0000-0000-00004DB60000}"/>
    <cellStyle name="Comma 9 4 4 3 2 3" xfId="50959" xr:uid="{00000000-0005-0000-0000-00004EB60000}"/>
    <cellStyle name="Comma 9 4 4 3 3" xfId="50960" xr:uid="{00000000-0005-0000-0000-00004FB60000}"/>
    <cellStyle name="Comma 9 4 4 3 3 2" xfId="50961" xr:uid="{00000000-0005-0000-0000-000050B60000}"/>
    <cellStyle name="Comma 9 4 4 3 3 3" xfId="50962" xr:uid="{00000000-0005-0000-0000-000051B60000}"/>
    <cellStyle name="Comma 9 4 4 3 4" xfId="50963" xr:uid="{00000000-0005-0000-0000-000052B60000}"/>
    <cellStyle name="Comma 9 4 4 3 4 2" xfId="50964" xr:uid="{00000000-0005-0000-0000-000053B60000}"/>
    <cellStyle name="Comma 9 4 4 3 5" xfId="50965" xr:uid="{00000000-0005-0000-0000-000054B60000}"/>
    <cellStyle name="Comma 9 4 4 3 6" xfId="50966" xr:uid="{00000000-0005-0000-0000-000055B60000}"/>
    <cellStyle name="Comma 9 4 4 4" xfId="50967" xr:uid="{00000000-0005-0000-0000-000056B60000}"/>
    <cellStyle name="Comma 9 4 4 4 2" xfId="50968" xr:uid="{00000000-0005-0000-0000-000057B60000}"/>
    <cellStyle name="Comma 9 4 4 4 2 2" xfId="50969" xr:uid="{00000000-0005-0000-0000-000058B60000}"/>
    <cellStyle name="Comma 9 4 4 4 2 3" xfId="50970" xr:uid="{00000000-0005-0000-0000-000059B60000}"/>
    <cellStyle name="Comma 9 4 4 4 3" xfId="50971" xr:uid="{00000000-0005-0000-0000-00005AB60000}"/>
    <cellStyle name="Comma 9 4 4 4 3 2" xfId="50972" xr:uid="{00000000-0005-0000-0000-00005BB60000}"/>
    <cellStyle name="Comma 9 4 4 4 4" xfId="50973" xr:uid="{00000000-0005-0000-0000-00005CB60000}"/>
    <cellStyle name="Comma 9 4 4 4 5" xfId="50974" xr:uid="{00000000-0005-0000-0000-00005DB60000}"/>
    <cellStyle name="Comma 9 4 4 5" xfId="50975" xr:uid="{00000000-0005-0000-0000-00005EB60000}"/>
    <cellStyle name="Comma 9 4 4 5 2" xfId="50976" xr:uid="{00000000-0005-0000-0000-00005FB60000}"/>
    <cellStyle name="Comma 9 4 4 5 3" xfId="50977" xr:uid="{00000000-0005-0000-0000-000060B60000}"/>
    <cellStyle name="Comma 9 4 4 6" xfId="50978" xr:uid="{00000000-0005-0000-0000-000061B60000}"/>
    <cellStyle name="Comma 9 4 4 6 2" xfId="50979" xr:uid="{00000000-0005-0000-0000-000062B60000}"/>
    <cellStyle name="Comma 9 4 4 6 3" xfId="50980" xr:uid="{00000000-0005-0000-0000-000063B60000}"/>
    <cellStyle name="Comma 9 4 4 7" xfId="50981" xr:uid="{00000000-0005-0000-0000-000064B60000}"/>
    <cellStyle name="Comma 9 4 4 7 2" xfId="50982" xr:uid="{00000000-0005-0000-0000-000065B60000}"/>
    <cellStyle name="Comma 9 4 4 8" xfId="50983" xr:uid="{00000000-0005-0000-0000-000066B60000}"/>
    <cellStyle name="Comma 9 4 4 9" xfId="50984" xr:uid="{00000000-0005-0000-0000-000067B60000}"/>
    <cellStyle name="Comma 9 4 5" xfId="50985" xr:uid="{00000000-0005-0000-0000-000068B60000}"/>
    <cellStyle name="Comma 9 4 5 2" xfId="50986" xr:uid="{00000000-0005-0000-0000-000069B60000}"/>
    <cellStyle name="Comma 9 4 5 2 2" xfId="50987" xr:uid="{00000000-0005-0000-0000-00006AB60000}"/>
    <cellStyle name="Comma 9 4 5 2 3" xfId="50988" xr:uid="{00000000-0005-0000-0000-00006BB60000}"/>
    <cellStyle name="Comma 9 4 5 3" xfId="50989" xr:uid="{00000000-0005-0000-0000-00006CB60000}"/>
    <cellStyle name="Comma 9 4 5 3 2" xfId="50990" xr:uid="{00000000-0005-0000-0000-00006DB60000}"/>
    <cellStyle name="Comma 9 4 5 3 3" xfId="50991" xr:uid="{00000000-0005-0000-0000-00006EB60000}"/>
    <cellStyle name="Comma 9 4 5 4" xfId="50992" xr:uid="{00000000-0005-0000-0000-00006FB60000}"/>
    <cellStyle name="Comma 9 4 5 4 2" xfId="50993" xr:uid="{00000000-0005-0000-0000-000070B60000}"/>
    <cellStyle name="Comma 9 4 5 5" xfId="50994" xr:uid="{00000000-0005-0000-0000-000071B60000}"/>
    <cellStyle name="Comma 9 4 5 6" xfId="50995" xr:uid="{00000000-0005-0000-0000-000072B60000}"/>
    <cellStyle name="Comma 9 4 6" xfId="50996" xr:uid="{00000000-0005-0000-0000-000073B60000}"/>
    <cellStyle name="Comma 9 4 6 2" xfId="50997" xr:uid="{00000000-0005-0000-0000-000074B60000}"/>
    <cellStyle name="Comma 9 4 6 2 2" xfId="50998" xr:uid="{00000000-0005-0000-0000-000075B60000}"/>
    <cellStyle name="Comma 9 4 6 2 3" xfId="50999" xr:uid="{00000000-0005-0000-0000-000076B60000}"/>
    <cellStyle name="Comma 9 4 6 3" xfId="51000" xr:uid="{00000000-0005-0000-0000-000077B60000}"/>
    <cellStyle name="Comma 9 4 6 3 2" xfId="51001" xr:uid="{00000000-0005-0000-0000-000078B60000}"/>
    <cellStyle name="Comma 9 4 6 3 3" xfId="51002" xr:uid="{00000000-0005-0000-0000-000079B60000}"/>
    <cellStyle name="Comma 9 4 6 4" xfId="51003" xr:uid="{00000000-0005-0000-0000-00007AB60000}"/>
    <cellStyle name="Comma 9 4 6 4 2" xfId="51004" xr:uid="{00000000-0005-0000-0000-00007BB60000}"/>
    <cellStyle name="Comma 9 4 6 5" xfId="51005" xr:uid="{00000000-0005-0000-0000-00007CB60000}"/>
    <cellStyle name="Comma 9 4 6 6" xfId="51006" xr:uid="{00000000-0005-0000-0000-00007DB60000}"/>
    <cellStyle name="Comma 9 4 7" xfId="51007" xr:uid="{00000000-0005-0000-0000-00007EB60000}"/>
    <cellStyle name="Comma 9 4 7 2" xfId="51008" xr:uid="{00000000-0005-0000-0000-00007FB60000}"/>
    <cellStyle name="Comma 9 4 7 2 2" xfId="51009" xr:uid="{00000000-0005-0000-0000-000080B60000}"/>
    <cellStyle name="Comma 9 4 7 2 3" xfId="51010" xr:uid="{00000000-0005-0000-0000-000081B60000}"/>
    <cellStyle name="Comma 9 4 7 3" xfId="51011" xr:uid="{00000000-0005-0000-0000-000082B60000}"/>
    <cellStyle name="Comma 9 4 7 3 2" xfId="51012" xr:uid="{00000000-0005-0000-0000-000083B60000}"/>
    <cellStyle name="Comma 9 4 7 4" xfId="51013" xr:uid="{00000000-0005-0000-0000-000084B60000}"/>
    <cellStyle name="Comma 9 4 7 5" xfId="51014" xr:uid="{00000000-0005-0000-0000-000085B60000}"/>
    <cellStyle name="Comma 9 4 8" xfId="51015" xr:uid="{00000000-0005-0000-0000-000086B60000}"/>
    <cellStyle name="Comma 9 4 8 2" xfId="51016" xr:uid="{00000000-0005-0000-0000-000087B60000}"/>
    <cellStyle name="Comma 9 4 8 3" xfId="51017" xr:uid="{00000000-0005-0000-0000-000088B60000}"/>
    <cellStyle name="Comma 9 4 9" xfId="51018" xr:uid="{00000000-0005-0000-0000-000089B60000}"/>
    <cellStyle name="Comma 9 4 9 2" xfId="51019" xr:uid="{00000000-0005-0000-0000-00008AB60000}"/>
    <cellStyle name="Comma 9 4 9 3" xfId="51020" xr:uid="{00000000-0005-0000-0000-00008BB60000}"/>
    <cellStyle name="Comma 9 5" xfId="3810" xr:uid="{00000000-0005-0000-0000-00008CB60000}"/>
    <cellStyle name="Comma 9 5 10" xfId="51021" xr:uid="{00000000-0005-0000-0000-00008DB60000}"/>
    <cellStyle name="Comma 9 5 2" xfId="3811" xr:uid="{00000000-0005-0000-0000-00008EB60000}"/>
    <cellStyle name="Comma 9 5 2 2" xfId="3812" xr:uid="{00000000-0005-0000-0000-00008FB60000}"/>
    <cellStyle name="Comma 9 5 2 2 2" xfId="51022" xr:uid="{00000000-0005-0000-0000-000090B60000}"/>
    <cellStyle name="Comma 9 5 2 2 2 2" xfId="51023" xr:uid="{00000000-0005-0000-0000-000091B60000}"/>
    <cellStyle name="Comma 9 5 2 2 2 3" xfId="51024" xr:uid="{00000000-0005-0000-0000-000092B60000}"/>
    <cellStyle name="Comma 9 5 2 2 3" xfId="51025" xr:uid="{00000000-0005-0000-0000-000093B60000}"/>
    <cellStyle name="Comma 9 5 2 2 3 2" xfId="51026" xr:uid="{00000000-0005-0000-0000-000094B60000}"/>
    <cellStyle name="Comma 9 5 2 2 3 3" xfId="51027" xr:uid="{00000000-0005-0000-0000-000095B60000}"/>
    <cellStyle name="Comma 9 5 2 2 4" xfId="51028" xr:uid="{00000000-0005-0000-0000-000096B60000}"/>
    <cellStyle name="Comma 9 5 2 2 4 2" xfId="51029" xr:uid="{00000000-0005-0000-0000-000097B60000}"/>
    <cellStyle name="Comma 9 5 2 2 5" xfId="51030" xr:uid="{00000000-0005-0000-0000-000098B60000}"/>
    <cellStyle name="Comma 9 5 2 2 6" xfId="51031" xr:uid="{00000000-0005-0000-0000-000099B60000}"/>
    <cellStyle name="Comma 9 5 2 3" xfId="51032" xr:uid="{00000000-0005-0000-0000-00009AB60000}"/>
    <cellStyle name="Comma 9 5 2 3 2" xfId="51033" xr:uid="{00000000-0005-0000-0000-00009BB60000}"/>
    <cellStyle name="Comma 9 5 2 3 2 2" xfId="51034" xr:uid="{00000000-0005-0000-0000-00009CB60000}"/>
    <cellStyle name="Comma 9 5 2 3 2 3" xfId="51035" xr:uid="{00000000-0005-0000-0000-00009DB60000}"/>
    <cellStyle name="Comma 9 5 2 3 3" xfId="51036" xr:uid="{00000000-0005-0000-0000-00009EB60000}"/>
    <cellStyle name="Comma 9 5 2 3 3 2" xfId="51037" xr:uid="{00000000-0005-0000-0000-00009FB60000}"/>
    <cellStyle name="Comma 9 5 2 3 3 3" xfId="51038" xr:uid="{00000000-0005-0000-0000-0000A0B60000}"/>
    <cellStyle name="Comma 9 5 2 3 4" xfId="51039" xr:uid="{00000000-0005-0000-0000-0000A1B60000}"/>
    <cellStyle name="Comma 9 5 2 3 4 2" xfId="51040" xr:uid="{00000000-0005-0000-0000-0000A2B60000}"/>
    <cellStyle name="Comma 9 5 2 3 5" xfId="51041" xr:uid="{00000000-0005-0000-0000-0000A3B60000}"/>
    <cellStyle name="Comma 9 5 2 3 6" xfId="51042" xr:uid="{00000000-0005-0000-0000-0000A4B60000}"/>
    <cellStyle name="Comma 9 5 2 4" xfId="51043" xr:uid="{00000000-0005-0000-0000-0000A5B60000}"/>
    <cellStyle name="Comma 9 5 2 4 2" xfId="51044" xr:uid="{00000000-0005-0000-0000-0000A6B60000}"/>
    <cellStyle name="Comma 9 5 2 4 2 2" xfId="51045" xr:uid="{00000000-0005-0000-0000-0000A7B60000}"/>
    <cellStyle name="Comma 9 5 2 4 2 3" xfId="51046" xr:uid="{00000000-0005-0000-0000-0000A8B60000}"/>
    <cellStyle name="Comma 9 5 2 4 3" xfId="51047" xr:uid="{00000000-0005-0000-0000-0000A9B60000}"/>
    <cellStyle name="Comma 9 5 2 4 3 2" xfId="51048" xr:uid="{00000000-0005-0000-0000-0000AAB60000}"/>
    <cellStyle name="Comma 9 5 2 4 4" xfId="51049" xr:uid="{00000000-0005-0000-0000-0000ABB60000}"/>
    <cellStyle name="Comma 9 5 2 4 5" xfId="51050" xr:uid="{00000000-0005-0000-0000-0000ACB60000}"/>
    <cellStyle name="Comma 9 5 2 5" xfId="51051" xr:uid="{00000000-0005-0000-0000-0000ADB60000}"/>
    <cellStyle name="Comma 9 5 2 5 2" xfId="51052" xr:uid="{00000000-0005-0000-0000-0000AEB60000}"/>
    <cellStyle name="Comma 9 5 2 5 3" xfId="51053" xr:uid="{00000000-0005-0000-0000-0000AFB60000}"/>
    <cellStyle name="Comma 9 5 2 6" xfId="51054" xr:uid="{00000000-0005-0000-0000-0000B0B60000}"/>
    <cellStyle name="Comma 9 5 2 6 2" xfId="51055" xr:uid="{00000000-0005-0000-0000-0000B1B60000}"/>
    <cellStyle name="Comma 9 5 2 6 3" xfId="51056" xr:uid="{00000000-0005-0000-0000-0000B2B60000}"/>
    <cellStyle name="Comma 9 5 2 7" xfId="51057" xr:uid="{00000000-0005-0000-0000-0000B3B60000}"/>
    <cellStyle name="Comma 9 5 2 7 2" xfId="51058" xr:uid="{00000000-0005-0000-0000-0000B4B60000}"/>
    <cellStyle name="Comma 9 5 2 8" xfId="51059" xr:uid="{00000000-0005-0000-0000-0000B5B60000}"/>
    <cellStyle name="Comma 9 5 2 9" xfId="51060" xr:uid="{00000000-0005-0000-0000-0000B6B60000}"/>
    <cellStyle name="Comma 9 5 3" xfId="3813" xr:uid="{00000000-0005-0000-0000-0000B7B60000}"/>
    <cellStyle name="Comma 9 5 3 2" xfId="51061" xr:uid="{00000000-0005-0000-0000-0000B8B60000}"/>
    <cellStyle name="Comma 9 5 3 2 2" xfId="51062" xr:uid="{00000000-0005-0000-0000-0000B9B60000}"/>
    <cellStyle name="Comma 9 5 3 2 3" xfId="51063" xr:uid="{00000000-0005-0000-0000-0000BAB60000}"/>
    <cellStyle name="Comma 9 5 3 3" xfId="51064" xr:uid="{00000000-0005-0000-0000-0000BBB60000}"/>
    <cellStyle name="Comma 9 5 3 3 2" xfId="51065" xr:uid="{00000000-0005-0000-0000-0000BCB60000}"/>
    <cellStyle name="Comma 9 5 3 3 3" xfId="51066" xr:uid="{00000000-0005-0000-0000-0000BDB60000}"/>
    <cellStyle name="Comma 9 5 3 4" xfId="51067" xr:uid="{00000000-0005-0000-0000-0000BEB60000}"/>
    <cellStyle name="Comma 9 5 3 4 2" xfId="51068" xr:uid="{00000000-0005-0000-0000-0000BFB60000}"/>
    <cellStyle name="Comma 9 5 3 5" xfId="51069" xr:uid="{00000000-0005-0000-0000-0000C0B60000}"/>
    <cellStyle name="Comma 9 5 3 6" xfId="51070" xr:uid="{00000000-0005-0000-0000-0000C1B60000}"/>
    <cellStyle name="Comma 9 5 4" xfId="51071" xr:uid="{00000000-0005-0000-0000-0000C2B60000}"/>
    <cellStyle name="Comma 9 5 4 2" xfId="51072" xr:uid="{00000000-0005-0000-0000-0000C3B60000}"/>
    <cellStyle name="Comma 9 5 4 2 2" xfId="51073" xr:uid="{00000000-0005-0000-0000-0000C4B60000}"/>
    <cellStyle name="Comma 9 5 4 2 3" xfId="51074" xr:uid="{00000000-0005-0000-0000-0000C5B60000}"/>
    <cellStyle name="Comma 9 5 4 3" xfId="51075" xr:uid="{00000000-0005-0000-0000-0000C6B60000}"/>
    <cellStyle name="Comma 9 5 4 3 2" xfId="51076" xr:uid="{00000000-0005-0000-0000-0000C7B60000}"/>
    <cellStyle name="Comma 9 5 4 3 3" xfId="51077" xr:uid="{00000000-0005-0000-0000-0000C8B60000}"/>
    <cellStyle name="Comma 9 5 4 4" xfId="51078" xr:uid="{00000000-0005-0000-0000-0000C9B60000}"/>
    <cellStyle name="Comma 9 5 4 4 2" xfId="51079" xr:uid="{00000000-0005-0000-0000-0000CAB60000}"/>
    <cellStyle name="Comma 9 5 4 5" xfId="51080" xr:uid="{00000000-0005-0000-0000-0000CBB60000}"/>
    <cellStyle name="Comma 9 5 4 6" xfId="51081" xr:uid="{00000000-0005-0000-0000-0000CCB60000}"/>
    <cellStyle name="Comma 9 5 5" xfId="51082" xr:uid="{00000000-0005-0000-0000-0000CDB60000}"/>
    <cellStyle name="Comma 9 5 5 2" xfId="51083" xr:uid="{00000000-0005-0000-0000-0000CEB60000}"/>
    <cellStyle name="Comma 9 5 5 2 2" xfId="51084" xr:uid="{00000000-0005-0000-0000-0000CFB60000}"/>
    <cellStyle name="Comma 9 5 5 2 3" xfId="51085" xr:uid="{00000000-0005-0000-0000-0000D0B60000}"/>
    <cellStyle name="Comma 9 5 5 3" xfId="51086" xr:uid="{00000000-0005-0000-0000-0000D1B60000}"/>
    <cellStyle name="Comma 9 5 5 3 2" xfId="51087" xr:uid="{00000000-0005-0000-0000-0000D2B60000}"/>
    <cellStyle name="Comma 9 5 5 4" xfId="51088" xr:uid="{00000000-0005-0000-0000-0000D3B60000}"/>
    <cellStyle name="Comma 9 5 5 5" xfId="51089" xr:uid="{00000000-0005-0000-0000-0000D4B60000}"/>
    <cellStyle name="Comma 9 5 6" xfId="51090" xr:uid="{00000000-0005-0000-0000-0000D5B60000}"/>
    <cellStyle name="Comma 9 5 6 2" xfId="51091" xr:uid="{00000000-0005-0000-0000-0000D6B60000}"/>
    <cellStyle name="Comma 9 5 6 3" xfId="51092" xr:uid="{00000000-0005-0000-0000-0000D7B60000}"/>
    <cellStyle name="Comma 9 5 7" xfId="51093" xr:uid="{00000000-0005-0000-0000-0000D8B60000}"/>
    <cellStyle name="Comma 9 5 7 2" xfId="51094" xr:uid="{00000000-0005-0000-0000-0000D9B60000}"/>
    <cellStyle name="Comma 9 5 7 3" xfId="51095" xr:uid="{00000000-0005-0000-0000-0000DAB60000}"/>
    <cellStyle name="Comma 9 5 8" xfId="51096" xr:uid="{00000000-0005-0000-0000-0000DBB60000}"/>
    <cellStyle name="Comma 9 5 8 2" xfId="51097" xr:uid="{00000000-0005-0000-0000-0000DCB60000}"/>
    <cellStyle name="Comma 9 5 9" xfId="51098" xr:uid="{00000000-0005-0000-0000-0000DDB60000}"/>
    <cellStyle name="Comma 9 6" xfId="3814" xr:uid="{00000000-0005-0000-0000-0000DEB60000}"/>
    <cellStyle name="Comma 9 6 2" xfId="3815" xr:uid="{00000000-0005-0000-0000-0000DFB60000}"/>
    <cellStyle name="Comma 9 6 2 2" xfId="51099" xr:uid="{00000000-0005-0000-0000-0000E0B60000}"/>
    <cellStyle name="Comma 9 6 2 2 2" xfId="51100" xr:uid="{00000000-0005-0000-0000-0000E1B60000}"/>
    <cellStyle name="Comma 9 6 2 2 3" xfId="51101" xr:uid="{00000000-0005-0000-0000-0000E2B60000}"/>
    <cellStyle name="Comma 9 6 2 3" xfId="51102" xr:uid="{00000000-0005-0000-0000-0000E3B60000}"/>
    <cellStyle name="Comma 9 6 2 3 2" xfId="51103" xr:uid="{00000000-0005-0000-0000-0000E4B60000}"/>
    <cellStyle name="Comma 9 6 2 3 3" xfId="51104" xr:uid="{00000000-0005-0000-0000-0000E5B60000}"/>
    <cellStyle name="Comma 9 6 2 4" xfId="51105" xr:uid="{00000000-0005-0000-0000-0000E6B60000}"/>
    <cellStyle name="Comma 9 6 2 4 2" xfId="51106" xr:uid="{00000000-0005-0000-0000-0000E7B60000}"/>
    <cellStyle name="Comma 9 6 2 5" xfId="51107" xr:uid="{00000000-0005-0000-0000-0000E8B60000}"/>
    <cellStyle name="Comma 9 6 2 6" xfId="51108" xr:uid="{00000000-0005-0000-0000-0000E9B60000}"/>
    <cellStyle name="Comma 9 6 3" xfId="51109" xr:uid="{00000000-0005-0000-0000-0000EAB60000}"/>
    <cellStyle name="Comma 9 6 3 2" xfId="51110" xr:uid="{00000000-0005-0000-0000-0000EBB60000}"/>
    <cellStyle name="Comma 9 6 3 2 2" xfId="51111" xr:uid="{00000000-0005-0000-0000-0000ECB60000}"/>
    <cellStyle name="Comma 9 6 3 2 3" xfId="51112" xr:uid="{00000000-0005-0000-0000-0000EDB60000}"/>
    <cellStyle name="Comma 9 6 3 3" xfId="51113" xr:uid="{00000000-0005-0000-0000-0000EEB60000}"/>
    <cellStyle name="Comma 9 6 3 3 2" xfId="51114" xr:uid="{00000000-0005-0000-0000-0000EFB60000}"/>
    <cellStyle name="Comma 9 6 3 3 3" xfId="51115" xr:uid="{00000000-0005-0000-0000-0000F0B60000}"/>
    <cellStyle name="Comma 9 6 3 4" xfId="51116" xr:uid="{00000000-0005-0000-0000-0000F1B60000}"/>
    <cellStyle name="Comma 9 6 3 4 2" xfId="51117" xr:uid="{00000000-0005-0000-0000-0000F2B60000}"/>
    <cellStyle name="Comma 9 6 3 5" xfId="51118" xr:uid="{00000000-0005-0000-0000-0000F3B60000}"/>
    <cellStyle name="Comma 9 6 3 6" xfId="51119" xr:uid="{00000000-0005-0000-0000-0000F4B60000}"/>
    <cellStyle name="Comma 9 6 4" xfId="51120" xr:uid="{00000000-0005-0000-0000-0000F5B60000}"/>
    <cellStyle name="Comma 9 6 4 2" xfId="51121" xr:uid="{00000000-0005-0000-0000-0000F6B60000}"/>
    <cellStyle name="Comma 9 6 4 2 2" xfId="51122" xr:uid="{00000000-0005-0000-0000-0000F7B60000}"/>
    <cellStyle name="Comma 9 6 4 2 3" xfId="51123" xr:uid="{00000000-0005-0000-0000-0000F8B60000}"/>
    <cellStyle name="Comma 9 6 4 3" xfId="51124" xr:uid="{00000000-0005-0000-0000-0000F9B60000}"/>
    <cellStyle name="Comma 9 6 4 3 2" xfId="51125" xr:uid="{00000000-0005-0000-0000-0000FAB60000}"/>
    <cellStyle name="Comma 9 6 4 4" xfId="51126" xr:uid="{00000000-0005-0000-0000-0000FBB60000}"/>
    <cellStyle name="Comma 9 6 4 5" xfId="51127" xr:uid="{00000000-0005-0000-0000-0000FCB60000}"/>
    <cellStyle name="Comma 9 6 5" xfId="51128" xr:uid="{00000000-0005-0000-0000-0000FDB60000}"/>
    <cellStyle name="Comma 9 6 5 2" xfId="51129" xr:uid="{00000000-0005-0000-0000-0000FEB60000}"/>
    <cellStyle name="Comma 9 6 5 3" xfId="51130" xr:uid="{00000000-0005-0000-0000-0000FFB60000}"/>
    <cellStyle name="Comma 9 6 6" xfId="51131" xr:uid="{00000000-0005-0000-0000-000000B70000}"/>
    <cellStyle name="Comma 9 6 6 2" xfId="51132" xr:uid="{00000000-0005-0000-0000-000001B70000}"/>
    <cellStyle name="Comma 9 6 6 3" xfId="51133" xr:uid="{00000000-0005-0000-0000-000002B70000}"/>
    <cellStyle name="Comma 9 6 7" xfId="51134" xr:uid="{00000000-0005-0000-0000-000003B70000}"/>
    <cellStyle name="Comma 9 6 7 2" xfId="51135" xr:uid="{00000000-0005-0000-0000-000004B70000}"/>
    <cellStyle name="Comma 9 6 8" xfId="51136" xr:uid="{00000000-0005-0000-0000-000005B70000}"/>
    <cellStyle name="Comma 9 6 9" xfId="51137" xr:uid="{00000000-0005-0000-0000-000006B70000}"/>
    <cellStyle name="Comma 9 7" xfId="3816" xr:uid="{00000000-0005-0000-0000-000007B70000}"/>
    <cellStyle name="Comma 9 7 2" xfId="51138" xr:uid="{00000000-0005-0000-0000-000008B70000}"/>
    <cellStyle name="Comma 9 7 2 2" xfId="51139" xr:uid="{00000000-0005-0000-0000-000009B70000}"/>
    <cellStyle name="Comma 9 7 2 2 2" xfId="51140" xr:uid="{00000000-0005-0000-0000-00000AB70000}"/>
    <cellStyle name="Comma 9 7 2 2 3" xfId="51141" xr:uid="{00000000-0005-0000-0000-00000BB70000}"/>
    <cellStyle name="Comma 9 7 2 3" xfId="51142" xr:uid="{00000000-0005-0000-0000-00000CB70000}"/>
    <cellStyle name="Comma 9 7 2 3 2" xfId="51143" xr:uid="{00000000-0005-0000-0000-00000DB70000}"/>
    <cellStyle name="Comma 9 7 2 3 3" xfId="51144" xr:uid="{00000000-0005-0000-0000-00000EB70000}"/>
    <cellStyle name="Comma 9 7 2 4" xfId="51145" xr:uid="{00000000-0005-0000-0000-00000FB70000}"/>
    <cellStyle name="Comma 9 7 2 4 2" xfId="51146" xr:uid="{00000000-0005-0000-0000-000010B70000}"/>
    <cellStyle name="Comma 9 7 2 5" xfId="51147" xr:uid="{00000000-0005-0000-0000-000011B70000}"/>
    <cellStyle name="Comma 9 7 2 6" xfId="51148" xr:uid="{00000000-0005-0000-0000-000012B70000}"/>
    <cellStyle name="Comma 9 7 3" xfId="51149" xr:uid="{00000000-0005-0000-0000-000013B70000}"/>
    <cellStyle name="Comma 9 7 3 2" xfId="51150" xr:uid="{00000000-0005-0000-0000-000014B70000}"/>
    <cellStyle name="Comma 9 7 3 2 2" xfId="51151" xr:uid="{00000000-0005-0000-0000-000015B70000}"/>
    <cellStyle name="Comma 9 7 3 2 3" xfId="51152" xr:uid="{00000000-0005-0000-0000-000016B70000}"/>
    <cellStyle name="Comma 9 7 3 3" xfId="51153" xr:uid="{00000000-0005-0000-0000-000017B70000}"/>
    <cellStyle name="Comma 9 7 3 3 2" xfId="51154" xr:uid="{00000000-0005-0000-0000-000018B70000}"/>
    <cellStyle name="Comma 9 7 3 3 3" xfId="51155" xr:uid="{00000000-0005-0000-0000-000019B70000}"/>
    <cellStyle name="Comma 9 7 3 4" xfId="51156" xr:uid="{00000000-0005-0000-0000-00001AB70000}"/>
    <cellStyle name="Comma 9 7 3 4 2" xfId="51157" xr:uid="{00000000-0005-0000-0000-00001BB70000}"/>
    <cellStyle name="Comma 9 7 3 5" xfId="51158" xr:uid="{00000000-0005-0000-0000-00001CB70000}"/>
    <cellStyle name="Comma 9 7 3 6" xfId="51159" xr:uid="{00000000-0005-0000-0000-00001DB70000}"/>
    <cellStyle name="Comma 9 7 4" xfId="51160" xr:uid="{00000000-0005-0000-0000-00001EB70000}"/>
    <cellStyle name="Comma 9 7 4 2" xfId="51161" xr:uid="{00000000-0005-0000-0000-00001FB70000}"/>
    <cellStyle name="Comma 9 7 4 2 2" xfId="51162" xr:uid="{00000000-0005-0000-0000-000020B70000}"/>
    <cellStyle name="Comma 9 7 4 2 3" xfId="51163" xr:uid="{00000000-0005-0000-0000-000021B70000}"/>
    <cellStyle name="Comma 9 7 4 3" xfId="51164" xr:uid="{00000000-0005-0000-0000-000022B70000}"/>
    <cellStyle name="Comma 9 7 4 3 2" xfId="51165" xr:uid="{00000000-0005-0000-0000-000023B70000}"/>
    <cellStyle name="Comma 9 7 4 4" xfId="51166" xr:uid="{00000000-0005-0000-0000-000024B70000}"/>
    <cellStyle name="Comma 9 7 4 5" xfId="51167" xr:uid="{00000000-0005-0000-0000-000025B70000}"/>
    <cellStyle name="Comma 9 7 5" xfId="51168" xr:uid="{00000000-0005-0000-0000-000026B70000}"/>
    <cellStyle name="Comma 9 7 5 2" xfId="51169" xr:uid="{00000000-0005-0000-0000-000027B70000}"/>
    <cellStyle name="Comma 9 7 5 3" xfId="51170" xr:uid="{00000000-0005-0000-0000-000028B70000}"/>
    <cellStyle name="Comma 9 7 6" xfId="51171" xr:uid="{00000000-0005-0000-0000-000029B70000}"/>
    <cellStyle name="Comma 9 7 6 2" xfId="51172" xr:uid="{00000000-0005-0000-0000-00002AB70000}"/>
    <cellStyle name="Comma 9 7 6 3" xfId="51173" xr:uid="{00000000-0005-0000-0000-00002BB70000}"/>
    <cellStyle name="Comma 9 7 7" xfId="51174" xr:uid="{00000000-0005-0000-0000-00002CB70000}"/>
    <cellStyle name="Comma 9 7 7 2" xfId="51175" xr:uid="{00000000-0005-0000-0000-00002DB70000}"/>
    <cellStyle name="Comma 9 7 8" xfId="51176" xr:uid="{00000000-0005-0000-0000-00002EB70000}"/>
    <cellStyle name="Comma 9 7 9" xfId="51177" xr:uid="{00000000-0005-0000-0000-00002FB70000}"/>
    <cellStyle name="Comma 9 8" xfId="3817" xr:uid="{00000000-0005-0000-0000-000030B70000}"/>
    <cellStyle name="Comma 9 8 2" xfId="51178" xr:uid="{00000000-0005-0000-0000-000031B70000}"/>
    <cellStyle name="Comma 9 8 2 2" xfId="51179" xr:uid="{00000000-0005-0000-0000-000032B70000}"/>
    <cellStyle name="Comma 9 8 2 3" xfId="51180" xr:uid="{00000000-0005-0000-0000-000033B70000}"/>
    <cellStyle name="Comma 9 8 3" xfId="51181" xr:uid="{00000000-0005-0000-0000-000034B70000}"/>
    <cellStyle name="Comma 9 8 3 2" xfId="51182" xr:uid="{00000000-0005-0000-0000-000035B70000}"/>
    <cellStyle name="Comma 9 8 3 3" xfId="51183" xr:uid="{00000000-0005-0000-0000-000036B70000}"/>
    <cellStyle name="Comma 9 8 4" xfId="51184" xr:uid="{00000000-0005-0000-0000-000037B70000}"/>
    <cellStyle name="Comma 9 8 4 2" xfId="51185" xr:uid="{00000000-0005-0000-0000-000038B70000}"/>
    <cellStyle name="Comma 9 8 5" xfId="51186" xr:uid="{00000000-0005-0000-0000-000039B70000}"/>
    <cellStyle name="Comma 9 8 6" xfId="51187" xr:uid="{00000000-0005-0000-0000-00003AB70000}"/>
    <cellStyle name="Comma 9 9" xfId="3818" xr:uid="{00000000-0005-0000-0000-00003BB70000}"/>
    <cellStyle name="Comma 9 9 2" xfId="51188" xr:uid="{00000000-0005-0000-0000-00003CB70000}"/>
    <cellStyle name="Comma 9 9 2 2" xfId="51189" xr:uid="{00000000-0005-0000-0000-00003DB70000}"/>
    <cellStyle name="Comma 9 9 2 3" xfId="51190" xr:uid="{00000000-0005-0000-0000-00003EB70000}"/>
    <cellStyle name="Comma 9 9 3" xfId="51191" xr:uid="{00000000-0005-0000-0000-00003FB70000}"/>
    <cellStyle name="Comma 9 9 3 2" xfId="51192" xr:uid="{00000000-0005-0000-0000-000040B70000}"/>
    <cellStyle name="Comma 9 9 3 3" xfId="51193" xr:uid="{00000000-0005-0000-0000-000041B70000}"/>
    <cellStyle name="Comma 9 9 4" xfId="51194" xr:uid="{00000000-0005-0000-0000-000042B70000}"/>
    <cellStyle name="Comma 9 9 4 2" xfId="51195" xr:uid="{00000000-0005-0000-0000-000043B70000}"/>
    <cellStyle name="Comma 9 9 5" xfId="51196" xr:uid="{00000000-0005-0000-0000-000044B70000}"/>
    <cellStyle name="Comma 9 9 6" xfId="51197" xr:uid="{00000000-0005-0000-0000-000045B70000}"/>
    <cellStyle name="Comma 90" xfId="9153" xr:uid="{00000000-0005-0000-0000-000046B70000}"/>
    <cellStyle name="Comma 91" xfId="8725" xr:uid="{00000000-0005-0000-0000-000047B70000}"/>
    <cellStyle name="Comma 92" xfId="8726" xr:uid="{00000000-0005-0000-0000-000048B70000}"/>
    <cellStyle name="Comma 93" xfId="8727" xr:uid="{00000000-0005-0000-0000-000049B70000}"/>
    <cellStyle name="Comma 94" xfId="8728" xr:uid="{00000000-0005-0000-0000-00004AB70000}"/>
    <cellStyle name="Comma 95" xfId="8729" xr:uid="{00000000-0005-0000-0000-00004BB70000}"/>
    <cellStyle name="Comma 96" xfId="8730" xr:uid="{00000000-0005-0000-0000-00004CB70000}"/>
    <cellStyle name="Comma 97" xfId="9373" xr:uid="{00000000-0005-0000-0000-00004DB70000}"/>
    <cellStyle name="Comma 98" xfId="8731" xr:uid="{00000000-0005-0000-0000-00004EB70000}"/>
    <cellStyle name="Comma 99" xfId="8732" xr:uid="{00000000-0005-0000-0000-00004FB70000}"/>
    <cellStyle name="Comma_KU COS Print File 2003q3" xfId="8672" xr:uid="{00000000-0005-0000-0000-000050B70000}"/>
    <cellStyle name="Comma0" xfId="3819" xr:uid="{00000000-0005-0000-0000-000051B70000}"/>
    <cellStyle name="Comma0 2" xfId="3820" xr:uid="{00000000-0005-0000-0000-000052B70000}"/>
    <cellStyle name="Comma0 2 2" xfId="3821" xr:uid="{00000000-0005-0000-0000-000053B70000}"/>
    <cellStyle name="Comma0 2 2 2" xfId="58875" xr:uid="{00000000-0005-0000-0000-000054B70000}"/>
    <cellStyle name="Comma0 2 3" xfId="58876" xr:uid="{00000000-0005-0000-0000-000055B70000}"/>
    <cellStyle name="Comma0 2 4" xfId="58877" xr:uid="{00000000-0005-0000-0000-000056B70000}"/>
    <cellStyle name="Comma0 3" xfId="3822" xr:uid="{00000000-0005-0000-0000-000057B70000}"/>
    <cellStyle name="Comma0 3 2" xfId="9612" xr:uid="{00000000-0005-0000-0000-000058B70000}"/>
    <cellStyle name="Comma0 3 2 2" xfId="58878" xr:uid="{00000000-0005-0000-0000-000059B70000}"/>
    <cellStyle name="Comma0 3 3" xfId="58879" xr:uid="{00000000-0005-0000-0000-00005AB70000}"/>
    <cellStyle name="Comma0 3 4" xfId="58880" xr:uid="{00000000-0005-0000-0000-00005BB70000}"/>
    <cellStyle name="Comma0 4" xfId="58881" xr:uid="{00000000-0005-0000-0000-00005CB70000}"/>
    <cellStyle name="Comma0_SCH11 Not Done" xfId="9613" xr:uid="{00000000-0005-0000-0000-00005DB70000}"/>
    <cellStyle name="Currency [0] 2" xfId="3823" xr:uid="{00000000-0005-0000-0000-00005EB70000}"/>
    <cellStyle name="Currency [0] 2 2" xfId="3824" xr:uid="{00000000-0005-0000-0000-00005FB70000}"/>
    <cellStyle name="Currency [0] 2 2 2" xfId="58882" xr:uid="{00000000-0005-0000-0000-000060B70000}"/>
    <cellStyle name="Currency [0] 2 2 2 2" xfId="58883" xr:uid="{00000000-0005-0000-0000-000061B70000}"/>
    <cellStyle name="Currency [0] 2 2 3" xfId="58884" xr:uid="{00000000-0005-0000-0000-000062B70000}"/>
    <cellStyle name="Currency [0] 2 2 4" xfId="58885" xr:uid="{00000000-0005-0000-0000-000063B70000}"/>
    <cellStyle name="Currency [0] 2 3" xfId="3825" xr:uid="{00000000-0005-0000-0000-000064B70000}"/>
    <cellStyle name="Currency [0] 2 3 2" xfId="58886" xr:uid="{00000000-0005-0000-0000-000065B70000}"/>
    <cellStyle name="Currency [0] 2 4" xfId="58887" xr:uid="{00000000-0005-0000-0000-000066B70000}"/>
    <cellStyle name="Currency [0] 2 4 2" xfId="58888" xr:uid="{00000000-0005-0000-0000-000067B70000}"/>
    <cellStyle name="Currency [0] 2 5" xfId="58889" xr:uid="{00000000-0005-0000-0000-000068B70000}"/>
    <cellStyle name="Currency [0] 2 6" xfId="58890" xr:uid="{00000000-0005-0000-0000-000069B70000}"/>
    <cellStyle name="Currency [0] 3" xfId="3826" xr:uid="{00000000-0005-0000-0000-00006AB70000}"/>
    <cellStyle name="Currency [0] 3 2" xfId="3827" xr:uid="{00000000-0005-0000-0000-00006BB70000}"/>
    <cellStyle name="Currency [0] 3 2 2" xfId="58891" xr:uid="{00000000-0005-0000-0000-00006CB70000}"/>
    <cellStyle name="Currency [0] 3 3" xfId="3828" xr:uid="{00000000-0005-0000-0000-00006DB70000}"/>
    <cellStyle name="Currency [0] 3 4" xfId="58892" xr:uid="{00000000-0005-0000-0000-00006EB70000}"/>
    <cellStyle name="Currency [0] 4" xfId="3829" xr:uid="{00000000-0005-0000-0000-00006FB70000}"/>
    <cellStyle name="Currency [0] 4 2" xfId="3830" xr:uid="{00000000-0005-0000-0000-000070B70000}"/>
    <cellStyle name="Currency [0] 5" xfId="3831" xr:uid="{00000000-0005-0000-0000-000071B70000}"/>
    <cellStyle name="Currency [0] 5 2" xfId="3832" xr:uid="{00000000-0005-0000-0000-000072B70000}"/>
    <cellStyle name="Currency [0] 6" xfId="9154" xr:uid="{00000000-0005-0000-0000-000073B70000}"/>
    <cellStyle name="Currency 10" xfId="3833" xr:uid="{00000000-0005-0000-0000-000074B70000}"/>
    <cellStyle name="Currency 10 2" xfId="3834" xr:uid="{00000000-0005-0000-0000-000075B70000}"/>
    <cellStyle name="Currency 10 2 2" xfId="58893" xr:uid="{00000000-0005-0000-0000-000076B70000}"/>
    <cellStyle name="Currency 10 2 3" xfId="58894" xr:uid="{00000000-0005-0000-0000-000077B70000}"/>
    <cellStyle name="Currency 10 3" xfId="58895" xr:uid="{00000000-0005-0000-0000-000078B70000}"/>
    <cellStyle name="Currency 10 3 2" xfId="58896" xr:uid="{00000000-0005-0000-0000-000079B70000}"/>
    <cellStyle name="Currency 10 4" xfId="58897" xr:uid="{00000000-0005-0000-0000-00007AB70000}"/>
    <cellStyle name="Currency 10 5" xfId="58898" xr:uid="{00000000-0005-0000-0000-00007BB70000}"/>
    <cellStyle name="Currency 10 6" xfId="58899" xr:uid="{00000000-0005-0000-0000-00007CB70000}"/>
    <cellStyle name="Currency 100" xfId="9614" xr:uid="{00000000-0005-0000-0000-00007DB70000}"/>
    <cellStyle name="Currency 101" xfId="9615" xr:uid="{00000000-0005-0000-0000-00007EB70000}"/>
    <cellStyle name="Currency 102" xfId="9616" xr:uid="{00000000-0005-0000-0000-00007FB70000}"/>
    <cellStyle name="Currency 103" xfId="9617" xr:uid="{00000000-0005-0000-0000-000080B70000}"/>
    <cellStyle name="Currency 104" xfId="9618" xr:uid="{00000000-0005-0000-0000-000081B70000}"/>
    <cellStyle name="Currency 105" xfId="9619" xr:uid="{00000000-0005-0000-0000-000082B70000}"/>
    <cellStyle name="Currency 106" xfId="9620" xr:uid="{00000000-0005-0000-0000-000083B70000}"/>
    <cellStyle name="Currency 107" xfId="9621" xr:uid="{00000000-0005-0000-0000-000084B70000}"/>
    <cellStyle name="Currency 108" xfId="9622" xr:uid="{00000000-0005-0000-0000-000085B70000}"/>
    <cellStyle name="Currency 109" xfId="9623" xr:uid="{00000000-0005-0000-0000-000086B70000}"/>
    <cellStyle name="Currency 11" xfId="3835" xr:uid="{00000000-0005-0000-0000-000087B70000}"/>
    <cellStyle name="Currency 11 2" xfId="3836" xr:uid="{00000000-0005-0000-0000-000088B70000}"/>
    <cellStyle name="Currency 11 2 2" xfId="58900" xr:uid="{00000000-0005-0000-0000-000089B70000}"/>
    <cellStyle name="Currency 11 3" xfId="3837" xr:uid="{00000000-0005-0000-0000-00008AB70000}"/>
    <cellStyle name="Currency 11 3 2" xfId="58901" xr:uid="{00000000-0005-0000-0000-00008BB70000}"/>
    <cellStyle name="Currency 11 4" xfId="58902" xr:uid="{00000000-0005-0000-0000-00008CB70000}"/>
    <cellStyle name="Currency 11 5" xfId="58903" xr:uid="{00000000-0005-0000-0000-00008DB70000}"/>
    <cellStyle name="Currency 110" xfId="9624" xr:uid="{00000000-0005-0000-0000-00008EB70000}"/>
    <cellStyle name="Currency 111" xfId="9625" xr:uid="{00000000-0005-0000-0000-00008FB70000}"/>
    <cellStyle name="Currency 112" xfId="9626" xr:uid="{00000000-0005-0000-0000-000090B70000}"/>
    <cellStyle name="Currency 113" xfId="9627" xr:uid="{00000000-0005-0000-0000-000091B70000}"/>
    <cellStyle name="Currency 114" xfId="9628" xr:uid="{00000000-0005-0000-0000-000092B70000}"/>
    <cellStyle name="Currency 115" xfId="9629" xr:uid="{00000000-0005-0000-0000-000093B70000}"/>
    <cellStyle name="Currency 116" xfId="9630" xr:uid="{00000000-0005-0000-0000-000094B70000}"/>
    <cellStyle name="Currency 117" xfId="9631" xr:uid="{00000000-0005-0000-0000-000095B70000}"/>
    <cellStyle name="Currency 118" xfId="9632" xr:uid="{00000000-0005-0000-0000-000096B70000}"/>
    <cellStyle name="Currency 119" xfId="9633" xr:uid="{00000000-0005-0000-0000-000097B70000}"/>
    <cellStyle name="Currency 12" xfId="3838" xr:uid="{00000000-0005-0000-0000-000098B70000}"/>
    <cellStyle name="Currency 12 2" xfId="3839" xr:uid="{00000000-0005-0000-0000-000099B70000}"/>
    <cellStyle name="Currency 12 2 2" xfId="58904" xr:uid="{00000000-0005-0000-0000-00009AB70000}"/>
    <cellStyle name="Currency 12 3" xfId="3840" xr:uid="{00000000-0005-0000-0000-00009BB70000}"/>
    <cellStyle name="Currency 12 3 2" xfId="58905" xr:uid="{00000000-0005-0000-0000-00009CB70000}"/>
    <cellStyle name="Currency 12 4" xfId="58906" xr:uid="{00000000-0005-0000-0000-00009DB70000}"/>
    <cellStyle name="Currency 12 5" xfId="58907" xr:uid="{00000000-0005-0000-0000-00009EB70000}"/>
    <cellStyle name="Currency 120" xfId="9634" xr:uid="{00000000-0005-0000-0000-00009FB70000}"/>
    <cellStyle name="Currency 120 2" xfId="9635" xr:uid="{00000000-0005-0000-0000-0000A0B70000}"/>
    <cellStyle name="Currency 120 3" xfId="9636" xr:uid="{00000000-0005-0000-0000-0000A1B70000}"/>
    <cellStyle name="Currency 121" xfId="9637" xr:uid="{00000000-0005-0000-0000-0000A2B70000}"/>
    <cellStyle name="Currency 121 2" xfId="9638" xr:uid="{00000000-0005-0000-0000-0000A3B70000}"/>
    <cellStyle name="Currency 121 3" xfId="9639" xr:uid="{00000000-0005-0000-0000-0000A4B70000}"/>
    <cellStyle name="Currency 122" xfId="9640" xr:uid="{00000000-0005-0000-0000-0000A5B70000}"/>
    <cellStyle name="Currency 122 2" xfId="58908" xr:uid="{00000000-0005-0000-0000-0000A6B70000}"/>
    <cellStyle name="Currency 123" xfId="9641" xr:uid="{00000000-0005-0000-0000-0000A7B70000}"/>
    <cellStyle name="Currency 123 2" xfId="58909" xr:uid="{00000000-0005-0000-0000-0000A8B70000}"/>
    <cellStyle name="Currency 124" xfId="9642" xr:uid="{00000000-0005-0000-0000-0000A9B70000}"/>
    <cellStyle name="Currency 124 2" xfId="58910" xr:uid="{00000000-0005-0000-0000-0000AAB70000}"/>
    <cellStyle name="Currency 125" xfId="51198" xr:uid="{00000000-0005-0000-0000-0000ABB70000}"/>
    <cellStyle name="Currency 126" xfId="58911" xr:uid="{00000000-0005-0000-0000-0000ACB70000}"/>
    <cellStyle name="Currency 127" xfId="58912" xr:uid="{00000000-0005-0000-0000-0000ADB70000}"/>
    <cellStyle name="Currency 128" xfId="58913" xr:uid="{00000000-0005-0000-0000-0000AEB70000}"/>
    <cellStyle name="Currency 129" xfId="58914" xr:uid="{00000000-0005-0000-0000-0000AFB70000}"/>
    <cellStyle name="Currency 13" xfId="3841" xr:uid="{00000000-0005-0000-0000-0000B0B70000}"/>
    <cellStyle name="Currency 13 2" xfId="3842" xr:uid="{00000000-0005-0000-0000-0000B1B70000}"/>
    <cellStyle name="Currency 13 2 2" xfId="58915" xr:uid="{00000000-0005-0000-0000-0000B2B70000}"/>
    <cellStyle name="Currency 13 3" xfId="3843" xr:uid="{00000000-0005-0000-0000-0000B3B70000}"/>
    <cellStyle name="Currency 13 3 2" xfId="58916" xr:uid="{00000000-0005-0000-0000-0000B4B70000}"/>
    <cellStyle name="Currency 13 4" xfId="58917" xr:uid="{00000000-0005-0000-0000-0000B5B70000}"/>
    <cellStyle name="Currency 13 5" xfId="58918" xr:uid="{00000000-0005-0000-0000-0000B6B70000}"/>
    <cellStyle name="Currency 130" xfId="58919" xr:uid="{00000000-0005-0000-0000-0000B7B70000}"/>
    <cellStyle name="Currency 131" xfId="58920" xr:uid="{00000000-0005-0000-0000-0000B8B70000}"/>
    <cellStyle name="Currency 132" xfId="58921" xr:uid="{00000000-0005-0000-0000-0000B9B70000}"/>
    <cellStyle name="Currency 133" xfId="58922" xr:uid="{00000000-0005-0000-0000-0000BAB70000}"/>
    <cellStyle name="Currency 134" xfId="58923" xr:uid="{00000000-0005-0000-0000-0000BBB70000}"/>
    <cellStyle name="Currency 135" xfId="58924" xr:uid="{00000000-0005-0000-0000-0000BCB70000}"/>
    <cellStyle name="Currency 136" xfId="58925" xr:uid="{00000000-0005-0000-0000-0000BDB70000}"/>
    <cellStyle name="Currency 136 2" xfId="58926" xr:uid="{00000000-0005-0000-0000-0000BEB70000}"/>
    <cellStyle name="Currency 137" xfId="58927" xr:uid="{00000000-0005-0000-0000-0000BFB70000}"/>
    <cellStyle name="Currency 138" xfId="58928" xr:uid="{00000000-0005-0000-0000-0000C0B70000}"/>
    <cellStyle name="Currency 139" xfId="58929" xr:uid="{00000000-0005-0000-0000-0000C1B70000}"/>
    <cellStyle name="Currency 14" xfId="3844" xr:uid="{00000000-0005-0000-0000-0000C2B70000}"/>
    <cellStyle name="Currency 14 2" xfId="3845" xr:uid="{00000000-0005-0000-0000-0000C3B70000}"/>
    <cellStyle name="Currency 14 2 2" xfId="58930" xr:uid="{00000000-0005-0000-0000-0000C4B70000}"/>
    <cellStyle name="Currency 14 3" xfId="3846" xr:uid="{00000000-0005-0000-0000-0000C5B70000}"/>
    <cellStyle name="Currency 14 3 2" xfId="58931" xr:uid="{00000000-0005-0000-0000-0000C6B70000}"/>
    <cellStyle name="Currency 14 4" xfId="58932" xr:uid="{00000000-0005-0000-0000-0000C7B70000}"/>
    <cellStyle name="Currency 14 5" xfId="58933" xr:uid="{00000000-0005-0000-0000-0000C8B70000}"/>
    <cellStyle name="Currency 140" xfId="58934" xr:uid="{00000000-0005-0000-0000-0000C9B70000}"/>
    <cellStyle name="Currency 141" xfId="58935" xr:uid="{00000000-0005-0000-0000-0000CAB70000}"/>
    <cellStyle name="Currency 142" xfId="58936" xr:uid="{00000000-0005-0000-0000-0000CBB70000}"/>
    <cellStyle name="Currency 143" xfId="58937" xr:uid="{00000000-0005-0000-0000-0000CCB70000}"/>
    <cellStyle name="Currency 144" xfId="58938" xr:uid="{00000000-0005-0000-0000-0000CDB70000}"/>
    <cellStyle name="Currency 145" xfId="58939" xr:uid="{00000000-0005-0000-0000-0000CEB70000}"/>
    <cellStyle name="Currency 146" xfId="58940" xr:uid="{00000000-0005-0000-0000-0000CFB70000}"/>
    <cellStyle name="Currency 147" xfId="58941" xr:uid="{00000000-0005-0000-0000-0000D0B70000}"/>
    <cellStyle name="Currency 148" xfId="58942" xr:uid="{00000000-0005-0000-0000-0000D1B70000}"/>
    <cellStyle name="Currency 149" xfId="58943" xr:uid="{00000000-0005-0000-0000-0000D2B70000}"/>
    <cellStyle name="Currency 15" xfId="3847" xr:uid="{00000000-0005-0000-0000-0000D3B70000}"/>
    <cellStyle name="Currency 15 2" xfId="3848" xr:uid="{00000000-0005-0000-0000-0000D4B70000}"/>
    <cellStyle name="Currency 15 2 2" xfId="58944" xr:uid="{00000000-0005-0000-0000-0000D5B70000}"/>
    <cellStyle name="Currency 15 3" xfId="58945" xr:uid="{00000000-0005-0000-0000-0000D6B70000}"/>
    <cellStyle name="Currency 15 3 2" xfId="58946" xr:uid="{00000000-0005-0000-0000-0000D7B70000}"/>
    <cellStyle name="Currency 15 4" xfId="58947" xr:uid="{00000000-0005-0000-0000-0000D8B70000}"/>
    <cellStyle name="Currency 15 5" xfId="58948" xr:uid="{00000000-0005-0000-0000-0000D9B70000}"/>
    <cellStyle name="Currency 150" xfId="58949" xr:uid="{00000000-0005-0000-0000-0000DAB70000}"/>
    <cellStyle name="Currency 150 2" xfId="58950" xr:uid="{00000000-0005-0000-0000-0000DBB70000}"/>
    <cellStyle name="Currency 151" xfId="58951" xr:uid="{00000000-0005-0000-0000-0000DCB70000}"/>
    <cellStyle name="Currency 152" xfId="58952" xr:uid="{00000000-0005-0000-0000-0000DDB70000}"/>
    <cellStyle name="Currency 153" xfId="58953" xr:uid="{00000000-0005-0000-0000-0000DEB70000}"/>
    <cellStyle name="Currency 154" xfId="58954" xr:uid="{00000000-0005-0000-0000-0000DFB70000}"/>
    <cellStyle name="Currency 155" xfId="58955" xr:uid="{00000000-0005-0000-0000-0000E0B70000}"/>
    <cellStyle name="Currency 156" xfId="58956" xr:uid="{00000000-0005-0000-0000-0000E1B70000}"/>
    <cellStyle name="Currency 157" xfId="58957" xr:uid="{00000000-0005-0000-0000-0000E2B70000}"/>
    <cellStyle name="Currency 158" xfId="58958" xr:uid="{00000000-0005-0000-0000-0000E3B70000}"/>
    <cellStyle name="Currency 159" xfId="58959" xr:uid="{00000000-0005-0000-0000-0000E4B70000}"/>
    <cellStyle name="Currency 16" xfId="3849" xr:uid="{00000000-0005-0000-0000-0000E5B70000}"/>
    <cellStyle name="Currency 16 2" xfId="3850" xr:uid="{00000000-0005-0000-0000-0000E6B70000}"/>
    <cellStyle name="Currency 16 2 2" xfId="58960" xr:uid="{00000000-0005-0000-0000-0000E7B70000}"/>
    <cellStyle name="Currency 16 3" xfId="58961" xr:uid="{00000000-0005-0000-0000-0000E8B70000}"/>
    <cellStyle name="Currency 16 3 2" xfId="58962" xr:uid="{00000000-0005-0000-0000-0000E9B70000}"/>
    <cellStyle name="Currency 16 4" xfId="58963" xr:uid="{00000000-0005-0000-0000-0000EAB70000}"/>
    <cellStyle name="Currency 16 5" xfId="58964" xr:uid="{00000000-0005-0000-0000-0000EBB70000}"/>
    <cellStyle name="Currency 160" xfId="58965" xr:uid="{00000000-0005-0000-0000-0000ECB70000}"/>
    <cellStyle name="Currency 161" xfId="58966" xr:uid="{00000000-0005-0000-0000-0000EDB70000}"/>
    <cellStyle name="Currency 162" xfId="58967" xr:uid="{00000000-0005-0000-0000-0000EEB70000}"/>
    <cellStyle name="Currency 163" xfId="58968" xr:uid="{00000000-0005-0000-0000-0000EFB70000}"/>
    <cellStyle name="Currency 164" xfId="58969" xr:uid="{00000000-0005-0000-0000-0000F0B70000}"/>
    <cellStyle name="Currency 164 2" xfId="61983" xr:uid="{00000000-0005-0000-0000-0000F1B70000}"/>
    <cellStyle name="Currency 165" xfId="58970" xr:uid="{00000000-0005-0000-0000-0000F2B70000}"/>
    <cellStyle name="Currency 166" xfId="58971" xr:uid="{00000000-0005-0000-0000-0000F3B70000}"/>
    <cellStyle name="Currency 167" xfId="58972" xr:uid="{00000000-0005-0000-0000-0000F4B70000}"/>
    <cellStyle name="Currency 168" xfId="58973" xr:uid="{00000000-0005-0000-0000-0000F5B70000}"/>
    <cellStyle name="Currency 169" xfId="58974" xr:uid="{00000000-0005-0000-0000-0000F6B70000}"/>
    <cellStyle name="Currency 17" xfId="3851" xr:uid="{00000000-0005-0000-0000-0000F7B70000}"/>
    <cellStyle name="Currency 17 2" xfId="3852" xr:uid="{00000000-0005-0000-0000-0000F8B70000}"/>
    <cellStyle name="Currency 17 2 2" xfId="58975" xr:uid="{00000000-0005-0000-0000-0000F9B70000}"/>
    <cellStyle name="Currency 17 3" xfId="58976" xr:uid="{00000000-0005-0000-0000-0000FAB70000}"/>
    <cellStyle name="Currency 17 3 2" xfId="58977" xr:uid="{00000000-0005-0000-0000-0000FBB70000}"/>
    <cellStyle name="Currency 17 4" xfId="58978" xr:uid="{00000000-0005-0000-0000-0000FCB70000}"/>
    <cellStyle name="Currency 17 5" xfId="58979" xr:uid="{00000000-0005-0000-0000-0000FDB70000}"/>
    <cellStyle name="Currency 170" xfId="58980" xr:uid="{00000000-0005-0000-0000-0000FEB70000}"/>
    <cellStyle name="Currency 171" xfId="58981" xr:uid="{00000000-0005-0000-0000-0000FFB70000}"/>
    <cellStyle name="Currency 172" xfId="58982" xr:uid="{00000000-0005-0000-0000-000000B80000}"/>
    <cellStyle name="Currency 173" xfId="58983" xr:uid="{00000000-0005-0000-0000-000001B80000}"/>
    <cellStyle name="Currency 174" xfId="58984" xr:uid="{00000000-0005-0000-0000-000002B80000}"/>
    <cellStyle name="Currency 175" xfId="58985" xr:uid="{00000000-0005-0000-0000-000003B80000}"/>
    <cellStyle name="Currency 18" xfId="3853" xr:uid="{00000000-0005-0000-0000-000004B80000}"/>
    <cellStyle name="Currency 18 2" xfId="3854" xr:uid="{00000000-0005-0000-0000-000005B80000}"/>
    <cellStyle name="Currency 18 2 2" xfId="58986" xr:uid="{00000000-0005-0000-0000-000006B80000}"/>
    <cellStyle name="Currency 18 3" xfId="58987" xr:uid="{00000000-0005-0000-0000-000007B80000}"/>
    <cellStyle name="Currency 18 3 2" xfId="58988" xr:uid="{00000000-0005-0000-0000-000008B80000}"/>
    <cellStyle name="Currency 18 4" xfId="58989" xr:uid="{00000000-0005-0000-0000-000009B80000}"/>
    <cellStyle name="Currency 18 5" xfId="58990" xr:uid="{00000000-0005-0000-0000-00000AB80000}"/>
    <cellStyle name="Currency 19" xfId="3855" xr:uid="{00000000-0005-0000-0000-00000BB80000}"/>
    <cellStyle name="Currency 19 2" xfId="3856" xr:uid="{00000000-0005-0000-0000-00000CB80000}"/>
    <cellStyle name="Currency 19 2 2" xfId="58991" xr:uid="{00000000-0005-0000-0000-00000DB80000}"/>
    <cellStyle name="Currency 19 3" xfId="58992" xr:uid="{00000000-0005-0000-0000-00000EB80000}"/>
    <cellStyle name="Currency 19 3 2" xfId="58993" xr:uid="{00000000-0005-0000-0000-00000FB80000}"/>
    <cellStyle name="Currency 19 4" xfId="58994" xr:uid="{00000000-0005-0000-0000-000010B80000}"/>
    <cellStyle name="Currency 19 5" xfId="58995" xr:uid="{00000000-0005-0000-0000-000011B80000}"/>
    <cellStyle name="Currency 2" xfId="3" xr:uid="{00000000-0005-0000-0000-000012B80000}"/>
    <cellStyle name="Currency 2 10" xfId="51199" xr:uid="{00000000-0005-0000-0000-000013B80000}"/>
    <cellStyle name="Currency 2 10 2" xfId="51200" xr:uid="{00000000-0005-0000-0000-000014B80000}"/>
    <cellStyle name="Currency 2 11" xfId="51201" xr:uid="{00000000-0005-0000-0000-000015B80000}"/>
    <cellStyle name="Currency 2 2" xfId="3857" xr:uid="{00000000-0005-0000-0000-000016B80000}"/>
    <cellStyle name="Currency 2 2 2" xfId="8400" xr:uid="{00000000-0005-0000-0000-000017B80000}"/>
    <cellStyle name="Currency 2 2 2 2" xfId="9643" xr:uid="{00000000-0005-0000-0000-000018B80000}"/>
    <cellStyle name="Currency 2 2 3" xfId="9644" xr:uid="{00000000-0005-0000-0000-000019B80000}"/>
    <cellStyle name="Currency 2 2 3 2" xfId="51202" xr:uid="{00000000-0005-0000-0000-00001AB80000}"/>
    <cellStyle name="Currency 2 2 4" xfId="51203" xr:uid="{00000000-0005-0000-0000-00001BB80000}"/>
    <cellStyle name="Currency 2 2 4 2" xfId="51204" xr:uid="{00000000-0005-0000-0000-00001CB80000}"/>
    <cellStyle name="Currency 2 3" xfId="3858" xr:uid="{00000000-0005-0000-0000-00001DB80000}"/>
    <cellStyle name="Currency 2 3 2" xfId="9645" xr:uid="{00000000-0005-0000-0000-00001EB80000}"/>
    <cellStyle name="Currency 2 3 2 2" xfId="51205" xr:uid="{00000000-0005-0000-0000-00001FB80000}"/>
    <cellStyle name="Currency 2 3 3" xfId="51206" xr:uid="{00000000-0005-0000-0000-000020B80000}"/>
    <cellStyle name="Currency 2 3 3 2" xfId="51207" xr:uid="{00000000-0005-0000-0000-000021B80000}"/>
    <cellStyle name="Currency 2 4" xfId="9646" xr:uid="{00000000-0005-0000-0000-000022B80000}"/>
    <cellStyle name="Currency 2 4 2" xfId="51208" xr:uid="{00000000-0005-0000-0000-000023B80000}"/>
    <cellStyle name="Currency 2 4 2 2" xfId="51209" xr:uid="{00000000-0005-0000-0000-000024B80000}"/>
    <cellStyle name="Currency 2 4 3" xfId="51210" xr:uid="{00000000-0005-0000-0000-000025B80000}"/>
    <cellStyle name="Currency 2 5" xfId="51211" xr:uid="{00000000-0005-0000-0000-000026B80000}"/>
    <cellStyle name="Currency 2 5 2" xfId="51212" xr:uid="{00000000-0005-0000-0000-000027B80000}"/>
    <cellStyle name="Currency 2 6" xfId="51213" xr:uid="{00000000-0005-0000-0000-000028B80000}"/>
    <cellStyle name="Currency 2 6 2" xfId="51214" xr:uid="{00000000-0005-0000-0000-000029B80000}"/>
    <cellStyle name="Currency 2 7" xfId="51215" xr:uid="{00000000-0005-0000-0000-00002AB80000}"/>
    <cellStyle name="Currency 2 7 2" xfId="51216" xr:uid="{00000000-0005-0000-0000-00002BB80000}"/>
    <cellStyle name="Currency 2 8" xfId="51217" xr:uid="{00000000-0005-0000-0000-00002CB80000}"/>
    <cellStyle name="Currency 2 8 2" xfId="51218" xr:uid="{00000000-0005-0000-0000-00002DB80000}"/>
    <cellStyle name="Currency 2 9" xfId="51219" xr:uid="{00000000-0005-0000-0000-00002EB80000}"/>
    <cellStyle name="Currency 2 9 2" xfId="51220" xr:uid="{00000000-0005-0000-0000-00002FB80000}"/>
    <cellStyle name="Currency 20" xfId="3859" xr:uid="{00000000-0005-0000-0000-000030B80000}"/>
    <cellStyle name="Currency 20 2" xfId="3860" xr:uid="{00000000-0005-0000-0000-000031B80000}"/>
    <cellStyle name="Currency 20 2 2" xfId="58996" xr:uid="{00000000-0005-0000-0000-000032B80000}"/>
    <cellStyle name="Currency 20 3" xfId="58997" xr:uid="{00000000-0005-0000-0000-000033B80000}"/>
    <cellStyle name="Currency 20 3 2" xfId="58998" xr:uid="{00000000-0005-0000-0000-000034B80000}"/>
    <cellStyle name="Currency 20 4" xfId="58999" xr:uid="{00000000-0005-0000-0000-000035B80000}"/>
    <cellStyle name="Currency 20 5" xfId="59000" xr:uid="{00000000-0005-0000-0000-000036B80000}"/>
    <cellStyle name="Currency 21" xfId="3861" xr:uid="{00000000-0005-0000-0000-000037B80000}"/>
    <cellStyle name="Currency 21 2" xfId="3862" xr:uid="{00000000-0005-0000-0000-000038B80000}"/>
    <cellStyle name="Currency 21 2 2" xfId="59001" xr:uid="{00000000-0005-0000-0000-000039B80000}"/>
    <cellStyle name="Currency 21 3" xfId="59002" xr:uid="{00000000-0005-0000-0000-00003AB80000}"/>
    <cellStyle name="Currency 21 3 2" xfId="59003" xr:uid="{00000000-0005-0000-0000-00003BB80000}"/>
    <cellStyle name="Currency 21 4" xfId="59004" xr:uid="{00000000-0005-0000-0000-00003CB80000}"/>
    <cellStyle name="Currency 21 5" xfId="59005" xr:uid="{00000000-0005-0000-0000-00003DB80000}"/>
    <cellStyle name="Currency 22" xfId="3863" xr:uid="{00000000-0005-0000-0000-00003EB80000}"/>
    <cellStyle name="Currency 22 2" xfId="3864" xr:uid="{00000000-0005-0000-0000-00003FB80000}"/>
    <cellStyle name="Currency 22 2 2" xfId="59006" xr:uid="{00000000-0005-0000-0000-000040B80000}"/>
    <cellStyle name="Currency 22 3" xfId="59007" xr:uid="{00000000-0005-0000-0000-000041B80000}"/>
    <cellStyle name="Currency 22 3 2" xfId="59008" xr:uid="{00000000-0005-0000-0000-000042B80000}"/>
    <cellStyle name="Currency 22 4" xfId="59009" xr:uid="{00000000-0005-0000-0000-000043B80000}"/>
    <cellStyle name="Currency 22 5" xfId="59010" xr:uid="{00000000-0005-0000-0000-000044B80000}"/>
    <cellStyle name="Currency 23" xfId="3865" xr:uid="{00000000-0005-0000-0000-000045B80000}"/>
    <cellStyle name="Currency 23 2" xfId="3866" xr:uid="{00000000-0005-0000-0000-000046B80000}"/>
    <cellStyle name="Currency 23 2 2" xfId="59011" xr:uid="{00000000-0005-0000-0000-000047B80000}"/>
    <cellStyle name="Currency 23 3" xfId="59012" xr:uid="{00000000-0005-0000-0000-000048B80000}"/>
    <cellStyle name="Currency 23 3 2" xfId="59013" xr:uid="{00000000-0005-0000-0000-000049B80000}"/>
    <cellStyle name="Currency 23 4" xfId="59014" xr:uid="{00000000-0005-0000-0000-00004AB80000}"/>
    <cellStyle name="Currency 23 5" xfId="59015" xr:uid="{00000000-0005-0000-0000-00004BB80000}"/>
    <cellStyle name="Currency 24" xfId="3867" xr:uid="{00000000-0005-0000-0000-00004CB80000}"/>
    <cellStyle name="Currency 24 2" xfId="3868" xr:uid="{00000000-0005-0000-0000-00004DB80000}"/>
    <cellStyle name="Currency 24 2 2" xfId="59016" xr:uid="{00000000-0005-0000-0000-00004EB80000}"/>
    <cellStyle name="Currency 24 3" xfId="59017" xr:uid="{00000000-0005-0000-0000-00004FB80000}"/>
    <cellStyle name="Currency 24 3 2" xfId="59018" xr:uid="{00000000-0005-0000-0000-000050B80000}"/>
    <cellStyle name="Currency 24 4" xfId="59019" xr:uid="{00000000-0005-0000-0000-000051B80000}"/>
    <cellStyle name="Currency 24 5" xfId="59020" xr:uid="{00000000-0005-0000-0000-000052B80000}"/>
    <cellStyle name="Currency 25" xfId="3869" xr:uid="{00000000-0005-0000-0000-000053B80000}"/>
    <cellStyle name="Currency 25 2" xfId="3870" xr:uid="{00000000-0005-0000-0000-000054B80000}"/>
    <cellStyle name="Currency 25 2 2" xfId="59021" xr:uid="{00000000-0005-0000-0000-000055B80000}"/>
    <cellStyle name="Currency 25 3" xfId="59022" xr:uid="{00000000-0005-0000-0000-000056B80000}"/>
    <cellStyle name="Currency 25 3 2" xfId="59023" xr:uid="{00000000-0005-0000-0000-000057B80000}"/>
    <cellStyle name="Currency 25 4" xfId="59024" xr:uid="{00000000-0005-0000-0000-000058B80000}"/>
    <cellStyle name="Currency 25 5" xfId="59025" xr:uid="{00000000-0005-0000-0000-000059B80000}"/>
    <cellStyle name="Currency 26" xfId="3871" xr:uid="{00000000-0005-0000-0000-00005AB80000}"/>
    <cellStyle name="Currency 26 2" xfId="3872" xr:uid="{00000000-0005-0000-0000-00005BB80000}"/>
    <cellStyle name="Currency 26 2 2" xfId="59026" xr:uid="{00000000-0005-0000-0000-00005CB80000}"/>
    <cellStyle name="Currency 26 3" xfId="59027" xr:uid="{00000000-0005-0000-0000-00005DB80000}"/>
    <cellStyle name="Currency 26 3 2" xfId="59028" xr:uid="{00000000-0005-0000-0000-00005EB80000}"/>
    <cellStyle name="Currency 26 4" xfId="59029" xr:uid="{00000000-0005-0000-0000-00005FB80000}"/>
    <cellStyle name="Currency 26 5" xfId="59030" xr:uid="{00000000-0005-0000-0000-000060B80000}"/>
    <cellStyle name="Currency 27" xfId="3873" xr:uid="{00000000-0005-0000-0000-000061B80000}"/>
    <cellStyle name="Currency 27 2" xfId="3874" xr:uid="{00000000-0005-0000-0000-000062B80000}"/>
    <cellStyle name="Currency 27 2 2" xfId="59031" xr:uid="{00000000-0005-0000-0000-000063B80000}"/>
    <cellStyle name="Currency 27 2 2 2" xfId="59032" xr:uid="{00000000-0005-0000-0000-000064B80000}"/>
    <cellStyle name="Currency 27 2 3" xfId="59033" xr:uid="{00000000-0005-0000-0000-000065B80000}"/>
    <cellStyle name="Currency 27 2 4" xfId="59034" xr:uid="{00000000-0005-0000-0000-000066B80000}"/>
    <cellStyle name="Currency 27 3" xfId="3875" xr:uid="{00000000-0005-0000-0000-000067B80000}"/>
    <cellStyle name="Currency 27 3 2" xfId="59035" xr:uid="{00000000-0005-0000-0000-000068B80000}"/>
    <cellStyle name="Currency 27 4" xfId="59036" xr:uid="{00000000-0005-0000-0000-000069B80000}"/>
    <cellStyle name="Currency 27 4 2" xfId="59037" xr:uid="{00000000-0005-0000-0000-00006AB80000}"/>
    <cellStyle name="Currency 27 5" xfId="59038" xr:uid="{00000000-0005-0000-0000-00006BB80000}"/>
    <cellStyle name="Currency 27 6" xfId="59039" xr:uid="{00000000-0005-0000-0000-00006CB80000}"/>
    <cellStyle name="Currency 28" xfId="3876" xr:uid="{00000000-0005-0000-0000-00006DB80000}"/>
    <cellStyle name="Currency 28 2" xfId="3877" xr:uid="{00000000-0005-0000-0000-00006EB80000}"/>
    <cellStyle name="Currency 28 2 2" xfId="59040" xr:uid="{00000000-0005-0000-0000-00006FB80000}"/>
    <cellStyle name="Currency 28 3" xfId="59041" xr:uid="{00000000-0005-0000-0000-000070B80000}"/>
    <cellStyle name="Currency 28 3 2" xfId="59042" xr:uid="{00000000-0005-0000-0000-000071B80000}"/>
    <cellStyle name="Currency 28 4" xfId="59043" xr:uid="{00000000-0005-0000-0000-000072B80000}"/>
    <cellStyle name="Currency 28 5" xfId="59044" xr:uid="{00000000-0005-0000-0000-000073B80000}"/>
    <cellStyle name="Currency 29" xfId="3878" xr:uid="{00000000-0005-0000-0000-000074B80000}"/>
    <cellStyle name="Currency 29 2" xfId="3879" xr:uid="{00000000-0005-0000-0000-000075B80000}"/>
    <cellStyle name="Currency 29 2 2" xfId="59045" xr:uid="{00000000-0005-0000-0000-000076B80000}"/>
    <cellStyle name="Currency 29 3" xfId="59046" xr:uid="{00000000-0005-0000-0000-000077B80000}"/>
    <cellStyle name="Currency 29 3 2" xfId="59047" xr:uid="{00000000-0005-0000-0000-000078B80000}"/>
    <cellStyle name="Currency 29 4" xfId="59048" xr:uid="{00000000-0005-0000-0000-000079B80000}"/>
    <cellStyle name="Currency 29 5" xfId="59049" xr:uid="{00000000-0005-0000-0000-00007AB80000}"/>
    <cellStyle name="Currency 3" xfId="3880" xr:uid="{00000000-0005-0000-0000-00007BB80000}"/>
    <cellStyle name="Currency 3 2" xfId="3881" xr:uid="{00000000-0005-0000-0000-00007CB80000}"/>
    <cellStyle name="Currency 3 2 2" xfId="3882" xr:uid="{00000000-0005-0000-0000-00007DB80000}"/>
    <cellStyle name="Currency 3 2 2 2" xfId="9155" xr:uid="{00000000-0005-0000-0000-00007EB80000}"/>
    <cellStyle name="Currency 3 2 2 2 2" xfId="59050" xr:uid="{00000000-0005-0000-0000-00007FB80000}"/>
    <cellStyle name="Currency 3 2 2 3" xfId="9156" xr:uid="{00000000-0005-0000-0000-000080B80000}"/>
    <cellStyle name="Currency 3 2 2 3 2" xfId="59051" xr:uid="{00000000-0005-0000-0000-000081B80000}"/>
    <cellStyle name="Currency 3 2 2 4" xfId="59052" xr:uid="{00000000-0005-0000-0000-000082B80000}"/>
    <cellStyle name="Currency 3 2 2 5" xfId="59053" xr:uid="{00000000-0005-0000-0000-000083B80000}"/>
    <cellStyle name="Currency 3 2 2 6" xfId="59054" xr:uid="{00000000-0005-0000-0000-000084B80000}"/>
    <cellStyle name="Currency 3 2 3" xfId="9157" xr:uid="{00000000-0005-0000-0000-000085B80000}"/>
    <cellStyle name="Currency 3 2 3 2" xfId="59055" xr:uid="{00000000-0005-0000-0000-000086B80000}"/>
    <cellStyle name="Currency 3 2 3 3" xfId="59056" xr:uid="{00000000-0005-0000-0000-000087B80000}"/>
    <cellStyle name="Currency 3 2 3 4" xfId="59057" xr:uid="{00000000-0005-0000-0000-000088B80000}"/>
    <cellStyle name="Currency 3 2 4" xfId="9158" xr:uid="{00000000-0005-0000-0000-000089B80000}"/>
    <cellStyle name="Currency 3 2 5" xfId="59058" xr:uid="{00000000-0005-0000-0000-00008AB80000}"/>
    <cellStyle name="Currency 3 3" xfId="3883" xr:uid="{00000000-0005-0000-0000-00008BB80000}"/>
    <cellStyle name="Currency 3 3 2" xfId="9159" xr:uid="{00000000-0005-0000-0000-00008CB80000}"/>
    <cellStyle name="Currency 3 3 2 2" xfId="59059" xr:uid="{00000000-0005-0000-0000-00008DB80000}"/>
    <cellStyle name="Currency 3 3 3" xfId="9160" xr:uid="{00000000-0005-0000-0000-00008EB80000}"/>
    <cellStyle name="Currency 3 3 3 2" xfId="59060" xr:uid="{00000000-0005-0000-0000-00008FB80000}"/>
    <cellStyle name="Currency 3 3 4" xfId="59061" xr:uid="{00000000-0005-0000-0000-000090B80000}"/>
    <cellStyle name="Currency 3 3 5" xfId="59062" xr:uid="{00000000-0005-0000-0000-000091B80000}"/>
    <cellStyle name="Currency 3 4" xfId="3884" xr:uid="{00000000-0005-0000-0000-000092B80000}"/>
    <cellStyle name="Currency 3 4 2" xfId="9161" xr:uid="{00000000-0005-0000-0000-000093B80000}"/>
    <cellStyle name="Currency 3 4 3" xfId="59063" xr:uid="{00000000-0005-0000-0000-000094B80000}"/>
    <cellStyle name="Currency 3 4 3 2" xfId="59064" xr:uid="{00000000-0005-0000-0000-000095B80000}"/>
    <cellStyle name="Currency 3 4 4" xfId="59065" xr:uid="{00000000-0005-0000-0000-000096B80000}"/>
    <cellStyle name="Currency 3 4 5" xfId="59066" xr:uid="{00000000-0005-0000-0000-000097B80000}"/>
    <cellStyle name="Currency 3 5" xfId="9162" xr:uid="{00000000-0005-0000-0000-000098B80000}"/>
    <cellStyle name="Currency 3 6" xfId="51221" xr:uid="{00000000-0005-0000-0000-000099B80000}"/>
    <cellStyle name="Currency 30" xfId="3885" xr:uid="{00000000-0005-0000-0000-00009AB80000}"/>
    <cellStyle name="Currency 30 2" xfId="3886" xr:uid="{00000000-0005-0000-0000-00009BB80000}"/>
    <cellStyle name="Currency 30 2 2" xfId="59067" xr:uid="{00000000-0005-0000-0000-00009CB80000}"/>
    <cellStyle name="Currency 30 3" xfId="59068" xr:uid="{00000000-0005-0000-0000-00009DB80000}"/>
    <cellStyle name="Currency 30 3 2" xfId="59069" xr:uid="{00000000-0005-0000-0000-00009EB80000}"/>
    <cellStyle name="Currency 30 4" xfId="59070" xr:uid="{00000000-0005-0000-0000-00009FB80000}"/>
    <cellStyle name="Currency 30 5" xfId="59071" xr:uid="{00000000-0005-0000-0000-0000A0B80000}"/>
    <cellStyle name="Currency 31" xfId="3887" xr:uid="{00000000-0005-0000-0000-0000A1B80000}"/>
    <cellStyle name="Currency 31 2" xfId="3888" xr:uid="{00000000-0005-0000-0000-0000A2B80000}"/>
    <cellStyle name="Currency 31 2 2" xfId="59072" xr:uid="{00000000-0005-0000-0000-0000A3B80000}"/>
    <cellStyle name="Currency 31 3" xfId="59073" xr:uid="{00000000-0005-0000-0000-0000A4B80000}"/>
    <cellStyle name="Currency 31 3 2" xfId="59074" xr:uid="{00000000-0005-0000-0000-0000A5B80000}"/>
    <cellStyle name="Currency 31 4" xfId="59075" xr:uid="{00000000-0005-0000-0000-0000A6B80000}"/>
    <cellStyle name="Currency 31 5" xfId="59076" xr:uid="{00000000-0005-0000-0000-0000A7B80000}"/>
    <cellStyle name="Currency 32" xfId="3889" xr:uid="{00000000-0005-0000-0000-0000A8B80000}"/>
    <cellStyle name="Currency 32 2" xfId="3890" xr:uid="{00000000-0005-0000-0000-0000A9B80000}"/>
    <cellStyle name="Currency 32 2 2" xfId="59077" xr:uid="{00000000-0005-0000-0000-0000AAB80000}"/>
    <cellStyle name="Currency 32 3" xfId="59078" xr:uid="{00000000-0005-0000-0000-0000ABB80000}"/>
    <cellStyle name="Currency 32 3 2" xfId="59079" xr:uid="{00000000-0005-0000-0000-0000ACB80000}"/>
    <cellStyle name="Currency 32 4" xfId="59080" xr:uid="{00000000-0005-0000-0000-0000ADB80000}"/>
    <cellStyle name="Currency 32 5" xfId="59081" xr:uid="{00000000-0005-0000-0000-0000AEB80000}"/>
    <cellStyle name="Currency 33" xfId="3891" xr:uid="{00000000-0005-0000-0000-0000AFB80000}"/>
    <cellStyle name="Currency 34" xfId="3892" xr:uid="{00000000-0005-0000-0000-0000B0B80000}"/>
    <cellStyle name="Currency 35" xfId="3893" xr:uid="{00000000-0005-0000-0000-0000B1B80000}"/>
    <cellStyle name="Currency 36" xfId="3894" xr:uid="{00000000-0005-0000-0000-0000B2B80000}"/>
    <cellStyle name="Currency 37" xfId="3895" xr:uid="{00000000-0005-0000-0000-0000B3B80000}"/>
    <cellStyle name="Currency 38" xfId="3896" xr:uid="{00000000-0005-0000-0000-0000B4B80000}"/>
    <cellStyle name="Currency 39" xfId="3897" xr:uid="{00000000-0005-0000-0000-0000B5B80000}"/>
    <cellStyle name="Currency 4" xfId="3898" xr:uid="{00000000-0005-0000-0000-0000B6B80000}"/>
    <cellStyle name="Currency 4 10" xfId="51222" xr:uid="{00000000-0005-0000-0000-0000B7B80000}"/>
    <cellStyle name="Currency 4 10 2" xfId="51223" xr:uid="{00000000-0005-0000-0000-0000B8B80000}"/>
    <cellStyle name="Currency 4 10 2 2" xfId="51224" xr:uid="{00000000-0005-0000-0000-0000B9B80000}"/>
    <cellStyle name="Currency 4 10 2 3" xfId="51225" xr:uid="{00000000-0005-0000-0000-0000BAB80000}"/>
    <cellStyle name="Currency 4 10 3" xfId="51226" xr:uid="{00000000-0005-0000-0000-0000BBB80000}"/>
    <cellStyle name="Currency 4 10 3 2" xfId="51227" xr:uid="{00000000-0005-0000-0000-0000BCB80000}"/>
    <cellStyle name="Currency 4 10 4" xfId="51228" xr:uid="{00000000-0005-0000-0000-0000BDB80000}"/>
    <cellStyle name="Currency 4 10 5" xfId="51229" xr:uid="{00000000-0005-0000-0000-0000BEB80000}"/>
    <cellStyle name="Currency 4 11" xfId="51230" xr:uid="{00000000-0005-0000-0000-0000BFB80000}"/>
    <cellStyle name="Currency 4 11 2" xfId="51231" xr:uid="{00000000-0005-0000-0000-0000C0B80000}"/>
    <cellStyle name="Currency 4 11 3" xfId="51232" xr:uid="{00000000-0005-0000-0000-0000C1B80000}"/>
    <cellStyle name="Currency 4 12" xfId="51233" xr:uid="{00000000-0005-0000-0000-0000C2B80000}"/>
    <cellStyle name="Currency 4 12 2" xfId="51234" xr:uid="{00000000-0005-0000-0000-0000C3B80000}"/>
    <cellStyle name="Currency 4 12 3" xfId="51235" xr:uid="{00000000-0005-0000-0000-0000C4B80000}"/>
    <cellStyle name="Currency 4 13" xfId="51236" xr:uid="{00000000-0005-0000-0000-0000C5B80000}"/>
    <cellStyle name="Currency 4 13 2" xfId="51237" xr:uid="{00000000-0005-0000-0000-0000C6B80000}"/>
    <cellStyle name="Currency 4 14" xfId="51238" xr:uid="{00000000-0005-0000-0000-0000C7B80000}"/>
    <cellStyle name="Currency 4 15" xfId="51239" xr:uid="{00000000-0005-0000-0000-0000C8B80000}"/>
    <cellStyle name="Currency 4 16" xfId="51240" xr:uid="{00000000-0005-0000-0000-0000C9B80000}"/>
    <cellStyle name="Currency 4 2" xfId="3899" xr:uid="{00000000-0005-0000-0000-0000CAB80000}"/>
    <cellStyle name="Currency 4 2 10" xfId="51241" xr:uid="{00000000-0005-0000-0000-0000CBB80000}"/>
    <cellStyle name="Currency 4 2 10 2" xfId="51242" xr:uid="{00000000-0005-0000-0000-0000CCB80000}"/>
    <cellStyle name="Currency 4 2 10 3" xfId="51243" xr:uid="{00000000-0005-0000-0000-0000CDB80000}"/>
    <cellStyle name="Currency 4 2 11" xfId="51244" xr:uid="{00000000-0005-0000-0000-0000CEB80000}"/>
    <cellStyle name="Currency 4 2 11 2" xfId="51245" xr:uid="{00000000-0005-0000-0000-0000CFB80000}"/>
    <cellStyle name="Currency 4 2 11 3" xfId="51246" xr:uid="{00000000-0005-0000-0000-0000D0B80000}"/>
    <cellStyle name="Currency 4 2 12" xfId="51247" xr:uid="{00000000-0005-0000-0000-0000D1B80000}"/>
    <cellStyle name="Currency 4 2 12 2" xfId="51248" xr:uid="{00000000-0005-0000-0000-0000D2B80000}"/>
    <cellStyle name="Currency 4 2 13" xfId="51249" xr:uid="{00000000-0005-0000-0000-0000D3B80000}"/>
    <cellStyle name="Currency 4 2 14" xfId="51250" xr:uid="{00000000-0005-0000-0000-0000D4B80000}"/>
    <cellStyle name="Currency 4 2 15" xfId="51251" xr:uid="{00000000-0005-0000-0000-0000D5B80000}"/>
    <cellStyle name="Currency 4 2 2" xfId="3900" xr:uid="{00000000-0005-0000-0000-0000D6B80000}"/>
    <cellStyle name="Currency 4 2 2 10" xfId="51252" xr:uid="{00000000-0005-0000-0000-0000D7B80000}"/>
    <cellStyle name="Currency 4 2 2 10 2" xfId="51253" xr:uid="{00000000-0005-0000-0000-0000D8B80000}"/>
    <cellStyle name="Currency 4 2 2 10 3" xfId="51254" xr:uid="{00000000-0005-0000-0000-0000D9B80000}"/>
    <cellStyle name="Currency 4 2 2 11" xfId="51255" xr:uid="{00000000-0005-0000-0000-0000DAB80000}"/>
    <cellStyle name="Currency 4 2 2 11 2" xfId="51256" xr:uid="{00000000-0005-0000-0000-0000DBB80000}"/>
    <cellStyle name="Currency 4 2 2 12" xfId="51257" xr:uid="{00000000-0005-0000-0000-0000DCB80000}"/>
    <cellStyle name="Currency 4 2 2 13" xfId="51258" xr:uid="{00000000-0005-0000-0000-0000DDB80000}"/>
    <cellStyle name="Currency 4 2 2 2" xfId="9163" xr:uid="{00000000-0005-0000-0000-0000DEB80000}"/>
    <cellStyle name="Currency 4 2 2 2 10" xfId="51259" xr:uid="{00000000-0005-0000-0000-0000DFB80000}"/>
    <cellStyle name="Currency 4 2 2 2 10 2" xfId="51260" xr:uid="{00000000-0005-0000-0000-0000E0B80000}"/>
    <cellStyle name="Currency 4 2 2 2 11" xfId="51261" xr:uid="{00000000-0005-0000-0000-0000E1B80000}"/>
    <cellStyle name="Currency 4 2 2 2 12" xfId="51262" xr:uid="{00000000-0005-0000-0000-0000E2B80000}"/>
    <cellStyle name="Currency 4 2 2 2 2" xfId="51263" xr:uid="{00000000-0005-0000-0000-0000E3B80000}"/>
    <cellStyle name="Currency 4 2 2 2 2 10" xfId="51264" xr:uid="{00000000-0005-0000-0000-0000E4B80000}"/>
    <cellStyle name="Currency 4 2 2 2 2 2" xfId="51265" xr:uid="{00000000-0005-0000-0000-0000E5B80000}"/>
    <cellStyle name="Currency 4 2 2 2 2 2 2" xfId="51266" xr:uid="{00000000-0005-0000-0000-0000E6B80000}"/>
    <cellStyle name="Currency 4 2 2 2 2 2 2 2" xfId="51267" xr:uid="{00000000-0005-0000-0000-0000E7B80000}"/>
    <cellStyle name="Currency 4 2 2 2 2 2 2 2 2" xfId="51268" xr:uid="{00000000-0005-0000-0000-0000E8B80000}"/>
    <cellStyle name="Currency 4 2 2 2 2 2 2 2 3" xfId="51269" xr:uid="{00000000-0005-0000-0000-0000E9B80000}"/>
    <cellStyle name="Currency 4 2 2 2 2 2 2 3" xfId="51270" xr:uid="{00000000-0005-0000-0000-0000EAB80000}"/>
    <cellStyle name="Currency 4 2 2 2 2 2 2 3 2" xfId="51271" xr:uid="{00000000-0005-0000-0000-0000EBB80000}"/>
    <cellStyle name="Currency 4 2 2 2 2 2 2 3 3" xfId="51272" xr:uid="{00000000-0005-0000-0000-0000ECB80000}"/>
    <cellStyle name="Currency 4 2 2 2 2 2 2 4" xfId="51273" xr:uid="{00000000-0005-0000-0000-0000EDB80000}"/>
    <cellStyle name="Currency 4 2 2 2 2 2 2 4 2" xfId="51274" xr:uid="{00000000-0005-0000-0000-0000EEB80000}"/>
    <cellStyle name="Currency 4 2 2 2 2 2 2 5" xfId="51275" xr:uid="{00000000-0005-0000-0000-0000EFB80000}"/>
    <cellStyle name="Currency 4 2 2 2 2 2 2 6" xfId="51276" xr:uid="{00000000-0005-0000-0000-0000F0B80000}"/>
    <cellStyle name="Currency 4 2 2 2 2 2 3" xfId="51277" xr:uid="{00000000-0005-0000-0000-0000F1B80000}"/>
    <cellStyle name="Currency 4 2 2 2 2 2 3 2" xfId="51278" xr:uid="{00000000-0005-0000-0000-0000F2B80000}"/>
    <cellStyle name="Currency 4 2 2 2 2 2 3 2 2" xfId="51279" xr:uid="{00000000-0005-0000-0000-0000F3B80000}"/>
    <cellStyle name="Currency 4 2 2 2 2 2 3 2 3" xfId="51280" xr:uid="{00000000-0005-0000-0000-0000F4B80000}"/>
    <cellStyle name="Currency 4 2 2 2 2 2 3 3" xfId="51281" xr:uid="{00000000-0005-0000-0000-0000F5B80000}"/>
    <cellStyle name="Currency 4 2 2 2 2 2 3 3 2" xfId="51282" xr:uid="{00000000-0005-0000-0000-0000F6B80000}"/>
    <cellStyle name="Currency 4 2 2 2 2 2 3 3 3" xfId="51283" xr:uid="{00000000-0005-0000-0000-0000F7B80000}"/>
    <cellStyle name="Currency 4 2 2 2 2 2 3 4" xfId="51284" xr:uid="{00000000-0005-0000-0000-0000F8B80000}"/>
    <cellStyle name="Currency 4 2 2 2 2 2 3 4 2" xfId="51285" xr:uid="{00000000-0005-0000-0000-0000F9B80000}"/>
    <cellStyle name="Currency 4 2 2 2 2 2 3 5" xfId="51286" xr:uid="{00000000-0005-0000-0000-0000FAB80000}"/>
    <cellStyle name="Currency 4 2 2 2 2 2 3 6" xfId="51287" xr:uid="{00000000-0005-0000-0000-0000FBB80000}"/>
    <cellStyle name="Currency 4 2 2 2 2 2 4" xfId="51288" xr:uid="{00000000-0005-0000-0000-0000FCB80000}"/>
    <cellStyle name="Currency 4 2 2 2 2 2 4 2" xfId="51289" xr:uid="{00000000-0005-0000-0000-0000FDB80000}"/>
    <cellStyle name="Currency 4 2 2 2 2 2 4 2 2" xfId="51290" xr:uid="{00000000-0005-0000-0000-0000FEB80000}"/>
    <cellStyle name="Currency 4 2 2 2 2 2 4 2 3" xfId="51291" xr:uid="{00000000-0005-0000-0000-0000FFB80000}"/>
    <cellStyle name="Currency 4 2 2 2 2 2 4 3" xfId="51292" xr:uid="{00000000-0005-0000-0000-000000B90000}"/>
    <cellStyle name="Currency 4 2 2 2 2 2 4 3 2" xfId="51293" xr:uid="{00000000-0005-0000-0000-000001B90000}"/>
    <cellStyle name="Currency 4 2 2 2 2 2 4 4" xfId="51294" xr:uid="{00000000-0005-0000-0000-000002B90000}"/>
    <cellStyle name="Currency 4 2 2 2 2 2 4 5" xfId="51295" xr:uid="{00000000-0005-0000-0000-000003B90000}"/>
    <cellStyle name="Currency 4 2 2 2 2 2 5" xfId="51296" xr:uid="{00000000-0005-0000-0000-000004B90000}"/>
    <cellStyle name="Currency 4 2 2 2 2 2 5 2" xfId="51297" xr:uid="{00000000-0005-0000-0000-000005B90000}"/>
    <cellStyle name="Currency 4 2 2 2 2 2 5 3" xfId="51298" xr:uid="{00000000-0005-0000-0000-000006B90000}"/>
    <cellStyle name="Currency 4 2 2 2 2 2 6" xfId="51299" xr:uid="{00000000-0005-0000-0000-000007B90000}"/>
    <cellStyle name="Currency 4 2 2 2 2 2 6 2" xfId="51300" xr:uid="{00000000-0005-0000-0000-000008B90000}"/>
    <cellStyle name="Currency 4 2 2 2 2 2 6 3" xfId="51301" xr:uid="{00000000-0005-0000-0000-000009B90000}"/>
    <cellStyle name="Currency 4 2 2 2 2 2 7" xfId="51302" xr:uid="{00000000-0005-0000-0000-00000AB90000}"/>
    <cellStyle name="Currency 4 2 2 2 2 2 7 2" xfId="51303" xr:uid="{00000000-0005-0000-0000-00000BB90000}"/>
    <cellStyle name="Currency 4 2 2 2 2 2 8" xfId="51304" xr:uid="{00000000-0005-0000-0000-00000CB90000}"/>
    <cellStyle name="Currency 4 2 2 2 2 2 9" xfId="51305" xr:uid="{00000000-0005-0000-0000-00000DB90000}"/>
    <cellStyle name="Currency 4 2 2 2 2 3" xfId="51306" xr:uid="{00000000-0005-0000-0000-00000EB90000}"/>
    <cellStyle name="Currency 4 2 2 2 2 3 2" xfId="51307" xr:uid="{00000000-0005-0000-0000-00000FB90000}"/>
    <cellStyle name="Currency 4 2 2 2 2 3 2 2" xfId="51308" xr:uid="{00000000-0005-0000-0000-000010B90000}"/>
    <cellStyle name="Currency 4 2 2 2 2 3 2 3" xfId="51309" xr:uid="{00000000-0005-0000-0000-000011B90000}"/>
    <cellStyle name="Currency 4 2 2 2 2 3 3" xfId="51310" xr:uid="{00000000-0005-0000-0000-000012B90000}"/>
    <cellStyle name="Currency 4 2 2 2 2 3 3 2" xfId="51311" xr:uid="{00000000-0005-0000-0000-000013B90000}"/>
    <cellStyle name="Currency 4 2 2 2 2 3 3 3" xfId="51312" xr:uid="{00000000-0005-0000-0000-000014B90000}"/>
    <cellStyle name="Currency 4 2 2 2 2 3 4" xfId="51313" xr:uid="{00000000-0005-0000-0000-000015B90000}"/>
    <cellStyle name="Currency 4 2 2 2 2 3 4 2" xfId="51314" xr:uid="{00000000-0005-0000-0000-000016B90000}"/>
    <cellStyle name="Currency 4 2 2 2 2 3 5" xfId="51315" xr:uid="{00000000-0005-0000-0000-000017B90000}"/>
    <cellStyle name="Currency 4 2 2 2 2 3 6" xfId="51316" xr:uid="{00000000-0005-0000-0000-000018B90000}"/>
    <cellStyle name="Currency 4 2 2 2 2 4" xfId="51317" xr:uid="{00000000-0005-0000-0000-000019B90000}"/>
    <cellStyle name="Currency 4 2 2 2 2 4 2" xfId="51318" xr:uid="{00000000-0005-0000-0000-00001AB90000}"/>
    <cellStyle name="Currency 4 2 2 2 2 4 2 2" xfId="51319" xr:uid="{00000000-0005-0000-0000-00001BB90000}"/>
    <cellStyle name="Currency 4 2 2 2 2 4 2 3" xfId="51320" xr:uid="{00000000-0005-0000-0000-00001CB90000}"/>
    <cellStyle name="Currency 4 2 2 2 2 4 3" xfId="51321" xr:uid="{00000000-0005-0000-0000-00001DB90000}"/>
    <cellStyle name="Currency 4 2 2 2 2 4 3 2" xfId="51322" xr:uid="{00000000-0005-0000-0000-00001EB90000}"/>
    <cellStyle name="Currency 4 2 2 2 2 4 3 3" xfId="51323" xr:uid="{00000000-0005-0000-0000-00001FB90000}"/>
    <cellStyle name="Currency 4 2 2 2 2 4 4" xfId="51324" xr:uid="{00000000-0005-0000-0000-000020B90000}"/>
    <cellStyle name="Currency 4 2 2 2 2 4 4 2" xfId="51325" xr:uid="{00000000-0005-0000-0000-000021B90000}"/>
    <cellStyle name="Currency 4 2 2 2 2 4 5" xfId="51326" xr:uid="{00000000-0005-0000-0000-000022B90000}"/>
    <cellStyle name="Currency 4 2 2 2 2 4 6" xfId="51327" xr:uid="{00000000-0005-0000-0000-000023B90000}"/>
    <cellStyle name="Currency 4 2 2 2 2 5" xfId="51328" xr:uid="{00000000-0005-0000-0000-000024B90000}"/>
    <cellStyle name="Currency 4 2 2 2 2 5 2" xfId="51329" xr:uid="{00000000-0005-0000-0000-000025B90000}"/>
    <cellStyle name="Currency 4 2 2 2 2 5 2 2" xfId="51330" xr:uid="{00000000-0005-0000-0000-000026B90000}"/>
    <cellStyle name="Currency 4 2 2 2 2 5 2 3" xfId="51331" xr:uid="{00000000-0005-0000-0000-000027B90000}"/>
    <cellStyle name="Currency 4 2 2 2 2 5 3" xfId="51332" xr:uid="{00000000-0005-0000-0000-000028B90000}"/>
    <cellStyle name="Currency 4 2 2 2 2 5 3 2" xfId="51333" xr:uid="{00000000-0005-0000-0000-000029B90000}"/>
    <cellStyle name="Currency 4 2 2 2 2 5 4" xfId="51334" xr:uid="{00000000-0005-0000-0000-00002AB90000}"/>
    <cellStyle name="Currency 4 2 2 2 2 5 5" xfId="51335" xr:uid="{00000000-0005-0000-0000-00002BB90000}"/>
    <cellStyle name="Currency 4 2 2 2 2 6" xfId="51336" xr:uid="{00000000-0005-0000-0000-00002CB90000}"/>
    <cellStyle name="Currency 4 2 2 2 2 6 2" xfId="51337" xr:uid="{00000000-0005-0000-0000-00002DB90000}"/>
    <cellStyle name="Currency 4 2 2 2 2 6 3" xfId="51338" xr:uid="{00000000-0005-0000-0000-00002EB90000}"/>
    <cellStyle name="Currency 4 2 2 2 2 7" xfId="51339" xr:uid="{00000000-0005-0000-0000-00002FB90000}"/>
    <cellStyle name="Currency 4 2 2 2 2 7 2" xfId="51340" xr:uid="{00000000-0005-0000-0000-000030B90000}"/>
    <cellStyle name="Currency 4 2 2 2 2 7 3" xfId="51341" xr:uid="{00000000-0005-0000-0000-000031B90000}"/>
    <cellStyle name="Currency 4 2 2 2 2 8" xfId="51342" xr:uid="{00000000-0005-0000-0000-000032B90000}"/>
    <cellStyle name="Currency 4 2 2 2 2 8 2" xfId="51343" xr:uid="{00000000-0005-0000-0000-000033B90000}"/>
    <cellStyle name="Currency 4 2 2 2 2 9" xfId="51344" xr:uid="{00000000-0005-0000-0000-000034B90000}"/>
    <cellStyle name="Currency 4 2 2 2 3" xfId="51345" xr:uid="{00000000-0005-0000-0000-000035B90000}"/>
    <cellStyle name="Currency 4 2 2 2 3 2" xfId="51346" xr:uid="{00000000-0005-0000-0000-000036B90000}"/>
    <cellStyle name="Currency 4 2 2 2 3 2 2" xfId="51347" xr:uid="{00000000-0005-0000-0000-000037B90000}"/>
    <cellStyle name="Currency 4 2 2 2 3 2 2 2" xfId="51348" xr:uid="{00000000-0005-0000-0000-000038B90000}"/>
    <cellStyle name="Currency 4 2 2 2 3 2 2 3" xfId="51349" xr:uid="{00000000-0005-0000-0000-000039B90000}"/>
    <cellStyle name="Currency 4 2 2 2 3 2 3" xfId="51350" xr:uid="{00000000-0005-0000-0000-00003AB90000}"/>
    <cellStyle name="Currency 4 2 2 2 3 2 3 2" xfId="51351" xr:uid="{00000000-0005-0000-0000-00003BB90000}"/>
    <cellStyle name="Currency 4 2 2 2 3 2 3 3" xfId="51352" xr:uid="{00000000-0005-0000-0000-00003CB90000}"/>
    <cellStyle name="Currency 4 2 2 2 3 2 4" xfId="51353" xr:uid="{00000000-0005-0000-0000-00003DB90000}"/>
    <cellStyle name="Currency 4 2 2 2 3 2 4 2" xfId="51354" xr:uid="{00000000-0005-0000-0000-00003EB90000}"/>
    <cellStyle name="Currency 4 2 2 2 3 2 5" xfId="51355" xr:uid="{00000000-0005-0000-0000-00003FB90000}"/>
    <cellStyle name="Currency 4 2 2 2 3 2 6" xfId="51356" xr:uid="{00000000-0005-0000-0000-000040B90000}"/>
    <cellStyle name="Currency 4 2 2 2 3 3" xfId="51357" xr:uid="{00000000-0005-0000-0000-000041B90000}"/>
    <cellStyle name="Currency 4 2 2 2 3 3 2" xfId="51358" xr:uid="{00000000-0005-0000-0000-000042B90000}"/>
    <cellStyle name="Currency 4 2 2 2 3 3 2 2" xfId="51359" xr:uid="{00000000-0005-0000-0000-000043B90000}"/>
    <cellStyle name="Currency 4 2 2 2 3 3 2 3" xfId="51360" xr:uid="{00000000-0005-0000-0000-000044B90000}"/>
    <cellStyle name="Currency 4 2 2 2 3 3 3" xfId="51361" xr:uid="{00000000-0005-0000-0000-000045B90000}"/>
    <cellStyle name="Currency 4 2 2 2 3 3 3 2" xfId="51362" xr:uid="{00000000-0005-0000-0000-000046B90000}"/>
    <cellStyle name="Currency 4 2 2 2 3 3 3 3" xfId="51363" xr:uid="{00000000-0005-0000-0000-000047B90000}"/>
    <cellStyle name="Currency 4 2 2 2 3 3 4" xfId="51364" xr:uid="{00000000-0005-0000-0000-000048B90000}"/>
    <cellStyle name="Currency 4 2 2 2 3 3 4 2" xfId="51365" xr:uid="{00000000-0005-0000-0000-000049B90000}"/>
    <cellStyle name="Currency 4 2 2 2 3 3 5" xfId="51366" xr:uid="{00000000-0005-0000-0000-00004AB90000}"/>
    <cellStyle name="Currency 4 2 2 2 3 3 6" xfId="51367" xr:uid="{00000000-0005-0000-0000-00004BB90000}"/>
    <cellStyle name="Currency 4 2 2 2 3 4" xfId="51368" xr:uid="{00000000-0005-0000-0000-00004CB90000}"/>
    <cellStyle name="Currency 4 2 2 2 3 4 2" xfId="51369" xr:uid="{00000000-0005-0000-0000-00004DB90000}"/>
    <cellStyle name="Currency 4 2 2 2 3 4 2 2" xfId="51370" xr:uid="{00000000-0005-0000-0000-00004EB90000}"/>
    <cellStyle name="Currency 4 2 2 2 3 4 2 3" xfId="51371" xr:uid="{00000000-0005-0000-0000-00004FB90000}"/>
    <cellStyle name="Currency 4 2 2 2 3 4 3" xfId="51372" xr:uid="{00000000-0005-0000-0000-000050B90000}"/>
    <cellStyle name="Currency 4 2 2 2 3 4 3 2" xfId="51373" xr:uid="{00000000-0005-0000-0000-000051B90000}"/>
    <cellStyle name="Currency 4 2 2 2 3 4 4" xfId="51374" xr:uid="{00000000-0005-0000-0000-000052B90000}"/>
    <cellStyle name="Currency 4 2 2 2 3 4 5" xfId="51375" xr:uid="{00000000-0005-0000-0000-000053B90000}"/>
    <cellStyle name="Currency 4 2 2 2 3 5" xfId="51376" xr:uid="{00000000-0005-0000-0000-000054B90000}"/>
    <cellStyle name="Currency 4 2 2 2 3 5 2" xfId="51377" xr:uid="{00000000-0005-0000-0000-000055B90000}"/>
    <cellStyle name="Currency 4 2 2 2 3 5 3" xfId="51378" xr:uid="{00000000-0005-0000-0000-000056B90000}"/>
    <cellStyle name="Currency 4 2 2 2 3 6" xfId="51379" xr:uid="{00000000-0005-0000-0000-000057B90000}"/>
    <cellStyle name="Currency 4 2 2 2 3 6 2" xfId="51380" xr:uid="{00000000-0005-0000-0000-000058B90000}"/>
    <cellStyle name="Currency 4 2 2 2 3 6 3" xfId="51381" xr:uid="{00000000-0005-0000-0000-000059B90000}"/>
    <cellStyle name="Currency 4 2 2 2 3 7" xfId="51382" xr:uid="{00000000-0005-0000-0000-00005AB90000}"/>
    <cellStyle name="Currency 4 2 2 2 3 7 2" xfId="51383" xr:uid="{00000000-0005-0000-0000-00005BB90000}"/>
    <cellStyle name="Currency 4 2 2 2 3 8" xfId="51384" xr:uid="{00000000-0005-0000-0000-00005CB90000}"/>
    <cellStyle name="Currency 4 2 2 2 3 9" xfId="51385" xr:uid="{00000000-0005-0000-0000-00005DB90000}"/>
    <cellStyle name="Currency 4 2 2 2 4" xfId="51386" xr:uid="{00000000-0005-0000-0000-00005EB90000}"/>
    <cellStyle name="Currency 4 2 2 2 4 2" xfId="51387" xr:uid="{00000000-0005-0000-0000-00005FB90000}"/>
    <cellStyle name="Currency 4 2 2 2 4 2 2" xfId="51388" xr:uid="{00000000-0005-0000-0000-000060B90000}"/>
    <cellStyle name="Currency 4 2 2 2 4 2 2 2" xfId="51389" xr:uid="{00000000-0005-0000-0000-000061B90000}"/>
    <cellStyle name="Currency 4 2 2 2 4 2 2 3" xfId="51390" xr:uid="{00000000-0005-0000-0000-000062B90000}"/>
    <cellStyle name="Currency 4 2 2 2 4 2 3" xfId="51391" xr:uid="{00000000-0005-0000-0000-000063B90000}"/>
    <cellStyle name="Currency 4 2 2 2 4 2 3 2" xfId="51392" xr:uid="{00000000-0005-0000-0000-000064B90000}"/>
    <cellStyle name="Currency 4 2 2 2 4 2 3 3" xfId="51393" xr:uid="{00000000-0005-0000-0000-000065B90000}"/>
    <cellStyle name="Currency 4 2 2 2 4 2 4" xfId="51394" xr:uid="{00000000-0005-0000-0000-000066B90000}"/>
    <cellStyle name="Currency 4 2 2 2 4 2 4 2" xfId="51395" xr:uid="{00000000-0005-0000-0000-000067B90000}"/>
    <cellStyle name="Currency 4 2 2 2 4 2 5" xfId="51396" xr:uid="{00000000-0005-0000-0000-000068B90000}"/>
    <cellStyle name="Currency 4 2 2 2 4 2 6" xfId="51397" xr:uid="{00000000-0005-0000-0000-000069B90000}"/>
    <cellStyle name="Currency 4 2 2 2 4 3" xfId="51398" xr:uid="{00000000-0005-0000-0000-00006AB90000}"/>
    <cellStyle name="Currency 4 2 2 2 4 3 2" xfId="51399" xr:uid="{00000000-0005-0000-0000-00006BB90000}"/>
    <cellStyle name="Currency 4 2 2 2 4 3 2 2" xfId="51400" xr:uid="{00000000-0005-0000-0000-00006CB90000}"/>
    <cellStyle name="Currency 4 2 2 2 4 3 2 3" xfId="51401" xr:uid="{00000000-0005-0000-0000-00006DB90000}"/>
    <cellStyle name="Currency 4 2 2 2 4 3 3" xfId="51402" xr:uid="{00000000-0005-0000-0000-00006EB90000}"/>
    <cellStyle name="Currency 4 2 2 2 4 3 3 2" xfId="51403" xr:uid="{00000000-0005-0000-0000-00006FB90000}"/>
    <cellStyle name="Currency 4 2 2 2 4 3 3 3" xfId="51404" xr:uid="{00000000-0005-0000-0000-000070B90000}"/>
    <cellStyle name="Currency 4 2 2 2 4 3 4" xfId="51405" xr:uid="{00000000-0005-0000-0000-000071B90000}"/>
    <cellStyle name="Currency 4 2 2 2 4 3 4 2" xfId="51406" xr:uid="{00000000-0005-0000-0000-000072B90000}"/>
    <cellStyle name="Currency 4 2 2 2 4 3 5" xfId="51407" xr:uid="{00000000-0005-0000-0000-000073B90000}"/>
    <cellStyle name="Currency 4 2 2 2 4 3 6" xfId="51408" xr:uid="{00000000-0005-0000-0000-000074B90000}"/>
    <cellStyle name="Currency 4 2 2 2 4 4" xfId="51409" xr:uid="{00000000-0005-0000-0000-000075B90000}"/>
    <cellStyle name="Currency 4 2 2 2 4 4 2" xfId="51410" xr:uid="{00000000-0005-0000-0000-000076B90000}"/>
    <cellStyle name="Currency 4 2 2 2 4 4 2 2" xfId="51411" xr:uid="{00000000-0005-0000-0000-000077B90000}"/>
    <cellStyle name="Currency 4 2 2 2 4 4 2 3" xfId="51412" xr:uid="{00000000-0005-0000-0000-000078B90000}"/>
    <cellStyle name="Currency 4 2 2 2 4 4 3" xfId="51413" xr:uid="{00000000-0005-0000-0000-000079B90000}"/>
    <cellStyle name="Currency 4 2 2 2 4 4 3 2" xfId="51414" xr:uid="{00000000-0005-0000-0000-00007AB90000}"/>
    <cellStyle name="Currency 4 2 2 2 4 4 4" xfId="51415" xr:uid="{00000000-0005-0000-0000-00007BB90000}"/>
    <cellStyle name="Currency 4 2 2 2 4 4 5" xfId="51416" xr:uid="{00000000-0005-0000-0000-00007CB90000}"/>
    <cellStyle name="Currency 4 2 2 2 4 5" xfId="51417" xr:uid="{00000000-0005-0000-0000-00007DB90000}"/>
    <cellStyle name="Currency 4 2 2 2 4 5 2" xfId="51418" xr:uid="{00000000-0005-0000-0000-00007EB90000}"/>
    <cellStyle name="Currency 4 2 2 2 4 5 3" xfId="51419" xr:uid="{00000000-0005-0000-0000-00007FB90000}"/>
    <cellStyle name="Currency 4 2 2 2 4 6" xfId="51420" xr:uid="{00000000-0005-0000-0000-000080B90000}"/>
    <cellStyle name="Currency 4 2 2 2 4 6 2" xfId="51421" xr:uid="{00000000-0005-0000-0000-000081B90000}"/>
    <cellStyle name="Currency 4 2 2 2 4 6 3" xfId="51422" xr:uid="{00000000-0005-0000-0000-000082B90000}"/>
    <cellStyle name="Currency 4 2 2 2 4 7" xfId="51423" xr:uid="{00000000-0005-0000-0000-000083B90000}"/>
    <cellStyle name="Currency 4 2 2 2 4 7 2" xfId="51424" xr:uid="{00000000-0005-0000-0000-000084B90000}"/>
    <cellStyle name="Currency 4 2 2 2 4 8" xfId="51425" xr:uid="{00000000-0005-0000-0000-000085B90000}"/>
    <cellStyle name="Currency 4 2 2 2 4 9" xfId="51426" xr:uid="{00000000-0005-0000-0000-000086B90000}"/>
    <cellStyle name="Currency 4 2 2 2 5" xfId="51427" xr:uid="{00000000-0005-0000-0000-000087B90000}"/>
    <cellStyle name="Currency 4 2 2 2 5 2" xfId="51428" xr:uid="{00000000-0005-0000-0000-000088B90000}"/>
    <cellStyle name="Currency 4 2 2 2 5 2 2" xfId="51429" xr:uid="{00000000-0005-0000-0000-000089B90000}"/>
    <cellStyle name="Currency 4 2 2 2 5 2 3" xfId="51430" xr:uid="{00000000-0005-0000-0000-00008AB90000}"/>
    <cellStyle name="Currency 4 2 2 2 5 3" xfId="51431" xr:uid="{00000000-0005-0000-0000-00008BB90000}"/>
    <cellStyle name="Currency 4 2 2 2 5 3 2" xfId="51432" xr:uid="{00000000-0005-0000-0000-00008CB90000}"/>
    <cellStyle name="Currency 4 2 2 2 5 3 3" xfId="51433" xr:uid="{00000000-0005-0000-0000-00008DB90000}"/>
    <cellStyle name="Currency 4 2 2 2 5 4" xfId="51434" xr:uid="{00000000-0005-0000-0000-00008EB90000}"/>
    <cellStyle name="Currency 4 2 2 2 5 4 2" xfId="51435" xr:uid="{00000000-0005-0000-0000-00008FB90000}"/>
    <cellStyle name="Currency 4 2 2 2 5 5" xfId="51436" xr:uid="{00000000-0005-0000-0000-000090B90000}"/>
    <cellStyle name="Currency 4 2 2 2 5 6" xfId="51437" xr:uid="{00000000-0005-0000-0000-000091B90000}"/>
    <cellStyle name="Currency 4 2 2 2 6" xfId="51438" xr:uid="{00000000-0005-0000-0000-000092B90000}"/>
    <cellStyle name="Currency 4 2 2 2 6 2" xfId="51439" xr:uid="{00000000-0005-0000-0000-000093B90000}"/>
    <cellStyle name="Currency 4 2 2 2 6 2 2" xfId="51440" xr:uid="{00000000-0005-0000-0000-000094B90000}"/>
    <cellStyle name="Currency 4 2 2 2 6 2 3" xfId="51441" xr:uid="{00000000-0005-0000-0000-000095B90000}"/>
    <cellStyle name="Currency 4 2 2 2 6 3" xfId="51442" xr:uid="{00000000-0005-0000-0000-000096B90000}"/>
    <cellStyle name="Currency 4 2 2 2 6 3 2" xfId="51443" xr:uid="{00000000-0005-0000-0000-000097B90000}"/>
    <cellStyle name="Currency 4 2 2 2 6 3 3" xfId="51444" xr:uid="{00000000-0005-0000-0000-000098B90000}"/>
    <cellStyle name="Currency 4 2 2 2 6 4" xfId="51445" xr:uid="{00000000-0005-0000-0000-000099B90000}"/>
    <cellStyle name="Currency 4 2 2 2 6 4 2" xfId="51446" xr:uid="{00000000-0005-0000-0000-00009AB90000}"/>
    <cellStyle name="Currency 4 2 2 2 6 5" xfId="51447" xr:uid="{00000000-0005-0000-0000-00009BB90000}"/>
    <cellStyle name="Currency 4 2 2 2 6 6" xfId="51448" xr:uid="{00000000-0005-0000-0000-00009CB90000}"/>
    <cellStyle name="Currency 4 2 2 2 7" xfId="51449" xr:uid="{00000000-0005-0000-0000-00009DB90000}"/>
    <cellStyle name="Currency 4 2 2 2 7 2" xfId="51450" xr:uid="{00000000-0005-0000-0000-00009EB90000}"/>
    <cellStyle name="Currency 4 2 2 2 7 2 2" xfId="51451" xr:uid="{00000000-0005-0000-0000-00009FB90000}"/>
    <cellStyle name="Currency 4 2 2 2 7 2 3" xfId="51452" xr:uid="{00000000-0005-0000-0000-0000A0B90000}"/>
    <cellStyle name="Currency 4 2 2 2 7 3" xfId="51453" xr:uid="{00000000-0005-0000-0000-0000A1B90000}"/>
    <cellStyle name="Currency 4 2 2 2 7 3 2" xfId="51454" xr:uid="{00000000-0005-0000-0000-0000A2B90000}"/>
    <cellStyle name="Currency 4 2 2 2 7 4" xfId="51455" xr:uid="{00000000-0005-0000-0000-0000A3B90000}"/>
    <cellStyle name="Currency 4 2 2 2 7 5" xfId="51456" xr:uid="{00000000-0005-0000-0000-0000A4B90000}"/>
    <cellStyle name="Currency 4 2 2 2 8" xfId="51457" xr:uid="{00000000-0005-0000-0000-0000A5B90000}"/>
    <cellStyle name="Currency 4 2 2 2 8 2" xfId="51458" xr:uid="{00000000-0005-0000-0000-0000A6B90000}"/>
    <cellStyle name="Currency 4 2 2 2 8 3" xfId="51459" xr:uid="{00000000-0005-0000-0000-0000A7B90000}"/>
    <cellStyle name="Currency 4 2 2 2 9" xfId="51460" xr:uid="{00000000-0005-0000-0000-0000A8B90000}"/>
    <cellStyle name="Currency 4 2 2 2 9 2" xfId="51461" xr:uid="{00000000-0005-0000-0000-0000A9B90000}"/>
    <cellStyle name="Currency 4 2 2 2 9 3" xfId="51462" xr:uid="{00000000-0005-0000-0000-0000AAB90000}"/>
    <cellStyle name="Currency 4 2 2 3" xfId="9164" xr:uid="{00000000-0005-0000-0000-0000ABB90000}"/>
    <cellStyle name="Currency 4 2 2 3 10" xfId="51463" xr:uid="{00000000-0005-0000-0000-0000ACB90000}"/>
    <cellStyle name="Currency 4 2 2 3 2" xfId="51464" xr:uid="{00000000-0005-0000-0000-0000ADB90000}"/>
    <cellStyle name="Currency 4 2 2 3 2 2" xfId="51465" xr:uid="{00000000-0005-0000-0000-0000AEB90000}"/>
    <cellStyle name="Currency 4 2 2 3 2 2 2" xfId="51466" xr:uid="{00000000-0005-0000-0000-0000AFB90000}"/>
    <cellStyle name="Currency 4 2 2 3 2 2 2 2" xfId="51467" xr:uid="{00000000-0005-0000-0000-0000B0B90000}"/>
    <cellStyle name="Currency 4 2 2 3 2 2 2 3" xfId="51468" xr:uid="{00000000-0005-0000-0000-0000B1B90000}"/>
    <cellStyle name="Currency 4 2 2 3 2 2 3" xfId="51469" xr:uid="{00000000-0005-0000-0000-0000B2B90000}"/>
    <cellStyle name="Currency 4 2 2 3 2 2 3 2" xfId="51470" xr:uid="{00000000-0005-0000-0000-0000B3B90000}"/>
    <cellStyle name="Currency 4 2 2 3 2 2 3 3" xfId="51471" xr:uid="{00000000-0005-0000-0000-0000B4B90000}"/>
    <cellStyle name="Currency 4 2 2 3 2 2 4" xfId="51472" xr:uid="{00000000-0005-0000-0000-0000B5B90000}"/>
    <cellStyle name="Currency 4 2 2 3 2 2 4 2" xfId="51473" xr:uid="{00000000-0005-0000-0000-0000B6B90000}"/>
    <cellStyle name="Currency 4 2 2 3 2 2 5" xfId="51474" xr:uid="{00000000-0005-0000-0000-0000B7B90000}"/>
    <cellStyle name="Currency 4 2 2 3 2 2 6" xfId="51475" xr:uid="{00000000-0005-0000-0000-0000B8B90000}"/>
    <cellStyle name="Currency 4 2 2 3 2 3" xfId="51476" xr:uid="{00000000-0005-0000-0000-0000B9B90000}"/>
    <cellStyle name="Currency 4 2 2 3 2 3 2" xfId="51477" xr:uid="{00000000-0005-0000-0000-0000BAB90000}"/>
    <cellStyle name="Currency 4 2 2 3 2 3 2 2" xfId="51478" xr:uid="{00000000-0005-0000-0000-0000BBB90000}"/>
    <cellStyle name="Currency 4 2 2 3 2 3 2 3" xfId="51479" xr:uid="{00000000-0005-0000-0000-0000BCB90000}"/>
    <cellStyle name="Currency 4 2 2 3 2 3 3" xfId="51480" xr:uid="{00000000-0005-0000-0000-0000BDB90000}"/>
    <cellStyle name="Currency 4 2 2 3 2 3 3 2" xfId="51481" xr:uid="{00000000-0005-0000-0000-0000BEB90000}"/>
    <cellStyle name="Currency 4 2 2 3 2 3 3 3" xfId="51482" xr:uid="{00000000-0005-0000-0000-0000BFB90000}"/>
    <cellStyle name="Currency 4 2 2 3 2 3 4" xfId="51483" xr:uid="{00000000-0005-0000-0000-0000C0B90000}"/>
    <cellStyle name="Currency 4 2 2 3 2 3 4 2" xfId="51484" xr:uid="{00000000-0005-0000-0000-0000C1B90000}"/>
    <cellStyle name="Currency 4 2 2 3 2 3 5" xfId="51485" xr:uid="{00000000-0005-0000-0000-0000C2B90000}"/>
    <cellStyle name="Currency 4 2 2 3 2 3 6" xfId="51486" xr:uid="{00000000-0005-0000-0000-0000C3B90000}"/>
    <cellStyle name="Currency 4 2 2 3 2 4" xfId="51487" xr:uid="{00000000-0005-0000-0000-0000C4B90000}"/>
    <cellStyle name="Currency 4 2 2 3 2 4 2" xfId="51488" xr:uid="{00000000-0005-0000-0000-0000C5B90000}"/>
    <cellStyle name="Currency 4 2 2 3 2 4 2 2" xfId="51489" xr:uid="{00000000-0005-0000-0000-0000C6B90000}"/>
    <cellStyle name="Currency 4 2 2 3 2 4 2 3" xfId="51490" xr:uid="{00000000-0005-0000-0000-0000C7B90000}"/>
    <cellStyle name="Currency 4 2 2 3 2 4 3" xfId="51491" xr:uid="{00000000-0005-0000-0000-0000C8B90000}"/>
    <cellStyle name="Currency 4 2 2 3 2 4 3 2" xfId="51492" xr:uid="{00000000-0005-0000-0000-0000C9B90000}"/>
    <cellStyle name="Currency 4 2 2 3 2 4 4" xfId="51493" xr:uid="{00000000-0005-0000-0000-0000CAB90000}"/>
    <cellStyle name="Currency 4 2 2 3 2 4 5" xfId="51494" xr:uid="{00000000-0005-0000-0000-0000CBB90000}"/>
    <cellStyle name="Currency 4 2 2 3 2 5" xfId="51495" xr:uid="{00000000-0005-0000-0000-0000CCB90000}"/>
    <cellStyle name="Currency 4 2 2 3 2 5 2" xfId="51496" xr:uid="{00000000-0005-0000-0000-0000CDB90000}"/>
    <cellStyle name="Currency 4 2 2 3 2 5 3" xfId="51497" xr:uid="{00000000-0005-0000-0000-0000CEB90000}"/>
    <cellStyle name="Currency 4 2 2 3 2 6" xfId="51498" xr:uid="{00000000-0005-0000-0000-0000CFB90000}"/>
    <cellStyle name="Currency 4 2 2 3 2 6 2" xfId="51499" xr:uid="{00000000-0005-0000-0000-0000D0B90000}"/>
    <cellStyle name="Currency 4 2 2 3 2 6 3" xfId="51500" xr:uid="{00000000-0005-0000-0000-0000D1B90000}"/>
    <cellStyle name="Currency 4 2 2 3 2 7" xfId="51501" xr:uid="{00000000-0005-0000-0000-0000D2B90000}"/>
    <cellStyle name="Currency 4 2 2 3 2 7 2" xfId="51502" xr:uid="{00000000-0005-0000-0000-0000D3B90000}"/>
    <cellStyle name="Currency 4 2 2 3 2 8" xfId="51503" xr:uid="{00000000-0005-0000-0000-0000D4B90000}"/>
    <cellStyle name="Currency 4 2 2 3 2 9" xfId="51504" xr:uid="{00000000-0005-0000-0000-0000D5B90000}"/>
    <cellStyle name="Currency 4 2 2 3 3" xfId="51505" xr:uid="{00000000-0005-0000-0000-0000D6B90000}"/>
    <cellStyle name="Currency 4 2 2 3 3 2" xfId="51506" xr:uid="{00000000-0005-0000-0000-0000D7B90000}"/>
    <cellStyle name="Currency 4 2 2 3 3 2 2" xfId="51507" xr:uid="{00000000-0005-0000-0000-0000D8B90000}"/>
    <cellStyle name="Currency 4 2 2 3 3 2 3" xfId="51508" xr:uid="{00000000-0005-0000-0000-0000D9B90000}"/>
    <cellStyle name="Currency 4 2 2 3 3 3" xfId="51509" xr:uid="{00000000-0005-0000-0000-0000DAB90000}"/>
    <cellStyle name="Currency 4 2 2 3 3 3 2" xfId="51510" xr:uid="{00000000-0005-0000-0000-0000DBB90000}"/>
    <cellStyle name="Currency 4 2 2 3 3 3 3" xfId="51511" xr:uid="{00000000-0005-0000-0000-0000DCB90000}"/>
    <cellStyle name="Currency 4 2 2 3 3 4" xfId="51512" xr:uid="{00000000-0005-0000-0000-0000DDB90000}"/>
    <cellStyle name="Currency 4 2 2 3 3 4 2" xfId="51513" xr:uid="{00000000-0005-0000-0000-0000DEB90000}"/>
    <cellStyle name="Currency 4 2 2 3 3 5" xfId="51514" xr:uid="{00000000-0005-0000-0000-0000DFB90000}"/>
    <cellStyle name="Currency 4 2 2 3 3 6" xfId="51515" xr:uid="{00000000-0005-0000-0000-0000E0B90000}"/>
    <cellStyle name="Currency 4 2 2 3 4" xfId="51516" xr:uid="{00000000-0005-0000-0000-0000E1B90000}"/>
    <cellStyle name="Currency 4 2 2 3 4 2" xfId="51517" xr:uid="{00000000-0005-0000-0000-0000E2B90000}"/>
    <cellStyle name="Currency 4 2 2 3 4 2 2" xfId="51518" xr:uid="{00000000-0005-0000-0000-0000E3B90000}"/>
    <cellStyle name="Currency 4 2 2 3 4 2 3" xfId="51519" xr:uid="{00000000-0005-0000-0000-0000E4B90000}"/>
    <cellStyle name="Currency 4 2 2 3 4 3" xfId="51520" xr:uid="{00000000-0005-0000-0000-0000E5B90000}"/>
    <cellStyle name="Currency 4 2 2 3 4 3 2" xfId="51521" xr:uid="{00000000-0005-0000-0000-0000E6B90000}"/>
    <cellStyle name="Currency 4 2 2 3 4 3 3" xfId="51522" xr:uid="{00000000-0005-0000-0000-0000E7B90000}"/>
    <cellStyle name="Currency 4 2 2 3 4 4" xfId="51523" xr:uid="{00000000-0005-0000-0000-0000E8B90000}"/>
    <cellStyle name="Currency 4 2 2 3 4 4 2" xfId="51524" xr:uid="{00000000-0005-0000-0000-0000E9B90000}"/>
    <cellStyle name="Currency 4 2 2 3 4 5" xfId="51525" xr:uid="{00000000-0005-0000-0000-0000EAB90000}"/>
    <cellStyle name="Currency 4 2 2 3 4 6" xfId="51526" xr:uid="{00000000-0005-0000-0000-0000EBB90000}"/>
    <cellStyle name="Currency 4 2 2 3 5" xfId="51527" xr:uid="{00000000-0005-0000-0000-0000ECB90000}"/>
    <cellStyle name="Currency 4 2 2 3 5 2" xfId="51528" xr:uid="{00000000-0005-0000-0000-0000EDB90000}"/>
    <cellStyle name="Currency 4 2 2 3 5 2 2" xfId="51529" xr:uid="{00000000-0005-0000-0000-0000EEB90000}"/>
    <cellStyle name="Currency 4 2 2 3 5 2 3" xfId="51530" xr:uid="{00000000-0005-0000-0000-0000EFB90000}"/>
    <cellStyle name="Currency 4 2 2 3 5 3" xfId="51531" xr:uid="{00000000-0005-0000-0000-0000F0B90000}"/>
    <cellStyle name="Currency 4 2 2 3 5 3 2" xfId="51532" xr:uid="{00000000-0005-0000-0000-0000F1B90000}"/>
    <cellStyle name="Currency 4 2 2 3 5 4" xfId="51533" xr:uid="{00000000-0005-0000-0000-0000F2B90000}"/>
    <cellStyle name="Currency 4 2 2 3 5 5" xfId="51534" xr:uid="{00000000-0005-0000-0000-0000F3B90000}"/>
    <cellStyle name="Currency 4 2 2 3 6" xfId="51535" xr:uid="{00000000-0005-0000-0000-0000F4B90000}"/>
    <cellStyle name="Currency 4 2 2 3 6 2" xfId="51536" xr:uid="{00000000-0005-0000-0000-0000F5B90000}"/>
    <cellStyle name="Currency 4 2 2 3 6 3" xfId="51537" xr:uid="{00000000-0005-0000-0000-0000F6B90000}"/>
    <cellStyle name="Currency 4 2 2 3 7" xfId="51538" xr:uid="{00000000-0005-0000-0000-0000F7B90000}"/>
    <cellStyle name="Currency 4 2 2 3 7 2" xfId="51539" xr:uid="{00000000-0005-0000-0000-0000F8B90000}"/>
    <cellStyle name="Currency 4 2 2 3 7 3" xfId="51540" xr:uid="{00000000-0005-0000-0000-0000F9B90000}"/>
    <cellStyle name="Currency 4 2 2 3 8" xfId="51541" xr:uid="{00000000-0005-0000-0000-0000FAB90000}"/>
    <cellStyle name="Currency 4 2 2 3 8 2" xfId="51542" xr:uid="{00000000-0005-0000-0000-0000FBB90000}"/>
    <cellStyle name="Currency 4 2 2 3 9" xfId="51543" xr:uid="{00000000-0005-0000-0000-0000FCB90000}"/>
    <cellStyle name="Currency 4 2 2 4" xfId="51544" xr:uid="{00000000-0005-0000-0000-0000FDB90000}"/>
    <cellStyle name="Currency 4 2 2 4 2" xfId="51545" xr:uid="{00000000-0005-0000-0000-0000FEB90000}"/>
    <cellStyle name="Currency 4 2 2 4 2 2" xfId="51546" xr:uid="{00000000-0005-0000-0000-0000FFB90000}"/>
    <cellStyle name="Currency 4 2 2 4 2 2 2" xfId="51547" xr:uid="{00000000-0005-0000-0000-000000BA0000}"/>
    <cellStyle name="Currency 4 2 2 4 2 2 3" xfId="51548" xr:uid="{00000000-0005-0000-0000-000001BA0000}"/>
    <cellStyle name="Currency 4 2 2 4 2 3" xfId="51549" xr:uid="{00000000-0005-0000-0000-000002BA0000}"/>
    <cellStyle name="Currency 4 2 2 4 2 3 2" xfId="51550" xr:uid="{00000000-0005-0000-0000-000003BA0000}"/>
    <cellStyle name="Currency 4 2 2 4 2 3 3" xfId="51551" xr:uid="{00000000-0005-0000-0000-000004BA0000}"/>
    <cellStyle name="Currency 4 2 2 4 2 4" xfId="51552" xr:uid="{00000000-0005-0000-0000-000005BA0000}"/>
    <cellStyle name="Currency 4 2 2 4 2 4 2" xfId="51553" xr:uid="{00000000-0005-0000-0000-000006BA0000}"/>
    <cellStyle name="Currency 4 2 2 4 2 5" xfId="51554" xr:uid="{00000000-0005-0000-0000-000007BA0000}"/>
    <cellStyle name="Currency 4 2 2 4 2 6" xfId="51555" xr:uid="{00000000-0005-0000-0000-000008BA0000}"/>
    <cellStyle name="Currency 4 2 2 4 3" xfId="51556" xr:uid="{00000000-0005-0000-0000-000009BA0000}"/>
    <cellStyle name="Currency 4 2 2 4 3 2" xfId="51557" xr:uid="{00000000-0005-0000-0000-00000ABA0000}"/>
    <cellStyle name="Currency 4 2 2 4 3 2 2" xfId="51558" xr:uid="{00000000-0005-0000-0000-00000BBA0000}"/>
    <cellStyle name="Currency 4 2 2 4 3 2 3" xfId="51559" xr:uid="{00000000-0005-0000-0000-00000CBA0000}"/>
    <cellStyle name="Currency 4 2 2 4 3 3" xfId="51560" xr:uid="{00000000-0005-0000-0000-00000DBA0000}"/>
    <cellStyle name="Currency 4 2 2 4 3 3 2" xfId="51561" xr:uid="{00000000-0005-0000-0000-00000EBA0000}"/>
    <cellStyle name="Currency 4 2 2 4 3 3 3" xfId="51562" xr:uid="{00000000-0005-0000-0000-00000FBA0000}"/>
    <cellStyle name="Currency 4 2 2 4 3 4" xfId="51563" xr:uid="{00000000-0005-0000-0000-000010BA0000}"/>
    <cellStyle name="Currency 4 2 2 4 3 4 2" xfId="51564" xr:uid="{00000000-0005-0000-0000-000011BA0000}"/>
    <cellStyle name="Currency 4 2 2 4 3 5" xfId="51565" xr:uid="{00000000-0005-0000-0000-000012BA0000}"/>
    <cellStyle name="Currency 4 2 2 4 3 6" xfId="51566" xr:uid="{00000000-0005-0000-0000-000013BA0000}"/>
    <cellStyle name="Currency 4 2 2 4 4" xfId="51567" xr:uid="{00000000-0005-0000-0000-000014BA0000}"/>
    <cellStyle name="Currency 4 2 2 4 4 2" xfId="51568" xr:uid="{00000000-0005-0000-0000-000015BA0000}"/>
    <cellStyle name="Currency 4 2 2 4 4 2 2" xfId="51569" xr:uid="{00000000-0005-0000-0000-000016BA0000}"/>
    <cellStyle name="Currency 4 2 2 4 4 2 3" xfId="51570" xr:uid="{00000000-0005-0000-0000-000017BA0000}"/>
    <cellStyle name="Currency 4 2 2 4 4 3" xfId="51571" xr:uid="{00000000-0005-0000-0000-000018BA0000}"/>
    <cellStyle name="Currency 4 2 2 4 4 3 2" xfId="51572" xr:uid="{00000000-0005-0000-0000-000019BA0000}"/>
    <cellStyle name="Currency 4 2 2 4 4 4" xfId="51573" xr:uid="{00000000-0005-0000-0000-00001ABA0000}"/>
    <cellStyle name="Currency 4 2 2 4 4 5" xfId="51574" xr:uid="{00000000-0005-0000-0000-00001BBA0000}"/>
    <cellStyle name="Currency 4 2 2 4 5" xfId="51575" xr:uid="{00000000-0005-0000-0000-00001CBA0000}"/>
    <cellStyle name="Currency 4 2 2 4 5 2" xfId="51576" xr:uid="{00000000-0005-0000-0000-00001DBA0000}"/>
    <cellStyle name="Currency 4 2 2 4 5 3" xfId="51577" xr:uid="{00000000-0005-0000-0000-00001EBA0000}"/>
    <cellStyle name="Currency 4 2 2 4 6" xfId="51578" xr:uid="{00000000-0005-0000-0000-00001FBA0000}"/>
    <cellStyle name="Currency 4 2 2 4 6 2" xfId="51579" xr:uid="{00000000-0005-0000-0000-000020BA0000}"/>
    <cellStyle name="Currency 4 2 2 4 6 3" xfId="51580" xr:uid="{00000000-0005-0000-0000-000021BA0000}"/>
    <cellStyle name="Currency 4 2 2 4 7" xfId="51581" xr:uid="{00000000-0005-0000-0000-000022BA0000}"/>
    <cellStyle name="Currency 4 2 2 4 7 2" xfId="51582" xr:uid="{00000000-0005-0000-0000-000023BA0000}"/>
    <cellStyle name="Currency 4 2 2 4 8" xfId="51583" xr:uid="{00000000-0005-0000-0000-000024BA0000}"/>
    <cellStyle name="Currency 4 2 2 4 9" xfId="51584" xr:uid="{00000000-0005-0000-0000-000025BA0000}"/>
    <cellStyle name="Currency 4 2 2 5" xfId="51585" xr:uid="{00000000-0005-0000-0000-000026BA0000}"/>
    <cellStyle name="Currency 4 2 2 5 2" xfId="51586" xr:uid="{00000000-0005-0000-0000-000027BA0000}"/>
    <cellStyle name="Currency 4 2 2 5 2 2" xfId="51587" xr:uid="{00000000-0005-0000-0000-000028BA0000}"/>
    <cellStyle name="Currency 4 2 2 5 2 2 2" xfId="51588" xr:uid="{00000000-0005-0000-0000-000029BA0000}"/>
    <cellStyle name="Currency 4 2 2 5 2 2 3" xfId="51589" xr:uid="{00000000-0005-0000-0000-00002ABA0000}"/>
    <cellStyle name="Currency 4 2 2 5 2 3" xfId="51590" xr:uid="{00000000-0005-0000-0000-00002BBA0000}"/>
    <cellStyle name="Currency 4 2 2 5 2 3 2" xfId="51591" xr:uid="{00000000-0005-0000-0000-00002CBA0000}"/>
    <cellStyle name="Currency 4 2 2 5 2 3 3" xfId="51592" xr:uid="{00000000-0005-0000-0000-00002DBA0000}"/>
    <cellStyle name="Currency 4 2 2 5 2 4" xfId="51593" xr:uid="{00000000-0005-0000-0000-00002EBA0000}"/>
    <cellStyle name="Currency 4 2 2 5 2 4 2" xfId="51594" xr:uid="{00000000-0005-0000-0000-00002FBA0000}"/>
    <cellStyle name="Currency 4 2 2 5 2 5" xfId="51595" xr:uid="{00000000-0005-0000-0000-000030BA0000}"/>
    <cellStyle name="Currency 4 2 2 5 2 6" xfId="51596" xr:uid="{00000000-0005-0000-0000-000031BA0000}"/>
    <cellStyle name="Currency 4 2 2 5 3" xfId="51597" xr:uid="{00000000-0005-0000-0000-000032BA0000}"/>
    <cellStyle name="Currency 4 2 2 5 3 2" xfId="51598" xr:uid="{00000000-0005-0000-0000-000033BA0000}"/>
    <cellStyle name="Currency 4 2 2 5 3 2 2" xfId="51599" xr:uid="{00000000-0005-0000-0000-000034BA0000}"/>
    <cellStyle name="Currency 4 2 2 5 3 2 3" xfId="51600" xr:uid="{00000000-0005-0000-0000-000035BA0000}"/>
    <cellStyle name="Currency 4 2 2 5 3 3" xfId="51601" xr:uid="{00000000-0005-0000-0000-000036BA0000}"/>
    <cellStyle name="Currency 4 2 2 5 3 3 2" xfId="51602" xr:uid="{00000000-0005-0000-0000-000037BA0000}"/>
    <cellStyle name="Currency 4 2 2 5 3 3 3" xfId="51603" xr:uid="{00000000-0005-0000-0000-000038BA0000}"/>
    <cellStyle name="Currency 4 2 2 5 3 4" xfId="51604" xr:uid="{00000000-0005-0000-0000-000039BA0000}"/>
    <cellStyle name="Currency 4 2 2 5 3 4 2" xfId="51605" xr:uid="{00000000-0005-0000-0000-00003ABA0000}"/>
    <cellStyle name="Currency 4 2 2 5 3 5" xfId="51606" xr:uid="{00000000-0005-0000-0000-00003BBA0000}"/>
    <cellStyle name="Currency 4 2 2 5 3 6" xfId="51607" xr:uid="{00000000-0005-0000-0000-00003CBA0000}"/>
    <cellStyle name="Currency 4 2 2 5 4" xfId="51608" xr:uid="{00000000-0005-0000-0000-00003DBA0000}"/>
    <cellStyle name="Currency 4 2 2 5 4 2" xfId="51609" xr:uid="{00000000-0005-0000-0000-00003EBA0000}"/>
    <cellStyle name="Currency 4 2 2 5 4 2 2" xfId="51610" xr:uid="{00000000-0005-0000-0000-00003FBA0000}"/>
    <cellStyle name="Currency 4 2 2 5 4 2 3" xfId="51611" xr:uid="{00000000-0005-0000-0000-000040BA0000}"/>
    <cellStyle name="Currency 4 2 2 5 4 3" xfId="51612" xr:uid="{00000000-0005-0000-0000-000041BA0000}"/>
    <cellStyle name="Currency 4 2 2 5 4 3 2" xfId="51613" xr:uid="{00000000-0005-0000-0000-000042BA0000}"/>
    <cellStyle name="Currency 4 2 2 5 4 4" xfId="51614" xr:uid="{00000000-0005-0000-0000-000043BA0000}"/>
    <cellStyle name="Currency 4 2 2 5 4 5" xfId="51615" xr:uid="{00000000-0005-0000-0000-000044BA0000}"/>
    <cellStyle name="Currency 4 2 2 5 5" xfId="51616" xr:uid="{00000000-0005-0000-0000-000045BA0000}"/>
    <cellStyle name="Currency 4 2 2 5 5 2" xfId="51617" xr:uid="{00000000-0005-0000-0000-000046BA0000}"/>
    <cellStyle name="Currency 4 2 2 5 5 3" xfId="51618" xr:uid="{00000000-0005-0000-0000-000047BA0000}"/>
    <cellStyle name="Currency 4 2 2 5 6" xfId="51619" xr:uid="{00000000-0005-0000-0000-000048BA0000}"/>
    <cellStyle name="Currency 4 2 2 5 6 2" xfId="51620" xr:uid="{00000000-0005-0000-0000-000049BA0000}"/>
    <cellStyle name="Currency 4 2 2 5 6 3" xfId="51621" xr:uid="{00000000-0005-0000-0000-00004ABA0000}"/>
    <cellStyle name="Currency 4 2 2 5 7" xfId="51622" xr:uid="{00000000-0005-0000-0000-00004BBA0000}"/>
    <cellStyle name="Currency 4 2 2 5 7 2" xfId="51623" xr:uid="{00000000-0005-0000-0000-00004CBA0000}"/>
    <cellStyle name="Currency 4 2 2 5 8" xfId="51624" xr:uid="{00000000-0005-0000-0000-00004DBA0000}"/>
    <cellStyle name="Currency 4 2 2 5 9" xfId="51625" xr:uid="{00000000-0005-0000-0000-00004EBA0000}"/>
    <cellStyle name="Currency 4 2 2 6" xfId="51626" xr:uid="{00000000-0005-0000-0000-00004FBA0000}"/>
    <cellStyle name="Currency 4 2 2 6 2" xfId="51627" xr:uid="{00000000-0005-0000-0000-000050BA0000}"/>
    <cellStyle name="Currency 4 2 2 6 2 2" xfId="51628" xr:uid="{00000000-0005-0000-0000-000051BA0000}"/>
    <cellStyle name="Currency 4 2 2 6 2 3" xfId="51629" xr:uid="{00000000-0005-0000-0000-000052BA0000}"/>
    <cellStyle name="Currency 4 2 2 6 3" xfId="51630" xr:uid="{00000000-0005-0000-0000-000053BA0000}"/>
    <cellStyle name="Currency 4 2 2 6 3 2" xfId="51631" xr:uid="{00000000-0005-0000-0000-000054BA0000}"/>
    <cellStyle name="Currency 4 2 2 6 3 3" xfId="51632" xr:uid="{00000000-0005-0000-0000-000055BA0000}"/>
    <cellStyle name="Currency 4 2 2 6 4" xfId="51633" xr:uid="{00000000-0005-0000-0000-000056BA0000}"/>
    <cellStyle name="Currency 4 2 2 6 4 2" xfId="51634" xr:uid="{00000000-0005-0000-0000-000057BA0000}"/>
    <cellStyle name="Currency 4 2 2 6 5" xfId="51635" xr:uid="{00000000-0005-0000-0000-000058BA0000}"/>
    <cellStyle name="Currency 4 2 2 6 6" xfId="51636" xr:uid="{00000000-0005-0000-0000-000059BA0000}"/>
    <cellStyle name="Currency 4 2 2 7" xfId="51637" xr:uid="{00000000-0005-0000-0000-00005ABA0000}"/>
    <cellStyle name="Currency 4 2 2 7 2" xfId="51638" xr:uid="{00000000-0005-0000-0000-00005BBA0000}"/>
    <cellStyle name="Currency 4 2 2 7 2 2" xfId="51639" xr:uid="{00000000-0005-0000-0000-00005CBA0000}"/>
    <cellStyle name="Currency 4 2 2 7 2 3" xfId="51640" xr:uid="{00000000-0005-0000-0000-00005DBA0000}"/>
    <cellStyle name="Currency 4 2 2 7 3" xfId="51641" xr:uid="{00000000-0005-0000-0000-00005EBA0000}"/>
    <cellStyle name="Currency 4 2 2 7 3 2" xfId="51642" xr:uid="{00000000-0005-0000-0000-00005FBA0000}"/>
    <cellStyle name="Currency 4 2 2 7 3 3" xfId="51643" xr:uid="{00000000-0005-0000-0000-000060BA0000}"/>
    <cellStyle name="Currency 4 2 2 7 4" xfId="51644" xr:uid="{00000000-0005-0000-0000-000061BA0000}"/>
    <cellStyle name="Currency 4 2 2 7 4 2" xfId="51645" xr:uid="{00000000-0005-0000-0000-000062BA0000}"/>
    <cellStyle name="Currency 4 2 2 7 5" xfId="51646" xr:uid="{00000000-0005-0000-0000-000063BA0000}"/>
    <cellStyle name="Currency 4 2 2 7 6" xfId="51647" xr:uid="{00000000-0005-0000-0000-000064BA0000}"/>
    <cellStyle name="Currency 4 2 2 8" xfId="51648" xr:uid="{00000000-0005-0000-0000-000065BA0000}"/>
    <cellStyle name="Currency 4 2 2 8 2" xfId="51649" xr:uid="{00000000-0005-0000-0000-000066BA0000}"/>
    <cellStyle name="Currency 4 2 2 8 2 2" xfId="51650" xr:uid="{00000000-0005-0000-0000-000067BA0000}"/>
    <cellStyle name="Currency 4 2 2 8 2 3" xfId="51651" xr:uid="{00000000-0005-0000-0000-000068BA0000}"/>
    <cellStyle name="Currency 4 2 2 8 3" xfId="51652" xr:uid="{00000000-0005-0000-0000-000069BA0000}"/>
    <cellStyle name="Currency 4 2 2 8 3 2" xfId="51653" xr:uid="{00000000-0005-0000-0000-00006ABA0000}"/>
    <cellStyle name="Currency 4 2 2 8 4" xfId="51654" xr:uid="{00000000-0005-0000-0000-00006BBA0000}"/>
    <cellStyle name="Currency 4 2 2 8 5" xfId="51655" xr:uid="{00000000-0005-0000-0000-00006CBA0000}"/>
    <cellStyle name="Currency 4 2 2 9" xfId="51656" xr:uid="{00000000-0005-0000-0000-00006DBA0000}"/>
    <cellStyle name="Currency 4 2 2 9 2" xfId="51657" xr:uid="{00000000-0005-0000-0000-00006EBA0000}"/>
    <cellStyle name="Currency 4 2 2 9 3" xfId="51658" xr:uid="{00000000-0005-0000-0000-00006FBA0000}"/>
    <cellStyle name="Currency 4 2 3" xfId="3901" xr:uid="{00000000-0005-0000-0000-000070BA0000}"/>
    <cellStyle name="Currency 4 2 3 10" xfId="51659" xr:uid="{00000000-0005-0000-0000-000071BA0000}"/>
    <cellStyle name="Currency 4 2 3 10 2" xfId="51660" xr:uid="{00000000-0005-0000-0000-000072BA0000}"/>
    <cellStyle name="Currency 4 2 3 11" xfId="51661" xr:uid="{00000000-0005-0000-0000-000073BA0000}"/>
    <cellStyle name="Currency 4 2 3 12" xfId="51662" xr:uid="{00000000-0005-0000-0000-000074BA0000}"/>
    <cellStyle name="Currency 4 2 3 2" xfId="9165" xr:uid="{00000000-0005-0000-0000-000075BA0000}"/>
    <cellStyle name="Currency 4 2 3 2 10" xfId="51663" xr:uid="{00000000-0005-0000-0000-000076BA0000}"/>
    <cellStyle name="Currency 4 2 3 2 2" xfId="51664" xr:uid="{00000000-0005-0000-0000-000077BA0000}"/>
    <cellStyle name="Currency 4 2 3 2 2 2" xfId="51665" xr:uid="{00000000-0005-0000-0000-000078BA0000}"/>
    <cellStyle name="Currency 4 2 3 2 2 2 2" xfId="51666" xr:uid="{00000000-0005-0000-0000-000079BA0000}"/>
    <cellStyle name="Currency 4 2 3 2 2 2 2 2" xfId="51667" xr:uid="{00000000-0005-0000-0000-00007ABA0000}"/>
    <cellStyle name="Currency 4 2 3 2 2 2 2 3" xfId="51668" xr:uid="{00000000-0005-0000-0000-00007BBA0000}"/>
    <cellStyle name="Currency 4 2 3 2 2 2 3" xfId="51669" xr:uid="{00000000-0005-0000-0000-00007CBA0000}"/>
    <cellStyle name="Currency 4 2 3 2 2 2 3 2" xfId="51670" xr:uid="{00000000-0005-0000-0000-00007DBA0000}"/>
    <cellStyle name="Currency 4 2 3 2 2 2 3 3" xfId="51671" xr:uid="{00000000-0005-0000-0000-00007EBA0000}"/>
    <cellStyle name="Currency 4 2 3 2 2 2 4" xfId="51672" xr:uid="{00000000-0005-0000-0000-00007FBA0000}"/>
    <cellStyle name="Currency 4 2 3 2 2 2 4 2" xfId="51673" xr:uid="{00000000-0005-0000-0000-000080BA0000}"/>
    <cellStyle name="Currency 4 2 3 2 2 2 5" xfId="51674" xr:uid="{00000000-0005-0000-0000-000081BA0000}"/>
    <cellStyle name="Currency 4 2 3 2 2 2 6" xfId="51675" xr:uid="{00000000-0005-0000-0000-000082BA0000}"/>
    <cellStyle name="Currency 4 2 3 2 2 3" xfId="51676" xr:uid="{00000000-0005-0000-0000-000083BA0000}"/>
    <cellStyle name="Currency 4 2 3 2 2 3 2" xfId="51677" xr:uid="{00000000-0005-0000-0000-000084BA0000}"/>
    <cellStyle name="Currency 4 2 3 2 2 3 2 2" xfId="51678" xr:uid="{00000000-0005-0000-0000-000085BA0000}"/>
    <cellStyle name="Currency 4 2 3 2 2 3 2 3" xfId="51679" xr:uid="{00000000-0005-0000-0000-000086BA0000}"/>
    <cellStyle name="Currency 4 2 3 2 2 3 3" xfId="51680" xr:uid="{00000000-0005-0000-0000-000087BA0000}"/>
    <cellStyle name="Currency 4 2 3 2 2 3 3 2" xfId="51681" xr:uid="{00000000-0005-0000-0000-000088BA0000}"/>
    <cellStyle name="Currency 4 2 3 2 2 3 3 3" xfId="51682" xr:uid="{00000000-0005-0000-0000-000089BA0000}"/>
    <cellStyle name="Currency 4 2 3 2 2 3 4" xfId="51683" xr:uid="{00000000-0005-0000-0000-00008ABA0000}"/>
    <cellStyle name="Currency 4 2 3 2 2 3 4 2" xfId="51684" xr:uid="{00000000-0005-0000-0000-00008BBA0000}"/>
    <cellStyle name="Currency 4 2 3 2 2 3 5" xfId="51685" xr:uid="{00000000-0005-0000-0000-00008CBA0000}"/>
    <cellStyle name="Currency 4 2 3 2 2 3 6" xfId="51686" xr:uid="{00000000-0005-0000-0000-00008DBA0000}"/>
    <cellStyle name="Currency 4 2 3 2 2 4" xfId="51687" xr:uid="{00000000-0005-0000-0000-00008EBA0000}"/>
    <cellStyle name="Currency 4 2 3 2 2 4 2" xfId="51688" xr:uid="{00000000-0005-0000-0000-00008FBA0000}"/>
    <cellStyle name="Currency 4 2 3 2 2 4 2 2" xfId="51689" xr:uid="{00000000-0005-0000-0000-000090BA0000}"/>
    <cellStyle name="Currency 4 2 3 2 2 4 2 3" xfId="51690" xr:uid="{00000000-0005-0000-0000-000091BA0000}"/>
    <cellStyle name="Currency 4 2 3 2 2 4 3" xfId="51691" xr:uid="{00000000-0005-0000-0000-000092BA0000}"/>
    <cellStyle name="Currency 4 2 3 2 2 4 3 2" xfId="51692" xr:uid="{00000000-0005-0000-0000-000093BA0000}"/>
    <cellStyle name="Currency 4 2 3 2 2 4 4" xfId="51693" xr:uid="{00000000-0005-0000-0000-000094BA0000}"/>
    <cellStyle name="Currency 4 2 3 2 2 4 5" xfId="51694" xr:uid="{00000000-0005-0000-0000-000095BA0000}"/>
    <cellStyle name="Currency 4 2 3 2 2 5" xfId="51695" xr:uid="{00000000-0005-0000-0000-000096BA0000}"/>
    <cellStyle name="Currency 4 2 3 2 2 5 2" xfId="51696" xr:uid="{00000000-0005-0000-0000-000097BA0000}"/>
    <cellStyle name="Currency 4 2 3 2 2 5 3" xfId="51697" xr:uid="{00000000-0005-0000-0000-000098BA0000}"/>
    <cellStyle name="Currency 4 2 3 2 2 6" xfId="51698" xr:uid="{00000000-0005-0000-0000-000099BA0000}"/>
    <cellStyle name="Currency 4 2 3 2 2 6 2" xfId="51699" xr:uid="{00000000-0005-0000-0000-00009ABA0000}"/>
    <cellStyle name="Currency 4 2 3 2 2 6 3" xfId="51700" xr:uid="{00000000-0005-0000-0000-00009BBA0000}"/>
    <cellStyle name="Currency 4 2 3 2 2 7" xfId="51701" xr:uid="{00000000-0005-0000-0000-00009CBA0000}"/>
    <cellStyle name="Currency 4 2 3 2 2 7 2" xfId="51702" xr:uid="{00000000-0005-0000-0000-00009DBA0000}"/>
    <cellStyle name="Currency 4 2 3 2 2 8" xfId="51703" xr:uid="{00000000-0005-0000-0000-00009EBA0000}"/>
    <cellStyle name="Currency 4 2 3 2 2 9" xfId="51704" xr:uid="{00000000-0005-0000-0000-00009FBA0000}"/>
    <cellStyle name="Currency 4 2 3 2 3" xfId="51705" xr:uid="{00000000-0005-0000-0000-0000A0BA0000}"/>
    <cellStyle name="Currency 4 2 3 2 3 2" xfId="51706" xr:uid="{00000000-0005-0000-0000-0000A1BA0000}"/>
    <cellStyle name="Currency 4 2 3 2 3 2 2" xfId="51707" xr:uid="{00000000-0005-0000-0000-0000A2BA0000}"/>
    <cellStyle name="Currency 4 2 3 2 3 2 3" xfId="51708" xr:uid="{00000000-0005-0000-0000-0000A3BA0000}"/>
    <cellStyle name="Currency 4 2 3 2 3 3" xfId="51709" xr:uid="{00000000-0005-0000-0000-0000A4BA0000}"/>
    <cellStyle name="Currency 4 2 3 2 3 3 2" xfId="51710" xr:uid="{00000000-0005-0000-0000-0000A5BA0000}"/>
    <cellStyle name="Currency 4 2 3 2 3 3 3" xfId="51711" xr:uid="{00000000-0005-0000-0000-0000A6BA0000}"/>
    <cellStyle name="Currency 4 2 3 2 3 4" xfId="51712" xr:uid="{00000000-0005-0000-0000-0000A7BA0000}"/>
    <cellStyle name="Currency 4 2 3 2 3 4 2" xfId="51713" xr:uid="{00000000-0005-0000-0000-0000A8BA0000}"/>
    <cellStyle name="Currency 4 2 3 2 3 5" xfId="51714" xr:uid="{00000000-0005-0000-0000-0000A9BA0000}"/>
    <cellStyle name="Currency 4 2 3 2 3 6" xfId="51715" xr:uid="{00000000-0005-0000-0000-0000AABA0000}"/>
    <cellStyle name="Currency 4 2 3 2 4" xfId="51716" xr:uid="{00000000-0005-0000-0000-0000ABBA0000}"/>
    <cellStyle name="Currency 4 2 3 2 4 2" xfId="51717" xr:uid="{00000000-0005-0000-0000-0000ACBA0000}"/>
    <cellStyle name="Currency 4 2 3 2 4 2 2" xfId="51718" xr:uid="{00000000-0005-0000-0000-0000ADBA0000}"/>
    <cellStyle name="Currency 4 2 3 2 4 2 3" xfId="51719" xr:uid="{00000000-0005-0000-0000-0000AEBA0000}"/>
    <cellStyle name="Currency 4 2 3 2 4 3" xfId="51720" xr:uid="{00000000-0005-0000-0000-0000AFBA0000}"/>
    <cellStyle name="Currency 4 2 3 2 4 3 2" xfId="51721" xr:uid="{00000000-0005-0000-0000-0000B0BA0000}"/>
    <cellStyle name="Currency 4 2 3 2 4 3 3" xfId="51722" xr:uid="{00000000-0005-0000-0000-0000B1BA0000}"/>
    <cellStyle name="Currency 4 2 3 2 4 4" xfId="51723" xr:uid="{00000000-0005-0000-0000-0000B2BA0000}"/>
    <cellStyle name="Currency 4 2 3 2 4 4 2" xfId="51724" xr:uid="{00000000-0005-0000-0000-0000B3BA0000}"/>
    <cellStyle name="Currency 4 2 3 2 4 5" xfId="51725" xr:uid="{00000000-0005-0000-0000-0000B4BA0000}"/>
    <cellStyle name="Currency 4 2 3 2 4 6" xfId="51726" xr:uid="{00000000-0005-0000-0000-0000B5BA0000}"/>
    <cellStyle name="Currency 4 2 3 2 5" xfId="51727" xr:uid="{00000000-0005-0000-0000-0000B6BA0000}"/>
    <cellStyle name="Currency 4 2 3 2 5 2" xfId="51728" xr:uid="{00000000-0005-0000-0000-0000B7BA0000}"/>
    <cellStyle name="Currency 4 2 3 2 5 2 2" xfId="51729" xr:uid="{00000000-0005-0000-0000-0000B8BA0000}"/>
    <cellStyle name="Currency 4 2 3 2 5 2 3" xfId="51730" xr:uid="{00000000-0005-0000-0000-0000B9BA0000}"/>
    <cellStyle name="Currency 4 2 3 2 5 3" xfId="51731" xr:uid="{00000000-0005-0000-0000-0000BABA0000}"/>
    <cellStyle name="Currency 4 2 3 2 5 3 2" xfId="51732" xr:uid="{00000000-0005-0000-0000-0000BBBA0000}"/>
    <cellStyle name="Currency 4 2 3 2 5 4" xfId="51733" xr:uid="{00000000-0005-0000-0000-0000BCBA0000}"/>
    <cellStyle name="Currency 4 2 3 2 5 5" xfId="51734" xr:uid="{00000000-0005-0000-0000-0000BDBA0000}"/>
    <cellStyle name="Currency 4 2 3 2 6" xfId="51735" xr:uid="{00000000-0005-0000-0000-0000BEBA0000}"/>
    <cellStyle name="Currency 4 2 3 2 6 2" xfId="51736" xr:uid="{00000000-0005-0000-0000-0000BFBA0000}"/>
    <cellStyle name="Currency 4 2 3 2 6 3" xfId="51737" xr:uid="{00000000-0005-0000-0000-0000C0BA0000}"/>
    <cellStyle name="Currency 4 2 3 2 7" xfId="51738" xr:uid="{00000000-0005-0000-0000-0000C1BA0000}"/>
    <cellStyle name="Currency 4 2 3 2 7 2" xfId="51739" xr:uid="{00000000-0005-0000-0000-0000C2BA0000}"/>
    <cellStyle name="Currency 4 2 3 2 7 3" xfId="51740" xr:uid="{00000000-0005-0000-0000-0000C3BA0000}"/>
    <cellStyle name="Currency 4 2 3 2 8" xfId="51741" xr:uid="{00000000-0005-0000-0000-0000C4BA0000}"/>
    <cellStyle name="Currency 4 2 3 2 8 2" xfId="51742" xr:uid="{00000000-0005-0000-0000-0000C5BA0000}"/>
    <cellStyle name="Currency 4 2 3 2 9" xfId="51743" xr:uid="{00000000-0005-0000-0000-0000C6BA0000}"/>
    <cellStyle name="Currency 4 2 3 3" xfId="51744" xr:uid="{00000000-0005-0000-0000-0000C7BA0000}"/>
    <cellStyle name="Currency 4 2 3 3 2" xfId="51745" xr:uid="{00000000-0005-0000-0000-0000C8BA0000}"/>
    <cellStyle name="Currency 4 2 3 3 2 2" xfId="51746" xr:uid="{00000000-0005-0000-0000-0000C9BA0000}"/>
    <cellStyle name="Currency 4 2 3 3 2 2 2" xfId="51747" xr:uid="{00000000-0005-0000-0000-0000CABA0000}"/>
    <cellStyle name="Currency 4 2 3 3 2 2 3" xfId="51748" xr:uid="{00000000-0005-0000-0000-0000CBBA0000}"/>
    <cellStyle name="Currency 4 2 3 3 2 3" xfId="51749" xr:uid="{00000000-0005-0000-0000-0000CCBA0000}"/>
    <cellStyle name="Currency 4 2 3 3 2 3 2" xfId="51750" xr:uid="{00000000-0005-0000-0000-0000CDBA0000}"/>
    <cellStyle name="Currency 4 2 3 3 2 3 3" xfId="51751" xr:uid="{00000000-0005-0000-0000-0000CEBA0000}"/>
    <cellStyle name="Currency 4 2 3 3 2 4" xfId="51752" xr:uid="{00000000-0005-0000-0000-0000CFBA0000}"/>
    <cellStyle name="Currency 4 2 3 3 2 4 2" xfId="51753" xr:uid="{00000000-0005-0000-0000-0000D0BA0000}"/>
    <cellStyle name="Currency 4 2 3 3 2 5" xfId="51754" xr:uid="{00000000-0005-0000-0000-0000D1BA0000}"/>
    <cellStyle name="Currency 4 2 3 3 2 6" xfId="51755" xr:uid="{00000000-0005-0000-0000-0000D2BA0000}"/>
    <cellStyle name="Currency 4 2 3 3 3" xfId="51756" xr:uid="{00000000-0005-0000-0000-0000D3BA0000}"/>
    <cellStyle name="Currency 4 2 3 3 3 2" xfId="51757" xr:uid="{00000000-0005-0000-0000-0000D4BA0000}"/>
    <cellStyle name="Currency 4 2 3 3 3 2 2" xfId="51758" xr:uid="{00000000-0005-0000-0000-0000D5BA0000}"/>
    <cellStyle name="Currency 4 2 3 3 3 2 3" xfId="51759" xr:uid="{00000000-0005-0000-0000-0000D6BA0000}"/>
    <cellStyle name="Currency 4 2 3 3 3 3" xfId="51760" xr:uid="{00000000-0005-0000-0000-0000D7BA0000}"/>
    <cellStyle name="Currency 4 2 3 3 3 3 2" xfId="51761" xr:uid="{00000000-0005-0000-0000-0000D8BA0000}"/>
    <cellStyle name="Currency 4 2 3 3 3 3 3" xfId="51762" xr:uid="{00000000-0005-0000-0000-0000D9BA0000}"/>
    <cellStyle name="Currency 4 2 3 3 3 4" xfId="51763" xr:uid="{00000000-0005-0000-0000-0000DABA0000}"/>
    <cellStyle name="Currency 4 2 3 3 3 4 2" xfId="51764" xr:uid="{00000000-0005-0000-0000-0000DBBA0000}"/>
    <cellStyle name="Currency 4 2 3 3 3 5" xfId="51765" xr:uid="{00000000-0005-0000-0000-0000DCBA0000}"/>
    <cellStyle name="Currency 4 2 3 3 3 6" xfId="51766" xr:uid="{00000000-0005-0000-0000-0000DDBA0000}"/>
    <cellStyle name="Currency 4 2 3 3 4" xfId="51767" xr:uid="{00000000-0005-0000-0000-0000DEBA0000}"/>
    <cellStyle name="Currency 4 2 3 3 4 2" xfId="51768" xr:uid="{00000000-0005-0000-0000-0000DFBA0000}"/>
    <cellStyle name="Currency 4 2 3 3 4 2 2" xfId="51769" xr:uid="{00000000-0005-0000-0000-0000E0BA0000}"/>
    <cellStyle name="Currency 4 2 3 3 4 2 3" xfId="51770" xr:uid="{00000000-0005-0000-0000-0000E1BA0000}"/>
    <cellStyle name="Currency 4 2 3 3 4 3" xfId="51771" xr:uid="{00000000-0005-0000-0000-0000E2BA0000}"/>
    <cellStyle name="Currency 4 2 3 3 4 3 2" xfId="51772" xr:uid="{00000000-0005-0000-0000-0000E3BA0000}"/>
    <cellStyle name="Currency 4 2 3 3 4 4" xfId="51773" xr:uid="{00000000-0005-0000-0000-0000E4BA0000}"/>
    <cellStyle name="Currency 4 2 3 3 4 5" xfId="51774" xr:uid="{00000000-0005-0000-0000-0000E5BA0000}"/>
    <cellStyle name="Currency 4 2 3 3 5" xfId="51775" xr:uid="{00000000-0005-0000-0000-0000E6BA0000}"/>
    <cellStyle name="Currency 4 2 3 3 5 2" xfId="51776" xr:uid="{00000000-0005-0000-0000-0000E7BA0000}"/>
    <cellStyle name="Currency 4 2 3 3 5 3" xfId="51777" xr:uid="{00000000-0005-0000-0000-0000E8BA0000}"/>
    <cellStyle name="Currency 4 2 3 3 6" xfId="51778" xr:uid="{00000000-0005-0000-0000-0000E9BA0000}"/>
    <cellStyle name="Currency 4 2 3 3 6 2" xfId="51779" xr:uid="{00000000-0005-0000-0000-0000EABA0000}"/>
    <cellStyle name="Currency 4 2 3 3 6 3" xfId="51780" xr:uid="{00000000-0005-0000-0000-0000EBBA0000}"/>
    <cellStyle name="Currency 4 2 3 3 7" xfId="51781" xr:uid="{00000000-0005-0000-0000-0000ECBA0000}"/>
    <cellStyle name="Currency 4 2 3 3 7 2" xfId="51782" xr:uid="{00000000-0005-0000-0000-0000EDBA0000}"/>
    <cellStyle name="Currency 4 2 3 3 8" xfId="51783" xr:uid="{00000000-0005-0000-0000-0000EEBA0000}"/>
    <cellStyle name="Currency 4 2 3 3 9" xfId="51784" xr:uid="{00000000-0005-0000-0000-0000EFBA0000}"/>
    <cellStyle name="Currency 4 2 3 4" xfId="51785" xr:uid="{00000000-0005-0000-0000-0000F0BA0000}"/>
    <cellStyle name="Currency 4 2 3 4 2" xfId="51786" xr:uid="{00000000-0005-0000-0000-0000F1BA0000}"/>
    <cellStyle name="Currency 4 2 3 4 2 2" xfId="51787" xr:uid="{00000000-0005-0000-0000-0000F2BA0000}"/>
    <cellStyle name="Currency 4 2 3 4 2 2 2" xfId="51788" xr:uid="{00000000-0005-0000-0000-0000F3BA0000}"/>
    <cellStyle name="Currency 4 2 3 4 2 2 3" xfId="51789" xr:uid="{00000000-0005-0000-0000-0000F4BA0000}"/>
    <cellStyle name="Currency 4 2 3 4 2 3" xfId="51790" xr:uid="{00000000-0005-0000-0000-0000F5BA0000}"/>
    <cellStyle name="Currency 4 2 3 4 2 3 2" xfId="51791" xr:uid="{00000000-0005-0000-0000-0000F6BA0000}"/>
    <cellStyle name="Currency 4 2 3 4 2 3 3" xfId="51792" xr:uid="{00000000-0005-0000-0000-0000F7BA0000}"/>
    <cellStyle name="Currency 4 2 3 4 2 4" xfId="51793" xr:uid="{00000000-0005-0000-0000-0000F8BA0000}"/>
    <cellStyle name="Currency 4 2 3 4 2 4 2" xfId="51794" xr:uid="{00000000-0005-0000-0000-0000F9BA0000}"/>
    <cellStyle name="Currency 4 2 3 4 2 5" xfId="51795" xr:uid="{00000000-0005-0000-0000-0000FABA0000}"/>
    <cellStyle name="Currency 4 2 3 4 2 6" xfId="51796" xr:uid="{00000000-0005-0000-0000-0000FBBA0000}"/>
    <cellStyle name="Currency 4 2 3 4 3" xfId="51797" xr:uid="{00000000-0005-0000-0000-0000FCBA0000}"/>
    <cellStyle name="Currency 4 2 3 4 3 2" xfId="51798" xr:uid="{00000000-0005-0000-0000-0000FDBA0000}"/>
    <cellStyle name="Currency 4 2 3 4 3 2 2" xfId="51799" xr:uid="{00000000-0005-0000-0000-0000FEBA0000}"/>
    <cellStyle name="Currency 4 2 3 4 3 2 3" xfId="51800" xr:uid="{00000000-0005-0000-0000-0000FFBA0000}"/>
    <cellStyle name="Currency 4 2 3 4 3 3" xfId="51801" xr:uid="{00000000-0005-0000-0000-000000BB0000}"/>
    <cellStyle name="Currency 4 2 3 4 3 3 2" xfId="51802" xr:uid="{00000000-0005-0000-0000-000001BB0000}"/>
    <cellStyle name="Currency 4 2 3 4 3 3 3" xfId="51803" xr:uid="{00000000-0005-0000-0000-000002BB0000}"/>
    <cellStyle name="Currency 4 2 3 4 3 4" xfId="51804" xr:uid="{00000000-0005-0000-0000-000003BB0000}"/>
    <cellStyle name="Currency 4 2 3 4 3 4 2" xfId="51805" xr:uid="{00000000-0005-0000-0000-000004BB0000}"/>
    <cellStyle name="Currency 4 2 3 4 3 5" xfId="51806" xr:uid="{00000000-0005-0000-0000-000005BB0000}"/>
    <cellStyle name="Currency 4 2 3 4 3 6" xfId="51807" xr:uid="{00000000-0005-0000-0000-000006BB0000}"/>
    <cellStyle name="Currency 4 2 3 4 4" xfId="51808" xr:uid="{00000000-0005-0000-0000-000007BB0000}"/>
    <cellStyle name="Currency 4 2 3 4 4 2" xfId="51809" xr:uid="{00000000-0005-0000-0000-000008BB0000}"/>
    <cellStyle name="Currency 4 2 3 4 4 2 2" xfId="51810" xr:uid="{00000000-0005-0000-0000-000009BB0000}"/>
    <cellStyle name="Currency 4 2 3 4 4 2 3" xfId="51811" xr:uid="{00000000-0005-0000-0000-00000ABB0000}"/>
    <cellStyle name="Currency 4 2 3 4 4 3" xfId="51812" xr:uid="{00000000-0005-0000-0000-00000BBB0000}"/>
    <cellStyle name="Currency 4 2 3 4 4 3 2" xfId="51813" xr:uid="{00000000-0005-0000-0000-00000CBB0000}"/>
    <cellStyle name="Currency 4 2 3 4 4 4" xfId="51814" xr:uid="{00000000-0005-0000-0000-00000DBB0000}"/>
    <cellStyle name="Currency 4 2 3 4 4 5" xfId="51815" xr:uid="{00000000-0005-0000-0000-00000EBB0000}"/>
    <cellStyle name="Currency 4 2 3 4 5" xfId="51816" xr:uid="{00000000-0005-0000-0000-00000FBB0000}"/>
    <cellStyle name="Currency 4 2 3 4 5 2" xfId="51817" xr:uid="{00000000-0005-0000-0000-000010BB0000}"/>
    <cellStyle name="Currency 4 2 3 4 5 3" xfId="51818" xr:uid="{00000000-0005-0000-0000-000011BB0000}"/>
    <cellStyle name="Currency 4 2 3 4 6" xfId="51819" xr:uid="{00000000-0005-0000-0000-000012BB0000}"/>
    <cellStyle name="Currency 4 2 3 4 6 2" xfId="51820" xr:uid="{00000000-0005-0000-0000-000013BB0000}"/>
    <cellStyle name="Currency 4 2 3 4 6 3" xfId="51821" xr:uid="{00000000-0005-0000-0000-000014BB0000}"/>
    <cellStyle name="Currency 4 2 3 4 7" xfId="51822" xr:uid="{00000000-0005-0000-0000-000015BB0000}"/>
    <cellStyle name="Currency 4 2 3 4 7 2" xfId="51823" xr:uid="{00000000-0005-0000-0000-000016BB0000}"/>
    <cellStyle name="Currency 4 2 3 4 8" xfId="51824" xr:uid="{00000000-0005-0000-0000-000017BB0000}"/>
    <cellStyle name="Currency 4 2 3 4 9" xfId="51825" xr:uid="{00000000-0005-0000-0000-000018BB0000}"/>
    <cellStyle name="Currency 4 2 3 5" xfId="51826" xr:uid="{00000000-0005-0000-0000-000019BB0000}"/>
    <cellStyle name="Currency 4 2 3 5 2" xfId="51827" xr:uid="{00000000-0005-0000-0000-00001ABB0000}"/>
    <cellStyle name="Currency 4 2 3 5 2 2" xfId="51828" xr:uid="{00000000-0005-0000-0000-00001BBB0000}"/>
    <cellStyle name="Currency 4 2 3 5 2 3" xfId="51829" xr:uid="{00000000-0005-0000-0000-00001CBB0000}"/>
    <cellStyle name="Currency 4 2 3 5 3" xfId="51830" xr:uid="{00000000-0005-0000-0000-00001DBB0000}"/>
    <cellStyle name="Currency 4 2 3 5 3 2" xfId="51831" xr:uid="{00000000-0005-0000-0000-00001EBB0000}"/>
    <cellStyle name="Currency 4 2 3 5 3 3" xfId="51832" xr:uid="{00000000-0005-0000-0000-00001FBB0000}"/>
    <cellStyle name="Currency 4 2 3 5 4" xfId="51833" xr:uid="{00000000-0005-0000-0000-000020BB0000}"/>
    <cellStyle name="Currency 4 2 3 5 4 2" xfId="51834" xr:uid="{00000000-0005-0000-0000-000021BB0000}"/>
    <cellStyle name="Currency 4 2 3 5 5" xfId="51835" xr:uid="{00000000-0005-0000-0000-000022BB0000}"/>
    <cellStyle name="Currency 4 2 3 5 6" xfId="51836" xr:uid="{00000000-0005-0000-0000-000023BB0000}"/>
    <cellStyle name="Currency 4 2 3 6" xfId="51837" xr:uid="{00000000-0005-0000-0000-000024BB0000}"/>
    <cellStyle name="Currency 4 2 3 6 2" xfId="51838" xr:uid="{00000000-0005-0000-0000-000025BB0000}"/>
    <cellStyle name="Currency 4 2 3 6 2 2" xfId="51839" xr:uid="{00000000-0005-0000-0000-000026BB0000}"/>
    <cellStyle name="Currency 4 2 3 6 2 3" xfId="51840" xr:uid="{00000000-0005-0000-0000-000027BB0000}"/>
    <cellStyle name="Currency 4 2 3 6 3" xfId="51841" xr:uid="{00000000-0005-0000-0000-000028BB0000}"/>
    <cellStyle name="Currency 4 2 3 6 3 2" xfId="51842" xr:uid="{00000000-0005-0000-0000-000029BB0000}"/>
    <cellStyle name="Currency 4 2 3 6 3 3" xfId="51843" xr:uid="{00000000-0005-0000-0000-00002ABB0000}"/>
    <cellStyle name="Currency 4 2 3 6 4" xfId="51844" xr:uid="{00000000-0005-0000-0000-00002BBB0000}"/>
    <cellStyle name="Currency 4 2 3 6 4 2" xfId="51845" xr:uid="{00000000-0005-0000-0000-00002CBB0000}"/>
    <cellStyle name="Currency 4 2 3 6 5" xfId="51846" xr:uid="{00000000-0005-0000-0000-00002DBB0000}"/>
    <cellStyle name="Currency 4 2 3 6 6" xfId="51847" xr:uid="{00000000-0005-0000-0000-00002EBB0000}"/>
    <cellStyle name="Currency 4 2 3 7" xfId="51848" xr:uid="{00000000-0005-0000-0000-00002FBB0000}"/>
    <cellStyle name="Currency 4 2 3 7 2" xfId="51849" xr:uid="{00000000-0005-0000-0000-000030BB0000}"/>
    <cellStyle name="Currency 4 2 3 7 2 2" xfId="51850" xr:uid="{00000000-0005-0000-0000-000031BB0000}"/>
    <cellStyle name="Currency 4 2 3 7 2 3" xfId="51851" xr:uid="{00000000-0005-0000-0000-000032BB0000}"/>
    <cellStyle name="Currency 4 2 3 7 3" xfId="51852" xr:uid="{00000000-0005-0000-0000-000033BB0000}"/>
    <cellStyle name="Currency 4 2 3 7 3 2" xfId="51853" xr:uid="{00000000-0005-0000-0000-000034BB0000}"/>
    <cellStyle name="Currency 4 2 3 7 4" xfId="51854" xr:uid="{00000000-0005-0000-0000-000035BB0000}"/>
    <cellStyle name="Currency 4 2 3 7 5" xfId="51855" xr:uid="{00000000-0005-0000-0000-000036BB0000}"/>
    <cellStyle name="Currency 4 2 3 8" xfId="51856" xr:uid="{00000000-0005-0000-0000-000037BB0000}"/>
    <cellStyle name="Currency 4 2 3 8 2" xfId="51857" xr:uid="{00000000-0005-0000-0000-000038BB0000}"/>
    <cellStyle name="Currency 4 2 3 8 3" xfId="51858" xr:uid="{00000000-0005-0000-0000-000039BB0000}"/>
    <cellStyle name="Currency 4 2 3 9" xfId="51859" xr:uid="{00000000-0005-0000-0000-00003ABB0000}"/>
    <cellStyle name="Currency 4 2 3 9 2" xfId="51860" xr:uid="{00000000-0005-0000-0000-00003BBB0000}"/>
    <cellStyle name="Currency 4 2 3 9 3" xfId="51861" xr:uid="{00000000-0005-0000-0000-00003CBB0000}"/>
    <cellStyle name="Currency 4 2 4" xfId="9166" xr:uid="{00000000-0005-0000-0000-00003DBB0000}"/>
    <cellStyle name="Currency 4 2 4 10" xfId="51862" xr:uid="{00000000-0005-0000-0000-00003EBB0000}"/>
    <cellStyle name="Currency 4 2 4 2" xfId="51863" xr:uid="{00000000-0005-0000-0000-00003FBB0000}"/>
    <cellStyle name="Currency 4 2 4 2 2" xfId="51864" xr:uid="{00000000-0005-0000-0000-000040BB0000}"/>
    <cellStyle name="Currency 4 2 4 2 2 2" xfId="51865" xr:uid="{00000000-0005-0000-0000-000041BB0000}"/>
    <cellStyle name="Currency 4 2 4 2 2 2 2" xfId="51866" xr:uid="{00000000-0005-0000-0000-000042BB0000}"/>
    <cellStyle name="Currency 4 2 4 2 2 2 3" xfId="51867" xr:uid="{00000000-0005-0000-0000-000043BB0000}"/>
    <cellStyle name="Currency 4 2 4 2 2 3" xfId="51868" xr:uid="{00000000-0005-0000-0000-000044BB0000}"/>
    <cellStyle name="Currency 4 2 4 2 2 3 2" xfId="51869" xr:uid="{00000000-0005-0000-0000-000045BB0000}"/>
    <cellStyle name="Currency 4 2 4 2 2 3 3" xfId="51870" xr:uid="{00000000-0005-0000-0000-000046BB0000}"/>
    <cellStyle name="Currency 4 2 4 2 2 4" xfId="51871" xr:uid="{00000000-0005-0000-0000-000047BB0000}"/>
    <cellStyle name="Currency 4 2 4 2 2 4 2" xfId="51872" xr:uid="{00000000-0005-0000-0000-000048BB0000}"/>
    <cellStyle name="Currency 4 2 4 2 2 5" xfId="51873" xr:uid="{00000000-0005-0000-0000-000049BB0000}"/>
    <cellStyle name="Currency 4 2 4 2 2 6" xfId="51874" xr:uid="{00000000-0005-0000-0000-00004ABB0000}"/>
    <cellStyle name="Currency 4 2 4 2 3" xfId="51875" xr:uid="{00000000-0005-0000-0000-00004BBB0000}"/>
    <cellStyle name="Currency 4 2 4 2 3 2" xfId="51876" xr:uid="{00000000-0005-0000-0000-00004CBB0000}"/>
    <cellStyle name="Currency 4 2 4 2 3 2 2" xfId="51877" xr:uid="{00000000-0005-0000-0000-00004DBB0000}"/>
    <cellStyle name="Currency 4 2 4 2 3 2 3" xfId="51878" xr:uid="{00000000-0005-0000-0000-00004EBB0000}"/>
    <cellStyle name="Currency 4 2 4 2 3 3" xfId="51879" xr:uid="{00000000-0005-0000-0000-00004FBB0000}"/>
    <cellStyle name="Currency 4 2 4 2 3 3 2" xfId="51880" xr:uid="{00000000-0005-0000-0000-000050BB0000}"/>
    <cellStyle name="Currency 4 2 4 2 3 3 3" xfId="51881" xr:uid="{00000000-0005-0000-0000-000051BB0000}"/>
    <cellStyle name="Currency 4 2 4 2 3 4" xfId="51882" xr:uid="{00000000-0005-0000-0000-000052BB0000}"/>
    <cellStyle name="Currency 4 2 4 2 3 4 2" xfId="51883" xr:uid="{00000000-0005-0000-0000-000053BB0000}"/>
    <cellStyle name="Currency 4 2 4 2 3 5" xfId="51884" xr:uid="{00000000-0005-0000-0000-000054BB0000}"/>
    <cellStyle name="Currency 4 2 4 2 3 6" xfId="51885" xr:uid="{00000000-0005-0000-0000-000055BB0000}"/>
    <cellStyle name="Currency 4 2 4 2 4" xfId="51886" xr:uid="{00000000-0005-0000-0000-000056BB0000}"/>
    <cellStyle name="Currency 4 2 4 2 4 2" xfId="51887" xr:uid="{00000000-0005-0000-0000-000057BB0000}"/>
    <cellStyle name="Currency 4 2 4 2 4 2 2" xfId="51888" xr:uid="{00000000-0005-0000-0000-000058BB0000}"/>
    <cellStyle name="Currency 4 2 4 2 4 2 3" xfId="51889" xr:uid="{00000000-0005-0000-0000-000059BB0000}"/>
    <cellStyle name="Currency 4 2 4 2 4 3" xfId="51890" xr:uid="{00000000-0005-0000-0000-00005ABB0000}"/>
    <cellStyle name="Currency 4 2 4 2 4 3 2" xfId="51891" xr:uid="{00000000-0005-0000-0000-00005BBB0000}"/>
    <cellStyle name="Currency 4 2 4 2 4 4" xfId="51892" xr:uid="{00000000-0005-0000-0000-00005CBB0000}"/>
    <cellStyle name="Currency 4 2 4 2 4 5" xfId="51893" xr:uid="{00000000-0005-0000-0000-00005DBB0000}"/>
    <cellStyle name="Currency 4 2 4 2 5" xfId="51894" xr:uid="{00000000-0005-0000-0000-00005EBB0000}"/>
    <cellStyle name="Currency 4 2 4 2 5 2" xfId="51895" xr:uid="{00000000-0005-0000-0000-00005FBB0000}"/>
    <cellStyle name="Currency 4 2 4 2 5 3" xfId="51896" xr:uid="{00000000-0005-0000-0000-000060BB0000}"/>
    <cellStyle name="Currency 4 2 4 2 6" xfId="51897" xr:uid="{00000000-0005-0000-0000-000061BB0000}"/>
    <cellStyle name="Currency 4 2 4 2 6 2" xfId="51898" xr:uid="{00000000-0005-0000-0000-000062BB0000}"/>
    <cellStyle name="Currency 4 2 4 2 6 3" xfId="51899" xr:uid="{00000000-0005-0000-0000-000063BB0000}"/>
    <cellStyle name="Currency 4 2 4 2 7" xfId="51900" xr:uid="{00000000-0005-0000-0000-000064BB0000}"/>
    <cellStyle name="Currency 4 2 4 2 7 2" xfId="51901" xr:uid="{00000000-0005-0000-0000-000065BB0000}"/>
    <cellStyle name="Currency 4 2 4 2 8" xfId="51902" xr:uid="{00000000-0005-0000-0000-000066BB0000}"/>
    <cellStyle name="Currency 4 2 4 2 9" xfId="51903" xr:uid="{00000000-0005-0000-0000-000067BB0000}"/>
    <cellStyle name="Currency 4 2 4 3" xfId="51904" xr:uid="{00000000-0005-0000-0000-000068BB0000}"/>
    <cellStyle name="Currency 4 2 4 3 2" xfId="51905" xr:uid="{00000000-0005-0000-0000-000069BB0000}"/>
    <cellStyle name="Currency 4 2 4 3 2 2" xfId="51906" xr:uid="{00000000-0005-0000-0000-00006ABB0000}"/>
    <cellStyle name="Currency 4 2 4 3 2 3" xfId="51907" xr:uid="{00000000-0005-0000-0000-00006BBB0000}"/>
    <cellStyle name="Currency 4 2 4 3 3" xfId="51908" xr:uid="{00000000-0005-0000-0000-00006CBB0000}"/>
    <cellStyle name="Currency 4 2 4 3 3 2" xfId="51909" xr:uid="{00000000-0005-0000-0000-00006DBB0000}"/>
    <cellStyle name="Currency 4 2 4 3 3 3" xfId="51910" xr:uid="{00000000-0005-0000-0000-00006EBB0000}"/>
    <cellStyle name="Currency 4 2 4 3 4" xfId="51911" xr:uid="{00000000-0005-0000-0000-00006FBB0000}"/>
    <cellStyle name="Currency 4 2 4 3 4 2" xfId="51912" xr:uid="{00000000-0005-0000-0000-000070BB0000}"/>
    <cellStyle name="Currency 4 2 4 3 5" xfId="51913" xr:uid="{00000000-0005-0000-0000-000071BB0000}"/>
    <cellStyle name="Currency 4 2 4 3 6" xfId="51914" xr:uid="{00000000-0005-0000-0000-000072BB0000}"/>
    <cellStyle name="Currency 4 2 4 4" xfId="51915" xr:uid="{00000000-0005-0000-0000-000073BB0000}"/>
    <cellStyle name="Currency 4 2 4 4 2" xfId="51916" xr:uid="{00000000-0005-0000-0000-000074BB0000}"/>
    <cellStyle name="Currency 4 2 4 4 2 2" xfId="51917" xr:uid="{00000000-0005-0000-0000-000075BB0000}"/>
    <cellStyle name="Currency 4 2 4 4 2 3" xfId="51918" xr:uid="{00000000-0005-0000-0000-000076BB0000}"/>
    <cellStyle name="Currency 4 2 4 4 3" xfId="51919" xr:uid="{00000000-0005-0000-0000-000077BB0000}"/>
    <cellStyle name="Currency 4 2 4 4 3 2" xfId="51920" xr:uid="{00000000-0005-0000-0000-000078BB0000}"/>
    <cellStyle name="Currency 4 2 4 4 3 3" xfId="51921" xr:uid="{00000000-0005-0000-0000-000079BB0000}"/>
    <cellStyle name="Currency 4 2 4 4 4" xfId="51922" xr:uid="{00000000-0005-0000-0000-00007ABB0000}"/>
    <cellStyle name="Currency 4 2 4 4 4 2" xfId="51923" xr:uid="{00000000-0005-0000-0000-00007BBB0000}"/>
    <cellStyle name="Currency 4 2 4 4 5" xfId="51924" xr:uid="{00000000-0005-0000-0000-00007CBB0000}"/>
    <cellStyle name="Currency 4 2 4 4 6" xfId="51925" xr:uid="{00000000-0005-0000-0000-00007DBB0000}"/>
    <cellStyle name="Currency 4 2 4 5" xfId="51926" xr:uid="{00000000-0005-0000-0000-00007EBB0000}"/>
    <cellStyle name="Currency 4 2 4 5 2" xfId="51927" xr:uid="{00000000-0005-0000-0000-00007FBB0000}"/>
    <cellStyle name="Currency 4 2 4 5 2 2" xfId="51928" xr:uid="{00000000-0005-0000-0000-000080BB0000}"/>
    <cellStyle name="Currency 4 2 4 5 2 3" xfId="51929" xr:uid="{00000000-0005-0000-0000-000081BB0000}"/>
    <cellStyle name="Currency 4 2 4 5 3" xfId="51930" xr:uid="{00000000-0005-0000-0000-000082BB0000}"/>
    <cellStyle name="Currency 4 2 4 5 3 2" xfId="51931" xr:uid="{00000000-0005-0000-0000-000083BB0000}"/>
    <cellStyle name="Currency 4 2 4 5 4" xfId="51932" xr:uid="{00000000-0005-0000-0000-000084BB0000}"/>
    <cellStyle name="Currency 4 2 4 5 5" xfId="51933" xr:uid="{00000000-0005-0000-0000-000085BB0000}"/>
    <cellStyle name="Currency 4 2 4 6" xfId="51934" xr:uid="{00000000-0005-0000-0000-000086BB0000}"/>
    <cellStyle name="Currency 4 2 4 6 2" xfId="51935" xr:uid="{00000000-0005-0000-0000-000087BB0000}"/>
    <cellStyle name="Currency 4 2 4 6 3" xfId="51936" xr:uid="{00000000-0005-0000-0000-000088BB0000}"/>
    <cellStyle name="Currency 4 2 4 7" xfId="51937" xr:uid="{00000000-0005-0000-0000-000089BB0000}"/>
    <cellStyle name="Currency 4 2 4 7 2" xfId="51938" xr:uid="{00000000-0005-0000-0000-00008ABB0000}"/>
    <cellStyle name="Currency 4 2 4 7 3" xfId="51939" xr:uid="{00000000-0005-0000-0000-00008BBB0000}"/>
    <cellStyle name="Currency 4 2 4 8" xfId="51940" xr:uid="{00000000-0005-0000-0000-00008CBB0000}"/>
    <cellStyle name="Currency 4 2 4 8 2" xfId="51941" xr:uid="{00000000-0005-0000-0000-00008DBB0000}"/>
    <cellStyle name="Currency 4 2 4 9" xfId="51942" xr:uid="{00000000-0005-0000-0000-00008EBB0000}"/>
    <cellStyle name="Currency 4 2 5" xfId="51943" xr:uid="{00000000-0005-0000-0000-00008FBB0000}"/>
    <cellStyle name="Currency 4 2 5 2" xfId="51944" xr:uid="{00000000-0005-0000-0000-000090BB0000}"/>
    <cellStyle name="Currency 4 2 5 2 2" xfId="51945" xr:uid="{00000000-0005-0000-0000-000091BB0000}"/>
    <cellStyle name="Currency 4 2 5 2 2 2" xfId="51946" xr:uid="{00000000-0005-0000-0000-000092BB0000}"/>
    <cellStyle name="Currency 4 2 5 2 2 3" xfId="51947" xr:uid="{00000000-0005-0000-0000-000093BB0000}"/>
    <cellStyle name="Currency 4 2 5 2 3" xfId="51948" xr:uid="{00000000-0005-0000-0000-000094BB0000}"/>
    <cellStyle name="Currency 4 2 5 2 3 2" xfId="51949" xr:uid="{00000000-0005-0000-0000-000095BB0000}"/>
    <cellStyle name="Currency 4 2 5 2 3 3" xfId="51950" xr:uid="{00000000-0005-0000-0000-000096BB0000}"/>
    <cellStyle name="Currency 4 2 5 2 4" xfId="51951" xr:uid="{00000000-0005-0000-0000-000097BB0000}"/>
    <cellStyle name="Currency 4 2 5 2 4 2" xfId="51952" xr:uid="{00000000-0005-0000-0000-000098BB0000}"/>
    <cellStyle name="Currency 4 2 5 2 5" xfId="51953" xr:uid="{00000000-0005-0000-0000-000099BB0000}"/>
    <cellStyle name="Currency 4 2 5 2 6" xfId="51954" xr:uid="{00000000-0005-0000-0000-00009ABB0000}"/>
    <cellStyle name="Currency 4 2 5 3" xfId="51955" xr:uid="{00000000-0005-0000-0000-00009BBB0000}"/>
    <cellStyle name="Currency 4 2 5 3 2" xfId="51956" xr:uid="{00000000-0005-0000-0000-00009CBB0000}"/>
    <cellStyle name="Currency 4 2 5 3 2 2" xfId="51957" xr:uid="{00000000-0005-0000-0000-00009DBB0000}"/>
    <cellStyle name="Currency 4 2 5 3 2 3" xfId="51958" xr:uid="{00000000-0005-0000-0000-00009EBB0000}"/>
    <cellStyle name="Currency 4 2 5 3 3" xfId="51959" xr:uid="{00000000-0005-0000-0000-00009FBB0000}"/>
    <cellStyle name="Currency 4 2 5 3 3 2" xfId="51960" xr:uid="{00000000-0005-0000-0000-0000A0BB0000}"/>
    <cellStyle name="Currency 4 2 5 3 3 3" xfId="51961" xr:uid="{00000000-0005-0000-0000-0000A1BB0000}"/>
    <cellStyle name="Currency 4 2 5 3 4" xfId="51962" xr:uid="{00000000-0005-0000-0000-0000A2BB0000}"/>
    <cellStyle name="Currency 4 2 5 3 4 2" xfId="51963" xr:uid="{00000000-0005-0000-0000-0000A3BB0000}"/>
    <cellStyle name="Currency 4 2 5 3 5" xfId="51964" xr:uid="{00000000-0005-0000-0000-0000A4BB0000}"/>
    <cellStyle name="Currency 4 2 5 3 6" xfId="51965" xr:uid="{00000000-0005-0000-0000-0000A5BB0000}"/>
    <cellStyle name="Currency 4 2 5 4" xfId="51966" xr:uid="{00000000-0005-0000-0000-0000A6BB0000}"/>
    <cellStyle name="Currency 4 2 5 4 2" xfId="51967" xr:uid="{00000000-0005-0000-0000-0000A7BB0000}"/>
    <cellStyle name="Currency 4 2 5 4 2 2" xfId="51968" xr:uid="{00000000-0005-0000-0000-0000A8BB0000}"/>
    <cellStyle name="Currency 4 2 5 4 2 3" xfId="51969" xr:uid="{00000000-0005-0000-0000-0000A9BB0000}"/>
    <cellStyle name="Currency 4 2 5 4 3" xfId="51970" xr:uid="{00000000-0005-0000-0000-0000AABB0000}"/>
    <cellStyle name="Currency 4 2 5 4 3 2" xfId="51971" xr:uid="{00000000-0005-0000-0000-0000ABBB0000}"/>
    <cellStyle name="Currency 4 2 5 4 4" xfId="51972" xr:uid="{00000000-0005-0000-0000-0000ACBB0000}"/>
    <cellStyle name="Currency 4 2 5 4 5" xfId="51973" xr:uid="{00000000-0005-0000-0000-0000ADBB0000}"/>
    <cellStyle name="Currency 4 2 5 5" xfId="51974" xr:uid="{00000000-0005-0000-0000-0000AEBB0000}"/>
    <cellStyle name="Currency 4 2 5 5 2" xfId="51975" xr:uid="{00000000-0005-0000-0000-0000AFBB0000}"/>
    <cellStyle name="Currency 4 2 5 5 3" xfId="51976" xr:uid="{00000000-0005-0000-0000-0000B0BB0000}"/>
    <cellStyle name="Currency 4 2 5 6" xfId="51977" xr:uid="{00000000-0005-0000-0000-0000B1BB0000}"/>
    <cellStyle name="Currency 4 2 5 6 2" xfId="51978" xr:uid="{00000000-0005-0000-0000-0000B2BB0000}"/>
    <cellStyle name="Currency 4 2 5 6 3" xfId="51979" xr:uid="{00000000-0005-0000-0000-0000B3BB0000}"/>
    <cellStyle name="Currency 4 2 5 7" xfId="51980" xr:uid="{00000000-0005-0000-0000-0000B4BB0000}"/>
    <cellStyle name="Currency 4 2 5 7 2" xfId="51981" xr:uid="{00000000-0005-0000-0000-0000B5BB0000}"/>
    <cellStyle name="Currency 4 2 5 8" xfId="51982" xr:uid="{00000000-0005-0000-0000-0000B6BB0000}"/>
    <cellStyle name="Currency 4 2 5 9" xfId="51983" xr:uid="{00000000-0005-0000-0000-0000B7BB0000}"/>
    <cellStyle name="Currency 4 2 6" xfId="51984" xr:uid="{00000000-0005-0000-0000-0000B8BB0000}"/>
    <cellStyle name="Currency 4 2 6 2" xfId="51985" xr:uid="{00000000-0005-0000-0000-0000B9BB0000}"/>
    <cellStyle name="Currency 4 2 6 2 2" xfId="51986" xr:uid="{00000000-0005-0000-0000-0000BABB0000}"/>
    <cellStyle name="Currency 4 2 6 2 2 2" xfId="51987" xr:uid="{00000000-0005-0000-0000-0000BBBB0000}"/>
    <cellStyle name="Currency 4 2 6 2 2 3" xfId="51988" xr:uid="{00000000-0005-0000-0000-0000BCBB0000}"/>
    <cellStyle name="Currency 4 2 6 2 3" xfId="51989" xr:uid="{00000000-0005-0000-0000-0000BDBB0000}"/>
    <cellStyle name="Currency 4 2 6 2 3 2" xfId="51990" xr:uid="{00000000-0005-0000-0000-0000BEBB0000}"/>
    <cellStyle name="Currency 4 2 6 2 3 3" xfId="51991" xr:uid="{00000000-0005-0000-0000-0000BFBB0000}"/>
    <cellStyle name="Currency 4 2 6 2 4" xfId="51992" xr:uid="{00000000-0005-0000-0000-0000C0BB0000}"/>
    <cellStyle name="Currency 4 2 6 2 4 2" xfId="51993" xr:uid="{00000000-0005-0000-0000-0000C1BB0000}"/>
    <cellStyle name="Currency 4 2 6 2 5" xfId="51994" xr:uid="{00000000-0005-0000-0000-0000C2BB0000}"/>
    <cellStyle name="Currency 4 2 6 2 6" xfId="51995" xr:uid="{00000000-0005-0000-0000-0000C3BB0000}"/>
    <cellStyle name="Currency 4 2 6 3" xfId="51996" xr:uid="{00000000-0005-0000-0000-0000C4BB0000}"/>
    <cellStyle name="Currency 4 2 6 3 2" xfId="51997" xr:uid="{00000000-0005-0000-0000-0000C5BB0000}"/>
    <cellStyle name="Currency 4 2 6 3 2 2" xfId="51998" xr:uid="{00000000-0005-0000-0000-0000C6BB0000}"/>
    <cellStyle name="Currency 4 2 6 3 2 3" xfId="51999" xr:uid="{00000000-0005-0000-0000-0000C7BB0000}"/>
    <cellStyle name="Currency 4 2 6 3 3" xfId="52000" xr:uid="{00000000-0005-0000-0000-0000C8BB0000}"/>
    <cellStyle name="Currency 4 2 6 3 3 2" xfId="52001" xr:uid="{00000000-0005-0000-0000-0000C9BB0000}"/>
    <cellStyle name="Currency 4 2 6 3 3 3" xfId="52002" xr:uid="{00000000-0005-0000-0000-0000CABB0000}"/>
    <cellStyle name="Currency 4 2 6 3 4" xfId="52003" xr:uid="{00000000-0005-0000-0000-0000CBBB0000}"/>
    <cellStyle name="Currency 4 2 6 3 4 2" xfId="52004" xr:uid="{00000000-0005-0000-0000-0000CCBB0000}"/>
    <cellStyle name="Currency 4 2 6 3 5" xfId="52005" xr:uid="{00000000-0005-0000-0000-0000CDBB0000}"/>
    <cellStyle name="Currency 4 2 6 3 6" xfId="52006" xr:uid="{00000000-0005-0000-0000-0000CEBB0000}"/>
    <cellStyle name="Currency 4 2 6 4" xfId="52007" xr:uid="{00000000-0005-0000-0000-0000CFBB0000}"/>
    <cellStyle name="Currency 4 2 6 4 2" xfId="52008" xr:uid="{00000000-0005-0000-0000-0000D0BB0000}"/>
    <cellStyle name="Currency 4 2 6 4 2 2" xfId="52009" xr:uid="{00000000-0005-0000-0000-0000D1BB0000}"/>
    <cellStyle name="Currency 4 2 6 4 2 3" xfId="52010" xr:uid="{00000000-0005-0000-0000-0000D2BB0000}"/>
    <cellStyle name="Currency 4 2 6 4 3" xfId="52011" xr:uid="{00000000-0005-0000-0000-0000D3BB0000}"/>
    <cellStyle name="Currency 4 2 6 4 3 2" xfId="52012" xr:uid="{00000000-0005-0000-0000-0000D4BB0000}"/>
    <cellStyle name="Currency 4 2 6 4 4" xfId="52013" xr:uid="{00000000-0005-0000-0000-0000D5BB0000}"/>
    <cellStyle name="Currency 4 2 6 4 5" xfId="52014" xr:uid="{00000000-0005-0000-0000-0000D6BB0000}"/>
    <cellStyle name="Currency 4 2 6 5" xfId="52015" xr:uid="{00000000-0005-0000-0000-0000D7BB0000}"/>
    <cellStyle name="Currency 4 2 6 5 2" xfId="52016" xr:uid="{00000000-0005-0000-0000-0000D8BB0000}"/>
    <cellStyle name="Currency 4 2 6 5 3" xfId="52017" xr:uid="{00000000-0005-0000-0000-0000D9BB0000}"/>
    <cellStyle name="Currency 4 2 6 6" xfId="52018" xr:uid="{00000000-0005-0000-0000-0000DABB0000}"/>
    <cellStyle name="Currency 4 2 6 6 2" xfId="52019" xr:uid="{00000000-0005-0000-0000-0000DBBB0000}"/>
    <cellStyle name="Currency 4 2 6 6 3" xfId="52020" xr:uid="{00000000-0005-0000-0000-0000DCBB0000}"/>
    <cellStyle name="Currency 4 2 6 7" xfId="52021" xr:uid="{00000000-0005-0000-0000-0000DDBB0000}"/>
    <cellStyle name="Currency 4 2 6 7 2" xfId="52022" xr:uid="{00000000-0005-0000-0000-0000DEBB0000}"/>
    <cellStyle name="Currency 4 2 6 8" xfId="52023" xr:uid="{00000000-0005-0000-0000-0000DFBB0000}"/>
    <cellStyle name="Currency 4 2 6 9" xfId="52024" xr:uid="{00000000-0005-0000-0000-0000E0BB0000}"/>
    <cellStyle name="Currency 4 2 7" xfId="52025" xr:uid="{00000000-0005-0000-0000-0000E1BB0000}"/>
    <cellStyle name="Currency 4 2 7 2" xfId="52026" xr:uid="{00000000-0005-0000-0000-0000E2BB0000}"/>
    <cellStyle name="Currency 4 2 7 2 2" xfId="52027" xr:uid="{00000000-0005-0000-0000-0000E3BB0000}"/>
    <cellStyle name="Currency 4 2 7 2 3" xfId="52028" xr:uid="{00000000-0005-0000-0000-0000E4BB0000}"/>
    <cellStyle name="Currency 4 2 7 3" xfId="52029" xr:uid="{00000000-0005-0000-0000-0000E5BB0000}"/>
    <cellStyle name="Currency 4 2 7 3 2" xfId="52030" xr:uid="{00000000-0005-0000-0000-0000E6BB0000}"/>
    <cellStyle name="Currency 4 2 7 3 3" xfId="52031" xr:uid="{00000000-0005-0000-0000-0000E7BB0000}"/>
    <cellStyle name="Currency 4 2 7 4" xfId="52032" xr:uid="{00000000-0005-0000-0000-0000E8BB0000}"/>
    <cellStyle name="Currency 4 2 7 4 2" xfId="52033" xr:uid="{00000000-0005-0000-0000-0000E9BB0000}"/>
    <cellStyle name="Currency 4 2 7 5" xfId="52034" xr:uid="{00000000-0005-0000-0000-0000EABB0000}"/>
    <cellStyle name="Currency 4 2 7 6" xfId="52035" xr:uid="{00000000-0005-0000-0000-0000EBBB0000}"/>
    <cellStyle name="Currency 4 2 8" xfId="52036" xr:uid="{00000000-0005-0000-0000-0000ECBB0000}"/>
    <cellStyle name="Currency 4 2 8 2" xfId="52037" xr:uid="{00000000-0005-0000-0000-0000EDBB0000}"/>
    <cellStyle name="Currency 4 2 8 2 2" xfId="52038" xr:uid="{00000000-0005-0000-0000-0000EEBB0000}"/>
    <cellStyle name="Currency 4 2 8 2 3" xfId="52039" xr:uid="{00000000-0005-0000-0000-0000EFBB0000}"/>
    <cellStyle name="Currency 4 2 8 3" xfId="52040" xr:uid="{00000000-0005-0000-0000-0000F0BB0000}"/>
    <cellStyle name="Currency 4 2 8 3 2" xfId="52041" xr:uid="{00000000-0005-0000-0000-0000F1BB0000}"/>
    <cellStyle name="Currency 4 2 8 3 3" xfId="52042" xr:uid="{00000000-0005-0000-0000-0000F2BB0000}"/>
    <cellStyle name="Currency 4 2 8 4" xfId="52043" xr:uid="{00000000-0005-0000-0000-0000F3BB0000}"/>
    <cellStyle name="Currency 4 2 8 4 2" xfId="52044" xr:uid="{00000000-0005-0000-0000-0000F4BB0000}"/>
    <cellStyle name="Currency 4 2 8 5" xfId="52045" xr:uid="{00000000-0005-0000-0000-0000F5BB0000}"/>
    <cellStyle name="Currency 4 2 8 6" xfId="52046" xr:uid="{00000000-0005-0000-0000-0000F6BB0000}"/>
    <cellStyle name="Currency 4 2 9" xfId="52047" xr:uid="{00000000-0005-0000-0000-0000F7BB0000}"/>
    <cellStyle name="Currency 4 2 9 2" xfId="52048" xr:uid="{00000000-0005-0000-0000-0000F8BB0000}"/>
    <cellStyle name="Currency 4 2 9 2 2" xfId="52049" xr:uid="{00000000-0005-0000-0000-0000F9BB0000}"/>
    <cellStyle name="Currency 4 2 9 2 3" xfId="52050" xr:uid="{00000000-0005-0000-0000-0000FABB0000}"/>
    <cellStyle name="Currency 4 2 9 3" xfId="52051" xr:uid="{00000000-0005-0000-0000-0000FBBB0000}"/>
    <cellStyle name="Currency 4 2 9 3 2" xfId="52052" xr:uid="{00000000-0005-0000-0000-0000FCBB0000}"/>
    <cellStyle name="Currency 4 2 9 4" xfId="52053" xr:uid="{00000000-0005-0000-0000-0000FDBB0000}"/>
    <cellStyle name="Currency 4 2 9 5" xfId="52054" xr:uid="{00000000-0005-0000-0000-0000FEBB0000}"/>
    <cellStyle name="Currency 4 3" xfId="3902" xr:uid="{00000000-0005-0000-0000-0000FFBB0000}"/>
    <cellStyle name="Currency 4 3 10" xfId="52055" xr:uid="{00000000-0005-0000-0000-000000BC0000}"/>
    <cellStyle name="Currency 4 3 10 2" xfId="52056" xr:uid="{00000000-0005-0000-0000-000001BC0000}"/>
    <cellStyle name="Currency 4 3 10 3" xfId="52057" xr:uid="{00000000-0005-0000-0000-000002BC0000}"/>
    <cellStyle name="Currency 4 3 11" xfId="52058" xr:uid="{00000000-0005-0000-0000-000003BC0000}"/>
    <cellStyle name="Currency 4 3 11 2" xfId="52059" xr:uid="{00000000-0005-0000-0000-000004BC0000}"/>
    <cellStyle name="Currency 4 3 12" xfId="52060" xr:uid="{00000000-0005-0000-0000-000005BC0000}"/>
    <cellStyle name="Currency 4 3 13" xfId="52061" xr:uid="{00000000-0005-0000-0000-000006BC0000}"/>
    <cellStyle name="Currency 4 3 14" xfId="52062" xr:uid="{00000000-0005-0000-0000-000007BC0000}"/>
    <cellStyle name="Currency 4 3 2" xfId="9167" xr:uid="{00000000-0005-0000-0000-000008BC0000}"/>
    <cellStyle name="Currency 4 3 2 10" xfId="52063" xr:uid="{00000000-0005-0000-0000-000009BC0000}"/>
    <cellStyle name="Currency 4 3 2 10 2" xfId="52064" xr:uid="{00000000-0005-0000-0000-00000ABC0000}"/>
    <cellStyle name="Currency 4 3 2 11" xfId="52065" xr:uid="{00000000-0005-0000-0000-00000BBC0000}"/>
    <cellStyle name="Currency 4 3 2 12" xfId="52066" xr:uid="{00000000-0005-0000-0000-00000CBC0000}"/>
    <cellStyle name="Currency 4 3 2 2" xfId="52067" xr:uid="{00000000-0005-0000-0000-00000DBC0000}"/>
    <cellStyle name="Currency 4 3 2 2 10" xfId="52068" xr:uid="{00000000-0005-0000-0000-00000EBC0000}"/>
    <cellStyle name="Currency 4 3 2 2 2" xfId="52069" xr:uid="{00000000-0005-0000-0000-00000FBC0000}"/>
    <cellStyle name="Currency 4 3 2 2 2 2" xfId="52070" xr:uid="{00000000-0005-0000-0000-000010BC0000}"/>
    <cellStyle name="Currency 4 3 2 2 2 2 2" xfId="52071" xr:uid="{00000000-0005-0000-0000-000011BC0000}"/>
    <cellStyle name="Currency 4 3 2 2 2 2 2 2" xfId="52072" xr:uid="{00000000-0005-0000-0000-000012BC0000}"/>
    <cellStyle name="Currency 4 3 2 2 2 2 2 3" xfId="52073" xr:uid="{00000000-0005-0000-0000-000013BC0000}"/>
    <cellStyle name="Currency 4 3 2 2 2 2 3" xfId="52074" xr:uid="{00000000-0005-0000-0000-000014BC0000}"/>
    <cellStyle name="Currency 4 3 2 2 2 2 3 2" xfId="52075" xr:uid="{00000000-0005-0000-0000-000015BC0000}"/>
    <cellStyle name="Currency 4 3 2 2 2 2 3 3" xfId="52076" xr:uid="{00000000-0005-0000-0000-000016BC0000}"/>
    <cellStyle name="Currency 4 3 2 2 2 2 4" xfId="52077" xr:uid="{00000000-0005-0000-0000-000017BC0000}"/>
    <cellStyle name="Currency 4 3 2 2 2 2 4 2" xfId="52078" xr:uid="{00000000-0005-0000-0000-000018BC0000}"/>
    <cellStyle name="Currency 4 3 2 2 2 2 5" xfId="52079" xr:uid="{00000000-0005-0000-0000-000019BC0000}"/>
    <cellStyle name="Currency 4 3 2 2 2 2 6" xfId="52080" xr:uid="{00000000-0005-0000-0000-00001ABC0000}"/>
    <cellStyle name="Currency 4 3 2 2 2 3" xfId="52081" xr:uid="{00000000-0005-0000-0000-00001BBC0000}"/>
    <cellStyle name="Currency 4 3 2 2 2 3 2" xfId="52082" xr:uid="{00000000-0005-0000-0000-00001CBC0000}"/>
    <cellStyle name="Currency 4 3 2 2 2 3 2 2" xfId="52083" xr:uid="{00000000-0005-0000-0000-00001DBC0000}"/>
    <cellStyle name="Currency 4 3 2 2 2 3 2 3" xfId="52084" xr:uid="{00000000-0005-0000-0000-00001EBC0000}"/>
    <cellStyle name="Currency 4 3 2 2 2 3 3" xfId="52085" xr:uid="{00000000-0005-0000-0000-00001FBC0000}"/>
    <cellStyle name="Currency 4 3 2 2 2 3 3 2" xfId="52086" xr:uid="{00000000-0005-0000-0000-000020BC0000}"/>
    <cellStyle name="Currency 4 3 2 2 2 3 3 3" xfId="52087" xr:uid="{00000000-0005-0000-0000-000021BC0000}"/>
    <cellStyle name="Currency 4 3 2 2 2 3 4" xfId="52088" xr:uid="{00000000-0005-0000-0000-000022BC0000}"/>
    <cellStyle name="Currency 4 3 2 2 2 3 4 2" xfId="52089" xr:uid="{00000000-0005-0000-0000-000023BC0000}"/>
    <cellStyle name="Currency 4 3 2 2 2 3 5" xfId="52090" xr:uid="{00000000-0005-0000-0000-000024BC0000}"/>
    <cellStyle name="Currency 4 3 2 2 2 3 6" xfId="52091" xr:uid="{00000000-0005-0000-0000-000025BC0000}"/>
    <cellStyle name="Currency 4 3 2 2 2 4" xfId="52092" xr:uid="{00000000-0005-0000-0000-000026BC0000}"/>
    <cellStyle name="Currency 4 3 2 2 2 4 2" xfId="52093" xr:uid="{00000000-0005-0000-0000-000027BC0000}"/>
    <cellStyle name="Currency 4 3 2 2 2 4 2 2" xfId="52094" xr:uid="{00000000-0005-0000-0000-000028BC0000}"/>
    <cellStyle name="Currency 4 3 2 2 2 4 2 3" xfId="52095" xr:uid="{00000000-0005-0000-0000-000029BC0000}"/>
    <cellStyle name="Currency 4 3 2 2 2 4 3" xfId="52096" xr:uid="{00000000-0005-0000-0000-00002ABC0000}"/>
    <cellStyle name="Currency 4 3 2 2 2 4 3 2" xfId="52097" xr:uid="{00000000-0005-0000-0000-00002BBC0000}"/>
    <cellStyle name="Currency 4 3 2 2 2 4 4" xfId="52098" xr:uid="{00000000-0005-0000-0000-00002CBC0000}"/>
    <cellStyle name="Currency 4 3 2 2 2 4 5" xfId="52099" xr:uid="{00000000-0005-0000-0000-00002DBC0000}"/>
    <cellStyle name="Currency 4 3 2 2 2 5" xfId="52100" xr:uid="{00000000-0005-0000-0000-00002EBC0000}"/>
    <cellStyle name="Currency 4 3 2 2 2 5 2" xfId="52101" xr:uid="{00000000-0005-0000-0000-00002FBC0000}"/>
    <cellStyle name="Currency 4 3 2 2 2 5 3" xfId="52102" xr:uid="{00000000-0005-0000-0000-000030BC0000}"/>
    <cellStyle name="Currency 4 3 2 2 2 6" xfId="52103" xr:uid="{00000000-0005-0000-0000-000031BC0000}"/>
    <cellStyle name="Currency 4 3 2 2 2 6 2" xfId="52104" xr:uid="{00000000-0005-0000-0000-000032BC0000}"/>
    <cellStyle name="Currency 4 3 2 2 2 6 3" xfId="52105" xr:uid="{00000000-0005-0000-0000-000033BC0000}"/>
    <cellStyle name="Currency 4 3 2 2 2 7" xfId="52106" xr:uid="{00000000-0005-0000-0000-000034BC0000}"/>
    <cellStyle name="Currency 4 3 2 2 2 7 2" xfId="52107" xr:uid="{00000000-0005-0000-0000-000035BC0000}"/>
    <cellStyle name="Currency 4 3 2 2 2 8" xfId="52108" xr:uid="{00000000-0005-0000-0000-000036BC0000}"/>
    <cellStyle name="Currency 4 3 2 2 2 9" xfId="52109" xr:uid="{00000000-0005-0000-0000-000037BC0000}"/>
    <cellStyle name="Currency 4 3 2 2 3" xfId="52110" xr:uid="{00000000-0005-0000-0000-000038BC0000}"/>
    <cellStyle name="Currency 4 3 2 2 3 2" xfId="52111" xr:uid="{00000000-0005-0000-0000-000039BC0000}"/>
    <cellStyle name="Currency 4 3 2 2 3 2 2" xfId="52112" xr:uid="{00000000-0005-0000-0000-00003ABC0000}"/>
    <cellStyle name="Currency 4 3 2 2 3 2 3" xfId="52113" xr:uid="{00000000-0005-0000-0000-00003BBC0000}"/>
    <cellStyle name="Currency 4 3 2 2 3 3" xfId="52114" xr:uid="{00000000-0005-0000-0000-00003CBC0000}"/>
    <cellStyle name="Currency 4 3 2 2 3 3 2" xfId="52115" xr:uid="{00000000-0005-0000-0000-00003DBC0000}"/>
    <cellStyle name="Currency 4 3 2 2 3 3 3" xfId="52116" xr:uid="{00000000-0005-0000-0000-00003EBC0000}"/>
    <cellStyle name="Currency 4 3 2 2 3 4" xfId="52117" xr:uid="{00000000-0005-0000-0000-00003FBC0000}"/>
    <cellStyle name="Currency 4 3 2 2 3 4 2" xfId="52118" xr:uid="{00000000-0005-0000-0000-000040BC0000}"/>
    <cellStyle name="Currency 4 3 2 2 3 5" xfId="52119" xr:uid="{00000000-0005-0000-0000-000041BC0000}"/>
    <cellStyle name="Currency 4 3 2 2 3 6" xfId="52120" xr:uid="{00000000-0005-0000-0000-000042BC0000}"/>
    <cellStyle name="Currency 4 3 2 2 4" xfId="52121" xr:uid="{00000000-0005-0000-0000-000043BC0000}"/>
    <cellStyle name="Currency 4 3 2 2 4 2" xfId="52122" xr:uid="{00000000-0005-0000-0000-000044BC0000}"/>
    <cellStyle name="Currency 4 3 2 2 4 2 2" xfId="52123" xr:uid="{00000000-0005-0000-0000-000045BC0000}"/>
    <cellStyle name="Currency 4 3 2 2 4 2 3" xfId="52124" xr:uid="{00000000-0005-0000-0000-000046BC0000}"/>
    <cellStyle name="Currency 4 3 2 2 4 3" xfId="52125" xr:uid="{00000000-0005-0000-0000-000047BC0000}"/>
    <cellStyle name="Currency 4 3 2 2 4 3 2" xfId="52126" xr:uid="{00000000-0005-0000-0000-000048BC0000}"/>
    <cellStyle name="Currency 4 3 2 2 4 3 3" xfId="52127" xr:uid="{00000000-0005-0000-0000-000049BC0000}"/>
    <cellStyle name="Currency 4 3 2 2 4 4" xfId="52128" xr:uid="{00000000-0005-0000-0000-00004ABC0000}"/>
    <cellStyle name="Currency 4 3 2 2 4 4 2" xfId="52129" xr:uid="{00000000-0005-0000-0000-00004BBC0000}"/>
    <cellStyle name="Currency 4 3 2 2 4 5" xfId="52130" xr:uid="{00000000-0005-0000-0000-00004CBC0000}"/>
    <cellStyle name="Currency 4 3 2 2 4 6" xfId="52131" xr:uid="{00000000-0005-0000-0000-00004DBC0000}"/>
    <cellStyle name="Currency 4 3 2 2 5" xfId="52132" xr:uid="{00000000-0005-0000-0000-00004EBC0000}"/>
    <cellStyle name="Currency 4 3 2 2 5 2" xfId="52133" xr:uid="{00000000-0005-0000-0000-00004FBC0000}"/>
    <cellStyle name="Currency 4 3 2 2 5 2 2" xfId="52134" xr:uid="{00000000-0005-0000-0000-000050BC0000}"/>
    <cellStyle name="Currency 4 3 2 2 5 2 3" xfId="52135" xr:uid="{00000000-0005-0000-0000-000051BC0000}"/>
    <cellStyle name="Currency 4 3 2 2 5 3" xfId="52136" xr:uid="{00000000-0005-0000-0000-000052BC0000}"/>
    <cellStyle name="Currency 4 3 2 2 5 3 2" xfId="52137" xr:uid="{00000000-0005-0000-0000-000053BC0000}"/>
    <cellStyle name="Currency 4 3 2 2 5 4" xfId="52138" xr:uid="{00000000-0005-0000-0000-000054BC0000}"/>
    <cellStyle name="Currency 4 3 2 2 5 5" xfId="52139" xr:uid="{00000000-0005-0000-0000-000055BC0000}"/>
    <cellStyle name="Currency 4 3 2 2 6" xfId="52140" xr:uid="{00000000-0005-0000-0000-000056BC0000}"/>
    <cellStyle name="Currency 4 3 2 2 6 2" xfId="52141" xr:uid="{00000000-0005-0000-0000-000057BC0000}"/>
    <cellStyle name="Currency 4 3 2 2 6 3" xfId="52142" xr:uid="{00000000-0005-0000-0000-000058BC0000}"/>
    <cellStyle name="Currency 4 3 2 2 7" xfId="52143" xr:uid="{00000000-0005-0000-0000-000059BC0000}"/>
    <cellStyle name="Currency 4 3 2 2 7 2" xfId="52144" xr:uid="{00000000-0005-0000-0000-00005ABC0000}"/>
    <cellStyle name="Currency 4 3 2 2 7 3" xfId="52145" xr:uid="{00000000-0005-0000-0000-00005BBC0000}"/>
    <cellStyle name="Currency 4 3 2 2 8" xfId="52146" xr:uid="{00000000-0005-0000-0000-00005CBC0000}"/>
    <cellStyle name="Currency 4 3 2 2 8 2" xfId="52147" xr:uid="{00000000-0005-0000-0000-00005DBC0000}"/>
    <cellStyle name="Currency 4 3 2 2 9" xfId="52148" xr:uid="{00000000-0005-0000-0000-00005EBC0000}"/>
    <cellStyle name="Currency 4 3 2 3" xfId="52149" xr:uid="{00000000-0005-0000-0000-00005FBC0000}"/>
    <cellStyle name="Currency 4 3 2 3 2" xfId="52150" xr:uid="{00000000-0005-0000-0000-000060BC0000}"/>
    <cellStyle name="Currency 4 3 2 3 2 2" xfId="52151" xr:uid="{00000000-0005-0000-0000-000061BC0000}"/>
    <cellStyle name="Currency 4 3 2 3 2 2 2" xfId="52152" xr:uid="{00000000-0005-0000-0000-000062BC0000}"/>
    <cellStyle name="Currency 4 3 2 3 2 2 3" xfId="52153" xr:uid="{00000000-0005-0000-0000-000063BC0000}"/>
    <cellStyle name="Currency 4 3 2 3 2 3" xfId="52154" xr:uid="{00000000-0005-0000-0000-000064BC0000}"/>
    <cellStyle name="Currency 4 3 2 3 2 3 2" xfId="52155" xr:uid="{00000000-0005-0000-0000-000065BC0000}"/>
    <cellStyle name="Currency 4 3 2 3 2 3 3" xfId="52156" xr:uid="{00000000-0005-0000-0000-000066BC0000}"/>
    <cellStyle name="Currency 4 3 2 3 2 4" xfId="52157" xr:uid="{00000000-0005-0000-0000-000067BC0000}"/>
    <cellStyle name="Currency 4 3 2 3 2 4 2" xfId="52158" xr:uid="{00000000-0005-0000-0000-000068BC0000}"/>
    <cellStyle name="Currency 4 3 2 3 2 5" xfId="52159" xr:uid="{00000000-0005-0000-0000-000069BC0000}"/>
    <cellStyle name="Currency 4 3 2 3 2 6" xfId="52160" xr:uid="{00000000-0005-0000-0000-00006ABC0000}"/>
    <cellStyle name="Currency 4 3 2 3 3" xfId="52161" xr:uid="{00000000-0005-0000-0000-00006BBC0000}"/>
    <cellStyle name="Currency 4 3 2 3 3 2" xfId="52162" xr:uid="{00000000-0005-0000-0000-00006CBC0000}"/>
    <cellStyle name="Currency 4 3 2 3 3 2 2" xfId="52163" xr:uid="{00000000-0005-0000-0000-00006DBC0000}"/>
    <cellStyle name="Currency 4 3 2 3 3 2 3" xfId="52164" xr:uid="{00000000-0005-0000-0000-00006EBC0000}"/>
    <cellStyle name="Currency 4 3 2 3 3 3" xfId="52165" xr:uid="{00000000-0005-0000-0000-00006FBC0000}"/>
    <cellStyle name="Currency 4 3 2 3 3 3 2" xfId="52166" xr:uid="{00000000-0005-0000-0000-000070BC0000}"/>
    <cellStyle name="Currency 4 3 2 3 3 3 3" xfId="52167" xr:uid="{00000000-0005-0000-0000-000071BC0000}"/>
    <cellStyle name="Currency 4 3 2 3 3 4" xfId="52168" xr:uid="{00000000-0005-0000-0000-000072BC0000}"/>
    <cellStyle name="Currency 4 3 2 3 3 4 2" xfId="52169" xr:uid="{00000000-0005-0000-0000-000073BC0000}"/>
    <cellStyle name="Currency 4 3 2 3 3 5" xfId="52170" xr:uid="{00000000-0005-0000-0000-000074BC0000}"/>
    <cellStyle name="Currency 4 3 2 3 3 6" xfId="52171" xr:uid="{00000000-0005-0000-0000-000075BC0000}"/>
    <cellStyle name="Currency 4 3 2 3 4" xfId="52172" xr:uid="{00000000-0005-0000-0000-000076BC0000}"/>
    <cellStyle name="Currency 4 3 2 3 4 2" xfId="52173" xr:uid="{00000000-0005-0000-0000-000077BC0000}"/>
    <cellStyle name="Currency 4 3 2 3 4 2 2" xfId="52174" xr:uid="{00000000-0005-0000-0000-000078BC0000}"/>
    <cellStyle name="Currency 4 3 2 3 4 2 3" xfId="52175" xr:uid="{00000000-0005-0000-0000-000079BC0000}"/>
    <cellStyle name="Currency 4 3 2 3 4 3" xfId="52176" xr:uid="{00000000-0005-0000-0000-00007ABC0000}"/>
    <cellStyle name="Currency 4 3 2 3 4 3 2" xfId="52177" xr:uid="{00000000-0005-0000-0000-00007BBC0000}"/>
    <cellStyle name="Currency 4 3 2 3 4 4" xfId="52178" xr:uid="{00000000-0005-0000-0000-00007CBC0000}"/>
    <cellStyle name="Currency 4 3 2 3 4 5" xfId="52179" xr:uid="{00000000-0005-0000-0000-00007DBC0000}"/>
    <cellStyle name="Currency 4 3 2 3 5" xfId="52180" xr:uid="{00000000-0005-0000-0000-00007EBC0000}"/>
    <cellStyle name="Currency 4 3 2 3 5 2" xfId="52181" xr:uid="{00000000-0005-0000-0000-00007FBC0000}"/>
    <cellStyle name="Currency 4 3 2 3 5 3" xfId="52182" xr:uid="{00000000-0005-0000-0000-000080BC0000}"/>
    <cellStyle name="Currency 4 3 2 3 6" xfId="52183" xr:uid="{00000000-0005-0000-0000-000081BC0000}"/>
    <cellStyle name="Currency 4 3 2 3 6 2" xfId="52184" xr:uid="{00000000-0005-0000-0000-000082BC0000}"/>
    <cellStyle name="Currency 4 3 2 3 6 3" xfId="52185" xr:uid="{00000000-0005-0000-0000-000083BC0000}"/>
    <cellStyle name="Currency 4 3 2 3 7" xfId="52186" xr:uid="{00000000-0005-0000-0000-000084BC0000}"/>
    <cellStyle name="Currency 4 3 2 3 7 2" xfId="52187" xr:uid="{00000000-0005-0000-0000-000085BC0000}"/>
    <cellStyle name="Currency 4 3 2 3 8" xfId="52188" xr:uid="{00000000-0005-0000-0000-000086BC0000}"/>
    <cellStyle name="Currency 4 3 2 3 9" xfId="52189" xr:uid="{00000000-0005-0000-0000-000087BC0000}"/>
    <cellStyle name="Currency 4 3 2 4" xfId="52190" xr:uid="{00000000-0005-0000-0000-000088BC0000}"/>
    <cellStyle name="Currency 4 3 2 4 2" xfId="52191" xr:uid="{00000000-0005-0000-0000-000089BC0000}"/>
    <cellStyle name="Currency 4 3 2 4 2 2" xfId="52192" xr:uid="{00000000-0005-0000-0000-00008ABC0000}"/>
    <cellStyle name="Currency 4 3 2 4 2 2 2" xfId="52193" xr:uid="{00000000-0005-0000-0000-00008BBC0000}"/>
    <cellStyle name="Currency 4 3 2 4 2 2 3" xfId="52194" xr:uid="{00000000-0005-0000-0000-00008CBC0000}"/>
    <cellStyle name="Currency 4 3 2 4 2 3" xfId="52195" xr:uid="{00000000-0005-0000-0000-00008DBC0000}"/>
    <cellStyle name="Currency 4 3 2 4 2 3 2" xfId="52196" xr:uid="{00000000-0005-0000-0000-00008EBC0000}"/>
    <cellStyle name="Currency 4 3 2 4 2 3 3" xfId="52197" xr:uid="{00000000-0005-0000-0000-00008FBC0000}"/>
    <cellStyle name="Currency 4 3 2 4 2 4" xfId="52198" xr:uid="{00000000-0005-0000-0000-000090BC0000}"/>
    <cellStyle name="Currency 4 3 2 4 2 4 2" xfId="52199" xr:uid="{00000000-0005-0000-0000-000091BC0000}"/>
    <cellStyle name="Currency 4 3 2 4 2 5" xfId="52200" xr:uid="{00000000-0005-0000-0000-000092BC0000}"/>
    <cellStyle name="Currency 4 3 2 4 2 6" xfId="52201" xr:uid="{00000000-0005-0000-0000-000093BC0000}"/>
    <cellStyle name="Currency 4 3 2 4 3" xfId="52202" xr:uid="{00000000-0005-0000-0000-000094BC0000}"/>
    <cellStyle name="Currency 4 3 2 4 3 2" xfId="52203" xr:uid="{00000000-0005-0000-0000-000095BC0000}"/>
    <cellStyle name="Currency 4 3 2 4 3 2 2" xfId="52204" xr:uid="{00000000-0005-0000-0000-000096BC0000}"/>
    <cellStyle name="Currency 4 3 2 4 3 2 3" xfId="52205" xr:uid="{00000000-0005-0000-0000-000097BC0000}"/>
    <cellStyle name="Currency 4 3 2 4 3 3" xfId="52206" xr:uid="{00000000-0005-0000-0000-000098BC0000}"/>
    <cellStyle name="Currency 4 3 2 4 3 3 2" xfId="52207" xr:uid="{00000000-0005-0000-0000-000099BC0000}"/>
    <cellStyle name="Currency 4 3 2 4 3 3 3" xfId="52208" xr:uid="{00000000-0005-0000-0000-00009ABC0000}"/>
    <cellStyle name="Currency 4 3 2 4 3 4" xfId="52209" xr:uid="{00000000-0005-0000-0000-00009BBC0000}"/>
    <cellStyle name="Currency 4 3 2 4 3 4 2" xfId="52210" xr:uid="{00000000-0005-0000-0000-00009CBC0000}"/>
    <cellStyle name="Currency 4 3 2 4 3 5" xfId="52211" xr:uid="{00000000-0005-0000-0000-00009DBC0000}"/>
    <cellStyle name="Currency 4 3 2 4 3 6" xfId="52212" xr:uid="{00000000-0005-0000-0000-00009EBC0000}"/>
    <cellStyle name="Currency 4 3 2 4 4" xfId="52213" xr:uid="{00000000-0005-0000-0000-00009FBC0000}"/>
    <cellStyle name="Currency 4 3 2 4 4 2" xfId="52214" xr:uid="{00000000-0005-0000-0000-0000A0BC0000}"/>
    <cellStyle name="Currency 4 3 2 4 4 2 2" xfId="52215" xr:uid="{00000000-0005-0000-0000-0000A1BC0000}"/>
    <cellStyle name="Currency 4 3 2 4 4 2 3" xfId="52216" xr:uid="{00000000-0005-0000-0000-0000A2BC0000}"/>
    <cellStyle name="Currency 4 3 2 4 4 3" xfId="52217" xr:uid="{00000000-0005-0000-0000-0000A3BC0000}"/>
    <cellStyle name="Currency 4 3 2 4 4 3 2" xfId="52218" xr:uid="{00000000-0005-0000-0000-0000A4BC0000}"/>
    <cellStyle name="Currency 4 3 2 4 4 4" xfId="52219" xr:uid="{00000000-0005-0000-0000-0000A5BC0000}"/>
    <cellStyle name="Currency 4 3 2 4 4 5" xfId="52220" xr:uid="{00000000-0005-0000-0000-0000A6BC0000}"/>
    <cellStyle name="Currency 4 3 2 4 5" xfId="52221" xr:uid="{00000000-0005-0000-0000-0000A7BC0000}"/>
    <cellStyle name="Currency 4 3 2 4 5 2" xfId="52222" xr:uid="{00000000-0005-0000-0000-0000A8BC0000}"/>
    <cellStyle name="Currency 4 3 2 4 5 3" xfId="52223" xr:uid="{00000000-0005-0000-0000-0000A9BC0000}"/>
    <cellStyle name="Currency 4 3 2 4 6" xfId="52224" xr:uid="{00000000-0005-0000-0000-0000AABC0000}"/>
    <cellStyle name="Currency 4 3 2 4 6 2" xfId="52225" xr:uid="{00000000-0005-0000-0000-0000ABBC0000}"/>
    <cellStyle name="Currency 4 3 2 4 6 3" xfId="52226" xr:uid="{00000000-0005-0000-0000-0000ACBC0000}"/>
    <cellStyle name="Currency 4 3 2 4 7" xfId="52227" xr:uid="{00000000-0005-0000-0000-0000ADBC0000}"/>
    <cellStyle name="Currency 4 3 2 4 7 2" xfId="52228" xr:uid="{00000000-0005-0000-0000-0000AEBC0000}"/>
    <cellStyle name="Currency 4 3 2 4 8" xfId="52229" xr:uid="{00000000-0005-0000-0000-0000AFBC0000}"/>
    <cellStyle name="Currency 4 3 2 4 9" xfId="52230" xr:uid="{00000000-0005-0000-0000-0000B0BC0000}"/>
    <cellStyle name="Currency 4 3 2 5" xfId="52231" xr:uid="{00000000-0005-0000-0000-0000B1BC0000}"/>
    <cellStyle name="Currency 4 3 2 5 2" xfId="52232" xr:uid="{00000000-0005-0000-0000-0000B2BC0000}"/>
    <cellStyle name="Currency 4 3 2 5 2 2" xfId="52233" xr:uid="{00000000-0005-0000-0000-0000B3BC0000}"/>
    <cellStyle name="Currency 4 3 2 5 2 3" xfId="52234" xr:uid="{00000000-0005-0000-0000-0000B4BC0000}"/>
    <cellStyle name="Currency 4 3 2 5 3" xfId="52235" xr:uid="{00000000-0005-0000-0000-0000B5BC0000}"/>
    <cellStyle name="Currency 4 3 2 5 3 2" xfId="52236" xr:uid="{00000000-0005-0000-0000-0000B6BC0000}"/>
    <cellStyle name="Currency 4 3 2 5 3 3" xfId="52237" xr:uid="{00000000-0005-0000-0000-0000B7BC0000}"/>
    <cellStyle name="Currency 4 3 2 5 4" xfId="52238" xr:uid="{00000000-0005-0000-0000-0000B8BC0000}"/>
    <cellStyle name="Currency 4 3 2 5 4 2" xfId="52239" xr:uid="{00000000-0005-0000-0000-0000B9BC0000}"/>
    <cellStyle name="Currency 4 3 2 5 5" xfId="52240" xr:uid="{00000000-0005-0000-0000-0000BABC0000}"/>
    <cellStyle name="Currency 4 3 2 5 6" xfId="52241" xr:uid="{00000000-0005-0000-0000-0000BBBC0000}"/>
    <cellStyle name="Currency 4 3 2 6" xfId="52242" xr:uid="{00000000-0005-0000-0000-0000BCBC0000}"/>
    <cellStyle name="Currency 4 3 2 6 2" xfId="52243" xr:uid="{00000000-0005-0000-0000-0000BDBC0000}"/>
    <cellStyle name="Currency 4 3 2 6 2 2" xfId="52244" xr:uid="{00000000-0005-0000-0000-0000BEBC0000}"/>
    <cellStyle name="Currency 4 3 2 6 2 3" xfId="52245" xr:uid="{00000000-0005-0000-0000-0000BFBC0000}"/>
    <cellStyle name="Currency 4 3 2 6 3" xfId="52246" xr:uid="{00000000-0005-0000-0000-0000C0BC0000}"/>
    <cellStyle name="Currency 4 3 2 6 3 2" xfId="52247" xr:uid="{00000000-0005-0000-0000-0000C1BC0000}"/>
    <cellStyle name="Currency 4 3 2 6 3 3" xfId="52248" xr:uid="{00000000-0005-0000-0000-0000C2BC0000}"/>
    <cellStyle name="Currency 4 3 2 6 4" xfId="52249" xr:uid="{00000000-0005-0000-0000-0000C3BC0000}"/>
    <cellStyle name="Currency 4 3 2 6 4 2" xfId="52250" xr:uid="{00000000-0005-0000-0000-0000C4BC0000}"/>
    <cellStyle name="Currency 4 3 2 6 5" xfId="52251" xr:uid="{00000000-0005-0000-0000-0000C5BC0000}"/>
    <cellStyle name="Currency 4 3 2 6 6" xfId="52252" xr:uid="{00000000-0005-0000-0000-0000C6BC0000}"/>
    <cellStyle name="Currency 4 3 2 7" xfId="52253" xr:uid="{00000000-0005-0000-0000-0000C7BC0000}"/>
    <cellStyle name="Currency 4 3 2 7 2" xfId="52254" xr:uid="{00000000-0005-0000-0000-0000C8BC0000}"/>
    <cellStyle name="Currency 4 3 2 7 2 2" xfId="52255" xr:uid="{00000000-0005-0000-0000-0000C9BC0000}"/>
    <cellStyle name="Currency 4 3 2 7 2 3" xfId="52256" xr:uid="{00000000-0005-0000-0000-0000CABC0000}"/>
    <cellStyle name="Currency 4 3 2 7 3" xfId="52257" xr:uid="{00000000-0005-0000-0000-0000CBBC0000}"/>
    <cellStyle name="Currency 4 3 2 7 3 2" xfId="52258" xr:uid="{00000000-0005-0000-0000-0000CCBC0000}"/>
    <cellStyle name="Currency 4 3 2 7 4" xfId="52259" xr:uid="{00000000-0005-0000-0000-0000CDBC0000}"/>
    <cellStyle name="Currency 4 3 2 7 5" xfId="52260" xr:uid="{00000000-0005-0000-0000-0000CEBC0000}"/>
    <cellStyle name="Currency 4 3 2 8" xfId="52261" xr:uid="{00000000-0005-0000-0000-0000CFBC0000}"/>
    <cellStyle name="Currency 4 3 2 8 2" xfId="52262" xr:uid="{00000000-0005-0000-0000-0000D0BC0000}"/>
    <cellStyle name="Currency 4 3 2 8 3" xfId="52263" xr:uid="{00000000-0005-0000-0000-0000D1BC0000}"/>
    <cellStyle name="Currency 4 3 2 9" xfId="52264" xr:uid="{00000000-0005-0000-0000-0000D2BC0000}"/>
    <cellStyle name="Currency 4 3 2 9 2" xfId="52265" xr:uid="{00000000-0005-0000-0000-0000D3BC0000}"/>
    <cellStyle name="Currency 4 3 2 9 3" xfId="52266" xr:uid="{00000000-0005-0000-0000-0000D4BC0000}"/>
    <cellStyle name="Currency 4 3 3" xfId="9168" xr:uid="{00000000-0005-0000-0000-0000D5BC0000}"/>
    <cellStyle name="Currency 4 3 3 10" xfId="52267" xr:uid="{00000000-0005-0000-0000-0000D6BC0000}"/>
    <cellStyle name="Currency 4 3 3 2" xfId="52268" xr:uid="{00000000-0005-0000-0000-0000D7BC0000}"/>
    <cellStyle name="Currency 4 3 3 2 2" xfId="52269" xr:uid="{00000000-0005-0000-0000-0000D8BC0000}"/>
    <cellStyle name="Currency 4 3 3 2 2 2" xfId="52270" xr:uid="{00000000-0005-0000-0000-0000D9BC0000}"/>
    <cellStyle name="Currency 4 3 3 2 2 2 2" xfId="52271" xr:uid="{00000000-0005-0000-0000-0000DABC0000}"/>
    <cellStyle name="Currency 4 3 3 2 2 2 3" xfId="52272" xr:uid="{00000000-0005-0000-0000-0000DBBC0000}"/>
    <cellStyle name="Currency 4 3 3 2 2 3" xfId="52273" xr:uid="{00000000-0005-0000-0000-0000DCBC0000}"/>
    <cellStyle name="Currency 4 3 3 2 2 3 2" xfId="52274" xr:uid="{00000000-0005-0000-0000-0000DDBC0000}"/>
    <cellStyle name="Currency 4 3 3 2 2 3 3" xfId="52275" xr:uid="{00000000-0005-0000-0000-0000DEBC0000}"/>
    <cellStyle name="Currency 4 3 3 2 2 4" xfId="52276" xr:uid="{00000000-0005-0000-0000-0000DFBC0000}"/>
    <cellStyle name="Currency 4 3 3 2 2 4 2" xfId="52277" xr:uid="{00000000-0005-0000-0000-0000E0BC0000}"/>
    <cellStyle name="Currency 4 3 3 2 2 5" xfId="52278" xr:uid="{00000000-0005-0000-0000-0000E1BC0000}"/>
    <cellStyle name="Currency 4 3 3 2 2 6" xfId="52279" xr:uid="{00000000-0005-0000-0000-0000E2BC0000}"/>
    <cellStyle name="Currency 4 3 3 2 3" xfId="52280" xr:uid="{00000000-0005-0000-0000-0000E3BC0000}"/>
    <cellStyle name="Currency 4 3 3 2 3 2" xfId="52281" xr:uid="{00000000-0005-0000-0000-0000E4BC0000}"/>
    <cellStyle name="Currency 4 3 3 2 3 2 2" xfId="52282" xr:uid="{00000000-0005-0000-0000-0000E5BC0000}"/>
    <cellStyle name="Currency 4 3 3 2 3 2 3" xfId="52283" xr:uid="{00000000-0005-0000-0000-0000E6BC0000}"/>
    <cellStyle name="Currency 4 3 3 2 3 3" xfId="52284" xr:uid="{00000000-0005-0000-0000-0000E7BC0000}"/>
    <cellStyle name="Currency 4 3 3 2 3 3 2" xfId="52285" xr:uid="{00000000-0005-0000-0000-0000E8BC0000}"/>
    <cellStyle name="Currency 4 3 3 2 3 3 3" xfId="52286" xr:uid="{00000000-0005-0000-0000-0000E9BC0000}"/>
    <cellStyle name="Currency 4 3 3 2 3 4" xfId="52287" xr:uid="{00000000-0005-0000-0000-0000EABC0000}"/>
    <cellStyle name="Currency 4 3 3 2 3 4 2" xfId="52288" xr:uid="{00000000-0005-0000-0000-0000EBBC0000}"/>
    <cellStyle name="Currency 4 3 3 2 3 5" xfId="52289" xr:uid="{00000000-0005-0000-0000-0000ECBC0000}"/>
    <cellStyle name="Currency 4 3 3 2 3 6" xfId="52290" xr:uid="{00000000-0005-0000-0000-0000EDBC0000}"/>
    <cellStyle name="Currency 4 3 3 2 4" xfId="52291" xr:uid="{00000000-0005-0000-0000-0000EEBC0000}"/>
    <cellStyle name="Currency 4 3 3 2 4 2" xfId="52292" xr:uid="{00000000-0005-0000-0000-0000EFBC0000}"/>
    <cellStyle name="Currency 4 3 3 2 4 2 2" xfId="52293" xr:uid="{00000000-0005-0000-0000-0000F0BC0000}"/>
    <cellStyle name="Currency 4 3 3 2 4 2 3" xfId="52294" xr:uid="{00000000-0005-0000-0000-0000F1BC0000}"/>
    <cellStyle name="Currency 4 3 3 2 4 3" xfId="52295" xr:uid="{00000000-0005-0000-0000-0000F2BC0000}"/>
    <cellStyle name="Currency 4 3 3 2 4 3 2" xfId="52296" xr:uid="{00000000-0005-0000-0000-0000F3BC0000}"/>
    <cellStyle name="Currency 4 3 3 2 4 4" xfId="52297" xr:uid="{00000000-0005-0000-0000-0000F4BC0000}"/>
    <cellStyle name="Currency 4 3 3 2 4 5" xfId="52298" xr:uid="{00000000-0005-0000-0000-0000F5BC0000}"/>
    <cellStyle name="Currency 4 3 3 2 5" xfId="52299" xr:uid="{00000000-0005-0000-0000-0000F6BC0000}"/>
    <cellStyle name="Currency 4 3 3 2 5 2" xfId="52300" xr:uid="{00000000-0005-0000-0000-0000F7BC0000}"/>
    <cellStyle name="Currency 4 3 3 2 5 3" xfId="52301" xr:uid="{00000000-0005-0000-0000-0000F8BC0000}"/>
    <cellStyle name="Currency 4 3 3 2 6" xfId="52302" xr:uid="{00000000-0005-0000-0000-0000F9BC0000}"/>
    <cellStyle name="Currency 4 3 3 2 6 2" xfId="52303" xr:uid="{00000000-0005-0000-0000-0000FABC0000}"/>
    <cellStyle name="Currency 4 3 3 2 6 3" xfId="52304" xr:uid="{00000000-0005-0000-0000-0000FBBC0000}"/>
    <cellStyle name="Currency 4 3 3 2 7" xfId="52305" xr:uid="{00000000-0005-0000-0000-0000FCBC0000}"/>
    <cellStyle name="Currency 4 3 3 2 7 2" xfId="52306" xr:uid="{00000000-0005-0000-0000-0000FDBC0000}"/>
    <cellStyle name="Currency 4 3 3 2 8" xfId="52307" xr:uid="{00000000-0005-0000-0000-0000FEBC0000}"/>
    <cellStyle name="Currency 4 3 3 2 9" xfId="52308" xr:uid="{00000000-0005-0000-0000-0000FFBC0000}"/>
    <cellStyle name="Currency 4 3 3 3" xfId="52309" xr:uid="{00000000-0005-0000-0000-000000BD0000}"/>
    <cellStyle name="Currency 4 3 3 3 2" xfId="52310" xr:uid="{00000000-0005-0000-0000-000001BD0000}"/>
    <cellStyle name="Currency 4 3 3 3 2 2" xfId="52311" xr:uid="{00000000-0005-0000-0000-000002BD0000}"/>
    <cellStyle name="Currency 4 3 3 3 2 3" xfId="52312" xr:uid="{00000000-0005-0000-0000-000003BD0000}"/>
    <cellStyle name="Currency 4 3 3 3 3" xfId="52313" xr:uid="{00000000-0005-0000-0000-000004BD0000}"/>
    <cellStyle name="Currency 4 3 3 3 3 2" xfId="52314" xr:uid="{00000000-0005-0000-0000-000005BD0000}"/>
    <cellStyle name="Currency 4 3 3 3 3 3" xfId="52315" xr:uid="{00000000-0005-0000-0000-000006BD0000}"/>
    <cellStyle name="Currency 4 3 3 3 4" xfId="52316" xr:uid="{00000000-0005-0000-0000-000007BD0000}"/>
    <cellStyle name="Currency 4 3 3 3 4 2" xfId="52317" xr:uid="{00000000-0005-0000-0000-000008BD0000}"/>
    <cellStyle name="Currency 4 3 3 3 5" xfId="52318" xr:uid="{00000000-0005-0000-0000-000009BD0000}"/>
    <cellStyle name="Currency 4 3 3 3 6" xfId="52319" xr:uid="{00000000-0005-0000-0000-00000ABD0000}"/>
    <cellStyle name="Currency 4 3 3 4" xfId="52320" xr:uid="{00000000-0005-0000-0000-00000BBD0000}"/>
    <cellStyle name="Currency 4 3 3 4 2" xfId="52321" xr:uid="{00000000-0005-0000-0000-00000CBD0000}"/>
    <cellStyle name="Currency 4 3 3 4 2 2" xfId="52322" xr:uid="{00000000-0005-0000-0000-00000DBD0000}"/>
    <cellStyle name="Currency 4 3 3 4 2 3" xfId="52323" xr:uid="{00000000-0005-0000-0000-00000EBD0000}"/>
    <cellStyle name="Currency 4 3 3 4 3" xfId="52324" xr:uid="{00000000-0005-0000-0000-00000FBD0000}"/>
    <cellStyle name="Currency 4 3 3 4 3 2" xfId="52325" xr:uid="{00000000-0005-0000-0000-000010BD0000}"/>
    <cellStyle name="Currency 4 3 3 4 3 3" xfId="52326" xr:uid="{00000000-0005-0000-0000-000011BD0000}"/>
    <cellStyle name="Currency 4 3 3 4 4" xfId="52327" xr:uid="{00000000-0005-0000-0000-000012BD0000}"/>
    <cellStyle name="Currency 4 3 3 4 4 2" xfId="52328" xr:uid="{00000000-0005-0000-0000-000013BD0000}"/>
    <cellStyle name="Currency 4 3 3 4 5" xfId="52329" xr:uid="{00000000-0005-0000-0000-000014BD0000}"/>
    <cellStyle name="Currency 4 3 3 4 6" xfId="52330" xr:uid="{00000000-0005-0000-0000-000015BD0000}"/>
    <cellStyle name="Currency 4 3 3 5" xfId="52331" xr:uid="{00000000-0005-0000-0000-000016BD0000}"/>
    <cellStyle name="Currency 4 3 3 5 2" xfId="52332" xr:uid="{00000000-0005-0000-0000-000017BD0000}"/>
    <cellStyle name="Currency 4 3 3 5 2 2" xfId="52333" xr:uid="{00000000-0005-0000-0000-000018BD0000}"/>
    <cellStyle name="Currency 4 3 3 5 2 3" xfId="52334" xr:uid="{00000000-0005-0000-0000-000019BD0000}"/>
    <cellStyle name="Currency 4 3 3 5 3" xfId="52335" xr:uid="{00000000-0005-0000-0000-00001ABD0000}"/>
    <cellStyle name="Currency 4 3 3 5 3 2" xfId="52336" xr:uid="{00000000-0005-0000-0000-00001BBD0000}"/>
    <cellStyle name="Currency 4 3 3 5 4" xfId="52337" xr:uid="{00000000-0005-0000-0000-00001CBD0000}"/>
    <cellStyle name="Currency 4 3 3 5 5" xfId="52338" xr:uid="{00000000-0005-0000-0000-00001DBD0000}"/>
    <cellStyle name="Currency 4 3 3 6" xfId="52339" xr:uid="{00000000-0005-0000-0000-00001EBD0000}"/>
    <cellStyle name="Currency 4 3 3 6 2" xfId="52340" xr:uid="{00000000-0005-0000-0000-00001FBD0000}"/>
    <cellStyle name="Currency 4 3 3 6 3" xfId="52341" xr:uid="{00000000-0005-0000-0000-000020BD0000}"/>
    <cellStyle name="Currency 4 3 3 7" xfId="52342" xr:uid="{00000000-0005-0000-0000-000021BD0000}"/>
    <cellStyle name="Currency 4 3 3 7 2" xfId="52343" xr:uid="{00000000-0005-0000-0000-000022BD0000}"/>
    <cellStyle name="Currency 4 3 3 7 3" xfId="52344" xr:uid="{00000000-0005-0000-0000-000023BD0000}"/>
    <cellStyle name="Currency 4 3 3 8" xfId="52345" xr:uid="{00000000-0005-0000-0000-000024BD0000}"/>
    <cellStyle name="Currency 4 3 3 8 2" xfId="52346" xr:uid="{00000000-0005-0000-0000-000025BD0000}"/>
    <cellStyle name="Currency 4 3 3 9" xfId="52347" xr:uid="{00000000-0005-0000-0000-000026BD0000}"/>
    <cellStyle name="Currency 4 3 4" xfId="52348" xr:uid="{00000000-0005-0000-0000-000027BD0000}"/>
    <cellStyle name="Currency 4 3 4 2" xfId="52349" xr:uid="{00000000-0005-0000-0000-000028BD0000}"/>
    <cellStyle name="Currency 4 3 4 2 2" xfId="52350" xr:uid="{00000000-0005-0000-0000-000029BD0000}"/>
    <cellStyle name="Currency 4 3 4 2 2 2" xfId="52351" xr:uid="{00000000-0005-0000-0000-00002ABD0000}"/>
    <cellStyle name="Currency 4 3 4 2 2 3" xfId="52352" xr:uid="{00000000-0005-0000-0000-00002BBD0000}"/>
    <cellStyle name="Currency 4 3 4 2 3" xfId="52353" xr:uid="{00000000-0005-0000-0000-00002CBD0000}"/>
    <cellStyle name="Currency 4 3 4 2 3 2" xfId="52354" xr:uid="{00000000-0005-0000-0000-00002DBD0000}"/>
    <cellStyle name="Currency 4 3 4 2 3 3" xfId="52355" xr:uid="{00000000-0005-0000-0000-00002EBD0000}"/>
    <cellStyle name="Currency 4 3 4 2 4" xfId="52356" xr:uid="{00000000-0005-0000-0000-00002FBD0000}"/>
    <cellStyle name="Currency 4 3 4 2 4 2" xfId="52357" xr:uid="{00000000-0005-0000-0000-000030BD0000}"/>
    <cellStyle name="Currency 4 3 4 2 5" xfId="52358" xr:uid="{00000000-0005-0000-0000-000031BD0000}"/>
    <cellStyle name="Currency 4 3 4 2 6" xfId="52359" xr:uid="{00000000-0005-0000-0000-000032BD0000}"/>
    <cellStyle name="Currency 4 3 4 3" xfId="52360" xr:uid="{00000000-0005-0000-0000-000033BD0000}"/>
    <cellStyle name="Currency 4 3 4 3 2" xfId="52361" xr:uid="{00000000-0005-0000-0000-000034BD0000}"/>
    <cellStyle name="Currency 4 3 4 3 2 2" xfId="52362" xr:uid="{00000000-0005-0000-0000-000035BD0000}"/>
    <cellStyle name="Currency 4 3 4 3 2 3" xfId="52363" xr:uid="{00000000-0005-0000-0000-000036BD0000}"/>
    <cellStyle name="Currency 4 3 4 3 3" xfId="52364" xr:uid="{00000000-0005-0000-0000-000037BD0000}"/>
    <cellStyle name="Currency 4 3 4 3 3 2" xfId="52365" xr:uid="{00000000-0005-0000-0000-000038BD0000}"/>
    <cellStyle name="Currency 4 3 4 3 3 3" xfId="52366" xr:uid="{00000000-0005-0000-0000-000039BD0000}"/>
    <cellStyle name="Currency 4 3 4 3 4" xfId="52367" xr:uid="{00000000-0005-0000-0000-00003ABD0000}"/>
    <cellStyle name="Currency 4 3 4 3 4 2" xfId="52368" xr:uid="{00000000-0005-0000-0000-00003BBD0000}"/>
    <cellStyle name="Currency 4 3 4 3 5" xfId="52369" xr:uid="{00000000-0005-0000-0000-00003CBD0000}"/>
    <cellStyle name="Currency 4 3 4 3 6" xfId="52370" xr:uid="{00000000-0005-0000-0000-00003DBD0000}"/>
    <cellStyle name="Currency 4 3 4 4" xfId="52371" xr:uid="{00000000-0005-0000-0000-00003EBD0000}"/>
    <cellStyle name="Currency 4 3 4 4 2" xfId="52372" xr:uid="{00000000-0005-0000-0000-00003FBD0000}"/>
    <cellStyle name="Currency 4 3 4 4 2 2" xfId="52373" xr:uid="{00000000-0005-0000-0000-000040BD0000}"/>
    <cellStyle name="Currency 4 3 4 4 2 3" xfId="52374" xr:uid="{00000000-0005-0000-0000-000041BD0000}"/>
    <cellStyle name="Currency 4 3 4 4 3" xfId="52375" xr:uid="{00000000-0005-0000-0000-000042BD0000}"/>
    <cellStyle name="Currency 4 3 4 4 3 2" xfId="52376" xr:uid="{00000000-0005-0000-0000-000043BD0000}"/>
    <cellStyle name="Currency 4 3 4 4 4" xfId="52377" xr:uid="{00000000-0005-0000-0000-000044BD0000}"/>
    <cellStyle name="Currency 4 3 4 4 5" xfId="52378" xr:uid="{00000000-0005-0000-0000-000045BD0000}"/>
    <cellStyle name="Currency 4 3 4 5" xfId="52379" xr:uid="{00000000-0005-0000-0000-000046BD0000}"/>
    <cellStyle name="Currency 4 3 4 5 2" xfId="52380" xr:uid="{00000000-0005-0000-0000-000047BD0000}"/>
    <cellStyle name="Currency 4 3 4 5 3" xfId="52381" xr:uid="{00000000-0005-0000-0000-000048BD0000}"/>
    <cellStyle name="Currency 4 3 4 6" xfId="52382" xr:uid="{00000000-0005-0000-0000-000049BD0000}"/>
    <cellStyle name="Currency 4 3 4 6 2" xfId="52383" xr:uid="{00000000-0005-0000-0000-00004ABD0000}"/>
    <cellStyle name="Currency 4 3 4 6 3" xfId="52384" xr:uid="{00000000-0005-0000-0000-00004BBD0000}"/>
    <cellStyle name="Currency 4 3 4 7" xfId="52385" xr:uid="{00000000-0005-0000-0000-00004CBD0000}"/>
    <cellStyle name="Currency 4 3 4 7 2" xfId="52386" xr:uid="{00000000-0005-0000-0000-00004DBD0000}"/>
    <cellStyle name="Currency 4 3 4 8" xfId="52387" xr:uid="{00000000-0005-0000-0000-00004EBD0000}"/>
    <cellStyle name="Currency 4 3 4 9" xfId="52388" xr:uid="{00000000-0005-0000-0000-00004FBD0000}"/>
    <cellStyle name="Currency 4 3 5" xfId="52389" xr:uid="{00000000-0005-0000-0000-000050BD0000}"/>
    <cellStyle name="Currency 4 3 5 2" xfId="52390" xr:uid="{00000000-0005-0000-0000-000051BD0000}"/>
    <cellStyle name="Currency 4 3 5 2 2" xfId="52391" xr:uid="{00000000-0005-0000-0000-000052BD0000}"/>
    <cellStyle name="Currency 4 3 5 2 2 2" xfId="52392" xr:uid="{00000000-0005-0000-0000-000053BD0000}"/>
    <cellStyle name="Currency 4 3 5 2 2 3" xfId="52393" xr:uid="{00000000-0005-0000-0000-000054BD0000}"/>
    <cellStyle name="Currency 4 3 5 2 3" xfId="52394" xr:uid="{00000000-0005-0000-0000-000055BD0000}"/>
    <cellStyle name="Currency 4 3 5 2 3 2" xfId="52395" xr:uid="{00000000-0005-0000-0000-000056BD0000}"/>
    <cellStyle name="Currency 4 3 5 2 3 3" xfId="52396" xr:uid="{00000000-0005-0000-0000-000057BD0000}"/>
    <cellStyle name="Currency 4 3 5 2 4" xfId="52397" xr:uid="{00000000-0005-0000-0000-000058BD0000}"/>
    <cellStyle name="Currency 4 3 5 2 4 2" xfId="52398" xr:uid="{00000000-0005-0000-0000-000059BD0000}"/>
    <cellStyle name="Currency 4 3 5 2 5" xfId="52399" xr:uid="{00000000-0005-0000-0000-00005ABD0000}"/>
    <cellStyle name="Currency 4 3 5 2 6" xfId="52400" xr:uid="{00000000-0005-0000-0000-00005BBD0000}"/>
    <cellStyle name="Currency 4 3 5 3" xfId="52401" xr:uid="{00000000-0005-0000-0000-00005CBD0000}"/>
    <cellStyle name="Currency 4 3 5 3 2" xfId="52402" xr:uid="{00000000-0005-0000-0000-00005DBD0000}"/>
    <cellStyle name="Currency 4 3 5 3 2 2" xfId="52403" xr:uid="{00000000-0005-0000-0000-00005EBD0000}"/>
    <cellStyle name="Currency 4 3 5 3 2 3" xfId="52404" xr:uid="{00000000-0005-0000-0000-00005FBD0000}"/>
    <cellStyle name="Currency 4 3 5 3 3" xfId="52405" xr:uid="{00000000-0005-0000-0000-000060BD0000}"/>
    <cellStyle name="Currency 4 3 5 3 3 2" xfId="52406" xr:uid="{00000000-0005-0000-0000-000061BD0000}"/>
    <cellStyle name="Currency 4 3 5 3 3 3" xfId="52407" xr:uid="{00000000-0005-0000-0000-000062BD0000}"/>
    <cellStyle name="Currency 4 3 5 3 4" xfId="52408" xr:uid="{00000000-0005-0000-0000-000063BD0000}"/>
    <cellStyle name="Currency 4 3 5 3 4 2" xfId="52409" xr:uid="{00000000-0005-0000-0000-000064BD0000}"/>
    <cellStyle name="Currency 4 3 5 3 5" xfId="52410" xr:uid="{00000000-0005-0000-0000-000065BD0000}"/>
    <cellStyle name="Currency 4 3 5 3 6" xfId="52411" xr:uid="{00000000-0005-0000-0000-000066BD0000}"/>
    <cellStyle name="Currency 4 3 5 4" xfId="52412" xr:uid="{00000000-0005-0000-0000-000067BD0000}"/>
    <cellStyle name="Currency 4 3 5 4 2" xfId="52413" xr:uid="{00000000-0005-0000-0000-000068BD0000}"/>
    <cellStyle name="Currency 4 3 5 4 2 2" xfId="52414" xr:uid="{00000000-0005-0000-0000-000069BD0000}"/>
    <cellStyle name="Currency 4 3 5 4 2 3" xfId="52415" xr:uid="{00000000-0005-0000-0000-00006ABD0000}"/>
    <cellStyle name="Currency 4 3 5 4 3" xfId="52416" xr:uid="{00000000-0005-0000-0000-00006BBD0000}"/>
    <cellStyle name="Currency 4 3 5 4 3 2" xfId="52417" xr:uid="{00000000-0005-0000-0000-00006CBD0000}"/>
    <cellStyle name="Currency 4 3 5 4 4" xfId="52418" xr:uid="{00000000-0005-0000-0000-00006DBD0000}"/>
    <cellStyle name="Currency 4 3 5 4 5" xfId="52419" xr:uid="{00000000-0005-0000-0000-00006EBD0000}"/>
    <cellStyle name="Currency 4 3 5 5" xfId="52420" xr:uid="{00000000-0005-0000-0000-00006FBD0000}"/>
    <cellStyle name="Currency 4 3 5 5 2" xfId="52421" xr:uid="{00000000-0005-0000-0000-000070BD0000}"/>
    <cellStyle name="Currency 4 3 5 5 3" xfId="52422" xr:uid="{00000000-0005-0000-0000-000071BD0000}"/>
    <cellStyle name="Currency 4 3 5 6" xfId="52423" xr:uid="{00000000-0005-0000-0000-000072BD0000}"/>
    <cellStyle name="Currency 4 3 5 6 2" xfId="52424" xr:uid="{00000000-0005-0000-0000-000073BD0000}"/>
    <cellStyle name="Currency 4 3 5 6 3" xfId="52425" xr:uid="{00000000-0005-0000-0000-000074BD0000}"/>
    <cellStyle name="Currency 4 3 5 7" xfId="52426" xr:uid="{00000000-0005-0000-0000-000075BD0000}"/>
    <cellStyle name="Currency 4 3 5 7 2" xfId="52427" xr:uid="{00000000-0005-0000-0000-000076BD0000}"/>
    <cellStyle name="Currency 4 3 5 8" xfId="52428" xr:uid="{00000000-0005-0000-0000-000077BD0000}"/>
    <cellStyle name="Currency 4 3 5 9" xfId="52429" xr:uid="{00000000-0005-0000-0000-000078BD0000}"/>
    <cellStyle name="Currency 4 3 6" xfId="52430" xr:uid="{00000000-0005-0000-0000-000079BD0000}"/>
    <cellStyle name="Currency 4 3 6 2" xfId="52431" xr:uid="{00000000-0005-0000-0000-00007ABD0000}"/>
    <cellStyle name="Currency 4 3 6 2 2" xfId="52432" xr:uid="{00000000-0005-0000-0000-00007BBD0000}"/>
    <cellStyle name="Currency 4 3 6 2 3" xfId="52433" xr:uid="{00000000-0005-0000-0000-00007CBD0000}"/>
    <cellStyle name="Currency 4 3 6 3" xfId="52434" xr:uid="{00000000-0005-0000-0000-00007DBD0000}"/>
    <cellStyle name="Currency 4 3 6 3 2" xfId="52435" xr:uid="{00000000-0005-0000-0000-00007EBD0000}"/>
    <cellStyle name="Currency 4 3 6 3 3" xfId="52436" xr:uid="{00000000-0005-0000-0000-00007FBD0000}"/>
    <cellStyle name="Currency 4 3 6 4" xfId="52437" xr:uid="{00000000-0005-0000-0000-000080BD0000}"/>
    <cellStyle name="Currency 4 3 6 4 2" xfId="52438" xr:uid="{00000000-0005-0000-0000-000081BD0000}"/>
    <cellStyle name="Currency 4 3 6 5" xfId="52439" xr:uid="{00000000-0005-0000-0000-000082BD0000}"/>
    <cellStyle name="Currency 4 3 6 6" xfId="52440" xr:uid="{00000000-0005-0000-0000-000083BD0000}"/>
    <cellStyle name="Currency 4 3 7" xfId="52441" xr:uid="{00000000-0005-0000-0000-000084BD0000}"/>
    <cellStyle name="Currency 4 3 7 2" xfId="52442" xr:uid="{00000000-0005-0000-0000-000085BD0000}"/>
    <cellStyle name="Currency 4 3 7 2 2" xfId="52443" xr:uid="{00000000-0005-0000-0000-000086BD0000}"/>
    <cellStyle name="Currency 4 3 7 2 3" xfId="52444" xr:uid="{00000000-0005-0000-0000-000087BD0000}"/>
    <cellStyle name="Currency 4 3 7 3" xfId="52445" xr:uid="{00000000-0005-0000-0000-000088BD0000}"/>
    <cellStyle name="Currency 4 3 7 3 2" xfId="52446" xr:uid="{00000000-0005-0000-0000-000089BD0000}"/>
    <cellStyle name="Currency 4 3 7 3 3" xfId="52447" xr:uid="{00000000-0005-0000-0000-00008ABD0000}"/>
    <cellStyle name="Currency 4 3 7 4" xfId="52448" xr:uid="{00000000-0005-0000-0000-00008BBD0000}"/>
    <cellStyle name="Currency 4 3 7 4 2" xfId="52449" xr:uid="{00000000-0005-0000-0000-00008CBD0000}"/>
    <cellStyle name="Currency 4 3 7 5" xfId="52450" xr:uid="{00000000-0005-0000-0000-00008DBD0000}"/>
    <cellStyle name="Currency 4 3 7 6" xfId="52451" xr:uid="{00000000-0005-0000-0000-00008EBD0000}"/>
    <cellStyle name="Currency 4 3 8" xfId="52452" xr:uid="{00000000-0005-0000-0000-00008FBD0000}"/>
    <cellStyle name="Currency 4 3 8 2" xfId="52453" xr:uid="{00000000-0005-0000-0000-000090BD0000}"/>
    <cellStyle name="Currency 4 3 8 2 2" xfId="52454" xr:uid="{00000000-0005-0000-0000-000091BD0000}"/>
    <cellStyle name="Currency 4 3 8 2 3" xfId="52455" xr:uid="{00000000-0005-0000-0000-000092BD0000}"/>
    <cellStyle name="Currency 4 3 8 3" xfId="52456" xr:uid="{00000000-0005-0000-0000-000093BD0000}"/>
    <cellStyle name="Currency 4 3 8 3 2" xfId="52457" xr:uid="{00000000-0005-0000-0000-000094BD0000}"/>
    <cellStyle name="Currency 4 3 8 4" xfId="52458" xr:uid="{00000000-0005-0000-0000-000095BD0000}"/>
    <cellStyle name="Currency 4 3 8 5" xfId="52459" xr:uid="{00000000-0005-0000-0000-000096BD0000}"/>
    <cellStyle name="Currency 4 3 9" xfId="52460" xr:uid="{00000000-0005-0000-0000-000097BD0000}"/>
    <cellStyle name="Currency 4 3 9 2" xfId="52461" xr:uid="{00000000-0005-0000-0000-000098BD0000}"/>
    <cellStyle name="Currency 4 3 9 3" xfId="52462" xr:uid="{00000000-0005-0000-0000-000099BD0000}"/>
    <cellStyle name="Currency 4 4" xfId="3903" xr:uid="{00000000-0005-0000-0000-00009ABD0000}"/>
    <cellStyle name="Currency 4 4 10" xfId="52463" xr:uid="{00000000-0005-0000-0000-00009BBD0000}"/>
    <cellStyle name="Currency 4 4 10 2" xfId="52464" xr:uid="{00000000-0005-0000-0000-00009CBD0000}"/>
    <cellStyle name="Currency 4 4 11" xfId="52465" xr:uid="{00000000-0005-0000-0000-00009DBD0000}"/>
    <cellStyle name="Currency 4 4 12" xfId="52466" xr:uid="{00000000-0005-0000-0000-00009EBD0000}"/>
    <cellStyle name="Currency 4 4 2" xfId="9169" xr:uid="{00000000-0005-0000-0000-00009FBD0000}"/>
    <cellStyle name="Currency 4 4 2 10" xfId="52467" xr:uid="{00000000-0005-0000-0000-0000A0BD0000}"/>
    <cellStyle name="Currency 4 4 2 2" xfId="52468" xr:uid="{00000000-0005-0000-0000-0000A1BD0000}"/>
    <cellStyle name="Currency 4 4 2 2 2" xfId="52469" xr:uid="{00000000-0005-0000-0000-0000A2BD0000}"/>
    <cellStyle name="Currency 4 4 2 2 2 2" xfId="52470" xr:uid="{00000000-0005-0000-0000-0000A3BD0000}"/>
    <cellStyle name="Currency 4 4 2 2 2 2 2" xfId="52471" xr:uid="{00000000-0005-0000-0000-0000A4BD0000}"/>
    <cellStyle name="Currency 4 4 2 2 2 2 3" xfId="52472" xr:uid="{00000000-0005-0000-0000-0000A5BD0000}"/>
    <cellStyle name="Currency 4 4 2 2 2 3" xfId="52473" xr:uid="{00000000-0005-0000-0000-0000A6BD0000}"/>
    <cellStyle name="Currency 4 4 2 2 2 3 2" xfId="52474" xr:uid="{00000000-0005-0000-0000-0000A7BD0000}"/>
    <cellStyle name="Currency 4 4 2 2 2 3 3" xfId="52475" xr:uid="{00000000-0005-0000-0000-0000A8BD0000}"/>
    <cellStyle name="Currency 4 4 2 2 2 4" xfId="52476" xr:uid="{00000000-0005-0000-0000-0000A9BD0000}"/>
    <cellStyle name="Currency 4 4 2 2 2 4 2" xfId="52477" xr:uid="{00000000-0005-0000-0000-0000AABD0000}"/>
    <cellStyle name="Currency 4 4 2 2 2 5" xfId="52478" xr:uid="{00000000-0005-0000-0000-0000ABBD0000}"/>
    <cellStyle name="Currency 4 4 2 2 2 6" xfId="52479" xr:uid="{00000000-0005-0000-0000-0000ACBD0000}"/>
    <cellStyle name="Currency 4 4 2 2 3" xfId="52480" xr:uid="{00000000-0005-0000-0000-0000ADBD0000}"/>
    <cellStyle name="Currency 4 4 2 2 3 2" xfId="52481" xr:uid="{00000000-0005-0000-0000-0000AEBD0000}"/>
    <cellStyle name="Currency 4 4 2 2 3 2 2" xfId="52482" xr:uid="{00000000-0005-0000-0000-0000AFBD0000}"/>
    <cellStyle name="Currency 4 4 2 2 3 2 3" xfId="52483" xr:uid="{00000000-0005-0000-0000-0000B0BD0000}"/>
    <cellStyle name="Currency 4 4 2 2 3 3" xfId="52484" xr:uid="{00000000-0005-0000-0000-0000B1BD0000}"/>
    <cellStyle name="Currency 4 4 2 2 3 3 2" xfId="52485" xr:uid="{00000000-0005-0000-0000-0000B2BD0000}"/>
    <cellStyle name="Currency 4 4 2 2 3 3 3" xfId="52486" xr:uid="{00000000-0005-0000-0000-0000B3BD0000}"/>
    <cellStyle name="Currency 4 4 2 2 3 4" xfId="52487" xr:uid="{00000000-0005-0000-0000-0000B4BD0000}"/>
    <cellStyle name="Currency 4 4 2 2 3 4 2" xfId="52488" xr:uid="{00000000-0005-0000-0000-0000B5BD0000}"/>
    <cellStyle name="Currency 4 4 2 2 3 5" xfId="52489" xr:uid="{00000000-0005-0000-0000-0000B6BD0000}"/>
    <cellStyle name="Currency 4 4 2 2 3 6" xfId="52490" xr:uid="{00000000-0005-0000-0000-0000B7BD0000}"/>
    <cellStyle name="Currency 4 4 2 2 4" xfId="52491" xr:uid="{00000000-0005-0000-0000-0000B8BD0000}"/>
    <cellStyle name="Currency 4 4 2 2 4 2" xfId="52492" xr:uid="{00000000-0005-0000-0000-0000B9BD0000}"/>
    <cellStyle name="Currency 4 4 2 2 4 2 2" xfId="52493" xr:uid="{00000000-0005-0000-0000-0000BABD0000}"/>
    <cellStyle name="Currency 4 4 2 2 4 2 3" xfId="52494" xr:uid="{00000000-0005-0000-0000-0000BBBD0000}"/>
    <cellStyle name="Currency 4 4 2 2 4 3" xfId="52495" xr:uid="{00000000-0005-0000-0000-0000BCBD0000}"/>
    <cellStyle name="Currency 4 4 2 2 4 3 2" xfId="52496" xr:uid="{00000000-0005-0000-0000-0000BDBD0000}"/>
    <cellStyle name="Currency 4 4 2 2 4 4" xfId="52497" xr:uid="{00000000-0005-0000-0000-0000BEBD0000}"/>
    <cellStyle name="Currency 4 4 2 2 4 5" xfId="52498" xr:uid="{00000000-0005-0000-0000-0000BFBD0000}"/>
    <cellStyle name="Currency 4 4 2 2 5" xfId="52499" xr:uid="{00000000-0005-0000-0000-0000C0BD0000}"/>
    <cellStyle name="Currency 4 4 2 2 5 2" xfId="52500" xr:uid="{00000000-0005-0000-0000-0000C1BD0000}"/>
    <cellStyle name="Currency 4 4 2 2 5 3" xfId="52501" xr:uid="{00000000-0005-0000-0000-0000C2BD0000}"/>
    <cellStyle name="Currency 4 4 2 2 6" xfId="52502" xr:uid="{00000000-0005-0000-0000-0000C3BD0000}"/>
    <cellStyle name="Currency 4 4 2 2 6 2" xfId="52503" xr:uid="{00000000-0005-0000-0000-0000C4BD0000}"/>
    <cellStyle name="Currency 4 4 2 2 6 3" xfId="52504" xr:uid="{00000000-0005-0000-0000-0000C5BD0000}"/>
    <cellStyle name="Currency 4 4 2 2 7" xfId="52505" xr:uid="{00000000-0005-0000-0000-0000C6BD0000}"/>
    <cellStyle name="Currency 4 4 2 2 7 2" xfId="52506" xr:uid="{00000000-0005-0000-0000-0000C7BD0000}"/>
    <cellStyle name="Currency 4 4 2 2 8" xfId="52507" xr:uid="{00000000-0005-0000-0000-0000C8BD0000}"/>
    <cellStyle name="Currency 4 4 2 2 9" xfId="52508" xr:uid="{00000000-0005-0000-0000-0000C9BD0000}"/>
    <cellStyle name="Currency 4 4 2 3" xfId="52509" xr:uid="{00000000-0005-0000-0000-0000CABD0000}"/>
    <cellStyle name="Currency 4 4 2 3 2" xfId="52510" xr:uid="{00000000-0005-0000-0000-0000CBBD0000}"/>
    <cellStyle name="Currency 4 4 2 3 2 2" xfId="52511" xr:uid="{00000000-0005-0000-0000-0000CCBD0000}"/>
    <cellStyle name="Currency 4 4 2 3 2 3" xfId="52512" xr:uid="{00000000-0005-0000-0000-0000CDBD0000}"/>
    <cellStyle name="Currency 4 4 2 3 3" xfId="52513" xr:uid="{00000000-0005-0000-0000-0000CEBD0000}"/>
    <cellStyle name="Currency 4 4 2 3 3 2" xfId="52514" xr:uid="{00000000-0005-0000-0000-0000CFBD0000}"/>
    <cellStyle name="Currency 4 4 2 3 3 3" xfId="52515" xr:uid="{00000000-0005-0000-0000-0000D0BD0000}"/>
    <cellStyle name="Currency 4 4 2 3 4" xfId="52516" xr:uid="{00000000-0005-0000-0000-0000D1BD0000}"/>
    <cellStyle name="Currency 4 4 2 3 4 2" xfId="52517" xr:uid="{00000000-0005-0000-0000-0000D2BD0000}"/>
    <cellStyle name="Currency 4 4 2 3 5" xfId="52518" xr:uid="{00000000-0005-0000-0000-0000D3BD0000}"/>
    <cellStyle name="Currency 4 4 2 3 6" xfId="52519" xr:uid="{00000000-0005-0000-0000-0000D4BD0000}"/>
    <cellStyle name="Currency 4 4 2 4" xfId="52520" xr:uid="{00000000-0005-0000-0000-0000D5BD0000}"/>
    <cellStyle name="Currency 4 4 2 4 2" xfId="52521" xr:uid="{00000000-0005-0000-0000-0000D6BD0000}"/>
    <cellStyle name="Currency 4 4 2 4 2 2" xfId="52522" xr:uid="{00000000-0005-0000-0000-0000D7BD0000}"/>
    <cellStyle name="Currency 4 4 2 4 2 3" xfId="52523" xr:uid="{00000000-0005-0000-0000-0000D8BD0000}"/>
    <cellStyle name="Currency 4 4 2 4 3" xfId="52524" xr:uid="{00000000-0005-0000-0000-0000D9BD0000}"/>
    <cellStyle name="Currency 4 4 2 4 3 2" xfId="52525" xr:uid="{00000000-0005-0000-0000-0000DABD0000}"/>
    <cellStyle name="Currency 4 4 2 4 3 3" xfId="52526" xr:uid="{00000000-0005-0000-0000-0000DBBD0000}"/>
    <cellStyle name="Currency 4 4 2 4 4" xfId="52527" xr:uid="{00000000-0005-0000-0000-0000DCBD0000}"/>
    <cellStyle name="Currency 4 4 2 4 4 2" xfId="52528" xr:uid="{00000000-0005-0000-0000-0000DDBD0000}"/>
    <cellStyle name="Currency 4 4 2 4 5" xfId="52529" xr:uid="{00000000-0005-0000-0000-0000DEBD0000}"/>
    <cellStyle name="Currency 4 4 2 4 6" xfId="52530" xr:uid="{00000000-0005-0000-0000-0000DFBD0000}"/>
    <cellStyle name="Currency 4 4 2 5" xfId="52531" xr:uid="{00000000-0005-0000-0000-0000E0BD0000}"/>
    <cellStyle name="Currency 4 4 2 5 2" xfId="52532" xr:uid="{00000000-0005-0000-0000-0000E1BD0000}"/>
    <cellStyle name="Currency 4 4 2 5 2 2" xfId="52533" xr:uid="{00000000-0005-0000-0000-0000E2BD0000}"/>
    <cellStyle name="Currency 4 4 2 5 2 3" xfId="52534" xr:uid="{00000000-0005-0000-0000-0000E3BD0000}"/>
    <cellStyle name="Currency 4 4 2 5 3" xfId="52535" xr:uid="{00000000-0005-0000-0000-0000E4BD0000}"/>
    <cellStyle name="Currency 4 4 2 5 3 2" xfId="52536" xr:uid="{00000000-0005-0000-0000-0000E5BD0000}"/>
    <cellStyle name="Currency 4 4 2 5 4" xfId="52537" xr:uid="{00000000-0005-0000-0000-0000E6BD0000}"/>
    <cellStyle name="Currency 4 4 2 5 5" xfId="52538" xr:uid="{00000000-0005-0000-0000-0000E7BD0000}"/>
    <cellStyle name="Currency 4 4 2 6" xfId="52539" xr:uid="{00000000-0005-0000-0000-0000E8BD0000}"/>
    <cellStyle name="Currency 4 4 2 6 2" xfId="52540" xr:uid="{00000000-0005-0000-0000-0000E9BD0000}"/>
    <cellStyle name="Currency 4 4 2 6 3" xfId="52541" xr:uid="{00000000-0005-0000-0000-0000EABD0000}"/>
    <cellStyle name="Currency 4 4 2 7" xfId="52542" xr:uid="{00000000-0005-0000-0000-0000EBBD0000}"/>
    <cellStyle name="Currency 4 4 2 7 2" xfId="52543" xr:uid="{00000000-0005-0000-0000-0000ECBD0000}"/>
    <cellStyle name="Currency 4 4 2 7 3" xfId="52544" xr:uid="{00000000-0005-0000-0000-0000EDBD0000}"/>
    <cellStyle name="Currency 4 4 2 8" xfId="52545" xr:uid="{00000000-0005-0000-0000-0000EEBD0000}"/>
    <cellStyle name="Currency 4 4 2 8 2" xfId="52546" xr:uid="{00000000-0005-0000-0000-0000EFBD0000}"/>
    <cellStyle name="Currency 4 4 2 9" xfId="52547" xr:uid="{00000000-0005-0000-0000-0000F0BD0000}"/>
    <cellStyle name="Currency 4 4 3" xfId="52548" xr:uid="{00000000-0005-0000-0000-0000F1BD0000}"/>
    <cellStyle name="Currency 4 4 3 2" xfId="52549" xr:uid="{00000000-0005-0000-0000-0000F2BD0000}"/>
    <cellStyle name="Currency 4 4 3 2 2" xfId="52550" xr:uid="{00000000-0005-0000-0000-0000F3BD0000}"/>
    <cellStyle name="Currency 4 4 3 2 2 2" xfId="52551" xr:uid="{00000000-0005-0000-0000-0000F4BD0000}"/>
    <cellStyle name="Currency 4 4 3 2 2 3" xfId="52552" xr:uid="{00000000-0005-0000-0000-0000F5BD0000}"/>
    <cellStyle name="Currency 4 4 3 2 3" xfId="52553" xr:uid="{00000000-0005-0000-0000-0000F6BD0000}"/>
    <cellStyle name="Currency 4 4 3 2 3 2" xfId="52554" xr:uid="{00000000-0005-0000-0000-0000F7BD0000}"/>
    <cellStyle name="Currency 4 4 3 2 3 3" xfId="52555" xr:uid="{00000000-0005-0000-0000-0000F8BD0000}"/>
    <cellStyle name="Currency 4 4 3 2 4" xfId="52556" xr:uid="{00000000-0005-0000-0000-0000F9BD0000}"/>
    <cellStyle name="Currency 4 4 3 2 4 2" xfId="52557" xr:uid="{00000000-0005-0000-0000-0000FABD0000}"/>
    <cellStyle name="Currency 4 4 3 2 5" xfId="52558" xr:uid="{00000000-0005-0000-0000-0000FBBD0000}"/>
    <cellStyle name="Currency 4 4 3 2 6" xfId="52559" xr:uid="{00000000-0005-0000-0000-0000FCBD0000}"/>
    <cellStyle name="Currency 4 4 3 3" xfId="52560" xr:uid="{00000000-0005-0000-0000-0000FDBD0000}"/>
    <cellStyle name="Currency 4 4 3 3 2" xfId="52561" xr:uid="{00000000-0005-0000-0000-0000FEBD0000}"/>
    <cellStyle name="Currency 4 4 3 3 2 2" xfId="52562" xr:uid="{00000000-0005-0000-0000-0000FFBD0000}"/>
    <cellStyle name="Currency 4 4 3 3 2 3" xfId="52563" xr:uid="{00000000-0005-0000-0000-000000BE0000}"/>
    <cellStyle name="Currency 4 4 3 3 3" xfId="52564" xr:uid="{00000000-0005-0000-0000-000001BE0000}"/>
    <cellStyle name="Currency 4 4 3 3 3 2" xfId="52565" xr:uid="{00000000-0005-0000-0000-000002BE0000}"/>
    <cellStyle name="Currency 4 4 3 3 3 3" xfId="52566" xr:uid="{00000000-0005-0000-0000-000003BE0000}"/>
    <cellStyle name="Currency 4 4 3 3 4" xfId="52567" xr:uid="{00000000-0005-0000-0000-000004BE0000}"/>
    <cellStyle name="Currency 4 4 3 3 4 2" xfId="52568" xr:uid="{00000000-0005-0000-0000-000005BE0000}"/>
    <cellStyle name="Currency 4 4 3 3 5" xfId="52569" xr:uid="{00000000-0005-0000-0000-000006BE0000}"/>
    <cellStyle name="Currency 4 4 3 3 6" xfId="52570" xr:uid="{00000000-0005-0000-0000-000007BE0000}"/>
    <cellStyle name="Currency 4 4 3 4" xfId="52571" xr:uid="{00000000-0005-0000-0000-000008BE0000}"/>
    <cellStyle name="Currency 4 4 3 4 2" xfId="52572" xr:uid="{00000000-0005-0000-0000-000009BE0000}"/>
    <cellStyle name="Currency 4 4 3 4 2 2" xfId="52573" xr:uid="{00000000-0005-0000-0000-00000ABE0000}"/>
    <cellStyle name="Currency 4 4 3 4 2 3" xfId="52574" xr:uid="{00000000-0005-0000-0000-00000BBE0000}"/>
    <cellStyle name="Currency 4 4 3 4 3" xfId="52575" xr:uid="{00000000-0005-0000-0000-00000CBE0000}"/>
    <cellStyle name="Currency 4 4 3 4 3 2" xfId="52576" xr:uid="{00000000-0005-0000-0000-00000DBE0000}"/>
    <cellStyle name="Currency 4 4 3 4 4" xfId="52577" xr:uid="{00000000-0005-0000-0000-00000EBE0000}"/>
    <cellStyle name="Currency 4 4 3 4 5" xfId="52578" xr:uid="{00000000-0005-0000-0000-00000FBE0000}"/>
    <cellStyle name="Currency 4 4 3 5" xfId="52579" xr:uid="{00000000-0005-0000-0000-000010BE0000}"/>
    <cellStyle name="Currency 4 4 3 5 2" xfId="52580" xr:uid="{00000000-0005-0000-0000-000011BE0000}"/>
    <cellStyle name="Currency 4 4 3 5 3" xfId="52581" xr:uid="{00000000-0005-0000-0000-000012BE0000}"/>
    <cellStyle name="Currency 4 4 3 6" xfId="52582" xr:uid="{00000000-0005-0000-0000-000013BE0000}"/>
    <cellStyle name="Currency 4 4 3 6 2" xfId="52583" xr:uid="{00000000-0005-0000-0000-000014BE0000}"/>
    <cellStyle name="Currency 4 4 3 6 3" xfId="52584" xr:uid="{00000000-0005-0000-0000-000015BE0000}"/>
    <cellStyle name="Currency 4 4 3 7" xfId="52585" xr:uid="{00000000-0005-0000-0000-000016BE0000}"/>
    <cellStyle name="Currency 4 4 3 7 2" xfId="52586" xr:uid="{00000000-0005-0000-0000-000017BE0000}"/>
    <cellStyle name="Currency 4 4 3 8" xfId="52587" xr:uid="{00000000-0005-0000-0000-000018BE0000}"/>
    <cellStyle name="Currency 4 4 3 9" xfId="52588" xr:uid="{00000000-0005-0000-0000-000019BE0000}"/>
    <cellStyle name="Currency 4 4 4" xfId="52589" xr:uid="{00000000-0005-0000-0000-00001ABE0000}"/>
    <cellStyle name="Currency 4 4 4 2" xfId="52590" xr:uid="{00000000-0005-0000-0000-00001BBE0000}"/>
    <cellStyle name="Currency 4 4 4 2 2" xfId="52591" xr:uid="{00000000-0005-0000-0000-00001CBE0000}"/>
    <cellStyle name="Currency 4 4 4 2 2 2" xfId="52592" xr:uid="{00000000-0005-0000-0000-00001DBE0000}"/>
    <cellStyle name="Currency 4 4 4 2 2 3" xfId="52593" xr:uid="{00000000-0005-0000-0000-00001EBE0000}"/>
    <cellStyle name="Currency 4 4 4 2 3" xfId="52594" xr:uid="{00000000-0005-0000-0000-00001FBE0000}"/>
    <cellStyle name="Currency 4 4 4 2 3 2" xfId="52595" xr:uid="{00000000-0005-0000-0000-000020BE0000}"/>
    <cellStyle name="Currency 4 4 4 2 3 3" xfId="52596" xr:uid="{00000000-0005-0000-0000-000021BE0000}"/>
    <cellStyle name="Currency 4 4 4 2 4" xfId="52597" xr:uid="{00000000-0005-0000-0000-000022BE0000}"/>
    <cellStyle name="Currency 4 4 4 2 4 2" xfId="52598" xr:uid="{00000000-0005-0000-0000-000023BE0000}"/>
    <cellStyle name="Currency 4 4 4 2 5" xfId="52599" xr:uid="{00000000-0005-0000-0000-000024BE0000}"/>
    <cellStyle name="Currency 4 4 4 2 6" xfId="52600" xr:uid="{00000000-0005-0000-0000-000025BE0000}"/>
    <cellStyle name="Currency 4 4 4 3" xfId="52601" xr:uid="{00000000-0005-0000-0000-000026BE0000}"/>
    <cellStyle name="Currency 4 4 4 3 2" xfId="52602" xr:uid="{00000000-0005-0000-0000-000027BE0000}"/>
    <cellStyle name="Currency 4 4 4 3 2 2" xfId="52603" xr:uid="{00000000-0005-0000-0000-000028BE0000}"/>
    <cellStyle name="Currency 4 4 4 3 2 3" xfId="52604" xr:uid="{00000000-0005-0000-0000-000029BE0000}"/>
    <cellStyle name="Currency 4 4 4 3 3" xfId="52605" xr:uid="{00000000-0005-0000-0000-00002ABE0000}"/>
    <cellStyle name="Currency 4 4 4 3 3 2" xfId="52606" xr:uid="{00000000-0005-0000-0000-00002BBE0000}"/>
    <cellStyle name="Currency 4 4 4 3 3 3" xfId="52607" xr:uid="{00000000-0005-0000-0000-00002CBE0000}"/>
    <cellStyle name="Currency 4 4 4 3 4" xfId="52608" xr:uid="{00000000-0005-0000-0000-00002DBE0000}"/>
    <cellStyle name="Currency 4 4 4 3 4 2" xfId="52609" xr:uid="{00000000-0005-0000-0000-00002EBE0000}"/>
    <cellStyle name="Currency 4 4 4 3 5" xfId="52610" xr:uid="{00000000-0005-0000-0000-00002FBE0000}"/>
    <cellStyle name="Currency 4 4 4 3 6" xfId="52611" xr:uid="{00000000-0005-0000-0000-000030BE0000}"/>
    <cellStyle name="Currency 4 4 4 4" xfId="52612" xr:uid="{00000000-0005-0000-0000-000031BE0000}"/>
    <cellStyle name="Currency 4 4 4 4 2" xfId="52613" xr:uid="{00000000-0005-0000-0000-000032BE0000}"/>
    <cellStyle name="Currency 4 4 4 4 2 2" xfId="52614" xr:uid="{00000000-0005-0000-0000-000033BE0000}"/>
    <cellStyle name="Currency 4 4 4 4 2 3" xfId="52615" xr:uid="{00000000-0005-0000-0000-000034BE0000}"/>
    <cellStyle name="Currency 4 4 4 4 3" xfId="52616" xr:uid="{00000000-0005-0000-0000-000035BE0000}"/>
    <cellStyle name="Currency 4 4 4 4 3 2" xfId="52617" xr:uid="{00000000-0005-0000-0000-000036BE0000}"/>
    <cellStyle name="Currency 4 4 4 4 4" xfId="52618" xr:uid="{00000000-0005-0000-0000-000037BE0000}"/>
    <cellStyle name="Currency 4 4 4 4 5" xfId="52619" xr:uid="{00000000-0005-0000-0000-000038BE0000}"/>
    <cellStyle name="Currency 4 4 4 5" xfId="52620" xr:uid="{00000000-0005-0000-0000-000039BE0000}"/>
    <cellStyle name="Currency 4 4 4 5 2" xfId="52621" xr:uid="{00000000-0005-0000-0000-00003ABE0000}"/>
    <cellStyle name="Currency 4 4 4 5 3" xfId="52622" xr:uid="{00000000-0005-0000-0000-00003BBE0000}"/>
    <cellStyle name="Currency 4 4 4 6" xfId="52623" xr:uid="{00000000-0005-0000-0000-00003CBE0000}"/>
    <cellStyle name="Currency 4 4 4 6 2" xfId="52624" xr:uid="{00000000-0005-0000-0000-00003DBE0000}"/>
    <cellStyle name="Currency 4 4 4 6 3" xfId="52625" xr:uid="{00000000-0005-0000-0000-00003EBE0000}"/>
    <cellStyle name="Currency 4 4 4 7" xfId="52626" xr:uid="{00000000-0005-0000-0000-00003FBE0000}"/>
    <cellStyle name="Currency 4 4 4 7 2" xfId="52627" xr:uid="{00000000-0005-0000-0000-000040BE0000}"/>
    <cellStyle name="Currency 4 4 4 8" xfId="52628" xr:uid="{00000000-0005-0000-0000-000041BE0000}"/>
    <cellStyle name="Currency 4 4 4 9" xfId="52629" xr:uid="{00000000-0005-0000-0000-000042BE0000}"/>
    <cellStyle name="Currency 4 4 5" xfId="52630" xr:uid="{00000000-0005-0000-0000-000043BE0000}"/>
    <cellStyle name="Currency 4 4 5 2" xfId="52631" xr:uid="{00000000-0005-0000-0000-000044BE0000}"/>
    <cellStyle name="Currency 4 4 5 2 2" xfId="52632" xr:uid="{00000000-0005-0000-0000-000045BE0000}"/>
    <cellStyle name="Currency 4 4 5 2 3" xfId="52633" xr:uid="{00000000-0005-0000-0000-000046BE0000}"/>
    <cellStyle name="Currency 4 4 5 3" xfId="52634" xr:uid="{00000000-0005-0000-0000-000047BE0000}"/>
    <cellStyle name="Currency 4 4 5 3 2" xfId="52635" xr:uid="{00000000-0005-0000-0000-000048BE0000}"/>
    <cellStyle name="Currency 4 4 5 3 3" xfId="52636" xr:uid="{00000000-0005-0000-0000-000049BE0000}"/>
    <cellStyle name="Currency 4 4 5 4" xfId="52637" xr:uid="{00000000-0005-0000-0000-00004ABE0000}"/>
    <cellStyle name="Currency 4 4 5 4 2" xfId="52638" xr:uid="{00000000-0005-0000-0000-00004BBE0000}"/>
    <cellStyle name="Currency 4 4 5 5" xfId="52639" xr:uid="{00000000-0005-0000-0000-00004CBE0000}"/>
    <cellStyle name="Currency 4 4 5 6" xfId="52640" xr:uid="{00000000-0005-0000-0000-00004DBE0000}"/>
    <cellStyle name="Currency 4 4 6" xfId="52641" xr:uid="{00000000-0005-0000-0000-00004EBE0000}"/>
    <cellStyle name="Currency 4 4 6 2" xfId="52642" xr:uid="{00000000-0005-0000-0000-00004FBE0000}"/>
    <cellStyle name="Currency 4 4 6 2 2" xfId="52643" xr:uid="{00000000-0005-0000-0000-000050BE0000}"/>
    <cellStyle name="Currency 4 4 6 2 3" xfId="52644" xr:uid="{00000000-0005-0000-0000-000051BE0000}"/>
    <cellStyle name="Currency 4 4 6 3" xfId="52645" xr:uid="{00000000-0005-0000-0000-000052BE0000}"/>
    <cellStyle name="Currency 4 4 6 3 2" xfId="52646" xr:uid="{00000000-0005-0000-0000-000053BE0000}"/>
    <cellStyle name="Currency 4 4 6 3 3" xfId="52647" xr:uid="{00000000-0005-0000-0000-000054BE0000}"/>
    <cellStyle name="Currency 4 4 6 4" xfId="52648" xr:uid="{00000000-0005-0000-0000-000055BE0000}"/>
    <cellStyle name="Currency 4 4 6 4 2" xfId="52649" xr:uid="{00000000-0005-0000-0000-000056BE0000}"/>
    <cellStyle name="Currency 4 4 6 5" xfId="52650" xr:uid="{00000000-0005-0000-0000-000057BE0000}"/>
    <cellStyle name="Currency 4 4 6 6" xfId="52651" xr:uid="{00000000-0005-0000-0000-000058BE0000}"/>
    <cellStyle name="Currency 4 4 7" xfId="52652" xr:uid="{00000000-0005-0000-0000-000059BE0000}"/>
    <cellStyle name="Currency 4 4 7 2" xfId="52653" xr:uid="{00000000-0005-0000-0000-00005ABE0000}"/>
    <cellStyle name="Currency 4 4 7 2 2" xfId="52654" xr:uid="{00000000-0005-0000-0000-00005BBE0000}"/>
    <cellStyle name="Currency 4 4 7 2 3" xfId="52655" xr:uid="{00000000-0005-0000-0000-00005CBE0000}"/>
    <cellStyle name="Currency 4 4 7 3" xfId="52656" xr:uid="{00000000-0005-0000-0000-00005DBE0000}"/>
    <cellStyle name="Currency 4 4 7 3 2" xfId="52657" xr:uid="{00000000-0005-0000-0000-00005EBE0000}"/>
    <cellStyle name="Currency 4 4 7 4" xfId="52658" xr:uid="{00000000-0005-0000-0000-00005FBE0000}"/>
    <cellStyle name="Currency 4 4 7 5" xfId="52659" xr:uid="{00000000-0005-0000-0000-000060BE0000}"/>
    <cellStyle name="Currency 4 4 8" xfId="52660" xr:uid="{00000000-0005-0000-0000-000061BE0000}"/>
    <cellStyle name="Currency 4 4 8 2" xfId="52661" xr:uid="{00000000-0005-0000-0000-000062BE0000}"/>
    <cellStyle name="Currency 4 4 8 3" xfId="52662" xr:uid="{00000000-0005-0000-0000-000063BE0000}"/>
    <cellStyle name="Currency 4 4 9" xfId="52663" xr:uid="{00000000-0005-0000-0000-000064BE0000}"/>
    <cellStyle name="Currency 4 4 9 2" xfId="52664" xr:uid="{00000000-0005-0000-0000-000065BE0000}"/>
    <cellStyle name="Currency 4 4 9 3" xfId="52665" xr:uid="{00000000-0005-0000-0000-000066BE0000}"/>
    <cellStyle name="Currency 4 5" xfId="3904" xr:uid="{00000000-0005-0000-0000-000067BE0000}"/>
    <cellStyle name="Currency 4 5 10" xfId="52666" xr:uid="{00000000-0005-0000-0000-000068BE0000}"/>
    <cellStyle name="Currency 4 5 2" xfId="52667" xr:uid="{00000000-0005-0000-0000-000069BE0000}"/>
    <cellStyle name="Currency 4 5 2 2" xfId="52668" xr:uid="{00000000-0005-0000-0000-00006ABE0000}"/>
    <cellStyle name="Currency 4 5 2 2 2" xfId="52669" xr:uid="{00000000-0005-0000-0000-00006BBE0000}"/>
    <cellStyle name="Currency 4 5 2 2 2 2" xfId="52670" xr:uid="{00000000-0005-0000-0000-00006CBE0000}"/>
    <cellStyle name="Currency 4 5 2 2 2 3" xfId="52671" xr:uid="{00000000-0005-0000-0000-00006DBE0000}"/>
    <cellStyle name="Currency 4 5 2 2 3" xfId="52672" xr:uid="{00000000-0005-0000-0000-00006EBE0000}"/>
    <cellStyle name="Currency 4 5 2 2 3 2" xfId="52673" xr:uid="{00000000-0005-0000-0000-00006FBE0000}"/>
    <cellStyle name="Currency 4 5 2 2 3 3" xfId="52674" xr:uid="{00000000-0005-0000-0000-000070BE0000}"/>
    <cellStyle name="Currency 4 5 2 2 4" xfId="52675" xr:uid="{00000000-0005-0000-0000-000071BE0000}"/>
    <cellStyle name="Currency 4 5 2 2 4 2" xfId="52676" xr:uid="{00000000-0005-0000-0000-000072BE0000}"/>
    <cellStyle name="Currency 4 5 2 2 5" xfId="52677" xr:uid="{00000000-0005-0000-0000-000073BE0000}"/>
    <cellStyle name="Currency 4 5 2 2 6" xfId="52678" xr:uid="{00000000-0005-0000-0000-000074BE0000}"/>
    <cellStyle name="Currency 4 5 2 3" xfId="52679" xr:uid="{00000000-0005-0000-0000-000075BE0000}"/>
    <cellStyle name="Currency 4 5 2 3 2" xfId="52680" xr:uid="{00000000-0005-0000-0000-000076BE0000}"/>
    <cellStyle name="Currency 4 5 2 3 2 2" xfId="52681" xr:uid="{00000000-0005-0000-0000-000077BE0000}"/>
    <cellStyle name="Currency 4 5 2 3 2 3" xfId="52682" xr:uid="{00000000-0005-0000-0000-000078BE0000}"/>
    <cellStyle name="Currency 4 5 2 3 3" xfId="52683" xr:uid="{00000000-0005-0000-0000-000079BE0000}"/>
    <cellStyle name="Currency 4 5 2 3 3 2" xfId="52684" xr:uid="{00000000-0005-0000-0000-00007ABE0000}"/>
    <cellStyle name="Currency 4 5 2 3 3 3" xfId="52685" xr:uid="{00000000-0005-0000-0000-00007BBE0000}"/>
    <cellStyle name="Currency 4 5 2 3 4" xfId="52686" xr:uid="{00000000-0005-0000-0000-00007CBE0000}"/>
    <cellStyle name="Currency 4 5 2 3 4 2" xfId="52687" xr:uid="{00000000-0005-0000-0000-00007DBE0000}"/>
    <cellStyle name="Currency 4 5 2 3 5" xfId="52688" xr:uid="{00000000-0005-0000-0000-00007EBE0000}"/>
    <cellStyle name="Currency 4 5 2 3 6" xfId="52689" xr:uid="{00000000-0005-0000-0000-00007FBE0000}"/>
    <cellStyle name="Currency 4 5 2 4" xfId="52690" xr:uid="{00000000-0005-0000-0000-000080BE0000}"/>
    <cellStyle name="Currency 4 5 2 4 2" xfId="52691" xr:uid="{00000000-0005-0000-0000-000081BE0000}"/>
    <cellStyle name="Currency 4 5 2 4 2 2" xfId="52692" xr:uid="{00000000-0005-0000-0000-000082BE0000}"/>
    <cellStyle name="Currency 4 5 2 4 2 3" xfId="52693" xr:uid="{00000000-0005-0000-0000-000083BE0000}"/>
    <cellStyle name="Currency 4 5 2 4 3" xfId="52694" xr:uid="{00000000-0005-0000-0000-000084BE0000}"/>
    <cellStyle name="Currency 4 5 2 4 3 2" xfId="52695" xr:uid="{00000000-0005-0000-0000-000085BE0000}"/>
    <cellStyle name="Currency 4 5 2 4 4" xfId="52696" xr:uid="{00000000-0005-0000-0000-000086BE0000}"/>
    <cellStyle name="Currency 4 5 2 4 5" xfId="52697" xr:uid="{00000000-0005-0000-0000-000087BE0000}"/>
    <cellStyle name="Currency 4 5 2 5" xfId="52698" xr:uid="{00000000-0005-0000-0000-000088BE0000}"/>
    <cellStyle name="Currency 4 5 2 5 2" xfId="52699" xr:uid="{00000000-0005-0000-0000-000089BE0000}"/>
    <cellStyle name="Currency 4 5 2 5 3" xfId="52700" xr:uid="{00000000-0005-0000-0000-00008ABE0000}"/>
    <cellStyle name="Currency 4 5 2 6" xfId="52701" xr:uid="{00000000-0005-0000-0000-00008BBE0000}"/>
    <cellStyle name="Currency 4 5 2 6 2" xfId="52702" xr:uid="{00000000-0005-0000-0000-00008CBE0000}"/>
    <cellStyle name="Currency 4 5 2 6 3" xfId="52703" xr:uid="{00000000-0005-0000-0000-00008DBE0000}"/>
    <cellStyle name="Currency 4 5 2 7" xfId="52704" xr:uid="{00000000-0005-0000-0000-00008EBE0000}"/>
    <cellStyle name="Currency 4 5 2 7 2" xfId="52705" xr:uid="{00000000-0005-0000-0000-00008FBE0000}"/>
    <cellStyle name="Currency 4 5 2 8" xfId="52706" xr:uid="{00000000-0005-0000-0000-000090BE0000}"/>
    <cellStyle name="Currency 4 5 2 9" xfId="52707" xr:uid="{00000000-0005-0000-0000-000091BE0000}"/>
    <cellStyle name="Currency 4 5 3" xfId="52708" xr:uid="{00000000-0005-0000-0000-000092BE0000}"/>
    <cellStyle name="Currency 4 5 3 2" xfId="52709" xr:uid="{00000000-0005-0000-0000-000093BE0000}"/>
    <cellStyle name="Currency 4 5 3 2 2" xfId="52710" xr:uid="{00000000-0005-0000-0000-000094BE0000}"/>
    <cellStyle name="Currency 4 5 3 2 3" xfId="52711" xr:uid="{00000000-0005-0000-0000-000095BE0000}"/>
    <cellStyle name="Currency 4 5 3 3" xfId="52712" xr:uid="{00000000-0005-0000-0000-000096BE0000}"/>
    <cellStyle name="Currency 4 5 3 3 2" xfId="52713" xr:uid="{00000000-0005-0000-0000-000097BE0000}"/>
    <cellStyle name="Currency 4 5 3 3 3" xfId="52714" xr:uid="{00000000-0005-0000-0000-000098BE0000}"/>
    <cellStyle name="Currency 4 5 3 4" xfId="52715" xr:uid="{00000000-0005-0000-0000-000099BE0000}"/>
    <cellStyle name="Currency 4 5 3 4 2" xfId="52716" xr:uid="{00000000-0005-0000-0000-00009ABE0000}"/>
    <cellStyle name="Currency 4 5 3 5" xfId="52717" xr:uid="{00000000-0005-0000-0000-00009BBE0000}"/>
    <cellStyle name="Currency 4 5 3 6" xfId="52718" xr:uid="{00000000-0005-0000-0000-00009CBE0000}"/>
    <cellStyle name="Currency 4 5 4" xfId="52719" xr:uid="{00000000-0005-0000-0000-00009DBE0000}"/>
    <cellStyle name="Currency 4 5 4 2" xfId="52720" xr:uid="{00000000-0005-0000-0000-00009EBE0000}"/>
    <cellStyle name="Currency 4 5 4 2 2" xfId="52721" xr:uid="{00000000-0005-0000-0000-00009FBE0000}"/>
    <cellStyle name="Currency 4 5 4 2 3" xfId="52722" xr:uid="{00000000-0005-0000-0000-0000A0BE0000}"/>
    <cellStyle name="Currency 4 5 4 3" xfId="52723" xr:uid="{00000000-0005-0000-0000-0000A1BE0000}"/>
    <cellStyle name="Currency 4 5 4 3 2" xfId="52724" xr:uid="{00000000-0005-0000-0000-0000A2BE0000}"/>
    <cellStyle name="Currency 4 5 4 3 3" xfId="52725" xr:uid="{00000000-0005-0000-0000-0000A3BE0000}"/>
    <cellStyle name="Currency 4 5 4 4" xfId="52726" xr:uid="{00000000-0005-0000-0000-0000A4BE0000}"/>
    <cellStyle name="Currency 4 5 4 4 2" xfId="52727" xr:uid="{00000000-0005-0000-0000-0000A5BE0000}"/>
    <cellStyle name="Currency 4 5 4 5" xfId="52728" xr:uid="{00000000-0005-0000-0000-0000A6BE0000}"/>
    <cellStyle name="Currency 4 5 4 6" xfId="52729" xr:uid="{00000000-0005-0000-0000-0000A7BE0000}"/>
    <cellStyle name="Currency 4 5 5" xfId="52730" xr:uid="{00000000-0005-0000-0000-0000A8BE0000}"/>
    <cellStyle name="Currency 4 5 5 2" xfId="52731" xr:uid="{00000000-0005-0000-0000-0000A9BE0000}"/>
    <cellStyle name="Currency 4 5 5 2 2" xfId="52732" xr:uid="{00000000-0005-0000-0000-0000AABE0000}"/>
    <cellStyle name="Currency 4 5 5 2 3" xfId="52733" xr:uid="{00000000-0005-0000-0000-0000ABBE0000}"/>
    <cellStyle name="Currency 4 5 5 3" xfId="52734" xr:uid="{00000000-0005-0000-0000-0000ACBE0000}"/>
    <cellStyle name="Currency 4 5 5 3 2" xfId="52735" xr:uid="{00000000-0005-0000-0000-0000ADBE0000}"/>
    <cellStyle name="Currency 4 5 5 4" xfId="52736" xr:uid="{00000000-0005-0000-0000-0000AEBE0000}"/>
    <cellStyle name="Currency 4 5 5 5" xfId="52737" xr:uid="{00000000-0005-0000-0000-0000AFBE0000}"/>
    <cellStyle name="Currency 4 5 6" xfId="52738" xr:uid="{00000000-0005-0000-0000-0000B0BE0000}"/>
    <cellStyle name="Currency 4 5 6 2" xfId="52739" xr:uid="{00000000-0005-0000-0000-0000B1BE0000}"/>
    <cellStyle name="Currency 4 5 6 3" xfId="52740" xr:uid="{00000000-0005-0000-0000-0000B2BE0000}"/>
    <cellStyle name="Currency 4 5 7" xfId="52741" xr:uid="{00000000-0005-0000-0000-0000B3BE0000}"/>
    <cellStyle name="Currency 4 5 7 2" xfId="52742" xr:uid="{00000000-0005-0000-0000-0000B4BE0000}"/>
    <cellStyle name="Currency 4 5 7 3" xfId="52743" xr:uid="{00000000-0005-0000-0000-0000B5BE0000}"/>
    <cellStyle name="Currency 4 5 8" xfId="52744" xr:uid="{00000000-0005-0000-0000-0000B6BE0000}"/>
    <cellStyle name="Currency 4 5 8 2" xfId="52745" xr:uid="{00000000-0005-0000-0000-0000B7BE0000}"/>
    <cellStyle name="Currency 4 5 9" xfId="52746" xr:uid="{00000000-0005-0000-0000-0000B8BE0000}"/>
    <cellStyle name="Currency 4 6" xfId="9170" xr:uid="{00000000-0005-0000-0000-0000B9BE0000}"/>
    <cellStyle name="Currency 4 6 2" xfId="52747" xr:uid="{00000000-0005-0000-0000-0000BABE0000}"/>
    <cellStyle name="Currency 4 6 2 2" xfId="52748" xr:uid="{00000000-0005-0000-0000-0000BBBE0000}"/>
    <cellStyle name="Currency 4 6 2 2 2" xfId="52749" xr:uid="{00000000-0005-0000-0000-0000BCBE0000}"/>
    <cellStyle name="Currency 4 6 2 2 3" xfId="52750" xr:uid="{00000000-0005-0000-0000-0000BDBE0000}"/>
    <cellStyle name="Currency 4 6 2 3" xfId="52751" xr:uid="{00000000-0005-0000-0000-0000BEBE0000}"/>
    <cellStyle name="Currency 4 6 2 3 2" xfId="52752" xr:uid="{00000000-0005-0000-0000-0000BFBE0000}"/>
    <cellStyle name="Currency 4 6 2 3 3" xfId="52753" xr:uid="{00000000-0005-0000-0000-0000C0BE0000}"/>
    <cellStyle name="Currency 4 6 2 4" xfId="52754" xr:uid="{00000000-0005-0000-0000-0000C1BE0000}"/>
    <cellStyle name="Currency 4 6 2 4 2" xfId="52755" xr:uid="{00000000-0005-0000-0000-0000C2BE0000}"/>
    <cellStyle name="Currency 4 6 2 5" xfId="52756" xr:uid="{00000000-0005-0000-0000-0000C3BE0000}"/>
    <cellStyle name="Currency 4 6 2 6" xfId="52757" xr:uid="{00000000-0005-0000-0000-0000C4BE0000}"/>
    <cellStyle name="Currency 4 6 3" xfId="52758" xr:uid="{00000000-0005-0000-0000-0000C5BE0000}"/>
    <cellStyle name="Currency 4 6 3 2" xfId="52759" xr:uid="{00000000-0005-0000-0000-0000C6BE0000}"/>
    <cellStyle name="Currency 4 6 3 2 2" xfId="52760" xr:uid="{00000000-0005-0000-0000-0000C7BE0000}"/>
    <cellStyle name="Currency 4 6 3 2 3" xfId="52761" xr:uid="{00000000-0005-0000-0000-0000C8BE0000}"/>
    <cellStyle name="Currency 4 6 3 3" xfId="52762" xr:uid="{00000000-0005-0000-0000-0000C9BE0000}"/>
    <cellStyle name="Currency 4 6 3 3 2" xfId="52763" xr:uid="{00000000-0005-0000-0000-0000CABE0000}"/>
    <cellStyle name="Currency 4 6 3 3 3" xfId="52764" xr:uid="{00000000-0005-0000-0000-0000CBBE0000}"/>
    <cellStyle name="Currency 4 6 3 4" xfId="52765" xr:uid="{00000000-0005-0000-0000-0000CCBE0000}"/>
    <cellStyle name="Currency 4 6 3 4 2" xfId="52766" xr:uid="{00000000-0005-0000-0000-0000CDBE0000}"/>
    <cellStyle name="Currency 4 6 3 5" xfId="52767" xr:uid="{00000000-0005-0000-0000-0000CEBE0000}"/>
    <cellStyle name="Currency 4 6 3 6" xfId="52768" xr:uid="{00000000-0005-0000-0000-0000CFBE0000}"/>
    <cellStyle name="Currency 4 6 4" xfId="52769" xr:uid="{00000000-0005-0000-0000-0000D0BE0000}"/>
    <cellStyle name="Currency 4 6 4 2" xfId="52770" xr:uid="{00000000-0005-0000-0000-0000D1BE0000}"/>
    <cellStyle name="Currency 4 6 4 2 2" xfId="52771" xr:uid="{00000000-0005-0000-0000-0000D2BE0000}"/>
    <cellStyle name="Currency 4 6 4 2 3" xfId="52772" xr:uid="{00000000-0005-0000-0000-0000D3BE0000}"/>
    <cellStyle name="Currency 4 6 4 3" xfId="52773" xr:uid="{00000000-0005-0000-0000-0000D4BE0000}"/>
    <cellStyle name="Currency 4 6 4 3 2" xfId="52774" xr:uid="{00000000-0005-0000-0000-0000D5BE0000}"/>
    <cellStyle name="Currency 4 6 4 4" xfId="52775" xr:uid="{00000000-0005-0000-0000-0000D6BE0000}"/>
    <cellStyle name="Currency 4 6 4 5" xfId="52776" xr:uid="{00000000-0005-0000-0000-0000D7BE0000}"/>
    <cellStyle name="Currency 4 6 5" xfId="52777" xr:uid="{00000000-0005-0000-0000-0000D8BE0000}"/>
    <cellStyle name="Currency 4 6 5 2" xfId="52778" xr:uid="{00000000-0005-0000-0000-0000D9BE0000}"/>
    <cellStyle name="Currency 4 6 5 3" xfId="52779" xr:uid="{00000000-0005-0000-0000-0000DABE0000}"/>
    <cellStyle name="Currency 4 6 6" xfId="52780" xr:uid="{00000000-0005-0000-0000-0000DBBE0000}"/>
    <cellStyle name="Currency 4 6 6 2" xfId="52781" xr:uid="{00000000-0005-0000-0000-0000DCBE0000}"/>
    <cellStyle name="Currency 4 6 6 3" xfId="52782" xr:uid="{00000000-0005-0000-0000-0000DDBE0000}"/>
    <cellStyle name="Currency 4 6 7" xfId="52783" xr:uid="{00000000-0005-0000-0000-0000DEBE0000}"/>
    <cellStyle name="Currency 4 6 7 2" xfId="52784" xr:uid="{00000000-0005-0000-0000-0000DFBE0000}"/>
    <cellStyle name="Currency 4 6 8" xfId="52785" xr:uid="{00000000-0005-0000-0000-0000E0BE0000}"/>
    <cellStyle name="Currency 4 6 9" xfId="52786" xr:uid="{00000000-0005-0000-0000-0000E1BE0000}"/>
    <cellStyle name="Currency 4 7" xfId="52787" xr:uid="{00000000-0005-0000-0000-0000E2BE0000}"/>
    <cellStyle name="Currency 4 7 2" xfId="52788" xr:uid="{00000000-0005-0000-0000-0000E3BE0000}"/>
    <cellStyle name="Currency 4 7 2 2" xfId="52789" xr:uid="{00000000-0005-0000-0000-0000E4BE0000}"/>
    <cellStyle name="Currency 4 7 2 2 2" xfId="52790" xr:uid="{00000000-0005-0000-0000-0000E5BE0000}"/>
    <cellStyle name="Currency 4 7 2 2 3" xfId="52791" xr:uid="{00000000-0005-0000-0000-0000E6BE0000}"/>
    <cellStyle name="Currency 4 7 2 3" xfId="52792" xr:uid="{00000000-0005-0000-0000-0000E7BE0000}"/>
    <cellStyle name="Currency 4 7 2 3 2" xfId="52793" xr:uid="{00000000-0005-0000-0000-0000E8BE0000}"/>
    <cellStyle name="Currency 4 7 2 3 3" xfId="52794" xr:uid="{00000000-0005-0000-0000-0000E9BE0000}"/>
    <cellStyle name="Currency 4 7 2 4" xfId="52795" xr:uid="{00000000-0005-0000-0000-0000EABE0000}"/>
    <cellStyle name="Currency 4 7 2 4 2" xfId="52796" xr:uid="{00000000-0005-0000-0000-0000EBBE0000}"/>
    <cellStyle name="Currency 4 7 2 5" xfId="52797" xr:uid="{00000000-0005-0000-0000-0000ECBE0000}"/>
    <cellStyle name="Currency 4 7 2 6" xfId="52798" xr:uid="{00000000-0005-0000-0000-0000EDBE0000}"/>
    <cellStyle name="Currency 4 7 3" xfId="52799" xr:uid="{00000000-0005-0000-0000-0000EEBE0000}"/>
    <cellStyle name="Currency 4 7 3 2" xfId="52800" xr:uid="{00000000-0005-0000-0000-0000EFBE0000}"/>
    <cellStyle name="Currency 4 7 3 2 2" xfId="52801" xr:uid="{00000000-0005-0000-0000-0000F0BE0000}"/>
    <cellStyle name="Currency 4 7 3 2 3" xfId="52802" xr:uid="{00000000-0005-0000-0000-0000F1BE0000}"/>
    <cellStyle name="Currency 4 7 3 3" xfId="52803" xr:uid="{00000000-0005-0000-0000-0000F2BE0000}"/>
    <cellStyle name="Currency 4 7 3 3 2" xfId="52804" xr:uid="{00000000-0005-0000-0000-0000F3BE0000}"/>
    <cellStyle name="Currency 4 7 3 3 3" xfId="52805" xr:uid="{00000000-0005-0000-0000-0000F4BE0000}"/>
    <cellStyle name="Currency 4 7 3 4" xfId="52806" xr:uid="{00000000-0005-0000-0000-0000F5BE0000}"/>
    <cellStyle name="Currency 4 7 3 4 2" xfId="52807" xr:uid="{00000000-0005-0000-0000-0000F6BE0000}"/>
    <cellStyle name="Currency 4 7 3 5" xfId="52808" xr:uid="{00000000-0005-0000-0000-0000F7BE0000}"/>
    <cellStyle name="Currency 4 7 3 6" xfId="52809" xr:uid="{00000000-0005-0000-0000-0000F8BE0000}"/>
    <cellStyle name="Currency 4 7 4" xfId="52810" xr:uid="{00000000-0005-0000-0000-0000F9BE0000}"/>
    <cellStyle name="Currency 4 7 4 2" xfId="52811" xr:uid="{00000000-0005-0000-0000-0000FABE0000}"/>
    <cellStyle name="Currency 4 7 4 2 2" xfId="52812" xr:uid="{00000000-0005-0000-0000-0000FBBE0000}"/>
    <cellStyle name="Currency 4 7 4 2 3" xfId="52813" xr:uid="{00000000-0005-0000-0000-0000FCBE0000}"/>
    <cellStyle name="Currency 4 7 4 3" xfId="52814" xr:uid="{00000000-0005-0000-0000-0000FDBE0000}"/>
    <cellStyle name="Currency 4 7 4 3 2" xfId="52815" xr:uid="{00000000-0005-0000-0000-0000FEBE0000}"/>
    <cellStyle name="Currency 4 7 4 4" xfId="52816" xr:uid="{00000000-0005-0000-0000-0000FFBE0000}"/>
    <cellStyle name="Currency 4 7 4 5" xfId="52817" xr:uid="{00000000-0005-0000-0000-000000BF0000}"/>
    <cellStyle name="Currency 4 7 5" xfId="52818" xr:uid="{00000000-0005-0000-0000-000001BF0000}"/>
    <cellStyle name="Currency 4 7 5 2" xfId="52819" xr:uid="{00000000-0005-0000-0000-000002BF0000}"/>
    <cellStyle name="Currency 4 7 5 3" xfId="52820" xr:uid="{00000000-0005-0000-0000-000003BF0000}"/>
    <cellStyle name="Currency 4 7 6" xfId="52821" xr:uid="{00000000-0005-0000-0000-000004BF0000}"/>
    <cellStyle name="Currency 4 7 6 2" xfId="52822" xr:uid="{00000000-0005-0000-0000-000005BF0000}"/>
    <cellStyle name="Currency 4 7 6 3" xfId="52823" xr:uid="{00000000-0005-0000-0000-000006BF0000}"/>
    <cellStyle name="Currency 4 7 7" xfId="52824" xr:uid="{00000000-0005-0000-0000-000007BF0000}"/>
    <cellStyle name="Currency 4 7 7 2" xfId="52825" xr:uid="{00000000-0005-0000-0000-000008BF0000}"/>
    <cellStyle name="Currency 4 7 8" xfId="52826" xr:uid="{00000000-0005-0000-0000-000009BF0000}"/>
    <cellStyle name="Currency 4 7 9" xfId="52827" xr:uid="{00000000-0005-0000-0000-00000ABF0000}"/>
    <cellStyle name="Currency 4 8" xfId="52828" xr:uid="{00000000-0005-0000-0000-00000BBF0000}"/>
    <cellStyle name="Currency 4 8 2" xfId="52829" xr:uid="{00000000-0005-0000-0000-00000CBF0000}"/>
    <cellStyle name="Currency 4 8 2 2" xfId="52830" xr:uid="{00000000-0005-0000-0000-00000DBF0000}"/>
    <cellStyle name="Currency 4 8 2 3" xfId="52831" xr:uid="{00000000-0005-0000-0000-00000EBF0000}"/>
    <cellStyle name="Currency 4 8 3" xfId="52832" xr:uid="{00000000-0005-0000-0000-00000FBF0000}"/>
    <cellStyle name="Currency 4 8 3 2" xfId="52833" xr:uid="{00000000-0005-0000-0000-000010BF0000}"/>
    <cellStyle name="Currency 4 8 3 3" xfId="52834" xr:uid="{00000000-0005-0000-0000-000011BF0000}"/>
    <cellStyle name="Currency 4 8 4" xfId="52835" xr:uid="{00000000-0005-0000-0000-000012BF0000}"/>
    <cellStyle name="Currency 4 8 4 2" xfId="52836" xr:uid="{00000000-0005-0000-0000-000013BF0000}"/>
    <cellStyle name="Currency 4 8 5" xfId="52837" xr:uid="{00000000-0005-0000-0000-000014BF0000}"/>
    <cellStyle name="Currency 4 8 6" xfId="52838" xr:uid="{00000000-0005-0000-0000-000015BF0000}"/>
    <cellStyle name="Currency 4 9" xfId="52839" xr:uid="{00000000-0005-0000-0000-000016BF0000}"/>
    <cellStyle name="Currency 4 9 2" xfId="52840" xr:uid="{00000000-0005-0000-0000-000017BF0000}"/>
    <cellStyle name="Currency 4 9 2 2" xfId="52841" xr:uid="{00000000-0005-0000-0000-000018BF0000}"/>
    <cellStyle name="Currency 4 9 2 3" xfId="52842" xr:uid="{00000000-0005-0000-0000-000019BF0000}"/>
    <cellStyle name="Currency 4 9 3" xfId="52843" xr:uid="{00000000-0005-0000-0000-00001ABF0000}"/>
    <cellStyle name="Currency 4 9 3 2" xfId="52844" xr:uid="{00000000-0005-0000-0000-00001BBF0000}"/>
    <cellStyle name="Currency 4 9 3 3" xfId="52845" xr:uid="{00000000-0005-0000-0000-00001CBF0000}"/>
    <cellStyle name="Currency 4 9 4" xfId="52846" xr:uid="{00000000-0005-0000-0000-00001DBF0000}"/>
    <cellStyle name="Currency 4 9 4 2" xfId="52847" xr:uid="{00000000-0005-0000-0000-00001EBF0000}"/>
    <cellStyle name="Currency 4 9 5" xfId="52848" xr:uid="{00000000-0005-0000-0000-00001FBF0000}"/>
    <cellStyle name="Currency 4 9 6" xfId="52849" xr:uid="{00000000-0005-0000-0000-000020BF0000}"/>
    <cellStyle name="Currency 40" xfId="3905" xr:uid="{00000000-0005-0000-0000-000021BF0000}"/>
    <cellStyle name="Currency 41" xfId="3906" xr:uid="{00000000-0005-0000-0000-000022BF0000}"/>
    <cellStyle name="Currency 42" xfId="3907" xr:uid="{00000000-0005-0000-0000-000023BF0000}"/>
    <cellStyle name="Currency 43" xfId="3908" xr:uid="{00000000-0005-0000-0000-000024BF0000}"/>
    <cellStyle name="Currency 44" xfId="3909" xr:uid="{00000000-0005-0000-0000-000025BF0000}"/>
    <cellStyle name="Currency 45" xfId="3910" xr:uid="{00000000-0005-0000-0000-000026BF0000}"/>
    <cellStyle name="Currency 46" xfId="3911" xr:uid="{00000000-0005-0000-0000-000027BF0000}"/>
    <cellStyle name="Currency 47" xfId="3912" xr:uid="{00000000-0005-0000-0000-000028BF0000}"/>
    <cellStyle name="Currency 48" xfId="3913" xr:uid="{00000000-0005-0000-0000-000029BF0000}"/>
    <cellStyle name="Currency 49" xfId="3914" xr:uid="{00000000-0005-0000-0000-00002ABF0000}"/>
    <cellStyle name="Currency 5" xfId="3915" xr:uid="{00000000-0005-0000-0000-00002BBF0000}"/>
    <cellStyle name="Currency 5 2" xfId="3916" xr:uid="{00000000-0005-0000-0000-00002CBF0000}"/>
    <cellStyle name="Currency 5 2 2" xfId="9171" xr:uid="{00000000-0005-0000-0000-00002DBF0000}"/>
    <cellStyle name="Currency 5 2 2 2" xfId="9172" xr:uid="{00000000-0005-0000-0000-00002EBF0000}"/>
    <cellStyle name="Currency 5 2 2 3" xfId="59082" xr:uid="{00000000-0005-0000-0000-00002FBF0000}"/>
    <cellStyle name="Currency 5 2 2 4" xfId="59083" xr:uid="{00000000-0005-0000-0000-000030BF0000}"/>
    <cellStyle name="Currency 5 2 3" xfId="9173" xr:uid="{00000000-0005-0000-0000-000031BF0000}"/>
    <cellStyle name="Currency 5 2 3 2" xfId="59084" xr:uid="{00000000-0005-0000-0000-000032BF0000}"/>
    <cellStyle name="Currency 5 2 4" xfId="9174" xr:uid="{00000000-0005-0000-0000-000033BF0000}"/>
    <cellStyle name="Currency 5 2 5" xfId="59085" xr:uid="{00000000-0005-0000-0000-000034BF0000}"/>
    <cellStyle name="Currency 5 2 6" xfId="59086" xr:uid="{00000000-0005-0000-0000-000035BF0000}"/>
    <cellStyle name="Currency 5 2 7" xfId="59087" xr:uid="{00000000-0005-0000-0000-000036BF0000}"/>
    <cellStyle name="Currency 5 3" xfId="3917" xr:uid="{00000000-0005-0000-0000-000037BF0000}"/>
    <cellStyle name="Currency 5 3 2" xfId="9175" xr:uid="{00000000-0005-0000-0000-000038BF0000}"/>
    <cellStyle name="Currency 5 3 3" xfId="9176" xr:uid="{00000000-0005-0000-0000-000039BF0000}"/>
    <cellStyle name="Currency 5 3 4" xfId="59088" xr:uid="{00000000-0005-0000-0000-00003ABF0000}"/>
    <cellStyle name="Currency 5 4" xfId="9177" xr:uid="{00000000-0005-0000-0000-00003BBF0000}"/>
    <cellStyle name="Currency 5 4 2" xfId="52850" xr:uid="{00000000-0005-0000-0000-00003CBF0000}"/>
    <cellStyle name="Currency 5 5" xfId="9178" xr:uid="{00000000-0005-0000-0000-00003DBF0000}"/>
    <cellStyle name="Currency 5 6" xfId="52851" xr:uid="{00000000-0005-0000-0000-00003EBF0000}"/>
    <cellStyle name="Currency 5 7" xfId="59089" xr:uid="{00000000-0005-0000-0000-00003FBF0000}"/>
    <cellStyle name="Currency 5 8" xfId="59090" xr:uid="{00000000-0005-0000-0000-000040BF0000}"/>
    <cellStyle name="Currency 50" xfId="3918" xr:uid="{00000000-0005-0000-0000-000041BF0000}"/>
    <cellStyle name="Currency 51" xfId="3919" xr:uid="{00000000-0005-0000-0000-000042BF0000}"/>
    <cellStyle name="Currency 52" xfId="3920" xr:uid="{00000000-0005-0000-0000-000043BF0000}"/>
    <cellStyle name="Currency 53" xfId="3921" xr:uid="{00000000-0005-0000-0000-000044BF0000}"/>
    <cellStyle name="Currency 54" xfId="3922" xr:uid="{00000000-0005-0000-0000-000045BF0000}"/>
    <cellStyle name="Currency 55" xfId="3923" xr:uid="{00000000-0005-0000-0000-000046BF0000}"/>
    <cellStyle name="Currency 56" xfId="3924" xr:uid="{00000000-0005-0000-0000-000047BF0000}"/>
    <cellStyle name="Currency 56 2" xfId="3925" xr:uid="{00000000-0005-0000-0000-000048BF0000}"/>
    <cellStyle name="Currency 57" xfId="3926" xr:uid="{00000000-0005-0000-0000-000049BF0000}"/>
    <cellStyle name="Currency 57 2" xfId="3927" xr:uid="{00000000-0005-0000-0000-00004ABF0000}"/>
    <cellStyle name="Currency 58" xfId="3928" xr:uid="{00000000-0005-0000-0000-00004BBF0000}"/>
    <cellStyle name="Currency 59" xfId="3929" xr:uid="{00000000-0005-0000-0000-00004CBF0000}"/>
    <cellStyle name="Currency 6" xfId="3930" xr:uid="{00000000-0005-0000-0000-00004DBF0000}"/>
    <cellStyle name="Currency 6 2" xfId="3931" xr:uid="{00000000-0005-0000-0000-00004EBF0000}"/>
    <cellStyle name="Currency 6 2 2" xfId="8401" xr:uid="{00000000-0005-0000-0000-00004FBF0000}"/>
    <cellStyle name="Currency 6 2 2 2" xfId="8402" xr:uid="{00000000-0005-0000-0000-000050BF0000}"/>
    <cellStyle name="Currency 6 2 2 2 2" xfId="8403" xr:uid="{00000000-0005-0000-0000-000051BF0000}"/>
    <cellStyle name="Currency 6 2 2 2 3" xfId="59091" xr:uid="{00000000-0005-0000-0000-000052BF0000}"/>
    <cellStyle name="Currency 6 2 2 3" xfId="8404" xr:uid="{00000000-0005-0000-0000-000053BF0000}"/>
    <cellStyle name="Currency 6 2 2 3 2" xfId="59092" xr:uid="{00000000-0005-0000-0000-000054BF0000}"/>
    <cellStyle name="Currency 6 2 2 4" xfId="59093" xr:uid="{00000000-0005-0000-0000-000055BF0000}"/>
    <cellStyle name="Currency 6 2 2 5" xfId="59094" xr:uid="{00000000-0005-0000-0000-000056BF0000}"/>
    <cellStyle name="Currency 6 2 2 6" xfId="59095" xr:uid="{00000000-0005-0000-0000-000057BF0000}"/>
    <cellStyle name="Currency 6 2 3" xfId="8405" xr:uid="{00000000-0005-0000-0000-000058BF0000}"/>
    <cellStyle name="Currency 6 2 3 2" xfId="8406" xr:uid="{00000000-0005-0000-0000-000059BF0000}"/>
    <cellStyle name="Currency 6 2 3 3" xfId="59096" xr:uid="{00000000-0005-0000-0000-00005ABF0000}"/>
    <cellStyle name="Currency 6 2 4" xfId="8407" xr:uid="{00000000-0005-0000-0000-00005BBF0000}"/>
    <cellStyle name="Currency 6 2 4 2" xfId="59097" xr:uid="{00000000-0005-0000-0000-00005CBF0000}"/>
    <cellStyle name="Currency 6 2 5" xfId="52852" xr:uid="{00000000-0005-0000-0000-00005DBF0000}"/>
    <cellStyle name="Currency 6 3" xfId="3932" xr:uid="{00000000-0005-0000-0000-00005EBF0000}"/>
    <cellStyle name="Currency 6 3 2" xfId="8408" xr:uid="{00000000-0005-0000-0000-00005FBF0000}"/>
    <cellStyle name="Currency 6 3 2 2" xfId="8409" xr:uid="{00000000-0005-0000-0000-000060BF0000}"/>
    <cellStyle name="Currency 6 3 2 2 2" xfId="59098" xr:uid="{00000000-0005-0000-0000-000061BF0000}"/>
    <cellStyle name="Currency 6 3 2 3" xfId="59099" xr:uid="{00000000-0005-0000-0000-000062BF0000}"/>
    <cellStyle name="Currency 6 3 2 4" xfId="59100" xr:uid="{00000000-0005-0000-0000-000063BF0000}"/>
    <cellStyle name="Currency 6 3 2 5" xfId="59101" xr:uid="{00000000-0005-0000-0000-000064BF0000}"/>
    <cellStyle name="Currency 6 3 3" xfId="8410" xr:uid="{00000000-0005-0000-0000-000065BF0000}"/>
    <cellStyle name="Currency 6 3 3 2" xfId="59102" xr:uid="{00000000-0005-0000-0000-000066BF0000}"/>
    <cellStyle name="Currency 6 3 4" xfId="59103" xr:uid="{00000000-0005-0000-0000-000067BF0000}"/>
    <cellStyle name="Currency 6 3 5" xfId="59104" xr:uid="{00000000-0005-0000-0000-000068BF0000}"/>
    <cellStyle name="Currency 6 3 6" xfId="59105" xr:uid="{00000000-0005-0000-0000-000069BF0000}"/>
    <cellStyle name="Currency 6 3 7" xfId="59106" xr:uid="{00000000-0005-0000-0000-00006ABF0000}"/>
    <cellStyle name="Currency 6 4" xfId="8411" xr:uid="{00000000-0005-0000-0000-00006BBF0000}"/>
    <cellStyle name="Currency 6 4 2" xfId="8412" xr:uid="{00000000-0005-0000-0000-00006CBF0000}"/>
    <cellStyle name="Currency 6 4 2 2" xfId="59107" xr:uid="{00000000-0005-0000-0000-00006DBF0000}"/>
    <cellStyle name="Currency 6 4 3" xfId="59108" xr:uid="{00000000-0005-0000-0000-00006EBF0000}"/>
    <cellStyle name="Currency 6 4 4" xfId="59109" xr:uid="{00000000-0005-0000-0000-00006FBF0000}"/>
    <cellStyle name="Currency 6 4 5" xfId="59110" xr:uid="{00000000-0005-0000-0000-000070BF0000}"/>
    <cellStyle name="Currency 6 5" xfId="8413" xr:uid="{00000000-0005-0000-0000-000071BF0000}"/>
    <cellStyle name="Currency 6 5 2" xfId="8414" xr:uid="{00000000-0005-0000-0000-000072BF0000}"/>
    <cellStyle name="Currency 6 5 2 2" xfId="59111" xr:uid="{00000000-0005-0000-0000-000073BF0000}"/>
    <cellStyle name="Currency 6 5 3" xfId="59112" xr:uid="{00000000-0005-0000-0000-000074BF0000}"/>
    <cellStyle name="Currency 6 5 4" xfId="59113" xr:uid="{00000000-0005-0000-0000-000075BF0000}"/>
    <cellStyle name="Currency 6 5 5" xfId="59114" xr:uid="{00000000-0005-0000-0000-000076BF0000}"/>
    <cellStyle name="Currency 6 6" xfId="8415" xr:uid="{00000000-0005-0000-0000-000077BF0000}"/>
    <cellStyle name="Currency 6 6 2" xfId="59115" xr:uid="{00000000-0005-0000-0000-000078BF0000}"/>
    <cellStyle name="Currency 6 6 2 2" xfId="59116" xr:uid="{00000000-0005-0000-0000-000079BF0000}"/>
    <cellStyle name="Currency 6 6 3" xfId="59117" xr:uid="{00000000-0005-0000-0000-00007ABF0000}"/>
    <cellStyle name="Currency 6 6 4" xfId="59118" xr:uid="{00000000-0005-0000-0000-00007BBF0000}"/>
    <cellStyle name="Currency 6 6 5" xfId="59119" xr:uid="{00000000-0005-0000-0000-00007CBF0000}"/>
    <cellStyle name="Currency 6 7" xfId="52853" xr:uid="{00000000-0005-0000-0000-00007DBF0000}"/>
    <cellStyle name="Currency 60" xfId="3933" xr:uid="{00000000-0005-0000-0000-00007EBF0000}"/>
    <cellStyle name="Currency 61" xfId="3934" xr:uid="{00000000-0005-0000-0000-00007FBF0000}"/>
    <cellStyle name="Currency 62" xfId="3935" xr:uid="{00000000-0005-0000-0000-000080BF0000}"/>
    <cellStyle name="Currency 62 2" xfId="3936" xr:uid="{00000000-0005-0000-0000-000081BF0000}"/>
    <cellStyle name="Currency 63" xfId="3937" xr:uid="{00000000-0005-0000-0000-000082BF0000}"/>
    <cellStyle name="Currency 64" xfId="3938" xr:uid="{00000000-0005-0000-0000-000083BF0000}"/>
    <cellStyle name="Currency 65" xfId="3939" xr:uid="{00000000-0005-0000-0000-000084BF0000}"/>
    <cellStyle name="Currency 66" xfId="3940" xr:uid="{00000000-0005-0000-0000-000085BF0000}"/>
    <cellStyle name="Currency 67" xfId="3941" xr:uid="{00000000-0005-0000-0000-000086BF0000}"/>
    <cellStyle name="Currency 68" xfId="3942" xr:uid="{00000000-0005-0000-0000-000087BF0000}"/>
    <cellStyle name="Currency 69" xfId="3943" xr:uid="{00000000-0005-0000-0000-000088BF0000}"/>
    <cellStyle name="Currency 7" xfId="3944" xr:uid="{00000000-0005-0000-0000-000089BF0000}"/>
    <cellStyle name="Currency 7 2" xfId="3945" xr:uid="{00000000-0005-0000-0000-00008ABF0000}"/>
    <cellStyle name="Currency 7 2 2" xfId="9179" xr:uid="{00000000-0005-0000-0000-00008BBF0000}"/>
    <cellStyle name="Currency 7 2 2 2" xfId="9180" xr:uid="{00000000-0005-0000-0000-00008CBF0000}"/>
    <cellStyle name="Currency 7 2 3" xfId="9181" xr:uid="{00000000-0005-0000-0000-00008DBF0000}"/>
    <cellStyle name="Currency 7 2 4" xfId="9182" xr:uid="{00000000-0005-0000-0000-00008EBF0000}"/>
    <cellStyle name="Currency 7 3" xfId="3946" xr:uid="{00000000-0005-0000-0000-00008FBF0000}"/>
    <cellStyle name="Currency 7 3 2" xfId="9183" xr:uid="{00000000-0005-0000-0000-000090BF0000}"/>
    <cellStyle name="Currency 7 3 3" xfId="9184" xr:uid="{00000000-0005-0000-0000-000091BF0000}"/>
    <cellStyle name="Currency 7 3 4" xfId="59120" xr:uid="{00000000-0005-0000-0000-000092BF0000}"/>
    <cellStyle name="Currency 7 4" xfId="9185" xr:uid="{00000000-0005-0000-0000-000093BF0000}"/>
    <cellStyle name="Currency 7 4 2" xfId="59121" xr:uid="{00000000-0005-0000-0000-000094BF0000}"/>
    <cellStyle name="Currency 7 5" xfId="9186" xr:uid="{00000000-0005-0000-0000-000095BF0000}"/>
    <cellStyle name="Currency 7 6" xfId="59122" xr:uid="{00000000-0005-0000-0000-000096BF0000}"/>
    <cellStyle name="Currency 7 7" xfId="59123" xr:uid="{00000000-0005-0000-0000-000097BF0000}"/>
    <cellStyle name="Currency 7 8" xfId="59124" xr:uid="{00000000-0005-0000-0000-000098BF0000}"/>
    <cellStyle name="Currency 70" xfId="3947" xr:uid="{00000000-0005-0000-0000-000099BF0000}"/>
    <cellStyle name="Currency 71" xfId="3948" xr:uid="{00000000-0005-0000-0000-00009ABF0000}"/>
    <cellStyle name="Currency 72" xfId="3949" xr:uid="{00000000-0005-0000-0000-00009BBF0000}"/>
    <cellStyle name="Currency 73" xfId="3950" xr:uid="{00000000-0005-0000-0000-00009CBF0000}"/>
    <cellStyle name="Currency 74" xfId="3951" xr:uid="{00000000-0005-0000-0000-00009DBF0000}"/>
    <cellStyle name="Currency 75" xfId="3952" xr:uid="{00000000-0005-0000-0000-00009EBF0000}"/>
    <cellStyle name="Currency 76" xfId="8781" xr:uid="{00000000-0005-0000-0000-00009FBF0000}"/>
    <cellStyle name="Currency 77" xfId="9187" xr:uid="{00000000-0005-0000-0000-0000A0BF0000}"/>
    <cellStyle name="Currency 78" xfId="9188" xr:uid="{00000000-0005-0000-0000-0000A1BF0000}"/>
    <cellStyle name="Currency 79" xfId="9189" xr:uid="{00000000-0005-0000-0000-0000A2BF0000}"/>
    <cellStyle name="Currency 8" xfId="3953" xr:uid="{00000000-0005-0000-0000-0000A3BF0000}"/>
    <cellStyle name="Currency 8 2" xfId="3954" xr:uid="{00000000-0005-0000-0000-0000A4BF0000}"/>
    <cellStyle name="Currency 8 2 2" xfId="9190" xr:uid="{00000000-0005-0000-0000-0000A5BF0000}"/>
    <cellStyle name="Currency 8 2 2 2" xfId="9191" xr:uid="{00000000-0005-0000-0000-0000A6BF0000}"/>
    <cellStyle name="Currency 8 2 3" xfId="9192" xr:uid="{00000000-0005-0000-0000-0000A7BF0000}"/>
    <cellStyle name="Currency 8 2 3 2" xfId="59125" xr:uid="{00000000-0005-0000-0000-0000A8BF0000}"/>
    <cellStyle name="Currency 8 2 4" xfId="9193" xr:uid="{00000000-0005-0000-0000-0000A9BF0000}"/>
    <cellStyle name="Currency 8 2 5" xfId="59126" xr:uid="{00000000-0005-0000-0000-0000AABF0000}"/>
    <cellStyle name="Currency 8 3" xfId="9194" xr:uid="{00000000-0005-0000-0000-0000ABBF0000}"/>
    <cellStyle name="Currency 8 3 2" xfId="9195" xr:uid="{00000000-0005-0000-0000-0000ACBF0000}"/>
    <cellStyle name="Currency 8 3 3" xfId="59127" xr:uid="{00000000-0005-0000-0000-0000ADBF0000}"/>
    <cellStyle name="Currency 8 4" xfId="9196" xr:uid="{00000000-0005-0000-0000-0000AEBF0000}"/>
    <cellStyle name="Currency 8 5" xfId="9197" xr:uid="{00000000-0005-0000-0000-0000AFBF0000}"/>
    <cellStyle name="Currency 8 6" xfId="59128" xr:uid="{00000000-0005-0000-0000-0000B0BF0000}"/>
    <cellStyle name="Currency 8 7" xfId="59129" xr:uid="{00000000-0005-0000-0000-0000B1BF0000}"/>
    <cellStyle name="Currency 80" xfId="9374" xr:uid="{00000000-0005-0000-0000-0000B2BF0000}"/>
    <cellStyle name="Currency 81" xfId="9647" xr:uid="{00000000-0005-0000-0000-0000B3BF0000}"/>
    <cellStyle name="Currency 82" xfId="9648" xr:uid="{00000000-0005-0000-0000-0000B4BF0000}"/>
    <cellStyle name="Currency 83" xfId="9649" xr:uid="{00000000-0005-0000-0000-0000B5BF0000}"/>
    <cellStyle name="Currency 84" xfId="9650" xr:uid="{00000000-0005-0000-0000-0000B6BF0000}"/>
    <cellStyle name="Currency 85" xfId="9651" xr:uid="{00000000-0005-0000-0000-0000B7BF0000}"/>
    <cellStyle name="Currency 86" xfId="9652" xr:uid="{00000000-0005-0000-0000-0000B8BF0000}"/>
    <cellStyle name="Currency 87" xfId="9653" xr:uid="{00000000-0005-0000-0000-0000B9BF0000}"/>
    <cellStyle name="Currency 88" xfId="9654" xr:uid="{00000000-0005-0000-0000-0000BABF0000}"/>
    <cellStyle name="Currency 89" xfId="9655" xr:uid="{00000000-0005-0000-0000-0000BBBF0000}"/>
    <cellStyle name="Currency 9" xfId="3955" xr:uid="{00000000-0005-0000-0000-0000BCBF0000}"/>
    <cellStyle name="Currency 9 2" xfId="3956" xr:uid="{00000000-0005-0000-0000-0000BDBF0000}"/>
    <cellStyle name="Currency 9 2 2" xfId="59130" xr:uid="{00000000-0005-0000-0000-0000BEBF0000}"/>
    <cellStyle name="Currency 9 2 3" xfId="59131" xr:uid="{00000000-0005-0000-0000-0000BFBF0000}"/>
    <cellStyle name="Currency 9 3" xfId="9198" xr:uid="{00000000-0005-0000-0000-0000C0BF0000}"/>
    <cellStyle name="Currency 9 3 2" xfId="59132" xr:uid="{00000000-0005-0000-0000-0000C1BF0000}"/>
    <cellStyle name="Currency 9 4" xfId="59133" xr:uid="{00000000-0005-0000-0000-0000C2BF0000}"/>
    <cellStyle name="Currency 9 5" xfId="59134" xr:uid="{00000000-0005-0000-0000-0000C3BF0000}"/>
    <cellStyle name="Currency 9 6" xfId="59135" xr:uid="{00000000-0005-0000-0000-0000C4BF0000}"/>
    <cellStyle name="Currency 90" xfId="9656" xr:uid="{00000000-0005-0000-0000-0000C5BF0000}"/>
    <cellStyle name="Currency 91" xfId="9657" xr:uid="{00000000-0005-0000-0000-0000C6BF0000}"/>
    <cellStyle name="Currency 92" xfId="9658" xr:uid="{00000000-0005-0000-0000-0000C7BF0000}"/>
    <cellStyle name="Currency 93" xfId="9659" xr:uid="{00000000-0005-0000-0000-0000C8BF0000}"/>
    <cellStyle name="Currency 94" xfId="9660" xr:uid="{00000000-0005-0000-0000-0000C9BF0000}"/>
    <cellStyle name="Currency 95" xfId="9661" xr:uid="{00000000-0005-0000-0000-0000CABF0000}"/>
    <cellStyle name="Currency 96" xfId="9662" xr:uid="{00000000-0005-0000-0000-0000CBBF0000}"/>
    <cellStyle name="Currency 97" xfId="9663" xr:uid="{00000000-0005-0000-0000-0000CCBF0000}"/>
    <cellStyle name="Currency 98" xfId="9664" xr:uid="{00000000-0005-0000-0000-0000CDBF0000}"/>
    <cellStyle name="Currency 99" xfId="9665" xr:uid="{00000000-0005-0000-0000-0000CEBF0000}"/>
    <cellStyle name="Currency0" xfId="3957" xr:uid="{00000000-0005-0000-0000-0000CFBF0000}"/>
    <cellStyle name="Currency0 2" xfId="3958" xr:uid="{00000000-0005-0000-0000-0000D0BF0000}"/>
    <cellStyle name="Currency0 2 2" xfId="9666" xr:uid="{00000000-0005-0000-0000-0000D1BF0000}"/>
    <cellStyle name="Currency0 2 3" xfId="59136" xr:uid="{00000000-0005-0000-0000-0000D2BF0000}"/>
    <cellStyle name="Currency0 3" xfId="3959" xr:uid="{00000000-0005-0000-0000-0000D3BF0000}"/>
    <cellStyle name="Currency0 3 2" xfId="9667" xr:uid="{00000000-0005-0000-0000-0000D4BF0000}"/>
    <cellStyle name="Currency0 3 3" xfId="59137" xr:uid="{00000000-0005-0000-0000-0000D5BF0000}"/>
    <cellStyle name="Custom - Style1" xfId="59138" xr:uid="{00000000-0005-0000-0000-0000D6BF0000}"/>
    <cellStyle name="Data   - Style2" xfId="59139" xr:uid="{00000000-0005-0000-0000-0000D7BF0000}"/>
    <cellStyle name="Date" xfId="3960" xr:uid="{00000000-0005-0000-0000-0000D8BF0000}"/>
    <cellStyle name="Date 2" xfId="3961" xr:uid="{00000000-0005-0000-0000-0000D9BF0000}"/>
    <cellStyle name="Date 2 2" xfId="9668" xr:uid="{00000000-0005-0000-0000-0000DABF0000}"/>
    <cellStyle name="Date 2 3" xfId="59140" xr:uid="{00000000-0005-0000-0000-0000DBBF0000}"/>
    <cellStyle name="Date 3" xfId="3962" xr:uid="{00000000-0005-0000-0000-0000DCBF0000}"/>
    <cellStyle name="Date 3 2" xfId="9669" xr:uid="{00000000-0005-0000-0000-0000DDBF0000}"/>
    <cellStyle name="Date 3 3" xfId="59141" xr:uid="{00000000-0005-0000-0000-0000DEBF0000}"/>
    <cellStyle name="Eingabe" xfId="3963" xr:uid="{00000000-0005-0000-0000-0000DFBF0000}"/>
    <cellStyle name="Eingabe 2" xfId="3964" xr:uid="{00000000-0005-0000-0000-0000E0BF0000}"/>
    <cellStyle name="Eingabe 3" xfId="52854" xr:uid="{00000000-0005-0000-0000-0000E1BF0000}"/>
    <cellStyle name="Euro" xfId="3965" xr:uid="{00000000-0005-0000-0000-0000E2BF0000}"/>
    <cellStyle name="Euro 2" xfId="3966" xr:uid="{00000000-0005-0000-0000-0000E3BF0000}"/>
    <cellStyle name="Euro 2 2" xfId="3967" xr:uid="{00000000-0005-0000-0000-0000E4BF0000}"/>
    <cellStyle name="Euro 2 2 2" xfId="59142" xr:uid="{00000000-0005-0000-0000-0000E5BF0000}"/>
    <cellStyle name="Euro 2 3" xfId="59143" xr:uid="{00000000-0005-0000-0000-0000E6BF0000}"/>
    <cellStyle name="Euro 3" xfId="3968" xr:uid="{00000000-0005-0000-0000-0000E7BF0000}"/>
    <cellStyle name="Euro 3 2" xfId="9670" xr:uid="{00000000-0005-0000-0000-0000E8BF0000}"/>
    <cellStyle name="Euro 3 3" xfId="59144" xr:uid="{00000000-0005-0000-0000-0000E9BF0000}"/>
    <cellStyle name="Explanatory Text 10" xfId="9671" xr:uid="{00000000-0005-0000-0000-0000EABF0000}"/>
    <cellStyle name="Explanatory Text 11" xfId="9672" xr:uid="{00000000-0005-0000-0000-0000EBBF0000}"/>
    <cellStyle name="Explanatory Text 12" xfId="9673" xr:uid="{00000000-0005-0000-0000-0000ECBF0000}"/>
    <cellStyle name="Explanatory Text 13" xfId="9674" xr:uid="{00000000-0005-0000-0000-0000EDBF0000}"/>
    <cellStyle name="Explanatory Text 14" xfId="9675" xr:uid="{00000000-0005-0000-0000-0000EEBF0000}"/>
    <cellStyle name="Explanatory Text 15" xfId="9676" xr:uid="{00000000-0005-0000-0000-0000EFBF0000}"/>
    <cellStyle name="Explanatory Text 16" xfId="9677" xr:uid="{00000000-0005-0000-0000-0000F0BF0000}"/>
    <cellStyle name="Explanatory Text 17" xfId="9678" xr:uid="{00000000-0005-0000-0000-0000F1BF0000}"/>
    <cellStyle name="Explanatory Text 2" xfId="3969" xr:uid="{00000000-0005-0000-0000-0000F2BF0000}"/>
    <cellStyle name="Explanatory Text 2 2" xfId="3970" xr:uid="{00000000-0005-0000-0000-0000F3BF0000}"/>
    <cellStyle name="Explanatory Text 2 2 2" xfId="59145" xr:uid="{00000000-0005-0000-0000-0000F4BF0000}"/>
    <cellStyle name="Explanatory Text 2 3" xfId="52855" xr:uid="{00000000-0005-0000-0000-0000F5BF0000}"/>
    <cellStyle name="Explanatory Text 2 4" xfId="52856" xr:uid="{00000000-0005-0000-0000-0000F6BF0000}"/>
    <cellStyle name="Explanatory Text 2 5" xfId="52857" xr:uid="{00000000-0005-0000-0000-0000F7BF0000}"/>
    <cellStyle name="Explanatory Text 3" xfId="3971" xr:uid="{00000000-0005-0000-0000-0000F8BF0000}"/>
    <cellStyle name="Explanatory Text 3 2" xfId="9199" xr:uid="{00000000-0005-0000-0000-0000F9BF0000}"/>
    <cellStyle name="Explanatory Text 4" xfId="9200" xr:uid="{00000000-0005-0000-0000-0000FABF0000}"/>
    <cellStyle name="Explanatory Text 4 2" xfId="52858" xr:uid="{00000000-0005-0000-0000-0000FBBF0000}"/>
    <cellStyle name="Explanatory Text 5" xfId="9679" xr:uid="{00000000-0005-0000-0000-0000FCBF0000}"/>
    <cellStyle name="Explanatory Text 5 2" xfId="52859" xr:uid="{00000000-0005-0000-0000-0000FDBF0000}"/>
    <cellStyle name="Explanatory Text 6" xfId="9680" xr:uid="{00000000-0005-0000-0000-0000FEBF0000}"/>
    <cellStyle name="Explanatory Text 6 2" xfId="52860" xr:uid="{00000000-0005-0000-0000-0000FFBF0000}"/>
    <cellStyle name="Explanatory Text 7" xfId="9681" xr:uid="{00000000-0005-0000-0000-000000C00000}"/>
    <cellStyle name="Explanatory Text 7 2" xfId="52861" xr:uid="{00000000-0005-0000-0000-000001C00000}"/>
    <cellStyle name="Explanatory Text 8" xfId="9682" xr:uid="{00000000-0005-0000-0000-000002C00000}"/>
    <cellStyle name="Explanatory Text 9" xfId="9683" xr:uid="{00000000-0005-0000-0000-000003C00000}"/>
    <cellStyle name="F2" xfId="3972" xr:uid="{00000000-0005-0000-0000-000004C00000}"/>
    <cellStyle name="F2 2" xfId="3973" xr:uid="{00000000-0005-0000-0000-000005C00000}"/>
    <cellStyle name="F2 2 2" xfId="9684" xr:uid="{00000000-0005-0000-0000-000006C00000}"/>
    <cellStyle name="F2 3" xfId="9685" xr:uid="{00000000-0005-0000-0000-000007C00000}"/>
    <cellStyle name="F2 3 2" xfId="9686" xr:uid="{00000000-0005-0000-0000-000008C00000}"/>
    <cellStyle name="F2 4" xfId="9687" xr:uid="{00000000-0005-0000-0000-000009C00000}"/>
    <cellStyle name="F2 5" xfId="9688" xr:uid="{00000000-0005-0000-0000-00000AC00000}"/>
    <cellStyle name="F2 6" xfId="9689" xr:uid="{00000000-0005-0000-0000-00000BC00000}"/>
    <cellStyle name="F2 7" xfId="9690" xr:uid="{00000000-0005-0000-0000-00000CC00000}"/>
    <cellStyle name="F2 8" xfId="9691" xr:uid="{00000000-0005-0000-0000-00000DC00000}"/>
    <cellStyle name="F2 9" xfId="9692" xr:uid="{00000000-0005-0000-0000-00000EC00000}"/>
    <cellStyle name="F2_Regenerated Revenues LGE Gas 2008-04 with Elec Gen-Seelye final version " xfId="9693" xr:uid="{00000000-0005-0000-0000-00000FC00000}"/>
    <cellStyle name="F3" xfId="3974" xr:uid="{00000000-0005-0000-0000-000010C00000}"/>
    <cellStyle name="F3 2" xfId="3975" xr:uid="{00000000-0005-0000-0000-000011C00000}"/>
    <cellStyle name="F3 2 2" xfId="9694" xr:uid="{00000000-0005-0000-0000-000012C00000}"/>
    <cellStyle name="F3 3" xfId="9695" xr:uid="{00000000-0005-0000-0000-000013C00000}"/>
    <cellStyle name="F3 3 2" xfId="9696" xr:uid="{00000000-0005-0000-0000-000014C00000}"/>
    <cellStyle name="F3 4" xfId="9697" xr:uid="{00000000-0005-0000-0000-000015C00000}"/>
    <cellStyle name="F3 5" xfId="9698" xr:uid="{00000000-0005-0000-0000-000016C00000}"/>
    <cellStyle name="F3 6" xfId="9699" xr:uid="{00000000-0005-0000-0000-000017C00000}"/>
    <cellStyle name="F3 7" xfId="9700" xr:uid="{00000000-0005-0000-0000-000018C00000}"/>
    <cellStyle name="F3 8" xfId="9701" xr:uid="{00000000-0005-0000-0000-000019C00000}"/>
    <cellStyle name="F3 9" xfId="9702" xr:uid="{00000000-0005-0000-0000-00001AC00000}"/>
    <cellStyle name="F3_Regenerated Revenues LGE Gas 2008-04 with Elec Gen-Seelye final version " xfId="9703" xr:uid="{00000000-0005-0000-0000-00001BC00000}"/>
    <cellStyle name="F4" xfId="3976" xr:uid="{00000000-0005-0000-0000-00001CC00000}"/>
    <cellStyle name="F4 2" xfId="3977" xr:uid="{00000000-0005-0000-0000-00001DC00000}"/>
    <cellStyle name="F4 2 2" xfId="9704" xr:uid="{00000000-0005-0000-0000-00001EC00000}"/>
    <cellStyle name="F4 3" xfId="9705" xr:uid="{00000000-0005-0000-0000-00001FC00000}"/>
    <cellStyle name="F4 3 2" xfId="9706" xr:uid="{00000000-0005-0000-0000-000020C00000}"/>
    <cellStyle name="F4 4" xfId="9707" xr:uid="{00000000-0005-0000-0000-000021C00000}"/>
    <cellStyle name="F4 5" xfId="9708" xr:uid="{00000000-0005-0000-0000-000022C00000}"/>
    <cellStyle name="F4 6" xfId="9709" xr:uid="{00000000-0005-0000-0000-000023C00000}"/>
    <cellStyle name="F4 7" xfId="9710" xr:uid="{00000000-0005-0000-0000-000024C00000}"/>
    <cellStyle name="F4 8" xfId="9711" xr:uid="{00000000-0005-0000-0000-000025C00000}"/>
    <cellStyle name="F4 9" xfId="9712" xr:uid="{00000000-0005-0000-0000-000026C00000}"/>
    <cellStyle name="F4_Regenerated Revenues LGE Gas 2008-04 with Elec Gen-Seelye final version " xfId="9713" xr:uid="{00000000-0005-0000-0000-000027C00000}"/>
    <cellStyle name="F5" xfId="3978" xr:uid="{00000000-0005-0000-0000-000028C00000}"/>
    <cellStyle name="F5 2" xfId="3979" xr:uid="{00000000-0005-0000-0000-000029C00000}"/>
    <cellStyle name="F5 2 2" xfId="9714" xr:uid="{00000000-0005-0000-0000-00002AC00000}"/>
    <cellStyle name="F5 3" xfId="3980" xr:uid="{00000000-0005-0000-0000-00002BC00000}"/>
    <cellStyle name="F5 3 2" xfId="9715" xr:uid="{00000000-0005-0000-0000-00002CC00000}"/>
    <cellStyle name="F5 4" xfId="9716" xr:uid="{00000000-0005-0000-0000-00002DC00000}"/>
    <cellStyle name="F5 5" xfId="9717" xr:uid="{00000000-0005-0000-0000-00002EC00000}"/>
    <cellStyle name="F5 6" xfId="9718" xr:uid="{00000000-0005-0000-0000-00002FC00000}"/>
    <cellStyle name="F5 7" xfId="9719" xr:uid="{00000000-0005-0000-0000-000030C00000}"/>
    <cellStyle name="F5 8" xfId="9720" xr:uid="{00000000-0005-0000-0000-000031C00000}"/>
    <cellStyle name="F5 9" xfId="9721" xr:uid="{00000000-0005-0000-0000-000032C00000}"/>
    <cellStyle name="F5_Regenerated Revenues LGE Gas 2008-04 with Elec Gen-Seelye final version " xfId="9722" xr:uid="{00000000-0005-0000-0000-000033C00000}"/>
    <cellStyle name="F6" xfId="3981" xr:uid="{00000000-0005-0000-0000-000034C00000}"/>
    <cellStyle name="F6 10" xfId="59146" xr:uid="{00000000-0005-0000-0000-000035C00000}"/>
    <cellStyle name="F6 10 2" xfId="59147" xr:uid="{00000000-0005-0000-0000-000036C00000}"/>
    <cellStyle name="F6 11" xfId="59148" xr:uid="{00000000-0005-0000-0000-000037C00000}"/>
    <cellStyle name="F6 2" xfId="3982" xr:uid="{00000000-0005-0000-0000-000038C00000}"/>
    <cellStyle name="F6 2 2" xfId="3983" xr:uid="{00000000-0005-0000-0000-000039C00000}"/>
    <cellStyle name="F6 2 2 2" xfId="59149" xr:uid="{00000000-0005-0000-0000-00003AC00000}"/>
    <cellStyle name="F6 3" xfId="3984" xr:uid="{00000000-0005-0000-0000-00003BC00000}"/>
    <cellStyle name="F6 3 2" xfId="9723" xr:uid="{00000000-0005-0000-0000-00003CC00000}"/>
    <cellStyle name="F6 4" xfId="9724" xr:uid="{00000000-0005-0000-0000-00003DC00000}"/>
    <cellStyle name="F6 5" xfId="9725" xr:uid="{00000000-0005-0000-0000-00003EC00000}"/>
    <cellStyle name="F6 6" xfId="9726" xr:uid="{00000000-0005-0000-0000-00003FC00000}"/>
    <cellStyle name="F6 7" xfId="9727" xr:uid="{00000000-0005-0000-0000-000040C00000}"/>
    <cellStyle name="F6 8" xfId="9728" xr:uid="{00000000-0005-0000-0000-000041C00000}"/>
    <cellStyle name="F6 9" xfId="9729" xr:uid="{00000000-0005-0000-0000-000042C00000}"/>
    <cellStyle name="F6_Regenerated Revenues LGE Gas 2008-04 with Elec Gen-Seelye final version " xfId="9730" xr:uid="{00000000-0005-0000-0000-000043C00000}"/>
    <cellStyle name="F7" xfId="3985" xr:uid="{00000000-0005-0000-0000-000044C00000}"/>
    <cellStyle name="F7 2" xfId="3986" xr:uid="{00000000-0005-0000-0000-000045C00000}"/>
    <cellStyle name="F7 2 2" xfId="9731" xr:uid="{00000000-0005-0000-0000-000046C00000}"/>
    <cellStyle name="F7 3" xfId="9732" xr:uid="{00000000-0005-0000-0000-000047C00000}"/>
    <cellStyle name="F7 3 2" xfId="9733" xr:uid="{00000000-0005-0000-0000-000048C00000}"/>
    <cellStyle name="F7 4" xfId="9734" xr:uid="{00000000-0005-0000-0000-000049C00000}"/>
    <cellStyle name="F7 5" xfId="9735" xr:uid="{00000000-0005-0000-0000-00004AC00000}"/>
    <cellStyle name="F7 6" xfId="9736" xr:uid="{00000000-0005-0000-0000-00004BC00000}"/>
    <cellStyle name="F7 7" xfId="9737" xr:uid="{00000000-0005-0000-0000-00004CC00000}"/>
    <cellStyle name="F7 8" xfId="9738" xr:uid="{00000000-0005-0000-0000-00004DC00000}"/>
    <cellStyle name="F7 9" xfId="9739" xr:uid="{00000000-0005-0000-0000-00004EC00000}"/>
    <cellStyle name="F7_Regenerated Revenues LGE Gas 2008-04 with Elec Gen-Seelye final version " xfId="9740" xr:uid="{00000000-0005-0000-0000-00004FC00000}"/>
    <cellStyle name="F8" xfId="3987" xr:uid="{00000000-0005-0000-0000-000050C00000}"/>
    <cellStyle name="F8 2" xfId="3988" xr:uid="{00000000-0005-0000-0000-000051C00000}"/>
    <cellStyle name="F8 2 2" xfId="9741" xr:uid="{00000000-0005-0000-0000-000052C00000}"/>
    <cellStyle name="F8 3" xfId="9742" xr:uid="{00000000-0005-0000-0000-000053C00000}"/>
    <cellStyle name="F8 3 2" xfId="9743" xr:uid="{00000000-0005-0000-0000-000054C00000}"/>
    <cellStyle name="F8 4" xfId="9744" xr:uid="{00000000-0005-0000-0000-000055C00000}"/>
    <cellStyle name="F8 5" xfId="9745" xr:uid="{00000000-0005-0000-0000-000056C00000}"/>
    <cellStyle name="F8 6" xfId="9746" xr:uid="{00000000-0005-0000-0000-000057C00000}"/>
    <cellStyle name="F8 7" xfId="9747" xr:uid="{00000000-0005-0000-0000-000058C00000}"/>
    <cellStyle name="F8 8" xfId="9748" xr:uid="{00000000-0005-0000-0000-000059C00000}"/>
    <cellStyle name="F8 9" xfId="9749" xr:uid="{00000000-0005-0000-0000-00005AC00000}"/>
    <cellStyle name="F8_Regenerated Revenues LGE Gas 2008-04 with Elec Gen-Seelye final version " xfId="9750" xr:uid="{00000000-0005-0000-0000-00005BC00000}"/>
    <cellStyle name="Fixed" xfId="3989" xr:uid="{00000000-0005-0000-0000-00005CC00000}"/>
    <cellStyle name="Fixed 2" xfId="3990" xr:uid="{00000000-0005-0000-0000-00005DC00000}"/>
    <cellStyle name="Fixed 2 2" xfId="9751" xr:uid="{00000000-0005-0000-0000-00005EC00000}"/>
    <cellStyle name="Fixed 2 3" xfId="59150" xr:uid="{00000000-0005-0000-0000-00005FC00000}"/>
    <cellStyle name="Fixed 3" xfId="3991" xr:uid="{00000000-0005-0000-0000-000060C00000}"/>
    <cellStyle name="Fixed 3 2" xfId="9752" xr:uid="{00000000-0005-0000-0000-000061C00000}"/>
    <cellStyle name="Fixed 3 3" xfId="59151" xr:uid="{00000000-0005-0000-0000-000062C00000}"/>
    <cellStyle name="Good 10" xfId="9753" xr:uid="{00000000-0005-0000-0000-000063C00000}"/>
    <cellStyle name="Good 11" xfId="9754" xr:uid="{00000000-0005-0000-0000-000064C00000}"/>
    <cellStyle name="Good 12" xfId="9755" xr:uid="{00000000-0005-0000-0000-000065C00000}"/>
    <cellStyle name="Good 13" xfId="9756" xr:uid="{00000000-0005-0000-0000-000066C00000}"/>
    <cellStyle name="Good 14" xfId="9757" xr:uid="{00000000-0005-0000-0000-000067C00000}"/>
    <cellStyle name="Good 15" xfId="9758" xr:uid="{00000000-0005-0000-0000-000068C00000}"/>
    <cellStyle name="Good 16" xfId="9759" xr:uid="{00000000-0005-0000-0000-000069C00000}"/>
    <cellStyle name="Good 17" xfId="9760" xr:uid="{00000000-0005-0000-0000-00006AC00000}"/>
    <cellStyle name="Good 17 2" xfId="59152" xr:uid="{00000000-0005-0000-0000-00006BC00000}"/>
    <cellStyle name="Good 2" xfId="3992" xr:uid="{00000000-0005-0000-0000-00006CC00000}"/>
    <cellStyle name="Good 2 2" xfId="3993" xr:uid="{00000000-0005-0000-0000-00006DC00000}"/>
    <cellStyle name="Good 2 2 2" xfId="52862" xr:uid="{00000000-0005-0000-0000-00006EC00000}"/>
    <cellStyle name="Good 2 3" xfId="52863" xr:uid="{00000000-0005-0000-0000-00006FC00000}"/>
    <cellStyle name="Good 2 4" xfId="52864" xr:uid="{00000000-0005-0000-0000-000070C00000}"/>
    <cellStyle name="Good 2 5" xfId="52865" xr:uid="{00000000-0005-0000-0000-000071C00000}"/>
    <cellStyle name="Good 3" xfId="3994" xr:uid="{00000000-0005-0000-0000-000072C00000}"/>
    <cellStyle name="Good 3 2" xfId="9201" xr:uid="{00000000-0005-0000-0000-000073C00000}"/>
    <cellStyle name="Good 4" xfId="9202" xr:uid="{00000000-0005-0000-0000-000074C00000}"/>
    <cellStyle name="Good 4 2" xfId="52866" xr:uid="{00000000-0005-0000-0000-000075C00000}"/>
    <cellStyle name="Good 5" xfId="9761" xr:uid="{00000000-0005-0000-0000-000076C00000}"/>
    <cellStyle name="Good 5 2" xfId="52867" xr:uid="{00000000-0005-0000-0000-000077C00000}"/>
    <cellStyle name="Good 6" xfId="9762" xr:uid="{00000000-0005-0000-0000-000078C00000}"/>
    <cellStyle name="Good 6 2" xfId="52868" xr:uid="{00000000-0005-0000-0000-000079C00000}"/>
    <cellStyle name="Good 7" xfId="9763" xr:uid="{00000000-0005-0000-0000-00007AC00000}"/>
    <cellStyle name="Good 7 2" xfId="52869" xr:uid="{00000000-0005-0000-0000-00007BC00000}"/>
    <cellStyle name="Good 8" xfId="9764" xr:uid="{00000000-0005-0000-0000-00007CC00000}"/>
    <cellStyle name="Good 9" xfId="9765" xr:uid="{00000000-0005-0000-0000-00007DC00000}"/>
    <cellStyle name="Heading 1 10" xfId="9766" xr:uid="{00000000-0005-0000-0000-00007EC00000}"/>
    <cellStyle name="Heading 1 11" xfId="9767" xr:uid="{00000000-0005-0000-0000-00007FC00000}"/>
    <cellStyle name="Heading 1 12" xfId="9768" xr:uid="{00000000-0005-0000-0000-000080C00000}"/>
    <cellStyle name="Heading 1 13" xfId="9769" xr:uid="{00000000-0005-0000-0000-000081C00000}"/>
    <cellStyle name="Heading 1 14" xfId="9770" xr:uid="{00000000-0005-0000-0000-000082C00000}"/>
    <cellStyle name="Heading 1 15" xfId="9771" xr:uid="{00000000-0005-0000-0000-000083C00000}"/>
    <cellStyle name="Heading 1 16" xfId="9772" xr:uid="{00000000-0005-0000-0000-000084C00000}"/>
    <cellStyle name="Heading 1 17" xfId="9773" xr:uid="{00000000-0005-0000-0000-000085C00000}"/>
    <cellStyle name="Heading 1 17 2" xfId="59153" xr:uid="{00000000-0005-0000-0000-000086C00000}"/>
    <cellStyle name="Heading 1 17 3" xfId="59154" xr:uid="{00000000-0005-0000-0000-000087C00000}"/>
    <cellStyle name="Heading 1 17 4" xfId="59155" xr:uid="{00000000-0005-0000-0000-000088C00000}"/>
    <cellStyle name="Heading 1 2" xfId="3995" xr:uid="{00000000-0005-0000-0000-000089C00000}"/>
    <cellStyle name="Heading 1 2 2" xfId="3996" xr:uid="{00000000-0005-0000-0000-00008AC00000}"/>
    <cellStyle name="Heading 1 2 2 2" xfId="52870" xr:uid="{00000000-0005-0000-0000-00008BC00000}"/>
    <cellStyle name="Heading 1 2 3" xfId="52871" xr:uid="{00000000-0005-0000-0000-00008CC00000}"/>
    <cellStyle name="Heading 1 2 4" xfId="52872" xr:uid="{00000000-0005-0000-0000-00008DC00000}"/>
    <cellStyle name="Heading 1 2 5" xfId="52873" xr:uid="{00000000-0005-0000-0000-00008EC00000}"/>
    <cellStyle name="Heading 1 3" xfId="3997" xr:uid="{00000000-0005-0000-0000-00008FC00000}"/>
    <cellStyle name="Heading 1 3 2" xfId="3998" xr:uid="{00000000-0005-0000-0000-000090C00000}"/>
    <cellStyle name="Heading 1 3 2 2" xfId="59156" xr:uid="{00000000-0005-0000-0000-000091C00000}"/>
    <cellStyle name="Heading 1 3 3" xfId="52874" xr:uid="{00000000-0005-0000-0000-000092C00000}"/>
    <cellStyle name="Heading 1 4" xfId="9203" xr:uid="{00000000-0005-0000-0000-000093C00000}"/>
    <cellStyle name="Heading 1 4 2" xfId="52875" xr:uid="{00000000-0005-0000-0000-000094C00000}"/>
    <cellStyle name="Heading 1 5" xfId="9204" xr:uid="{00000000-0005-0000-0000-000095C00000}"/>
    <cellStyle name="Heading 1 5 2" xfId="52876" xr:uid="{00000000-0005-0000-0000-000096C00000}"/>
    <cellStyle name="Heading 1 6" xfId="9774" xr:uid="{00000000-0005-0000-0000-000097C00000}"/>
    <cellStyle name="Heading 1 6 2" xfId="52877" xr:uid="{00000000-0005-0000-0000-000098C00000}"/>
    <cellStyle name="Heading 1 7" xfId="9775" xr:uid="{00000000-0005-0000-0000-000099C00000}"/>
    <cellStyle name="Heading 1 7 2" xfId="52878" xr:uid="{00000000-0005-0000-0000-00009AC00000}"/>
    <cellStyle name="Heading 1 8" xfId="9776" xr:uid="{00000000-0005-0000-0000-00009BC00000}"/>
    <cellStyle name="Heading 1 9" xfId="9777" xr:uid="{00000000-0005-0000-0000-00009CC00000}"/>
    <cellStyle name="Heading 2 10" xfId="9778" xr:uid="{00000000-0005-0000-0000-00009DC00000}"/>
    <cellStyle name="Heading 2 11" xfId="9779" xr:uid="{00000000-0005-0000-0000-00009EC00000}"/>
    <cellStyle name="Heading 2 12" xfId="9780" xr:uid="{00000000-0005-0000-0000-00009FC00000}"/>
    <cellStyle name="Heading 2 13" xfId="9781" xr:uid="{00000000-0005-0000-0000-0000A0C00000}"/>
    <cellStyle name="Heading 2 14" xfId="9782" xr:uid="{00000000-0005-0000-0000-0000A1C00000}"/>
    <cellStyle name="Heading 2 15" xfId="9783" xr:uid="{00000000-0005-0000-0000-0000A2C00000}"/>
    <cellStyle name="Heading 2 16" xfId="9784" xr:uid="{00000000-0005-0000-0000-0000A3C00000}"/>
    <cellStyle name="Heading 2 17" xfId="9785" xr:uid="{00000000-0005-0000-0000-0000A4C00000}"/>
    <cellStyle name="Heading 2 17 2" xfId="59157" xr:uid="{00000000-0005-0000-0000-0000A5C00000}"/>
    <cellStyle name="Heading 2 17 3" xfId="59158" xr:uid="{00000000-0005-0000-0000-0000A6C00000}"/>
    <cellStyle name="Heading 2 17 4" xfId="59159" xr:uid="{00000000-0005-0000-0000-0000A7C00000}"/>
    <cellStyle name="Heading 2 2" xfId="3999" xr:uid="{00000000-0005-0000-0000-0000A8C00000}"/>
    <cellStyle name="Heading 2 2 2" xfId="4000" xr:uid="{00000000-0005-0000-0000-0000A9C00000}"/>
    <cellStyle name="Heading 2 2 2 2" xfId="52879" xr:uid="{00000000-0005-0000-0000-0000AAC00000}"/>
    <cellStyle name="Heading 2 2 3" xfId="52880" xr:uid="{00000000-0005-0000-0000-0000ABC00000}"/>
    <cellStyle name="Heading 2 2 4" xfId="52881" xr:uid="{00000000-0005-0000-0000-0000ACC00000}"/>
    <cellStyle name="Heading 2 2 5" xfId="52882" xr:uid="{00000000-0005-0000-0000-0000ADC00000}"/>
    <cellStyle name="Heading 2 3" xfId="4001" xr:uid="{00000000-0005-0000-0000-0000AEC00000}"/>
    <cellStyle name="Heading 2 3 2" xfId="4002" xr:uid="{00000000-0005-0000-0000-0000AFC00000}"/>
    <cellStyle name="Heading 2 3 2 2" xfId="52883" xr:uid="{00000000-0005-0000-0000-0000B0C00000}"/>
    <cellStyle name="Heading 2 3 3" xfId="52884" xr:uid="{00000000-0005-0000-0000-0000B1C00000}"/>
    <cellStyle name="Heading 2 4" xfId="9205" xr:uid="{00000000-0005-0000-0000-0000B2C00000}"/>
    <cellStyle name="Heading 2 4 2" xfId="52885" xr:uid="{00000000-0005-0000-0000-0000B3C00000}"/>
    <cellStyle name="Heading 2 5" xfId="9206" xr:uid="{00000000-0005-0000-0000-0000B4C00000}"/>
    <cellStyle name="Heading 2 5 2" xfId="52886" xr:uid="{00000000-0005-0000-0000-0000B5C00000}"/>
    <cellStyle name="Heading 2 6" xfId="9786" xr:uid="{00000000-0005-0000-0000-0000B6C00000}"/>
    <cellStyle name="Heading 2 6 2" xfId="52887" xr:uid="{00000000-0005-0000-0000-0000B7C00000}"/>
    <cellStyle name="Heading 2 7" xfId="9787" xr:uid="{00000000-0005-0000-0000-0000B8C00000}"/>
    <cellStyle name="Heading 2 7 2" xfId="52888" xr:uid="{00000000-0005-0000-0000-0000B9C00000}"/>
    <cellStyle name="Heading 2 8" xfId="9788" xr:uid="{00000000-0005-0000-0000-0000BAC00000}"/>
    <cellStyle name="Heading 2 9" xfId="9789" xr:uid="{00000000-0005-0000-0000-0000BBC00000}"/>
    <cellStyle name="Heading 3 10" xfId="9790" xr:uid="{00000000-0005-0000-0000-0000BCC00000}"/>
    <cellStyle name="Heading 3 11" xfId="9791" xr:uid="{00000000-0005-0000-0000-0000BDC00000}"/>
    <cellStyle name="Heading 3 12" xfId="9792" xr:uid="{00000000-0005-0000-0000-0000BEC00000}"/>
    <cellStyle name="Heading 3 13" xfId="9793" xr:uid="{00000000-0005-0000-0000-0000BFC00000}"/>
    <cellStyle name="Heading 3 14" xfId="9794" xr:uid="{00000000-0005-0000-0000-0000C0C00000}"/>
    <cellStyle name="Heading 3 15" xfId="9795" xr:uid="{00000000-0005-0000-0000-0000C1C00000}"/>
    <cellStyle name="Heading 3 16" xfId="9796" xr:uid="{00000000-0005-0000-0000-0000C2C00000}"/>
    <cellStyle name="Heading 3 17" xfId="9797" xr:uid="{00000000-0005-0000-0000-0000C3C00000}"/>
    <cellStyle name="Heading 3 17 2" xfId="59160" xr:uid="{00000000-0005-0000-0000-0000C4C00000}"/>
    <cellStyle name="Heading 3 2" xfId="4003" xr:uid="{00000000-0005-0000-0000-0000C5C00000}"/>
    <cellStyle name="Heading 3 2 2" xfId="4004" xr:uid="{00000000-0005-0000-0000-0000C6C00000}"/>
    <cellStyle name="Heading 3 2 2 2" xfId="52889" xr:uid="{00000000-0005-0000-0000-0000C7C00000}"/>
    <cellStyle name="Heading 3 2 3" xfId="4005" xr:uid="{00000000-0005-0000-0000-0000C8C00000}"/>
    <cellStyle name="Heading 3 2 4" xfId="52890" xr:uid="{00000000-0005-0000-0000-0000C9C00000}"/>
    <cellStyle name="Heading 3 2 5" xfId="52891" xr:uid="{00000000-0005-0000-0000-0000CAC00000}"/>
    <cellStyle name="Heading 3 2 6" xfId="52892" xr:uid="{00000000-0005-0000-0000-0000CBC00000}"/>
    <cellStyle name="Heading 3 2 7" xfId="52893" xr:uid="{00000000-0005-0000-0000-0000CCC00000}"/>
    <cellStyle name="Heading 3 3" xfId="4006" xr:uid="{00000000-0005-0000-0000-0000CDC00000}"/>
    <cellStyle name="Heading 3 3 2" xfId="9207" xr:uid="{00000000-0005-0000-0000-0000CEC00000}"/>
    <cellStyle name="Heading 3 3 3" xfId="52894" xr:uid="{00000000-0005-0000-0000-0000CFC00000}"/>
    <cellStyle name="Heading 3 4" xfId="4007" xr:uid="{00000000-0005-0000-0000-0000D0C00000}"/>
    <cellStyle name="Heading 3 4 2" xfId="52895" xr:uid="{00000000-0005-0000-0000-0000D1C00000}"/>
    <cellStyle name="Heading 3 5" xfId="4008" xr:uid="{00000000-0005-0000-0000-0000D2C00000}"/>
    <cellStyle name="Heading 3 5 2" xfId="52896" xr:uid="{00000000-0005-0000-0000-0000D3C00000}"/>
    <cellStyle name="Heading 3 6" xfId="9208" xr:uid="{00000000-0005-0000-0000-0000D4C00000}"/>
    <cellStyle name="Heading 3 6 2" xfId="52897" xr:uid="{00000000-0005-0000-0000-0000D5C00000}"/>
    <cellStyle name="Heading 3 7" xfId="9798" xr:uid="{00000000-0005-0000-0000-0000D6C00000}"/>
    <cellStyle name="Heading 3 7 2" xfId="52898" xr:uid="{00000000-0005-0000-0000-0000D7C00000}"/>
    <cellStyle name="Heading 3 8" xfId="9799" xr:uid="{00000000-0005-0000-0000-0000D8C00000}"/>
    <cellStyle name="Heading 3 8 2" xfId="52899" xr:uid="{00000000-0005-0000-0000-0000D9C00000}"/>
    <cellStyle name="Heading 3 9" xfId="9800" xr:uid="{00000000-0005-0000-0000-0000DAC00000}"/>
    <cellStyle name="Heading 3 9 2" xfId="52900" xr:uid="{00000000-0005-0000-0000-0000DBC00000}"/>
    <cellStyle name="Heading 4 10" xfId="9801" xr:uid="{00000000-0005-0000-0000-0000DCC00000}"/>
    <cellStyle name="Heading 4 11" xfId="9802" xr:uid="{00000000-0005-0000-0000-0000DDC00000}"/>
    <cellStyle name="Heading 4 12" xfId="9803" xr:uid="{00000000-0005-0000-0000-0000DEC00000}"/>
    <cellStyle name="Heading 4 13" xfId="9804" xr:uid="{00000000-0005-0000-0000-0000DFC00000}"/>
    <cellStyle name="Heading 4 14" xfId="9805" xr:uid="{00000000-0005-0000-0000-0000E0C00000}"/>
    <cellStyle name="Heading 4 15" xfId="9806" xr:uid="{00000000-0005-0000-0000-0000E1C00000}"/>
    <cellStyle name="Heading 4 16" xfId="9807" xr:uid="{00000000-0005-0000-0000-0000E2C00000}"/>
    <cellStyle name="Heading 4 17" xfId="9808" xr:uid="{00000000-0005-0000-0000-0000E3C00000}"/>
    <cellStyle name="Heading 4 17 2" xfId="59161" xr:uid="{00000000-0005-0000-0000-0000E4C00000}"/>
    <cellStyle name="Heading 4 2" xfId="4009" xr:uid="{00000000-0005-0000-0000-0000E5C00000}"/>
    <cellStyle name="Heading 4 2 2" xfId="4010" xr:uid="{00000000-0005-0000-0000-0000E6C00000}"/>
    <cellStyle name="Heading 4 2 2 2" xfId="52901" xr:uid="{00000000-0005-0000-0000-0000E7C00000}"/>
    <cellStyle name="Heading 4 2 3" xfId="52902" xr:uid="{00000000-0005-0000-0000-0000E8C00000}"/>
    <cellStyle name="Heading 4 2 4" xfId="52903" xr:uid="{00000000-0005-0000-0000-0000E9C00000}"/>
    <cellStyle name="Heading 4 2 5" xfId="52904" xr:uid="{00000000-0005-0000-0000-0000EAC00000}"/>
    <cellStyle name="Heading 4 3" xfId="4011" xr:uid="{00000000-0005-0000-0000-0000EBC00000}"/>
    <cellStyle name="Heading 4 3 2" xfId="9209" xr:uid="{00000000-0005-0000-0000-0000ECC00000}"/>
    <cellStyle name="Heading 4 4" xfId="9210" xr:uid="{00000000-0005-0000-0000-0000EDC00000}"/>
    <cellStyle name="Heading 4 4 2" xfId="52905" xr:uid="{00000000-0005-0000-0000-0000EEC00000}"/>
    <cellStyle name="Heading 4 5" xfId="9809" xr:uid="{00000000-0005-0000-0000-0000EFC00000}"/>
    <cellStyle name="Heading 4 5 2" xfId="52906" xr:uid="{00000000-0005-0000-0000-0000F0C00000}"/>
    <cellStyle name="Heading 4 6" xfId="9810" xr:uid="{00000000-0005-0000-0000-0000F1C00000}"/>
    <cellStyle name="Heading 4 6 2" xfId="52907" xr:uid="{00000000-0005-0000-0000-0000F2C00000}"/>
    <cellStyle name="Heading 4 7" xfId="9811" xr:uid="{00000000-0005-0000-0000-0000F3C00000}"/>
    <cellStyle name="Heading 4 7 2" xfId="52908" xr:uid="{00000000-0005-0000-0000-0000F4C00000}"/>
    <cellStyle name="Heading 4 8" xfId="9812" xr:uid="{00000000-0005-0000-0000-0000F5C00000}"/>
    <cellStyle name="Heading 4 9" xfId="9813" xr:uid="{00000000-0005-0000-0000-0000F6C00000}"/>
    <cellStyle name="Hyperlink 2" xfId="4012" xr:uid="{00000000-0005-0000-0000-0000F7C00000}"/>
    <cellStyle name="Hyperlink 2 2" xfId="52909" xr:uid="{00000000-0005-0000-0000-0000F8C00000}"/>
    <cellStyle name="Input 10" xfId="4013" xr:uid="{00000000-0005-0000-0000-0000F9C00000}"/>
    <cellStyle name="Input 10 10" xfId="4014" xr:uid="{00000000-0005-0000-0000-0000FAC00000}"/>
    <cellStyle name="Input 10 11" xfId="59162" xr:uid="{00000000-0005-0000-0000-0000FBC00000}"/>
    <cellStyle name="Input 10 12" xfId="59163" xr:uid="{00000000-0005-0000-0000-0000FCC00000}"/>
    <cellStyle name="Input 10 2" xfId="4015" xr:uid="{00000000-0005-0000-0000-0000FDC00000}"/>
    <cellStyle name="Input 10 2 2" xfId="4016" xr:uid="{00000000-0005-0000-0000-0000FEC00000}"/>
    <cellStyle name="Input 10 2 2 2" xfId="59164" xr:uid="{00000000-0005-0000-0000-0000FFC00000}"/>
    <cellStyle name="Input 10 2 3" xfId="4017" xr:uid="{00000000-0005-0000-0000-000000C10000}"/>
    <cellStyle name="Input 10 2 3 2" xfId="59165" xr:uid="{00000000-0005-0000-0000-000001C10000}"/>
    <cellStyle name="Input 10 2 4" xfId="4018" xr:uid="{00000000-0005-0000-0000-000002C10000}"/>
    <cellStyle name="Input 10 2 4 2" xfId="59166" xr:uid="{00000000-0005-0000-0000-000003C10000}"/>
    <cellStyle name="Input 10 2 5" xfId="4019" xr:uid="{00000000-0005-0000-0000-000004C10000}"/>
    <cellStyle name="Input 10 2 5 2" xfId="59167" xr:uid="{00000000-0005-0000-0000-000005C10000}"/>
    <cellStyle name="Input 10 2 6" xfId="4020" xr:uid="{00000000-0005-0000-0000-000006C10000}"/>
    <cellStyle name="Input 10 2 6 2" xfId="59168" xr:uid="{00000000-0005-0000-0000-000007C10000}"/>
    <cellStyle name="Input 10 2 7" xfId="4021" xr:uid="{00000000-0005-0000-0000-000008C10000}"/>
    <cellStyle name="Input 10 2 7 2" xfId="59169" xr:uid="{00000000-0005-0000-0000-000009C10000}"/>
    <cellStyle name="Input 10 2 8" xfId="4022" xr:uid="{00000000-0005-0000-0000-00000AC10000}"/>
    <cellStyle name="Input 10 2 8 2" xfId="59170" xr:uid="{00000000-0005-0000-0000-00000BC10000}"/>
    <cellStyle name="Input 10 2 9" xfId="4023" xr:uid="{00000000-0005-0000-0000-00000CC10000}"/>
    <cellStyle name="Input 10 3" xfId="4024" xr:uid="{00000000-0005-0000-0000-00000DC10000}"/>
    <cellStyle name="Input 10 3 2" xfId="59171" xr:uid="{00000000-0005-0000-0000-00000EC10000}"/>
    <cellStyle name="Input 10 4" xfId="4025" xr:uid="{00000000-0005-0000-0000-00000FC10000}"/>
    <cellStyle name="Input 10 4 2" xfId="59172" xr:uid="{00000000-0005-0000-0000-000010C10000}"/>
    <cellStyle name="Input 10 5" xfId="4026" xr:uid="{00000000-0005-0000-0000-000011C10000}"/>
    <cellStyle name="Input 10 5 2" xfId="59173" xr:uid="{00000000-0005-0000-0000-000012C10000}"/>
    <cellStyle name="Input 10 6" xfId="4027" xr:uid="{00000000-0005-0000-0000-000013C10000}"/>
    <cellStyle name="Input 10 6 2" xfId="59174" xr:uid="{00000000-0005-0000-0000-000014C10000}"/>
    <cellStyle name="Input 10 7" xfId="4028" xr:uid="{00000000-0005-0000-0000-000015C10000}"/>
    <cellStyle name="Input 10 7 2" xfId="59175" xr:uid="{00000000-0005-0000-0000-000016C10000}"/>
    <cellStyle name="Input 10 8" xfId="4029" xr:uid="{00000000-0005-0000-0000-000017C10000}"/>
    <cellStyle name="Input 10 8 2" xfId="59176" xr:uid="{00000000-0005-0000-0000-000018C10000}"/>
    <cellStyle name="Input 10 9" xfId="4030" xr:uid="{00000000-0005-0000-0000-000019C10000}"/>
    <cellStyle name="Input 10 9 2" xfId="59177" xr:uid="{00000000-0005-0000-0000-00001AC10000}"/>
    <cellStyle name="Input 11" xfId="4031" xr:uid="{00000000-0005-0000-0000-00001BC10000}"/>
    <cellStyle name="Input 11 10" xfId="4032" xr:uid="{00000000-0005-0000-0000-00001CC10000}"/>
    <cellStyle name="Input 11 11" xfId="59178" xr:uid="{00000000-0005-0000-0000-00001DC10000}"/>
    <cellStyle name="Input 11 12" xfId="59179" xr:uid="{00000000-0005-0000-0000-00001EC10000}"/>
    <cellStyle name="Input 11 2" xfId="4033" xr:uid="{00000000-0005-0000-0000-00001FC10000}"/>
    <cellStyle name="Input 11 2 2" xfId="4034" xr:uid="{00000000-0005-0000-0000-000020C10000}"/>
    <cellStyle name="Input 11 2 2 2" xfId="59180" xr:uid="{00000000-0005-0000-0000-000021C10000}"/>
    <cellStyle name="Input 11 2 3" xfId="4035" xr:uid="{00000000-0005-0000-0000-000022C10000}"/>
    <cellStyle name="Input 11 2 3 2" xfId="59181" xr:uid="{00000000-0005-0000-0000-000023C10000}"/>
    <cellStyle name="Input 11 2 4" xfId="4036" xr:uid="{00000000-0005-0000-0000-000024C10000}"/>
    <cellStyle name="Input 11 2 4 2" xfId="59182" xr:uid="{00000000-0005-0000-0000-000025C10000}"/>
    <cellStyle name="Input 11 2 5" xfId="4037" xr:uid="{00000000-0005-0000-0000-000026C10000}"/>
    <cellStyle name="Input 11 2 5 2" xfId="59183" xr:uid="{00000000-0005-0000-0000-000027C10000}"/>
    <cellStyle name="Input 11 2 6" xfId="4038" xr:uid="{00000000-0005-0000-0000-000028C10000}"/>
    <cellStyle name="Input 11 2 6 2" xfId="59184" xr:uid="{00000000-0005-0000-0000-000029C10000}"/>
    <cellStyle name="Input 11 2 7" xfId="4039" xr:uid="{00000000-0005-0000-0000-00002AC10000}"/>
    <cellStyle name="Input 11 2 7 2" xfId="59185" xr:uid="{00000000-0005-0000-0000-00002BC10000}"/>
    <cellStyle name="Input 11 2 8" xfId="4040" xr:uid="{00000000-0005-0000-0000-00002CC10000}"/>
    <cellStyle name="Input 11 2 8 2" xfId="59186" xr:uid="{00000000-0005-0000-0000-00002DC10000}"/>
    <cellStyle name="Input 11 2 9" xfId="4041" xr:uid="{00000000-0005-0000-0000-00002EC10000}"/>
    <cellStyle name="Input 11 3" xfId="4042" xr:uid="{00000000-0005-0000-0000-00002FC10000}"/>
    <cellStyle name="Input 11 3 2" xfId="59187" xr:uid="{00000000-0005-0000-0000-000030C10000}"/>
    <cellStyle name="Input 11 4" xfId="4043" xr:uid="{00000000-0005-0000-0000-000031C10000}"/>
    <cellStyle name="Input 11 4 2" xfId="59188" xr:uid="{00000000-0005-0000-0000-000032C10000}"/>
    <cellStyle name="Input 11 5" xfId="4044" xr:uid="{00000000-0005-0000-0000-000033C10000}"/>
    <cellStyle name="Input 11 5 2" xfId="59189" xr:uid="{00000000-0005-0000-0000-000034C10000}"/>
    <cellStyle name="Input 11 6" xfId="4045" xr:uid="{00000000-0005-0000-0000-000035C10000}"/>
    <cellStyle name="Input 11 6 2" xfId="59190" xr:uid="{00000000-0005-0000-0000-000036C10000}"/>
    <cellStyle name="Input 11 7" xfId="4046" xr:uid="{00000000-0005-0000-0000-000037C10000}"/>
    <cellStyle name="Input 11 7 2" xfId="59191" xr:uid="{00000000-0005-0000-0000-000038C10000}"/>
    <cellStyle name="Input 11 8" xfId="4047" xr:uid="{00000000-0005-0000-0000-000039C10000}"/>
    <cellStyle name="Input 11 8 2" xfId="59192" xr:uid="{00000000-0005-0000-0000-00003AC10000}"/>
    <cellStyle name="Input 11 9" xfId="4048" xr:uid="{00000000-0005-0000-0000-00003BC10000}"/>
    <cellStyle name="Input 11 9 2" xfId="59193" xr:uid="{00000000-0005-0000-0000-00003CC10000}"/>
    <cellStyle name="Input 12" xfId="4049" xr:uid="{00000000-0005-0000-0000-00003DC10000}"/>
    <cellStyle name="Input 12 10" xfId="4050" xr:uid="{00000000-0005-0000-0000-00003EC10000}"/>
    <cellStyle name="Input 12 11" xfId="59194" xr:uid="{00000000-0005-0000-0000-00003FC10000}"/>
    <cellStyle name="Input 12 12" xfId="59195" xr:uid="{00000000-0005-0000-0000-000040C10000}"/>
    <cellStyle name="Input 12 2" xfId="4051" xr:uid="{00000000-0005-0000-0000-000041C10000}"/>
    <cellStyle name="Input 12 2 2" xfId="4052" xr:uid="{00000000-0005-0000-0000-000042C10000}"/>
    <cellStyle name="Input 12 2 2 2" xfId="59196" xr:uid="{00000000-0005-0000-0000-000043C10000}"/>
    <cellStyle name="Input 12 2 3" xfId="4053" xr:uid="{00000000-0005-0000-0000-000044C10000}"/>
    <cellStyle name="Input 12 2 3 2" xfId="59197" xr:uid="{00000000-0005-0000-0000-000045C10000}"/>
    <cellStyle name="Input 12 2 4" xfId="4054" xr:uid="{00000000-0005-0000-0000-000046C10000}"/>
    <cellStyle name="Input 12 2 4 2" xfId="59198" xr:uid="{00000000-0005-0000-0000-000047C10000}"/>
    <cellStyle name="Input 12 2 5" xfId="4055" xr:uid="{00000000-0005-0000-0000-000048C10000}"/>
    <cellStyle name="Input 12 2 5 2" xfId="59199" xr:uid="{00000000-0005-0000-0000-000049C10000}"/>
    <cellStyle name="Input 12 2 6" xfId="4056" xr:uid="{00000000-0005-0000-0000-00004AC10000}"/>
    <cellStyle name="Input 12 2 6 2" xfId="59200" xr:uid="{00000000-0005-0000-0000-00004BC10000}"/>
    <cellStyle name="Input 12 2 7" xfId="4057" xr:uid="{00000000-0005-0000-0000-00004CC10000}"/>
    <cellStyle name="Input 12 2 7 2" xfId="59201" xr:uid="{00000000-0005-0000-0000-00004DC10000}"/>
    <cellStyle name="Input 12 2 8" xfId="4058" xr:uid="{00000000-0005-0000-0000-00004EC10000}"/>
    <cellStyle name="Input 12 2 8 2" xfId="59202" xr:uid="{00000000-0005-0000-0000-00004FC10000}"/>
    <cellStyle name="Input 12 2 9" xfId="4059" xr:uid="{00000000-0005-0000-0000-000050C10000}"/>
    <cellStyle name="Input 12 3" xfId="4060" xr:uid="{00000000-0005-0000-0000-000051C10000}"/>
    <cellStyle name="Input 12 3 2" xfId="59203" xr:uid="{00000000-0005-0000-0000-000052C10000}"/>
    <cellStyle name="Input 12 4" xfId="4061" xr:uid="{00000000-0005-0000-0000-000053C10000}"/>
    <cellStyle name="Input 12 4 2" xfId="59204" xr:uid="{00000000-0005-0000-0000-000054C10000}"/>
    <cellStyle name="Input 12 5" xfId="4062" xr:uid="{00000000-0005-0000-0000-000055C10000}"/>
    <cellStyle name="Input 12 5 2" xfId="59205" xr:uid="{00000000-0005-0000-0000-000056C10000}"/>
    <cellStyle name="Input 12 6" xfId="4063" xr:uid="{00000000-0005-0000-0000-000057C10000}"/>
    <cellStyle name="Input 12 6 2" xfId="59206" xr:uid="{00000000-0005-0000-0000-000058C10000}"/>
    <cellStyle name="Input 12 7" xfId="4064" xr:uid="{00000000-0005-0000-0000-000059C10000}"/>
    <cellStyle name="Input 12 7 2" xfId="59207" xr:uid="{00000000-0005-0000-0000-00005AC10000}"/>
    <cellStyle name="Input 12 8" xfId="4065" xr:uid="{00000000-0005-0000-0000-00005BC10000}"/>
    <cellStyle name="Input 12 8 2" xfId="59208" xr:uid="{00000000-0005-0000-0000-00005CC10000}"/>
    <cellStyle name="Input 12 9" xfId="4066" xr:uid="{00000000-0005-0000-0000-00005DC10000}"/>
    <cellStyle name="Input 12 9 2" xfId="59209" xr:uid="{00000000-0005-0000-0000-00005EC10000}"/>
    <cellStyle name="Input 13" xfId="4067" xr:uid="{00000000-0005-0000-0000-00005FC10000}"/>
    <cellStyle name="Input 13 10" xfId="4068" xr:uid="{00000000-0005-0000-0000-000060C10000}"/>
    <cellStyle name="Input 13 11" xfId="59210" xr:uid="{00000000-0005-0000-0000-000061C10000}"/>
    <cellStyle name="Input 13 12" xfId="59211" xr:uid="{00000000-0005-0000-0000-000062C10000}"/>
    <cellStyle name="Input 13 2" xfId="4069" xr:uid="{00000000-0005-0000-0000-000063C10000}"/>
    <cellStyle name="Input 13 2 2" xfId="4070" xr:uid="{00000000-0005-0000-0000-000064C10000}"/>
    <cellStyle name="Input 13 2 2 2" xfId="59212" xr:uid="{00000000-0005-0000-0000-000065C10000}"/>
    <cellStyle name="Input 13 2 3" xfId="4071" xr:uid="{00000000-0005-0000-0000-000066C10000}"/>
    <cellStyle name="Input 13 2 3 2" xfId="59213" xr:uid="{00000000-0005-0000-0000-000067C10000}"/>
    <cellStyle name="Input 13 2 4" xfId="4072" xr:uid="{00000000-0005-0000-0000-000068C10000}"/>
    <cellStyle name="Input 13 2 4 2" xfId="59214" xr:uid="{00000000-0005-0000-0000-000069C10000}"/>
    <cellStyle name="Input 13 2 5" xfId="4073" xr:uid="{00000000-0005-0000-0000-00006AC10000}"/>
    <cellStyle name="Input 13 2 5 2" xfId="59215" xr:uid="{00000000-0005-0000-0000-00006BC10000}"/>
    <cellStyle name="Input 13 2 6" xfId="4074" xr:uid="{00000000-0005-0000-0000-00006CC10000}"/>
    <cellStyle name="Input 13 2 6 2" xfId="59216" xr:uid="{00000000-0005-0000-0000-00006DC10000}"/>
    <cellStyle name="Input 13 2 7" xfId="4075" xr:uid="{00000000-0005-0000-0000-00006EC10000}"/>
    <cellStyle name="Input 13 2 7 2" xfId="59217" xr:uid="{00000000-0005-0000-0000-00006FC10000}"/>
    <cellStyle name="Input 13 2 8" xfId="4076" xr:uid="{00000000-0005-0000-0000-000070C10000}"/>
    <cellStyle name="Input 13 2 8 2" xfId="59218" xr:uid="{00000000-0005-0000-0000-000071C10000}"/>
    <cellStyle name="Input 13 2 9" xfId="4077" xr:uid="{00000000-0005-0000-0000-000072C10000}"/>
    <cellStyle name="Input 13 3" xfId="4078" xr:uid="{00000000-0005-0000-0000-000073C10000}"/>
    <cellStyle name="Input 13 3 2" xfId="59219" xr:uid="{00000000-0005-0000-0000-000074C10000}"/>
    <cellStyle name="Input 13 4" xfId="4079" xr:uid="{00000000-0005-0000-0000-000075C10000}"/>
    <cellStyle name="Input 13 4 2" xfId="59220" xr:uid="{00000000-0005-0000-0000-000076C10000}"/>
    <cellStyle name="Input 13 5" xfId="4080" xr:uid="{00000000-0005-0000-0000-000077C10000}"/>
    <cellStyle name="Input 13 5 2" xfId="59221" xr:uid="{00000000-0005-0000-0000-000078C10000}"/>
    <cellStyle name="Input 13 6" xfId="4081" xr:uid="{00000000-0005-0000-0000-000079C10000}"/>
    <cellStyle name="Input 13 6 2" xfId="59222" xr:uid="{00000000-0005-0000-0000-00007AC10000}"/>
    <cellStyle name="Input 13 7" xfId="4082" xr:uid="{00000000-0005-0000-0000-00007BC10000}"/>
    <cellStyle name="Input 13 7 2" xfId="59223" xr:uid="{00000000-0005-0000-0000-00007CC10000}"/>
    <cellStyle name="Input 13 8" xfId="4083" xr:uid="{00000000-0005-0000-0000-00007DC10000}"/>
    <cellStyle name="Input 13 8 2" xfId="59224" xr:uid="{00000000-0005-0000-0000-00007EC10000}"/>
    <cellStyle name="Input 13 9" xfId="4084" xr:uid="{00000000-0005-0000-0000-00007FC10000}"/>
    <cellStyle name="Input 13 9 2" xfId="59225" xr:uid="{00000000-0005-0000-0000-000080C10000}"/>
    <cellStyle name="Input 14" xfId="4085" xr:uid="{00000000-0005-0000-0000-000081C10000}"/>
    <cellStyle name="Input 14 10" xfId="4086" xr:uid="{00000000-0005-0000-0000-000082C10000}"/>
    <cellStyle name="Input 14 11" xfId="59226" xr:uid="{00000000-0005-0000-0000-000083C10000}"/>
    <cellStyle name="Input 14 12" xfId="59227" xr:uid="{00000000-0005-0000-0000-000084C10000}"/>
    <cellStyle name="Input 14 2" xfId="4087" xr:uid="{00000000-0005-0000-0000-000085C10000}"/>
    <cellStyle name="Input 14 2 2" xfId="4088" xr:uid="{00000000-0005-0000-0000-000086C10000}"/>
    <cellStyle name="Input 14 2 2 2" xfId="59228" xr:uid="{00000000-0005-0000-0000-000087C10000}"/>
    <cellStyle name="Input 14 2 3" xfId="4089" xr:uid="{00000000-0005-0000-0000-000088C10000}"/>
    <cellStyle name="Input 14 2 3 2" xfId="59229" xr:uid="{00000000-0005-0000-0000-000089C10000}"/>
    <cellStyle name="Input 14 2 4" xfId="4090" xr:uid="{00000000-0005-0000-0000-00008AC10000}"/>
    <cellStyle name="Input 14 2 4 2" xfId="59230" xr:uid="{00000000-0005-0000-0000-00008BC10000}"/>
    <cellStyle name="Input 14 2 5" xfId="4091" xr:uid="{00000000-0005-0000-0000-00008CC10000}"/>
    <cellStyle name="Input 14 2 5 2" xfId="59231" xr:uid="{00000000-0005-0000-0000-00008DC10000}"/>
    <cellStyle name="Input 14 2 6" xfId="4092" xr:uid="{00000000-0005-0000-0000-00008EC10000}"/>
    <cellStyle name="Input 14 2 6 2" xfId="59232" xr:uid="{00000000-0005-0000-0000-00008FC10000}"/>
    <cellStyle name="Input 14 2 7" xfId="4093" xr:uid="{00000000-0005-0000-0000-000090C10000}"/>
    <cellStyle name="Input 14 2 7 2" xfId="59233" xr:uid="{00000000-0005-0000-0000-000091C10000}"/>
    <cellStyle name="Input 14 2 8" xfId="4094" xr:uid="{00000000-0005-0000-0000-000092C10000}"/>
    <cellStyle name="Input 14 2 8 2" xfId="59234" xr:uid="{00000000-0005-0000-0000-000093C10000}"/>
    <cellStyle name="Input 14 2 9" xfId="4095" xr:uid="{00000000-0005-0000-0000-000094C10000}"/>
    <cellStyle name="Input 14 3" xfId="4096" xr:uid="{00000000-0005-0000-0000-000095C10000}"/>
    <cellStyle name="Input 14 3 2" xfId="59235" xr:uid="{00000000-0005-0000-0000-000096C10000}"/>
    <cellStyle name="Input 14 4" xfId="4097" xr:uid="{00000000-0005-0000-0000-000097C10000}"/>
    <cellStyle name="Input 14 4 2" xfId="59236" xr:uid="{00000000-0005-0000-0000-000098C10000}"/>
    <cellStyle name="Input 14 5" xfId="4098" xr:uid="{00000000-0005-0000-0000-000099C10000}"/>
    <cellStyle name="Input 14 5 2" xfId="59237" xr:uid="{00000000-0005-0000-0000-00009AC10000}"/>
    <cellStyle name="Input 14 6" xfId="4099" xr:uid="{00000000-0005-0000-0000-00009BC10000}"/>
    <cellStyle name="Input 14 6 2" xfId="59238" xr:uid="{00000000-0005-0000-0000-00009CC10000}"/>
    <cellStyle name="Input 14 7" xfId="4100" xr:uid="{00000000-0005-0000-0000-00009DC10000}"/>
    <cellStyle name="Input 14 7 2" xfId="59239" xr:uid="{00000000-0005-0000-0000-00009EC10000}"/>
    <cellStyle name="Input 14 8" xfId="4101" xr:uid="{00000000-0005-0000-0000-00009FC10000}"/>
    <cellStyle name="Input 14 8 2" xfId="59240" xr:uid="{00000000-0005-0000-0000-0000A0C10000}"/>
    <cellStyle name="Input 14 9" xfId="4102" xr:uid="{00000000-0005-0000-0000-0000A1C10000}"/>
    <cellStyle name="Input 14 9 2" xfId="59241" xr:uid="{00000000-0005-0000-0000-0000A2C10000}"/>
    <cellStyle name="Input 15" xfId="4103" xr:uid="{00000000-0005-0000-0000-0000A3C10000}"/>
    <cellStyle name="Input 15 10" xfId="4104" xr:uid="{00000000-0005-0000-0000-0000A4C10000}"/>
    <cellStyle name="Input 15 11" xfId="59242" xr:uid="{00000000-0005-0000-0000-0000A5C10000}"/>
    <cellStyle name="Input 15 12" xfId="59243" xr:uid="{00000000-0005-0000-0000-0000A6C10000}"/>
    <cellStyle name="Input 15 2" xfId="4105" xr:uid="{00000000-0005-0000-0000-0000A7C10000}"/>
    <cellStyle name="Input 15 2 2" xfId="4106" xr:uid="{00000000-0005-0000-0000-0000A8C10000}"/>
    <cellStyle name="Input 15 2 2 2" xfId="59244" xr:uid="{00000000-0005-0000-0000-0000A9C10000}"/>
    <cellStyle name="Input 15 2 3" xfId="4107" xr:uid="{00000000-0005-0000-0000-0000AAC10000}"/>
    <cellStyle name="Input 15 2 3 2" xfId="59245" xr:uid="{00000000-0005-0000-0000-0000ABC10000}"/>
    <cellStyle name="Input 15 2 4" xfId="4108" xr:uid="{00000000-0005-0000-0000-0000ACC10000}"/>
    <cellStyle name="Input 15 2 4 2" xfId="59246" xr:uid="{00000000-0005-0000-0000-0000ADC10000}"/>
    <cellStyle name="Input 15 2 5" xfId="4109" xr:uid="{00000000-0005-0000-0000-0000AEC10000}"/>
    <cellStyle name="Input 15 2 5 2" xfId="59247" xr:uid="{00000000-0005-0000-0000-0000AFC10000}"/>
    <cellStyle name="Input 15 2 6" xfId="4110" xr:uid="{00000000-0005-0000-0000-0000B0C10000}"/>
    <cellStyle name="Input 15 2 6 2" xfId="59248" xr:uid="{00000000-0005-0000-0000-0000B1C10000}"/>
    <cellStyle name="Input 15 2 7" xfId="4111" xr:uid="{00000000-0005-0000-0000-0000B2C10000}"/>
    <cellStyle name="Input 15 2 7 2" xfId="59249" xr:uid="{00000000-0005-0000-0000-0000B3C10000}"/>
    <cellStyle name="Input 15 2 8" xfId="4112" xr:uid="{00000000-0005-0000-0000-0000B4C10000}"/>
    <cellStyle name="Input 15 2 8 2" xfId="59250" xr:uid="{00000000-0005-0000-0000-0000B5C10000}"/>
    <cellStyle name="Input 15 2 9" xfId="4113" xr:uid="{00000000-0005-0000-0000-0000B6C10000}"/>
    <cellStyle name="Input 15 3" xfId="4114" xr:uid="{00000000-0005-0000-0000-0000B7C10000}"/>
    <cellStyle name="Input 15 3 2" xfId="59251" xr:uid="{00000000-0005-0000-0000-0000B8C10000}"/>
    <cellStyle name="Input 15 4" xfId="4115" xr:uid="{00000000-0005-0000-0000-0000B9C10000}"/>
    <cellStyle name="Input 15 4 2" xfId="59252" xr:uid="{00000000-0005-0000-0000-0000BAC10000}"/>
    <cellStyle name="Input 15 5" xfId="4116" xr:uid="{00000000-0005-0000-0000-0000BBC10000}"/>
    <cellStyle name="Input 15 5 2" xfId="59253" xr:uid="{00000000-0005-0000-0000-0000BCC10000}"/>
    <cellStyle name="Input 15 6" xfId="4117" xr:uid="{00000000-0005-0000-0000-0000BDC10000}"/>
    <cellStyle name="Input 15 6 2" xfId="59254" xr:uid="{00000000-0005-0000-0000-0000BEC10000}"/>
    <cellStyle name="Input 15 7" xfId="4118" xr:uid="{00000000-0005-0000-0000-0000BFC10000}"/>
    <cellStyle name="Input 15 7 2" xfId="59255" xr:uid="{00000000-0005-0000-0000-0000C0C10000}"/>
    <cellStyle name="Input 15 8" xfId="4119" xr:uid="{00000000-0005-0000-0000-0000C1C10000}"/>
    <cellStyle name="Input 15 8 2" xfId="59256" xr:uid="{00000000-0005-0000-0000-0000C2C10000}"/>
    <cellStyle name="Input 15 9" xfId="4120" xr:uid="{00000000-0005-0000-0000-0000C3C10000}"/>
    <cellStyle name="Input 15 9 2" xfId="59257" xr:uid="{00000000-0005-0000-0000-0000C4C10000}"/>
    <cellStyle name="Input 16" xfId="4121" xr:uid="{00000000-0005-0000-0000-0000C5C10000}"/>
    <cellStyle name="Input 16 10" xfId="4122" xr:uid="{00000000-0005-0000-0000-0000C6C10000}"/>
    <cellStyle name="Input 16 11" xfId="59258" xr:uid="{00000000-0005-0000-0000-0000C7C10000}"/>
    <cellStyle name="Input 16 12" xfId="59259" xr:uid="{00000000-0005-0000-0000-0000C8C10000}"/>
    <cellStyle name="Input 16 2" xfId="4123" xr:uid="{00000000-0005-0000-0000-0000C9C10000}"/>
    <cellStyle name="Input 16 2 2" xfId="4124" xr:uid="{00000000-0005-0000-0000-0000CAC10000}"/>
    <cellStyle name="Input 16 2 2 2" xfId="59260" xr:uid="{00000000-0005-0000-0000-0000CBC10000}"/>
    <cellStyle name="Input 16 2 3" xfId="4125" xr:uid="{00000000-0005-0000-0000-0000CCC10000}"/>
    <cellStyle name="Input 16 2 3 2" xfId="59261" xr:uid="{00000000-0005-0000-0000-0000CDC10000}"/>
    <cellStyle name="Input 16 2 4" xfId="4126" xr:uid="{00000000-0005-0000-0000-0000CEC10000}"/>
    <cellStyle name="Input 16 2 4 2" xfId="59262" xr:uid="{00000000-0005-0000-0000-0000CFC10000}"/>
    <cellStyle name="Input 16 2 5" xfId="4127" xr:uid="{00000000-0005-0000-0000-0000D0C10000}"/>
    <cellStyle name="Input 16 2 5 2" xfId="59263" xr:uid="{00000000-0005-0000-0000-0000D1C10000}"/>
    <cellStyle name="Input 16 2 6" xfId="4128" xr:uid="{00000000-0005-0000-0000-0000D2C10000}"/>
    <cellStyle name="Input 16 2 6 2" xfId="59264" xr:uid="{00000000-0005-0000-0000-0000D3C10000}"/>
    <cellStyle name="Input 16 2 7" xfId="4129" xr:uid="{00000000-0005-0000-0000-0000D4C10000}"/>
    <cellStyle name="Input 16 2 7 2" xfId="59265" xr:uid="{00000000-0005-0000-0000-0000D5C10000}"/>
    <cellStyle name="Input 16 2 8" xfId="4130" xr:uid="{00000000-0005-0000-0000-0000D6C10000}"/>
    <cellStyle name="Input 16 2 8 2" xfId="59266" xr:uid="{00000000-0005-0000-0000-0000D7C10000}"/>
    <cellStyle name="Input 16 2 9" xfId="4131" xr:uid="{00000000-0005-0000-0000-0000D8C10000}"/>
    <cellStyle name="Input 16 3" xfId="4132" xr:uid="{00000000-0005-0000-0000-0000D9C10000}"/>
    <cellStyle name="Input 16 3 2" xfId="59267" xr:uid="{00000000-0005-0000-0000-0000DAC10000}"/>
    <cellStyle name="Input 16 4" xfId="4133" xr:uid="{00000000-0005-0000-0000-0000DBC10000}"/>
    <cellStyle name="Input 16 4 2" xfId="59268" xr:uid="{00000000-0005-0000-0000-0000DCC10000}"/>
    <cellStyle name="Input 16 5" xfId="4134" xr:uid="{00000000-0005-0000-0000-0000DDC10000}"/>
    <cellStyle name="Input 16 5 2" xfId="59269" xr:uid="{00000000-0005-0000-0000-0000DEC10000}"/>
    <cellStyle name="Input 16 6" xfId="4135" xr:uid="{00000000-0005-0000-0000-0000DFC10000}"/>
    <cellStyle name="Input 16 6 2" xfId="59270" xr:uid="{00000000-0005-0000-0000-0000E0C10000}"/>
    <cellStyle name="Input 16 7" xfId="4136" xr:uid="{00000000-0005-0000-0000-0000E1C10000}"/>
    <cellStyle name="Input 16 7 2" xfId="59271" xr:uid="{00000000-0005-0000-0000-0000E2C10000}"/>
    <cellStyle name="Input 16 8" xfId="4137" xr:uid="{00000000-0005-0000-0000-0000E3C10000}"/>
    <cellStyle name="Input 16 8 2" xfId="59272" xr:uid="{00000000-0005-0000-0000-0000E4C10000}"/>
    <cellStyle name="Input 16 9" xfId="4138" xr:uid="{00000000-0005-0000-0000-0000E5C10000}"/>
    <cellStyle name="Input 16 9 2" xfId="59273" xr:uid="{00000000-0005-0000-0000-0000E6C10000}"/>
    <cellStyle name="Input 17" xfId="4139" xr:uid="{00000000-0005-0000-0000-0000E7C10000}"/>
    <cellStyle name="Input 17 10" xfId="4140" xr:uid="{00000000-0005-0000-0000-0000E8C10000}"/>
    <cellStyle name="Input 17 11" xfId="59274" xr:uid="{00000000-0005-0000-0000-0000E9C10000}"/>
    <cellStyle name="Input 17 2" xfId="4141" xr:uid="{00000000-0005-0000-0000-0000EAC10000}"/>
    <cellStyle name="Input 17 2 2" xfId="4142" xr:uid="{00000000-0005-0000-0000-0000EBC10000}"/>
    <cellStyle name="Input 17 2 2 2" xfId="59275" xr:uid="{00000000-0005-0000-0000-0000ECC10000}"/>
    <cellStyle name="Input 17 2 3" xfId="4143" xr:uid="{00000000-0005-0000-0000-0000EDC10000}"/>
    <cellStyle name="Input 17 2 3 2" xfId="59276" xr:uid="{00000000-0005-0000-0000-0000EEC10000}"/>
    <cellStyle name="Input 17 2 4" xfId="4144" xr:uid="{00000000-0005-0000-0000-0000EFC10000}"/>
    <cellStyle name="Input 17 2 4 2" xfId="59277" xr:uid="{00000000-0005-0000-0000-0000F0C10000}"/>
    <cellStyle name="Input 17 2 5" xfId="4145" xr:uid="{00000000-0005-0000-0000-0000F1C10000}"/>
    <cellStyle name="Input 17 2 5 2" xfId="59278" xr:uid="{00000000-0005-0000-0000-0000F2C10000}"/>
    <cellStyle name="Input 17 2 6" xfId="4146" xr:uid="{00000000-0005-0000-0000-0000F3C10000}"/>
    <cellStyle name="Input 17 2 6 2" xfId="59279" xr:uid="{00000000-0005-0000-0000-0000F4C10000}"/>
    <cellStyle name="Input 17 2 7" xfId="4147" xr:uid="{00000000-0005-0000-0000-0000F5C10000}"/>
    <cellStyle name="Input 17 2 7 2" xfId="59280" xr:uid="{00000000-0005-0000-0000-0000F6C10000}"/>
    <cellStyle name="Input 17 2 8" xfId="4148" xr:uid="{00000000-0005-0000-0000-0000F7C10000}"/>
    <cellStyle name="Input 17 2 8 2" xfId="59281" xr:uid="{00000000-0005-0000-0000-0000F8C10000}"/>
    <cellStyle name="Input 17 2 9" xfId="4149" xr:uid="{00000000-0005-0000-0000-0000F9C10000}"/>
    <cellStyle name="Input 17 3" xfId="4150" xr:uid="{00000000-0005-0000-0000-0000FAC10000}"/>
    <cellStyle name="Input 17 3 2" xfId="59282" xr:uid="{00000000-0005-0000-0000-0000FBC10000}"/>
    <cellStyle name="Input 17 4" xfId="4151" xr:uid="{00000000-0005-0000-0000-0000FCC10000}"/>
    <cellStyle name="Input 17 4 2" xfId="59283" xr:uid="{00000000-0005-0000-0000-0000FDC10000}"/>
    <cellStyle name="Input 17 5" xfId="4152" xr:uid="{00000000-0005-0000-0000-0000FEC10000}"/>
    <cellStyle name="Input 17 5 2" xfId="59284" xr:uid="{00000000-0005-0000-0000-0000FFC10000}"/>
    <cellStyle name="Input 17 6" xfId="4153" xr:uid="{00000000-0005-0000-0000-000000C20000}"/>
    <cellStyle name="Input 17 6 2" xfId="59285" xr:uid="{00000000-0005-0000-0000-000001C20000}"/>
    <cellStyle name="Input 17 7" xfId="4154" xr:uid="{00000000-0005-0000-0000-000002C20000}"/>
    <cellStyle name="Input 17 7 2" xfId="59286" xr:uid="{00000000-0005-0000-0000-000003C20000}"/>
    <cellStyle name="Input 17 8" xfId="4155" xr:uid="{00000000-0005-0000-0000-000004C20000}"/>
    <cellStyle name="Input 17 8 2" xfId="59287" xr:uid="{00000000-0005-0000-0000-000005C20000}"/>
    <cellStyle name="Input 17 9" xfId="4156" xr:uid="{00000000-0005-0000-0000-000006C20000}"/>
    <cellStyle name="Input 17 9 2" xfId="59288" xr:uid="{00000000-0005-0000-0000-000007C20000}"/>
    <cellStyle name="Input 18" xfId="4157" xr:uid="{00000000-0005-0000-0000-000008C20000}"/>
    <cellStyle name="Input 18 10" xfId="4158" xr:uid="{00000000-0005-0000-0000-000009C20000}"/>
    <cellStyle name="Input 18 2" xfId="4159" xr:uid="{00000000-0005-0000-0000-00000AC20000}"/>
    <cellStyle name="Input 18 2 2" xfId="4160" xr:uid="{00000000-0005-0000-0000-00000BC20000}"/>
    <cellStyle name="Input 18 2 2 2" xfId="59289" xr:uid="{00000000-0005-0000-0000-00000CC20000}"/>
    <cellStyle name="Input 18 2 3" xfId="4161" xr:uid="{00000000-0005-0000-0000-00000DC20000}"/>
    <cellStyle name="Input 18 2 3 2" xfId="59290" xr:uid="{00000000-0005-0000-0000-00000EC20000}"/>
    <cellStyle name="Input 18 2 4" xfId="4162" xr:uid="{00000000-0005-0000-0000-00000FC20000}"/>
    <cellStyle name="Input 18 2 4 2" xfId="59291" xr:uid="{00000000-0005-0000-0000-000010C20000}"/>
    <cellStyle name="Input 18 2 5" xfId="4163" xr:uid="{00000000-0005-0000-0000-000011C20000}"/>
    <cellStyle name="Input 18 2 5 2" xfId="59292" xr:uid="{00000000-0005-0000-0000-000012C20000}"/>
    <cellStyle name="Input 18 2 6" xfId="4164" xr:uid="{00000000-0005-0000-0000-000013C20000}"/>
    <cellStyle name="Input 18 2 6 2" xfId="59293" xr:uid="{00000000-0005-0000-0000-000014C20000}"/>
    <cellStyle name="Input 18 2 7" xfId="4165" xr:uid="{00000000-0005-0000-0000-000015C20000}"/>
    <cellStyle name="Input 18 2 7 2" xfId="59294" xr:uid="{00000000-0005-0000-0000-000016C20000}"/>
    <cellStyle name="Input 18 2 8" xfId="4166" xr:uid="{00000000-0005-0000-0000-000017C20000}"/>
    <cellStyle name="Input 18 2 8 2" xfId="59295" xr:uid="{00000000-0005-0000-0000-000018C20000}"/>
    <cellStyle name="Input 18 2 9" xfId="4167" xr:uid="{00000000-0005-0000-0000-000019C20000}"/>
    <cellStyle name="Input 18 3" xfId="4168" xr:uid="{00000000-0005-0000-0000-00001AC20000}"/>
    <cellStyle name="Input 18 3 2" xfId="59296" xr:uid="{00000000-0005-0000-0000-00001BC20000}"/>
    <cellStyle name="Input 18 4" xfId="4169" xr:uid="{00000000-0005-0000-0000-00001CC20000}"/>
    <cellStyle name="Input 18 4 2" xfId="59297" xr:uid="{00000000-0005-0000-0000-00001DC20000}"/>
    <cellStyle name="Input 18 5" xfId="4170" xr:uid="{00000000-0005-0000-0000-00001EC20000}"/>
    <cellStyle name="Input 18 5 2" xfId="59298" xr:uid="{00000000-0005-0000-0000-00001FC20000}"/>
    <cellStyle name="Input 18 6" xfId="4171" xr:uid="{00000000-0005-0000-0000-000020C20000}"/>
    <cellStyle name="Input 18 6 2" xfId="59299" xr:uid="{00000000-0005-0000-0000-000021C20000}"/>
    <cellStyle name="Input 18 7" xfId="4172" xr:uid="{00000000-0005-0000-0000-000022C20000}"/>
    <cellStyle name="Input 18 7 2" xfId="59300" xr:uid="{00000000-0005-0000-0000-000023C20000}"/>
    <cellStyle name="Input 18 8" xfId="4173" xr:uid="{00000000-0005-0000-0000-000024C20000}"/>
    <cellStyle name="Input 18 8 2" xfId="59301" xr:uid="{00000000-0005-0000-0000-000025C20000}"/>
    <cellStyle name="Input 18 9" xfId="4174" xr:uid="{00000000-0005-0000-0000-000026C20000}"/>
    <cellStyle name="Input 18 9 2" xfId="59302" xr:uid="{00000000-0005-0000-0000-000027C20000}"/>
    <cellStyle name="Input 19" xfId="4175" xr:uid="{00000000-0005-0000-0000-000028C20000}"/>
    <cellStyle name="Input 19 10" xfId="4176" xr:uid="{00000000-0005-0000-0000-000029C20000}"/>
    <cellStyle name="Input 19 2" xfId="4177" xr:uid="{00000000-0005-0000-0000-00002AC20000}"/>
    <cellStyle name="Input 19 2 2" xfId="4178" xr:uid="{00000000-0005-0000-0000-00002BC20000}"/>
    <cellStyle name="Input 19 2 2 2" xfId="59303" xr:uid="{00000000-0005-0000-0000-00002CC20000}"/>
    <cellStyle name="Input 19 2 3" xfId="4179" xr:uid="{00000000-0005-0000-0000-00002DC20000}"/>
    <cellStyle name="Input 19 2 3 2" xfId="59304" xr:uid="{00000000-0005-0000-0000-00002EC20000}"/>
    <cellStyle name="Input 19 2 4" xfId="4180" xr:uid="{00000000-0005-0000-0000-00002FC20000}"/>
    <cellStyle name="Input 19 2 4 2" xfId="59305" xr:uid="{00000000-0005-0000-0000-000030C20000}"/>
    <cellStyle name="Input 19 2 5" xfId="4181" xr:uid="{00000000-0005-0000-0000-000031C20000}"/>
    <cellStyle name="Input 19 2 5 2" xfId="59306" xr:uid="{00000000-0005-0000-0000-000032C20000}"/>
    <cellStyle name="Input 19 2 6" xfId="4182" xr:uid="{00000000-0005-0000-0000-000033C20000}"/>
    <cellStyle name="Input 19 2 6 2" xfId="59307" xr:uid="{00000000-0005-0000-0000-000034C20000}"/>
    <cellStyle name="Input 19 2 7" xfId="4183" xr:uid="{00000000-0005-0000-0000-000035C20000}"/>
    <cellStyle name="Input 19 2 7 2" xfId="59308" xr:uid="{00000000-0005-0000-0000-000036C20000}"/>
    <cellStyle name="Input 19 2 8" xfId="4184" xr:uid="{00000000-0005-0000-0000-000037C20000}"/>
    <cellStyle name="Input 19 2 8 2" xfId="59309" xr:uid="{00000000-0005-0000-0000-000038C20000}"/>
    <cellStyle name="Input 19 2 9" xfId="4185" xr:uid="{00000000-0005-0000-0000-000039C20000}"/>
    <cellStyle name="Input 19 3" xfId="4186" xr:uid="{00000000-0005-0000-0000-00003AC20000}"/>
    <cellStyle name="Input 19 3 2" xfId="59310" xr:uid="{00000000-0005-0000-0000-00003BC20000}"/>
    <cellStyle name="Input 19 4" xfId="4187" xr:uid="{00000000-0005-0000-0000-00003CC20000}"/>
    <cellStyle name="Input 19 4 2" xfId="59311" xr:uid="{00000000-0005-0000-0000-00003DC20000}"/>
    <cellStyle name="Input 19 5" xfId="4188" xr:uid="{00000000-0005-0000-0000-00003EC20000}"/>
    <cellStyle name="Input 19 5 2" xfId="59312" xr:uid="{00000000-0005-0000-0000-00003FC20000}"/>
    <cellStyle name="Input 19 6" xfId="4189" xr:uid="{00000000-0005-0000-0000-000040C20000}"/>
    <cellStyle name="Input 19 6 2" xfId="59313" xr:uid="{00000000-0005-0000-0000-000041C20000}"/>
    <cellStyle name="Input 19 7" xfId="4190" xr:uid="{00000000-0005-0000-0000-000042C20000}"/>
    <cellStyle name="Input 19 7 2" xfId="59314" xr:uid="{00000000-0005-0000-0000-000043C20000}"/>
    <cellStyle name="Input 19 8" xfId="4191" xr:uid="{00000000-0005-0000-0000-000044C20000}"/>
    <cellStyle name="Input 19 8 2" xfId="59315" xr:uid="{00000000-0005-0000-0000-000045C20000}"/>
    <cellStyle name="Input 19 9" xfId="4192" xr:uid="{00000000-0005-0000-0000-000046C20000}"/>
    <cellStyle name="Input 19 9 2" xfId="59316" xr:uid="{00000000-0005-0000-0000-000047C20000}"/>
    <cellStyle name="Input 2" xfId="4193" xr:uid="{00000000-0005-0000-0000-000048C20000}"/>
    <cellStyle name="Input 2 10" xfId="59317" xr:uid="{00000000-0005-0000-0000-000049C20000}"/>
    <cellStyle name="Input 2 2" xfId="4194" xr:uid="{00000000-0005-0000-0000-00004AC20000}"/>
    <cellStyle name="Input 2 2 10" xfId="4195" xr:uid="{00000000-0005-0000-0000-00004BC20000}"/>
    <cellStyle name="Input 2 2 11" xfId="59318" xr:uid="{00000000-0005-0000-0000-00004CC20000}"/>
    <cellStyle name="Input 2 2 2" xfId="4196" xr:uid="{00000000-0005-0000-0000-00004DC20000}"/>
    <cellStyle name="Input 2 2 2 2" xfId="59319" xr:uid="{00000000-0005-0000-0000-00004EC20000}"/>
    <cellStyle name="Input 2 2 3" xfId="4197" xr:uid="{00000000-0005-0000-0000-00004FC20000}"/>
    <cellStyle name="Input 2 2 3 2" xfId="59320" xr:uid="{00000000-0005-0000-0000-000050C20000}"/>
    <cellStyle name="Input 2 2 4" xfId="4198" xr:uid="{00000000-0005-0000-0000-000051C20000}"/>
    <cellStyle name="Input 2 2 4 2" xfId="59321" xr:uid="{00000000-0005-0000-0000-000052C20000}"/>
    <cellStyle name="Input 2 2 5" xfId="4199" xr:uid="{00000000-0005-0000-0000-000053C20000}"/>
    <cellStyle name="Input 2 2 5 2" xfId="59322" xr:uid="{00000000-0005-0000-0000-000054C20000}"/>
    <cellStyle name="Input 2 2 6" xfId="4200" xr:uid="{00000000-0005-0000-0000-000055C20000}"/>
    <cellStyle name="Input 2 2 6 2" xfId="59323" xr:uid="{00000000-0005-0000-0000-000056C20000}"/>
    <cellStyle name="Input 2 2 7" xfId="4201" xr:uid="{00000000-0005-0000-0000-000057C20000}"/>
    <cellStyle name="Input 2 2 7 2" xfId="59324" xr:uid="{00000000-0005-0000-0000-000058C20000}"/>
    <cellStyle name="Input 2 2 8" xfId="4202" xr:uid="{00000000-0005-0000-0000-000059C20000}"/>
    <cellStyle name="Input 2 2 8 2" xfId="59325" xr:uid="{00000000-0005-0000-0000-00005AC20000}"/>
    <cellStyle name="Input 2 2 9" xfId="4203" xr:uid="{00000000-0005-0000-0000-00005BC20000}"/>
    <cellStyle name="Input 2 3" xfId="4204" xr:uid="{00000000-0005-0000-0000-00005CC20000}"/>
    <cellStyle name="Input 2 3 2" xfId="59326" xr:uid="{00000000-0005-0000-0000-00005DC20000}"/>
    <cellStyle name="Input 2 4" xfId="4205" xr:uid="{00000000-0005-0000-0000-00005EC20000}"/>
    <cellStyle name="Input 2 4 2" xfId="59327" xr:uid="{00000000-0005-0000-0000-00005FC20000}"/>
    <cellStyle name="Input 2 5" xfId="4206" xr:uid="{00000000-0005-0000-0000-000060C20000}"/>
    <cellStyle name="Input 2 5 2" xfId="59328" xr:uid="{00000000-0005-0000-0000-000061C20000}"/>
    <cellStyle name="Input 2 6" xfId="4207" xr:uid="{00000000-0005-0000-0000-000062C20000}"/>
    <cellStyle name="Input 2 6 2" xfId="59329" xr:uid="{00000000-0005-0000-0000-000063C20000}"/>
    <cellStyle name="Input 2 7" xfId="4208" xr:uid="{00000000-0005-0000-0000-000064C20000}"/>
    <cellStyle name="Input 2 7 2" xfId="59330" xr:uid="{00000000-0005-0000-0000-000065C20000}"/>
    <cellStyle name="Input 2 8" xfId="4209" xr:uid="{00000000-0005-0000-0000-000066C20000}"/>
    <cellStyle name="Input 2 8 2" xfId="59331" xr:uid="{00000000-0005-0000-0000-000067C20000}"/>
    <cellStyle name="Input 2 9" xfId="4210" xr:uid="{00000000-0005-0000-0000-000068C20000}"/>
    <cellStyle name="Input 20" xfId="4211" xr:uid="{00000000-0005-0000-0000-000069C20000}"/>
    <cellStyle name="Input 20 10" xfId="4212" xr:uid="{00000000-0005-0000-0000-00006AC20000}"/>
    <cellStyle name="Input 20 2" xfId="4213" xr:uid="{00000000-0005-0000-0000-00006BC20000}"/>
    <cellStyle name="Input 20 2 2" xfId="4214" xr:uid="{00000000-0005-0000-0000-00006CC20000}"/>
    <cellStyle name="Input 20 2 2 2" xfId="59332" xr:uid="{00000000-0005-0000-0000-00006DC20000}"/>
    <cellStyle name="Input 20 2 3" xfId="4215" xr:uid="{00000000-0005-0000-0000-00006EC20000}"/>
    <cellStyle name="Input 20 2 3 2" xfId="59333" xr:uid="{00000000-0005-0000-0000-00006FC20000}"/>
    <cellStyle name="Input 20 2 4" xfId="4216" xr:uid="{00000000-0005-0000-0000-000070C20000}"/>
    <cellStyle name="Input 20 2 4 2" xfId="59334" xr:uid="{00000000-0005-0000-0000-000071C20000}"/>
    <cellStyle name="Input 20 2 5" xfId="4217" xr:uid="{00000000-0005-0000-0000-000072C20000}"/>
    <cellStyle name="Input 20 2 5 2" xfId="59335" xr:uid="{00000000-0005-0000-0000-000073C20000}"/>
    <cellStyle name="Input 20 2 6" xfId="4218" xr:uid="{00000000-0005-0000-0000-000074C20000}"/>
    <cellStyle name="Input 20 2 6 2" xfId="59336" xr:uid="{00000000-0005-0000-0000-000075C20000}"/>
    <cellStyle name="Input 20 2 7" xfId="4219" xr:uid="{00000000-0005-0000-0000-000076C20000}"/>
    <cellStyle name="Input 20 2 7 2" xfId="59337" xr:uid="{00000000-0005-0000-0000-000077C20000}"/>
    <cellStyle name="Input 20 2 8" xfId="4220" xr:uid="{00000000-0005-0000-0000-000078C20000}"/>
    <cellStyle name="Input 20 2 8 2" xfId="59338" xr:uid="{00000000-0005-0000-0000-000079C20000}"/>
    <cellStyle name="Input 20 2 9" xfId="4221" xr:uid="{00000000-0005-0000-0000-00007AC20000}"/>
    <cellStyle name="Input 20 3" xfId="4222" xr:uid="{00000000-0005-0000-0000-00007BC20000}"/>
    <cellStyle name="Input 20 3 2" xfId="59339" xr:uid="{00000000-0005-0000-0000-00007CC20000}"/>
    <cellStyle name="Input 20 4" xfId="4223" xr:uid="{00000000-0005-0000-0000-00007DC20000}"/>
    <cellStyle name="Input 20 4 2" xfId="59340" xr:uid="{00000000-0005-0000-0000-00007EC20000}"/>
    <cellStyle name="Input 20 5" xfId="4224" xr:uid="{00000000-0005-0000-0000-00007FC20000}"/>
    <cellStyle name="Input 20 5 2" xfId="59341" xr:uid="{00000000-0005-0000-0000-000080C20000}"/>
    <cellStyle name="Input 20 6" xfId="4225" xr:uid="{00000000-0005-0000-0000-000081C20000}"/>
    <cellStyle name="Input 20 6 2" xfId="59342" xr:uid="{00000000-0005-0000-0000-000082C20000}"/>
    <cellStyle name="Input 20 7" xfId="4226" xr:uid="{00000000-0005-0000-0000-000083C20000}"/>
    <cellStyle name="Input 20 7 2" xfId="59343" xr:uid="{00000000-0005-0000-0000-000084C20000}"/>
    <cellStyle name="Input 20 8" xfId="4227" xr:uid="{00000000-0005-0000-0000-000085C20000}"/>
    <cellStyle name="Input 20 8 2" xfId="59344" xr:uid="{00000000-0005-0000-0000-000086C20000}"/>
    <cellStyle name="Input 20 9" xfId="4228" xr:uid="{00000000-0005-0000-0000-000087C20000}"/>
    <cellStyle name="Input 20 9 2" xfId="59345" xr:uid="{00000000-0005-0000-0000-000088C20000}"/>
    <cellStyle name="Input 21" xfId="4229" xr:uid="{00000000-0005-0000-0000-000089C20000}"/>
    <cellStyle name="Input 21 10" xfId="4230" xr:uid="{00000000-0005-0000-0000-00008AC20000}"/>
    <cellStyle name="Input 21 2" xfId="4231" xr:uid="{00000000-0005-0000-0000-00008BC20000}"/>
    <cellStyle name="Input 21 2 2" xfId="4232" xr:uid="{00000000-0005-0000-0000-00008CC20000}"/>
    <cellStyle name="Input 21 2 2 2" xfId="59346" xr:uid="{00000000-0005-0000-0000-00008DC20000}"/>
    <cellStyle name="Input 21 2 3" xfId="4233" xr:uid="{00000000-0005-0000-0000-00008EC20000}"/>
    <cellStyle name="Input 21 2 3 2" xfId="59347" xr:uid="{00000000-0005-0000-0000-00008FC20000}"/>
    <cellStyle name="Input 21 2 4" xfId="4234" xr:uid="{00000000-0005-0000-0000-000090C20000}"/>
    <cellStyle name="Input 21 2 4 2" xfId="59348" xr:uid="{00000000-0005-0000-0000-000091C20000}"/>
    <cellStyle name="Input 21 2 5" xfId="4235" xr:uid="{00000000-0005-0000-0000-000092C20000}"/>
    <cellStyle name="Input 21 2 5 2" xfId="59349" xr:uid="{00000000-0005-0000-0000-000093C20000}"/>
    <cellStyle name="Input 21 2 6" xfId="4236" xr:uid="{00000000-0005-0000-0000-000094C20000}"/>
    <cellStyle name="Input 21 2 6 2" xfId="59350" xr:uid="{00000000-0005-0000-0000-000095C20000}"/>
    <cellStyle name="Input 21 2 7" xfId="4237" xr:uid="{00000000-0005-0000-0000-000096C20000}"/>
    <cellStyle name="Input 21 2 7 2" xfId="59351" xr:uid="{00000000-0005-0000-0000-000097C20000}"/>
    <cellStyle name="Input 21 2 8" xfId="4238" xr:uid="{00000000-0005-0000-0000-000098C20000}"/>
    <cellStyle name="Input 21 2 8 2" xfId="59352" xr:uid="{00000000-0005-0000-0000-000099C20000}"/>
    <cellStyle name="Input 21 2 9" xfId="4239" xr:uid="{00000000-0005-0000-0000-00009AC20000}"/>
    <cellStyle name="Input 21 3" xfId="4240" xr:uid="{00000000-0005-0000-0000-00009BC20000}"/>
    <cellStyle name="Input 21 3 2" xfId="59353" xr:uid="{00000000-0005-0000-0000-00009CC20000}"/>
    <cellStyle name="Input 21 4" xfId="4241" xr:uid="{00000000-0005-0000-0000-00009DC20000}"/>
    <cellStyle name="Input 21 4 2" xfId="59354" xr:uid="{00000000-0005-0000-0000-00009EC20000}"/>
    <cellStyle name="Input 21 5" xfId="4242" xr:uid="{00000000-0005-0000-0000-00009FC20000}"/>
    <cellStyle name="Input 21 5 2" xfId="59355" xr:uid="{00000000-0005-0000-0000-0000A0C20000}"/>
    <cellStyle name="Input 21 6" xfId="4243" xr:uid="{00000000-0005-0000-0000-0000A1C20000}"/>
    <cellStyle name="Input 21 6 2" xfId="59356" xr:uid="{00000000-0005-0000-0000-0000A2C20000}"/>
    <cellStyle name="Input 21 7" xfId="4244" xr:uid="{00000000-0005-0000-0000-0000A3C20000}"/>
    <cellStyle name="Input 21 7 2" xfId="59357" xr:uid="{00000000-0005-0000-0000-0000A4C20000}"/>
    <cellStyle name="Input 21 8" xfId="4245" xr:uid="{00000000-0005-0000-0000-0000A5C20000}"/>
    <cellStyle name="Input 21 8 2" xfId="59358" xr:uid="{00000000-0005-0000-0000-0000A6C20000}"/>
    <cellStyle name="Input 21 9" xfId="4246" xr:uid="{00000000-0005-0000-0000-0000A7C20000}"/>
    <cellStyle name="Input 21 9 2" xfId="59359" xr:uid="{00000000-0005-0000-0000-0000A8C20000}"/>
    <cellStyle name="Input 22" xfId="4247" xr:uid="{00000000-0005-0000-0000-0000A9C20000}"/>
    <cellStyle name="Input 22 2" xfId="4248" xr:uid="{00000000-0005-0000-0000-0000AAC20000}"/>
    <cellStyle name="Input 22 2 2" xfId="59360" xr:uid="{00000000-0005-0000-0000-0000ABC20000}"/>
    <cellStyle name="Input 22 3" xfId="4249" xr:uid="{00000000-0005-0000-0000-0000ACC20000}"/>
    <cellStyle name="Input 22 3 2" xfId="59361" xr:uid="{00000000-0005-0000-0000-0000ADC20000}"/>
    <cellStyle name="Input 22 4" xfId="4250" xr:uid="{00000000-0005-0000-0000-0000AEC20000}"/>
    <cellStyle name="Input 22 4 2" xfId="59362" xr:uid="{00000000-0005-0000-0000-0000AFC20000}"/>
    <cellStyle name="Input 22 5" xfId="4251" xr:uid="{00000000-0005-0000-0000-0000B0C20000}"/>
    <cellStyle name="Input 22 5 2" xfId="59363" xr:uid="{00000000-0005-0000-0000-0000B1C20000}"/>
    <cellStyle name="Input 22 6" xfId="4252" xr:uid="{00000000-0005-0000-0000-0000B2C20000}"/>
    <cellStyle name="Input 22 6 2" xfId="59364" xr:uid="{00000000-0005-0000-0000-0000B3C20000}"/>
    <cellStyle name="Input 22 7" xfId="4253" xr:uid="{00000000-0005-0000-0000-0000B4C20000}"/>
    <cellStyle name="Input 22 7 2" xfId="59365" xr:uid="{00000000-0005-0000-0000-0000B5C20000}"/>
    <cellStyle name="Input 22 8" xfId="4254" xr:uid="{00000000-0005-0000-0000-0000B6C20000}"/>
    <cellStyle name="Input 22 8 2" xfId="59366" xr:uid="{00000000-0005-0000-0000-0000B7C20000}"/>
    <cellStyle name="Input 22 9" xfId="4255" xr:uid="{00000000-0005-0000-0000-0000B8C20000}"/>
    <cellStyle name="Input 23" xfId="9211" xr:uid="{00000000-0005-0000-0000-0000B9C20000}"/>
    <cellStyle name="Input 3" xfId="4256" xr:uid="{00000000-0005-0000-0000-0000BAC20000}"/>
    <cellStyle name="Input 3 10" xfId="4257" xr:uid="{00000000-0005-0000-0000-0000BBC20000}"/>
    <cellStyle name="Input 3 11" xfId="9212" xr:uid="{00000000-0005-0000-0000-0000BCC20000}"/>
    <cellStyle name="Input 3 2" xfId="4258" xr:uid="{00000000-0005-0000-0000-0000BDC20000}"/>
    <cellStyle name="Input 3 2 10" xfId="4259" xr:uid="{00000000-0005-0000-0000-0000BEC20000}"/>
    <cellStyle name="Input 3 2 2" xfId="4260" xr:uid="{00000000-0005-0000-0000-0000BFC20000}"/>
    <cellStyle name="Input 3 2 2 2" xfId="59367" xr:uid="{00000000-0005-0000-0000-0000C0C20000}"/>
    <cellStyle name="Input 3 2 3" xfId="4261" xr:uid="{00000000-0005-0000-0000-0000C1C20000}"/>
    <cellStyle name="Input 3 2 3 2" xfId="59368" xr:uid="{00000000-0005-0000-0000-0000C2C20000}"/>
    <cellStyle name="Input 3 2 4" xfId="4262" xr:uid="{00000000-0005-0000-0000-0000C3C20000}"/>
    <cellStyle name="Input 3 2 4 2" xfId="59369" xr:uid="{00000000-0005-0000-0000-0000C4C20000}"/>
    <cellStyle name="Input 3 2 5" xfId="4263" xr:uid="{00000000-0005-0000-0000-0000C5C20000}"/>
    <cellStyle name="Input 3 2 5 2" xfId="59370" xr:uid="{00000000-0005-0000-0000-0000C6C20000}"/>
    <cellStyle name="Input 3 2 6" xfId="4264" xr:uid="{00000000-0005-0000-0000-0000C7C20000}"/>
    <cellStyle name="Input 3 2 6 2" xfId="59371" xr:uid="{00000000-0005-0000-0000-0000C8C20000}"/>
    <cellStyle name="Input 3 2 7" xfId="4265" xr:uid="{00000000-0005-0000-0000-0000C9C20000}"/>
    <cellStyle name="Input 3 2 7 2" xfId="59372" xr:uid="{00000000-0005-0000-0000-0000CAC20000}"/>
    <cellStyle name="Input 3 2 8" xfId="4266" xr:uid="{00000000-0005-0000-0000-0000CBC20000}"/>
    <cellStyle name="Input 3 2 8 2" xfId="59373" xr:uid="{00000000-0005-0000-0000-0000CCC20000}"/>
    <cellStyle name="Input 3 2 9" xfId="4267" xr:uid="{00000000-0005-0000-0000-0000CDC20000}"/>
    <cellStyle name="Input 3 3" xfId="4268" xr:uid="{00000000-0005-0000-0000-0000CEC20000}"/>
    <cellStyle name="Input 3 3 2" xfId="59374" xr:uid="{00000000-0005-0000-0000-0000CFC20000}"/>
    <cellStyle name="Input 3 4" xfId="4269" xr:uid="{00000000-0005-0000-0000-0000D0C20000}"/>
    <cellStyle name="Input 3 4 2" xfId="59375" xr:uid="{00000000-0005-0000-0000-0000D1C20000}"/>
    <cellStyle name="Input 3 5" xfId="4270" xr:uid="{00000000-0005-0000-0000-0000D2C20000}"/>
    <cellStyle name="Input 3 5 2" xfId="59376" xr:uid="{00000000-0005-0000-0000-0000D3C20000}"/>
    <cellStyle name="Input 3 6" xfId="4271" xr:uid="{00000000-0005-0000-0000-0000D4C20000}"/>
    <cellStyle name="Input 3 6 2" xfId="59377" xr:uid="{00000000-0005-0000-0000-0000D5C20000}"/>
    <cellStyle name="Input 3 7" xfId="4272" xr:uid="{00000000-0005-0000-0000-0000D6C20000}"/>
    <cellStyle name="Input 3 7 2" xfId="59378" xr:uid="{00000000-0005-0000-0000-0000D7C20000}"/>
    <cellStyle name="Input 3 8" xfId="4273" xr:uid="{00000000-0005-0000-0000-0000D8C20000}"/>
    <cellStyle name="Input 3 8 2" xfId="59379" xr:uid="{00000000-0005-0000-0000-0000D9C20000}"/>
    <cellStyle name="Input 3 9" xfId="4274" xr:uid="{00000000-0005-0000-0000-0000DAC20000}"/>
    <cellStyle name="Input 3 9 2" xfId="59380" xr:uid="{00000000-0005-0000-0000-0000DBC20000}"/>
    <cellStyle name="Input 4" xfId="4275" xr:uid="{00000000-0005-0000-0000-0000DCC20000}"/>
    <cellStyle name="Input 4 10" xfId="4276" xr:uid="{00000000-0005-0000-0000-0000DDC20000}"/>
    <cellStyle name="Input 4 11" xfId="59381" xr:uid="{00000000-0005-0000-0000-0000DEC20000}"/>
    <cellStyle name="Input 4 12" xfId="59382" xr:uid="{00000000-0005-0000-0000-0000DFC20000}"/>
    <cellStyle name="Input 4 2" xfId="4277" xr:uid="{00000000-0005-0000-0000-0000E0C20000}"/>
    <cellStyle name="Input 4 2 2" xfId="4278" xr:uid="{00000000-0005-0000-0000-0000E1C20000}"/>
    <cellStyle name="Input 4 2 2 2" xfId="59383" xr:uid="{00000000-0005-0000-0000-0000E2C20000}"/>
    <cellStyle name="Input 4 2 3" xfId="4279" xr:uid="{00000000-0005-0000-0000-0000E3C20000}"/>
    <cellStyle name="Input 4 2 3 2" xfId="59384" xr:uid="{00000000-0005-0000-0000-0000E4C20000}"/>
    <cellStyle name="Input 4 2 4" xfId="4280" xr:uid="{00000000-0005-0000-0000-0000E5C20000}"/>
    <cellStyle name="Input 4 2 4 2" xfId="59385" xr:uid="{00000000-0005-0000-0000-0000E6C20000}"/>
    <cellStyle name="Input 4 2 5" xfId="4281" xr:uid="{00000000-0005-0000-0000-0000E7C20000}"/>
    <cellStyle name="Input 4 2 5 2" xfId="59386" xr:uid="{00000000-0005-0000-0000-0000E8C20000}"/>
    <cellStyle name="Input 4 2 6" xfId="4282" xr:uid="{00000000-0005-0000-0000-0000E9C20000}"/>
    <cellStyle name="Input 4 2 6 2" xfId="59387" xr:uid="{00000000-0005-0000-0000-0000EAC20000}"/>
    <cellStyle name="Input 4 2 7" xfId="4283" xr:uid="{00000000-0005-0000-0000-0000EBC20000}"/>
    <cellStyle name="Input 4 2 7 2" xfId="59388" xr:uid="{00000000-0005-0000-0000-0000ECC20000}"/>
    <cellStyle name="Input 4 2 8" xfId="4284" xr:uid="{00000000-0005-0000-0000-0000EDC20000}"/>
    <cellStyle name="Input 4 2 8 2" xfId="59389" xr:uid="{00000000-0005-0000-0000-0000EEC20000}"/>
    <cellStyle name="Input 4 2 9" xfId="4285" xr:uid="{00000000-0005-0000-0000-0000EFC20000}"/>
    <cellStyle name="Input 4 3" xfId="4286" xr:uid="{00000000-0005-0000-0000-0000F0C20000}"/>
    <cellStyle name="Input 4 3 2" xfId="59390" xr:uid="{00000000-0005-0000-0000-0000F1C20000}"/>
    <cellStyle name="Input 4 4" xfId="4287" xr:uid="{00000000-0005-0000-0000-0000F2C20000}"/>
    <cellStyle name="Input 4 4 2" xfId="59391" xr:uid="{00000000-0005-0000-0000-0000F3C20000}"/>
    <cellStyle name="Input 4 5" xfId="4288" xr:uid="{00000000-0005-0000-0000-0000F4C20000}"/>
    <cellStyle name="Input 4 5 2" xfId="59392" xr:uid="{00000000-0005-0000-0000-0000F5C20000}"/>
    <cellStyle name="Input 4 6" xfId="4289" xr:uid="{00000000-0005-0000-0000-0000F6C20000}"/>
    <cellStyle name="Input 4 6 2" xfId="59393" xr:uid="{00000000-0005-0000-0000-0000F7C20000}"/>
    <cellStyle name="Input 4 7" xfId="4290" xr:uid="{00000000-0005-0000-0000-0000F8C20000}"/>
    <cellStyle name="Input 4 7 2" xfId="59394" xr:uid="{00000000-0005-0000-0000-0000F9C20000}"/>
    <cellStyle name="Input 4 8" xfId="4291" xr:uid="{00000000-0005-0000-0000-0000FAC20000}"/>
    <cellStyle name="Input 4 8 2" xfId="59395" xr:uid="{00000000-0005-0000-0000-0000FBC20000}"/>
    <cellStyle name="Input 4 9" xfId="4292" xr:uid="{00000000-0005-0000-0000-0000FCC20000}"/>
    <cellStyle name="Input 4 9 2" xfId="59396" xr:uid="{00000000-0005-0000-0000-0000FDC20000}"/>
    <cellStyle name="Input 5" xfId="4293" xr:uid="{00000000-0005-0000-0000-0000FEC20000}"/>
    <cellStyle name="Input 5 10" xfId="4294" xr:uid="{00000000-0005-0000-0000-0000FFC20000}"/>
    <cellStyle name="Input 5 11" xfId="59397" xr:uid="{00000000-0005-0000-0000-000000C30000}"/>
    <cellStyle name="Input 5 12" xfId="59398" xr:uid="{00000000-0005-0000-0000-000001C30000}"/>
    <cellStyle name="Input 5 2" xfId="4295" xr:uid="{00000000-0005-0000-0000-000002C30000}"/>
    <cellStyle name="Input 5 2 2" xfId="4296" xr:uid="{00000000-0005-0000-0000-000003C30000}"/>
    <cellStyle name="Input 5 2 2 2" xfId="59399" xr:uid="{00000000-0005-0000-0000-000004C30000}"/>
    <cellStyle name="Input 5 2 3" xfId="4297" xr:uid="{00000000-0005-0000-0000-000005C30000}"/>
    <cellStyle name="Input 5 2 3 2" xfId="59400" xr:uid="{00000000-0005-0000-0000-000006C30000}"/>
    <cellStyle name="Input 5 2 4" xfId="4298" xr:uid="{00000000-0005-0000-0000-000007C30000}"/>
    <cellStyle name="Input 5 2 4 2" xfId="59401" xr:uid="{00000000-0005-0000-0000-000008C30000}"/>
    <cellStyle name="Input 5 2 5" xfId="4299" xr:uid="{00000000-0005-0000-0000-000009C30000}"/>
    <cellStyle name="Input 5 2 5 2" xfId="59402" xr:uid="{00000000-0005-0000-0000-00000AC30000}"/>
    <cellStyle name="Input 5 2 6" xfId="4300" xr:uid="{00000000-0005-0000-0000-00000BC30000}"/>
    <cellStyle name="Input 5 2 6 2" xfId="59403" xr:uid="{00000000-0005-0000-0000-00000CC30000}"/>
    <cellStyle name="Input 5 2 7" xfId="4301" xr:uid="{00000000-0005-0000-0000-00000DC30000}"/>
    <cellStyle name="Input 5 2 7 2" xfId="59404" xr:uid="{00000000-0005-0000-0000-00000EC30000}"/>
    <cellStyle name="Input 5 2 8" xfId="4302" xr:uid="{00000000-0005-0000-0000-00000FC30000}"/>
    <cellStyle name="Input 5 2 8 2" xfId="59405" xr:uid="{00000000-0005-0000-0000-000010C30000}"/>
    <cellStyle name="Input 5 2 9" xfId="4303" xr:uid="{00000000-0005-0000-0000-000011C30000}"/>
    <cellStyle name="Input 5 3" xfId="4304" xr:uid="{00000000-0005-0000-0000-000012C30000}"/>
    <cellStyle name="Input 5 3 2" xfId="59406" xr:uid="{00000000-0005-0000-0000-000013C30000}"/>
    <cellStyle name="Input 5 4" xfId="4305" xr:uid="{00000000-0005-0000-0000-000014C30000}"/>
    <cellStyle name="Input 5 4 2" xfId="59407" xr:uid="{00000000-0005-0000-0000-000015C30000}"/>
    <cellStyle name="Input 5 5" xfId="4306" xr:uid="{00000000-0005-0000-0000-000016C30000}"/>
    <cellStyle name="Input 5 5 2" xfId="59408" xr:uid="{00000000-0005-0000-0000-000017C30000}"/>
    <cellStyle name="Input 5 6" xfId="4307" xr:uid="{00000000-0005-0000-0000-000018C30000}"/>
    <cellStyle name="Input 5 6 2" xfId="59409" xr:uid="{00000000-0005-0000-0000-000019C30000}"/>
    <cellStyle name="Input 5 7" xfId="4308" xr:uid="{00000000-0005-0000-0000-00001AC30000}"/>
    <cellStyle name="Input 5 7 2" xfId="59410" xr:uid="{00000000-0005-0000-0000-00001BC30000}"/>
    <cellStyle name="Input 5 8" xfId="4309" xr:uid="{00000000-0005-0000-0000-00001CC30000}"/>
    <cellStyle name="Input 5 8 2" xfId="59411" xr:uid="{00000000-0005-0000-0000-00001DC30000}"/>
    <cellStyle name="Input 5 9" xfId="4310" xr:uid="{00000000-0005-0000-0000-00001EC30000}"/>
    <cellStyle name="Input 5 9 2" xfId="59412" xr:uid="{00000000-0005-0000-0000-00001FC30000}"/>
    <cellStyle name="Input 6" xfId="4311" xr:uid="{00000000-0005-0000-0000-000020C30000}"/>
    <cellStyle name="Input 6 10" xfId="4312" xr:uid="{00000000-0005-0000-0000-000021C30000}"/>
    <cellStyle name="Input 6 11" xfId="59413" xr:uid="{00000000-0005-0000-0000-000022C30000}"/>
    <cellStyle name="Input 6 12" xfId="59414" xr:uid="{00000000-0005-0000-0000-000023C30000}"/>
    <cellStyle name="Input 6 2" xfId="4313" xr:uid="{00000000-0005-0000-0000-000024C30000}"/>
    <cellStyle name="Input 6 2 2" xfId="4314" xr:uid="{00000000-0005-0000-0000-000025C30000}"/>
    <cellStyle name="Input 6 2 2 2" xfId="59415" xr:uid="{00000000-0005-0000-0000-000026C30000}"/>
    <cellStyle name="Input 6 2 3" xfId="4315" xr:uid="{00000000-0005-0000-0000-000027C30000}"/>
    <cellStyle name="Input 6 2 3 2" xfId="59416" xr:uid="{00000000-0005-0000-0000-000028C30000}"/>
    <cellStyle name="Input 6 2 4" xfId="4316" xr:uid="{00000000-0005-0000-0000-000029C30000}"/>
    <cellStyle name="Input 6 2 4 2" xfId="59417" xr:uid="{00000000-0005-0000-0000-00002AC30000}"/>
    <cellStyle name="Input 6 2 5" xfId="4317" xr:uid="{00000000-0005-0000-0000-00002BC30000}"/>
    <cellStyle name="Input 6 2 5 2" xfId="59418" xr:uid="{00000000-0005-0000-0000-00002CC30000}"/>
    <cellStyle name="Input 6 2 6" xfId="4318" xr:uid="{00000000-0005-0000-0000-00002DC30000}"/>
    <cellStyle name="Input 6 2 6 2" xfId="59419" xr:uid="{00000000-0005-0000-0000-00002EC30000}"/>
    <cellStyle name="Input 6 2 7" xfId="4319" xr:uid="{00000000-0005-0000-0000-00002FC30000}"/>
    <cellStyle name="Input 6 2 7 2" xfId="59420" xr:uid="{00000000-0005-0000-0000-000030C30000}"/>
    <cellStyle name="Input 6 2 8" xfId="4320" xr:uid="{00000000-0005-0000-0000-000031C30000}"/>
    <cellStyle name="Input 6 2 8 2" xfId="59421" xr:uid="{00000000-0005-0000-0000-000032C30000}"/>
    <cellStyle name="Input 6 2 9" xfId="4321" xr:uid="{00000000-0005-0000-0000-000033C30000}"/>
    <cellStyle name="Input 6 3" xfId="4322" xr:uid="{00000000-0005-0000-0000-000034C30000}"/>
    <cellStyle name="Input 6 3 2" xfId="59422" xr:uid="{00000000-0005-0000-0000-000035C30000}"/>
    <cellStyle name="Input 6 4" xfId="4323" xr:uid="{00000000-0005-0000-0000-000036C30000}"/>
    <cellStyle name="Input 6 4 2" xfId="59423" xr:uid="{00000000-0005-0000-0000-000037C30000}"/>
    <cellStyle name="Input 6 5" xfId="4324" xr:uid="{00000000-0005-0000-0000-000038C30000}"/>
    <cellStyle name="Input 6 5 2" xfId="59424" xr:uid="{00000000-0005-0000-0000-000039C30000}"/>
    <cellStyle name="Input 6 6" xfId="4325" xr:uid="{00000000-0005-0000-0000-00003AC30000}"/>
    <cellStyle name="Input 6 6 2" xfId="59425" xr:uid="{00000000-0005-0000-0000-00003BC30000}"/>
    <cellStyle name="Input 6 7" xfId="4326" xr:uid="{00000000-0005-0000-0000-00003CC30000}"/>
    <cellStyle name="Input 6 7 2" xfId="59426" xr:uid="{00000000-0005-0000-0000-00003DC30000}"/>
    <cellStyle name="Input 6 8" xfId="4327" xr:uid="{00000000-0005-0000-0000-00003EC30000}"/>
    <cellStyle name="Input 6 8 2" xfId="59427" xr:uid="{00000000-0005-0000-0000-00003FC30000}"/>
    <cellStyle name="Input 6 9" xfId="4328" xr:uid="{00000000-0005-0000-0000-000040C30000}"/>
    <cellStyle name="Input 6 9 2" xfId="59428" xr:uid="{00000000-0005-0000-0000-000041C30000}"/>
    <cellStyle name="Input 7" xfId="4329" xr:uid="{00000000-0005-0000-0000-000042C30000}"/>
    <cellStyle name="Input 7 10" xfId="4330" xr:uid="{00000000-0005-0000-0000-000043C30000}"/>
    <cellStyle name="Input 7 11" xfId="59429" xr:uid="{00000000-0005-0000-0000-000044C30000}"/>
    <cellStyle name="Input 7 12" xfId="59430" xr:uid="{00000000-0005-0000-0000-000045C30000}"/>
    <cellStyle name="Input 7 2" xfId="4331" xr:uid="{00000000-0005-0000-0000-000046C30000}"/>
    <cellStyle name="Input 7 2 2" xfId="4332" xr:uid="{00000000-0005-0000-0000-000047C30000}"/>
    <cellStyle name="Input 7 2 2 2" xfId="59431" xr:uid="{00000000-0005-0000-0000-000048C30000}"/>
    <cellStyle name="Input 7 2 3" xfId="4333" xr:uid="{00000000-0005-0000-0000-000049C30000}"/>
    <cellStyle name="Input 7 2 3 2" xfId="59432" xr:uid="{00000000-0005-0000-0000-00004AC30000}"/>
    <cellStyle name="Input 7 2 4" xfId="4334" xr:uid="{00000000-0005-0000-0000-00004BC30000}"/>
    <cellStyle name="Input 7 2 4 2" xfId="59433" xr:uid="{00000000-0005-0000-0000-00004CC30000}"/>
    <cellStyle name="Input 7 2 5" xfId="4335" xr:uid="{00000000-0005-0000-0000-00004DC30000}"/>
    <cellStyle name="Input 7 2 5 2" xfId="59434" xr:uid="{00000000-0005-0000-0000-00004EC30000}"/>
    <cellStyle name="Input 7 2 6" xfId="4336" xr:uid="{00000000-0005-0000-0000-00004FC30000}"/>
    <cellStyle name="Input 7 2 6 2" xfId="59435" xr:uid="{00000000-0005-0000-0000-000050C30000}"/>
    <cellStyle name="Input 7 2 7" xfId="4337" xr:uid="{00000000-0005-0000-0000-000051C30000}"/>
    <cellStyle name="Input 7 2 7 2" xfId="59436" xr:uid="{00000000-0005-0000-0000-000052C30000}"/>
    <cellStyle name="Input 7 2 8" xfId="4338" xr:uid="{00000000-0005-0000-0000-000053C30000}"/>
    <cellStyle name="Input 7 2 8 2" xfId="59437" xr:uid="{00000000-0005-0000-0000-000054C30000}"/>
    <cellStyle name="Input 7 2 9" xfId="4339" xr:uid="{00000000-0005-0000-0000-000055C30000}"/>
    <cellStyle name="Input 7 3" xfId="4340" xr:uid="{00000000-0005-0000-0000-000056C30000}"/>
    <cellStyle name="Input 7 3 2" xfId="59438" xr:uid="{00000000-0005-0000-0000-000057C30000}"/>
    <cellStyle name="Input 7 4" xfId="4341" xr:uid="{00000000-0005-0000-0000-000058C30000}"/>
    <cellStyle name="Input 7 4 2" xfId="59439" xr:uid="{00000000-0005-0000-0000-000059C30000}"/>
    <cellStyle name="Input 7 5" xfId="4342" xr:uid="{00000000-0005-0000-0000-00005AC30000}"/>
    <cellStyle name="Input 7 5 2" xfId="59440" xr:uid="{00000000-0005-0000-0000-00005BC30000}"/>
    <cellStyle name="Input 7 6" xfId="4343" xr:uid="{00000000-0005-0000-0000-00005CC30000}"/>
    <cellStyle name="Input 7 6 2" xfId="59441" xr:uid="{00000000-0005-0000-0000-00005DC30000}"/>
    <cellStyle name="Input 7 7" xfId="4344" xr:uid="{00000000-0005-0000-0000-00005EC30000}"/>
    <cellStyle name="Input 7 7 2" xfId="59442" xr:uid="{00000000-0005-0000-0000-00005FC30000}"/>
    <cellStyle name="Input 7 8" xfId="4345" xr:uid="{00000000-0005-0000-0000-000060C30000}"/>
    <cellStyle name="Input 7 8 2" xfId="59443" xr:uid="{00000000-0005-0000-0000-000061C30000}"/>
    <cellStyle name="Input 7 9" xfId="4346" xr:uid="{00000000-0005-0000-0000-000062C30000}"/>
    <cellStyle name="Input 7 9 2" xfId="59444" xr:uid="{00000000-0005-0000-0000-000063C30000}"/>
    <cellStyle name="Input 8" xfId="4347" xr:uid="{00000000-0005-0000-0000-000064C30000}"/>
    <cellStyle name="Input 8 10" xfId="4348" xr:uid="{00000000-0005-0000-0000-000065C30000}"/>
    <cellStyle name="Input 8 11" xfId="59445" xr:uid="{00000000-0005-0000-0000-000066C30000}"/>
    <cellStyle name="Input 8 12" xfId="59446" xr:uid="{00000000-0005-0000-0000-000067C30000}"/>
    <cellStyle name="Input 8 2" xfId="4349" xr:uid="{00000000-0005-0000-0000-000068C30000}"/>
    <cellStyle name="Input 8 2 2" xfId="4350" xr:uid="{00000000-0005-0000-0000-000069C30000}"/>
    <cellStyle name="Input 8 2 2 2" xfId="59447" xr:uid="{00000000-0005-0000-0000-00006AC30000}"/>
    <cellStyle name="Input 8 2 3" xfId="4351" xr:uid="{00000000-0005-0000-0000-00006BC30000}"/>
    <cellStyle name="Input 8 2 3 2" xfId="59448" xr:uid="{00000000-0005-0000-0000-00006CC30000}"/>
    <cellStyle name="Input 8 2 4" xfId="4352" xr:uid="{00000000-0005-0000-0000-00006DC30000}"/>
    <cellStyle name="Input 8 2 4 2" xfId="59449" xr:uid="{00000000-0005-0000-0000-00006EC30000}"/>
    <cellStyle name="Input 8 2 5" xfId="4353" xr:uid="{00000000-0005-0000-0000-00006FC30000}"/>
    <cellStyle name="Input 8 2 5 2" xfId="59450" xr:uid="{00000000-0005-0000-0000-000070C30000}"/>
    <cellStyle name="Input 8 2 6" xfId="4354" xr:uid="{00000000-0005-0000-0000-000071C30000}"/>
    <cellStyle name="Input 8 2 6 2" xfId="59451" xr:uid="{00000000-0005-0000-0000-000072C30000}"/>
    <cellStyle name="Input 8 2 7" xfId="4355" xr:uid="{00000000-0005-0000-0000-000073C30000}"/>
    <cellStyle name="Input 8 2 7 2" xfId="59452" xr:uid="{00000000-0005-0000-0000-000074C30000}"/>
    <cellStyle name="Input 8 2 8" xfId="4356" xr:uid="{00000000-0005-0000-0000-000075C30000}"/>
    <cellStyle name="Input 8 2 8 2" xfId="59453" xr:uid="{00000000-0005-0000-0000-000076C30000}"/>
    <cellStyle name="Input 8 2 9" xfId="4357" xr:uid="{00000000-0005-0000-0000-000077C30000}"/>
    <cellStyle name="Input 8 3" xfId="4358" xr:uid="{00000000-0005-0000-0000-000078C30000}"/>
    <cellStyle name="Input 8 3 2" xfId="59454" xr:uid="{00000000-0005-0000-0000-000079C30000}"/>
    <cellStyle name="Input 8 4" xfId="4359" xr:uid="{00000000-0005-0000-0000-00007AC30000}"/>
    <cellStyle name="Input 8 4 2" xfId="59455" xr:uid="{00000000-0005-0000-0000-00007BC30000}"/>
    <cellStyle name="Input 8 5" xfId="4360" xr:uid="{00000000-0005-0000-0000-00007CC30000}"/>
    <cellStyle name="Input 8 5 2" xfId="59456" xr:uid="{00000000-0005-0000-0000-00007DC30000}"/>
    <cellStyle name="Input 8 6" xfId="4361" xr:uid="{00000000-0005-0000-0000-00007EC30000}"/>
    <cellStyle name="Input 8 6 2" xfId="59457" xr:uid="{00000000-0005-0000-0000-00007FC30000}"/>
    <cellStyle name="Input 8 7" xfId="4362" xr:uid="{00000000-0005-0000-0000-000080C30000}"/>
    <cellStyle name="Input 8 7 2" xfId="59458" xr:uid="{00000000-0005-0000-0000-000081C30000}"/>
    <cellStyle name="Input 8 8" xfId="4363" xr:uid="{00000000-0005-0000-0000-000082C30000}"/>
    <cellStyle name="Input 8 8 2" xfId="59459" xr:uid="{00000000-0005-0000-0000-000083C30000}"/>
    <cellStyle name="Input 8 9" xfId="4364" xr:uid="{00000000-0005-0000-0000-000084C30000}"/>
    <cellStyle name="Input 8 9 2" xfId="59460" xr:uid="{00000000-0005-0000-0000-000085C30000}"/>
    <cellStyle name="Input 9" xfId="4365" xr:uid="{00000000-0005-0000-0000-000086C30000}"/>
    <cellStyle name="Input 9 10" xfId="4366" xr:uid="{00000000-0005-0000-0000-000087C30000}"/>
    <cellStyle name="Input 9 11" xfId="59461" xr:uid="{00000000-0005-0000-0000-000088C30000}"/>
    <cellStyle name="Input 9 12" xfId="59462" xr:uid="{00000000-0005-0000-0000-000089C30000}"/>
    <cellStyle name="Input 9 2" xfId="4367" xr:uid="{00000000-0005-0000-0000-00008AC30000}"/>
    <cellStyle name="Input 9 2 2" xfId="4368" xr:uid="{00000000-0005-0000-0000-00008BC30000}"/>
    <cellStyle name="Input 9 2 2 2" xfId="59463" xr:uid="{00000000-0005-0000-0000-00008CC30000}"/>
    <cellStyle name="Input 9 2 3" xfId="4369" xr:uid="{00000000-0005-0000-0000-00008DC30000}"/>
    <cellStyle name="Input 9 2 3 2" xfId="59464" xr:uid="{00000000-0005-0000-0000-00008EC30000}"/>
    <cellStyle name="Input 9 2 4" xfId="4370" xr:uid="{00000000-0005-0000-0000-00008FC30000}"/>
    <cellStyle name="Input 9 2 4 2" xfId="59465" xr:uid="{00000000-0005-0000-0000-000090C30000}"/>
    <cellStyle name="Input 9 2 5" xfId="4371" xr:uid="{00000000-0005-0000-0000-000091C30000}"/>
    <cellStyle name="Input 9 2 5 2" xfId="59466" xr:uid="{00000000-0005-0000-0000-000092C30000}"/>
    <cellStyle name="Input 9 2 6" xfId="4372" xr:uid="{00000000-0005-0000-0000-000093C30000}"/>
    <cellStyle name="Input 9 2 6 2" xfId="59467" xr:uid="{00000000-0005-0000-0000-000094C30000}"/>
    <cellStyle name="Input 9 2 7" xfId="4373" xr:uid="{00000000-0005-0000-0000-000095C30000}"/>
    <cellStyle name="Input 9 2 7 2" xfId="59468" xr:uid="{00000000-0005-0000-0000-000096C30000}"/>
    <cellStyle name="Input 9 2 8" xfId="4374" xr:uid="{00000000-0005-0000-0000-000097C30000}"/>
    <cellStyle name="Input 9 2 8 2" xfId="59469" xr:uid="{00000000-0005-0000-0000-000098C30000}"/>
    <cellStyle name="Input 9 2 9" xfId="4375" xr:uid="{00000000-0005-0000-0000-000099C30000}"/>
    <cellStyle name="Input 9 3" xfId="4376" xr:uid="{00000000-0005-0000-0000-00009AC30000}"/>
    <cellStyle name="Input 9 3 2" xfId="59470" xr:uid="{00000000-0005-0000-0000-00009BC30000}"/>
    <cellStyle name="Input 9 4" xfId="4377" xr:uid="{00000000-0005-0000-0000-00009CC30000}"/>
    <cellStyle name="Input 9 4 2" xfId="59471" xr:uid="{00000000-0005-0000-0000-00009DC30000}"/>
    <cellStyle name="Input 9 5" xfId="4378" xr:uid="{00000000-0005-0000-0000-00009EC30000}"/>
    <cellStyle name="Input 9 5 2" xfId="59472" xr:uid="{00000000-0005-0000-0000-00009FC30000}"/>
    <cellStyle name="Input 9 6" xfId="4379" xr:uid="{00000000-0005-0000-0000-0000A0C30000}"/>
    <cellStyle name="Input 9 6 2" xfId="59473" xr:uid="{00000000-0005-0000-0000-0000A1C30000}"/>
    <cellStyle name="Input 9 7" xfId="4380" xr:uid="{00000000-0005-0000-0000-0000A2C30000}"/>
    <cellStyle name="Input 9 7 2" xfId="59474" xr:uid="{00000000-0005-0000-0000-0000A3C30000}"/>
    <cellStyle name="Input 9 8" xfId="4381" xr:uid="{00000000-0005-0000-0000-0000A4C30000}"/>
    <cellStyle name="Input 9 8 2" xfId="59475" xr:uid="{00000000-0005-0000-0000-0000A5C30000}"/>
    <cellStyle name="Input 9 9" xfId="4382" xr:uid="{00000000-0005-0000-0000-0000A6C30000}"/>
    <cellStyle name="Input 9 9 2" xfId="59476" xr:uid="{00000000-0005-0000-0000-0000A7C30000}"/>
    <cellStyle name="Labels - Style3" xfId="59477" xr:uid="{00000000-0005-0000-0000-0000A8C30000}"/>
    <cellStyle name="LineItemPrompt" xfId="4383" xr:uid="{00000000-0005-0000-0000-0000A9C30000}"/>
    <cellStyle name="LineItemPrompt 2" xfId="4384" xr:uid="{00000000-0005-0000-0000-0000AAC30000}"/>
    <cellStyle name="LineItemPrompt 2 2" xfId="9814" xr:uid="{00000000-0005-0000-0000-0000ABC30000}"/>
    <cellStyle name="LineItemPrompt 2 3" xfId="9815" xr:uid="{00000000-0005-0000-0000-0000ACC30000}"/>
    <cellStyle name="LineItemPrompt 3" xfId="4385" xr:uid="{00000000-0005-0000-0000-0000ADC30000}"/>
    <cellStyle name="LineItemPrompt 4" xfId="9213" xr:uid="{00000000-0005-0000-0000-0000AEC30000}"/>
    <cellStyle name="LineItemValue" xfId="4386" xr:uid="{00000000-0005-0000-0000-0000AFC30000}"/>
    <cellStyle name="LineItemValue 2" xfId="4387" xr:uid="{00000000-0005-0000-0000-0000B0C30000}"/>
    <cellStyle name="LineItemValue 2 2" xfId="9816" xr:uid="{00000000-0005-0000-0000-0000B1C30000}"/>
    <cellStyle name="LineItemValue 2 3" xfId="9817" xr:uid="{00000000-0005-0000-0000-0000B2C30000}"/>
    <cellStyle name="LineItemValue 3" xfId="4388" xr:uid="{00000000-0005-0000-0000-0000B3C30000}"/>
    <cellStyle name="LineItemValue 4" xfId="4389" xr:uid="{00000000-0005-0000-0000-0000B4C30000}"/>
    <cellStyle name="LineItemValue 5" xfId="9214" xr:uid="{00000000-0005-0000-0000-0000B5C30000}"/>
    <cellStyle name="Linked Cell 10" xfId="9818" xr:uid="{00000000-0005-0000-0000-0000B6C30000}"/>
    <cellStyle name="Linked Cell 11" xfId="9819" xr:uid="{00000000-0005-0000-0000-0000B7C30000}"/>
    <cellStyle name="Linked Cell 12" xfId="9820" xr:uid="{00000000-0005-0000-0000-0000B8C30000}"/>
    <cellStyle name="Linked Cell 13" xfId="9821" xr:uid="{00000000-0005-0000-0000-0000B9C30000}"/>
    <cellStyle name="Linked Cell 14" xfId="9822" xr:uid="{00000000-0005-0000-0000-0000BAC30000}"/>
    <cellStyle name="Linked Cell 15" xfId="9823" xr:uid="{00000000-0005-0000-0000-0000BBC30000}"/>
    <cellStyle name="Linked Cell 16" xfId="9824" xr:uid="{00000000-0005-0000-0000-0000BCC30000}"/>
    <cellStyle name="Linked Cell 17" xfId="9825" xr:uid="{00000000-0005-0000-0000-0000BDC30000}"/>
    <cellStyle name="Linked Cell 17 2" xfId="59478" xr:uid="{00000000-0005-0000-0000-0000BEC30000}"/>
    <cellStyle name="Linked Cell 2" xfId="4390" xr:uid="{00000000-0005-0000-0000-0000BFC30000}"/>
    <cellStyle name="Linked Cell 2 2" xfId="4391" xr:uid="{00000000-0005-0000-0000-0000C0C30000}"/>
    <cellStyle name="Linked Cell 2 2 2" xfId="52910" xr:uid="{00000000-0005-0000-0000-0000C1C30000}"/>
    <cellStyle name="Linked Cell 2 3" xfId="52911" xr:uid="{00000000-0005-0000-0000-0000C2C30000}"/>
    <cellStyle name="Linked Cell 2 4" xfId="52912" xr:uid="{00000000-0005-0000-0000-0000C3C30000}"/>
    <cellStyle name="Linked Cell 2 5" xfId="52913" xr:uid="{00000000-0005-0000-0000-0000C4C30000}"/>
    <cellStyle name="Linked Cell 3" xfId="4392" xr:uid="{00000000-0005-0000-0000-0000C5C30000}"/>
    <cellStyle name="Linked Cell 3 2" xfId="9215" xr:uid="{00000000-0005-0000-0000-0000C6C30000}"/>
    <cellStyle name="Linked Cell 4" xfId="9216" xr:uid="{00000000-0005-0000-0000-0000C7C30000}"/>
    <cellStyle name="Linked Cell 4 2" xfId="52914" xr:uid="{00000000-0005-0000-0000-0000C8C30000}"/>
    <cellStyle name="Linked Cell 5" xfId="9826" xr:uid="{00000000-0005-0000-0000-0000C9C30000}"/>
    <cellStyle name="Linked Cell 5 2" xfId="52915" xr:uid="{00000000-0005-0000-0000-0000CAC30000}"/>
    <cellStyle name="Linked Cell 6" xfId="9827" xr:uid="{00000000-0005-0000-0000-0000CBC30000}"/>
    <cellStyle name="Linked Cell 6 2" xfId="52916" xr:uid="{00000000-0005-0000-0000-0000CCC30000}"/>
    <cellStyle name="Linked Cell 7" xfId="9828" xr:uid="{00000000-0005-0000-0000-0000CDC30000}"/>
    <cellStyle name="Linked Cell 7 2" xfId="52917" xr:uid="{00000000-0005-0000-0000-0000CEC30000}"/>
    <cellStyle name="Linked Cell 8" xfId="9829" xr:uid="{00000000-0005-0000-0000-0000CFC30000}"/>
    <cellStyle name="Linked Cell 9" xfId="9830" xr:uid="{00000000-0005-0000-0000-0000D0C30000}"/>
    <cellStyle name="Milliers [0]_EDYAN" xfId="52918" xr:uid="{00000000-0005-0000-0000-0000D1C30000}"/>
    <cellStyle name="Milliers_EDYAN" xfId="52919" xr:uid="{00000000-0005-0000-0000-0000D2C30000}"/>
    <cellStyle name="Monétaire [0]_EDYAN" xfId="52920" xr:uid="{00000000-0005-0000-0000-0000D3C30000}"/>
    <cellStyle name="Monétaire_EDYAN" xfId="52921" xr:uid="{00000000-0005-0000-0000-0000D4C30000}"/>
    <cellStyle name="MTH" xfId="52922" xr:uid="{00000000-0005-0000-0000-0000D5C30000}"/>
    <cellStyle name="Neutral 10" xfId="9831" xr:uid="{00000000-0005-0000-0000-0000D6C30000}"/>
    <cellStyle name="Neutral 11" xfId="9832" xr:uid="{00000000-0005-0000-0000-0000D7C30000}"/>
    <cellStyle name="Neutral 12" xfId="9833" xr:uid="{00000000-0005-0000-0000-0000D8C30000}"/>
    <cellStyle name="Neutral 13" xfId="9834" xr:uid="{00000000-0005-0000-0000-0000D9C30000}"/>
    <cellStyle name="Neutral 14" xfId="9835" xr:uid="{00000000-0005-0000-0000-0000DAC30000}"/>
    <cellStyle name="Neutral 15" xfId="9836" xr:uid="{00000000-0005-0000-0000-0000DBC30000}"/>
    <cellStyle name="Neutral 16" xfId="9837" xr:uid="{00000000-0005-0000-0000-0000DCC30000}"/>
    <cellStyle name="Neutral 17" xfId="9838" xr:uid="{00000000-0005-0000-0000-0000DDC30000}"/>
    <cellStyle name="Neutral 17 2" xfId="59479" xr:uid="{00000000-0005-0000-0000-0000DEC30000}"/>
    <cellStyle name="Neutral 2" xfId="4393" xr:uid="{00000000-0005-0000-0000-0000DFC30000}"/>
    <cellStyle name="Neutral 2 2" xfId="4394" xr:uid="{00000000-0005-0000-0000-0000E0C30000}"/>
    <cellStyle name="Neutral 2 2 2" xfId="52923" xr:uid="{00000000-0005-0000-0000-0000E1C30000}"/>
    <cellStyle name="Neutral 2 3" xfId="52924" xr:uid="{00000000-0005-0000-0000-0000E2C30000}"/>
    <cellStyle name="Neutral 2 4" xfId="52925" xr:uid="{00000000-0005-0000-0000-0000E3C30000}"/>
    <cellStyle name="Neutral 2 5" xfId="52926" xr:uid="{00000000-0005-0000-0000-0000E4C30000}"/>
    <cellStyle name="Neutral 3" xfId="4395" xr:uid="{00000000-0005-0000-0000-0000E5C30000}"/>
    <cellStyle name="Neutral 3 2" xfId="9217" xr:uid="{00000000-0005-0000-0000-0000E6C30000}"/>
    <cellStyle name="Neutral 4" xfId="9218" xr:uid="{00000000-0005-0000-0000-0000E7C30000}"/>
    <cellStyle name="Neutral 4 2" xfId="52927" xr:uid="{00000000-0005-0000-0000-0000E8C30000}"/>
    <cellStyle name="Neutral 5" xfId="9839" xr:uid="{00000000-0005-0000-0000-0000E9C30000}"/>
    <cellStyle name="Neutral 5 2" xfId="52928" xr:uid="{00000000-0005-0000-0000-0000EAC30000}"/>
    <cellStyle name="Neutral 6" xfId="9840" xr:uid="{00000000-0005-0000-0000-0000EBC30000}"/>
    <cellStyle name="Neutral 6 2" xfId="52929" xr:uid="{00000000-0005-0000-0000-0000ECC30000}"/>
    <cellStyle name="Neutral 7" xfId="9841" xr:uid="{00000000-0005-0000-0000-0000EDC30000}"/>
    <cellStyle name="Neutral 7 2" xfId="52930" xr:uid="{00000000-0005-0000-0000-0000EEC30000}"/>
    <cellStyle name="Neutral 8" xfId="9842" xr:uid="{00000000-0005-0000-0000-0000EFC30000}"/>
    <cellStyle name="Neutral 9" xfId="9843" xr:uid="{00000000-0005-0000-0000-0000F0C30000}"/>
    <cellStyle name="Normal" xfId="0" builtinId="0"/>
    <cellStyle name="Normal - Style1" xfId="52931" xr:uid="{00000000-0005-0000-0000-0000F2C30000}"/>
    <cellStyle name="Normal - Style1 2" xfId="59480" xr:uid="{00000000-0005-0000-0000-0000F3C30000}"/>
    <cellStyle name="Normal - Style2" xfId="59481" xr:uid="{00000000-0005-0000-0000-0000F4C30000}"/>
    <cellStyle name="Normal - Style3" xfId="59482" xr:uid="{00000000-0005-0000-0000-0000F5C30000}"/>
    <cellStyle name="Normal - Style4" xfId="59483" xr:uid="{00000000-0005-0000-0000-0000F6C30000}"/>
    <cellStyle name="Normal - Style5" xfId="59484" xr:uid="{00000000-0005-0000-0000-0000F7C30000}"/>
    <cellStyle name="Normal - Style6" xfId="59485" xr:uid="{00000000-0005-0000-0000-0000F8C30000}"/>
    <cellStyle name="Normal - Style7" xfId="59486" xr:uid="{00000000-0005-0000-0000-0000F9C30000}"/>
    <cellStyle name="Normal - Style8" xfId="59487" xr:uid="{00000000-0005-0000-0000-0000FAC30000}"/>
    <cellStyle name="Normal 10" xfId="4396" xr:uid="{00000000-0005-0000-0000-0000FBC30000}"/>
    <cellStyle name="Normal 10 2" xfId="4397" xr:uid="{00000000-0005-0000-0000-0000FCC30000}"/>
    <cellStyle name="Normal 10 2 2" xfId="59488" xr:uid="{00000000-0005-0000-0000-0000FDC30000}"/>
    <cellStyle name="Normal 10 3" xfId="4398" xr:uid="{00000000-0005-0000-0000-0000FEC30000}"/>
    <cellStyle name="Normal 10 3 2" xfId="52932" xr:uid="{00000000-0005-0000-0000-0000FFC30000}"/>
    <cellStyle name="Normal 10 3 3" xfId="52933" xr:uid="{00000000-0005-0000-0000-000000C40000}"/>
    <cellStyle name="Normal 10 4" xfId="9219" xr:uid="{00000000-0005-0000-0000-000001C40000}"/>
    <cellStyle name="Normal 11" xfId="4399" xr:uid="{00000000-0005-0000-0000-000002C40000}"/>
    <cellStyle name="Normal 11 10" xfId="10006" xr:uid="{00000000-0005-0000-0000-000003C40000}"/>
    <cellStyle name="Normal 11 10 2" xfId="52934" xr:uid="{00000000-0005-0000-0000-000004C40000}"/>
    <cellStyle name="Normal 11 10 2 2" xfId="52935" xr:uid="{00000000-0005-0000-0000-000005C40000}"/>
    <cellStyle name="Normal 11 10 2 3" xfId="52936" xr:uid="{00000000-0005-0000-0000-000006C40000}"/>
    <cellStyle name="Normal 11 10 3" xfId="52937" xr:uid="{00000000-0005-0000-0000-000007C40000}"/>
    <cellStyle name="Normal 11 10 3 2" xfId="52938" xr:uid="{00000000-0005-0000-0000-000008C40000}"/>
    <cellStyle name="Normal 11 10 4" xfId="52939" xr:uid="{00000000-0005-0000-0000-000009C40000}"/>
    <cellStyle name="Normal 11 10 5" xfId="52940" xr:uid="{00000000-0005-0000-0000-00000AC40000}"/>
    <cellStyle name="Normal 11 11" xfId="52941" xr:uid="{00000000-0005-0000-0000-00000BC40000}"/>
    <cellStyle name="Normal 11 11 2" xfId="52942" xr:uid="{00000000-0005-0000-0000-00000CC40000}"/>
    <cellStyle name="Normal 11 11 3" xfId="52943" xr:uid="{00000000-0005-0000-0000-00000DC40000}"/>
    <cellStyle name="Normal 11 12" xfId="52944" xr:uid="{00000000-0005-0000-0000-00000EC40000}"/>
    <cellStyle name="Normal 11 12 2" xfId="52945" xr:uid="{00000000-0005-0000-0000-00000FC40000}"/>
    <cellStyle name="Normal 11 12 3" xfId="52946" xr:uid="{00000000-0005-0000-0000-000010C40000}"/>
    <cellStyle name="Normal 11 13" xfId="52947" xr:uid="{00000000-0005-0000-0000-000011C40000}"/>
    <cellStyle name="Normal 11 13 2" xfId="52948" xr:uid="{00000000-0005-0000-0000-000012C40000}"/>
    <cellStyle name="Normal 11 14" xfId="52949" xr:uid="{00000000-0005-0000-0000-000013C40000}"/>
    <cellStyle name="Normal 11 15" xfId="52950" xr:uid="{00000000-0005-0000-0000-000014C40000}"/>
    <cellStyle name="Normal 11 16" xfId="52951" xr:uid="{00000000-0005-0000-0000-000015C40000}"/>
    <cellStyle name="Normal 11 2" xfId="4400" xr:uid="{00000000-0005-0000-0000-000016C40000}"/>
    <cellStyle name="Normal 11 2 10" xfId="52952" xr:uid="{00000000-0005-0000-0000-000017C40000}"/>
    <cellStyle name="Normal 11 2 10 2" xfId="52953" xr:uid="{00000000-0005-0000-0000-000018C40000}"/>
    <cellStyle name="Normal 11 2 10 3" xfId="52954" xr:uid="{00000000-0005-0000-0000-000019C40000}"/>
    <cellStyle name="Normal 11 2 11" xfId="52955" xr:uid="{00000000-0005-0000-0000-00001AC40000}"/>
    <cellStyle name="Normal 11 2 11 2" xfId="52956" xr:uid="{00000000-0005-0000-0000-00001BC40000}"/>
    <cellStyle name="Normal 11 2 11 3" xfId="52957" xr:uid="{00000000-0005-0000-0000-00001CC40000}"/>
    <cellStyle name="Normal 11 2 12" xfId="52958" xr:uid="{00000000-0005-0000-0000-00001DC40000}"/>
    <cellStyle name="Normal 11 2 12 2" xfId="52959" xr:uid="{00000000-0005-0000-0000-00001EC40000}"/>
    <cellStyle name="Normal 11 2 13" xfId="52960" xr:uid="{00000000-0005-0000-0000-00001FC40000}"/>
    <cellStyle name="Normal 11 2 14" xfId="52961" xr:uid="{00000000-0005-0000-0000-000020C40000}"/>
    <cellStyle name="Normal 11 2 15" xfId="52962" xr:uid="{00000000-0005-0000-0000-000021C40000}"/>
    <cellStyle name="Normal 11 2 2" xfId="52963" xr:uid="{00000000-0005-0000-0000-000022C40000}"/>
    <cellStyle name="Normal 11 2 2 10" xfId="52964" xr:uid="{00000000-0005-0000-0000-000023C40000}"/>
    <cellStyle name="Normal 11 2 2 10 2" xfId="52965" xr:uid="{00000000-0005-0000-0000-000024C40000}"/>
    <cellStyle name="Normal 11 2 2 10 3" xfId="52966" xr:uid="{00000000-0005-0000-0000-000025C40000}"/>
    <cellStyle name="Normal 11 2 2 11" xfId="52967" xr:uid="{00000000-0005-0000-0000-000026C40000}"/>
    <cellStyle name="Normal 11 2 2 11 2" xfId="52968" xr:uid="{00000000-0005-0000-0000-000027C40000}"/>
    <cellStyle name="Normal 11 2 2 12" xfId="52969" xr:uid="{00000000-0005-0000-0000-000028C40000}"/>
    <cellStyle name="Normal 11 2 2 13" xfId="52970" xr:uid="{00000000-0005-0000-0000-000029C40000}"/>
    <cellStyle name="Normal 11 2 2 2" xfId="52971" xr:uid="{00000000-0005-0000-0000-00002AC40000}"/>
    <cellStyle name="Normal 11 2 2 2 10" xfId="52972" xr:uid="{00000000-0005-0000-0000-00002BC40000}"/>
    <cellStyle name="Normal 11 2 2 2 10 2" xfId="52973" xr:uid="{00000000-0005-0000-0000-00002CC40000}"/>
    <cellStyle name="Normal 11 2 2 2 11" xfId="52974" xr:uid="{00000000-0005-0000-0000-00002DC40000}"/>
    <cellStyle name="Normal 11 2 2 2 12" xfId="52975" xr:uid="{00000000-0005-0000-0000-00002EC40000}"/>
    <cellStyle name="Normal 11 2 2 2 2" xfId="52976" xr:uid="{00000000-0005-0000-0000-00002FC40000}"/>
    <cellStyle name="Normal 11 2 2 2 2 10" xfId="52977" xr:uid="{00000000-0005-0000-0000-000030C40000}"/>
    <cellStyle name="Normal 11 2 2 2 2 2" xfId="52978" xr:uid="{00000000-0005-0000-0000-000031C40000}"/>
    <cellStyle name="Normal 11 2 2 2 2 2 2" xfId="52979" xr:uid="{00000000-0005-0000-0000-000032C40000}"/>
    <cellStyle name="Normal 11 2 2 2 2 2 2 2" xfId="52980" xr:uid="{00000000-0005-0000-0000-000033C40000}"/>
    <cellStyle name="Normal 11 2 2 2 2 2 2 2 2" xfId="52981" xr:uid="{00000000-0005-0000-0000-000034C40000}"/>
    <cellStyle name="Normal 11 2 2 2 2 2 2 2 3" xfId="52982" xr:uid="{00000000-0005-0000-0000-000035C40000}"/>
    <cellStyle name="Normal 11 2 2 2 2 2 2 3" xfId="52983" xr:uid="{00000000-0005-0000-0000-000036C40000}"/>
    <cellStyle name="Normal 11 2 2 2 2 2 2 3 2" xfId="52984" xr:uid="{00000000-0005-0000-0000-000037C40000}"/>
    <cellStyle name="Normal 11 2 2 2 2 2 2 3 3" xfId="52985" xr:uid="{00000000-0005-0000-0000-000038C40000}"/>
    <cellStyle name="Normal 11 2 2 2 2 2 2 4" xfId="52986" xr:uid="{00000000-0005-0000-0000-000039C40000}"/>
    <cellStyle name="Normal 11 2 2 2 2 2 2 4 2" xfId="52987" xr:uid="{00000000-0005-0000-0000-00003AC40000}"/>
    <cellStyle name="Normal 11 2 2 2 2 2 2 5" xfId="52988" xr:uid="{00000000-0005-0000-0000-00003BC40000}"/>
    <cellStyle name="Normal 11 2 2 2 2 2 2 6" xfId="52989" xr:uid="{00000000-0005-0000-0000-00003CC40000}"/>
    <cellStyle name="Normal 11 2 2 2 2 2 3" xfId="52990" xr:uid="{00000000-0005-0000-0000-00003DC40000}"/>
    <cellStyle name="Normal 11 2 2 2 2 2 3 2" xfId="52991" xr:uid="{00000000-0005-0000-0000-00003EC40000}"/>
    <cellStyle name="Normal 11 2 2 2 2 2 3 2 2" xfId="52992" xr:uid="{00000000-0005-0000-0000-00003FC40000}"/>
    <cellStyle name="Normal 11 2 2 2 2 2 3 2 3" xfId="52993" xr:uid="{00000000-0005-0000-0000-000040C40000}"/>
    <cellStyle name="Normal 11 2 2 2 2 2 3 3" xfId="52994" xr:uid="{00000000-0005-0000-0000-000041C40000}"/>
    <cellStyle name="Normal 11 2 2 2 2 2 3 3 2" xfId="52995" xr:uid="{00000000-0005-0000-0000-000042C40000}"/>
    <cellStyle name="Normal 11 2 2 2 2 2 3 3 3" xfId="52996" xr:uid="{00000000-0005-0000-0000-000043C40000}"/>
    <cellStyle name="Normal 11 2 2 2 2 2 3 4" xfId="52997" xr:uid="{00000000-0005-0000-0000-000044C40000}"/>
    <cellStyle name="Normal 11 2 2 2 2 2 3 4 2" xfId="52998" xr:uid="{00000000-0005-0000-0000-000045C40000}"/>
    <cellStyle name="Normal 11 2 2 2 2 2 3 5" xfId="52999" xr:uid="{00000000-0005-0000-0000-000046C40000}"/>
    <cellStyle name="Normal 11 2 2 2 2 2 3 6" xfId="53000" xr:uid="{00000000-0005-0000-0000-000047C40000}"/>
    <cellStyle name="Normal 11 2 2 2 2 2 4" xfId="53001" xr:uid="{00000000-0005-0000-0000-000048C40000}"/>
    <cellStyle name="Normal 11 2 2 2 2 2 4 2" xfId="53002" xr:uid="{00000000-0005-0000-0000-000049C40000}"/>
    <cellStyle name="Normal 11 2 2 2 2 2 4 2 2" xfId="53003" xr:uid="{00000000-0005-0000-0000-00004AC40000}"/>
    <cellStyle name="Normal 11 2 2 2 2 2 4 2 3" xfId="53004" xr:uid="{00000000-0005-0000-0000-00004BC40000}"/>
    <cellStyle name="Normal 11 2 2 2 2 2 4 3" xfId="53005" xr:uid="{00000000-0005-0000-0000-00004CC40000}"/>
    <cellStyle name="Normal 11 2 2 2 2 2 4 3 2" xfId="53006" xr:uid="{00000000-0005-0000-0000-00004DC40000}"/>
    <cellStyle name="Normal 11 2 2 2 2 2 4 4" xfId="53007" xr:uid="{00000000-0005-0000-0000-00004EC40000}"/>
    <cellStyle name="Normal 11 2 2 2 2 2 4 5" xfId="53008" xr:uid="{00000000-0005-0000-0000-00004FC40000}"/>
    <cellStyle name="Normal 11 2 2 2 2 2 5" xfId="53009" xr:uid="{00000000-0005-0000-0000-000050C40000}"/>
    <cellStyle name="Normal 11 2 2 2 2 2 5 2" xfId="53010" xr:uid="{00000000-0005-0000-0000-000051C40000}"/>
    <cellStyle name="Normal 11 2 2 2 2 2 5 3" xfId="53011" xr:uid="{00000000-0005-0000-0000-000052C40000}"/>
    <cellStyle name="Normal 11 2 2 2 2 2 6" xfId="53012" xr:uid="{00000000-0005-0000-0000-000053C40000}"/>
    <cellStyle name="Normal 11 2 2 2 2 2 6 2" xfId="53013" xr:uid="{00000000-0005-0000-0000-000054C40000}"/>
    <cellStyle name="Normal 11 2 2 2 2 2 6 3" xfId="53014" xr:uid="{00000000-0005-0000-0000-000055C40000}"/>
    <cellStyle name="Normal 11 2 2 2 2 2 7" xfId="53015" xr:uid="{00000000-0005-0000-0000-000056C40000}"/>
    <cellStyle name="Normal 11 2 2 2 2 2 7 2" xfId="53016" xr:uid="{00000000-0005-0000-0000-000057C40000}"/>
    <cellStyle name="Normal 11 2 2 2 2 2 8" xfId="53017" xr:uid="{00000000-0005-0000-0000-000058C40000}"/>
    <cellStyle name="Normal 11 2 2 2 2 2 9" xfId="53018" xr:uid="{00000000-0005-0000-0000-000059C40000}"/>
    <cellStyle name="Normal 11 2 2 2 2 3" xfId="53019" xr:uid="{00000000-0005-0000-0000-00005AC40000}"/>
    <cellStyle name="Normal 11 2 2 2 2 3 2" xfId="53020" xr:uid="{00000000-0005-0000-0000-00005BC40000}"/>
    <cellStyle name="Normal 11 2 2 2 2 3 2 2" xfId="53021" xr:uid="{00000000-0005-0000-0000-00005CC40000}"/>
    <cellStyle name="Normal 11 2 2 2 2 3 2 3" xfId="53022" xr:uid="{00000000-0005-0000-0000-00005DC40000}"/>
    <cellStyle name="Normal 11 2 2 2 2 3 3" xfId="53023" xr:uid="{00000000-0005-0000-0000-00005EC40000}"/>
    <cellStyle name="Normal 11 2 2 2 2 3 3 2" xfId="53024" xr:uid="{00000000-0005-0000-0000-00005FC40000}"/>
    <cellStyle name="Normal 11 2 2 2 2 3 3 3" xfId="53025" xr:uid="{00000000-0005-0000-0000-000060C40000}"/>
    <cellStyle name="Normal 11 2 2 2 2 3 4" xfId="53026" xr:uid="{00000000-0005-0000-0000-000061C40000}"/>
    <cellStyle name="Normal 11 2 2 2 2 3 4 2" xfId="53027" xr:uid="{00000000-0005-0000-0000-000062C40000}"/>
    <cellStyle name="Normal 11 2 2 2 2 3 5" xfId="53028" xr:uid="{00000000-0005-0000-0000-000063C40000}"/>
    <cellStyle name="Normal 11 2 2 2 2 3 6" xfId="53029" xr:uid="{00000000-0005-0000-0000-000064C40000}"/>
    <cellStyle name="Normal 11 2 2 2 2 4" xfId="53030" xr:uid="{00000000-0005-0000-0000-000065C40000}"/>
    <cellStyle name="Normal 11 2 2 2 2 4 2" xfId="53031" xr:uid="{00000000-0005-0000-0000-000066C40000}"/>
    <cellStyle name="Normal 11 2 2 2 2 4 2 2" xfId="53032" xr:uid="{00000000-0005-0000-0000-000067C40000}"/>
    <cellStyle name="Normal 11 2 2 2 2 4 2 3" xfId="53033" xr:uid="{00000000-0005-0000-0000-000068C40000}"/>
    <cellStyle name="Normal 11 2 2 2 2 4 3" xfId="53034" xr:uid="{00000000-0005-0000-0000-000069C40000}"/>
    <cellStyle name="Normal 11 2 2 2 2 4 3 2" xfId="53035" xr:uid="{00000000-0005-0000-0000-00006AC40000}"/>
    <cellStyle name="Normal 11 2 2 2 2 4 3 3" xfId="53036" xr:uid="{00000000-0005-0000-0000-00006BC40000}"/>
    <cellStyle name="Normal 11 2 2 2 2 4 4" xfId="53037" xr:uid="{00000000-0005-0000-0000-00006CC40000}"/>
    <cellStyle name="Normal 11 2 2 2 2 4 4 2" xfId="53038" xr:uid="{00000000-0005-0000-0000-00006DC40000}"/>
    <cellStyle name="Normal 11 2 2 2 2 4 5" xfId="53039" xr:uid="{00000000-0005-0000-0000-00006EC40000}"/>
    <cellStyle name="Normal 11 2 2 2 2 4 6" xfId="53040" xr:uid="{00000000-0005-0000-0000-00006FC40000}"/>
    <cellStyle name="Normal 11 2 2 2 2 5" xfId="53041" xr:uid="{00000000-0005-0000-0000-000070C40000}"/>
    <cellStyle name="Normal 11 2 2 2 2 5 2" xfId="53042" xr:uid="{00000000-0005-0000-0000-000071C40000}"/>
    <cellStyle name="Normal 11 2 2 2 2 5 2 2" xfId="53043" xr:uid="{00000000-0005-0000-0000-000072C40000}"/>
    <cellStyle name="Normal 11 2 2 2 2 5 2 3" xfId="53044" xr:uid="{00000000-0005-0000-0000-000073C40000}"/>
    <cellStyle name="Normal 11 2 2 2 2 5 3" xfId="53045" xr:uid="{00000000-0005-0000-0000-000074C40000}"/>
    <cellStyle name="Normal 11 2 2 2 2 5 3 2" xfId="53046" xr:uid="{00000000-0005-0000-0000-000075C40000}"/>
    <cellStyle name="Normal 11 2 2 2 2 5 4" xfId="53047" xr:uid="{00000000-0005-0000-0000-000076C40000}"/>
    <cellStyle name="Normal 11 2 2 2 2 5 5" xfId="53048" xr:uid="{00000000-0005-0000-0000-000077C40000}"/>
    <cellStyle name="Normal 11 2 2 2 2 6" xfId="53049" xr:uid="{00000000-0005-0000-0000-000078C40000}"/>
    <cellStyle name="Normal 11 2 2 2 2 6 2" xfId="53050" xr:uid="{00000000-0005-0000-0000-000079C40000}"/>
    <cellStyle name="Normal 11 2 2 2 2 6 3" xfId="53051" xr:uid="{00000000-0005-0000-0000-00007AC40000}"/>
    <cellStyle name="Normal 11 2 2 2 2 7" xfId="53052" xr:uid="{00000000-0005-0000-0000-00007BC40000}"/>
    <cellStyle name="Normal 11 2 2 2 2 7 2" xfId="53053" xr:uid="{00000000-0005-0000-0000-00007CC40000}"/>
    <cellStyle name="Normal 11 2 2 2 2 7 3" xfId="53054" xr:uid="{00000000-0005-0000-0000-00007DC40000}"/>
    <cellStyle name="Normal 11 2 2 2 2 8" xfId="53055" xr:uid="{00000000-0005-0000-0000-00007EC40000}"/>
    <cellStyle name="Normal 11 2 2 2 2 8 2" xfId="53056" xr:uid="{00000000-0005-0000-0000-00007FC40000}"/>
    <cellStyle name="Normal 11 2 2 2 2 9" xfId="53057" xr:uid="{00000000-0005-0000-0000-000080C40000}"/>
    <cellStyle name="Normal 11 2 2 2 3" xfId="53058" xr:uid="{00000000-0005-0000-0000-000081C40000}"/>
    <cellStyle name="Normal 11 2 2 2 3 2" xfId="53059" xr:uid="{00000000-0005-0000-0000-000082C40000}"/>
    <cellStyle name="Normal 11 2 2 2 3 2 2" xfId="53060" xr:uid="{00000000-0005-0000-0000-000083C40000}"/>
    <cellStyle name="Normal 11 2 2 2 3 2 2 2" xfId="53061" xr:uid="{00000000-0005-0000-0000-000084C40000}"/>
    <cellStyle name="Normal 11 2 2 2 3 2 2 3" xfId="53062" xr:uid="{00000000-0005-0000-0000-000085C40000}"/>
    <cellStyle name="Normal 11 2 2 2 3 2 3" xfId="53063" xr:uid="{00000000-0005-0000-0000-000086C40000}"/>
    <cellStyle name="Normal 11 2 2 2 3 2 3 2" xfId="53064" xr:uid="{00000000-0005-0000-0000-000087C40000}"/>
    <cellStyle name="Normal 11 2 2 2 3 2 3 3" xfId="53065" xr:uid="{00000000-0005-0000-0000-000088C40000}"/>
    <cellStyle name="Normal 11 2 2 2 3 2 4" xfId="53066" xr:uid="{00000000-0005-0000-0000-000089C40000}"/>
    <cellStyle name="Normal 11 2 2 2 3 2 4 2" xfId="53067" xr:uid="{00000000-0005-0000-0000-00008AC40000}"/>
    <cellStyle name="Normal 11 2 2 2 3 2 5" xfId="53068" xr:uid="{00000000-0005-0000-0000-00008BC40000}"/>
    <cellStyle name="Normal 11 2 2 2 3 2 6" xfId="53069" xr:uid="{00000000-0005-0000-0000-00008CC40000}"/>
    <cellStyle name="Normal 11 2 2 2 3 3" xfId="53070" xr:uid="{00000000-0005-0000-0000-00008DC40000}"/>
    <cellStyle name="Normal 11 2 2 2 3 3 2" xfId="53071" xr:uid="{00000000-0005-0000-0000-00008EC40000}"/>
    <cellStyle name="Normal 11 2 2 2 3 3 2 2" xfId="53072" xr:uid="{00000000-0005-0000-0000-00008FC40000}"/>
    <cellStyle name="Normal 11 2 2 2 3 3 2 3" xfId="53073" xr:uid="{00000000-0005-0000-0000-000090C40000}"/>
    <cellStyle name="Normal 11 2 2 2 3 3 3" xfId="53074" xr:uid="{00000000-0005-0000-0000-000091C40000}"/>
    <cellStyle name="Normal 11 2 2 2 3 3 3 2" xfId="53075" xr:uid="{00000000-0005-0000-0000-000092C40000}"/>
    <cellStyle name="Normal 11 2 2 2 3 3 3 3" xfId="53076" xr:uid="{00000000-0005-0000-0000-000093C40000}"/>
    <cellStyle name="Normal 11 2 2 2 3 3 4" xfId="53077" xr:uid="{00000000-0005-0000-0000-000094C40000}"/>
    <cellStyle name="Normal 11 2 2 2 3 3 4 2" xfId="53078" xr:uid="{00000000-0005-0000-0000-000095C40000}"/>
    <cellStyle name="Normal 11 2 2 2 3 3 5" xfId="53079" xr:uid="{00000000-0005-0000-0000-000096C40000}"/>
    <cellStyle name="Normal 11 2 2 2 3 3 6" xfId="53080" xr:uid="{00000000-0005-0000-0000-000097C40000}"/>
    <cellStyle name="Normal 11 2 2 2 3 4" xfId="53081" xr:uid="{00000000-0005-0000-0000-000098C40000}"/>
    <cellStyle name="Normal 11 2 2 2 3 4 2" xfId="53082" xr:uid="{00000000-0005-0000-0000-000099C40000}"/>
    <cellStyle name="Normal 11 2 2 2 3 4 2 2" xfId="53083" xr:uid="{00000000-0005-0000-0000-00009AC40000}"/>
    <cellStyle name="Normal 11 2 2 2 3 4 2 3" xfId="53084" xr:uid="{00000000-0005-0000-0000-00009BC40000}"/>
    <cellStyle name="Normal 11 2 2 2 3 4 3" xfId="53085" xr:uid="{00000000-0005-0000-0000-00009CC40000}"/>
    <cellStyle name="Normal 11 2 2 2 3 4 3 2" xfId="53086" xr:uid="{00000000-0005-0000-0000-00009DC40000}"/>
    <cellStyle name="Normal 11 2 2 2 3 4 4" xfId="53087" xr:uid="{00000000-0005-0000-0000-00009EC40000}"/>
    <cellStyle name="Normal 11 2 2 2 3 4 5" xfId="53088" xr:uid="{00000000-0005-0000-0000-00009FC40000}"/>
    <cellStyle name="Normal 11 2 2 2 3 5" xfId="53089" xr:uid="{00000000-0005-0000-0000-0000A0C40000}"/>
    <cellStyle name="Normal 11 2 2 2 3 5 2" xfId="53090" xr:uid="{00000000-0005-0000-0000-0000A1C40000}"/>
    <cellStyle name="Normal 11 2 2 2 3 5 3" xfId="53091" xr:uid="{00000000-0005-0000-0000-0000A2C40000}"/>
    <cellStyle name="Normal 11 2 2 2 3 6" xfId="53092" xr:uid="{00000000-0005-0000-0000-0000A3C40000}"/>
    <cellStyle name="Normal 11 2 2 2 3 6 2" xfId="53093" xr:uid="{00000000-0005-0000-0000-0000A4C40000}"/>
    <cellStyle name="Normal 11 2 2 2 3 6 3" xfId="53094" xr:uid="{00000000-0005-0000-0000-0000A5C40000}"/>
    <cellStyle name="Normal 11 2 2 2 3 7" xfId="53095" xr:uid="{00000000-0005-0000-0000-0000A6C40000}"/>
    <cellStyle name="Normal 11 2 2 2 3 7 2" xfId="53096" xr:uid="{00000000-0005-0000-0000-0000A7C40000}"/>
    <cellStyle name="Normal 11 2 2 2 3 8" xfId="53097" xr:uid="{00000000-0005-0000-0000-0000A8C40000}"/>
    <cellStyle name="Normal 11 2 2 2 3 9" xfId="53098" xr:uid="{00000000-0005-0000-0000-0000A9C40000}"/>
    <cellStyle name="Normal 11 2 2 2 4" xfId="53099" xr:uid="{00000000-0005-0000-0000-0000AAC40000}"/>
    <cellStyle name="Normal 11 2 2 2 4 2" xfId="53100" xr:uid="{00000000-0005-0000-0000-0000ABC40000}"/>
    <cellStyle name="Normal 11 2 2 2 4 2 2" xfId="53101" xr:uid="{00000000-0005-0000-0000-0000ACC40000}"/>
    <cellStyle name="Normal 11 2 2 2 4 2 2 2" xfId="53102" xr:uid="{00000000-0005-0000-0000-0000ADC40000}"/>
    <cellStyle name="Normal 11 2 2 2 4 2 2 3" xfId="53103" xr:uid="{00000000-0005-0000-0000-0000AEC40000}"/>
    <cellStyle name="Normal 11 2 2 2 4 2 3" xfId="53104" xr:uid="{00000000-0005-0000-0000-0000AFC40000}"/>
    <cellStyle name="Normal 11 2 2 2 4 2 3 2" xfId="53105" xr:uid="{00000000-0005-0000-0000-0000B0C40000}"/>
    <cellStyle name="Normal 11 2 2 2 4 2 3 3" xfId="53106" xr:uid="{00000000-0005-0000-0000-0000B1C40000}"/>
    <cellStyle name="Normal 11 2 2 2 4 2 4" xfId="53107" xr:uid="{00000000-0005-0000-0000-0000B2C40000}"/>
    <cellStyle name="Normal 11 2 2 2 4 2 4 2" xfId="53108" xr:uid="{00000000-0005-0000-0000-0000B3C40000}"/>
    <cellStyle name="Normal 11 2 2 2 4 2 5" xfId="53109" xr:uid="{00000000-0005-0000-0000-0000B4C40000}"/>
    <cellStyle name="Normal 11 2 2 2 4 2 6" xfId="53110" xr:uid="{00000000-0005-0000-0000-0000B5C40000}"/>
    <cellStyle name="Normal 11 2 2 2 4 3" xfId="53111" xr:uid="{00000000-0005-0000-0000-0000B6C40000}"/>
    <cellStyle name="Normal 11 2 2 2 4 3 2" xfId="53112" xr:uid="{00000000-0005-0000-0000-0000B7C40000}"/>
    <cellStyle name="Normal 11 2 2 2 4 3 2 2" xfId="53113" xr:uid="{00000000-0005-0000-0000-0000B8C40000}"/>
    <cellStyle name="Normal 11 2 2 2 4 3 2 3" xfId="53114" xr:uid="{00000000-0005-0000-0000-0000B9C40000}"/>
    <cellStyle name="Normal 11 2 2 2 4 3 3" xfId="53115" xr:uid="{00000000-0005-0000-0000-0000BAC40000}"/>
    <cellStyle name="Normal 11 2 2 2 4 3 3 2" xfId="53116" xr:uid="{00000000-0005-0000-0000-0000BBC40000}"/>
    <cellStyle name="Normal 11 2 2 2 4 3 3 3" xfId="53117" xr:uid="{00000000-0005-0000-0000-0000BCC40000}"/>
    <cellStyle name="Normal 11 2 2 2 4 3 4" xfId="53118" xr:uid="{00000000-0005-0000-0000-0000BDC40000}"/>
    <cellStyle name="Normal 11 2 2 2 4 3 4 2" xfId="53119" xr:uid="{00000000-0005-0000-0000-0000BEC40000}"/>
    <cellStyle name="Normal 11 2 2 2 4 3 5" xfId="53120" xr:uid="{00000000-0005-0000-0000-0000BFC40000}"/>
    <cellStyle name="Normal 11 2 2 2 4 3 6" xfId="53121" xr:uid="{00000000-0005-0000-0000-0000C0C40000}"/>
    <cellStyle name="Normal 11 2 2 2 4 4" xfId="53122" xr:uid="{00000000-0005-0000-0000-0000C1C40000}"/>
    <cellStyle name="Normal 11 2 2 2 4 4 2" xfId="53123" xr:uid="{00000000-0005-0000-0000-0000C2C40000}"/>
    <cellStyle name="Normal 11 2 2 2 4 4 2 2" xfId="53124" xr:uid="{00000000-0005-0000-0000-0000C3C40000}"/>
    <cellStyle name="Normal 11 2 2 2 4 4 2 3" xfId="53125" xr:uid="{00000000-0005-0000-0000-0000C4C40000}"/>
    <cellStyle name="Normal 11 2 2 2 4 4 3" xfId="53126" xr:uid="{00000000-0005-0000-0000-0000C5C40000}"/>
    <cellStyle name="Normal 11 2 2 2 4 4 3 2" xfId="53127" xr:uid="{00000000-0005-0000-0000-0000C6C40000}"/>
    <cellStyle name="Normal 11 2 2 2 4 4 4" xfId="53128" xr:uid="{00000000-0005-0000-0000-0000C7C40000}"/>
    <cellStyle name="Normal 11 2 2 2 4 4 5" xfId="53129" xr:uid="{00000000-0005-0000-0000-0000C8C40000}"/>
    <cellStyle name="Normal 11 2 2 2 4 5" xfId="53130" xr:uid="{00000000-0005-0000-0000-0000C9C40000}"/>
    <cellStyle name="Normal 11 2 2 2 4 5 2" xfId="53131" xr:uid="{00000000-0005-0000-0000-0000CAC40000}"/>
    <cellStyle name="Normal 11 2 2 2 4 5 3" xfId="53132" xr:uid="{00000000-0005-0000-0000-0000CBC40000}"/>
    <cellStyle name="Normal 11 2 2 2 4 6" xfId="53133" xr:uid="{00000000-0005-0000-0000-0000CCC40000}"/>
    <cellStyle name="Normal 11 2 2 2 4 6 2" xfId="53134" xr:uid="{00000000-0005-0000-0000-0000CDC40000}"/>
    <cellStyle name="Normal 11 2 2 2 4 6 3" xfId="53135" xr:uid="{00000000-0005-0000-0000-0000CEC40000}"/>
    <cellStyle name="Normal 11 2 2 2 4 7" xfId="53136" xr:uid="{00000000-0005-0000-0000-0000CFC40000}"/>
    <cellStyle name="Normal 11 2 2 2 4 7 2" xfId="53137" xr:uid="{00000000-0005-0000-0000-0000D0C40000}"/>
    <cellStyle name="Normal 11 2 2 2 4 8" xfId="53138" xr:uid="{00000000-0005-0000-0000-0000D1C40000}"/>
    <cellStyle name="Normal 11 2 2 2 4 9" xfId="53139" xr:uid="{00000000-0005-0000-0000-0000D2C40000}"/>
    <cellStyle name="Normal 11 2 2 2 5" xfId="53140" xr:uid="{00000000-0005-0000-0000-0000D3C40000}"/>
    <cellStyle name="Normal 11 2 2 2 5 2" xfId="53141" xr:uid="{00000000-0005-0000-0000-0000D4C40000}"/>
    <cellStyle name="Normal 11 2 2 2 5 2 2" xfId="53142" xr:uid="{00000000-0005-0000-0000-0000D5C40000}"/>
    <cellStyle name="Normal 11 2 2 2 5 2 3" xfId="53143" xr:uid="{00000000-0005-0000-0000-0000D6C40000}"/>
    <cellStyle name="Normal 11 2 2 2 5 3" xfId="53144" xr:uid="{00000000-0005-0000-0000-0000D7C40000}"/>
    <cellStyle name="Normal 11 2 2 2 5 3 2" xfId="53145" xr:uid="{00000000-0005-0000-0000-0000D8C40000}"/>
    <cellStyle name="Normal 11 2 2 2 5 3 3" xfId="53146" xr:uid="{00000000-0005-0000-0000-0000D9C40000}"/>
    <cellStyle name="Normal 11 2 2 2 5 4" xfId="53147" xr:uid="{00000000-0005-0000-0000-0000DAC40000}"/>
    <cellStyle name="Normal 11 2 2 2 5 4 2" xfId="53148" xr:uid="{00000000-0005-0000-0000-0000DBC40000}"/>
    <cellStyle name="Normal 11 2 2 2 5 5" xfId="53149" xr:uid="{00000000-0005-0000-0000-0000DCC40000}"/>
    <cellStyle name="Normal 11 2 2 2 5 6" xfId="53150" xr:uid="{00000000-0005-0000-0000-0000DDC40000}"/>
    <cellStyle name="Normal 11 2 2 2 6" xfId="53151" xr:uid="{00000000-0005-0000-0000-0000DEC40000}"/>
    <cellStyle name="Normal 11 2 2 2 6 2" xfId="53152" xr:uid="{00000000-0005-0000-0000-0000DFC40000}"/>
    <cellStyle name="Normal 11 2 2 2 6 2 2" xfId="53153" xr:uid="{00000000-0005-0000-0000-0000E0C40000}"/>
    <cellStyle name="Normal 11 2 2 2 6 2 3" xfId="53154" xr:uid="{00000000-0005-0000-0000-0000E1C40000}"/>
    <cellStyle name="Normal 11 2 2 2 6 3" xfId="53155" xr:uid="{00000000-0005-0000-0000-0000E2C40000}"/>
    <cellStyle name="Normal 11 2 2 2 6 3 2" xfId="53156" xr:uid="{00000000-0005-0000-0000-0000E3C40000}"/>
    <cellStyle name="Normal 11 2 2 2 6 3 3" xfId="53157" xr:uid="{00000000-0005-0000-0000-0000E4C40000}"/>
    <cellStyle name="Normal 11 2 2 2 6 4" xfId="53158" xr:uid="{00000000-0005-0000-0000-0000E5C40000}"/>
    <cellStyle name="Normal 11 2 2 2 6 4 2" xfId="53159" xr:uid="{00000000-0005-0000-0000-0000E6C40000}"/>
    <cellStyle name="Normal 11 2 2 2 6 5" xfId="53160" xr:uid="{00000000-0005-0000-0000-0000E7C40000}"/>
    <cellStyle name="Normal 11 2 2 2 6 6" xfId="53161" xr:uid="{00000000-0005-0000-0000-0000E8C40000}"/>
    <cellStyle name="Normal 11 2 2 2 7" xfId="53162" xr:uid="{00000000-0005-0000-0000-0000E9C40000}"/>
    <cellStyle name="Normal 11 2 2 2 7 2" xfId="53163" xr:uid="{00000000-0005-0000-0000-0000EAC40000}"/>
    <cellStyle name="Normal 11 2 2 2 7 2 2" xfId="53164" xr:uid="{00000000-0005-0000-0000-0000EBC40000}"/>
    <cellStyle name="Normal 11 2 2 2 7 2 3" xfId="53165" xr:uid="{00000000-0005-0000-0000-0000ECC40000}"/>
    <cellStyle name="Normal 11 2 2 2 7 3" xfId="53166" xr:uid="{00000000-0005-0000-0000-0000EDC40000}"/>
    <cellStyle name="Normal 11 2 2 2 7 3 2" xfId="53167" xr:uid="{00000000-0005-0000-0000-0000EEC40000}"/>
    <cellStyle name="Normal 11 2 2 2 7 4" xfId="53168" xr:uid="{00000000-0005-0000-0000-0000EFC40000}"/>
    <cellStyle name="Normal 11 2 2 2 7 5" xfId="53169" xr:uid="{00000000-0005-0000-0000-0000F0C40000}"/>
    <cellStyle name="Normal 11 2 2 2 8" xfId="53170" xr:uid="{00000000-0005-0000-0000-0000F1C40000}"/>
    <cellStyle name="Normal 11 2 2 2 8 2" xfId="53171" xr:uid="{00000000-0005-0000-0000-0000F2C40000}"/>
    <cellStyle name="Normal 11 2 2 2 8 3" xfId="53172" xr:uid="{00000000-0005-0000-0000-0000F3C40000}"/>
    <cellStyle name="Normal 11 2 2 2 9" xfId="53173" xr:uid="{00000000-0005-0000-0000-0000F4C40000}"/>
    <cellStyle name="Normal 11 2 2 2 9 2" xfId="53174" xr:uid="{00000000-0005-0000-0000-0000F5C40000}"/>
    <cellStyle name="Normal 11 2 2 2 9 3" xfId="53175" xr:uid="{00000000-0005-0000-0000-0000F6C40000}"/>
    <cellStyle name="Normal 11 2 2 3" xfId="53176" xr:uid="{00000000-0005-0000-0000-0000F7C40000}"/>
    <cellStyle name="Normal 11 2 2 3 10" xfId="53177" xr:uid="{00000000-0005-0000-0000-0000F8C40000}"/>
    <cellStyle name="Normal 11 2 2 3 2" xfId="53178" xr:uid="{00000000-0005-0000-0000-0000F9C40000}"/>
    <cellStyle name="Normal 11 2 2 3 2 2" xfId="53179" xr:uid="{00000000-0005-0000-0000-0000FAC40000}"/>
    <cellStyle name="Normal 11 2 2 3 2 2 2" xfId="53180" xr:uid="{00000000-0005-0000-0000-0000FBC40000}"/>
    <cellStyle name="Normal 11 2 2 3 2 2 2 2" xfId="53181" xr:uid="{00000000-0005-0000-0000-0000FCC40000}"/>
    <cellStyle name="Normal 11 2 2 3 2 2 2 3" xfId="53182" xr:uid="{00000000-0005-0000-0000-0000FDC40000}"/>
    <cellStyle name="Normal 11 2 2 3 2 2 3" xfId="53183" xr:uid="{00000000-0005-0000-0000-0000FEC40000}"/>
    <cellStyle name="Normal 11 2 2 3 2 2 3 2" xfId="53184" xr:uid="{00000000-0005-0000-0000-0000FFC40000}"/>
    <cellStyle name="Normal 11 2 2 3 2 2 3 3" xfId="53185" xr:uid="{00000000-0005-0000-0000-000000C50000}"/>
    <cellStyle name="Normal 11 2 2 3 2 2 4" xfId="53186" xr:uid="{00000000-0005-0000-0000-000001C50000}"/>
    <cellStyle name="Normal 11 2 2 3 2 2 4 2" xfId="53187" xr:uid="{00000000-0005-0000-0000-000002C50000}"/>
    <cellStyle name="Normal 11 2 2 3 2 2 5" xfId="53188" xr:uid="{00000000-0005-0000-0000-000003C50000}"/>
    <cellStyle name="Normal 11 2 2 3 2 2 6" xfId="53189" xr:uid="{00000000-0005-0000-0000-000004C50000}"/>
    <cellStyle name="Normal 11 2 2 3 2 3" xfId="53190" xr:uid="{00000000-0005-0000-0000-000005C50000}"/>
    <cellStyle name="Normal 11 2 2 3 2 3 2" xfId="53191" xr:uid="{00000000-0005-0000-0000-000006C50000}"/>
    <cellStyle name="Normal 11 2 2 3 2 3 2 2" xfId="53192" xr:uid="{00000000-0005-0000-0000-000007C50000}"/>
    <cellStyle name="Normal 11 2 2 3 2 3 2 3" xfId="53193" xr:uid="{00000000-0005-0000-0000-000008C50000}"/>
    <cellStyle name="Normal 11 2 2 3 2 3 3" xfId="53194" xr:uid="{00000000-0005-0000-0000-000009C50000}"/>
    <cellStyle name="Normal 11 2 2 3 2 3 3 2" xfId="53195" xr:uid="{00000000-0005-0000-0000-00000AC50000}"/>
    <cellStyle name="Normal 11 2 2 3 2 3 3 3" xfId="53196" xr:uid="{00000000-0005-0000-0000-00000BC50000}"/>
    <cellStyle name="Normal 11 2 2 3 2 3 4" xfId="53197" xr:uid="{00000000-0005-0000-0000-00000CC50000}"/>
    <cellStyle name="Normal 11 2 2 3 2 3 4 2" xfId="53198" xr:uid="{00000000-0005-0000-0000-00000DC50000}"/>
    <cellStyle name="Normal 11 2 2 3 2 3 5" xfId="53199" xr:uid="{00000000-0005-0000-0000-00000EC50000}"/>
    <cellStyle name="Normal 11 2 2 3 2 3 6" xfId="53200" xr:uid="{00000000-0005-0000-0000-00000FC50000}"/>
    <cellStyle name="Normal 11 2 2 3 2 4" xfId="53201" xr:uid="{00000000-0005-0000-0000-000010C50000}"/>
    <cellStyle name="Normal 11 2 2 3 2 4 2" xfId="53202" xr:uid="{00000000-0005-0000-0000-000011C50000}"/>
    <cellStyle name="Normal 11 2 2 3 2 4 2 2" xfId="53203" xr:uid="{00000000-0005-0000-0000-000012C50000}"/>
    <cellStyle name="Normal 11 2 2 3 2 4 2 3" xfId="53204" xr:uid="{00000000-0005-0000-0000-000013C50000}"/>
    <cellStyle name="Normal 11 2 2 3 2 4 3" xfId="53205" xr:uid="{00000000-0005-0000-0000-000014C50000}"/>
    <cellStyle name="Normal 11 2 2 3 2 4 3 2" xfId="53206" xr:uid="{00000000-0005-0000-0000-000015C50000}"/>
    <cellStyle name="Normal 11 2 2 3 2 4 4" xfId="53207" xr:uid="{00000000-0005-0000-0000-000016C50000}"/>
    <cellStyle name="Normal 11 2 2 3 2 4 5" xfId="53208" xr:uid="{00000000-0005-0000-0000-000017C50000}"/>
    <cellStyle name="Normal 11 2 2 3 2 5" xfId="53209" xr:uid="{00000000-0005-0000-0000-000018C50000}"/>
    <cellStyle name="Normal 11 2 2 3 2 5 2" xfId="53210" xr:uid="{00000000-0005-0000-0000-000019C50000}"/>
    <cellStyle name="Normal 11 2 2 3 2 5 3" xfId="53211" xr:uid="{00000000-0005-0000-0000-00001AC50000}"/>
    <cellStyle name="Normal 11 2 2 3 2 6" xfId="53212" xr:uid="{00000000-0005-0000-0000-00001BC50000}"/>
    <cellStyle name="Normal 11 2 2 3 2 6 2" xfId="53213" xr:uid="{00000000-0005-0000-0000-00001CC50000}"/>
    <cellStyle name="Normal 11 2 2 3 2 6 3" xfId="53214" xr:uid="{00000000-0005-0000-0000-00001DC50000}"/>
    <cellStyle name="Normal 11 2 2 3 2 7" xfId="53215" xr:uid="{00000000-0005-0000-0000-00001EC50000}"/>
    <cellStyle name="Normal 11 2 2 3 2 7 2" xfId="53216" xr:uid="{00000000-0005-0000-0000-00001FC50000}"/>
    <cellStyle name="Normal 11 2 2 3 2 8" xfId="53217" xr:uid="{00000000-0005-0000-0000-000020C50000}"/>
    <cellStyle name="Normal 11 2 2 3 2 9" xfId="53218" xr:uid="{00000000-0005-0000-0000-000021C50000}"/>
    <cellStyle name="Normal 11 2 2 3 3" xfId="53219" xr:uid="{00000000-0005-0000-0000-000022C50000}"/>
    <cellStyle name="Normal 11 2 2 3 3 2" xfId="53220" xr:uid="{00000000-0005-0000-0000-000023C50000}"/>
    <cellStyle name="Normal 11 2 2 3 3 2 2" xfId="53221" xr:uid="{00000000-0005-0000-0000-000024C50000}"/>
    <cellStyle name="Normal 11 2 2 3 3 2 3" xfId="53222" xr:uid="{00000000-0005-0000-0000-000025C50000}"/>
    <cellStyle name="Normal 11 2 2 3 3 3" xfId="53223" xr:uid="{00000000-0005-0000-0000-000026C50000}"/>
    <cellStyle name="Normal 11 2 2 3 3 3 2" xfId="53224" xr:uid="{00000000-0005-0000-0000-000027C50000}"/>
    <cellStyle name="Normal 11 2 2 3 3 3 3" xfId="53225" xr:uid="{00000000-0005-0000-0000-000028C50000}"/>
    <cellStyle name="Normal 11 2 2 3 3 4" xfId="53226" xr:uid="{00000000-0005-0000-0000-000029C50000}"/>
    <cellStyle name="Normal 11 2 2 3 3 4 2" xfId="53227" xr:uid="{00000000-0005-0000-0000-00002AC50000}"/>
    <cellStyle name="Normal 11 2 2 3 3 5" xfId="53228" xr:uid="{00000000-0005-0000-0000-00002BC50000}"/>
    <cellStyle name="Normal 11 2 2 3 3 6" xfId="53229" xr:uid="{00000000-0005-0000-0000-00002CC50000}"/>
    <cellStyle name="Normal 11 2 2 3 4" xfId="53230" xr:uid="{00000000-0005-0000-0000-00002DC50000}"/>
    <cellStyle name="Normal 11 2 2 3 4 2" xfId="53231" xr:uid="{00000000-0005-0000-0000-00002EC50000}"/>
    <cellStyle name="Normal 11 2 2 3 4 2 2" xfId="53232" xr:uid="{00000000-0005-0000-0000-00002FC50000}"/>
    <cellStyle name="Normal 11 2 2 3 4 2 3" xfId="53233" xr:uid="{00000000-0005-0000-0000-000030C50000}"/>
    <cellStyle name="Normal 11 2 2 3 4 3" xfId="53234" xr:uid="{00000000-0005-0000-0000-000031C50000}"/>
    <cellStyle name="Normal 11 2 2 3 4 3 2" xfId="53235" xr:uid="{00000000-0005-0000-0000-000032C50000}"/>
    <cellStyle name="Normal 11 2 2 3 4 3 3" xfId="53236" xr:uid="{00000000-0005-0000-0000-000033C50000}"/>
    <cellStyle name="Normal 11 2 2 3 4 4" xfId="53237" xr:uid="{00000000-0005-0000-0000-000034C50000}"/>
    <cellStyle name="Normal 11 2 2 3 4 4 2" xfId="53238" xr:uid="{00000000-0005-0000-0000-000035C50000}"/>
    <cellStyle name="Normal 11 2 2 3 4 5" xfId="53239" xr:uid="{00000000-0005-0000-0000-000036C50000}"/>
    <cellStyle name="Normal 11 2 2 3 4 6" xfId="53240" xr:uid="{00000000-0005-0000-0000-000037C50000}"/>
    <cellStyle name="Normal 11 2 2 3 5" xfId="53241" xr:uid="{00000000-0005-0000-0000-000038C50000}"/>
    <cellStyle name="Normal 11 2 2 3 5 2" xfId="53242" xr:uid="{00000000-0005-0000-0000-000039C50000}"/>
    <cellStyle name="Normal 11 2 2 3 5 2 2" xfId="53243" xr:uid="{00000000-0005-0000-0000-00003AC50000}"/>
    <cellStyle name="Normal 11 2 2 3 5 2 3" xfId="53244" xr:uid="{00000000-0005-0000-0000-00003BC50000}"/>
    <cellStyle name="Normal 11 2 2 3 5 3" xfId="53245" xr:uid="{00000000-0005-0000-0000-00003CC50000}"/>
    <cellStyle name="Normal 11 2 2 3 5 3 2" xfId="53246" xr:uid="{00000000-0005-0000-0000-00003DC50000}"/>
    <cellStyle name="Normal 11 2 2 3 5 4" xfId="53247" xr:uid="{00000000-0005-0000-0000-00003EC50000}"/>
    <cellStyle name="Normal 11 2 2 3 5 5" xfId="53248" xr:uid="{00000000-0005-0000-0000-00003FC50000}"/>
    <cellStyle name="Normal 11 2 2 3 6" xfId="53249" xr:uid="{00000000-0005-0000-0000-000040C50000}"/>
    <cellStyle name="Normal 11 2 2 3 6 2" xfId="53250" xr:uid="{00000000-0005-0000-0000-000041C50000}"/>
    <cellStyle name="Normal 11 2 2 3 6 3" xfId="53251" xr:uid="{00000000-0005-0000-0000-000042C50000}"/>
    <cellStyle name="Normal 11 2 2 3 7" xfId="53252" xr:uid="{00000000-0005-0000-0000-000043C50000}"/>
    <cellStyle name="Normal 11 2 2 3 7 2" xfId="53253" xr:uid="{00000000-0005-0000-0000-000044C50000}"/>
    <cellStyle name="Normal 11 2 2 3 7 3" xfId="53254" xr:uid="{00000000-0005-0000-0000-000045C50000}"/>
    <cellStyle name="Normal 11 2 2 3 8" xfId="53255" xr:uid="{00000000-0005-0000-0000-000046C50000}"/>
    <cellStyle name="Normal 11 2 2 3 8 2" xfId="53256" xr:uid="{00000000-0005-0000-0000-000047C50000}"/>
    <cellStyle name="Normal 11 2 2 3 9" xfId="53257" xr:uid="{00000000-0005-0000-0000-000048C50000}"/>
    <cellStyle name="Normal 11 2 2 4" xfId="53258" xr:uid="{00000000-0005-0000-0000-000049C50000}"/>
    <cellStyle name="Normal 11 2 2 4 2" xfId="53259" xr:uid="{00000000-0005-0000-0000-00004AC50000}"/>
    <cellStyle name="Normal 11 2 2 4 2 2" xfId="53260" xr:uid="{00000000-0005-0000-0000-00004BC50000}"/>
    <cellStyle name="Normal 11 2 2 4 2 2 2" xfId="53261" xr:uid="{00000000-0005-0000-0000-00004CC50000}"/>
    <cellStyle name="Normal 11 2 2 4 2 2 3" xfId="53262" xr:uid="{00000000-0005-0000-0000-00004DC50000}"/>
    <cellStyle name="Normal 11 2 2 4 2 3" xfId="53263" xr:uid="{00000000-0005-0000-0000-00004EC50000}"/>
    <cellStyle name="Normal 11 2 2 4 2 3 2" xfId="53264" xr:uid="{00000000-0005-0000-0000-00004FC50000}"/>
    <cellStyle name="Normal 11 2 2 4 2 3 3" xfId="53265" xr:uid="{00000000-0005-0000-0000-000050C50000}"/>
    <cellStyle name="Normal 11 2 2 4 2 4" xfId="53266" xr:uid="{00000000-0005-0000-0000-000051C50000}"/>
    <cellStyle name="Normal 11 2 2 4 2 4 2" xfId="53267" xr:uid="{00000000-0005-0000-0000-000052C50000}"/>
    <cellStyle name="Normal 11 2 2 4 2 5" xfId="53268" xr:uid="{00000000-0005-0000-0000-000053C50000}"/>
    <cellStyle name="Normal 11 2 2 4 2 6" xfId="53269" xr:uid="{00000000-0005-0000-0000-000054C50000}"/>
    <cellStyle name="Normal 11 2 2 4 3" xfId="53270" xr:uid="{00000000-0005-0000-0000-000055C50000}"/>
    <cellStyle name="Normal 11 2 2 4 3 2" xfId="53271" xr:uid="{00000000-0005-0000-0000-000056C50000}"/>
    <cellStyle name="Normal 11 2 2 4 3 2 2" xfId="53272" xr:uid="{00000000-0005-0000-0000-000057C50000}"/>
    <cellStyle name="Normal 11 2 2 4 3 2 3" xfId="53273" xr:uid="{00000000-0005-0000-0000-000058C50000}"/>
    <cellStyle name="Normal 11 2 2 4 3 3" xfId="53274" xr:uid="{00000000-0005-0000-0000-000059C50000}"/>
    <cellStyle name="Normal 11 2 2 4 3 3 2" xfId="53275" xr:uid="{00000000-0005-0000-0000-00005AC50000}"/>
    <cellStyle name="Normal 11 2 2 4 3 3 3" xfId="53276" xr:uid="{00000000-0005-0000-0000-00005BC50000}"/>
    <cellStyle name="Normal 11 2 2 4 3 4" xfId="53277" xr:uid="{00000000-0005-0000-0000-00005CC50000}"/>
    <cellStyle name="Normal 11 2 2 4 3 4 2" xfId="53278" xr:uid="{00000000-0005-0000-0000-00005DC50000}"/>
    <cellStyle name="Normal 11 2 2 4 3 5" xfId="53279" xr:uid="{00000000-0005-0000-0000-00005EC50000}"/>
    <cellStyle name="Normal 11 2 2 4 3 6" xfId="53280" xr:uid="{00000000-0005-0000-0000-00005FC50000}"/>
    <cellStyle name="Normal 11 2 2 4 4" xfId="53281" xr:uid="{00000000-0005-0000-0000-000060C50000}"/>
    <cellStyle name="Normal 11 2 2 4 4 2" xfId="53282" xr:uid="{00000000-0005-0000-0000-000061C50000}"/>
    <cellStyle name="Normal 11 2 2 4 4 2 2" xfId="53283" xr:uid="{00000000-0005-0000-0000-000062C50000}"/>
    <cellStyle name="Normal 11 2 2 4 4 2 3" xfId="53284" xr:uid="{00000000-0005-0000-0000-000063C50000}"/>
    <cellStyle name="Normal 11 2 2 4 4 3" xfId="53285" xr:uid="{00000000-0005-0000-0000-000064C50000}"/>
    <cellStyle name="Normal 11 2 2 4 4 3 2" xfId="53286" xr:uid="{00000000-0005-0000-0000-000065C50000}"/>
    <cellStyle name="Normal 11 2 2 4 4 4" xfId="53287" xr:uid="{00000000-0005-0000-0000-000066C50000}"/>
    <cellStyle name="Normal 11 2 2 4 4 5" xfId="53288" xr:uid="{00000000-0005-0000-0000-000067C50000}"/>
    <cellStyle name="Normal 11 2 2 4 5" xfId="53289" xr:uid="{00000000-0005-0000-0000-000068C50000}"/>
    <cellStyle name="Normal 11 2 2 4 5 2" xfId="53290" xr:uid="{00000000-0005-0000-0000-000069C50000}"/>
    <cellStyle name="Normal 11 2 2 4 5 3" xfId="53291" xr:uid="{00000000-0005-0000-0000-00006AC50000}"/>
    <cellStyle name="Normal 11 2 2 4 6" xfId="53292" xr:uid="{00000000-0005-0000-0000-00006BC50000}"/>
    <cellStyle name="Normal 11 2 2 4 6 2" xfId="53293" xr:uid="{00000000-0005-0000-0000-00006CC50000}"/>
    <cellStyle name="Normal 11 2 2 4 6 3" xfId="53294" xr:uid="{00000000-0005-0000-0000-00006DC50000}"/>
    <cellStyle name="Normal 11 2 2 4 7" xfId="53295" xr:uid="{00000000-0005-0000-0000-00006EC50000}"/>
    <cellStyle name="Normal 11 2 2 4 7 2" xfId="53296" xr:uid="{00000000-0005-0000-0000-00006FC50000}"/>
    <cellStyle name="Normal 11 2 2 4 8" xfId="53297" xr:uid="{00000000-0005-0000-0000-000070C50000}"/>
    <cellStyle name="Normal 11 2 2 4 9" xfId="53298" xr:uid="{00000000-0005-0000-0000-000071C50000}"/>
    <cellStyle name="Normal 11 2 2 5" xfId="53299" xr:uid="{00000000-0005-0000-0000-000072C50000}"/>
    <cellStyle name="Normal 11 2 2 5 2" xfId="53300" xr:uid="{00000000-0005-0000-0000-000073C50000}"/>
    <cellStyle name="Normal 11 2 2 5 2 2" xfId="53301" xr:uid="{00000000-0005-0000-0000-000074C50000}"/>
    <cellStyle name="Normal 11 2 2 5 2 2 2" xfId="53302" xr:uid="{00000000-0005-0000-0000-000075C50000}"/>
    <cellStyle name="Normal 11 2 2 5 2 2 3" xfId="53303" xr:uid="{00000000-0005-0000-0000-000076C50000}"/>
    <cellStyle name="Normal 11 2 2 5 2 3" xfId="53304" xr:uid="{00000000-0005-0000-0000-000077C50000}"/>
    <cellStyle name="Normal 11 2 2 5 2 3 2" xfId="53305" xr:uid="{00000000-0005-0000-0000-000078C50000}"/>
    <cellStyle name="Normal 11 2 2 5 2 3 3" xfId="53306" xr:uid="{00000000-0005-0000-0000-000079C50000}"/>
    <cellStyle name="Normal 11 2 2 5 2 4" xfId="53307" xr:uid="{00000000-0005-0000-0000-00007AC50000}"/>
    <cellStyle name="Normal 11 2 2 5 2 4 2" xfId="53308" xr:uid="{00000000-0005-0000-0000-00007BC50000}"/>
    <cellStyle name="Normal 11 2 2 5 2 5" xfId="53309" xr:uid="{00000000-0005-0000-0000-00007CC50000}"/>
    <cellStyle name="Normal 11 2 2 5 2 6" xfId="53310" xr:uid="{00000000-0005-0000-0000-00007DC50000}"/>
    <cellStyle name="Normal 11 2 2 5 3" xfId="53311" xr:uid="{00000000-0005-0000-0000-00007EC50000}"/>
    <cellStyle name="Normal 11 2 2 5 3 2" xfId="53312" xr:uid="{00000000-0005-0000-0000-00007FC50000}"/>
    <cellStyle name="Normal 11 2 2 5 3 2 2" xfId="53313" xr:uid="{00000000-0005-0000-0000-000080C50000}"/>
    <cellStyle name="Normal 11 2 2 5 3 2 3" xfId="53314" xr:uid="{00000000-0005-0000-0000-000081C50000}"/>
    <cellStyle name="Normal 11 2 2 5 3 3" xfId="53315" xr:uid="{00000000-0005-0000-0000-000082C50000}"/>
    <cellStyle name="Normal 11 2 2 5 3 3 2" xfId="53316" xr:uid="{00000000-0005-0000-0000-000083C50000}"/>
    <cellStyle name="Normal 11 2 2 5 3 3 3" xfId="53317" xr:uid="{00000000-0005-0000-0000-000084C50000}"/>
    <cellStyle name="Normal 11 2 2 5 3 4" xfId="53318" xr:uid="{00000000-0005-0000-0000-000085C50000}"/>
    <cellStyle name="Normal 11 2 2 5 3 4 2" xfId="53319" xr:uid="{00000000-0005-0000-0000-000086C50000}"/>
    <cellStyle name="Normal 11 2 2 5 3 5" xfId="53320" xr:uid="{00000000-0005-0000-0000-000087C50000}"/>
    <cellStyle name="Normal 11 2 2 5 3 6" xfId="53321" xr:uid="{00000000-0005-0000-0000-000088C50000}"/>
    <cellStyle name="Normal 11 2 2 5 4" xfId="53322" xr:uid="{00000000-0005-0000-0000-000089C50000}"/>
    <cellStyle name="Normal 11 2 2 5 4 2" xfId="53323" xr:uid="{00000000-0005-0000-0000-00008AC50000}"/>
    <cellStyle name="Normal 11 2 2 5 4 2 2" xfId="53324" xr:uid="{00000000-0005-0000-0000-00008BC50000}"/>
    <cellStyle name="Normal 11 2 2 5 4 2 3" xfId="53325" xr:uid="{00000000-0005-0000-0000-00008CC50000}"/>
    <cellStyle name="Normal 11 2 2 5 4 3" xfId="53326" xr:uid="{00000000-0005-0000-0000-00008DC50000}"/>
    <cellStyle name="Normal 11 2 2 5 4 3 2" xfId="53327" xr:uid="{00000000-0005-0000-0000-00008EC50000}"/>
    <cellStyle name="Normal 11 2 2 5 4 4" xfId="53328" xr:uid="{00000000-0005-0000-0000-00008FC50000}"/>
    <cellStyle name="Normal 11 2 2 5 4 5" xfId="53329" xr:uid="{00000000-0005-0000-0000-000090C50000}"/>
    <cellStyle name="Normal 11 2 2 5 5" xfId="53330" xr:uid="{00000000-0005-0000-0000-000091C50000}"/>
    <cellStyle name="Normal 11 2 2 5 5 2" xfId="53331" xr:uid="{00000000-0005-0000-0000-000092C50000}"/>
    <cellStyle name="Normal 11 2 2 5 5 3" xfId="53332" xr:uid="{00000000-0005-0000-0000-000093C50000}"/>
    <cellStyle name="Normal 11 2 2 5 6" xfId="53333" xr:uid="{00000000-0005-0000-0000-000094C50000}"/>
    <cellStyle name="Normal 11 2 2 5 6 2" xfId="53334" xr:uid="{00000000-0005-0000-0000-000095C50000}"/>
    <cellStyle name="Normal 11 2 2 5 6 3" xfId="53335" xr:uid="{00000000-0005-0000-0000-000096C50000}"/>
    <cellStyle name="Normal 11 2 2 5 7" xfId="53336" xr:uid="{00000000-0005-0000-0000-000097C50000}"/>
    <cellStyle name="Normal 11 2 2 5 7 2" xfId="53337" xr:uid="{00000000-0005-0000-0000-000098C50000}"/>
    <cellStyle name="Normal 11 2 2 5 8" xfId="53338" xr:uid="{00000000-0005-0000-0000-000099C50000}"/>
    <cellStyle name="Normal 11 2 2 5 9" xfId="53339" xr:uid="{00000000-0005-0000-0000-00009AC50000}"/>
    <cellStyle name="Normal 11 2 2 6" xfId="53340" xr:uid="{00000000-0005-0000-0000-00009BC50000}"/>
    <cellStyle name="Normal 11 2 2 6 2" xfId="53341" xr:uid="{00000000-0005-0000-0000-00009CC50000}"/>
    <cellStyle name="Normal 11 2 2 6 2 2" xfId="53342" xr:uid="{00000000-0005-0000-0000-00009DC50000}"/>
    <cellStyle name="Normal 11 2 2 6 2 3" xfId="53343" xr:uid="{00000000-0005-0000-0000-00009EC50000}"/>
    <cellStyle name="Normal 11 2 2 6 3" xfId="53344" xr:uid="{00000000-0005-0000-0000-00009FC50000}"/>
    <cellStyle name="Normal 11 2 2 6 3 2" xfId="53345" xr:uid="{00000000-0005-0000-0000-0000A0C50000}"/>
    <cellStyle name="Normal 11 2 2 6 3 3" xfId="53346" xr:uid="{00000000-0005-0000-0000-0000A1C50000}"/>
    <cellStyle name="Normal 11 2 2 6 4" xfId="53347" xr:uid="{00000000-0005-0000-0000-0000A2C50000}"/>
    <cellStyle name="Normal 11 2 2 6 4 2" xfId="53348" xr:uid="{00000000-0005-0000-0000-0000A3C50000}"/>
    <cellStyle name="Normal 11 2 2 6 5" xfId="53349" xr:uid="{00000000-0005-0000-0000-0000A4C50000}"/>
    <cellStyle name="Normal 11 2 2 6 6" xfId="53350" xr:uid="{00000000-0005-0000-0000-0000A5C50000}"/>
    <cellStyle name="Normal 11 2 2 7" xfId="53351" xr:uid="{00000000-0005-0000-0000-0000A6C50000}"/>
    <cellStyle name="Normal 11 2 2 7 2" xfId="53352" xr:uid="{00000000-0005-0000-0000-0000A7C50000}"/>
    <cellStyle name="Normal 11 2 2 7 2 2" xfId="53353" xr:uid="{00000000-0005-0000-0000-0000A8C50000}"/>
    <cellStyle name="Normal 11 2 2 7 2 3" xfId="53354" xr:uid="{00000000-0005-0000-0000-0000A9C50000}"/>
    <cellStyle name="Normal 11 2 2 7 3" xfId="53355" xr:uid="{00000000-0005-0000-0000-0000AAC50000}"/>
    <cellStyle name="Normal 11 2 2 7 3 2" xfId="53356" xr:uid="{00000000-0005-0000-0000-0000ABC50000}"/>
    <cellStyle name="Normal 11 2 2 7 3 3" xfId="53357" xr:uid="{00000000-0005-0000-0000-0000ACC50000}"/>
    <cellStyle name="Normal 11 2 2 7 4" xfId="53358" xr:uid="{00000000-0005-0000-0000-0000ADC50000}"/>
    <cellStyle name="Normal 11 2 2 7 4 2" xfId="53359" xr:uid="{00000000-0005-0000-0000-0000AEC50000}"/>
    <cellStyle name="Normal 11 2 2 7 5" xfId="53360" xr:uid="{00000000-0005-0000-0000-0000AFC50000}"/>
    <cellStyle name="Normal 11 2 2 7 6" xfId="53361" xr:uid="{00000000-0005-0000-0000-0000B0C50000}"/>
    <cellStyle name="Normal 11 2 2 8" xfId="53362" xr:uid="{00000000-0005-0000-0000-0000B1C50000}"/>
    <cellStyle name="Normal 11 2 2 8 2" xfId="53363" xr:uid="{00000000-0005-0000-0000-0000B2C50000}"/>
    <cellStyle name="Normal 11 2 2 8 2 2" xfId="53364" xr:uid="{00000000-0005-0000-0000-0000B3C50000}"/>
    <cellStyle name="Normal 11 2 2 8 2 3" xfId="53365" xr:uid="{00000000-0005-0000-0000-0000B4C50000}"/>
    <cellStyle name="Normal 11 2 2 8 3" xfId="53366" xr:uid="{00000000-0005-0000-0000-0000B5C50000}"/>
    <cellStyle name="Normal 11 2 2 8 3 2" xfId="53367" xr:uid="{00000000-0005-0000-0000-0000B6C50000}"/>
    <cellStyle name="Normal 11 2 2 8 4" xfId="53368" xr:uid="{00000000-0005-0000-0000-0000B7C50000}"/>
    <cellStyle name="Normal 11 2 2 8 5" xfId="53369" xr:uid="{00000000-0005-0000-0000-0000B8C50000}"/>
    <cellStyle name="Normal 11 2 2 9" xfId="53370" xr:uid="{00000000-0005-0000-0000-0000B9C50000}"/>
    <cellStyle name="Normal 11 2 2 9 2" xfId="53371" xr:uid="{00000000-0005-0000-0000-0000BAC50000}"/>
    <cellStyle name="Normal 11 2 2 9 3" xfId="53372" xr:uid="{00000000-0005-0000-0000-0000BBC50000}"/>
    <cellStyle name="Normal 11 2 3" xfId="53373" xr:uid="{00000000-0005-0000-0000-0000BCC50000}"/>
    <cellStyle name="Normal 11 2 3 10" xfId="53374" xr:uid="{00000000-0005-0000-0000-0000BDC50000}"/>
    <cellStyle name="Normal 11 2 3 10 2" xfId="53375" xr:uid="{00000000-0005-0000-0000-0000BEC50000}"/>
    <cellStyle name="Normal 11 2 3 11" xfId="53376" xr:uid="{00000000-0005-0000-0000-0000BFC50000}"/>
    <cellStyle name="Normal 11 2 3 12" xfId="53377" xr:uid="{00000000-0005-0000-0000-0000C0C50000}"/>
    <cellStyle name="Normal 11 2 3 2" xfId="53378" xr:uid="{00000000-0005-0000-0000-0000C1C50000}"/>
    <cellStyle name="Normal 11 2 3 2 10" xfId="53379" xr:uid="{00000000-0005-0000-0000-0000C2C50000}"/>
    <cellStyle name="Normal 11 2 3 2 2" xfId="53380" xr:uid="{00000000-0005-0000-0000-0000C3C50000}"/>
    <cellStyle name="Normal 11 2 3 2 2 2" xfId="53381" xr:uid="{00000000-0005-0000-0000-0000C4C50000}"/>
    <cellStyle name="Normal 11 2 3 2 2 2 2" xfId="53382" xr:uid="{00000000-0005-0000-0000-0000C5C50000}"/>
    <cellStyle name="Normal 11 2 3 2 2 2 2 2" xfId="53383" xr:uid="{00000000-0005-0000-0000-0000C6C50000}"/>
    <cellStyle name="Normal 11 2 3 2 2 2 2 3" xfId="53384" xr:uid="{00000000-0005-0000-0000-0000C7C50000}"/>
    <cellStyle name="Normal 11 2 3 2 2 2 3" xfId="53385" xr:uid="{00000000-0005-0000-0000-0000C8C50000}"/>
    <cellStyle name="Normal 11 2 3 2 2 2 3 2" xfId="53386" xr:uid="{00000000-0005-0000-0000-0000C9C50000}"/>
    <cellStyle name="Normal 11 2 3 2 2 2 3 3" xfId="53387" xr:uid="{00000000-0005-0000-0000-0000CAC50000}"/>
    <cellStyle name="Normal 11 2 3 2 2 2 4" xfId="53388" xr:uid="{00000000-0005-0000-0000-0000CBC50000}"/>
    <cellStyle name="Normal 11 2 3 2 2 2 4 2" xfId="53389" xr:uid="{00000000-0005-0000-0000-0000CCC50000}"/>
    <cellStyle name="Normal 11 2 3 2 2 2 5" xfId="53390" xr:uid="{00000000-0005-0000-0000-0000CDC50000}"/>
    <cellStyle name="Normal 11 2 3 2 2 2 6" xfId="53391" xr:uid="{00000000-0005-0000-0000-0000CEC50000}"/>
    <cellStyle name="Normal 11 2 3 2 2 3" xfId="53392" xr:uid="{00000000-0005-0000-0000-0000CFC50000}"/>
    <cellStyle name="Normal 11 2 3 2 2 3 2" xfId="53393" xr:uid="{00000000-0005-0000-0000-0000D0C50000}"/>
    <cellStyle name="Normal 11 2 3 2 2 3 2 2" xfId="53394" xr:uid="{00000000-0005-0000-0000-0000D1C50000}"/>
    <cellStyle name="Normal 11 2 3 2 2 3 2 3" xfId="53395" xr:uid="{00000000-0005-0000-0000-0000D2C50000}"/>
    <cellStyle name="Normal 11 2 3 2 2 3 3" xfId="53396" xr:uid="{00000000-0005-0000-0000-0000D3C50000}"/>
    <cellStyle name="Normal 11 2 3 2 2 3 3 2" xfId="53397" xr:uid="{00000000-0005-0000-0000-0000D4C50000}"/>
    <cellStyle name="Normal 11 2 3 2 2 3 3 3" xfId="53398" xr:uid="{00000000-0005-0000-0000-0000D5C50000}"/>
    <cellStyle name="Normal 11 2 3 2 2 3 4" xfId="53399" xr:uid="{00000000-0005-0000-0000-0000D6C50000}"/>
    <cellStyle name="Normal 11 2 3 2 2 3 4 2" xfId="53400" xr:uid="{00000000-0005-0000-0000-0000D7C50000}"/>
    <cellStyle name="Normal 11 2 3 2 2 3 5" xfId="53401" xr:uid="{00000000-0005-0000-0000-0000D8C50000}"/>
    <cellStyle name="Normal 11 2 3 2 2 3 6" xfId="53402" xr:uid="{00000000-0005-0000-0000-0000D9C50000}"/>
    <cellStyle name="Normal 11 2 3 2 2 4" xfId="53403" xr:uid="{00000000-0005-0000-0000-0000DAC50000}"/>
    <cellStyle name="Normal 11 2 3 2 2 4 2" xfId="53404" xr:uid="{00000000-0005-0000-0000-0000DBC50000}"/>
    <cellStyle name="Normal 11 2 3 2 2 4 2 2" xfId="53405" xr:uid="{00000000-0005-0000-0000-0000DCC50000}"/>
    <cellStyle name="Normal 11 2 3 2 2 4 2 3" xfId="53406" xr:uid="{00000000-0005-0000-0000-0000DDC50000}"/>
    <cellStyle name="Normal 11 2 3 2 2 4 3" xfId="53407" xr:uid="{00000000-0005-0000-0000-0000DEC50000}"/>
    <cellStyle name="Normal 11 2 3 2 2 4 3 2" xfId="53408" xr:uid="{00000000-0005-0000-0000-0000DFC50000}"/>
    <cellStyle name="Normal 11 2 3 2 2 4 4" xfId="53409" xr:uid="{00000000-0005-0000-0000-0000E0C50000}"/>
    <cellStyle name="Normal 11 2 3 2 2 4 5" xfId="53410" xr:uid="{00000000-0005-0000-0000-0000E1C50000}"/>
    <cellStyle name="Normal 11 2 3 2 2 5" xfId="53411" xr:uid="{00000000-0005-0000-0000-0000E2C50000}"/>
    <cellStyle name="Normal 11 2 3 2 2 5 2" xfId="53412" xr:uid="{00000000-0005-0000-0000-0000E3C50000}"/>
    <cellStyle name="Normal 11 2 3 2 2 5 3" xfId="53413" xr:uid="{00000000-0005-0000-0000-0000E4C50000}"/>
    <cellStyle name="Normal 11 2 3 2 2 6" xfId="53414" xr:uid="{00000000-0005-0000-0000-0000E5C50000}"/>
    <cellStyle name="Normal 11 2 3 2 2 6 2" xfId="53415" xr:uid="{00000000-0005-0000-0000-0000E6C50000}"/>
    <cellStyle name="Normal 11 2 3 2 2 6 3" xfId="53416" xr:uid="{00000000-0005-0000-0000-0000E7C50000}"/>
    <cellStyle name="Normal 11 2 3 2 2 7" xfId="53417" xr:uid="{00000000-0005-0000-0000-0000E8C50000}"/>
    <cellStyle name="Normal 11 2 3 2 2 7 2" xfId="53418" xr:uid="{00000000-0005-0000-0000-0000E9C50000}"/>
    <cellStyle name="Normal 11 2 3 2 2 8" xfId="53419" xr:uid="{00000000-0005-0000-0000-0000EAC50000}"/>
    <cellStyle name="Normal 11 2 3 2 2 9" xfId="53420" xr:uid="{00000000-0005-0000-0000-0000EBC50000}"/>
    <cellStyle name="Normal 11 2 3 2 3" xfId="53421" xr:uid="{00000000-0005-0000-0000-0000ECC50000}"/>
    <cellStyle name="Normal 11 2 3 2 3 2" xfId="53422" xr:uid="{00000000-0005-0000-0000-0000EDC50000}"/>
    <cellStyle name="Normal 11 2 3 2 3 2 2" xfId="53423" xr:uid="{00000000-0005-0000-0000-0000EEC50000}"/>
    <cellStyle name="Normal 11 2 3 2 3 2 3" xfId="53424" xr:uid="{00000000-0005-0000-0000-0000EFC50000}"/>
    <cellStyle name="Normal 11 2 3 2 3 3" xfId="53425" xr:uid="{00000000-0005-0000-0000-0000F0C50000}"/>
    <cellStyle name="Normal 11 2 3 2 3 3 2" xfId="53426" xr:uid="{00000000-0005-0000-0000-0000F1C50000}"/>
    <cellStyle name="Normal 11 2 3 2 3 3 3" xfId="53427" xr:uid="{00000000-0005-0000-0000-0000F2C50000}"/>
    <cellStyle name="Normal 11 2 3 2 3 4" xfId="53428" xr:uid="{00000000-0005-0000-0000-0000F3C50000}"/>
    <cellStyle name="Normal 11 2 3 2 3 4 2" xfId="53429" xr:uid="{00000000-0005-0000-0000-0000F4C50000}"/>
    <cellStyle name="Normal 11 2 3 2 3 5" xfId="53430" xr:uid="{00000000-0005-0000-0000-0000F5C50000}"/>
    <cellStyle name="Normal 11 2 3 2 3 6" xfId="53431" xr:uid="{00000000-0005-0000-0000-0000F6C50000}"/>
    <cellStyle name="Normal 11 2 3 2 4" xfId="53432" xr:uid="{00000000-0005-0000-0000-0000F7C50000}"/>
    <cellStyle name="Normal 11 2 3 2 4 2" xfId="53433" xr:uid="{00000000-0005-0000-0000-0000F8C50000}"/>
    <cellStyle name="Normal 11 2 3 2 4 2 2" xfId="53434" xr:uid="{00000000-0005-0000-0000-0000F9C50000}"/>
    <cellStyle name="Normal 11 2 3 2 4 2 3" xfId="53435" xr:uid="{00000000-0005-0000-0000-0000FAC50000}"/>
    <cellStyle name="Normal 11 2 3 2 4 3" xfId="53436" xr:uid="{00000000-0005-0000-0000-0000FBC50000}"/>
    <cellStyle name="Normal 11 2 3 2 4 3 2" xfId="53437" xr:uid="{00000000-0005-0000-0000-0000FCC50000}"/>
    <cellStyle name="Normal 11 2 3 2 4 3 3" xfId="53438" xr:uid="{00000000-0005-0000-0000-0000FDC50000}"/>
    <cellStyle name="Normal 11 2 3 2 4 4" xfId="53439" xr:uid="{00000000-0005-0000-0000-0000FEC50000}"/>
    <cellStyle name="Normal 11 2 3 2 4 4 2" xfId="53440" xr:uid="{00000000-0005-0000-0000-0000FFC50000}"/>
    <cellStyle name="Normal 11 2 3 2 4 5" xfId="53441" xr:uid="{00000000-0005-0000-0000-000000C60000}"/>
    <cellStyle name="Normal 11 2 3 2 4 6" xfId="53442" xr:uid="{00000000-0005-0000-0000-000001C60000}"/>
    <cellStyle name="Normal 11 2 3 2 5" xfId="53443" xr:uid="{00000000-0005-0000-0000-000002C60000}"/>
    <cellStyle name="Normal 11 2 3 2 5 2" xfId="53444" xr:uid="{00000000-0005-0000-0000-000003C60000}"/>
    <cellStyle name="Normal 11 2 3 2 5 2 2" xfId="53445" xr:uid="{00000000-0005-0000-0000-000004C60000}"/>
    <cellStyle name="Normal 11 2 3 2 5 2 3" xfId="53446" xr:uid="{00000000-0005-0000-0000-000005C60000}"/>
    <cellStyle name="Normal 11 2 3 2 5 3" xfId="53447" xr:uid="{00000000-0005-0000-0000-000006C60000}"/>
    <cellStyle name="Normal 11 2 3 2 5 3 2" xfId="53448" xr:uid="{00000000-0005-0000-0000-000007C60000}"/>
    <cellStyle name="Normal 11 2 3 2 5 4" xfId="53449" xr:uid="{00000000-0005-0000-0000-000008C60000}"/>
    <cellStyle name="Normal 11 2 3 2 5 5" xfId="53450" xr:uid="{00000000-0005-0000-0000-000009C60000}"/>
    <cellStyle name="Normal 11 2 3 2 6" xfId="53451" xr:uid="{00000000-0005-0000-0000-00000AC60000}"/>
    <cellStyle name="Normal 11 2 3 2 6 2" xfId="53452" xr:uid="{00000000-0005-0000-0000-00000BC60000}"/>
    <cellStyle name="Normal 11 2 3 2 6 3" xfId="53453" xr:uid="{00000000-0005-0000-0000-00000CC60000}"/>
    <cellStyle name="Normal 11 2 3 2 7" xfId="53454" xr:uid="{00000000-0005-0000-0000-00000DC60000}"/>
    <cellStyle name="Normal 11 2 3 2 7 2" xfId="53455" xr:uid="{00000000-0005-0000-0000-00000EC60000}"/>
    <cellStyle name="Normal 11 2 3 2 7 3" xfId="53456" xr:uid="{00000000-0005-0000-0000-00000FC60000}"/>
    <cellStyle name="Normal 11 2 3 2 8" xfId="53457" xr:uid="{00000000-0005-0000-0000-000010C60000}"/>
    <cellStyle name="Normal 11 2 3 2 8 2" xfId="53458" xr:uid="{00000000-0005-0000-0000-000011C60000}"/>
    <cellStyle name="Normal 11 2 3 2 9" xfId="53459" xr:uid="{00000000-0005-0000-0000-000012C60000}"/>
    <cellStyle name="Normal 11 2 3 3" xfId="53460" xr:uid="{00000000-0005-0000-0000-000013C60000}"/>
    <cellStyle name="Normal 11 2 3 3 2" xfId="53461" xr:uid="{00000000-0005-0000-0000-000014C60000}"/>
    <cellStyle name="Normal 11 2 3 3 2 2" xfId="53462" xr:uid="{00000000-0005-0000-0000-000015C60000}"/>
    <cellStyle name="Normal 11 2 3 3 2 2 2" xfId="53463" xr:uid="{00000000-0005-0000-0000-000016C60000}"/>
    <cellStyle name="Normal 11 2 3 3 2 2 3" xfId="53464" xr:uid="{00000000-0005-0000-0000-000017C60000}"/>
    <cellStyle name="Normal 11 2 3 3 2 3" xfId="53465" xr:uid="{00000000-0005-0000-0000-000018C60000}"/>
    <cellStyle name="Normal 11 2 3 3 2 3 2" xfId="53466" xr:uid="{00000000-0005-0000-0000-000019C60000}"/>
    <cellStyle name="Normal 11 2 3 3 2 3 3" xfId="53467" xr:uid="{00000000-0005-0000-0000-00001AC60000}"/>
    <cellStyle name="Normal 11 2 3 3 2 4" xfId="53468" xr:uid="{00000000-0005-0000-0000-00001BC60000}"/>
    <cellStyle name="Normal 11 2 3 3 2 4 2" xfId="53469" xr:uid="{00000000-0005-0000-0000-00001CC60000}"/>
    <cellStyle name="Normal 11 2 3 3 2 5" xfId="53470" xr:uid="{00000000-0005-0000-0000-00001DC60000}"/>
    <cellStyle name="Normal 11 2 3 3 2 6" xfId="53471" xr:uid="{00000000-0005-0000-0000-00001EC60000}"/>
    <cellStyle name="Normal 11 2 3 3 3" xfId="53472" xr:uid="{00000000-0005-0000-0000-00001FC60000}"/>
    <cellStyle name="Normal 11 2 3 3 3 2" xfId="53473" xr:uid="{00000000-0005-0000-0000-000020C60000}"/>
    <cellStyle name="Normal 11 2 3 3 3 2 2" xfId="53474" xr:uid="{00000000-0005-0000-0000-000021C60000}"/>
    <cellStyle name="Normal 11 2 3 3 3 2 3" xfId="53475" xr:uid="{00000000-0005-0000-0000-000022C60000}"/>
    <cellStyle name="Normal 11 2 3 3 3 3" xfId="53476" xr:uid="{00000000-0005-0000-0000-000023C60000}"/>
    <cellStyle name="Normal 11 2 3 3 3 3 2" xfId="53477" xr:uid="{00000000-0005-0000-0000-000024C60000}"/>
    <cellStyle name="Normal 11 2 3 3 3 3 3" xfId="53478" xr:uid="{00000000-0005-0000-0000-000025C60000}"/>
    <cellStyle name="Normal 11 2 3 3 3 4" xfId="53479" xr:uid="{00000000-0005-0000-0000-000026C60000}"/>
    <cellStyle name="Normal 11 2 3 3 3 4 2" xfId="53480" xr:uid="{00000000-0005-0000-0000-000027C60000}"/>
    <cellStyle name="Normal 11 2 3 3 3 5" xfId="53481" xr:uid="{00000000-0005-0000-0000-000028C60000}"/>
    <cellStyle name="Normal 11 2 3 3 3 6" xfId="53482" xr:uid="{00000000-0005-0000-0000-000029C60000}"/>
    <cellStyle name="Normal 11 2 3 3 4" xfId="53483" xr:uid="{00000000-0005-0000-0000-00002AC60000}"/>
    <cellStyle name="Normal 11 2 3 3 4 2" xfId="53484" xr:uid="{00000000-0005-0000-0000-00002BC60000}"/>
    <cellStyle name="Normal 11 2 3 3 4 2 2" xfId="53485" xr:uid="{00000000-0005-0000-0000-00002CC60000}"/>
    <cellStyle name="Normal 11 2 3 3 4 2 3" xfId="53486" xr:uid="{00000000-0005-0000-0000-00002DC60000}"/>
    <cellStyle name="Normal 11 2 3 3 4 3" xfId="53487" xr:uid="{00000000-0005-0000-0000-00002EC60000}"/>
    <cellStyle name="Normal 11 2 3 3 4 3 2" xfId="53488" xr:uid="{00000000-0005-0000-0000-00002FC60000}"/>
    <cellStyle name="Normal 11 2 3 3 4 4" xfId="53489" xr:uid="{00000000-0005-0000-0000-000030C60000}"/>
    <cellStyle name="Normal 11 2 3 3 4 5" xfId="53490" xr:uid="{00000000-0005-0000-0000-000031C60000}"/>
    <cellStyle name="Normal 11 2 3 3 5" xfId="53491" xr:uid="{00000000-0005-0000-0000-000032C60000}"/>
    <cellStyle name="Normal 11 2 3 3 5 2" xfId="53492" xr:uid="{00000000-0005-0000-0000-000033C60000}"/>
    <cellStyle name="Normal 11 2 3 3 5 3" xfId="53493" xr:uid="{00000000-0005-0000-0000-000034C60000}"/>
    <cellStyle name="Normal 11 2 3 3 6" xfId="53494" xr:uid="{00000000-0005-0000-0000-000035C60000}"/>
    <cellStyle name="Normal 11 2 3 3 6 2" xfId="53495" xr:uid="{00000000-0005-0000-0000-000036C60000}"/>
    <cellStyle name="Normal 11 2 3 3 6 3" xfId="53496" xr:uid="{00000000-0005-0000-0000-000037C60000}"/>
    <cellStyle name="Normal 11 2 3 3 7" xfId="53497" xr:uid="{00000000-0005-0000-0000-000038C60000}"/>
    <cellStyle name="Normal 11 2 3 3 7 2" xfId="53498" xr:uid="{00000000-0005-0000-0000-000039C60000}"/>
    <cellStyle name="Normal 11 2 3 3 8" xfId="53499" xr:uid="{00000000-0005-0000-0000-00003AC60000}"/>
    <cellStyle name="Normal 11 2 3 3 9" xfId="53500" xr:uid="{00000000-0005-0000-0000-00003BC60000}"/>
    <cellStyle name="Normal 11 2 3 4" xfId="53501" xr:uid="{00000000-0005-0000-0000-00003CC60000}"/>
    <cellStyle name="Normal 11 2 3 4 2" xfId="53502" xr:uid="{00000000-0005-0000-0000-00003DC60000}"/>
    <cellStyle name="Normal 11 2 3 4 2 2" xfId="53503" xr:uid="{00000000-0005-0000-0000-00003EC60000}"/>
    <cellStyle name="Normal 11 2 3 4 2 2 2" xfId="53504" xr:uid="{00000000-0005-0000-0000-00003FC60000}"/>
    <cellStyle name="Normal 11 2 3 4 2 2 3" xfId="53505" xr:uid="{00000000-0005-0000-0000-000040C60000}"/>
    <cellStyle name="Normal 11 2 3 4 2 3" xfId="53506" xr:uid="{00000000-0005-0000-0000-000041C60000}"/>
    <cellStyle name="Normal 11 2 3 4 2 3 2" xfId="53507" xr:uid="{00000000-0005-0000-0000-000042C60000}"/>
    <cellStyle name="Normal 11 2 3 4 2 3 3" xfId="53508" xr:uid="{00000000-0005-0000-0000-000043C60000}"/>
    <cellStyle name="Normal 11 2 3 4 2 4" xfId="53509" xr:uid="{00000000-0005-0000-0000-000044C60000}"/>
    <cellStyle name="Normal 11 2 3 4 2 4 2" xfId="53510" xr:uid="{00000000-0005-0000-0000-000045C60000}"/>
    <cellStyle name="Normal 11 2 3 4 2 5" xfId="53511" xr:uid="{00000000-0005-0000-0000-000046C60000}"/>
    <cellStyle name="Normal 11 2 3 4 2 6" xfId="53512" xr:uid="{00000000-0005-0000-0000-000047C60000}"/>
    <cellStyle name="Normal 11 2 3 4 3" xfId="53513" xr:uid="{00000000-0005-0000-0000-000048C60000}"/>
    <cellStyle name="Normal 11 2 3 4 3 2" xfId="53514" xr:uid="{00000000-0005-0000-0000-000049C60000}"/>
    <cellStyle name="Normal 11 2 3 4 3 2 2" xfId="53515" xr:uid="{00000000-0005-0000-0000-00004AC60000}"/>
    <cellStyle name="Normal 11 2 3 4 3 2 3" xfId="53516" xr:uid="{00000000-0005-0000-0000-00004BC60000}"/>
    <cellStyle name="Normal 11 2 3 4 3 3" xfId="53517" xr:uid="{00000000-0005-0000-0000-00004CC60000}"/>
    <cellStyle name="Normal 11 2 3 4 3 3 2" xfId="53518" xr:uid="{00000000-0005-0000-0000-00004DC60000}"/>
    <cellStyle name="Normal 11 2 3 4 3 3 3" xfId="53519" xr:uid="{00000000-0005-0000-0000-00004EC60000}"/>
    <cellStyle name="Normal 11 2 3 4 3 4" xfId="53520" xr:uid="{00000000-0005-0000-0000-00004FC60000}"/>
    <cellStyle name="Normal 11 2 3 4 3 4 2" xfId="53521" xr:uid="{00000000-0005-0000-0000-000050C60000}"/>
    <cellStyle name="Normal 11 2 3 4 3 5" xfId="53522" xr:uid="{00000000-0005-0000-0000-000051C60000}"/>
    <cellStyle name="Normal 11 2 3 4 3 6" xfId="53523" xr:uid="{00000000-0005-0000-0000-000052C60000}"/>
    <cellStyle name="Normal 11 2 3 4 4" xfId="53524" xr:uid="{00000000-0005-0000-0000-000053C60000}"/>
    <cellStyle name="Normal 11 2 3 4 4 2" xfId="53525" xr:uid="{00000000-0005-0000-0000-000054C60000}"/>
    <cellStyle name="Normal 11 2 3 4 4 2 2" xfId="53526" xr:uid="{00000000-0005-0000-0000-000055C60000}"/>
    <cellStyle name="Normal 11 2 3 4 4 2 3" xfId="53527" xr:uid="{00000000-0005-0000-0000-000056C60000}"/>
    <cellStyle name="Normal 11 2 3 4 4 3" xfId="53528" xr:uid="{00000000-0005-0000-0000-000057C60000}"/>
    <cellStyle name="Normal 11 2 3 4 4 3 2" xfId="53529" xr:uid="{00000000-0005-0000-0000-000058C60000}"/>
    <cellStyle name="Normal 11 2 3 4 4 4" xfId="53530" xr:uid="{00000000-0005-0000-0000-000059C60000}"/>
    <cellStyle name="Normal 11 2 3 4 4 5" xfId="53531" xr:uid="{00000000-0005-0000-0000-00005AC60000}"/>
    <cellStyle name="Normal 11 2 3 4 5" xfId="53532" xr:uid="{00000000-0005-0000-0000-00005BC60000}"/>
    <cellStyle name="Normal 11 2 3 4 5 2" xfId="53533" xr:uid="{00000000-0005-0000-0000-00005CC60000}"/>
    <cellStyle name="Normal 11 2 3 4 5 3" xfId="53534" xr:uid="{00000000-0005-0000-0000-00005DC60000}"/>
    <cellStyle name="Normal 11 2 3 4 6" xfId="53535" xr:uid="{00000000-0005-0000-0000-00005EC60000}"/>
    <cellStyle name="Normal 11 2 3 4 6 2" xfId="53536" xr:uid="{00000000-0005-0000-0000-00005FC60000}"/>
    <cellStyle name="Normal 11 2 3 4 6 3" xfId="53537" xr:uid="{00000000-0005-0000-0000-000060C60000}"/>
    <cellStyle name="Normal 11 2 3 4 7" xfId="53538" xr:uid="{00000000-0005-0000-0000-000061C60000}"/>
    <cellStyle name="Normal 11 2 3 4 7 2" xfId="53539" xr:uid="{00000000-0005-0000-0000-000062C60000}"/>
    <cellStyle name="Normal 11 2 3 4 8" xfId="53540" xr:uid="{00000000-0005-0000-0000-000063C60000}"/>
    <cellStyle name="Normal 11 2 3 4 9" xfId="53541" xr:uid="{00000000-0005-0000-0000-000064C60000}"/>
    <cellStyle name="Normal 11 2 3 5" xfId="53542" xr:uid="{00000000-0005-0000-0000-000065C60000}"/>
    <cellStyle name="Normal 11 2 3 5 2" xfId="53543" xr:uid="{00000000-0005-0000-0000-000066C60000}"/>
    <cellStyle name="Normal 11 2 3 5 2 2" xfId="53544" xr:uid="{00000000-0005-0000-0000-000067C60000}"/>
    <cellStyle name="Normal 11 2 3 5 2 3" xfId="53545" xr:uid="{00000000-0005-0000-0000-000068C60000}"/>
    <cellStyle name="Normal 11 2 3 5 3" xfId="53546" xr:uid="{00000000-0005-0000-0000-000069C60000}"/>
    <cellStyle name="Normal 11 2 3 5 3 2" xfId="53547" xr:uid="{00000000-0005-0000-0000-00006AC60000}"/>
    <cellStyle name="Normal 11 2 3 5 3 3" xfId="53548" xr:uid="{00000000-0005-0000-0000-00006BC60000}"/>
    <cellStyle name="Normal 11 2 3 5 4" xfId="53549" xr:uid="{00000000-0005-0000-0000-00006CC60000}"/>
    <cellStyle name="Normal 11 2 3 5 4 2" xfId="53550" xr:uid="{00000000-0005-0000-0000-00006DC60000}"/>
    <cellStyle name="Normal 11 2 3 5 5" xfId="53551" xr:uid="{00000000-0005-0000-0000-00006EC60000}"/>
    <cellStyle name="Normal 11 2 3 5 6" xfId="53552" xr:uid="{00000000-0005-0000-0000-00006FC60000}"/>
    <cellStyle name="Normal 11 2 3 6" xfId="53553" xr:uid="{00000000-0005-0000-0000-000070C60000}"/>
    <cellStyle name="Normal 11 2 3 6 2" xfId="53554" xr:uid="{00000000-0005-0000-0000-000071C60000}"/>
    <cellStyle name="Normal 11 2 3 6 2 2" xfId="53555" xr:uid="{00000000-0005-0000-0000-000072C60000}"/>
    <cellStyle name="Normal 11 2 3 6 2 3" xfId="53556" xr:uid="{00000000-0005-0000-0000-000073C60000}"/>
    <cellStyle name="Normal 11 2 3 6 3" xfId="53557" xr:uid="{00000000-0005-0000-0000-000074C60000}"/>
    <cellStyle name="Normal 11 2 3 6 3 2" xfId="53558" xr:uid="{00000000-0005-0000-0000-000075C60000}"/>
    <cellStyle name="Normal 11 2 3 6 3 3" xfId="53559" xr:uid="{00000000-0005-0000-0000-000076C60000}"/>
    <cellStyle name="Normal 11 2 3 6 4" xfId="53560" xr:uid="{00000000-0005-0000-0000-000077C60000}"/>
    <cellStyle name="Normal 11 2 3 6 4 2" xfId="53561" xr:uid="{00000000-0005-0000-0000-000078C60000}"/>
    <cellStyle name="Normal 11 2 3 6 5" xfId="53562" xr:uid="{00000000-0005-0000-0000-000079C60000}"/>
    <cellStyle name="Normal 11 2 3 6 6" xfId="53563" xr:uid="{00000000-0005-0000-0000-00007AC60000}"/>
    <cellStyle name="Normal 11 2 3 7" xfId="53564" xr:uid="{00000000-0005-0000-0000-00007BC60000}"/>
    <cellStyle name="Normal 11 2 3 7 2" xfId="53565" xr:uid="{00000000-0005-0000-0000-00007CC60000}"/>
    <cellStyle name="Normal 11 2 3 7 2 2" xfId="53566" xr:uid="{00000000-0005-0000-0000-00007DC60000}"/>
    <cellStyle name="Normal 11 2 3 7 2 3" xfId="53567" xr:uid="{00000000-0005-0000-0000-00007EC60000}"/>
    <cellStyle name="Normal 11 2 3 7 3" xfId="53568" xr:uid="{00000000-0005-0000-0000-00007FC60000}"/>
    <cellStyle name="Normal 11 2 3 7 3 2" xfId="53569" xr:uid="{00000000-0005-0000-0000-000080C60000}"/>
    <cellStyle name="Normal 11 2 3 7 4" xfId="53570" xr:uid="{00000000-0005-0000-0000-000081C60000}"/>
    <cellStyle name="Normal 11 2 3 7 5" xfId="53571" xr:uid="{00000000-0005-0000-0000-000082C60000}"/>
    <cellStyle name="Normal 11 2 3 8" xfId="53572" xr:uid="{00000000-0005-0000-0000-000083C60000}"/>
    <cellStyle name="Normal 11 2 3 8 2" xfId="53573" xr:uid="{00000000-0005-0000-0000-000084C60000}"/>
    <cellStyle name="Normal 11 2 3 8 3" xfId="53574" xr:uid="{00000000-0005-0000-0000-000085C60000}"/>
    <cellStyle name="Normal 11 2 3 9" xfId="53575" xr:uid="{00000000-0005-0000-0000-000086C60000}"/>
    <cellStyle name="Normal 11 2 3 9 2" xfId="53576" xr:uid="{00000000-0005-0000-0000-000087C60000}"/>
    <cellStyle name="Normal 11 2 3 9 3" xfId="53577" xr:uid="{00000000-0005-0000-0000-000088C60000}"/>
    <cellStyle name="Normal 11 2 4" xfId="53578" xr:uid="{00000000-0005-0000-0000-000089C60000}"/>
    <cellStyle name="Normal 11 2 4 10" xfId="53579" xr:uid="{00000000-0005-0000-0000-00008AC60000}"/>
    <cellStyle name="Normal 11 2 4 2" xfId="53580" xr:uid="{00000000-0005-0000-0000-00008BC60000}"/>
    <cellStyle name="Normal 11 2 4 2 2" xfId="53581" xr:uid="{00000000-0005-0000-0000-00008CC60000}"/>
    <cellStyle name="Normal 11 2 4 2 2 2" xfId="53582" xr:uid="{00000000-0005-0000-0000-00008DC60000}"/>
    <cellStyle name="Normal 11 2 4 2 2 2 2" xfId="53583" xr:uid="{00000000-0005-0000-0000-00008EC60000}"/>
    <cellStyle name="Normal 11 2 4 2 2 2 3" xfId="53584" xr:uid="{00000000-0005-0000-0000-00008FC60000}"/>
    <cellStyle name="Normal 11 2 4 2 2 3" xfId="53585" xr:uid="{00000000-0005-0000-0000-000090C60000}"/>
    <cellStyle name="Normal 11 2 4 2 2 3 2" xfId="53586" xr:uid="{00000000-0005-0000-0000-000091C60000}"/>
    <cellStyle name="Normal 11 2 4 2 2 3 3" xfId="53587" xr:uid="{00000000-0005-0000-0000-000092C60000}"/>
    <cellStyle name="Normal 11 2 4 2 2 4" xfId="53588" xr:uid="{00000000-0005-0000-0000-000093C60000}"/>
    <cellStyle name="Normal 11 2 4 2 2 4 2" xfId="53589" xr:uid="{00000000-0005-0000-0000-000094C60000}"/>
    <cellStyle name="Normal 11 2 4 2 2 5" xfId="53590" xr:uid="{00000000-0005-0000-0000-000095C60000}"/>
    <cellStyle name="Normal 11 2 4 2 2 6" xfId="53591" xr:uid="{00000000-0005-0000-0000-000096C60000}"/>
    <cellStyle name="Normal 11 2 4 2 3" xfId="53592" xr:uid="{00000000-0005-0000-0000-000097C60000}"/>
    <cellStyle name="Normal 11 2 4 2 3 2" xfId="53593" xr:uid="{00000000-0005-0000-0000-000098C60000}"/>
    <cellStyle name="Normal 11 2 4 2 3 2 2" xfId="53594" xr:uid="{00000000-0005-0000-0000-000099C60000}"/>
    <cellStyle name="Normal 11 2 4 2 3 2 3" xfId="53595" xr:uid="{00000000-0005-0000-0000-00009AC60000}"/>
    <cellStyle name="Normal 11 2 4 2 3 3" xfId="53596" xr:uid="{00000000-0005-0000-0000-00009BC60000}"/>
    <cellStyle name="Normal 11 2 4 2 3 3 2" xfId="53597" xr:uid="{00000000-0005-0000-0000-00009CC60000}"/>
    <cellStyle name="Normal 11 2 4 2 3 3 3" xfId="53598" xr:uid="{00000000-0005-0000-0000-00009DC60000}"/>
    <cellStyle name="Normal 11 2 4 2 3 4" xfId="53599" xr:uid="{00000000-0005-0000-0000-00009EC60000}"/>
    <cellStyle name="Normal 11 2 4 2 3 4 2" xfId="53600" xr:uid="{00000000-0005-0000-0000-00009FC60000}"/>
    <cellStyle name="Normal 11 2 4 2 3 5" xfId="53601" xr:uid="{00000000-0005-0000-0000-0000A0C60000}"/>
    <cellStyle name="Normal 11 2 4 2 3 6" xfId="53602" xr:uid="{00000000-0005-0000-0000-0000A1C60000}"/>
    <cellStyle name="Normal 11 2 4 2 4" xfId="53603" xr:uid="{00000000-0005-0000-0000-0000A2C60000}"/>
    <cellStyle name="Normal 11 2 4 2 4 2" xfId="53604" xr:uid="{00000000-0005-0000-0000-0000A3C60000}"/>
    <cellStyle name="Normal 11 2 4 2 4 2 2" xfId="53605" xr:uid="{00000000-0005-0000-0000-0000A4C60000}"/>
    <cellStyle name="Normal 11 2 4 2 4 2 3" xfId="53606" xr:uid="{00000000-0005-0000-0000-0000A5C60000}"/>
    <cellStyle name="Normal 11 2 4 2 4 3" xfId="53607" xr:uid="{00000000-0005-0000-0000-0000A6C60000}"/>
    <cellStyle name="Normal 11 2 4 2 4 3 2" xfId="53608" xr:uid="{00000000-0005-0000-0000-0000A7C60000}"/>
    <cellStyle name="Normal 11 2 4 2 4 4" xfId="53609" xr:uid="{00000000-0005-0000-0000-0000A8C60000}"/>
    <cellStyle name="Normal 11 2 4 2 4 5" xfId="53610" xr:uid="{00000000-0005-0000-0000-0000A9C60000}"/>
    <cellStyle name="Normal 11 2 4 2 5" xfId="53611" xr:uid="{00000000-0005-0000-0000-0000AAC60000}"/>
    <cellStyle name="Normal 11 2 4 2 5 2" xfId="53612" xr:uid="{00000000-0005-0000-0000-0000ABC60000}"/>
    <cellStyle name="Normal 11 2 4 2 5 3" xfId="53613" xr:uid="{00000000-0005-0000-0000-0000ACC60000}"/>
    <cellStyle name="Normal 11 2 4 2 6" xfId="53614" xr:uid="{00000000-0005-0000-0000-0000ADC60000}"/>
    <cellStyle name="Normal 11 2 4 2 6 2" xfId="53615" xr:uid="{00000000-0005-0000-0000-0000AEC60000}"/>
    <cellStyle name="Normal 11 2 4 2 6 3" xfId="53616" xr:uid="{00000000-0005-0000-0000-0000AFC60000}"/>
    <cellStyle name="Normal 11 2 4 2 7" xfId="53617" xr:uid="{00000000-0005-0000-0000-0000B0C60000}"/>
    <cellStyle name="Normal 11 2 4 2 7 2" xfId="53618" xr:uid="{00000000-0005-0000-0000-0000B1C60000}"/>
    <cellStyle name="Normal 11 2 4 2 8" xfId="53619" xr:uid="{00000000-0005-0000-0000-0000B2C60000}"/>
    <cellStyle name="Normal 11 2 4 2 9" xfId="53620" xr:uid="{00000000-0005-0000-0000-0000B3C60000}"/>
    <cellStyle name="Normal 11 2 4 3" xfId="53621" xr:uid="{00000000-0005-0000-0000-0000B4C60000}"/>
    <cellStyle name="Normal 11 2 4 3 2" xfId="53622" xr:uid="{00000000-0005-0000-0000-0000B5C60000}"/>
    <cellStyle name="Normal 11 2 4 3 2 2" xfId="53623" xr:uid="{00000000-0005-0000-0000-0000B6C60000}"/>
    <cellStyle name="Normal 11 2 4 3 2 3" xfId="53624" xr:uid="{00000000-0005-0000-0000-0000B7C60000}"/>
    <cellStyle name="Normal 11 2 4 3 3" xfId="53625" xr:uid="{00000000-0005-0000-0000-0000B8C60000}"/>
    <cellStyle name="Normal 11 2 4 3 3 2" xfId="53626" xr:uid="{00000000-0005-0000-0000-0000B9C60000}"/>
    <cellStyle name="Normal 11 2 4 3 3 3" xfId="53627" xr:uid="{00000000-0005-0000-0000-0000BAC60000}"/>
    <cellStyle name="Normal 11 2 4 3 4" xfId="53628" xr:uid="{00000000-0005-0000-0000-0000BBC60000}"/>
    <cellStyle name="Normal 11 2 4 3 4 2" xfId="53629" xr:uid="{00000000-0005-0000-0000-0000BCC60000}"/>
    <cellStyle name="Normal 11 2 4 3 5" xfId="53630" xr:uid="{00000000-0005-0000-0000-0000BDC60000}"/>
    <cellStyle name="Normal 11 2 4 3 6" xfId="53631" xr:uid="{00000000-0005-0000-0000-0000BEC60000}"/>
    <cellStyle name="Normal 11 2 4 4" xfId="53632" xr:uid="{00000000-0005-0000-0000-0000BFC60000}"/>
    <cellStyle name="Normal 11 2 4 4 2" xfId="53633" xr:uid="{00000000-0005-0000-0000-0000C0C60000}"/>
    <cellStyle name="Normal 11 2 4 4 2 2" xfId="53634" xr:uid="{00000000-0005-0000-0000-0000C1C60000}"/>
    <cellStyle name="Normal 11 2 4 4 2 3" xfId="53635" xr:uid="{00000000-0005-0000-0000-0000C2C60000}"/>
    <cellStyle name="Normal 11 2 4 4 3" xfId="53636" xr:uid="{00000000-0005-0000-0000-0000C3C60000}"/>
    <cellStyle name="Normal 11 2 4 4 3 2" xfId="53637" xr:uid="{00000000-0005-0000-0000-0000C4C60000}"/>
    <cellStyle name="Normal 11 2 4 4 3 3" xfId="53638" xr:uid="{00000000-0005-0000-0000-0000C5C60000}"/>
    <cellStyle name="Normal 11 2 4 4 4" xfId="53639" xr:uid="{00000000-0005-0000-0000-0000C6C60000}"/>
    <cellStyle name="Normal 11 2 4 4 4 2" xfId="53640" xr:uid="{00000000-0005-0000-0000-0000C7C60000}"/>
    <cellStyle name="Normal 11 2 4 4 5" xfId="53641" xr:uid="{00000000-0005-0000-0000-0000C8C60000}"/>
    <cellStyle name="Normal 11 2 4 4 6" xfId="53642" xr:uid="{00000000-0005-0000-0000-0000C9C60000}"/>
    <cellStyle name="Normal 11 2 4 5" xfId="53643" xr:uid="{00000000-0005-0000-0000-0000CAC60000}"/>
    <cellStyle name="Normal 11 2 4 5 2" xfId="53644" xr:uid="{00000000-0005-0000-0000-0000CBC60000}"/>
    <cellStyle name="Normal 11 2 4 5 2 2" xfId="53645" xr:uid="{00000000-0005-0000-0000-0000CCC60000}"/>
    <cellStyle name="Normal 11 2 4 5 2 3" xfId="53646" xr:uid="{00000000-0005-0000-0000-0000CDC60000}"/>
    <cellStyle name="Normal 11 2 4 5 3" xfId="53647" xr:uid="{00000000-0005-0000-0000-0000CEC60000}"/>
    <cellStyle name="Normal 11 2 4 5 3 2" xfId="53648" xr:uid="{00000000-0005-0000-0000-0000CFC60000}"/>
    <cellStyle name="Normal 11 2 4 5 4" xfId="53649" xr:uid="{00000000-0005-0000-0000-0000D0C60000}"/>
    <cellStyle name="Normal 11 2 4 5 5" xfId="53650" xr:uid="{00000000-0005-0000-0000-0000D1C60000}"/>
    <cellStyle name="Normal 11 2 4 6" xfId="53651" xr:uid="{00000000-0005-0000-0000-0000D2C60000}"/>
    <cellStyle name="Normal 11 2 4 6 2" xfId="53652" xr:uid="{00000000-0005-0000-0000-0000D3C60000}"/>
    <cellStyle name="Normal 11 2 4 6 3" xfId="53653" xr:uid="{00000000-0005-0000-0000-0000D4C60000}"/>
    <cellStyle name="Normal 11 2 4 7" xfId="53654" xr:uid="{00000000-0005-0000-0000-0000D5C60000}"/>
    <cellStyle name="Normal 11 2 4 7 2" xfId="53655" xr:uid="{00000000-0005-0000-0000-0000D6C60000}"/>
    <cellStyle name="Normal 11 2 4 7 3" xfId="53656" xr:uid="{00000000-0005-0000-0000-0000D7C60000}"/>
    <cellStyle name="Normal 11 2 4 8" xfId="53657" xr:uid="{00000000-0005-0000-0000-0000D8C60000}"/>
    <cellStyle name="Normal 11 2 4 8 2" xfId="53658" xr:uid="{00000000-0005-0000-0000-0000D9C60000}"/>
    <cellStyle name="Normal 11 2 4 9" xfId="53659" xr:uid="{00000000-0005-0000-0000-0000DAC60000}"/>
    <cellStyle name="Normal 11 2 5" xfId="53660" xr:uid="{00000000-0005-0000-0000-0000DBC60000}"/>
    <cellStyle name="Normal 11 2 5 2" xfId="53661" xr:uid="{00000000-0005-0000-0000-0000DCC60000}"/>
    <cellStyle name="Normal 11 2 5 2 2" xfId="53662" xr:uid="{00000000-0005-0000-0000-0000DDC60000}"/>
    <cellStyle name="Normal 11 2 5 2 2 2" xfId="53663" xr:uid="{00000000-0005-0000-0000-0000DEC60000}"/>
    <cellStyle name="Normal 11 2 5 2 2 3" xfId="53664" xr:uid="{00000000-0005-0000-0000-0000DFC60000}"/>
    <cellStyle name="Normal 11 2 5 2 3" xfId="53665" xr:uid="{00000000-0005-0000-0000-0000E0C60000}"/>
    <cellStyle name="Normal 11 2 5 2 3 2" xfId="53666" xr:uid="{00000000-0005-0000-0000-0000E1C60000}"/>
    <cellStyle name="Normal 11 2 5 2 3 3" xfId="53667" xr:uid="{00000000-0005-0000-0000-0000E2C60000}"/>
    <cellStyle name="Normal 11 2 5 2 4" xfId="53668" xr:uid="{00000000-0005-0000-0000-0000E3C60000}"/>
    <cellStyle name="Normal 11 2 5 2 4 2" xfId="53669" xr:uid="{00000000-0005-0000-0000-0000E4C60000}"/>
    <cellStyle name="Normal 11 2 5 2 5" xfId="53670" xr:uid="{00000000-0005-0000-0000-0000E5C60000}"/>
    <cellStyle name="Normal 11 2 5 2 6" xfId="53671" xr:uid="{00000000-0005-0000-0000-0000E6C60000}"/>
    <cellStyle name="Normal 11 2 5 3" xfId="53672" xr:uid="{00000000-0005-0000-0000-0000E7C60000}"/>
    <cellStyle name="Normal 11 2 5 3 2" xfId="53673" xr:uid="{00000000-0005-0000-0000-0000E8C60000}"/>
    <cellStyle name="Normal 11 2 5 3 2 2" xfId="53674" xr:uid="{00000000-0005-0000-0000-0000E9C60000}"/>
    <cellStyle name="Normal 11 2 5 3 2 3" xfId="53675" xr:uid="{00000000-0005-0000-0000-0000EAC60000}"/>
    <cellStyle name="Normal 11 2 5 3 3" xfId="53676" xr:uid="{00000000-0005-0000-0000-0000EBC60000}"/>
    <cellStyle name="Normal 11 2 5 3 3 2" xfId="53677" xr:uid="{00000000-0005-0000-0000-0000ECC60000}"/>
    <cellStyle name="Normal 11 2 5 3 3 3" xfId="53678" xr:uid="{00000000-0005-0000-0000-0000EDC60000}"/>
    <cellStyle name="Normal 11 2 5 3 4" xfId="53679" xr:uid="{00000000-0005-0000-0000-0000EEC60000}"/>
    <cellStyle name="Normal 11 2 5 3 4 2" xfId="53680" xr:uid="{00000000-0005-0000-0000-0000EFC60000}"/>
    <cellStyle name="Normal 11 2 5 3 5" xfId="53681" xr:uid="{00000000-0005-0000-0000-0000F0C60000}"/>
    <cellStyle name="Normal 11 2 5 3 6" xfId="53682" xr:uid="{00000000-0005-0000-0000-0000F1C60000}"/>
    <cellStyle name="Normal 11 2 5 4" xfId="53683" xr:uid="{00000000-0005-0000-0000-0000F2C60000}"/>
    <cellStyle name="Normal 11 2 5 4 2" xfId="53684" xr:uid="{00000000-0005-0000-0000-0000F3C60000}"/>
    <cellStyle name="Normal 11 2 5 4 2 2" xfId="53685" xr:uid="{00000000-0005-0000-0000-0000F4C60000}"/>
    <cellStyle name="Normal 11 2 5 4 2 3" xfId="53686" xr:uid="{00000000-0005-0000-0000-0000F5C60000}"/>
    <cellStyle name="Normal 11 2 5 4 3" xfId="53687" xr:uid="{00000000-0005-0000-0000-0000F6C60000}"/>
    <cellStyle name="Normal 11 2 5 4 3 2" xfId="53688" xr:uid="{00000000-0005-0000-0000-0000F7C60000}"/>
    <cellStyle name="Normal 11 2 5 4 4" xfId="53689" xr:uid="{00000000-0005-0000-0000-0000F8C60000}"/>
    <cellStyle name="Normal 11 2 5 4 5" xfId="53690" xr:uid="{00000000-0005-0000-0000-0000F9C60000}"/>
    <cellStyle name="Normal 11 2 5 5" xfId="53691" xr:uid="{00000000-0005-0000-0000-0000FAC60000}"/>
    <cellStyle name="Normal 11 2 5 5 2" xfId="53692" xr:uid="{00000000-0005-0000-0000-0000FBC60000}"/>
    <cellStyle name="Normal 11 2 5 5 3" xfId="53693" xr:uid="{00000000-0005-0000-0000-0000FCC60000}"/>
    <cellStyle name="Normal 11 2 5 6" xfId="53694" xr:uid="{00000000-0005-0000-0000-0000FDC60000}"/>
    <cellStyle name="Normal 11 2 5 6 2" xfId="53695" xr:uid="{00000000-0005-0000-0000-0000FEC60000}"/>
    <cellStyle name="Normal 11 2 5 6 3" xfId="53696" xr:uid="{00000000-0005-0000-0000-0000FFC60000}"/>
    <cellStyle name="Normal 11 2 5 7" xfId="53697" xr:uid="{00000000-0005-0000-0000-000000C70000}"/>
    <cellStyle name="Normal 11 2 5 7 2" xfId="53698" xr:uid="{00000000-0005-0000-0000-000001C70000}"/>
    <cellStyle name="Normal 11 2 5 8" xfId="53699" xr:uid="{00000000-0005-0000-0000-000002C70000}"/>
    <cellStyle name="Normal 11 2 5 9" xfId="53700" xr:uid="{00000000-0005-0000-0000-000003C70000}"/>
    <cellStyle name="Normal 11 2 6" xfId="53701" xr:uid="{00000000-0005-0000-0000-000004C70000}"/>
    <cellStyle name="Normal 11 2 6 2" xfId="53702" xr:uid="{00000000-0005-0000-0000-000005C70000}"/>
    <cellStyle name="Normal 11 2 6 2 2" xfId="53703" xr:uid="{00000000-0005-0000-0000-000006C70000}"/>
    <cellStyle name="Normal 11 2 6 2 2 2" xfId="53704" xr:uid="{00000000-0005-0000-0000-000007C70000}"/>
    <cellStyle name="Normal 11 2 6 2 2 3" xfId="53705" xr:uid="{00000000-0005-0000-0000-000008C70000}"/>
    <cellStyle name="Normal 11 2 6 2 3" xfId="53706" xr:uid="{00000000-0005-0000-0000-000009C70000}"/>
    <cellStyle name="Normal 11 2 6 2 3 2" xfId="53707" xr:uid="{00000000-0005-0000-0000-00000AC70000}"/>
    <cellStyle name="Normal 11 2 6 2 3 3" xfId="53708" xr:uid="{00000000-0005-0000-0000-00000BC70000}"/>
    <cellStyle name="Normal 11 2 6 2 4" xfId="53709" xr:uid="{00000000-0005-0000-0000-00000CC70000}"/>
    <cellStyle name="Normal 11 2 6 2 4 2" xfId="53710" xr:uid="{00000000-0005-0000-0000-00000DC70000}"/>
    <cellStyle name="Normal 11 2 6 2 5" xfId="53711" xr:uid="{00000000-0005-0000-0000-00000EC70000}"/>
    <cellStyle name="Normal 11 2 6 2 6" xfId="53712" xr:uid="{00000000-0005-0000-0000-00000FC70000}"/>
    <cellStyle name="Normal 11 2 6 3" xfId="53713" xr:uid="{00000000-0005-0000-0000-000010C70000}"/>
    <cellStyle name="Normal 11 2 6 3 2" xfId="53714" xr:uid="{00000000-0005-0000-0000-000011C70000}"/>
    <cellStyle name="Normal 11 2 6 3 2 2" xfId="53715" xr:uid="{00000000-0005-0000-0000-000012C70000}"/>
    <cellStyle name="Normal 11 2 6 3 2 3" xfId="53716" xr:uid="{00000000-0005-0000-0000-000013C70000}"/>
    <cellStyle name="Normal 11 2 6 3 3" xfId="53717" xr:uid="{00000000-0005-0000-0000-000014C70000}"/>
    <cellStyle name="Normal 11 2 6 3 3 2" xfId="53718" xr:uid="{00000000-0005-0000-0000-000015C70000}"/>
    <cellStyle name="Normal 11 2 6 3 3 3" xfId="53719" xr:uid="{00000000-0005-0000-0000-000016C70000}"/>
    <cellStyle name="Normal 11 2 6 3 4" xfId="53720" xr:uid="{00000000-0005-0000-0000-000017C70000}"/>
    <cellStyle name="Normal 11 2 6 3 4 2" xfId="53721" xr:uid="{00000000-0005-0000-0000-000018C70000}"/>
    <cellStyle name="Normal 11 2 6 3 5" xfId="53722" xr:uid="{00000000-0005-0000-0000-000019C70000}"/>
    <cellStyle name="Normal 11 2 6 3 6" xfId="53723" xr:uid="{00000000-0005-0000-0000-00001AC70000}"/>
    <cellStyle name="Normal 11 2 6 4" xfId="53724" xr:uid="{00000000-0005-0000-0000-00001BC70000}"/>
    <cellStyle name="Normal 11 2 6 4 2" xfId="53725" xr:uid="{00000000-0005-0000-0000-00001CC70000}"/>
    <cellStyle name="Normal 11 2 6 4 2 2" xfId="53726" xr:uid="{00000000-0005-0000-0000-00001DC70000}"/>
    <cellStyle name="Normal 11 2 6 4 2 3" xfId="53727" xr:uid="{00000000-0005-0000-0000-00001EC70000}"/>
    <cellStyle name="Normal 11 2 6 4 3" xfId="53728" xr:uid="{00000000-0005-0000-0000-00001FC70000}"/>
    <cellStyle name="Normal 11 2 6 4 3 2" xfId="53729" xr:uid="{00000000-0005-0000-0000-000020C70000}"/>
    <cellStyle name="Normal 11 2 6 4 4" xfId="53730" xr:uid="{00000000-0005-0000-0000-000021C70000}"/>
    <cellStyle name="Normal 11 2 6 4 5" xfId="53731" xr:uid="{00000000-0005-0000-0000-000022C70000}"/>
    <cellStyle name="Normal 11 2 6 5" xfId="53732" xr:uid="{00000000-0005-0000-0000-000023C70000}"/>
    <cellStyle name="Normal 11 2 6 5 2" xfId="53733" xr:uid="{00000000-0005-0000-0000-000024C70000}"/>
    <cellStyle name="Normal 11 2 6 5 3" xfId="53734" xr:uid="{00000000-0005-0000-0000-000025C70000}"/>
    <cellStyle name="Normal 11 2 6 6" xfId="53735" xr:uid="{00000000-0005-0000-0000-000026C70000}"/>
    <cellStyle name="Normal 11 2 6 6 2" xfId="53736" xr:uid="{00000000-0005-0000-0000-000027C70000}"/>
    <cellStyle name="Normal 11 2 6 6 3" xfId="53737" xr:uid="{00000000-0005-0000-0000-000028C70000}"/>
    <cellStyle name="Normal 11 2 6 7" xfId="53738" xr:uid="{00000000-0005-0000-0000-000029C70000}"/>
    <cellStyle name="Normal 11 2 6 7 2" xfId="53739" xr:uid="{00000000-0005-0000-0000-00002AC70000}"/>
    <cellStyle name="Normal 11 2 6 8" xfId="53740" xr:uid="{00000000-0005-0000-0000-00002BC70000}"/>
    <cellStyle name="Normal 11 2 6 9" xfId="53741" xr:uid="{00000000-0005-0000-0000-00002CC70000}"/>
    <cellStyle name="Normal 11 2 7" xfId="53742" xr:uid="{00000000-0005-0000-0000-00002DC70000}"/>
    <cellStyle name="Normal 11 2 7 2" xfId="53743" xr:uid="{00000000-0005-0000-0000-00002EC70000}"/>
    <cellStyle name="Normal 11 2 7 2 2" xfId="53744" xr:uid="{00000000-0005-0000-0000-00002FC70000}"/>
    <cellStyle name="Normal 11 2 7 2 3" xfId="53745" xr:uid="{00000000-0005-0000-0000-000030C70000}"/>
    <cellStyle name="Normal 11 2 7 3" xfId="53746" xr:uid="{00000000-0005-0000-0000-000031C70000}"/>
    <cellStyle name="Normal 11 2 7 3 2" xfId="53747" xr:uid="{00000000-0005-0000-0000-000032C70000}"/>
    <cellStyle name="Normal 11 2 7 3 3" xfId="53748" xr:uid="{00000000-0005-0000-0000-000033C70000}"/>
    <cellStyle name="Normal 11 2 7 4" xfId="53749" xr:uid="{00000000-0005-0000-0000-000034C70000}"/>
    <cellStyle name="Normal 11 2 7 4 2" xfId="53750" xr:uid="{00000000-0005-0000-0000-000035C70000}"/>
    <cellStyle name="Normal 11 2 7 5" xfId="53751" xr:uid="{00000000-0005-0000-0000-000036C70000}"/>
    <cellStyle name="Normal 11 2 7 6" xfId="53752" xr:uid="{00000000-0005-0000-0000-000037C70000}"/>
    <cellStyle name="Normal 11 2 8" xfId="53753" xr:uid="{00000000-0005-0000-0000-000038C70000}"/>
    <cellStyle name="Normal 11 2 8 2" xfId="53754" xr:uid="{00000000-0005-0000-0000-000039C70000}"/>
    <cellStyle name="Normal 11 2 8 2 2" xfId="53755" xr:uid="{00000000-0005-0000-0000-00003AC70000}"/>
    <cellStyle name="Normal 11 2 8 2 3" xfId="53756" xr:uid="{00000000-0005-0000-0000-00003BC70000}"/>
    <cellStyle name="Normal 11 2 8 3" xfId="53757" xr:uid="{00000000-0005-0000-0000-00003CC70000}"/>
    <cellStyle name="Normal 11 2 8 3 2" xfId="53758" xr:uid="{00000000-0005-0000-0000-00003DC70000}"/>
    <cellStyle name="Normal 11 2 8 3 3" xfId="53759" xr:uid="{00000000-0005-0000-0000-00003EC70000}"/>
    <cellStyle name="Normal 11 2 8 4" xfId="53760" xr:uid="{00000000-0005-0000-0000-00003FC70000}"/>
    <cellStyle name="Normal 11 2 8 4 2" xfId="53761" xr:uid="{00000000-0005-0000-0000-000040C70000}"/>
    <cellStyle name="Normal 11 2 8 5" xfId="53762" xr:uid="{00000000-0005-0000-0000-000041C70000}"/>
    <cellStyle name="Normal 11 2 8 6" xfId="53763" xr:uid="{00000000-0005-0000-0000-000042C70000}"/>
    <cellStyle name="Normal 11 2 9" xfId="53764" xr:uid="{00000000-0005-0000-0000-000043C70000}"/>
    <cellStyle name="Normal 11 2 9 2" xfId="53765" xr:uid="{00000000-0005-0000-0000-000044C70000}"/>
    <cellStyle name="Normal 11 2 9 2 2" xfId="53766" xr:uid="{00000000-0005-0000-0000-000045C70000}"/>
    <cellStyle name="Normal 11 2 9 2 3" xfId="53767" xr:uid="{00000000-0005-0000-0000-000046C70000}"/>
    <cellStyle name="Normal 11 2 9 3" xfId="53768" xr:uid="{00000000-0005-0000-0000-000047C70000}"/>
    <cellStyle name="Normal 11 2 9 3 2" xfId="53769" xr:uid="{00000000-0005-0000-0000-000048C70000}"/>
    <cellStyle name="Normal 11 2 9 4" xfId="53770" xr:uid="{00000000-0005-0000-0000-000049C70000}"/>
    <cellStyle name="Normal 11 2 9 5" xfId="53771" xr:uid="{00000000-0005-0000-0000-00004AC70000}"/>
    <cellStyle name="Normal 11 3" xfId="9220" xr:uid="{00000000-0005-0000-0000-00004BC70000}"/>
    <cellStyle name="Normal 11 3 10" xfId="53772" xr:uid="{00000000-0005-0000-0000-00004CC70000}"/>
    <cellStyle name="Normal 11 3 10 2" xfId="53773" xr:uid="{00000000-0005-0000-0000-00004DC70000}"/>
    <cellStyle name="Normal 11 3 10 3" xfId="53774" xr:uid="{00000000-0005-0000-0000-00004EC70000}"/>
    <cellStyle name="Normal 11 3 11" xfId="53775" xr:uid="{00000000-0005-0000-0000-00004FC70000}"/>
    <cellStyle name="Normal 11 3 11 2" xfId="53776" xr:uid="{00000000-0005-0000-0000-000050C70000}"/>
    <cellStyle name="Normal 11 3 12" xfId="53777" xr:uid="{00000000-0005-0000-0000-000051C70000}"/>
    <cellStyle name="Normal 11 3 13" xfId="53778" xr:uid="{00000000-0005-0000-0000-000052C70000}"/>
    <cellStyle name="Normal 11 3 2" xfId="53779" xr:uid="{00000000-0005-0000-0000-000053C70000}"/>
    <cellStyle name="Normal 11 3 2 10" xfId="53780" xr:uid="{00000000-0005-0000-0000-000054C70000}"/>
    <cellStyle name="Normal 11 3 2 10 2" xfId="53781" xr:uid="{00000000-0005-0000-0000-000055C70000}"/>
    <cellStyle name="Normal 11 3 2 11" xfId="53782" xr:uid="{00000000-0005-0000-0000-000056C70000}"/>
    <cellStyle name="Normal 11 3 2 12" xfId="53783" xr:uid="{00000000-0005-0000-0000-000057C70000}"/>
    <cellStyle name="Normal 11 3 2 2" xfId="53784" xr:uid="{00000000-0005-0000-0000-000058C70000}"/>
    <cellStyle name="Normal 11 3 2 2 10" xfId="53785" xr:uid="{00000000-0005-0000-0000-000059C70000}"/>
    <cellStyle name="Normal 11 3 2 2 2" xfId="53786" xr:uid="{00000000-0005-0000-0000-00005AC70000}"/>
    <cellStyle name="Normal 11 3 2 2 2 2" xfId="53787" xr:uid="{00000000-0005-0000-0000-00005BC70000}"/>
    <cellStyle name="Normal 11 3 2 2 2 2 2" xfId="53788" xr:uid="{00000000-0005-0000-0000-00005CC70000}"/>
    <cellStyle name="Normal 11 3 2 2 2 2 2 2" xfId="53789" xr:uid="{00000000-0005-0000-0000-00005DC70000}"/>
    <cellStyle name="Normal 11 3 2 2 2 2 2 3" xfId="53790" xr:uid="{00000000-0005-0000-0000-00005EC70000}"/>
    <cellStyle name="Normal 11 3 2 2 2 2 3" xfId="53791" xr:uid="{00000000-0005-0000-0000-00005FC70000}"/>
    <cellStyle name="Normal 11 3 2 2 2 2 3 2" xfId="53792" xr:uid="{00000000-0005-0000-0000-000060C70000}"/>
    <cellStyle name="Normal 11 3 2 2 2 2 3 3" xfId="53793" xr:uid="{00000000-0005-0000-0000-000061C70000}"/>
    <cellStyle name="Normal 11 3 2 2 2 2 4" xfId="53794" xr:uid="{00000000-0005-0000-0000-000062C70000}"/>
    <cellStyle name="Normal 11 3 2 2 2 2 4 2" xfId="53795" xr:uid="{00000000-0005-0000-0000-000063C70000}"/>
    <cellStyle name="Normal 11 3 2 2 2 2 5" xfId="53796" xr:uid="{00000000-0005-0000-0000-000064C70000}"/>
    <cellStyle name="Normal 11 3 2 2 2 2 6" xfId="53797" xr:uid="{00000000-0005-0000-0000-000065C70000}"/>
    <cellStyle name="Normal 11 3 2 2 2 3" xfId="53798" xr:uid="{00000000-0005-0000-0000-000066C70000}"/>
    <cellStyle name="Normal 11 3 2 2 2 3 2" xfId="53799" xr:uid="{00000000-0005-0000-0000-000067C70000}"/>
    <cellStyle name="Normal 11 3 2 2 2 3 2 2" xfId="53800" xr:uid="{00000000-0005-0000-0000-000068C70000}"/>
    <cellStyle name="Normal 11 3 2 2 2 3 2 3" xfId="53801" xr:uid="{00000000-0005-0000-0000-000069C70000}"/>
    <cellStyle name="Normal 11 3 2 2 2 3 3" xfId="53802" xr:uid="{00000000-0005-0000-0000-00006AC70000}"/>
    <cellStyle name="Normal 11 3 2 2 2 3 3 2" xfId="53803" xr:uid="{00000000-0005-0000-0000-00006BC70000}"/>
    <cellStyle name="Normal 11 3 2 2 2 3 3 3" xfId="53804" xr:uid="{00000000-0005-0000-0000-00006CC70000}"/>
    <cellStyle name="Normal 11 3 2 2 2 3 4" xfId="53805" xr:uid="{00000000-0005-0000-0000-00006DC70000}"/>
    <cellStyle name="Normal 11 3 2 2 2 3 4 2" xfId="53806" xr:uid="{00000000-0005-0000-0000-00006EC70000}"/>
    <cellStyle name="Normal 11 3 2 2 2 3 5" xfId="53807" xr:uid="{00000000-0005-0000-0000-00006FC70000}"/>
    <cellStyle name="Normal 11 3 2 2 2 3 6" xfId="53808" xr:uid="{00000000-0005-0000-0000-000070C70000}"/>
    <cellStyle name="Normal 11 3 2 2 2 4" xfId="53809" xr:uid="{00000000-0005-0000-0000-000071C70000}"/>
    <cellStyle name="Normal 11 3 2 2 2 4 2" xfId="53810" xr:uid="{00000000-0005-0000-0000-000072C70000}"/>
    <cellStyle name="Normal 11 3 2 2 2 4 2 2" xfId="53811" xr:uid="{00000000-0005-0000-0000-000073C70000}"/>
    <cellStyle name="Normal 11 3 2 2 2 4 2 3" xfId="53812" xr:uid="{00000000-0005-0000-0000-000074C70000}"/>
    <cellStyle name="Normal 11 3 2 2 2 4 3" xfId="53813" xr:uid="{00000000-0005-0000-0000-000075C70000}"/>
    <cellStyle name="Normal 11 3 2 2 2 4 3 2" xfId="53814" xr:uid="{00000000-0005-0000-0000-000076C70000}"/>
    <cellStyle name="Normal 11 3 2 2 2 4 4" xfId="53815" xr:uid="{00000000-0005-0000-0000-000077C70000}"/>
    <cellStyle name="Normal 11 3 2 2 2 4 5" xfId="53816" xr:uid="{00000000-0005-0000-0000-000078C70000}"/>
    <cellStyle name="Normal 11 3 2 2 2 5" xfId="53817" xr:uid="{00000000-0005-0000-0000-000079C70000}"/>
    <cellStyle name="Normal 11 3 2 2 2 5 2" xfId="53818" xr:uid="{00000000-0005-0000-0000-00007AC70000}"/>
    <cellStyle name="Normal 11 3 2 2 2 5 3" xfId="53819" xr:uid="{00000000-0005-0000-0000-00007BC70000}"/>
    <cellStyle name="Normal 11 3 2 2 2 6" xfId="53820" xr:uid="{00000000-0005-0000-0000-00007CC70000}"/>
    <cellStyle name="Normal 11 3 2 2 2 6 2" xfId="53821" xr:uid="{00000000-0005-0000-0000-00007DC70000}"/>
    <cellStyle name="Normal 11 3 2 2 2 6 3" xfId="53822" xr:uid="{00000000-0005-0000-0000-00007EC70000}"/>
    <cellStyle name="Normal 11 3 2 2 2 7" xfId="53823" xr:uid="{00000000-0005-0000-0000-00007FC70000}"/>
    <cellStyle name="Normal 11 3 2 2 2 7 2" xfId="53824" xr:uid="{00000000-0005-0000-0000-000080C70000}"/>
    <cellStyle name="Normal 11 3 2 2 2 8" xfId="53825" xr:uid="{00000000-0005-0000-0000-000081C70000}"/>
    <cellStyle name="Normal 11 3 2 2 2 9" xfId="53826" xr:uid="{00000000-0005-0000-0000-000082C70000}"/>
    <cellStyle name="Normal 11 3 2 2 3" xfId="53827" xr:uid="{00000000-0005-0000-0000-000083C70000}"/>
    <cellStyle name="Normal 11 3 2 2 3 2" xfId="53828" xr:uid="{00000000-0005-0000-0000-000084C70000}"/>
    <cellStyle name="Normal 11 3 2 2 3 2 2" xfId="53829" xr:uid="{00000000-0005-0000-0000-000085C70000}"/>
    <cellStyle name="Normal 11 3 2 2 3 2 3" xfId="53830" xr:uid="{00000000-0005-0000-0000-000086C70000}"/>
    <cellStyle name="Normal 11 3 2 2 3 3" xfId="53831" xr:uid="{00000000-0005-0000-0000-000087C70000}"/>
    <cellStyle name="Normal 11 3 2 2 3 3 2" xfId="53832" xr:uid="{00000000-0005-0000-0000-000088C70000}"/>
    <cellStyle name="Normal 11 3 2 2 3 3 3" xfId="53833" xr:uid="{00000000-0005-0000-0000-000089C70000}"/>
    <cellStyle name="Normal 11 3 2 2 3 4" xfId="53834" xr:uid="{00000000-0005-0000-0000-00008AC70000}"/>
    <cellStyle name="Normal 11 3 2 2 3 4 2" xfId="53835" xr:uid="{00000000-0005-0000-0000-00008BC70000}"/>
    <cellStyle name="Normal 11 3 2 2 3 5" xfId="53836" xr:uid="{00000000-0005-0000-0000-00008CC70000}"/>
    <cellStyle name="Normal 11 3 2 2 3 6" xfId="53837" xr:uid="{00000000-0005-0000-0000-00008DC70000}"/>
    <cellStyle name="Normal 11 3 2 2 4" xfId="53838" xr:uid="{00000000-0005-0000-0000-00008EC70000}"/>
    <cellStyle name="Normal 11 3 2 2 4 2" xfId="53839" xr:uid="{00000000-0005-0000-0000-00008FC70000}"/>
    <cellStyle name="Normal 11 3 2 2 4 2 2" xfId="53840" xr:uid="{00000000-0005-0000-0000-000090C70000}"/>
    <cellStyle name="Normal 11 3 2 2 4 2 3" xfId="53841" xr:uid="{00000000-0005-0000-0000-000091C70000}"/>
    <cellStyle name="Normal 11 3 2 2 4 3" xfId="53842" xr:uid="{00000000-0005-0000-0000-000092C70000}"/>
    <cellStyle name="Normal 11 3 2 2 4 3 2" xfId="53843" xr:uid="{00000000-0005-0000-0000-000093C70000}"/>
    <cellStyle name="Normal 11 3 2 2 4 3 3" xfId="53844" xr:uid="{00000000-0005-0000-0000-000094C70000}"/>
    <cellStyle name="Normal 11 3 2 2 4 4" xfId="53845" xr:uid="{00000000-0005-0000-0000-000095C70000}"/>
    <cellStyle name="Normal 11 3 2 2 4 4 2" xfId="53846" xr:uid="{00000000-0005-0000-0000-000096C70000}"/>
    <cellStyle name="Normal 11 3 2 2 4 5" xfId="53847" xr:uid="{00000000-0005-0000-0000-000097C70000}"/>
    <cellStyle name="Normal 11 3 2 2 4 6" xfId="53848" xr:uid="{00000000-0005-0000-0000-000098C70000}"/>
    <cellStyle name="Normal 11 3 2 2 5" xfId="53849" xr:uid="{00000000-0005-0000-0000-000099C70000}"/>
    <cellStyle name="Normal 11 3 2 2 5 2" xfId="53850" xr:uid="{00000000-0005-0000-0000-00009AC70000}"/>
    <cellStyle name="Normal 11 3 2 2 5 2 2" xfId="53851" xr:uid="{00000000-0005-0000-0000-00009BC70000}"/>
    <cellStyle name="Normal 11 3 2 2 5 2 3" xfId="53852" xr:uid="{00000000-0005-0000-0000-00009CC70000}"/>
    <cellStyle name="Normal 11 3 2 2 5 3" xfId="53853" xr:uid="{00000000-0005-0000-0000-00009DC70000}"/>
    <cellStyle name="Normal 11 3 2 2 5 3 2" xfId="53854" xr:uid="{00000000-0005-0000-0000-00009EC70000}"/>
    <cellStyle name="Normal 11 3 2 2 5 4" xfId="53855" xr:uid="{00000000-0005-0000-0000-00009FC70000}"/>
    <cellStyle name="Normal 11 3 2 2 5 5" xfId="53856" xr:uid="{00000000-0005-0000-0000-0000A0C70000}"/>
    <cellStyle name="Normal 11 3 2 2 6" xfId="53857" xr:uid="{00000000-0005-0000-0000-0000A1C70000}"/>
    <cellStyle name="Normal 11 3 2 2 6 2" xfId="53858" xr:uid="{00000000-0005-0000-0000-0000A2C70000}"/>
    <cellStyle name="Normal 11 3 2 2 6 3" xfId="53859" xr:uid="{00000000-0005-0000-0000-0000A3C70000}"/>
    <cellStyle name="Normal 11 3 2 2 7" xfId="53860" xr:uid="{00000000-0005-0000-0000-0000A4C70000}"/>
    <cellStyle name="Normal 11 3 2 2 7 2" xfId="53861" xr:uid="{00000000-0005-0000-0000-0000A5C70000}"/>
    <cellStyle name="Normal 11 3 2 2 7 3" xfId="53862" xr:uid="{00000000-0005-0000-0000-0000A6C70000}"/>
    <cellStyle name="Normal 11 3 2 2 8" xfId="53863" xr:uid="{00000000-0005-0000-0000-0000A7C70000}"/>
    <cellStyle name="Normal 11 3 2 2 8 2" xfId="53864" xr:uid="{00000000-0005-0000-0000-0000A8C70000}"/>
    <cellStyle name="Normal 11 3 2 2 9" xfId="53865" xr:uid="{00000000-0005-0000-0000-0000A9C70000}"/>
    <cellStyle name="Normal 11 3 2 3" xfId="53866" xr:uid="{00000000-0005-0000-0000-0000AAC70000}"/>
    <cellStyle name="Normal 11 3 2 3 2" xfId="53867" xr:uid="{00000000-0005-0000-0000-0000ABC70000}"/>
    <cellStyle name="Normal 11 3 2 3 2 2" xfId="53868" xr:uid="{00000000-0005-0000-0000-0000ACC70000}"/>
    <cellStyle name="Normal 11 3 2 3 2 2 2" xfId="53869" xr:uid="{00000000-0005-0000-0000-0000ADC70000}"/>
    <cellStyle name="Normal 11 3 2 3 2 2 3" xfId="53870" xr:uid="{00000000-0005-0000-0000-0000AEC70000}"/>
    <cellStyle name="Normal 11 3 2 3 2 3" xfId="53871" xr:uid="{00000000-0005-0000-0000-0000AFC70000}"/>
    <cellStyle name="Normal 11 3 2 3 2 3 2" xfId="53872" xr:uid="{00000000-0005-0000-0000-0000B0C70000}"/>
    <cellStyle name="Normal 11 3 2 3 2 3 3" xfId="53873" xr:uid="{00000000-0005-0000-0000-0000B1C70000}"/>
    <cellStyle name="Normal 11 3 2 3 2 4" xfId="53874" xr:uid="{00000000-0005-0000-0000-0000B2C70000}"/>
    <cellStyle name="Normal 11 3 2 3 2 4 2" xfId="53875" xr:uid="{00000000-0005-0000-0000-0000B3C70000}"/>
    <cellStyle name="Normal 11 3 2 3 2 5" xfId="53876" xr:uid="{00000000-0005-0000-0000-0000B4C70000}"/>
    <cellStyle name="Normal 11 3 2 3 2 6" xfId="53877" xr:uid="{00000000-0005-0000-0000-0000B5C70000}"/>
    <cellStyle name="Normal 11 3 2 3 3" xfId="53878" xr:uid="{00000000-0005-0000-0000-0000B6C70000}"/>
    <cellStyle name="Normal 11 3 2 3 3 2" xfId="53879" xr:uid="{00000000-0005-0000-0000-0000B7C70000}"/>
    <cellStyle name="Normal 11 3 2 3 3 2 2" xfId="53880" xr:uid="{00000000-0005-0000-0000-0000B8C70000}"/>
    <cellStyle name="Normal 11 3 2 3 3 2 3" xfId="53881" xr:uid="{00000000-0005-0000-0000-0000B9C70000}"/>
    <cellStyle name="Normal 11 3 2 3 3 3" xfId="53882" xr:uid="{00000000-0005-0000-0000-0000BAC70000}"/>
    <cellStyle name="Normal 11 3 2 3 3 3 2" xfId="53883" xr:uid="{00000000-0005-0000-0000-0000BBC70000}"/>
    <cellStyle name="Normal 11 3 2 3 3 3 3" xfId="53884" xr:uid="{00000000-0005-0000-0000-0000BCC70000}"/>
    <cellStyle name="Normal 11 3 2 3 3 4" xfId="53885" xr:uid="{00000000-0005-0000-0000-0000BDC70000}"/>
    <cellStyle name="Normal 11 3 2 3 3 4 2" xfId="53886" xr:uid="{00000000-0005-0000-0000-0000BEC70000}"/>
    <cellStyle name="Normal 11 3 2 3 3 5" xfId="53887" xr:uid="{00000000-0005-0000-0000-0000BFC70000}"/>
    <cellStyle name="Normal 11 3 2 3 3 6" xfId="53888" xr:uid="{00000000-0005-0000-0000-0000C0C70000}"/>
    <cellStyle name="Normal 11 3 2 3 4" xfId="53889" xr:uid="{00000000-0005-0000-0000-0000C1C70000}"/>
    <cellStyle name="Normal 11 3 2 3 4 2" xfId="53890" xr:uid="{00000000-0005-0000-0000-0000C2C70000}"/>
    <cellStyle name="Normal 11 3 2 3 4 2 2" xfId="53891" xr:uid="{00000000-0005-0000-0000-0000C3C70000}"/>
    <cellStyle name="Normal 11 3 2 3 4 2 3" xfId="53892" xr:uid="{00000000-0005-0000-0000-0000C4C70000}"/>
    <cellStyle name="Normal 11 3 2 3 4 3" xfId="53893" xr:uid="{00000000-0005-0000-0000-0000C5C70000}"/>
    <cellStyle name="Normal 11 3 2 3 4 3 2" xfId="53894" xr:uid="{00000000-0005-0000-0000-0000C6C70000}"/>
    <cellStyle name="Normal 11 3 2 3 4 4" xfId="53895" xr:uid="{00000000-0005-0000-0000-0000C7C70000}"/>
    <cellStyle name="Normal 11 3 2 3 4 5" xfId="53896" xr:uid="{00000000-0005-0000-0000-0000C8C70000}"/>
    <cellStyle name="Normal 11 3 2 3 5" xfId="53897" xr:uid="{00000000-0005-0000-0000-0000C9C70000}"/>
    <cellStyle name="Normal 11 3 2 3 5 2" xfId="53898" xr:uid="{00000000-0005-0000-0000-0000CAC70000}"/>
    <cellStyle name="Normal 11 3 2 3 5 3" xfId="53899" xr:uid="{00000000-0005-0000-0000-0000CBC70000}"/>
    <cellStyle name="Normal 11 3 2 3 6" xfId="53900" xr:uid="{00000000-0005-0000-0000-0000CCC70000}"/>
    <cellStyle name="Normal 11 3 2 3 6 2" xfId="53901" xr:uid="{00000000-0005-0000-0000-0000CDC70000}"/>
    <cellStyle name="Normal 11 3 2 3 6 3" xfId="53902" xr:uid="{00000000-0005-0000-0000-0000CEC70000}"/>
    <cellStyle name="Normal 11 3 2 3 7" xfId="53903" xr:uid="{00000000-0005-0000-0000-0000CFC70000}"/>
    <cellStyle name="Normal 11 3 2 3 7 2" xfId="53904" xr:uid="{00000000-0005-0000-0000-0000D0C70000}"/>
    <cellStyle name="Normal 11 3 2 3 8" xfId="53905" xr:uid="{00000000-0005-0000-0000-0000D1C70000}"/>
    <cellStyle name="Normal 11 3 2 3 9" xfId="53906" xr:uid="{00000000-0005-0000-0000-0000D2C70000}"/>
    <cellStyle name="Normal 11 3 2 4" xfId="53907" xr:uid="{00000000-0005-0000-0000-0000D3C70000}"/>
    <cellStyle name="Normal 11 3 2 4 2" xfId="53908" xr:uid="{00000000-0005-0000-0000-0000D4C70000}"/>
    <cellStyle name="Normal 11 3 2 4 2 2" xfId="53909" xr:uid="{00000000-0005-0000-0000-0000D5C70000}"/>
    <cellStyle name="Normal 11 3 2 4 2 2 2" xfId="53910" xr:uid="{00000000-0005-0000-0000-0000D6C70000}"/>
    <cellStyle name="Normal 11 3 2 4 2 2 3" xfId="53911" xr:uid="{00000000-0005-0000-0000-0000D7C70000}"/>
    <cellStyle name="Normal 11 3 2 4 2 3" xfId="53912" xr:uid="{00000000-0005-0000-0000-0000D8C70000}"/>
    <cellStyle name="Normal 11 3 2 4 2 3 2" xfId="53913" xr:uid="{00000000-0005-0000-0000-0000D9C70000}"/>
    <cellStyle name="Normal 11 3 2 4 2 3 3" xfId="53914" xr:uid="{00000000-0005-0000-0000-0000DAC70000}"/>
    <cellStyle name="Normal 11 3 2 4 2 4" xfId="53915" xr:uid="{00000000-0005-0000-0000-0000DBC70000}"/>
    <cellStyle name="Normal 11 3 2 4 2 4 2" xfId="53916" xr:uid="{00000000-0005-0000-0000-0000DCC70000}"/>
    <cellStyle name="Normal 11 3 2 4 2 5" xfId="53917" xr:uid="{00000000-0005-0000-0000-0000DDC70000}"/>
    <cellStyle name="Normal 11 3 2 4 2 6" xfId="53918" xr:uid="{00000000-0005-0000-0000-0000DEC70000}"/>
    <cellStyle name="Normal 11 3 2 4 3" xfId="53919" xr:uid="{00000000-0005-0000-0000-0000DFC70000}"/>
    <cellStyle name="Normal 11 3 2 4 3 2" xfId="53920" xr:uid="{00000000-0005-0000-0000-0000E0C70000}"/>
    <cellStyle name="Normal 11 3 2 4 3 2 2" xfId="53921" xr:uid="{00000000-0005-0000-0000-0000E1C70000}"/>
    <cellStyle name="Normal 11 3 2 4 3 2 3" xfId="53922" xr:uid="{00000000-0005-0000-0000-0000E2C70000}"/>
    <cellStyle name="Normal 11 3 2 4 3 3" xfId="53923" xr:uid="{00000000-0005-0000-0000-0000E3C70000}"/>
    <cellStyle name="Normal 11 3 2 4 3 3 2" xfId="53924" xr:uid="{00000000-0005-0000-0000-0000E4C70000}"/>
    <cellStyle name="Normal 11 3 2 4 3 3 3" xfId="53925" xr:uid="{00000000-0005-0000-0000-0000E5C70000}"/>
    <cellStyle name="Normal 11 3 2 4 3 4" xfId="53926" xr:uid="{00000000-0005-0000-0000-0000E6C70000}"/>
    <cellStyle name="Normal 11 3 2 4 3 4 2" xfId="53927" xr:uid="{00000000-0005-0000-0000-0000E7C70000}"/>
    <cellStyle name="Normal 11 3 2 4 3 5" xfId="53928" xr:uid="{00000000-0005-0000-0000-0000E8C70000}"/>
    <cellStyle name="Normal 11 3 2 4 3 6" xfId="53929" xr:uid="{00000000-0005-0000-0000-0000E9C70000}"/>
    <cellStyle name="Normal 11 3 2 4 4" xfId="53930" xr:uid="{00000000-0005-0000-0000-0000EAC70000}"/>
    <cellStyle name="Normal 11 3 2 4 4 2" xfId="53931" xr:uid="{00000000-0005-0000-0000-0000EBC70000}"/>
    <cellStyle name="Normal 11 3 2 4 4 2 2" xfId="53932" xr:uid="{00000000-0005-0000-0000-0000ECC70000}"/>
    <cellStyle name="Normal 11 3 2 4 4 2 3" xfId="53933" xr:uid="{00000000-0005-0000-0000-0000EDC70000}"/>
    <cellStyle name="Normal 11 3 2 4 4 3" xfId="53934" xr:uid="{00000000-0005-0000-0000-0000EEC70000}"/>
    <cellStyle name="Normal 11 3 2 4 4 3 2" xfId="53935" xr:uid="{00000000-0005-0000-0000-0000EFC70000}"/>
    <cellStyle name="Normal 11 3 2 4 4 4" xfId="53936" xr:uid="{00000000-0005-0000-0000-0000F0C70000}"/>
    <cellStyle name="Normal 11 3 2 4 4 5" xfId="53937" xr:uid="{00000000-0005-0000-0000-0000F1C70000}"/>
    <cellStyle name="Normal 11 3 2 4 5" xfId="53938" xr:uid="{00000000-0005-0000-0000-0000F2C70000}"/>
    <cellStyle name="Normal 11 3 2 4 5 2" xfId="53939" xr:uid="{00000000-0005-0000-0000-0000F3C70000}"/>
    <cellStyle name="Normal 11 3 2 4 5 3" xfId="53940" xr:uid="{00000000-0005-0000-0000-0000F4C70000}"/>
    <cellStyle name="Normal 11 3 2 4 6" xfId="53941" xr:uid="{00000000-0005-0000-0000-0000F5C70000}"/>
    <cellStyle name="Normal 11 3 2 4 6 2" xfId="53942" xr:uid="{00000000-0005-0000-0000-0000F6C70000}"/>
    <cellStyle name="Normal 11 3 2 4 6 3" xfId="53943" xr:uid="{00000000-0005-0000-0000-0000F7C70000}"/>
    <cellStyle name="Normal 11 3 2 4 7" xfId="53944" xr:uid="{00000000-0005-0000-0000-0000F8C70000}"/>
    <cellStyle name="Normal 11 3 2 4 7 2" xfId="53945" xr:uid="{00000000-0005-0000-0000-0000F9C70000}"/>
    <cellStyle name="Normal 11 3 2 4 8" xfId="53946" xr:uid="{00000000-0005-0000-0000-0000FAC70000}"/>
    <cellStyle name="Normal 11 3 2 4 9" xfId="53947" xr:uid="{00000000-0005-0000-0000-0000FBC70000}"/>
    <cellStyle name="Normal 11 3 2 5" xfId="53948" xr:uid="{00000000-0005-0000-0000-0000FCC70000}"/>
    <cellStyle name="Normal 11 3 2 5 2" xfId="53949" xr:uid="{00000000-0005-0000-0000-0000FDC70000}"/>
    <cellStyle name="Normal 11 3 2 5 2 2" xfId="53950" xr:uid="{00000000-0005-0000-0000-0000FEC70000}"/>
    <cellStyle name="Normal 11 3 2 5 2 3" xfId="53951" xr:uid="{00000000-0005-0000-0000-0000FFC70000}"/>
    <cellStyle name="Normal 11 3 2 5 3" xfId="53952" xr:uid="{00000000-0005-0000-0000-000000C80000}"/>
    <cellStyle name="Normal 11 3 2 5 3 2" xfId="53953" xr:uid="{00000000-0005-0000-0000-000001C80000}"/>
    <cellStyle name="Normal 11 3 2 5 3 3" xfId="53954" xr:uid="{00000000-0005-0000-0000-000002C80000}"/>
    <cellStyle name="Normal 11 3 2 5 4" xfId="53955" xr:uid="{00000000-0005-0000-0000-000003C80000}"/>
    <cellStyle name="Normal 11 3 2 5 4 2" xfId="53956" xr:uid="{00000000-0005-0000-0000-000004C80000}"/>
    <cellStyle name="Normal 11 3 2 5 5" xfId="53957" xr:uid="{00000000-0005-0000-0000-000005C80000}"/>
    <cellStyle name="Normal 11 3 2 5 6" xfId="53958" xr:uid="{00000000-0005-0000-0000-000006C80000}"/>
    <cellStyle name="Normal 11 3 2 6" xfId="53959" xr:uid="{00000000-0005-0000-0000-000007C80000}"/>
    <cellStyle name="Normal 11 3 2 6 2" xfId="53960" xr:uid="{00000000-0005-0000-0000-000008C80000}"/>
    <cellStyle name="Normal 11 3 2 6 2 2" xfId="53961" xr:uid="{00000000-0005-0000-0000-000009C80000}"/>
    <cellStyle name="Normal 11 3 2 6 2 3" xfId="53962" xr:uid="{00000000-0005-0000-0000-00000AC80000}"/>
    <cellStyle name="Normal 11 3 2 6 3" xfId="53963" xr:uid="{00000000-0005-0000-0000-00000BC80000}"/>
    <cellStyle name="Normal 11 3 2 6 3 2" xfId="53964" xr:uid="{00000000-0005-0000-0000-00000CC80000}"/>
    <cellStyle name="Normal 11 3 2 6 3 3" xfId="53965" xr:uid="{00000000-0005-0000-0000-00000DC80000}"/>
    <cellStyle name="Normal 11 3 2 6 4" xfId="53966" xr:uid="{00000000-0005-0000-0000-00000EC80000}"/>
    <cellStyle name="Normal 11 3 2 6 4 2" xfId="53967" xr:uid="{00000000-0005-0000-0000-00000FC80000}"/>
    <cellStyle name="Normal 11 3 2 6 5" xfId="53968" xr:uid="{00000000-0005-0000-0000-000010C80000}"/>
    <cellStyle name="Normal 11 3 2 6 6" xfId="53969" xr:uid="{00000000-0005-0000-0000-000011C80000}"/>
    <cellStyle name="Normal 11 3 2 7" xfId="53970" xr:uid="{00000000-0005-0000-0000-000012C80000}"/>
    <cellStyle name="Normal 11 3 2 7 2" xfId="53971" xr:uid="{00000000-0005-0000-0000-000013C80000}"/>
    <cellStyle name="Normal 11 3 2 7 2 2" xfId="53972" xr:uid="{00000000-0005-0000-0000-000014C80000}"/>
    <cellStyle name="Normal 11 3 2 7 2 3" xfId="53973" xr:uid="{00000000-0005-0000-0000-000015C80000}"/>
    <cellStyle name="Normal 11 3 2 7 3" xfId="53974" xr:uid="{00000000-0005-0000-0000-000016C80000}"/>
    <cellStyle name="Normal 11 3 2 7 3 2" xfId="53975" xr:uid="{00000000-0005-0000-0000-000017C80000}"/>
    <cellStyle name="Normal 11 3 2 7 4" xfId="53976" xr:uid="{00000000-0005-0000-0000-000018C80000}"/>
    <cellStyle name="Normal 11 3 2 7 5" xfId="53977" xr:uid="{00000000-0005-0000-0000-000019C80000}"/>
    <cellStyle name="Normal 11 3 2 8" xfId="53978" xr:uid="{00000000-0005-0000-0000-00001AC80000}"/>
    <cellStyle name="Normal 11 3 2 8 2" xfId="53979" xr:uid="{00000000-0005-0000-0000-00001BC80000}"/>
    <cellStyle name="Normal 11 3 2 8 3" xfId="53980" xr:uid="{00000000-0005-0000-0000-00001CC80000}"/>
    <cellStyle name="Normal 11 3 2 9" xfId="53981" xr:uid="{00000000-0005-0000-0000-00001DC80000}"/>
    <cellStyle name="Normal 11 3 2 9 2" xfId="53982" xr:uid="{00000000-0005-0000-0000-00001EC80000}"/>
    <cellStyle name="Normal 11 3 2 9 3" xfId="53983" xr:uid="{00000000-0005-0000-0000-00001FC80000}"/>
    <cellStyle name="Normal 11 3 3" xfId="53984" xr:uid="{00000000-0005-0000-0000-000020C80000}"/>
    <cellStyle name="Normal 11 3 3 10" xfId="53985" xr:uid="{00000000-0005-0000-0000-000021C80000}"/>
    <cellStyle name="Normal 11 3 3 2" xfId="53986" xr:uid="{00000000-0005-0000-0000-000022C80000}"/>
    <cellStyle name="Normal 11 3 3 2 2" xfId="53987" xr:uid="{00000000-0005-0000-0000-000023C80000}"/>
    <cellStyle name="Normal 11 3 3 2 2 2" xfId="53988" xr:uid="{00000000-0005-0000-0000-000024C80000}"/>
    <cellStyle name="Normal 11 3 3 2 2 2 2" xfId="53989" xr:uid="{00000000-0005-0000-0000-000025C80000}"/>
    <cellStyle name="Normal 11 3 3 2 2 2 3" xfId="53990" xr:uid="{00000000-0005-0000-0000-000026C80000}"/>
    <cellStyle name="Normal 11 3 3 2 2 3" xfId="53991" xr:uid="{00000000-0005-0000-0000-000027C80000}"/>
    <cellStyle name="Normal 11 3 3 2 2 3 2" xfId="53992" xr:uid="{00000000-0005-0000-0000-000028C80000}"/>
    <cellStyle name="Normal 11 3 3 2 2 3 3" xfId="53993" xr:uid="{00000000-0005-0000-0000-000029C80000}"/>
    <cellStyle name="Normal 11 3 3 2 2 4" xfId="53994" xr:uid="{00000000-0005-0000-0000-00002AC80000}"/>
    <cellStyle name="Normal 11 3 3 2 2 4 2" xfId="53995" xr:uid="{00000000-0005-0000-0000-00002BC80000}"/>
    <cellStyle name="Normal 11 3 3 2 2 5" xfId="53996" xr:uid="{00000000-0005-0000-0000-00002CC80000}"/>
    <cellStyle name="Normal 11 3 3 2 2 6" xfId="53997" xr:uid="{00000000-0005-0000-0000-00002DC80000}"/>
    <cellStyle name="Normal 11 3 3 2 3" xfId="53998" xr:uid="{00000000-0005-0000-0000-00002EC80000}"/>
    <cellStyle name="Normal 11 3 3 2 3 2" xfId="53999" xr:uid="{00000000-0005-0000-0000-00002FC80000}"/>
    <cellStyle name="Normal 11 3 3 2 3 2 2" xfId="54000" xr:uid="{00000000-0005-0000-0000-000030C80000}"/>
    <cellStyle name="Normal 11 3 3 2 3 2 3" xfId="54001" xr:uid="{00000000-0005-0000-0000-000031C80000}"/>
    <cellStyle name="Normal 11 3 3 2 3 3" xfId="54002" xr:uid="{00000000-0005-0000-0000-000032C80000}"/>
    <cellStyle name="Normal 11 3 3 2 3 3 2" xfId="54003" xr:uid="{00000000-0005-0000-0000-000033C80000}"/>
    <cellStyle name="Normal 11 3 3 2 3 3 3" xfId="54004" xr:uid="{00000000-0005-0000-0000-000034C80000}"/>
    <cellStyle name="Normal 11 3 3 2 3 4" xfId="54005" xr:uid="{00000000-0005-0000-0000-000035C80000}"/>
    <cellStyle name="Normal 11 3 3 2 3 4 2" xfId="54006" xr:uid="{00000000-0005-0000-0000-000036C80000}"/>
    <cellStyle name="Normal 11 3 3 2 3 5" xfId="54007" xr:uid="{00000000-0005-0000-0000-000037C80000}"/>
    <cellStyle name="Normal 11 3 3 2 3 6" xfId="54008" xr:uid="{00000000-0005-0000-0000-000038C80000}"/>
    <cellStyle name="Normal 11 3 3 2 4" xfId="54009" xr:uid="{00000000-0005-0000-0000-000039C80000}"/>
    <cellStyle name="Normal 11 3 3 2 4 2" xfId="54010" xr:uid="{00000000-0005-0000-0000-00003AC80000}"/>
    <cellStyle name="Normal 11 3 3 2 4 2 2" xfId="54011" xr:uid="{00000000-0005-0000-0000-00003BC80000}"/>
    <cellStyle name="Normal 11 3 3 2 4 2 3" xfId="54012" xr:uid="{00000000-0005-0000-0000-00003CC80000}"/>
    <cellStyle name="Normal 11 3 3 2 4 3" xfId="54013" xr:uid="{00000000-0005-0000-0000-00003DC80000}"/>
    <cellStyle name="Normal 11 3 3 2 4 3 2" xfId="54014" xr:uid="{00000000-0005-0000-0000-00003EC80000}"/>
    <cellStyle name="Normal 11 3 3 2 4 4" xfId="54015" xr:uid="{00000000-0005-0000-0000-00003FC80000}"/>
    <cellStyle name="Normal 11 3 3 2 4 5" xfId="54016" xr:uid="{00000000-0005-0000-0000-000040C80000}"/>
    <cellStyle name="Normal 11 3 3 2 5" xfId="54017" xr:uid="{00000000-0005-0000-0000-000041C80000}"/>
    <cellStyle name="Normal 11 3 3 2 5 2" xfId="54018" xr:uid="{00000000-0005-0000-0000-000042C80000}"/>
    <cellStyle name="Normal 11 3 3 2 5 3" xfId="54019" xr:uid="{00000000-0005-0000-0000-000043C80000}"/>
    <cellStyle name="Normal 11 3 3 2 6" xfId="54020" xr:uid="{00000000-0005-0000-0000-000044C80000}"/>
    <cellStyle name="Normal 11 3 3 2 6 2" xfId="54021" xr:uid="{00000000-0005-0000-0000-000045C80000}"/>
    <cellStyle name="Normal 11 3 3 2 6 3" xfId="54022" xr:uid="{00000000-0005-0000-0000-000046C80000}"/>
    <cellStyle name="Normal 11 3 3 2 7" xfId="54023" xr:uid="{00000000-0005-0000-0000-000047C80000}"/>
    <cellStyle name="Normal 11 3 3 2 7 2" xfId="54024" xr:uid="{00000000-0005-0000-0000-000048C80000}"/>
    <cellStyle name="Normal 11 3 3 2 8" xfId="54025" xr:uid="{00000000-0005-0000-0000-000049C80000}"/>
    <cellStyle name="Normal 11 3 3 2 9" xfId="54026" xr:uid="{00000000-0005-0000-0000-00004AC80000}"/>
    <cellStyle name="Normal 11 3 3 3" xfId="54027" xr:uid="{00000000-0005-0000-0000-00004BC80000}"/>
    <cellStyle name="Normal 11 3 3 3 2" xfId="54028" xr:uid="{00000000-0005-0000-0000-00004CC80000}"/>
    <cellStyle name="Normal 11 3 3 3 2 2" xfId="54029" xr:uid="{00000000-0005-0000-0000-00004DC80000}"/>
    <cellStyle name="Normal 11 3 3 3 2 3" xfId="54030" xr:uid="{00000000-0005-0000-0000-00004EC80000}"/>
    <cellStyle name="Normal 11 3 3 3 3" xfId="54031" xr:uid="{00000000-0005-0000-0000-00004FC80000}"/>
    <cellStyle name="Normal 11 3 3 3 3 2" xfId="54032" xr:uid="{00000000-0005-0000-0000-000050C80000}"/>
    <cellStyle name="Normal 11 3 3 3 3 3" xfId="54033" xr:uid="{00000000-0005-0000-0000-000051C80000}"/>
    <cellStyle name="Normal 11 3 3 3 4" xfId="54034" xr:uid="{00000000-0005-0000-0000-000052C80000}"/>
    <cellStyle name="Normal 11 3 3 3 4 2" xfId="54035" xr:uid="{00000000-0005-0000-0000-000053C80000}"/>
    <cellStyle name="Normal 11 3 3 3 5" xfId="54036" xr:uid="{00000000-0005-0000-0000-000054C80000}"/>
    <cellStyle name="Normal 11 3 3 3 6" xfId="54037" xr:uid="{00000000-0005-0000-0000-000055C80000}"/>
    <cellStyle name="Normal 11 3 3 4" xfId="54038" xr:uid="{00000000-0005-0000-0000-000056C80000}"/>
    <cellStyle name="Normal 11 3 3 4 2" xfId="54039" xr:uid="{00000000-0005-0000-0000-000057C80000}"/>
    <cellStyle name="Normal 11 3 3 4 2 2" xfId="54040" xr:uid="{00000000-0005-0000-0000-000058C80000}"/>
    <cellStyle name="Normal 11 3 3 4 2 3" xfId="54041" xr:uid="{00000000-0005-0000-0000-000059C80000}"/>
    <cellStyle name="Normal 11 3 3 4 3" xfId="54042" xr:uid="{00000000-0005-0000-0000-00005AC80000}"/>
    <cellStyle name="Normal 11 3 3 4 3 2" xfId="54043" xr:uid="{00000000-0005-0000-0000-00005BC80000}"/>
    <cellStyle name="Normal 11 3 3 4 3 3" xfId="54044" xr:uid="{00000000-0005-0000-0000-00005CC80000}"/>
    <cellStyle name="Normal 11 3 3 4 4" xfId="54045" xr:uid="{00000000-0005-0000-0000-00005DC80000}"/>
    <cellStyle name="Normal 11 3 3 4 4 2" xfId="54046" xr:uid="{00000000-0005-0000-0000-00005EC80000}"/>
    <cellStyle name="Normal 11 3 3 4 5" xfId="54047" xr:uid="{00000000-0005-0000-0000-00005FC80000}"/>
    <cellStyle name="Normal 11 3 3 4 6" xfId="54048" xr:uid="{00000000-0005-0000-0000-000060C80000}"/>
    <cellStyle name="Normal 11 3 3 5" xfId="54049" xr:uid="{00000000-0005-0000-0000-000061C80000}"/>
    <cellStyle name="Normal 11 3 3 5 2" xfId="54050" xr:uid="{00000000-0005-0000-0000-000062C80000}"/>
    <cellStyle name="Normal 11 3 3 5 2 2" xfId="54051" xr:uid="{00000000-0005-0000-0000-000063C80000}"/>
    <cellStyle name="Normal 11 3 3 5 2 3" xfId="54052" xr:uid="{00000000-0005-0000-0000-000064C80000}"/>
    <cellStyle name="Normal 11 3 3 5 3" xfId="54053" xr:uid="{00000000-0005-0000-0000-000065C80000}"/>
    <cellStyle name="Normal 11 3 3 5 3 2" xfId="54054" xr:uid="{00000000-0005-0000-0000-000066C80000}"/>
    <cellStyle name="Normal 11 3 3 5 4" xfId="54055" xr:uid="{00000000-0005-0000-0000-000067C80000}"/>
    <cellStyle name="Normal 11 3 3 5 5" xfId="54056" xr:uid="{00000000-0005-0000-0000-000068C80000}"/>
    <cellStyle name="Normal 11 3 3 6" xfId="54057" xr:uid="{00000000-0005-0000-0000-000069C80000}"/>
    <cellStyle name="Normal 11 3 3 6 2" xfId="54058" xr:uid="{00000000-0005-0000-0000-00006AC80000}"/>
    <cellStyle name="Normal 11 3 3 6 3" xfId="54059" xr:uid="{00000000-0005-0000-0000-00006BC80000}"/>
    <cellStyle name="Normal 11 3 3 7" xfId="54060" xr:uid="{00000000-0005-0000-0000-00006CC80000}"/>
    <cellStyle name="Normal 11 3 3 7 2" xfId="54061" xr:uid="{00000000-0005-0000-0000-00006DC80000}"/>
    <cellStyle name="Normal 11 3 3 7 3" xfId="54062" xr:uid="{00000000-0005-0000-0000-00006EC80000}"/>
    <cellStyle name="Normal 11 3 3 8" xfId="54063" xr:uid="{00000000-0005-0000-0000-00006FC80000}"/>
    <cellStyle name="Normal 11 3 3 8 2" xfId="54064" xr:uid="{00000000-0005-0000-0000-000070C80000}"/>
    <cellStyle name="Normal 11 3 3 9" xfId="54065" xr:uid="{00000000-0005-0000-0000-000071C80000}"/>
    <cellStyle name="Normal 11 3 4" xfId="54066" xr:uid="{00000000-0005-0000-0000-000072C80000}"/>
    <cellStyle name="Normal 11 3 4 2" xfId="54067" xr:uid="{00000000-0005-0000-0000-000073C80000}"/>
    <cellStyle name="Normal 11 3 4 2 2" xfId="54068" xr:uid="{00000000-0005-0000-0000-000074C80000}"/>
    <cellStyle name="Normal 11 3 4 2 2 2" xfId="54069" xr:uid="{00000000-0005-0000-0000-000075C80000}"/>
    <cellStyle name="Normal 11 3 4 2 2 3" xfId="54070" xr:uid="{00000000-0005-0000-0000-000076C80000}"/>
    <cellStyle name="Normal 11 3 4 2 3" xfId="54071" xr:uid="{00000000-0005-0000-0000-000077C80000}"/>
    <cellStyle name="Normal 11 3 4 2 3 2" xfId="54072" xr:uid="{00000000-0005-0000-0000-000078C80000}"/>
    <cellStyle name="Normal 11 3 4 2 3 3" xfId="54073" xr:uid="{00000000-0005-0000-0000-000079C80000}"/>
    <cellStyle name="Normal 11 3 4 2 4" xfId="54074" xr:uid="{00000000-0005-0000-0000-00007AC80000}"/>
    <cellStyle name="Normal 11 3 4 2 4 2" xfId="54075" xr:uid="{00000000-0005-0000-0000-00007BC80000}"/>
    <cellStyle name="Normal 11 3 4 2 5" xfId="54076" xr:uid="{00000000-0005-0000-0000-00007CC80000}"/>
    <cellStyle name="Normal 11 3 4 2 6" xfId="54077" xr:uid="{00000000-0005-0000-0000-00007DC80000}"/>
    <cellStyle name="Normal 11 3 4 3" xfId="54078" xr:uid="{00000000-0005-0000-0000-00007EC80000}"/>
    <cellStyle name="Normal 11 3 4 3 2" xfId="54079" xr:uid="{00000000-0005-0000-0000-00007FC80000}"/>
    <cellStyle name="Normal 11 3 4 3 2 2" xfId="54080" xr:uid="{00000000-0005-0000-0000-000080C80000}"/>
    <cellStyle name="Normal 11 3 4 3 2 3" xfId="54081" xr:uid="{00000000-0005-0000-0000-000081C80000}"/>
    <cellStyle name="Normal 11 3 4 3 3" xfId="54082" xr:uid="{00000000-0005-0000-0000-000082C80000}"/>
    <cellStyle name="Normal 11 3 4 3 3 2" xfId="54083" xr:uid="{00000000-0005-0000-0000-000083C80000}"/>
    <cellStyle name="Normal 11 3 4 3 3 3" xfId="54084" xr:uid="{00000000-0005-0000-0000-000084C80000}"/>
    <cellStyle name="Normal 11 3 4 3 4" xfId="54085" xr:uid="{00000000-0005-0000-0000-000085C80000}"/>
    <cellStyle name="Normal 11 3 4 3 4 2" xfId="54086" xr:uid="{00000000-0005-0000-0000-000086C80000}"/>
    <cellStyle name="Normal 11 3 4 3 5" xfId="54087" xr:uid="{00000000-0005-0000-0000-000087C80000}"/>
    <cellStyle name="Normal 11 3 4 3 6" xfId="54088" xr:uid="{00000000-0005-0000-0000-000088C80000}"/>
    <cellStyle name="Normal 11 3 4 4" xfId="54089" xr:uid="{00000000-0005-0000-0000-000089C80000}"/>
    <cellStyle name="Normal 11 3 4 4 2" xfId="54090" xr:uid="{00000000-0005-0000-0000-00008AC80000}"/>
    <cellStyle name="Normal 11 3 4 4 2 2" xfId="54091" xr:uid="{00000000-0005-0000-0000-00008BC80000}"/>
    <cellStyle name="Normal 11 3 4 4 2 3" xfId="54092" xr:uid="{00000000-0005-0000-0000-00008CC80000}"/>
    <cellStyle name="Normal 11 3 4 4 3" xfId="54093" xr:uid="{00000000-0005-0000-0000-00008DC80000}"/>
    <cellStyle name="Normal 11 3 4 4 3 2" xfId="54094" xr:uid="{00000000-0005-0000-0000-00008EC80000}"/>
    <cellStyle name="Normal 11 3 4 4 4" xfId="54095" xr:uid="{00000000-0005-0000-0000-00008FC80000}"/>
    <cellStyle name="Normal 11 3 4 4 5" xfId="54096" xr:uid="{00000000-0005-0000-0000-000090C80000}"/>
    <cellStyle name="Normal 11 3 4 5" xfId="54097" xr:uid="{00000000-0005-0000-0000-000091C80000}"/>
    <cellStyle name="Normal 11 3 4 5 2" xfId="54098" xr:uid="{00000000-0005-0000-0000-000092C80000}"/>
    <cellStyle name="Normal 11 3 4 5 3" xfId="54099" xr:uid="{00000000-0005-0000-0000-000093C80000}"/>
    <cellStyle name="Normal 11 3 4 6" xfId="54100" xr:uid="{00000000-0005-0000-0000-000094C80000}"/>
    <cellStyle name="Normal 11 3 4 6 2" xfId="54101" xr:uid="{00000000-0005-0000-0000-000095C80000}"/>
    <cellStyle name="Normal 11 3 4 6 3" xfId="54102" xr:uid="{00000000-0005-0000-0000-000096C80000}"/>
    <cellStyle name="Normal 11 3 4 7" xfId="54103" xr:uid="{00000000-0005-0000-0000-000097C80000}"/>
    <cellStyle name="Normal 11 3 4 7 2" xfId="54104" xr:uid="{00000000-0005-0000-0000-000098C80000}"/>
    <cellStyle name="Normal 11 3 4 8" xfId="54105" xr:uid="{00000000-0005-0000-0000-000099C80000}"/>
    <cellStyle name="Normal 11 3 4 9" xfId="54106" xr:uid="{00000000-0005-0000-0000-00009AC80000}"/>
    <cellStyle name="Normal 11 3 5" xfId="54107" xr:uid="{00000000-0005-0000-0000-00009BC80000}"/>
    <cellStyle name="Normal 11 3 5 2" xfId="54108" xr:uid="{00000000-0005-0000-0000-00009CC80000}"/>
    <cellStyle name="Normal 11 3 5 2 2" xfId="54109" xr:uid="{00000000-0005-0000-0000-00009DC80000}"/>
    <cellStyle name="Normal 11 3 5 2 2 2" xfId="54110" xr:uid="{00000000-0005-0000-0000-00009EC80000}"/>
    <cellStyle name="Normal 11 3 5 2 2 3" xfId="54111" xr:uid="{00000000-0005-0000-0000-00009FC80000}"/>
    <cellStyle name="Normal 11 3 5 2 3" xfId="54112" xr:uid="{00000000-0005-0000-0000-0000A0C80000}"/>
    <cellStyle name="Normal 11 3 5 2 3 2" xfId="54113" xr:uid="{00000000-0005-0000-0000-0000A1C80000}"/>
    <cellStyle name="Normal 11 3 5 2 3 3" xfId="54114" xr:uid="{00000000-0005-0000-0000-0000A2C80000}"/>
    <cellStyle name="Normal 11 3 5 2 4" xfId="54115" xr:uid="{00000000-0005-0000-0000-0000A3C80000}"/>
    <cellStyle name="Normal 11 3 5 2 4 2" xfId="54116" xr:uid="{00000000-0005-0000-0000-0000A4C80000}"/>
    <cellStyle name="Normal 11 3 5 2 5" xfId="54117" xr:uid="{00000000-0005-0000-0000-0000A5C80000}"/>
    <cellStyle name="Normal 11 3 5 2 6" xfId="54118" xr:uid="{00000000-0005-0000-0000-0000A6C80000}"/>
    <cellStyle name="Normal 11 3 5 3" xfId="54119" xr:uid="{00000000-0005-0000-0000-0000A7C80000}"/>
    <cellStyle name="Normal 11 3 5 3 2" xfId="54120" xr:uid="{00000000-0005-0000-0000-0000A8C80000}"/>
    <cellStyle name="Normal 11 3 5 3 2 2" xfId="54121" xr:uid="{00000000-0005-0000-0000-0000A9C80000}"/>
    <cellStyle name="Normal 11 3 5 3 2 3" xfId="54122" xr:uid="{00000000-0005-0000-0000-0000AAC80000}"/>
    <cellStyle name="Normal 11 3 5 3 3" xfId="54123" xr:uid="{00000000-0005-0000-0000-0000ABC80000}"/>
    <cellStyle name="Normal 11 3 5 3 3 2" xfId="54124" xr:uid="{00000000-0005-0000-0000-0000ACC80000}"/>
    <cellStyle name="Normal 11 3 5 3 3 3" xfId="54125" xr:uid="{00000000-0005-0000-0000-0000ADC80000}"/>
    <cellStyle name="Normal 11 3 5 3 4" xfId="54126" xr:uid="{00000000-0005-0000-0000-0000AEC80000}"/>
    <cellStyle name="Normal 11 3 5 3 4 2" xfId="54127" xr:uid="{00000000-0005-0000-0000-0000AFC80000}"/>
    <cellStyle name="Normal 11 3 5 3 5" xfId="54128" xr:uid="{00000000-0005-0000-0000-0000B0C80000}"/>
    <cellStyle name="Normal 11 3 5 3 6" xfId="54129" xr:uid="{00000000-0005-0000-0000-0000B1C80000}"/>
    <cellStyle name="Normal 11 3 5 4" xfId="54130" xr:uid="{00000000-0005-0000-0000-0000B2C80000}"/>
    <cellStyle name="Normal 11 3 5 4 2" xfId="54131" xr:uid="{00000000-0005-0000-0000-0000B3C80000}"/>
    <cellStyle name="Normal 11 3 5 4 2 2" xfId="54132" xr:uid="{00000000-0005-0000-0000-0000B4C80000}"/>
    <cellStyle name="Normal 11 3 5 4 2 3" xfId="54133" xr:uid="{00000000-0005-0000-0000-0000B5C80000}"/>
    <cellStyle name="Normal 11 3 5 4 3" xfId="54134" xr:uid="{00000000-0005-0000-0000-0000B6C80000}"/>
    <cellStyle name="Normal 11 3 5 4 3 2" xfId="54135" xr:uid="{00000000-0005-0000-0000-0000B7C80000}"/>
    <cellStyle name="Normal 11 3 5 4 4" xfId="54136" xr:uid="{00000000-0005-0000-0000-0000B8C80000}"/>
    <cellStyle name="Normal 11 3 5 4 5" xfId="54137" xr:uid="{00000000-0005-0000-0000-0000B9C80000}"/>
    <cellStyle name="Normal 11 3 5 5" xfId="54138" xr:uid="{00000000-0005-0000-0000-0000BAC80000}"/>
    <cellStyle name="Normal 11 3 5 5 2" xfId="54139" xr:uid="{00000000-0005-0000-0000-0000BBC80000}"/>
    <cellStyle name="Normal 11 3 5 5 3" xfId="54140" xr:uid="{00000000-0005-0000-0000-0000BCC80000}"/>
    <cellStyle name="Normal 11 3 5 6" xfId="54141" xr:uid="{00000000-0005-0000-0000-0000BDC80000}"/>
    <cellStyle name="Normal 11 3 5 6 2" xfId="54142" xr:uid="{00000000-0005-0000-0000-0000BEC80000}"/>
    <cellStyle name="Normal 11 3 5 6 3" xfId="54143" xr:uid="{00000000-0005-0000-0000-0000BFC80000}"/>
    <cellStyle name="Normal 11 3 5 7" xfId="54144" xr:uid="{00000000-0005-0000-0000-0000C0C80000}"/>
    <cellStyle name="Normal 11 3 5 7 2" xfId="54145" xr:uid="{00000000-0005-0000-0000-0000C1C80000}"/>
    <cellStyle name="Normal 11 3 5 8" xfId="54146" xr:uid="{00000000-0005-0000-0000-0000C2C80000}"/>
    <cellStyle name="Normal 11 3 5 9" xfId="54147" xr:uid="{00000000-0005-0000-0000-0000C3C80000}"/>
    <cellStyle name="Normal 11 3 6" xfId="54148" xr:uid="{00000000-0005-0000-0000-0000C4C80000}"/>
    <cellStyle name="Normal 11 3 6 2" xfId="54149" xr:uid="{00000000-0005-0000-0000-0000C5C80000}"/>
    <cellStyle name="Normal 11 3 6 2 2" xfId="54150" xr:uid="{00000000-0005-0000-0000-0000C6C80000}"/>
    <cellStyle name="Normal 11 3 6 2 3" xfId="54151" xr:uid="{00000000-0005-0000-0000-0000C7C80000}"/>
    <cellStyle name="Normal 11 3 6 3" xfId="54152" xr:uid="{00000000-0005-0000-0000-0000C8C80000}"/>
    <cellStyle name="Normal 11 3 6 3 2" xfId="54153" xr:uid="{00000000-0005-0000-0000-0000C9C80000}"/>
    <cellStyle name="Normal 11 3 6 3 3" xfId="54154" xr:uid="{00000000-0005-0000-0000-0000CAC80000}"/>
    <cellStyle name="Normal 11 3 6 4" xfId="54155" xr:uid="{00000000-0005-0000-0000-0000CBC80000}"/>
    <cellStyle name="Normal 11 3 6 4 2" xfId="54156" xr:uid="{00000000-0005-0000-0000-0000CCC80000}"/>
    <cellStyle name="Normal 11 3 6 5" xfId="54157" xr:uid="{00000000-0005-0000-0000-0000CDC80000}"/>
    <cellStyle name="Normal 11 3 6 6" xfId="54158" xr:uid="{00000000-0005-0000-0000-0000CEC80000}"/>
    <cellStyle name="Normal 11 3 7" xfId="54159" xr:uid="{00000000-0005-0000-0000-0000CFC80000}"/>
    <cellStyle name="Normal 11 3 7 2" xfId="54160" xr:uid="{00000000-0005-0000-0000-0000D0C80000}"/>
    <cellStyle name="Normal 11 3 7 2 2" xfId="54161" xr:uid="{00000000-0005-0000-0000-0000D1C80000}"/>
    <cellStyle name="Normal 11 3 7 2 3" xfId="54162" xr:uid="{00000000-0005-0000-0000-0000D2C80000}"/>
    <cellStyle name="Normal 11 3 7 3" xfId="54163" xr:uid="{00000000-0005-0000-0000-0000D3C80000}"/>
    <cellStyle name="Normal 11 3 7 3 2" xfId="54164" xr:uid="{00000000-0005-0000-0000-0000D4C80000}"/>
    <cellStyle name="Normal 11 3 7 3 3" xfId="54165" xr:uid="{00000000-0005-0000-0000-0000D5C80000}"/>
    <cellStyle name="Normal 11 3 7 4" xfId="54166" xr:uid="{00000000-0005-0000-0000-0000D6C80000}"/>
    <cellStyle name="Normal 11 3 7 4 2" xfId="54167" xr:uid="{00000000-0005-0000-0000-0000D7C80000}"/>
    <cellStyle name="Normal 11 3 7 5" xfId="54168" xr:uid="{00000000-0005-0000-0000-0000D8C80000}"/>
    <cellStyle name="Normal 11 3 7 6" xfId="54169" xr:uid="{00000000-0005-0000-0000-0000D9C80000}"/>
    <cellStyle name="Normal 11 3 8" xfId="54170" xr:uid="{00000000-0005-0000-0000-0000DAC80000}"/>
    <cellStyle name="Normal 11 3 8 2" xfId="54171" xr:uid="{00000000-0005-0000-0000-0000DBC80000}"/>
    <cellStyle name="Normal 11 3 8 2 2" xfId="54172" xr:uid="{00000000-0005-0000-0000-0000DCC80000}"/>
    <cellStyle name="Normal 11 3 8 2 3" xfId="54173" xr:uid="{00000000-0005-0000-0000-0000DDC80000}"/>
    <cellStyle name="Normal 11 3 8 3" xfId="54174" xr:uid="{00000000-0005-0000-0000-0000DEC80000}"/>
    <cellStyle name="Normal 11 3 8 3 2" xfId="54175" xr:uid="{00000000-0005-0000-0000-0000DFC80000}"/>
    <cellStyle name="Normal 11 3 8 4" xfId="54176" xr:uid="{00000000-0005-0000-0000-0000E0C80000}"/>
    <cellStyle name="Normal 11 3 8 5" xfId="54177" xr:uid="{00000000-0005-0000-0000-0000E1C80000}"/>
    <cellStyle name="Normal 11 3 9" xfId="54178" xr:uid="{00000000-0005-0000-0000-0000E2C80000}"/>
    <cellStyle name="Normal 11 3 9 2" xfId="54179" xr:uid="{00000000-0005-0000-0000-0000E3C80000}"/>
    <cellStyle name="Normal 11 3 9 3" xfId="54180" xr:uid="{00000000-0005-0000-0000-0000E4C80000}"/>
    <cellStyle name="Normal 11 4" xfId="54181" xr:uid="{00000000-0005-0000-0000-0000E5C80000}"/>
    <cellStyle name="Normal 11 4 10" xfId="54182" xr:uid="{00000000-0005-0000-0000-0000E6C80000}"/>
    <cellStyle name="Normal 11 4 10 2" xfId="54183" xr:uid="{00000000-0005-0000-0000-0000E7C80000}"/>
    <cellStyle name="Normal 11 4 11" xfId="54184" xr:uid="{00000000-0005-0000-0000-0000E8C80000}"/>
    <cellStyle name="Normal 11 4 12" xfId="54185" xr:uid="{00000000-0005-0000-0000-0000E9C80000}"/>
    <cellStyle name="Normal 11 4 2" xfId="54186" xr:uid="{00000000-0005-0000-0000-0000EAC80000}"/>
    <cellStyle name="Normal 11 4 2 10" xfId="54187" xr:uid="{00000000-0005-0000-0000-0000EBC80000}"/>
    <cellStyle name="Normal 11 4 2 2" xfId="54188" xr:uid="{00000000-0005-0000-0000-0000ECC80000}"/>
    <cellStyle name="Normal 11 4 2 2 2" xfId="54189" xr:uid="{00000000-0005-0000-0000-0000EDC80000}"/>
    <cellStyle name="Normal 11 4 2 2 2 2" xfId="54190" xr:uid="{00000000-0005-0000-0000-0000EEC80000}"/>
    <cellStyle name="Normal 11 4 2 2 2 2 2" xfId="54191" xr:uid="{00000000-0005-0000-0000-0000EFC80000}"/>
    <cellStyle name="Normal 11 4 2 2 2 2 3" xfId="54192" xr:uid="{00000000-0005-0000-0000-0000F0C80000}"/>
    <cellStyle name="Normal 11 4 2 2 2 3" xfId="54193" xr:uid="{00000000-0005-0000-0000-0000F1C80000}"/>
    <cellStyle name="Normal 11 4 2 2 2 3 2" xfId="54194" xr:uid="{00000000-0005-0000-0000-0000F2C80000}"/>
    <cellStyle name="Normal 11 4 2 2 2 3 3" xfId="54195" xr:uid="{00000000-0005-0000-0000-0000F3C80000}"/>
    <cellStyle name="Normal 11 4 2 2 2 4" xfId="54196" xr:uid="{00000000-0005-0000-0000-0000F4C80000}"/>
    <cellStyle name="Normal 11 4 2 2 2 4 2" xfId="54197" xr:uid="{00000000-0005-0000-0000-0000F5C80000}"/>
    <cellStyle name="Normal 11 4 2 2 2 5" xfId="54198" xr:uid="{00000000-0005-0000-0000-0000F6C80000}"/>
    <cellStyle name="Normal 11 4 2 2 2 6" xfId="54199" xr:uid="{00000000-0005-0000-0000-0000F7C80000}"/>
    <cellStyle name="Normal 11 4 2 2 3" xfId="54200" xr:uid="{00000000-0005-0000-0000-0000F8C80000}"/>
    <cellStyle name="Normal 11 4 2 2 3 2" xfId="54201" xr:uid="{00000000-0005-0000-0000-0000F9C80000}"/>
    <cellStyle name="Normal 11 4 2 2 3 2 2" xfId="54202" xr:uid="{00000000-0005-0000-0000-0000FAC80000}"/>
    <cellStyle name="Normal 11 4 2 2 3 2 3" xfId="54203" xr:uid="{00000000-0005-0000-0000-0000FBC80000}"/>
    <cellStyle name="Normal 11 4 2 2 3 3" xfId="54204" xr:uid="{00000000-0005-0000-0000-0000FCC80000}"/>
    <cellStyle name="Normal 11 4 2 2 3 3 2" xfId="54205" xr:uid="{00000000-0005-0000-0000-0000FDC80000}"/>
    <cellStyle name="Normal 11 4 2 2 3 3 3" xfId="54206" xr:uid="{00000000-0005-0000-0000-0000FEC80000}"/>
    <cellStyle name="Normal 11 4 2 2 3 4" xfId="54207" xr:uid="{00000000-0005-0000-0000-0000FFC80000}"/>
    <cellStyle name="Normal 11 4 2 2 3 4 2" xfId="54208" xr:uid="{00000000-0005-0000-0000-000000C90000}"/>
    <cellStyle name="Normal 11 4 2 2 3 5" xfId="54209" xr:uid="{00000000-0005-0000-0000-000001C90000}"/>
    <cellStyle name="Normal 11 4 2 2 3 6" xfId="54210" xr:uid="{00000000-0005-0000-0000-000002C90000}"/>
    <cellStyle name="Normal 11 4 2 2 4" xfId="54211" xr:uid="{00000000-0005-0000-0000-000003C90000}"/>
    <cellStyle name="Normal 11 4 2 2 4 2" xfId="54212" xr:uid="{00000000-0005-0000-0000-000004C90000}"/>
    <cellStyle name="Normal 11 4 2 2 4 2 2" xfId="54213" xr:uid="{00000000-0005-0000-0000-000005C90000}"/>
    <cellStyle name="Normal 11 4 2 2 4 2 3" xfId="54214" xr:uid="{00000000-0005-0000-0000-000006C90000}"/>
    <cellStyle name="Normal 11 4 2 2 4 3" xfId="54215" xr:uid="{00000000-0005-0000-0000-000007C90000}"/>
    <cellStyle name="Normal 11 4 2 2 4 3 2" xfId="54216" xr:uid="{00000000-0005-0000-0000-000008C90000}"/>
    <cellStyle name="Normal 11 4 2 2 4 4" xfId="54217" xr:uid="{00000000-0005-0000-0000-000009C90000}"/>
    <cellStyle name="Normal 11 4 2 2 4 5" xfId="54218" xr:uid="{00000000-0005-0000-0000-00000AC90000}"/>
    <cellStyle name="Normal 11 4 2 2 5" xfId="54219" xr:uid="{00000000-0005-0000-0000-00000BC90000}"/>
    <cellStyle name="Normal 11 4 2 2 5 2" xfId="54220" xr:uid="{00000000-0005-0000-0000-00000CC90000}"/>
    <cellStyle name="Normal 11 4 2 2 5 3" xfId="54221" xr:uid="{00000000-0005-0000-0000-00000DC90000}"/>
    <cellStyle name="Normal 11 4 2 2 6" xfId="54222" xr:uid="{00000000-0005-0000-0000-00000EC90000}"/>
    <cellStyle name="Normal 11 4 2 2 6 2" xfId="54223" xr:uid="{00000000-0005-0000-0000-00000FC90000}"/>
    <cellStyle name="Normal 11 4 2 2 6 3" xfId="54224" xr:uid="{00000000-0005-0000-0000-000010C90000}"/>
    <cellStyle name="Normal 11 4 2 2 7" xfId="54225" xr:uid="{00000000-0005-0000-0000-000011C90000}"/>
    <cellStyle name="Normal 11 4 2 2 7 2" xfId="54226" xr:uid="{00000000-0005-0000-0000-000012C90000}"/>
    <cellStyle name="Normal 11 4 2 2 8" xfId="54227" xr:uid="{00000000-0005-0000-0000-000013C90000}"/>
    <cellStyle name="Normal 11 4 2 2 9" xfId="54228" xr:uid="{00000000-0005-0000-0000-000014C90000}"/>
    <cellStyle name="Normal 11 4 2 3" xfId="54229" xr:uid="{00000000-0005-0000-0000-000015C90000}"/>
    <cellStyle name="Normal 11 4 2 3 2" xfId="54230" xr:uid="{00000000-0005-0000-0000-000016C90000}"/>
    <cellStyle name="Normal 11 4 2 3 2 2" xfId="54231" xr:uid="{00000000-0005-0000-0000-000017C90000}"/>
    <cellStyle name="Normal 11 4 2 3 2 3" xfId="54232" xr:uid="{00000000-0005-0000-0000-000018C90000}"/>
    <cellStyle name="Normal 11 4 2 3 3" xfId="54233" xr:uid="{00000000-0005-0000-0000-000019C90000}"/>
    <cellStyle name="Normal 11 4 2 3 3 2" xfId="54234" xr:uid="{00000000-0005-0000-0000-00001AC90000}"/>
    <cellStyle name="Normal 11 4 2 3 3 3" xfId="54235" xr:uid="{00000000-0005-0000-0000-00001BC90000}"/>
    <cellStyle name="Normal 11 4 2 3 4" xfId="54236" xr:uid="{00000000-0005-0000-0000-00001CC90000}"/>
    <cellStyle name="Normal 11 4 2 3 4 2" xfId="54237" xr:uid="{00000000-0005-0000-0000-00001DC90000}"/>
    <cellStyle name="Normal 11 4 2 3 5" xfId="54238" xr:uid="{00000000-0005-0000-0000-00001EC90000}"/>
    <cellStyle name="Normal 11 4 2 3 6" xfId="54239" xr:uid="{00000000-0005-0000-0000-00001FC90000}"/>
    <cellStyle name="Normal 11 4 2 4" xfId="54240" xr:uid="{00000000-0005-0000-0000-000020C90000}"/>
    <cellStyle name="Normal 11 4 2 4 2" xfId="54241" xr:uid="{00000000-0005-0000-0000-000021C90000}"/>
    <cellStyle name="Normal 11 4 2 4 2 2" xfId="54242" xr:uid="{00000000-0005-0000-0000-000022C90000}"/>
    <cellStyle name="Normal 11 4 2 4 2 3" xfId="54243" xr:uid="{00000000-0005-0000-0000-000023C90000}"/>
    <cellStyle name="Normal 11 4 2 4 3" xfId="54244" xr:uid="{00000000-0005-0000-0000-000024C90000}"/>
    <cellStyle name="Normal 11 4 2 4 3 2" xfId="54245" xr:uid="{00000000-0005-0000-0000-000025C90000}"/>
    <cellStyle name="Normal 11 4 2 4 3 3" xfId="54246" xr:uid="{00000000-0005-0000-0000-000026C90000}"/>
    <cellStyle name="Normal 11 4 2 4 4" xfId="54247" xr:uid="{00000000-0005-0000-0000-000027C90000}"/>
    <cellStyle name="Normal 11 4 2 4 4 2" xfId="54248" xr:uid="{00000000-0005-0000-0000-000028C90000}"/>
    <cellStyle name="Normal 11 4 2 4 5" xfId="54249" xr:uid="{00000000-0005-0000-0000-000029C90000}"/>
    <cellStyle name="Normal 11 4 2 4 6" xfId="54250" xr:uid="{00000000-0005-0000-0000-00002AC90000}"/>
    <cellStyle name="Normal 11 4 2 5" xfId="54251" xr:uid="{00000000-0005-0000-0000-00002BC90000}"/>
    <cellStyle name="Normal 11 4 2 5 2" xfId="54252" xr:uid="{00000000-0005-0000-0000-00002CC90000}"/>
    <cellStyle name="Normal 11 4 2 5 2 2" xfId="54253" xr:uid="{00000000-0005-0000-0000-00002DC90000}"/>
    <cellStyle name="Normal 11 4 2 5 2 3" xfId="54254" xr:uid="{00000000-0005-0000-0000-00002EC90000}"/>
    <cellStyle name="Normal 11 4 2 5 3" xfId="54255" xr:uid="{00000000-0005-0000-0000-00002FC90000}"/>
    <cellStyle name="Normal 11 4 2 5 3 2" xfId="54256" xr:uid="{00000000-0005-0000-0000-000030C90000}"/>
    <cellStyle name="Normal 11 4 2 5 4" xfId="54257" xr:uid="{00000000-0005-0000-0000-000031C90000}"/>
    <cellStyle name="Normal 11 4 2 5 5" xfId="54258" xr:uid="{00000000-0005-0000-0000-000032C90000}"/>
    <cellStyle name="Normal 11 4 2 6" xfId="54259" xr:uid="{00000000-0005-0000-0000-000033C90000}"/>
    <cellStyle name="Normal 11 4 2 6 2" xfId="54260" xr:uid="{00000000-0005-0000-0000-000034C90000}"/>
    <cellStyle name="Normal 11 4 2 6 3" xfId="54261" xr:uid="{00000000-0005-0000-0000-000035C90000}"/>
    <cellStyle name="Normal 11 4 2 7" xfId="54262" xr:uid="{00000000-0005-0000-0000-000036C90000}"/>
    <cellStyle name="Normal 11 4 2 7 2" xfId="54263" xr:uid="{00000000-0005-0000-0000-000037C90000}"/>
    <cellStyle name="Normal 11 4 2 7 3" xfId="54264" xr:uid="{00000000-0005-0000-0000-000038C90000}"/>
    <cellStyle name="Normal 11 4 2 8" xfId="54265" xr:uid="{00000000-0005-0000-0000-000039C90000}"/>
    <cellStyle name="Normal 11 4 2 8 2" xfId="54266" xr:uid="{00000000-0005-0000-0000-00003AC90000}"/>
    <cellStyle name="Normal 11 4 2 9" xfId="54267" xr:uid="{00000000-0005-0000-0000-00003BC90000}"/>
    <cellStyle name="Normal 11 4 3" xfId="54268" xr:uid="{00000000-0005-0000-0000-00003CC90000}"/>
    <cellStyle name="Normal 11 4 3 2" xfId="54269" xr:uid="{00000000-0005-0000-0000-00003DC90000}"/>
    <cellStyle name="Normal 11 4 3 2 2" xfId="54270" xr:uid="{00000000-0005-0000-0000-00003EC90000}"/>
    <cellStyle name="Normal 11 4 3 2 2 2" xfId="54271" xr:uid="{00000000-0005-0000-0000-00003FC90000}"/>
    <cellStyle name="Normal 11 4 3 2 2 3" xfId="54272" xr:uid="{00000000-0005-0000-0000-000040C90000}"/>
    <cellStyle name="Normal 11 4 3 2 3" xfId="54273" xr:uid="{00000000-0005-0000-0000-000041C90000}"/>
    <cellStyle name="Normal 11 4 3 2 3 2" xfId="54274" xr:uid="{00000000-0005-0000-0000-000042C90000}"/>
    <cellStyle name="Normal 11 4 3 2 3 3" xfId="54275" xr:uid="{00000000-0005-0000-0000-000043C90000}"/>
    <cellStyle name="Normal 11 4 3 2 4" xfId="54276" xr:uid="{00000000-0005-0000-0000-000044C90000}"/>
    <cellStyle name="Normal 11 4 3 2 4 2" xfId="54277" xr:uid="{00000000-0005-0000-0000-000045C90000}"/>
    <cellStyle name="Normal 11 4 3 2 5" xfId="54278" xr:uid="{00000000-0005-0000-0000-000046C90000}"/>
    <cellStyle name="Normal 11 4 3 2 6" xfId="54279" xr:uid="{00000000-0005-0000-0000-000047C90000}"/>
    <cellStyle name="Normal 11 4 3 3" xfId="54280" xr:uid="{00000000-0005-0000-0000-000048C90000}"/>
    <cellStyle name="Normal 11 4 3 3 2" xfId="54281" xr:uid="{00000000-0005-0000-0000-000049C90000}"/>
    <cellStyle name="Normal 11 4 3 3 2 2" xfId="54282" xr:uid="{00000000-0005-0000-0000-00004AC90000}"/>
    <cellStyle name="Normal 11 4 3 3 2 3" xfId="54283" xr:uid="{00000000-0005-0000-0000-00004BC90000}"/>
    <cellStyle name="Normal 11 4 3 3 3" xfId="54284" xr:uid="{00000000-0005-0000-0000-00004CC90000}"/>
    <cellStyle name="Normal 11 4 3 3 3 2" xfId="54285" xr:uid="{00000000-0005-0000-0000-00004DC90000}"/>
    <cellStyle name="Normal 11 4 3 3 3 3" xfId="54286" xr:uid="{00000000-0005-0000-0000-00004EC90000}"/>
    <cellStyle name="Normal 11 4 3 3 4" xfId="54287" xr:uid="{00000000-0005-0000-0000-00004FC90000}"/>
    <cellStyle name="Normal 11 4 3 3 4 2" xfId="54288" xr:uid="{00000000-0005-0000-0000-000050C90000}"/>
    <cellStyle name="Normal 11 4 3 3 5" xfId="54289" xr:uid="{00000000-0005-0000-0000-000051C90000}"/>
    <cellStyle name="Normal 11 4 3 3 6" xfId="54290" xr:uid="{00000000-0005-0000-0000-000052C90000}"/>
    <cellStyle name="Normal 11 4 3 4" xfId="54291" xr:uid="{00000000-0005-0000-0000-000053C90000}"/>
    <cellStyle name="Normal 11 4 3 4 2" xfId="54292" xr:uid="{00000000-0005-0000-0000-000054C90000}"/>
    <cellStyle name="Normal 11 4 3 4 2 2" xfId="54293" xr:uid="{00000000-0005-0000-0000-000055C90000}"/>
    <cellStyle name="Normal 11 4 3 4 2 3" xfId="54294" xr:uid="{00000000-0005-0000-0000-000056C90000}"/>
    <cellStyle name="Normal 11 4 3 4 3" xfId="54295" xr:uid="{00000000-0005-0000-0000-000057C90000}"/>
    <cellStyle name="Normal 11 4 3 4 3 2" xfId="54296" xr:uid="{00000000-0005-0000-0000-000058C90000}"/>
    <cellStyle name="Normal 11 4 3 4 4" xfId="54297" xr:uid="{00000000-0005-0000-0000-000059C90000}"/>
    <cellStyle name="Normal 11 4 3 4 5" xfId="54298" xr:uid="{00000000-0005-0000-0000-00005AC90000}"/>
    <cellStyle name="Normal 11 4 3 5" xfId="54299" xr:uid="{00000000-0005-0000-0000-00005BC90000}"/>
    <cellStyle name="Normal 11 4 3 5 2" xfId="54300" xr:uid="{00000000-0005-0000-0000-00005CC90000}"/>
    <cellStyle name="Normal 11 4 3 5 3" xfId="54301" xr:uid="{00000000-0005-0000-0000-00005DC90000}"/>
    <cellStyle name="Normal 11 4 3 6" xfId="54302" xr:uid="{00000000-0005-0000-0000-00005EC90000}"/>
    <cellStyle name="Normal 11 4 3 6 2" xfId="54303" xr:uid="{00000000-0005-0000-0000-00005FC90000}"/>
    <cellStyle name="Normal 11 4 3 6 3" xfId="54304" xr:uid="{00000000-0005-0000-0000-000060C90000}"/>
    <cellStyle name="Normal 11 4 3 7" xfId="54305" xr:uid="{00000000-0005-0000-0000-000061C90000}"/>
    <cellStyle name="Normal 11 4 3 7 2" xfId="54306" xr:uid="{00000000-0005-0000-0000-000062C90000}"/>
    <cellStyle name="Normal 11 4 3 8" xfId="54307" xr:uid="{00000000-0005-0000-0000-000063C90000}"/>
    <cellStyle name="Normal 11 4 3 9" xfId="54308" xr:uid="{00000000-0005-0000-0000-000064C90000}"/>
    <cellStyle name="Normal 11 4 4" xfId="54309" xr:uid="{00000000-0005-0000-0000-000065C90000}"/>
    <cellStyle name="Normal 11 4 4 2" xfId="54310" xr:uid="{00000000-0005-0000-0000-000066C90000}"/>
    <cellStyle name="Normal 11 4 4 2 2" xfId="54311" xr:uid="{00000000-0005-0000-0000-000067C90000}"/>
    <cellStyle name="Normal 11 4 4 2 2 2" xfId="54312" xr:uid="{00000000-0005-0000-0000-000068C90000}"/>
    <cellStyle name="Normal 11 4 4 2 2 3" xfId="54313" xr:uid="{00000000-0005-0000-0000-000069C90000}"/>
    <cellStyle name="Normal 11 4 4 2 3" xfId="54314" xr:uid="{00000000-0005-0000-0000-00006AC90000}"/>
    <cellStyle name="Normal 11 4 4 2 3 2" xfId="54315" xr:uid="{00000000-0005-0000-0000-00006BC90000}"/>
    <cellStyle name="Normal 11 4 4 2 3 3" xfId="54316" xr:uid="{00000000-0005-0000-0000-00006CC90000}"/>
    <cellStyle name="Normal 11 4 4 2 4" xfId="54317" xr:uid="{00000000-0005-0000-0000-00006DC90000}"/>
    <cellStyle name="Normal 11 4 4 2 4 2" xfId="54318" xr:uid="{00000000-0005-0000-0000-00006EC90000}"/>
    <cellStyle name="Normal 11 4 4 2 5" xfId="54319" xr:uid="{00000000-0005-0000-0000-00006FC90000}"/>
    <cellStyle name="Normal 11 4 4 2 6" xfId="54320" xr:uid="{00000000-0005-0000-0000-000070C90000}"/>
    <cellStyle name="Normal 11 4 4 3" xfId="54321" xr:uid="{00000000-0005-0000-0000-000071C90000}"/>
    <cellStyle name="Normal 11 4 4 3 2" xfId="54322" xr:uid="{00000000-0005-0000-0000-000072C90000}"/>
    <cellStyle name="Normal 11 4 4 3 2 2" xfId="54323" xr:uid="{00000000-0005-0000-0000-000073C90000}"/>
    <cellStyle name="Normal 11 4 4 3 2 3" xfId="54324" xr:uid="{00000000-0005-0000-0000-000074C90000}"/>
    <cellStyle name="Normal 11 4 4 3 3" xfId="54325" xr:uid="{00000000-0005-0000-0000-000075C90000}"/>
    <cellStyle name="Normal 11 4 4 3 3 2" xfId="54326" xr:uid="{00000000-0005-0000-0000-000076C90000}"/>
    <cellStyle name="Normal 11 4 4 3 3 3" xfId="54327" xr:uid="{00000000-0005-0000-0000-000077C90000}"/>
    <cellStyle name="Normal 11 4 4 3 4" xfId="54328" xr:uid="{00000000-0005-0000-0000-000078C90000}"/>
    <cellStyle name="Normal 11 4 4 3 4 2" xfId="54329" xr:uid="{00000000-0005-0000-0000-000079C90000}"/>
    <cellStyle name="Normal 11 4 4 3 5" xfId="54330" xr:uid="{00000000-0005-0000-0000-00007AC90000}"/>
    <cellStyle name="Normal 11 4 4 3 6" xfId="54331" xr:uid="{00000000-0005-0000-0000-00007BC90000}"/>
    <cellStyle name="Normal 11 4 4 4" xfId="54332" xr:uid="{00000000-0005-0000-0000-00007CC90000}"/>
    <cellStyle name="Normal 11 4 4 4 2" xfId="54333" xr:uid="{00000000-0005-0000-0000-00007DC90000}"/>
    <cellStyle name="Normal 11 4 4 4 2 2" xfId="54334" xr:uid="{00000000-0005-0000-0000-00007EC90000}"/>
    <cellStyle name="Normal 11 4 4 4 2 3" xfId="54335" xr:uid="{00000000-0005-0000-0000-00007FC90000}"/>
    <cellStyle name="Normal 11 4 4 4 3" xfId="54336" xr:uid="{00000000-0005-0000-0000-000080C90000}"/>
    <cellStyle name="Normal 11 4 4 4 3 2" xfId="54337" xr:uid="{00000000-0005-0000-0000-000081C90000}"/>
    <cellStyle name="Normal 11 4 4 4 4" xfId="54338" xr:uid="{00000000-0005-0000-0000-000082C90000}"/>
    <cellStyle name="Normal 11 4 4 4 5" xfId="54339" xr:uid="{00000000-0005-0000-0000-000083C90000}"/>
    <cellStyle name="Normal 11 4 4 5" xfId="54340" xr:uid="{00000000-0005-0000-0000-000084C90000}"/>
    <cellStyle name="Normal 11 4 4 5 2" xfId="54341" xr:uid="{00000000-0005-0000-0000-000085C90000}"/>
    <cellStyle name="Normal 11 4 4 5 3" xfId="54342" xr:uid="{00000000-0005-0000-0000-000086C90000}"/>
    <cellStyle name="Normal 11 4 4 6" xfId="54343" xr:uid="{00000000-0005-0000-0000-000087C90000}"/>
    <cellStyle name="Normal 11 4 4 6 2" xfId="54344" xr:uid="{00000000-0005-0000-0000-000088C90000}"/>
    <cellStyle name="Normal 11 4 4 6 3" xfId="54345" xr:uid="{00000000-0005-0000-0000-000089C90000}"/>
    <cellStyle name="Normal 11 4 4 7" xfId="54346" xr:uid="{00000000-0005-0000-0000-00008AC90000}"/>
    <cellStyle name="Normal 11 4 4 7 2" xfId="54347" xr:uid="{00000000-0005-0000-0000-00008BC90000}"/>
    <cellStyle name="Normal 11 4 4 8" xfId="54348" xr:uid="{00000000-0005-0000-0000-00008CC90000}"/>
    <cellStyle name="Normal 11 4 4 9" xfId="54349" xr:uid="{00000000-0005-0000-0000-00008DC90000}"/>
    <cellStyle name="Normal 11 4 5" xfId="54350" xr:uid="{00000000-0005-0000-0000-00008EC90000}"/>
    <cellStyle name="Normal 11 4 5 2" xfId="54351" xr:uid="{00000000-0005-0000-0000-00008FC90000}"/>
    <cellStyle name="Normal 11 4 5 2 2" xfId="54352" xr:uid="{00000000-0005-0000-0000-000090C90000}"/>
    <cellStyle name="Normal 11 4 5 2 3" xfId="54353" xr:uid="{00000000-0005-0000-0000-000091C90000}"/>
    <cellStyle name="Normal 11 4 5 3" xfId="54354" xr:uid="{00000000-0005-0000-0000-000092C90000}"/>
    <cellStyle name="Normal 11 4 5 3 2" xfId="54355" xr:uid="{00000000-0005-0000-0000-000093C90000}"/>
    <cellStyle name="Normal 11 4 5 3 3" xfId="54356" xr:uid="{00000000-0005-0000-0000-000094C90000}"/>
    <cellStyle name="Normal 11 4 5 4" xfId="54357" xr:uid="{00000000-0005-0000-0000-000095C90000}"/>
    <cellStyle name="Normal 11 4 5 4 2" xfId="54358" xr:uid="{00000000-0005-0000-0000-000096C90000}"/>
    <cellStyle name="Normal 11 4 5 5" xfId="54359" xr:uid="{00000000-0005-0000-0000-000097C90000}"/>
    <cellStyle name="Normal 11 4 5 6" xfId="54360" xr:uid="{00000000-0005-0000-0000-000098C90000}"/>
    <cellStyle name="Normal 11 4 6" xfId="54361" xr:uid="{00000000-0005-0000-0000-000099C90000}"/>
    <cellStyle name="Normal 11 4 6 2" xfId="54362" xr:uid="{00000000-0005-0000-0000-00009AC90000}"/>
    <cellStyle name="Normal 11 4 6 2 2" xfId="54363" xr:uid="{00000000-0005-0000-0000-00009BC90000}"/>
    <cellStyle name="Normal 11 4 6 2 3" xfId="54364" xr:uid="{00000000-0005-0000-0000-00009CC90000}"/>
    <cellStyle name="Normal 11 4 6 3" xfId="54365" xr:uid="{00000000-0005-0000-0000-00009DC90000}"/>
    <cellStyle name="Normal 11 4 6 3 2" xfId="54366" xr:uid="{00000000-0005-0000-0000-00009EC90000}"/>
    <cellStyle name="Normal 11 4 6 3 3" xfId="54367" xr:uid="{00000000-0005-0000-0000-00009FC90000}"/>
    <cellStyle name="Normal 11 4 6 4" xfId="54368" xr:uid="{00000000-0005-0000-0000-0000A0C90000}"/>
    <cellStyle name="Normal 11 4 6 4 2" xfId="54369" xr:uid="{00000000-0005-0000-0000-0000A1C90000}"/>
    <cellStyle name="Normal 11 4 6 5" xfId="54370" xr:uid="{00000000-0005-0000-0000-0000A2C90000}"/>
    <cellStyle name="Normal 11 4 6 6" xfId="54371" xr:uid="{00000000-0005-0000-0000-0000A3C90000}"/>
    <cellStyle name="Normal 11 4 7" xfId="54372" xr:uid="{00000000-0005-0000-0000-0000A4C90000}"/>
    <cellStyle name="Normal 11 4 7 2" xfId="54373" xr:uid="{00000000-0005-0000-0000-0000A5C90000}"/>
    <cellStyle name="Normal 11 4 7 2 2" xfId="54374" xr:uid="{00000000-0005-0000-0000-0000A6C90000}"/>
    <cellStyle name="Normal 11 4 7 2 3" xfId="54375" xr:uid="{00000000-0005-0000-0000-0000A7C90000}"/>
    <cellStyle name="Normal 11 4 7 3" xfId="54376" xr:uid="{00000000-0005-0000-0000-0000A8C90000}"/>
    <cellStyle name="Normal 11 4 7 3 2" xfId="54377" xr:uid="{00000000-0005-0000-0000-0000A9C90000}"/>
    <cellStyle name="Normal 11 4 7 4" xfId="54378" xr:uid="{00000000-0005-0000-0000-0000AAC90000}"/>
    <cellStyle name="Normal 11 4 7 5" xfId="54379" xr:uid="{00000000-0005-0000-0000-0000ABC90000}"/>
    <cellStyle name="Normal 11 4 8" xfId="54380" xr:uid="{00000000-0005-0000-0000-0000ACC90000}"/>
    <cellStyle name="Normal 11 4 8 2" xfId="54381" xr:uid="{00000000-0005-0000-0000-0000ADC90000}"/>
    <cellStyle name="Normal 11 4 8 3" xfId="54382" xr:uid="{00000000-0005-0000-0000-0000AEC90000}"/>
    <cellStyle name="Normal 11 4 9" xfId="54383" xr:uid="{00000000-0005-0000-0000-0000AFC90000}"/>
    <cellStyle name="Normal 11 4 9 2" xfId="54384" xr:uid="{00000000-0005-0000-0000-0000B0C90000}"/>
    <cellStyle name="Normal 11 4 9 3" xfId="54385" xr:uid="{00000000-0005-0000-0000-0000B1C90000}"/>
    <cellStyle name="Normal 11 5" xfId="54386" xr:uid="{00000000-0005-0000-0000-0000B2C90000}"/>
    <cellStyle name="Normal 11 5 10" xfId="54387" xr:uid="{00000000-0005-0000-0000-0000B3C90000}"/>
    <cellStyle name="Normal 11 5 2" xfId="54388" xr:uid="{00000000-0005-0000-0000-0000B4C90000}"/>
    <cellStyle name="Normal 11 5 2 2" xfId="54389" xr:uid="{00000000-0005-0000-0000-0000B5C90000}"/>
    <cellStyle name="Normal 11 5 2 2 2" xfId="54390" xr:uid="{00000000-0005-0000-0000-0000B6C90000}"/>
    <cellStyle name="Normal 11 5 2 2 2 2" xfId="54391" xr:uid="{00000000-0005-0000-0000-0000B7C90000}"/>
    <cellStyle name="Normal 11 5 2 2 2 3" xfId="54392" xr:uid="{00000000-0005-0000-0000-0000B8C90000}"/>
    <cellStyle name="Normal 11 5 2 2 3" xfId="54393" xr:uid="{00000000-0005-0000-0000-0000B9C90000}"/>
    <cellStyle name="Normal 11 5 2 2 3 2" xfId="54394" xr:uid="{00000000-0005-0000-0000-0000BAC90000}"/>
    <cellStyle name="Normal 11 5 2 2 3 3" xfId="54395" xr:uid="{00000000-0005-0000-0000-0000BBC90000}"/>
    <cellStyle name="Normal 11 5 2 2 4" xfId="54396" xr:uid="{00000000-0005-0000-0000-0000BCC90000}"/>
    <cellStyle name="Normal 11 5 2 2 4 2" xfId="54397" xr:uid="{00000000-0005-0000-0000-0000BDC90000}"/>
    <cellStyle name="Normal 11 5 2 2 5" xfId="54398" xr:uid="{00000000-0005-0000-0000-0000BEC90000}"/>
    <cellStyle name="Normal 11 5 2 2 6" xfId="54399" xr:uid="{00000000-0005-0000-0000-0000BFC90000}"/>
    <cellStyle name="Normal 11 5 2 3" xfId="54400" xr:uid="{00000000-0005-0000-0000-0000C0C90000}"/>
    <cellStyle name="Normal 11 5 2 3 2" xfId="54401" xr:uid="{00000000-0005-0000-0000-0000C1C90000}"/>
    <cellStyle name="Normal 11 5 2 3 2 2" xfId="54402" xr:uid="{00000000-0005-0000-0000-0000C2C90000}"/>
    <cellStyle name="Normal 11 5 2 3 2 3" xfId="54403" xr:uid="{00000000-0005-0000-0000-0000C3C90000}"/>
    <cellStyle name="Normal 11 5 2 3 3" xfId="54404" xr:uid="{00000000-0005-0000-0000-0000C4C90000}"/>
    <cellStyle name="Normal 11 5 2 3 3 2" xfId="54405" xr:uid="{00000000-0005-0000-0000-0000C5C90000}"/>
    <cellStyle name="Normal 11 5 2 3 3 3" xfId="54406" xr:uid="{00000000-0005-0000-0000-0000C6C90000}"/>
    <cellStyle name="Normal 11 5 2 3 4" xfId="54407" xr:uid="{00000000-0005-0000-0000-0000C7C90000}"/>
    <cellStyle name="Normal 11 5 2 3 4 2" xfId="54408" xr:uid="{00000000-0005-0000-0000-0000C8C90000}"/>
    <cellStyle name="Normal 11 5 2 3 5" xfId="54409" xr:uid="{00000000-0005-0000-0000-0000C9C90000}"/>
    <cellStyle name="Normal 11 5 2 3 6" xfId="54410" xr:uid="{00000000-0005-0000-0000-0000CAC90000}"/>
    <cellStyle name="Normal 11 5 2 4" xfId="54411" xr:uid="{00000000-0005-0000-0000-0000CBC90000}"/>
    <cellStyle name="Normal 11 5 2 4 2" xfId="54412" xr:uid="{00000000-0005-0000-0000-0000CCC90000}"/>
    <cellStyle name="Normal 11 5 2 4 2 2" xfId="54413" xr:uid="{00000000-0005-0000-0000-0000CDC90000}"/>
    <cellStyle name="Normal 11 5 2 4 2 3" xfId="54414" xr:uid="{00000000-0005-0000-0000-0000CEC90000}"/>
    <cellStyle name="Normal 11 5 2 4 3" xfId="54415" xr:uid="{00000000-0005-0000-0000-0000CFC90000}"/>
    <cellStyle name="Normal 11 5 2 4 3 2" xfId="54416" xr:uid="{00000000-0005-0000-0000-0000D0C90000}"/>
    <cellStyle name="Normal 11 5 2 4 4" xfId="54417" xr:uid="{00000000-0005-0000-0000-0000D1C90000}"/>
    <cellStyle name="Normal 11 5 2 4 5" xfId="54418" xr:uid="{00000000-0005-0000-0000-0000D2C90000}"/>
    <cellStyle name="Normal 11 5 2 5" xfId="54419" xr:uid="{00000000-0005-0000-0000-0000D3C90000}"/>
    <cellStyle name="Normal 11 5 2 5 2" xfId="54420" xr:uid="{00000000-0005-0000-0000-0000D4C90000}"/>
    <cellStyle name="Normal 11 5 2 5 3" xfId="54421" xr:uid="{00000000-0005-0000-0000-0000D5C90000}"/>
    <cellStyle name="Normal 11 5 2 6" xfId="54422" xr:uid="{00000000-0005-0000-0000-0000D6C90000}"/>
    <cellStyle name="Normal 11 5 2 6 2" xfId="54423" xr:uid="{00000000-0005-0000-0000-0000D7C90000}"/>
    <cellStyle name="Normal 11 5 2 6 3" xfId="54424" xr:uid="{00000000-0005-0000-0000-0000D8C90000}"/>
    <cellStyle name="Normal 11 5 2 7" xfId="54425" xr:uid="{00000000-0005-0000-0000-0000D9C90000}"/>
    <cellStyle name="Normal 11 5 2 7 2" xfId="54426" xr:uid="{00000000-0005-0000-0000-0000DAC90000}"/>
    <cellStyle name="Normal 11 5 2 8" xfId="54427" xr:uid="{00000000-0005-0000-0000-0000DBC90000}"/>
    <cellStyle name="Normal 11 5 2 9" xfId="54428" xr:uid="{00000000-0005-0000-0000-0000DCC90000}"/>
    <cellStyle name="Normal 11 5 3" xfId="54429" xr:uid="{00000000-0005-0000-0000-0000DDC90000}"/>
    <cellStyle name="Normal 11 5 3 2" xfId="54430" xr:uid="{00000000-0005-0000-0000-0000DEC90000}"/>
    <cellStyle name="Normal 11 5 3 2 2" xfId="54431" xr:uid="{00000000-0005-0000-0000-0000DFC90000}"/>
    <cellStyle name="Normal 11 5 3 2 3" xfId="54432" xr:uid="{00000000-0005-0000-0000-0000E0C90000}"/>
    <cellStyle name="Normal 11 5 3 3" xfId="54433" xr:uid="{00000000-0005-0000-0000-0000E1C90000}"/>
    <cellStyle name="Normal 11 5 3 3 2" xfId="54434" xr:uid="{00000000-0005-0000-0000-0000E2C90000}"/>
    <cellStyle name="Normal 11 5 3 3 3" xfId="54435" xr:uid="{00000000-0005-0000-0000-0000E3C90000}"/>
    <cellStyle name="Normal 11 5 3 4" xfId="54436" xr:uid="{00000000-0005-0000-0000-0000E4C90000}"/>
    <cellStyle name="Normal 11 5 3 4 2" xfId="54437" xr:uid="{00000000-0005-0000-0000-0000E5C90000}"/>
    <cellStyle name="Normal 11 5 3 5" xfId="54438" xr:uid="{00000000-0005-0000-0000-0000E6C90000}"/>
    <cellStyle name="Normal 11 5 3 6" xfId="54439" xr:uid="{00000000-0005-0000-0000-0000E7C90000}"/>
    <cellStyle name="Normal 11 5 4" xfId="54440" xr:uid="{00000000-0005-0000-0000-0000E8C90000}"/>
    <cellStyle name="Normal 11 5 4 2" xfId="54441" xr:uid="{00000000-0005-0000-0000-0000E9C90000}"/>
    <cellStyle name="Normal 11 5 4 2 2" xfId="54442" xr:uid="{00000000-0005-0000-0000-0000EAC90000}"/>
    <cellStyle name="Normal 11 5 4 2 3" xfId="54443" xr:uid="{00000000-0005-0000-0000-0000EBC90000}"/>
    <cellStyle name="Normal 11 5 4 3" xfId="54444" xr:uid="{00000000-0005-0000-0000-0000ECC90000}"/>
    <cellStyle name="Normal 11 5 4 3 2" xfId="54445" xr:uid="{00000000-0005-0000-0000-0000EDC90000}"/>
    <cellStyle name="Normal 11 5 4 3 3" xfId="54446" xr:uid="{00000000-0005-0000-0000-0000EEC90000}"/>
    <cellStyle name="Normal 11 5 4 4" xfId="54447" xr:uid="{00000000-0005-0000-0000-0000EFC90000}"/>
    <cellStyle name="Normal 11 5 4 4 2" xfId="54448" xr:uid="{00000000-0005-0000-0000-0000F0C90000}"/>
    <cellStyle name="Normal 11 5 4 5" xfId="54449" xr:uid="{00000000-0005-0000-0000-0000F1C90000}"/>
    <cellStyle name="Normal 11 5 4 6" xfId="54450" xr:uid="{00000000-0005-0000-0000-0000F2C90000}"/>
    <cellStyle name="Normal 11 5 5" xfId="54451" xr:uid="{00000000-0005-0000-0000-0000F3C90000}"/>
    <cellStyle name="Normal 11 5 5 2" xfId="54452" xr:uid="{00000000-0005-0000-0000-0000F4C90000}"/>
    <cellStyle name="Normal 11 5 5 2 2" xfId="54453" xr:uid="{00000000-0005-0000-0000-0000F5C90000}"/>
    <cellStyle name="Normal 11 5 5 2 3" xfId="54454" xr:uid="{00000000-0005-0000-0000-0000F6C90000}"/>
    <cellStyle name="Normal 11 5 5 3" xfId="54455" xr:uid="{00000000-0005-0000-0000-0000F7C90000}"/>
    <cellStyle name="Normal 11 5 5 3 2" xfId="54456" xr:uid="{00000000-0005-0000-0000-0000F8C90000}"/>
    <cellStyle name="Normal 11 5 5 4" xfId="54457" xr:uid="{00000000-0005-0000-0000-0000F9C90000}"/>
    <cellStyle name="Normal 11 5 5 5" xfId="54458" xr:uid="{00000000-0005-0000-0000-0000FAC90000}"/>
    <cellStyle name="Normal 11 5 6" xfId="54459" xr:uid="{00000000-0005-0000-0000-0000FBC90000}"/>
    <cellStyle name="Normal 11 5 6 2" xfId="54460" xr:uid="{00000000-0005-0000-0000-0000FCC90000}"/>
    <cellStyle name="Normal 11 5 6 3" xfId="54461" xr:uid="{00000000-0005-0000-0000-0000FDC90000}"/>
    <cellStyle name="Normal 11 5 7" xfId="54462" xr:uid="{00000000-0005-0000-0000-0000FEC90000}"/>
    <cellStyle name="Normal 11 5 7 2" xfId="54463" xr:uid="{00000000-0005-0000-0000-0000FFC90000}"/>
    <cellStyle name="Normal 11 5 7 3" xfId="54464" xr:uid="{00000000-0005-0000-0000-000000CA0000}"/>
    <cellStyle name="Normal 11 5 8" xfId="54465" xr:uid="{00000000-0005-0000-0000-000001CA0000}"/>
    <cellStyle name="Normal 11 5 8 2" xfId="54466" xr:uid="{00000000-0005-0000-0000-000002CA0000}"/>
    <cellStyle name="Normal 11 5 9" xfId="54467" xr:uid="{00000000-0005-0000-0000-000003CA0000}"/>
    <cellStyle name="Normal 11 6" xfId="54468" xr:uid="{00000000-0005-0000-0000-000004CA0000}"/>
    <cellStyle name="Normal 11 6 2" xfId="54469" xr:uid="{00000000-0005-0000-0000-000005CA0000}"/>
    <cellStyle name="Normal 11 6 2 2" xfId="54470" xr:uid="{00000000-0005-0000-0000-000006CA0000}"/>
    <cellStyle name="Normal 11 6 2 2 2" xfId="54471" xr:uid="{00000000-0005-0000-0000-000007CA0000}"/>
    <cellStyle name="Normal 11 6 2 2 3" xfId="54472" xr:uid="{00000000-0005-0000-0000-000008CA0000}"/>
    <cellStyle name="Normal 11 6 2 3" xfId="54473" xr:uid="{00000000-0005-0000-0000-000009CA0000}"/>
    <cellStyle name="Normal 11 6 2 3 2" xfId="54474" xr:uid="{00000000-0005-0000-0000-00000ACA0000}"/>
    <cellStyle name="Normal 11 6 2 3 3" xfId="54475" xr:uid="{00000000-0005-0000-0000-00000BCA0000}"/>
    <cellStyle name="Normal 11 6 2 4" xfId="54476" xr:uid="{00000000-0005-0000-0000-00000CCA0000}"/>
    <cellStyle name="Normal 11 6 2 4 2" xfId="54477" xr:uid="{00000000-0005-0000-0000-00000DCA0000}"/>
    <cellStyle name="Normal 11 6 2 5" xfId="54478" xr:uid="{00000000-0005-0000-0000-00000ECA0000}"/>
    <cellStyle name="Normal 11 6 2 6" xfId="54479" xr:uid="{00000000-0005-0000-0000-00000FCA0000}"/>
    <cellStyle name="Normal 11 6 3" xfId="54480" xr:uid="{00000000-0005-0000-0000-000010CA0000}"/>
    <cellStyle name="Normal 11 6 3 2" xfId="54481" xr:uid="{00000000-0005-0000-0000-000011CA0000}"/>
    <cellStyle name="Normal 11 6 3 2 2" xfId="54482" xr:uid="{00000000-0005-0000-0000-000012CA0000}"/>
    <cellStyle name="Normal 11 6 3 2 3" xfId="54483" xr:uid="{00000000-0005-0000-0000-000013CA0000}"/>
    <cellStyle name="Normal 11 6 3 3" xfId="54484" xr:uid="{00000000-0005-0000-0000-000014CA0000}"/>
    <cellStyle name="Normal 11 6 3 3 2" xfId="54485" xr:uid="{00000000-0005-0000-0000-000015CA0000}"/>
    <cellStyle name="Normal 11 6 3 3 3" xfId="54486" xr:uid="{00000000-0005-0000-0000-000016CA0000}"/>
    <cellStyle name="Normal 11 6 3 4" xfId="54487" xr:uid="{00000000-0005-0000-0000-000017CA0000}"/>
    <cellStyle name="Normal 11 6 3 4 2" xfId="54488" xr:uid="{00000000-0005-0000-0000-000018CA0000}"/>
    <cellStyle name="Normal 11 6 3 5" xfId="54489" xr:uid="{00000000-0005-0000-0000-000019CA0000}"/>
    <cellStyle name="Normal 11 6 3 6" xfId="54490" xr:uid="{00000000-0005-0000-0000-00001ACA0000}"/>
    <cellStyle name="Normal 11 6 4" xfId="54491" xr:uid="{00000000-0005-0000-0000-00001BCA0000}"/>
    <cellStyle name="Normal 11 6 4 2" xfId="54492" xr:uid="{00000000-0005-0000-0000-00001CCA0000}"/>
    <cellStyle name="Normal 11 6 4 2 2" xfId="54493" xr:uid="{00000000-0005-0000-0000-00001DCA0000}"/>
    <cellStyle name="Normal 11 6 4 2 3" xfId="54494" xr:uid="{00000000-0005-0000-0000-00001ECA0000}"/>
    <cellStyle name="Normal 11 6 4 3" xfId="54495" xr:uid="{00000000-0005-0000-0000-00001FCA0000}"/>
    <cellStyle name="Normal 11 6 4 3 2" xfId="54496" xr:uid="{00000000-0005-0000-0000-000020CA0000}"/>
    <cellStyle name="Normal 11 6 4 4" xfId="54497" xr:uid="{00000000-0005-0000-0000-000021CA0000}"/>
    <cellStyle name="Normal 11 6 4 5" xfId="54498" xr:uid="{00000000-0005-0000-0000-000022CA0000}"/>
    <cellStyle name="Normal 11 6 5" xfId="54499" xr:uid="{00000000-0005-0000-0000-000023CA0000}"/>
    <cellStyle name="Normal 11 6 5 2" xfId="54500" xr:uid="{00000000-0005-0000-0000-000024CA0000}"/>
    <cellStyle name="Normal 11 6 5 3" xfId="54501" xr:uid="{00000000-0005-0000-0000-000025CA0000}"/>
    <cellStyle name="Normal 11 6 6" xfId="54502" xr:uid="{00000000-0005-0000-0000-000026CA0000}"/>
    <cellStyle name="Normal 11 6 6 2" xfId="54503" xr:uid="{00000000-0005-0000-0000-000027CA0000}"/>
    <cellStyle name="Normal 11 6 6 3" xfId="54504" xr:uid="{00000000-0005-0000-0000-000028CA0000}"/>
    <cellStyle name="Normal 11 6 7" xfId="54505" xr:uid="{00000000-0005-0000-0000-000029CA0000}"/>
    <cellStyle name="Normal 11 6 7 2" xfId="54506" xr:uid="{00000000-0005-0000-0000-00002ACA0000}"/>
    <cellStyle name="Normal 11 6 8" xfId="54507" xr:uid="{00000000-0005-0000-0000-00002BCA0000}"/>
    <cellStyle name="Normal 11 6 9" xfId="54508" xr:uid="{00000000-0005-0000-0000-00002CCA0000}"/>
    <cellStyle name="Normal 11 7" xfId="54509" xr:uid="{00000000-0005-0000-0000-00002DCA0000}"/>
    <cellStyle name="Normal 11 7 2" xfId="54510" xr:uid="{00000000-0005-0000-0000-00002ECA0000}"/>
    <cellStyle name="Normal 11 7 2 2" xfId="54511" xr:uid="{00000000-0005-0000-0000-00002FCA0000}"/>
    <cellStyle name="Normal 11 7 2 2 2" xfId="54512" xr:uid="{00000000-0005-0000-0000-000030CA0000}"/>
    <cellStyle name="Normal 11 7 2 2 3" xfId="54513" xr:uid="{00000000-0005-0000-0000-000031CA0000}"/>
    <cellStyle name="Normal 11 7 2 3" xfId="54514" xr:uid="{00000000-0005-0000-0000-000032CA0000}"/>
    <cellStyle name="Normal 11 7 2 3 2" xfId="54515" xr:uid="{00000000-0005-0000-0000-000033CA0000}"/>
    <cellStyle name="Normal 11 7 2 3 3" xfId="54516" xr:uid="{00000000-0005-0000-0000-000034CA0000}"/>
    <cellStyle name="Normal 11 7 2 4" xfId="54517" xr:uid="{00000000-0005-0000-0000-000035CA0000}"/>
    <cellStyle name="Normal 11 7 2 4 2" xfId="54518" xr:uid="{00000000-0005-0000-0000-000036CA0000}"/>
    <cellStyle name="Normal 11 7 2 5" xfId="54519" xr:uid="{00000000-0005-0000-0000-000037CA0000}"/>
    <cellStyle name="Normal 11 7 2 6" xfId="54520" xr:uid="{00000000-0005-0000-0000-000038CA0000}"/>
    <cellStyle name="Normal 11 7 3" xfId="54521" xr:uid="{00000000-0005-0000-0000-000039CA0000}"/>
    <cellStyle name="Normal 11 7 3 2" xfId="54522" xr:uid="{00000000-0005-0000-0000-00003ACA0000}"/>
    <cellStyle name="Normal 11 7 3 2 2" xfId="54523" xr:uid="{00000000-0005-0000-0000-00003BCA0000}"/>
    <cellStyle name="Normal 11 7 3 2 3" xfId="54524" xr:uid="{00000000-0005-0000-0000-00003CCA0000}"/>
    <cellStyle name="Normal 11 7 3 3" xfId="54525" xr:uid="{00000000-0005-0000-0000-00003DCA0000}"/>
    <cellStyle name="Normal 11 7 3 3 2" xfId="54526" xr:uid="{00000000-0005-0000-0000-00003ECA0000}"/>
    <cellStyle name="Normal 11 7 3 3 3" xfId="54527" xr:uid="{00000000-0005-0000-0000-00003FCA0000}"/>
    <cellStyle name="Normal 11 7 3 4" xfId="54528" xr:uid="{00000000-0005-0000-0000-000040CA0000}"/>
    <cellStyle name="Normal 11 7 3 4 2" xfId="54529" xr:uid="{00000000-0005-0000-0000-000041CA0000}"/>
    <cellStyle name="Normal 11 7 3 5" xfId="54530" xr:uid="{00000000-0005-0000-0000-000042CA0000}"/>
    <cellStyle name="Normal 11 7 3 6" xfId="54531" xr:uid="{00000000-0005-0000-0000-000043CA0000}"/>
    <cellStyle name="Normal 11 7 4" xfId="54532" xr:uid="{00000000-0005-0000-0000-000044CA0000}"/>
    <cellStyle name="Normal 11 7 4 2" xfId="54533" xr:uid="{00000000-0005-0000-0000-000045CA0000}"/>
    <cellStyle name="Normal 11 7 4 2 2" xfId="54534" xr:uid="{00000000-0005-0000-0000-000046CA0000}"/>
    <cellStyle name="Normal 11 7 4 2 3" xfId="54535" xr:uid="{00000000-0005-0000-0000-000047CA0000}"/>
    <cellStyle name="Normal 11 7 4 3" xfId="54536" xr:uid="{00000000-0005-0000-0000-000048CA0000}"/>
    <cellStyle name="Normal 11 7 4 3 2" xfId="54537" xr:uid="{00000000-0005-0000-0000-000049CA0000}"/>
    <cellStyle name="Normal 11 7 4 4" xfId="54538" xr:uid="{00000000-0005-0000-0000-00004ACA0000}"/>
    <cellStyle name="Normal 11 7 4 5" xfId="54539" xr:uid="{00000000-0005-0000-0000-00004BCA0000}"/>
    <cellStyle name="Normal 11 7 5" xfId="54540" xr:uid="{00000000-0005-0000-0000-00004CCA0000}"/>
    <cellStyle name="Normal 11 7 5 2" xfId="54541" xr:uid="{00000000-0005-0000-0000-00004DCA0000}"/>
    <cellStyle name="Normal 11 7 5 3" xfId="54542" xr:uid="{00000000-0005-0000-0000-00004ECA0000}"/>
    <cellStyle name="Normal 11 7 6" xfId="54543" xr:uid="{00000000-0005-0000-0000-00004FCA0000}"/>
    <cellStyle name="Normal 11 7 6 2" xfId="54544" xr:uid="{00000000-0005-0000-0000-000050CA0000}"/>
    <cellStyle name="Normal 11 7 6 3" xfId="54545" xr:uid="{00000000-0005-0000-0000-000051CA0000}"/>
    <cellStyle name="Normal 11 7 7" xfId="54546" xr:uid="{00000000-0005-0000-0000-000052CA0000}"/>
    <cellStyle name="Normal 11 7 7 2" xfId="54547" xr:uid="{00000000-0005-0000-0000-000053CA0000}"/>
    <cellStyle name="Normal 11 7 8" xfId="54548" xr:uid="{00000000-0005-0000-0000-000054CA0000}"/>
    <cellStyle name="Normal 11 7 9" xfId="54549" xr:uid="{00000000-0005-0000-0000-000055CA0000}"/>
    <cellStyle name="Normal 11 8" xfId="54550" xr:uid="{00000000-0005-0000-0000-000056CA0000}"/>
    <cellStyle name="Normal 11 8 2" xfId="54551" xr:uid="{00000000-0005-0000-0000-000057CA0000}"/>
    <cellStyle name="Normal 11 8 2 2" xfId="54552" xr:uid="{00000000-0005-0000-0000-000058CA0000}"/>
    <cellStyle name="Normal 11 8 2 3" xfId="54553" xr:uid="{00000000-0005-0000-0000-000059CA0000}"/>
    <cellStyle name="Normal 11 8 3" xfId="54554" xr:uid="{00000000-0005-0000-0000-00005ACA0000}"/>
    <cellStyle name="Normal 11 8 3 2" xfId="54555" xr:uid="{00000000-0005-0000-0000-00005BCA0000}"/>
    <cellStyle name="Normal 11 8 3 3" xfId="54556" xr:uid="{00000000-0005-0000-0000-00005CCA0000}"/>
    <cellStyle name="Normal 11 8 4" xfId="54557" xr:uid="{00000000-0005-0000-0000-00005DCA0000}"/>
    <cellStyle name="Normal 11 8 4 2" xfId="54558" xr:uid="{00000000-0005-0000-0000-00005ECA0000}"/>
    <cellStyle name="Normal 11 8 5" xfId="54559" xr:uid="{00000000-0005-0000-0000-00005FCA0000}"/>
    <cellStyle name="Normal 11 8 6" xfId="54560" xr:uid="{00000000-0005-0000-0000-000060CA0000}"/>
    <cellStyle name="Normal 11 9" xfId="54561" xr:uid="{00000000-0005-0000-0000-000061CA0000}"/>
    <cellStyle name="Normal 11 9 2" xfId="54562" xr:uid="{00000000-0005-0000-0000-000062CA0000}"/>
    <cellStyle name="Normal 11 9 2 2" xfId="54563" xr:uid="{00000000-0005-0000-0000-000063CA0000}"/>
    <cellStyle name="Normal 11 9 2 3" xfId="54564" xr:uid="{00000000-0005-0000-0000-000064CA0000}"/>
    <cellStyle name="Normal 11 9 3" xfId="54565" xr:uid="{00000000-0005-0000-0000-000065CA0000}"/>
    <cellStyle name="Normal 11 9 3 2" xfId="54566" xr:uid="{00000000-0005-0000-0000-000066CA0000}"/>
    <cellStyle name="Normal 11 9 3 3" xfId="54567" xr:uid="{00000000-0005-0000-0000-000067CA0000}"/>
    <cellStyle name="Normal 11 9 4" xfId="54568" xr:uid="{00000000-0005-0000-0000-000068CA0000}"/>
    <cellStyle name="Normal 11 9 4 2" xfId="54569" xr:uid="{00000000-0005-0000-0000-000069CA0000}"/>
    <cellStyle name="Normal 11 9 5" xfId="54570" xr:uid="{00000000-0005-0000-0000-00006ACA0000}"/>
    <cellStyle name="Normal 11 9 6" xfId="54571" xr:uid="{00000000-0005-0000-0000-00006BCA0000}"/>
    <cellStyle name="Normal 12" xfId="4401" xr:uid="{00000000-0005-0000-0000-00006CCA0000}"/>
    <cellStyle name="Normal 12 2" xfId="4402" xr:uid="{00000000-0005-0000-0000-00006DCA0000}"/>
    <cellStyle name="Normal 12 2 2" xfId="4403" xr:uid="{00000000-0005-0000-0000-00006ECA0000}"/>
    <cellStyle name="Normal 12 2 2 2" xfId="4404" xr:uid="{00000000-0005-0000-0000-00006FCA0000}"/>
    <cellStyle name="Normal 12 2 2 2 2" xfId="4405" xr:uid="{00000000-0005-0000-0000-000070CA0000}"/>
    <cellStyle name="Normal 12 2 2 2 2 2" xfId="4406" xr:uid="{00000000-0005-0000-0000-000071CA0000}"/>
    <cellStyle name="Normal 12 2 2 2 2 2 2" xfId="4407" xr:uid="{00000000-0005-0000-0000-000072CA0000}"/>
    <cellStyle name="Normal 12 2 2 2 2 3" xfId="4408" xr:uid="{00000000-0005-0000-0000-000073CA0000}"/>
    <cellStyle name="Normal 12 2 2 2 3" xfId="4409" xr:uid="{00000000-0005-0000-0000-000074CA0000}"/>
    <cellStyle name="Normal 12 2 2 2 3 2" xfId="4410" xr:uid="{00000000-0005-0000-0000-000075CA0000}"/>
    <cellStyle name="Normal 12 2 2 2 4" xfId="4411" xr:uid="{00000000-0005-0000-0000-000076CA0000}"/>
    <cellStyle name="Normal 12 2 2 2 5" xfId="59489" xr:uid="{00000000-0005-0000-0000-000077CA0000}"/>
    <cellStyle name="Normal 12 2 2 3" xfId="4412" xr:uid="{00000000-0005-0000-0000-000078CA0000}"/>
    <cellStyle name="Normal 12 2 2 3 2" xfId="4413" xr:uid="{00000000-0005-0000-0000-000079CA0000}"/>
    <cellStyle name="Normal 12 2 2 3 2 2" xfId="4414" xr:uid="{00000000-0005-0000-0000-00007ACA0000}"/>
    <cellStyle name="Normal 12 2 2 3 3" xfId="4415" xr:uid="{00000000-0005-0000-0000-00007BCA0000}"/>
    <cellStyle name="Normal 12 2 2 4" xfId="4416" xr:uid="{00000000-0005-0000-0000-00007CCA0000}"/>
    <cellStyle name="Normal 12 2 2 4 2" xfId="4417" xr:uid="{00000000-0005-0000-0000-00007DCA0000}"/>
    <cellStyle name="Normal 12 2 2 5" xfId="4418" xr:uid="{00000000-0005-0000-0000-00007ECA0000}"/>
    <cellStyle name="Normal 12 2 2 6" xfId="59490" xr:uid="{00000000-0005-0000-0000-00007FCA0000}"/>
    <cellStyle name="Normal 12 2 3" xfId="4419" xr:uid="{00000000-0005-0000-0000-000080CA0000}"/>
    <cellStyle name="Normal 12 2 3 2" xfId="4420" xr:uid="{00000000-0005-0000-0000-000081CA0000}"/>
    <cellStyle name="Normal 12 2 3 2 2" xfId="4421" xr:uid="{00000000-0005-0000-0000-000082CA0000}"/>
    <cellStyle name="Normal 12 2 3 2 2 2" xfId="4422" xr:uid="{00000000-0005-0000-0000-000083CA0000}"/>
    <cellStyle name="Normal 12 2 3 2 3" xfId="4423" xr:uid="{00000000-0005-0000-0000-000084CA0000}"/>
    <cellStyle name="Normal 12 2 3 3" xfId="4424" xr:uid="{00000000-0005-0000-0000-000085CA0000}"/>
    <cellStyle name="Normal 12 2 3 3 2" xfId="4425" xr:uid="{00000000-0005-0000-0000-000086CA0000}"/>
    <cellStyle name="Normal 12 2 3 4" xfId="4426" xr:uid="{00000000-0005-0000-0000-000087CA0000}"/>
    <cellStyle name="Normal 12 2 3 5" xfId="59491" xr:uid="{00000000-0005-0000-0000-000088CA0000}"/>
    <cellStyle name="Normal 12 2 4" xfId="4427" xr:uid="{00000000-0005-0000-0000-000089CA0000}"/>
    <cellStyle name="Normal 12 2 4 2" xfId="4428" xr:uid="{00000000-0005-0000-0000-00008ACA0000}"/>
    <cellStyle name="Normal 12 2 4 2 2" xfId="4429" xr:uid="{00000000-0005-0000-0000-00008BCA0000}"/>
    <cellStyle name="Normal 12 2 4 3" xfId="4430" xr:uid="{00000000-0005-0000-0000-00008CCA0000}"/>
    <cellStyle name="Normal 12 2 5" xfId="4431" xr:uid="{00000000-0005-0000-0000-00008DCA0000}"/>
    <cellStyle name="Normal 12 2 5 2" xfId="4432" xr:uid="{00000000-0005-0000-0000-00008ECA0000}"/>
    <cellStyle name="Normal 12 2 6" xfId="4433" xr:uid="{00000000-0005-0000-0000-00008FCA0000}"/>
    <cellStyle name="Normal 12 2 7" xfId="4434" xr:uid="{00000000-0005-0000-0000-000090CA0000}"/>
    <cellStyle name="Normal 12 3" xfId="4435" xr:uid="{00000000-0005-0000-0000-000091CA0000}"/>
    <cellStyle name="Normal 12 3 2" xfId="4436" xr:uid="{00000000-0005-0000-0000-000092CA0000}"/>
    <cellStyle name="Normal 12 3 2 2" xfId="4437" xr:uid="{00000000-0005-0000-0000-000093CA0000}"/>
    <cellStyle name="Normal 12 3 2 2 2" xfId="4438" xr:uid="{00000000-0005-0000-0000-000094CA0000}"/>
    <cellStyle name="Normal 12 3 2 2 2 2" xfId="4439" xr:uid="{00000000-0005-0000-0000-000095CA0000}"/>
    <cellStyle name="Normal 12 3 2 2 3" xfId="4440" xr:uid="{00000000-0005-0000-0000-000096CA0000}"/>
    <cellStyle name="Normal 12 3 2 3" xfId="4441" xr:uid="{00000000-0005-0000-0000-000097CA0000}"/>
    <cellStyle name="Normal 12 3 2 3 2" xfId="4442" xr:uid="{00000000-0005-0000-0000-000098CA0000}"/>
    <cellStyle name="Normal 12 3 2 4" xfId="4443" xr:uid="{00000000-0005-0000-0000-000099CA0000}"/>
    <cellStyle name="Normal 12 3 3" xfId="4444" xr:uid="{00000000-0005-0000-0000-00009ACA0000}"/>
    <cellStyle name="Normal 12 3 3 2" xfId="4445" xr:uid="{00000000-0005-0000-0000-00009BCA0000}"/>
    <cellStyle name="Normal 12 3 3 2 2" xfId="4446" xr:uid="{00000000-0005-0000-0000-00009CCA0000}"/>
    <cellStyle name="Normal 12 3 3 3" xfId="4447" xr:uid="{00000000-0005-0000-0000-00009DCA0000}"/>
    <cellStyle name="Normal 12 3 4" xfId="4448" xr:uid="{00000000-0005-0000-0000-00009ECA0000}"/>
    <cellStyle name="Normal 12 3 4 2" xfId="4449" xr:uid="{00000000-0005-0000-0000-00009FCA0000}"/>
    <cellStyle name="Normal 12 3 5" xfId="4450" xr:uid="{00000000-0005-0000-0000-0000A0CA0000}"/>
    <cellStyle name="Normal 12 3 6" xfId="59492" xr:uid="{00000000-0005-0000-0000-0000A1CA0000}"/>
    <cellStyle name="Normal 12 4" xfId="4451" xr:uid="{00000000-0005-0000-0000-0000A2CA0000}"/>
    <cellStyle name="Normal 12 4 2" xfId="4452" xr:uid="{00000000-0005-0000-0000-0000A3CA0000}"/>
    <cellStyle name="Normal 12 4 2 2" xfId="4453" xr:uid="{00000000-0005-0000-0000-0000A4CA0000}"/>
    <cellStyle name="Normal 12 4 2 2 2" xfId="4454" xr:uid="{00000000-0005-0000-0000-0000A5CA0000}"/>
    <cellStyle name="Normal 12 4 2 3" xfId="4455" xr:uid="{00000000-0005-0000-0000-0000A6CA0000}"/>
    <cellStyle name="Normal 12 4 3" xfId="4456" xr:uid="{00000000-0005-0000-0000-0000A7CA0000}"/>
    <cellStyle name="Normal 12 4 3 2" xfId="4457" xr:uid="{00000000-0005-0000-0000-0000A8CA0000}"/>
    <cellStyle name="Normal 12 4 4" xfId="4458" xr:uid="{00000000-0005-0000-0000-0000A9CA0000}"/>
    <cellStyle name="Normal 12 5" xfId="4459" xr:uid="{00000000-0005-0000-0000-0000AACA0000}"/>
    <cellStyle name="Normal 12 5 2" xfId="4460" xr:uid="{00000000-0005-0000-0000-0000ABCA0000}"/>
    <cellStyle name="Normal 12 5 2 2" xfId="4461" xr:uid="{00000000-0005-0000-0000-0000ACCA0000}"/>
    <cellStyle name="Normal 12 5 3" xfId="4462" xr:uid="{00000000-0005-0000-0000-0000ADCA0000}"/>
    <cellStyle name="Normal 12 6" xfId="4463" xr:uid="{00000000-0005-0000-0000-0000AECA0000}"/>
    <cellStyle name="Normal 12 6 2" xfId="4464" xr:uid="{00000000-0005-0000-0000-0000AFCA0000}"/>
    <cellStyle name="Normal 12 7" xfId="4465" xr:uid="{00000000-0005-0000-0000-0000B0CA0000}"/>
    <cellStyle name="Normal 12 8" xfId="4466" xr:uid="{00000000-0005-0000-0000-0000B1CA0000}"/>
    <cellStyle name="Normal 13" xfId="4467" xr:uid="{00000000-0005-0000-0000-0000B2CA0000}"/>
    <cellStyle name="Normal 13 10" xfId="54572" xr:uid="{00000000-0005-0000-0000-0000B3CA0000}"/>
    <cellStyle name="Normal 13 10 2" xfId="54573" xr:uid="{00000000-0005-0000-0000-0000B4CA0000}"/>
    <cellStyle name="Normal 13 10 3" xfId="54574" xr:uid="{00000000-0005-0000-0000-0000B5CA0000}"/>
    <cellStyle name="Normal 13 11" xfId="54575" xr:uid="{00000000-0005-0000-0000-0000B6CA0000}"/>
    <cellStyle name="Normal 13 11 2" xfId="54576" xr:uid="{00000000-0005-0000-0000-0000B7CA0000}"/>
    <cellStyle name="Normal 13 11 3" xfId="54577" xr:uid="{00000000-0005-0000-0000-0000B8CA0000}"/>
    <cellStyle name="Normal 13 12" xfId="54578" xr:uid="{00000000-0005-0000-0000-0000B9CA0000}"/>
    <cellStyle name="Normal 13 12 2" xfId="54579" xr:uid="{00000000-0005-0000-0000-0000BACA0000}"/>
    <cellStyle name="Normal 13 13" xfId="54580" xr:uid="{00000000-0005-0000-0000-0000BBCA0000}"/>
    <cellStyle name="Normal 13 14" xfId="54581" xr:uid="{00000000-0005-0000-0000-0000BCCA0000}"/>
    <cellStyle name="Normal 13 15" xfId="54582" xr:uid="{00000000-0005-0000-0000-0000BDCA0000}"/>
    <cellStyle name="Normal 13 2" xfId="4468" xr:uid="{00000000-0005-0000-0000-0000BECA0000}"/>
    <cellStyle name="Normal 13 2 10" xfId="54583" xr:uid="{00000000-0005-0000-0000-0000BFCA0000}"/>
    <cellStyle name="Normal 13 2 10 2" xfId="54584" xr:uid="{00000000-0005-0000-0000-0000C0CA0000}"/>
    <cellStyle name="Normal 13 2 10 3" xfId="54585" xr:uid="{00000000-0005-0000-0000-0000C1CA0000}"/>
    <cellStyle name="Normal 13 2 11" xfId="54586" xr:uid="{00000000-0005-0000-0000-0000C2CA0000}"/>
    <cellStyle name="Normal 13 2 11 2" xfId="54587" xr:uid="{00000000-0005-0000-0000-0000C3CA0000}"/>
    <cellStyle name="Normal 13 2 12" xfId="54588" xr:uid="{00000000-0005-0000-0000-0000C4CA0000}"/>
    <cellStyle name="Normal 13 2 13" xfId="54589" xr:uid="{00000000-0005-0000-0000-0000C5CA0000}"/>
    <cellStyle name="Normal 13 2 14" xfId="54590" xr:uid="{00000000-0005-0000-0000-0000C6CA0000}"/>
    <cellStyle name="Normal 13 2 2" xfId="9221" xr:uid="{00000000-0005-0000-0000-0000C7CA0000}"/>
    <cellStyle name="Normal 13 2 2 10" xfId="54591" xr:uid="{00000000-0005-0000-0000-0000C8CA0000}"/>
    <cellStyle name="Normal 13 2 2 10 2" xfId="54592" xr:uid="{00000000-0005-0000-0000-0000C9CA0000}"/>
    <cellStyle name="Normal 13 2 2 11" xfId="54593" xr:uid="{00000000-0005-0000-0000-0000CACA0000}"/>
    <cellStyle name="Normal 13 2 2 12" xfId="54594" xr:uid="{00000000-0005-0000-0000-0000CBCA0000}"/>
    <cellStyle name="Normal 13 2 2 13" xfId="54595" xr:uid="{00000000-0005-0000-0000-0000CCCA0000}"/>
    <cellStyle name="Normal 13 2 2 2" xfId="9222" xr:uid="{00000000-0005-0000-0000-0000CDCA0000}"/>
    <cellStyle name="Normal 13 2 2 2 10" xfId="54596" xr:uid="{00000000-0005-0000-0000-0000CECA0000}"/>
    <cellStyle name="Normal 13 2 2 2 2" xfId="54597" xr:uid="{00000000-0005-0000-0000-0000CFCA0000}"/>
    <cellStyle name="Normal 13 2 2 2 2 2" xfId="54598" xr:uid="{00000000-0005-0000-0000-0000D0CA0000}"/>
    <cellStyle name="Normal 13 2 2 2 2 2 2" xfId="54599" xr:uid="{00000000-0005-0000-0000-0000D1CA0000}"/>
    <cellStyle name="Normal 13 2 2 2 2 2 2 2" xfId="54600" xr:uid="{00000000-0005-0000-0000-0000D2CA0000}"/>
    <cellStyle name="Normal 13 2 2 2 2 2 2 3" xfId="54601" xr:uid="{00000000-0005-0000-0000-0000D3CA0000}"/>
    <cellStyle name="Normal 13 2 2 2 2 2 3" xfId="54602" xr:uid="{00000000-0005-0000-0000-0000D4CA0000}"/>
    <cellStyle name="Normal 13 2 2 2 2 2 3 2" xfId="54603" xr:uid="{00000000-0005-0000-0000-0000D5CA0000}"/>
    <cellStyle name="Normal 13 2 2 2 2 2 3 3" xfId="54604" xr:uid="{00000000-0005-0000-0000-0000D6CA0000}"/>
    <cellStyle name="Normal 13 2 2 2 2 2 4" xfId="54605" xr:uid="{00000000-0005-0000-0000-0000D7CA0000}"/>
    <cellStyle name="Normal 13 2 2 2 2 2 4 2" xfId="54606" xr:uid="{00000000-0005-0000-0000-0000D8CA0000}"/>
    <cellStyle name="Normal 13 2 2 2 2 2 5" xfId="54607" xr:uid="{00000000-0005-0000-0000-0000D9CA0000}"/>
    <cellStyle name="Normal 13 2 2 2 2 2 6" xfId="54608" xr:uid="{00000000-0005-0000-0000-0000DACA0000}"/>
    <cellStyle name="Normal 13 2 2 2 2 3" xfId="54609" xr:uid="{00000000-0005-0000-0000-0000DBCA0000}"/>
    <cellStyle name="Normal 13 2 2 2 2 3 2" xfId="54610" xr:uid="{00000000-0005-0000-0000-0000DCCA0000}"/>
    <cellStyle name="Normal 13 2 2 2 2 3 2 2" xfId="54611" xr:uid="{00000000-0005-0000-0000-0000DDCA0000}"/>
    <cellStyle name="Normal 13 2 2 2 2 3 2 3" xfId="54612" xr:uid="{00000000-0005-0000-0000-0000DECA0000}"/>
    <cellStyle name="Normal 13 2 2 2 2 3 3" xfId="54613" xr:uid="{00000000-0005-0000-0000-0000DFCA0000}"/>
    <cellStyle name="Normal 13 2 2 2 2 3 3 2" xfId="54614" xr:uid="{00000000-0005-0000-0000-0000E0CA0000}"/>
    <cellStyle name="Normal 13 2 2 2 2 3 3 3" xfId="54615" xr:uid="{00000000-0005-0000-0000-0000E1CA0000}"/>
    <cellStyle name="Normal 13 2 2 2 2 3 4" xfId="54616" xr:uid="{00000000-0005-0000-0000-0000E2CA0000}"/>
    <cellStyle name="Normal 13 2 2 2 2 3 4 2" xfId="54617" xr:uid="{00000000-0005-0000-0000-0000E3CA0000}"/>
    <cellStyle name="Normal 13 2 2 2 2 3 5" xfId="54618" xr:uid="{00000000-0005-0000-0000-0000E4CA0000}"/>
    <cellStyle name="Normal 13 2 2 2 2 3 6" xfId="54619" xr:uid="{00000000-0005-0000-0000-0000E5CA0000}"/>
    <cellStyle name="Normal 13 2 2 2 2 4" xfId="54620" xr:uid="{00000000-0005-0000-0000-0000E6CA0000}"/>
    <cellStyle name="Normal 13 2 2 2 2 4 2" xfId="54621" xr:uid="{00000000-0005-0000-0000-0000E7CA0000}"/>
    <cellStyle name="Normal 13 2 2 2 2 4 2 2" xfId="54622" xr:uid="{00000000-0005-0000-0000-0000E8CA0000}"/>
    <cellStyle name="Normal 13 2 2 2 2 4 2 3" xfId="54623" xr:uid="{00000000-0005-0000-0000-0000E9CA0000}"/>
    <cellStyle name="Normal 13 2 2 2 2 4 3" xfId="54624" xr:uid="{00000000-0005-0000-0000-0000EACA0000}"/>
    <cellStyle name="Normal 13 2 2 2 2 4 3 2" xfId="54625" xr:uid="{00000000-0005-0000-0000-0000EBCA0000}"/>
    <cellStyle name="Normal 13 2 2 2 2 4 4" xfId="54626" xr:uid="{00000000-0005-0000-0000-0000ECCA0000}"/>
    <cellStyle name="Normal 13 2 2 2 2 4 5" xfId="54627" xr:uid="{00000000-0005-0000-0000-0000EDCA0000}"/>
    <cellStyle name="Normal 13 2 2 2 2 5" xfId="54628" xr:uid="{00000000-0005-0000-0000-0000EECA0000}"/>
    <cellStyle name="Normal 13 2 2 2 2 5 2" xfId="54629" xr:uid="{00000000-0005-0000-0000-0000EFCA0000}"/>
    <cellStyle name="Normal 13 2 2 2 2 5 3" xfId="54630" xr:uid="{00000000-0005-0000-0000-0000F0CA0000}"/>
    <cellStyle name="Normal 13 2 2 2 2 6" xfId="54631" xr:uid="{00000000-0005-0000-0000-0000F1CA0000}"/>
    <cellStyle name="Normal 13 2 2 2 2 6 2" xfId="54632" xr:uid="{00000000-0005-0000-0000-0000F2CA0000}"/>
    <cellStyle name="Normal 13 2 2 2 2 6 3" xfId="54633" xr:uid="{00000000-0005-0000-0000-0000F3CA0000}"/>
    <cellStyle name="Normal 13 2 2 2 2 7" xfId="54634" xr:uid="{00000000-0005-0000-0000-0000F4CA0000}"/>
    <cellStyle name="Normal 13 2 2 2 2 7 2" xfId="54635" xr:uid="{00000000-0005-0000-0000-0000F5CA0000}"/>
    <cellStyle name="Normal 13 2 2 2 2 8" xfId="54636" xr:uid="{00000000-0005-0000-0000-0000F6CA0000}"/>
    <cellStyle name="Normal 13 2 2 2 2 9" xfId="54637" xr:uid="{00000000-0005-0000-0000-0000F7CA0000}"/>
    <cellStyle name="Normal 13 2 2 2 3" xfId="54638" xr:uid="{00000000-0005-0000-0000-0000F8CA0000}"/>
    <cellStyle name="Normal 13 2 2 2 3 2" xfId="54639" xr:uid="{00000000-0005-0000-0000-0000F9CA0000}"/>
    <cellStyle name="Normal 13 2 2 2 3 2 2" xfId="54640" xr:uid="{00000000-0005-0000-0000-0000FACA0000}"/>
    <cellStyle name="Normal 13 2 2 2 3 2 3" xfId="54641" xr:uid="{00000000-0005-0000-0000-0000FBCA0000}"/>
    <cellStyle name="Normal 13 2 2 2 3 3" xfId="54642" xr:uid="{00000000-0005-0000-0000-0000FCCA0000}"/>
    <cellStyle name="Normal 13 2 2 2 3 3 2" xfId="54643" xr:uid="{00000000-0005-0000-0000-0000FDCA0000}"/>
    <cellStyle name="Normal 13 2 2 2 3 3 3" xfId="54644" xr:uid="{00000000-0005-0000-0000-0000FECA0000}"/>
    <cellStyle name="Normal 13 2 2 2 3 4" xfId="54645" xr:uid="{00000000-0005-0000-0000-0000FFCA0000}"/>
    <cellStyle name="Normal 13 2 2 2 3 4 2" xfId="54646" xr:uid="{00000000-0005-0000-0000-000000CB0000}"/>
    <cellStyle name="Normal 13 2 2 2 3 5" xfId="54647" xr:uid="{00000000-0005-0000-0000-000001CB0000}"/>
    <cellStyle name="Normal 13 2 2 2 3 6" xfId="54648" xr:uid="{00000000-0005-0000-0000-000002CB0000}"/>
    <cellStyle name="Normal 13 2 2 2 4" xfId="54649" xr:uid="{00000000-0005-0000-0000-000003CB0000}"/>
    <cellStyle name="Normal 13 2 2 2 4 2" xfId="54650" xr:uid="{00000000-0005-0000-0000-000004CB0000}"/>
    <cellStyle name="Normal 13 2 2 2 4 2 2" xfId="54651" xr:uid="{00000000-0005-0000-0000-000005CB0000}"/>
    <cellStyle name="Normal 13 2 2 2 4 2 3" xfId="54652" xr:uid="{00000000-0005-0000-0000-000006CB0000}"/>
    <cellStyle name="Normal 13 2 2 2 4 3" xfId="54653" xr:uid="{00000000-0005-0000-0000-000007CB0000}"/>
    <cellStyle name="Normal 13 2 2 2 4 3 2" xfId="54654" xr:uid="{00000000-0005-0000-0000-000008CB0000}"/>
    <cellStyle name="Normal 13 2 2 2 4 3 3" xfId="54655" xr:uid="{00000000-0005-0000-0000-000009CB0000}"/>
    <cellStyle name="Normal 13 2 2 2 4 4" xfId="54656" xr:uid="{00000000-0005-0000-0000-00000ACB0000}"/>
    <cellStyle name="Normal 13 2 2 2 4 4 2" xfId="54657" xr:uid="{00000000-0005-0000-0000-00000BCB0000}"/>
    <cellStyle name="Normal 13 2 2 2 4 5" xfId="54658" xr:uid="{00000000-0005-0000-0000-00000CCB0000}"/>
    <cellStyle name="Normal 13 2 2 2 4 6" xfId="54659" xr:uid="{00000000-0005-0000-0000-00000DCB0000}"/>
    <cellStyle name="Normal 13 2 2 2 5" xfId="54660" xr:uid="{00000000-0005-0000-0000-00000ECB0000}"/>
    <cellStyle name="Normal 13 2 2 2 5 2" xfId="54661" xr:uid="{00000000-0005-0000-0000-00000FCB0000}"/>
    <cellStyle name="Normal 13 2 2 2 5 2 2" xfId="54662" xr:uid="{00000000-0005-0000-0000-000010CB0000}"/>
    <cellStyle name="Normal 13 2 2 2 5 2 3" xfId="54663" xr:uid="{00000000-0005-0000-0000-000011CB0000}"/>
    <cellStyle name="Normal 13 2 2 2 5 3" xfId="54664" xr:uid="{00000000-0005-0000-0000-000012CB0000}"/>
    <cellStyle name="Normal 13 2 2 2 5 3 2" xfId="54665" xr:uid="{00000000-0005-0000-0000-000013CB0000}"/>
    <cellStyle name="Normal 13 2 2 2 5 4" xfId="54666" xr:uid="{00000000-0005-0000-0000-000014CB0000}"/>
    <cellStyle name="Normal 13 2 2 2 5 5" xfId="54667" xr:uid="{00000000-0005-0000-0000-000015CB0000}"/>
    <cellStyle name="Normal 13 2 2 2 6" xfId="54668" xr:uid="{00000000-0005-0000-0000-000016CB0000}"/>
    <cellStyle name="Normal 13 2 2 2 6 2" xfId="54669" xr:uid="{00000000-0005-0000-0000-000017CB0000}"/>
    <cellStyle name="Normal 13 2 2 2 6 3" xfId="54670" xr:uid="{00000000-0005-0000-0000-000018CB0000}"/>
    <cellStyle name="Normal 13 2 2 2 7" xfId="54671" xr:uid="{00000000-0005-0000-0000-000019CB0000}"/>
    <cellStyle name="Normal 13 2 2 2 7 2" xfId="54672" xr:uid="{00000000-0005-0000-0000-00001ACB0000}"/>
    <cellStyle name="Normal 13 2 2 2 7 3" xfId="54673" xr:uid="{00000000-0005-0000-0000-00001BCB0000}"/>
    <cellStyle name="Normal 13 2 2 2 8" xfId="54674" xr:uid="{00000000-0005-0000-0000-00001CCB0000}"/>
    <cellStyle name="Normal 13 2 2 2 8 2" xfId="54675" xr:uid="{00000000-0005-0000-0000-00001DCB0000}"/>
    <cellStyle name="Normal 13 2 2 2 9" xfId="54676" xr:uid="{00000000-0005-0000-0000-00001ECB0000}"/>
    <cellStyle name="Normal 13 2 2 3" xfId="54677" xr:uid="{00000000-0005-0000-0000-00001FCB0000}"/>
    <cellStyle name="Normal 13 2 2 3 2" xfId="54678" xr:uid="{00000000-0005-0000-0000-000020CB0000}"/>
    <cellStyle name="Normal 13 2 2 3 2 2" xfId="54679" xr:uid="{00000000-0005-0000-0000-000021CB0000}"/>
    <cellStyle name="Normal 13 2 2 3 2 2 2" xfId="54680" xr:uid="{00000000-0005-0000-0000-000022CB0000}"/>
    <cellStyle name="Normal 13 2 2 3 2 2 3" xfId="54681" xr:uid="{00000000-0005-0000-0000-000023CB0000}"/>
    <cellStyle name="Normal 13 2 2 3 2 3" xfId="54682" xr:uid="{00000000-0005-0000-0000-000024CB0000}"/>
    <cellStyle name="Normal 13 2 2 3 2 3 2" xfId="54683" xr:uid="{00000000-0005-0000-0000-000025CB0000}"/>
    <cellStyle name="Normal 13 2 2 3 2 3 3" xfId="54684" xr:uid="{00000000-0005-0000-0000-000026CB0000}"/>
    <cellStyle name="Normal 13 2 2 3 2 4" xfId="54685" xr:uid="{00000000-0005-0000-0000-000027CB0000}"/>
    <cellStyle name="Normal 13 2 2 3 2 4 2" xfId="54686" xr:uid="{00000000-0005-0000-0000-000028CB0000}"/>
    <cellStyle name="Normal 13 2 2 3 2 5" xfId="54687" xr:uid="{00000000-0005-0000-0000-000029CB0000}"/>
    <cellStyle name="Normal 13 2 2 3 2 6" xfId="54688" xr:uid="{00000000-0005-0000-0000-00002ACB0000}"/>
    <cellStyle name="Normal 13 2 2 3 3" xfId="54689" xr:uid="{00000000-0005-0000-0000-00002BCB0000}"/>
    <cellStyle name="Normal 13 2 2 3 3 2" xfId="54690" xr:uid="{00000000-0005-0000-0000-00002CCB0000}"/>
    <cellStyle name="Normal 13 2 2 3 3 2 2" xfId="54691" xr:uid="{00000000-0005-0000-0000-00002DCB0000}"/>
    <cellStyle name="Normal 13 2 2 3 3 2 3" xfId="54692" xr:uid="{00000000-0005-0000-0000-00002ECB0000}"/>
    <cellStyle name="Normal 13 2 2 3 3 3" xfId="54693" xr:uid="{00000000-0005-0000-0000-00002FCB0000}"/>
    <cellStyle name="Normal 13 2 2 3 3 3 2" xfId="54694" xr:uid="{00000000-0005-0000-0000-000030CB0000}"/>
    <cellStyle name="Normal 13 2 2 3 3 3 3" xfId="54695" xr:uid="{00000000-0005-0000-0000-000031CB0000}"/>
    <cellStyle name="Normal 13 2 2 3 3 4" xfId="54696" xr:uid="{00000000-0005-0000-0000-000032CB0000}"/>
    <cellStyle name="Normal 13 2 2 3 3 4 2" xfId="54697" xr:uid="{00000000-0005-0000-0000-000033CB0000}"/>
    <cellStyle name="Normal 13 2 2 3 3 5" xfId="54698" xr:uid="{00000000-0005-0000-0000-000034CB0000}"/>
    <cellStyle name="Normal 13 2 2 3 3 6" xfId="54699" xr:uid="{00000000-0005-0000-0000-000035CB0000}"/>
    <cellStyle name="Normal 13 2 2 3 4" xfId="54700" xr:uid="{00000000-0005-0000-0000-000036CB0000}"/>
    <cellStyle name="Normal 13 2 2 3 4 2" xfId="54701" xr:uid="{00000000-0005-0000-0000-000037CB0000}"/>
    <cellStyle name="Normal 13 2 2 3 4 2 2" xfId="54702" xr:uid="{00000000-0005-0000-0000-000038CB0000}"/>
    <cellStyle name="Normal 13 2 2 3 4 2 3" xfId="54703" xr:uid="{00000000-0005-0000-0000-000039CB0000}"/>
    <cellStyle name="Normal 13 2 2 3 4 3" xfId="54704" xr:uid="{00000000-0005-0000-0000-00003ACB0000}"/>
    <cellStyle name="Normal 13 2 2 3 4 3 2" xfId="54705" xr:uid="{00000000-0005-0000-0000-00003BCB0000}"/>
    <cellStyle name="Normal 13 2 2 3 4 4" xfId="54706" xr:uid="{00000000-0005-0000-0000-00003CCB0000}"/>
    <cellStyle name="Normal 13 2 2 3 4 5" xfId="54707" xr:uid="{00000000-0005-0000-0000-00003DCB0000}"/>
    <cellStyle name="Normal 13 2 2 3 5" xfId="54708" xr:uid="{00000000-0005-0000-0000-00003ECB0000}"/>
    <cellStyle name="Normal 13 2 2 3 5 2" xfId="54709" xr:uid="{00000000-0005-0000-0000-00003FCB0000}"/>
    <cellStyle name="Normal 13 2 2 3 5 3" xfId="54710" xr:uid="{00000000-0005-0000-0000-000040CB0000}"/>
    <cellStyle name="Normal 13 2 2 3 6" xfId="54711" xr:uid="{00000000-0005-0000-0000-000041CB0000}"/>
    <cellStyle name="Normal 13 2 2 3 6 2" xfId="54712" xr:uid="{00000000-0005-0000-0000-000042CB0000}"/>
    <cellStyle name="Normal 13 2 2 3 6 3" xfId="54713" xr:uid="{00000000-0005-0000-0000-000043CB0000}"/>
    <cellStyle name="Normal 13 2 2 3 7" xfId="54714" xr:uid="{00000000-0005-0000-0000-000044CB0000}"/>
    <cellStyle name="Normal 13 2 2 3 7 2" xfId="54715" xr:uid="{00000000-0005-0000-0000-000045CB0000}"/>
    <cellStyle name="Normal 13 2 2 3 8" xfId="54716" xr:uid="{00000000-0005-0000-0000-000046CB0000}"/>
    <cellStyle name="Normal 13 2 2 3 9" xfId="54717" xr:uid="{00000000-0005-0000-0000-000047CB0000}"/>
    <cellStyle name="Normal 13 2 2 4" xfId="54718" xr:uid="{00000000-0005-0000-0000-000048CB0000}"/>
    <cellStyle name="Normal 13 2 2 4 2" xfId="54719" xr:uid="{00000000-0005-0000-0000-000049CB0000}"/>
    <cellStyle name="Normal 13 2 2 4 2 2" xfId="54720" xr:uid="{00000000-0005-0000-0000-00004ACB0000}"/>
    <cellStyle name="Normal 13 2 2 4 2 2 2" xfId="54721" xr:uid="{00000000-0005-0000-0000-00004BCB0000}"/>
    <cellStyle name="Normal 13 2 2 4 2 2 3" xfId="54722" xr:uid="{00000000-0005-0000-0000-00004CCB0000}"/>
    <cellStyle name="Normal 13 2 2 4 2 3" xfId="54723" xr:uid="{00000000-0005-0000-0000-00004DCB0000}"/>
    <cellStyle name="Normal 13 2 2 4 2 3 2" xfId="54724" xr:uid="{00000000-0005-0000-0000-00004ECB0000}"/>
    <cellStyle name="Normal 13 2 2 4 2 3 3" xfId="54725" xr:uid="{00000000-0005-0000-0000-00004FCB0000}"/>
    <cellStyle name="Normal 13 2 2 4 2 4" xfId="54726" xr:uid="{00000000-0005-0000-0000-000050CB0000}"/>
    <cellStyle name="Normal 13 2 2 4 2 4 2" xfId="54727" xr:uid="{00000000-0005-0000-0000-000051CB0000}"/>
    <cellStyle name="Normal 13 2 2 4 2 5" xfId="54728" xr:uid="{00000000-0005-0000-0000-000052CB0000}"/>
    <cellStyle name="Normal 13 2 2 4 2 6" xfId="54729" xr:uid="{00000000-0005-0000-0000-000053CB0000}"/>
    <cellStyle name="Normal 13 2 2 4 3" xfId="54730" xr:uid="{00000000-0005-0000-0000-000054CB0000}"/>
    <cellStyle name="Normal 13 2 2 4 3 2" xfId="54731" xr:uid="{00000000-0005-0000-0000-000055CB0000}"/>
    <cellStyle name="Normal 13 2 2 4 3 2 2" xfId="54732" xr:uid="{00000000-0005-0000-0000-000056CB0000}"/>
    <cellStyle name="Normal 13 2 2 4 3 2 3" xfId="54733" xr:uid="{00000000-0005-0000-0000-000057CB0000}"/>
    <cellStyle name="Normal 13 2 2 4 3 3" xfId="54734" xr:uid="{00000000-0005-0000-0000-000058CB0000}"/>
    <cellStyle name="Normal 13 2 2 4 3 3 2" xfId="54735" xr:uid="{00000000-0005-0000-0000-000059CB0000}"/>
    <cellStyle name="Normal 13 2 2 4 3 3 3" xfId="54736" xr:uid="{00000000-0005-0000-0000-00005ACB0000}"/>
    <cellStyle name="Normal 13 2 2 4 3 4" xfId="54737" xr:uid="{00000000-0005-0000-0000-00005BCB0000}"/>
    <cellStyle name="Normal 13 2 2 4 3 4 2" xfId="54738" xr:uid="{00000000-0005-0000-0000-00005CCB0000}"/>
    <cellStyle name="Normal 13 2 2 4 3 5" xfId="54739" xr:uid="{00000000-0005-0000-0000-00005DCB0000}"/>
    <cellStyle name="Normal 13 2 2 4 3 6" xfId="54740" xr:uid="{00000000-0005-0000-0000-00005ECB0000}"/>
    <cellStyle name="Normal 13 2 2 4 4" xfId="54741" xr:uid="{00000000-0005-0000-0000-00005FCB0000}"/>
    <cellStyle name="Normal 13 2 2 4 4 2" xfId="54742" xr:uid="{00000000-0005-0000-0000-000060CB0000}"/>
    <cellStyle name="Normal 13 2 2 4 4 2 2" xfId="54743" xr:uid="{00000000-0005-0000-0000-000061CB0000}"/>
    <cellStyle name="Normal 13 2 2 4 4 2 3" xfId="54744" xr:uid="{00000000-0005-0000-0000-000062CB0000}"/>
    <cellStyle name="Normal 13 2 2 4 4 3" xfId="54745" xr:uid="{00000000-0005-0000-0000-000063CB0000}"/>
    <cellStyle name="Normal 13 2 2 4 4 3 2" xfId="54746" xr:uid="{00000000-0005-0000-0000-000064CB0000}"/>
    <cellStyle name="Normal 13 2 2 4 4 4" xfId="54747" xr:uid="{00000000-0005-0000-0000-000065CB0000}"/>
    <cellStyle name="Normal 13 2 2 4 4 5" xfId="54748" xr:uid="{00000000-0005-0000-0000-000066CB0000}"/>
    <cellStyle name="Normal 13 2 2 4 5" xfId="54749" xr:uid="{00000000-0005-0000-0000-000067CB0000}"/>
    <cellStyle name="Normal 13 2 2 4 5 2" xfId="54750" xr:uid="{00000000-0005-0000-0000-000068CB0000}"/>
    <cellStyle name="Normal 13 2 2 4 5 3" xfId="54751" xr:uid="{00000000-0005-0000-0000-000069CB0000}"/>
    <cellStyle name="Normal 13 2 2 4 6" xfId="54752" xr:uid="{00000000-0005-0000-0000-00006ACB0000}"/>
    <cellStyle name="Normal 13 2 2 4 6 2" xfId="54753" xr:uid="{00000000-0005-0000-0000-00006BCB0000}"/>
    <cellStyle name="Normal 13 2 2 4 6 3" xfId="54754" xr:uid="{00000000-0005-0000-0000-00006CCB0000}"/>
    <cellStyle name="Normal 13 2 2 4 7" xfId="54755" xr:uid="{00000000-0005-0000-0000-00006DCB0000}"/>
    <cellStyle name="Normal 13 2 2 4 7 2" xfId="54756" xr:uid="{00000000-0005-0000-0000-00006ECB0000}"/>
    <cellStyle name="Normal 13 2 2 4 8" xfId="54757" xr:uid="{00000000-0005-0000-0000-00006FCB0000}"/>
    <cellStyle name="Normal 13 2 2 4 9" xfId="54758" xr:uid="{00000000-0005-0000-0000-000070CB0000}"/>
    <cellStyle name="Normal 13 2 2 5" xfId="54759" xr:uid="{00000000-0005-0000-0000-000071CB0000}"/>
    <cellStyle name="Normal 13 2 2 5 2" xfId="54760" xr:uid="{00000000-0005-0000-0000-000072CB0000}"/>
    <cellStyle name="Normal 13 2 2 5 2 2" xfId="54761" xr:uid="{00000000-0005-0000-0000-000073CB0000}"/>
    <cellStyle name="Normal 13 2 2 5 2 3" xfId="54762" xr:uid="{00000000-0005-0000-0000-000074CB0000}"/>
    <cellStyle name="Normal 13 2 2 5 3" xfId="54763" xr:uid="{00000000-0005-0000-0000-000075CB0000}"/>
    <cellStyle name="Normal 13 2 2 5 3 2" xfId="54764" xr:uid="{00000000-0005-0000-0000-000076CB0000}"/>
    <cellStyle name="Normal 13 2 2 5 3 3" xfId="54765" xr:uid="{00000000-0005-0000-0000-000077CB0000}"/>
    <cellStyle name="Normal 13 2 2 5 4" xfId="54766" xr:uid="{00000000-0005-0000-0000-000078CB0000}"/>
    <cellStyle name="Normal 13 2 2 5 4 2" xfId="54767" xr:uid="{00000000-0005-0000-0000-000079CB0000}"/>
    <cellStyle name="Normal 13 2 2 5 5" xfId="54768" xr:uid="{00000000-0005-0000-0000-00007ACB0000}"/>
    <cellStyle name="Normal 13 2 2 5 6" xfId="54769" xr:uid="{00000000-0005-0000-0000-00007BCB0000}"/>
    <cellStyle name="Normal 13 2 2 6" xfId="54770" xr:uid="{00000000-0005-0000-0000-00007CCB0000}"/>
    <cellStyle name="Normal 13 2 2 6 2" xfId="54771" xr:uid="{00000000-0005-0000-0000-00007DCB0000}"/>
    <cellStyle name="Normal 13 2 2 6 2 2" xfId="54772" xr:uid="{00000000-0005-0000-0000-00007ECB0000}"/>
    <cellStyle name="Normal 13 2 2 6 2 3" xfId="54773" xr:uid="{00000000-0005-0000-0000-00007FCB0000}"/>
    <cellStyle name="Normal 13 2 2 6 3" xfId="54774" xr:uid="{00000000-0005-0000-0000-000080CB0000}"/>
    <cellStyle name="Normal 13 2 2 6 3 2" xfId="54775" xr:uid="{00000000-0005-0000-0000-000081CB0000}"/>
    <cellStyle name="Normal 13 2 2 6 3 3" xfId="54776" xr:uid="{00000000-0005-0000-0000-000082CB0000}"/>
    <cellStyle name="Normal 13 2 2 6 4" xfId="54777" xr:uid="{00000000-0005-0000-0000-000083CB0000}"/>
    <cellStyle name="Normal 13 2 2 6 4 2" xfId="54778" xr:uid="{00000000-0005-0000-0000-000084CB0000}"/>
    <cellStyle name="Normal 13 2 2 6 5" xfId="54779" xr:uid="{00000000-0005-0000-0000-000085CB0000}"/>
    <cellStyle name="Normal 13 2 2 6 6" xfId="54780" xr:uid="{00000000-0005-0000-0000-000086CB0000}"/>
    <cellStyle name="Normal 13 2 2 7" xfId="54781" xr:uid="{00000000-0005-0000-0000-000087CB0000}"/>
    <cellStyle name="Normal 13 2 2 7 2" xfId="54782" xr:uid="{00000000-0005-0000-0000-000088CB0000}"/>
    <cellStyle name="Normal 13 2 2 7 2 2" xfId="54783" xr:uid="{00000000-0005-0000-0000-000089CB0000}"/>
    <cellStyle name="Normal 13 2 2 7 2 3" xfId="54784" xr:uid="{00000000-0005-0000-0000-00008ACB0000}"/>
    <cellStyle name="Normal 13 2 2 7 3" xfId="54785" xr:uid="{00000000-0005-0000-0000-00008BCB0000}"/>
    <cellStyle name="Normal 13 2 2 7 3 2" xfId="54786" xr:uid="{00000000-0005-0000-0000-00008CCB0000}"/>
    <cellStyle name="Normal 13 2 2 7 4" xfId="54787" xr:uid="{00000000-0005-0000-0000-00008DCB0000}"/>
    <cellStyle name="Normal 13 2 2 7 5" xfId="54788" xr:uid="{00000000-0005-0000-0000-00008ECB0000}"/>
    <cellStyle name="Normal 13 2 2 8" xfId="54789" xr:uid="{00000000-0005-0000-0000-00008FCB0000}"/>
    <cellStyle name="Normal 13 2 2 8 2" xfId="54790" xr:uid="{00000000-0005-0000-0000-000090CB0000}"/>
    <cellStyle name="Normal 13 2 2 8 3" xfId="54791" xr:uid="{00000000-0005-0000-0000-000091CB0000}"/>
    <cellStyle name="Normal 13 2 2 9" xfId="54792" xr:uid="{00000000-0005-0000-0000-000092CB0000}"/>
    <cellStyle name="Normal 13 2 2 9 2" xfId="54793" xr:uid="{00000000-0005-0000-0000-000093CB0000}"/>
    <cellStyle name="Normal 13 2 2 9 3" xfId="54794" xr:uid="{00000000-0005-0000-0000-000094CB0000}"/>
    <cellStyle name="Normal 13 2 3" xfId="9223" xr:uid="{00000000-0005-0000-0000-000095CB0000}"/>
    <cellStyle name="Normal 13 2 3 10" xfId="54795" xr:uid="{00000000-0005-0000-0000-000096CB0000}"/>
    <cellStyle name="Normal 13 2 3 2" xfId="54796" xr:uid="{00000000-0005-0000-0000-000097CB0000}"/>
    <cellStyle name="Normal 13 2 3 2 2" xfId="54797" xr:uid="{00000000-0005-0000-0000-000098CB0000}"/>
    <cellStyle name="Normal 13 2 3 2 2 2" xfId="54798" xr:uid="{00000000-0005-0000-0000-000099CB0000}"/>
    <cellStyle name="Normal 13 2 3 2 2 2 2" xfId="54799" xr:uid="{00000000-0005-0000-0000-00009ACB0000}"/>
    <cellStyle name="Normal 13 2 3 2 2 2 3" xfId="54800" xr:uid="{00000000-0005-0000-0000-00009BCB0000}"/>
    <cellStyle name="Normal 13 2 3 2 2 3" xfId="54801" xr:uid="{00000000-0005-0000-0000-00009CCB0000}"/>
    <cellStyle name="Normal 13 2 3 2 2 3 2" xfId="54802" xr:uid="{00000000-0005-0000-0000-00009DCB0000}"/>
    <cellStyle name="Normal 13 2 3 2 2 3 3" xfId="54803" xr:uid="{00000000-0005-0000-0000-00009ECB0000}"/>
    <cellStyle name="Normal 13 2 3 2 2 4" xfId="54804" xr:uid="{00000000-0005-0000-0000-00009FCB0000}"/>
    <cellStyle name="Normal 13 2 3 2 2 4 2" xfId="54805" xr:uid="{00000000-0005-0000-0000-0000A0CB0000}"/>
    <cellStyle name="Normal 13 2 3 2 2 5" xfId="54806" xr:uid="{00000000-0005-0000-0000-0000A1CB0000}"/>
    <cellStyle name="Normal 13 2 3 2 2 6" xfId="54807" xr:uid="{00000000-0005-0000-0000-0000A2CB0000}"/>
    <cellStyle name="Normal 13 2 3 2 3" xfId="54808" xr:uid="{00000000-0005-0000-0000-0000A3CB0000}"/>
    <cellStyle name="Normal 13 2 3 2 3 2" xfId="54809" xr:uid="{00000000-0005-0000-0000-0000A4CB0000}"/>
    <cellStyle name="Normal 13 2 3 2 3 2 2" xfId="54810" xr:uid="{00000000-0005-0000-0000-0000A5CB0000}"/>
    <cellStyle name="Normal 13 2 3 2 3 2 3" xfId="54811" xr:uid="{00000000-0005-0000-0000-0000A6CB0000}"/>
    <cellStyle name="Normal 13 2 3 2 3 3" xfId="54812" xr:uid="{00000000-0005-0000-0000-0000A7CB0000}"/>
    <cellStyle name="Normal 13 2 3 2 3 3 2" xfId="54813" xr:uid="{00000000-0005-0000-0000-0000A8CB0000}"/>
    <cellStyle name="Normal 13 2 3 2 3 3 3" xfId="54814" xr:uid="{00000000-0005-0000-0000-0000A9CB0000}"/>
    <cellStyle name="Normal 13 2 3 2 3 4" xfId="54815" xr:uid="{00000000-0005-0000-0000-0000AACB0000}"/>
    <cellStyle name="Normal 13 2 3 2 3 4 2" xfId="54816" xr:uid="{00000000-0005-0000-0000-0000ABCB0000}"/>
    <cellStyle name="Normal 13 2 3 2 3 5" xfId="54817" xr:uid="{00000000-0005-0000-0000-0000ACCB0000}"/>
    <cellStyle name="Normal 13 2 3 2 3 6" xfId="54818" xr:uid="{00000000-0005-0000-0000-0000ADCB0000}"/>
    <cellStyle name="Normal 13 2 3 2 4" xfId="54819" xr:uid="{00000000-0005-0000-0000-0000AECB0000}"/>
    <cellStyle name="Normal 13 2 3 2 4 2" xfId="54820" xr:uid="{00000000-0005-0000-0000-0000AFCB0000}"/>
    <cellStyle name="Normal 13 2 3 2 4 2 2" xfId="54821" xr:uid="{00000000-0005-0000-0000-0000B0CB0000}"/>
    <cellStyle name="Normal 13 2 3 2 4 2 3" xfId="54822" xr:uid="{00000000-0005-0000-0000-0000B1CB0000}"/>
    <cellStyle name="Normal 13 2 3 2 4 3" xfId="54823" xr:uid="{00000000-0005-0000-0000-0000B2CB0000}"/>
    <cellStyle name="Normal 13 2 3 2 4 3 2" xfId="54824" xr:uid="{00000000-0005-0000-0000-0000B3CB0000}"/>
    <cellStyle name="Normal 13 2 3 2 4 4" xfId="54825" xr:uid="{00000000-0005-0000-0000-0000B4CB0000}"/>
    <cellStyle name="Normal 13 2 3 2 4 5" xfId="54826" xr:uid="{00000000-0005-0000-0000-0000B5CB0000}"/>
    <cellStyle name="Normal 13 2 3 2 5" xfId="54827" xr:uid="{00000000-0005-0000-0000-0000B6CB0000}"/>
    <cellStyle name="Normal 13 2 3 2 5 2" xfId="54828" xr:uid="{00000000-0005-0000-0000-0000B7CB0000}"/>
    <cellStyle name="Normal 13 2 3 2 5 3" xfId="54829" xr:uid="{00000000-0005-0000-0000-0000B8CB0000}"/>
    <cellStyle name="Normal 13 2 3 2 6" xfId="54830" xr:uid="{00000000-0005-0000-0000-0000B9CB0000}"/>
    <cellStyle name="Normal 13 2 3 2 6 2" xfId="54831" xr:uid="{00000000-0005-0000-0000-0000BACB0000}"/>
    <cellStyle name="Normal 13 2 3 2 6 3" xfId="54832" xr:uid="{00000000-0005-0000-0000-0000BBCB0000}"/>
    <cellStyle name="Normal 13 2 3 2 7" xfId="54833" xr:uid="{00000000-0005-0000-0000-0000BCCB0000}"/>
    <cellStyle name="Normal 13 2 3 2 7 2" xfId="54834" xr:uid="{00000000-0005-0000-0000-0000BDCB0000}"/>
    <cellStyle name="Normal 13 2 3 2 8" xfId="54835" xr:uid="{00000000-0005-0000-0000-0000BECB0000}"/>
    <cellStyle name="Normal 13 2 3 2 9" xfId="54836" xr:uid="{00000000-0005-0000-0000-0000BFCB0000}"/>
    <cellStyle name="Normal 13 2 3 3" xfId="54837" xr:uid="{00000000-0005-0000-0000-0000C0CB0000}"/>
    <cellStyle name="Normal 13 2 3 3 2" xfId="54838" xr:uid="{00000000-0005-0000-0000-0000C1CB0000}"/>
    <cellStyle name="Normal 13 2 3 3 2 2" xfId="54839" xr:uid="{00000000-0005-0000-0000-0000C2CB0000}"/>
    <cellStyle name="Normal 13 2 3 3 2 3" xfId="54840" xr:uid="{00000000-0005-0000-0000-0000C3CB0000}"/>
    <cellStyle name="Normal 13 2 3 3 3" xfId="54841" xr:uid="{00000000-0005-0000-0000-0000C4CB0000}"/>
    <cellStyle name="Normal 13 2 3 3 3 2" xfId="54842" xr:uid="{00000000-0005-0000-0000-0000C5CB0000}"/>
    <cellStyle name="Normal 13 2 3 3 3 3" xfId="54843" xr:uid="{00000000-0005-0000-0000-0000C6CB0000}"/>
    <cellStyle name="Normal 13 2 3 3 4" xfId="54844" xr:uid="{00000000-0005-0000-0000-0000C7CB0000}"/>
    <cellStyle name="Normal 13 2 3 3 4 2" xfId="54845" xr:uid="{00000000-0005-0000-0000-0000C8CB0000}"/>
    <cellStyle name="Normal 13 2 3 3 5" xfId="54846" xr:uid="{00000000-0005-0000-0000-0000C9CB0000}"/>
    <cellStyle name="Normal 13 2 3 3 6" xfId="54847" xr:uid="{00000000-0005-0000-0000-0000CACB0000}"/>
    <cellStyle name="Normal 13 2 3 4" xfId="54848" xr:uid="{00000000-0005-0000-0000-0000CBCB0000}"/>
    <cellStyle name="Normal 13 2 3 4 2" xfId="54849" xr:uid="{00000000-0005-0000-0000-0000CCCB0000}"/>
    <cellStyle name="Normal 13 2 3 4 2 2" xfId="54850" xr:uid="{00000000-0005-0000-0000-0000CDCB0000}"/>
    <cellStyle name="Normal 13 2 3 4 2 3" xfId="54851" xr:uid="{00000000-0005-0000-0000-0000CECB0000}"/>
    <cellStyle name="Normal 13 2 3 4 3" xfId="54852" xr:uid="{00000000-0005-0000-0000-0000CFCB0000}"/>
    <cellStyle name="Normal 13 2 3 4 3 2" xfId="54853" xr:uid="{00000000-0005-0000-0000-0000D0CB0000}"/>
    <cellStyle name="Normal 13 2 3 4 3 3" xfId="54854" xr:uid="{00000000-0005-0000-0000-0000D1CB0000}"/>
    <cellStyle name="Normal 13 2 3 4 4" xfId="54855" xr:uid="{00000000-0005-0000-0000-0000D2CB0000}"/>
    <cellStyle name="Normal 13 2 3 4 4 2" xfId="54856" xr:uid="{00000000-0005-0000-0000-0000D3CB0000}"/>
    <cellStyle name="Normal 13 2 3 4 5" xfId="54857" xr:uid="{00000000-0005-0000-0000-0000D4CB0000}"/>
    <cellStyle name="Normal 13 2 3 4 6" xfId="54858" xr:uid="{00000000-0005-0000-0000-0000D5CB0000}"/>
    <cellStyle name="Normal 13 2 3 5" xfId="54859" xr:uid="{00000000-0005-0000-0000-0000D6CB0000}"/>
    <cellStyle name="Normal 13 2 3 5 2" xfId="54860" xr:uid="{00000000-0005-0000-0000-0000D7CB0000}"/>
    <cellStyle name="Normal 13 2 3 5 2 2" xfId="54861" xr:uid="{00000000-0005-0000-0000-0000D8CB0000}"/>
    <cellStyle name="Normal 13 2 3 5 2 3" xfId="54862" xr:uid="{00000000-0005-0000-0000-0000D9CB0000}"/>
    <cellStyle name="Normal 13 2 3 5 3" xfId="54863" xr:uid="{00000000-0005-0000-0000-0000DACB0000}"/>
    <cellStyle name="Normal 13 2 3 5 3 2" xfId="54864" xr:uid="{00000000-0005-0000-0000-0000DBCB0000}"/>
    <cellStyle name="Normal 13 2 3 5 4" xfId="54865" xr:uid="{00000000-0005-0000-0000-0000DCCB0000}"/>
    <cellStyle name="Normal 13 2 3 5 5" xfId="54866" xr:uid="{00000000-0005-0000-0000-0000DDCB0000}"/>
    <cellStyle name="Normal 13 2 3 6" xfId="54867" xr:uid="{00000000-0005-0000-0000-0000DECB0000}"/>
    <cellStyle name="Normal 13 2 3 6 2" xfId="54868" xr:uid="{00000000-0005-0000-0000-0000DFCB0000}"/>
    <cellStyle name="Normal 13 2 3 6 3" xfId="54869" xr:uid="{00000000-0005-0000-0000-0000E0CB0000}"/>
    <cellStyle name="Normal 13 2 3 7" xfId="54870" xr:uid="{00000000-0005-0000-0000-0000E1CB0000}"/>
    <cellStyle name="Normal 13 2 3 7 2" xfId="54871" xr:uid="{00000000-0005-0000-0000-0000E2CB0000}"/>
    <cellStyle name="Normal 13 2 3 7 3" xfId="54872" xr:uid="{00000000-0005-0000-0000-0000E3CB0000}"/>
    <cellStyle name="Normal 13 2 3 8" xfId="54873" xr:uid="{00000000-0005-0000-0000-0000E4CB0000}"/>
    <cellStyle name="Normal 13 2 3 8 2" xfId="54874" xr:uid="{00000000-0005-0000-0000-0000E5CB0000}"/>
    <cellStyle name="Normal 13 2 3 9" xfId="54875" xr:uid="{00000000-0005-0000-0000-0000E6CB0000}"/>
    <cellStyle name="Normal 13 2 4" xfId="9224" xr:uid="{00000000-0005-0000-0000-0000E7CB0000}"/>
    <cellStyle name="Normal 13 2 4 2" xfId="54876" xr:uid="{00000000-0005-0000-0000-0000E8CB0000}"/>
    <cellStyle name="Normal 13 2 4 2 2" xfId="54877" xr:uid="{00000000-0005-0000-0000-0000E9CB0000}"/>
    <cellStyle name="Normal 13 2 4 2 2 2" xfId="54878" xr:uid="{00000000-0005-0000-0000-0000EACB0000}"/>
    <cellStyle name="Normal 13 2 4 2 2 3" xfId="54879" xr:uid="{00000000-0005-0000-0000-0000EBCB0000}"/>
    <cellStyle name="Normal 13 2 4 2 3" xfId="54880" xr:uid="{00000000-0005-0000-0000-0000ECCB0000}"/>
    <cellStyle name="Normal 13 2 4 2 3 2" xfId="54881" xr:uid="{00000000-0005-0000-0000-0000EDCB0000}"/>
    <cellStyle name="Normal 13 2 4 2 3 3" xfId="54882" xr:uid="{00000000-0005-0000-0000-0000EECB0000}"/>
    <cellStyle name="Normal 13 2 4 2 4" xfId="54883" xr:uid="{00000000-0005-0000-0000-0000EFCB0000}"/>
    <cellStyle name="Normal 13 2 4 2 4 2" xfId="54884" xr:uid="{00000000-0005-0000-0000-0000F0CB0000}"/>
    <cellStyle name="Normal 13 2 4 2 5" xfId="54885" xr:uid="{00000000-0005-0000-0000-0000F1CB0000}"/>
    <cellStyle name="Normal 13 2 4 2 6" xfId="54886" xr:uid="{00000000-0005-0000-0000-0000F2CB0000}"/>
    <cellStyle name="Normal 13 2 4 3" xfId="54887" xr:uid="{00000000-0005-0000-0000-0000F3CB0000}"/>
    <cellStyle name="Normal 13 2 4 3 2" xfId="54888" xr:uid="{00000000-0005-0000-0000-0000F4CB0000}"/>
    <cellStyle name="Normal 13 2 4 3 2 2" xfId="54889" xr:uid="{00000000-0005-0000-0000-0000F5CB0000}"/>
    <cellStyle name="Normal 13 2 4 3 2 3" xfId="54890" xr:uid="{00000000-0005-0000-0000-0000F6CB0000}"/>
    <cellStyle name="Normal 13 2 4 3 3" xfId="54891" xr:uid="{00000000-0005-0000-0000-0000F7CB0000}"/>
    <cellStyle name="Normal 13 2 4 3 3 2" xfId="54892" xr:uid="{00000000-0005-0000-0000-0000F8CB0000}"/>
    <cellStyle name="Normal 13 2 4 3 3 3" xfId="54893" xr:uid="{00000000-0005-0000-0000-0000F9CB0000}"/>
    <cellStyle name="Normal 13 2 4 3 4" xfId="54894" xr:uid="{00000000-0005-0000-0000-0000FACB0000}"/>
    <cellStyle name="Normal 13 2 4 3 4 2" xfId="54895" xr:uid="{00000000-0005-0000-0000-0000FBCB0000}"/>
    <cellStyle name="Normal 13 2 4 3 5" xfId="54896" xr:uid="{00000000-0005-0000-0000-0000FCCB0000}"/>
    <cellStyle name="Normal 13 2 4 3 6" xfId="54897" xr:uid="{00000000-0005-0000-0000-0000FDCB0000}"/>
    <cellStyle name="Normal 13 2 4 4" xfId="54898" xr:uid="{00000000-0005-0000-0000-0000FECB0000}"/>
    <cellStyle name="Normal 13 2 4 4 2" xfId="54899" xr:uid="{00000000-0005-0000-0000-0000FFCB0000}"/>
    <cellStyle name="Normal 13 2 4 4 2 2" xfId="54900" xr:uid="{00000000-0005-0000-0000-000000CC0000}"/>
    <cellStyle name="Normal 13 2 4 4 2 3" xfId="54901" xr:uid="{00000000-0005-0000-0000-000001CC0000}"/>
    <cellStyle name="Normal 13 2 4 4 3" xfId="54902" xr:uid="{00000000-0005-0000-0000-000002CC0000}"/>
    <cellStyle name="Normal 13 2 4 4 3 2" xfId="54903" xr:uid="{00000000-0005-0000-0000-000003CC0000}"/>
    <cellStyle name="Normal 13 2 4 4 4" xfId="54904" xr:uid="{00000000-0005-0000-0000-000004CC0000}"/>
    <cellStyle name="Normal 13 2 4 4 5" xfId="54905" xr:uid="{00000000-0005-0000-0000-000005CC0000}"/>
    <cellStyle name="Normal 13 2 4 5" xfId="54906" xr:uid="{00000000-0005-0000-0000-000006CC0000}"/>
    <cellStyle name="Normal 13 2 4 5 2" xfId="54907" xr:uid="{00000000-0005-0000-0000-000007CC0000}"/>
    <cellStyle name="Normal 13 2 4 5 3" xfId="54908" xr:uid="{00000000-0005-0000-0000-000008CC0000}"/>
    <cellStyle name="Normal 13 2 4 6" xfId="54909" xr:uid="{00000000-0005-0000-0000-000009CC0000}"/>
    <cellStyle name="Normal 13 2 4 6 2" xfId="54910" xr:uid="{00000000-0005-0000-0000-00000ACC0000}"/>
    <cellStyle name="Normal 13 2 4 6 3" xfId="54911" xr:uid="{00000000-0005-0000-0000-00000BCC0000}"/>
    <cellStyle name="Normal 13 2 4 7" xfId="54912" xr:uid="{00000000-0005-0000-0000-00000CCC0000}"/>
    <cellStyle name="Normal 13 2 4 7 2" xfId="54913" xr:uid="{00000000-0005-0000-0000-00000DCC0000}"/>
    <cellStyle name="Normal 13 2 4 8" xfId="54914" xr:uid="{00000000-0005-0000-0000-00000ECC0000}"/>
    <cellStyle name="Normal 13 2 4 9" xfId="54915" xr:uid="{00000000-0005-0000-0000-00000FCC0000}"/>
    <cellStyle name="Normal 13 2 5" xfId="54916" xr:uid="{00000000-0005-0000-0000-000010CC0000}"/>
    <cellStyle name="Normal 13 2 5 2" xfId="54917" xr:uid="{00000000-0005-0000-0000-000011CC0000}"/>
    <cellStyle name="Normal 13 2 5 2 2" xfId="54918" xr:uid="{00000000-0005-0000-0000-000012CC0000}"/>
    <cellStyle name="Normal 13 2 5 2 2 2" xfId="54919" xr:uid="{00000000-0005-0000-0000-000013CC0000}"/>
    <cellStyle name="Normal 13 2 5 2 2 3" xfId="54920" xr:uid="{00000000-0005-0000-0000-000014CC0000}"/>
    <cellStyle name="Normal 13 2 5 2 3" xfId="54921" xr:uid="{00000000-0005-0000-0000-000015CC0000}"/>
    <cellStyle name="Normal 13 2 5 2 3 2" xfId="54922" xr:uid="{00000000-0005-0000-0000-000016CC0000}"/>
    <cellStyle name="Normal 13 2 5 2 3 3" xfId="54923" xr:uid="{00000000-0005-0000-0000-000017CC0000}"/>
    <cellStyle name="Normal 13 2 5 2 4" xfId="54924" xr:uid="{00000000-0005-0000-0000-000018CC0000}"/>
    <cellStyle name="Normal 13 2 5 2 4 2" xfId="54925" xr:uid="{00000000-0005-0000-0000-000019CC0000}"/>
    <cellStyle name="Normal 13 2 5 2 5" xfId="54926" xr:uid="{00000000-0005-0000-0000-00001ACC0000}"/>
    <cellStyle name="Normal 13 2 5 2 6" xfId="54927" xr:uid="{00000000-0005-0000-0000-00001BCC0000}"/>
    <cellStyle name="Normal 13 2 5 3" xfId="54928" xr:uid="{00000000-0005-0000-0000-00001CCC0000}"/>
    <cellStyle name="Normal 13 2 5 3 2" xfId="54929" xr:uid="{00000000-0005-0000-0000-00001DCC0000}"/>
    <cellStyle name="Normal 13 2 5 3 2 2" xfId="54930" xr:uid="{00000000-0005-0000-0000-00001ECC0000}"/>
    <cellStyle name="Normal 13 2 5 3 2 3" xfId="54931" xr:uid="{00000000-0005-0000-0000-00001FCC0000}"/>
    <cellStyle name="Normal 13 2 5 3 3" xfId="54932" xr:uid="{00000000-0005-0000-0000-000020CC0000}"/>
    <cellStyle name="Normal 13 2 5 3 3 2" xfId="54933" xr:uid="{00000000-0005-0000-0000-000021CC0000}"/>
    <cellStyle name="Normal 13 2 5 3 3 3" xfId="54934" xr:uid="{00000000-0005-0000-0000-000022CC0000}"/>
    <cellStyle name="Normal 13 2 5 3 4" xfId="54935" xr:uid="{00000000-0005-0000-0000-000023CC0000}"/>
    <cellStyle name="Normal 13 2 5 3 4 2" xfId="54936" xr:uid="{00000000-0005-0000-0000-000024CC0000}"/>
    <cellStyle name="Normal 13 2 5 3 5" xfId="54937" xr:uid="{00000000-0005-0000-0000-000025CC0000}"/>
    <cellStyle name="Normal 13 2 5 3 6" xfId="54938" xr:uid="{00000000-0005-0000-0000-000026CC0000}"/>
    <cellStyle name="Normal 13 2 5 4" xfId="54939" xr:uid="{00000000-0005-0000-0000-000027CC0000}"/>
    <cellStyle name="Normal 13 2 5 4 2" xfId="54940" xr:uid="{00000000-0005-0000-0000-000028CC0000}"/>
    <cellStyle name="Normal 13 2 5 4 2 2" xfId="54941" xr:uid="{00000000-0005-0000-0000-000029CC0000}"/>
    <cellStyle name="Normal 13 2 5 4 2 3" xfId="54942" xr:uid="{00000000-0005-0000-0000-00002ACC0000}"/>
    <cellStyle name="Normal 13 2 5 4 3" xfId="54943" xr:uid="{00000000-0005-0000-0000-00002BCC0000}"/>
    <cellStyle name="Normal 13 2 5 4 3 2" xfId="54944" xr:uid="{00000000-0005-0000-0000-00002CCC0000}"/>
    <cellStyle name="Normal 13 2 5 4 4" xfId="54945" xr:uid="{00000000-0005-0000-0000-00002DCC0000}"/>
    <cellStyle name="Normal 13 2 5 4 5" xfId="54946" xr:uid="{00000000-0005-0000-0000-00002ECC0000}"/>
    <cellStyle name="Normal 13 2 5 5" xfId="54947" xr:uid="{00000000-0005-0000-0000-00002FCC0000}"/>
    <cellStyle name="Normal 13 2 5 5 2" xfId="54948" xr:uid="{00000000-0005-0000-0000-000030CC0000}"/>
    <cellStyle name="Normal 13 2 5 5 3" xfId="54949" xr:uid="{00000000-0005-0000-0000-000031CC0000}"/>
    <cellStyle name="Normal 13 2 5 6" xfId="54950" xr:uid="{00000000-0005-0000-0000-000032CC0000}"/>
    <cellStyle name="Normal 13 2 5 6 2" xfId="54951" xr:uid="{00000000-0005-0000-0000-000033CC0000}"/>
    <cellStyle name="Normal 13 2 5 6 3" xfId="54952" xr:uid="{00000000-0005-0000-0000-000034CC0000}"/>
    <cellStyle name="Normal 13 2 5 7" xfId="54953" xr:uid="{00000000-0005-0000-0000-000035CC0000}"/>
    <cellStyle name="Normal 13 2 5 7 2" xfId="54954" xr:uid="{00000000-0005-0000-0000-000036CC0000}"/>
    <cellStyle name="Normal 13 2 5 8" xfId="54955" xr:uid="{00000000-0005-0000-0000-000037CC0000}"/>
    <cellStyle name="Normal 13 2 5 9" xfId="54956" xr:uid="{00000000-0005-0000-0000-000038CC0000}"/>
    <cellStyle name="Normal 13 2 6" xfId="54957" xr:uid="{00000000-0005-0000-0000-000039CC0000}"/>
    <cellStyle name="Normal 13 2 6 2" xfId="54958" xr:uid="{00000000-0005-0000-0000-00003ACC0000}"/>
    <cellStyle name="Normal 13 2 6 2 2" xfId="54959" xr:uid="{00000000-0005-0000-0000-00003BCC0000}"/>
    <cellStyle name="Normal 13 2 6 2 3" xfId="54960" xr:uid="{00000000-0005-0000-0000-00003CCC0000}"/>
    <cellStyle name="Normal 13 2 6 3" xfId="54961" xr:uid="{00000000-0005-0000-0000-00003DCC0000}"/>
    <cellStyle name="Normal 13 2 6 3 2" xfId="54962" xr:uid="{00000000-0005-0000-0000-00003ECC0000}"/>
    <cellStyle name="Normal 13 2 6 3 3" xfId="54963" xr:uid="{00000000-0005-0000-0000-00003FCC0000}"/>
    <cellStyle name="Normal 13 2 6 4" xfId="54964" xr:uid="{00000000-0005-0000-0000-000040CC0000}"/>
    <cellStyle name="Normal 13 2 6 4 2" xfId="54965" xr:uid="{00000000-0005-0000-0000-000041CC0000}"/>
    <cellStyle name="Normal 13 2 6 5" xfId="54966" xr:uid="{00000000-0005-0000-0000-000042CC0000}"/>
    <cellStyle name="Normal 13 2 6 6" xfId="54967" xr:uid="{00000000-0005-0000-0000-000043CC0000}"/>
    <cellStyle name="Normal 13 2 7" xfId="54968" xr:uid="{00000000-0005-0000-0000-000044CC0000}"/>
    <cellStyle name="Normal 13 2 7 2" xfId="54969" xr:uid="{00000000-0005-0000-0000-000045CC0000}"/>
    <cellStyle name="Normal 13 2 7 2 2" xfId="54970" xr:uid="{00000000-0005-0000-0000-000046CC0000}"/>
    <cellStyle name="Normal 13 2 7 2 3" xfId="54971" xr:uid="{00000000-0005-0000-0000-000047CC0000}"/>
    <cellStyle name="Normal 13 2 7 3" xfId="54972" xr:uid="{00000000-0005-0000-0000-000048CC0000}"/>
    <cellStyle name="Normal 13 2 7 3 2" xfId="54973" xr:uid="{00000000-0005-0000-0000-000049CC0000}"/>
    <cellStyle name="Normal 13 2 7 3 3" xfId="54974" xr:uid="{00000000-0005-0000-0000-00004ACC0000}"/>
    <cellStyle name="Normal 13 2 7 4" xfId="54975" xr:uid="{00000000-0005-0000-0000-00004BCC0000}"/>
    <cellStyle name="Normal 13 2 7 4 2" xfId="54976" xr:uid="{00000000-0005-0000-0000-00004CCC0000}"/>
    <cellStyle name="Normal 13 2 7 5" xfId="54977" xr:uid="{00000000-0005-0000-0000-00004DCC0000}"/>
    <cellStyle name="Normal 13 2 7 6" xfId="54978" xr:uid="{00000000-0005-0000-0000-00004ECC0000}"/>
    <cellStyle name="Normal 13 2 8" xfId="54979" xr:uid="{00000000-0005-0000-0000-00004FCC0000}"/>
    <cellStyle name="Normal 13 2 8 2" xfId="54980" xr:uid="{00000000-0005-0000-0000-000050CC0000}"/>
    <cellStyle name="Normal 13 2 8 2 2" xfId="54981" xr:uid="{00000000-0005-0000-0000-000051CC0000}"/>
    <cellStyle name="Normal 13 2 8 2 3" xfId="54982" xr:uid="{00000000-0005-0000-0000-000052CC0000}"/>
    <cellStyle name="Normal 13 2 8 3" xfId="54983" xr:uid="{00000000-0005-0000-0000-000053CC0000}"/>
    <cellStyle name="Normal 13 2 8 3 2" xfId="54984" xr:uid="{00000000-0005-0000-0000-000054CC0000}"/>
    <cellStyle name="Normal 13 2 8 4" xfId="54985" xr:uid="{00000000-0005-0000-0000-000055CC0000}"/>
    <cellStyle name="Normal 13 2 8 5" xfId="54986" xr:uid="{00000000-0005-0000-0000-000056CC0000}"/>
    <cellStyle name="Normal 13 2 9" xfId="54987" xr:uid="{00000000-0005-0000-0000-000057CC0000}"/>
    <cellStyle name="Normal 13 2 9 2" xfId="54988" xr:uid="{00000000-0005-0000-0000-000058CC0000}"/>
    <cellStyle name="Normal 13 2 9 3" xfId="54989" xr:uid="{00000000-0005-0000-0000-000059CC0000}"/>
    <cellStyle name="Normal 13 3" xfId="9225" xr:uid="{00000000-0005-0000-0000-00005ACC0000}"/>
    <cellStyle name="Normal 13 3 10" xfId="54990" xr:uid="{00000000-0005-0000-0000-00005BCC0000}"/>
    <cellStyle name="Normal 13 3 10 2" xfId="54991" xr:uid="{00000000-0005-0000-0000-00005CCC0000}"/>
    <cellStyle name="Normal 13 3 11" xfId="54992" xr:uid="{00000000-0005-0000-0000-00005DCC0000}"/>
    <cellStyle name="Normal 13 3 12" xfId="54993" xr:uid="{00000000-0005-0000-0000-00005ECC0000}"/>
    <cellStyle name="Normal 13 3 13" xfId="54994" xr:uid="{00000000-0005-0000-0000-00005FCC0000}"/>
    <cellStyle name="Normal 13 3 2" xfId="9226" xr:uid="{00000000-0005-0000-0000-000060CC0000}"/>
    <cellStyle name="Normal 13 3 2 10" xfId="54995" xr:uid="{00000000-0005-0000-0000-000061CC0000}"/>
    <cellStyle name="Normal 13 3 2 2" xfId="54996" xr:uid="{00000000-0005-0000-0000-000062CC0000}"/>
    <cellStyle name="Normal 13 3 2 2 2" xfId="54997" xr:uid="{00000000-0005-0000-0000-000063CC0000}"/>
    <cellStyle name="Normal 13 3 2 2 2 2" xfId="54998" xr:uid="{00000000-0005-0000-0000-000064CC0000}"/>
    <cellStyle name="Normal 13 3 2 2 2 2 2" xfId="54999" xr:uid="{00000000-0005-0000-0000-000065CC0000}"/>
    <cellStyle name="Normal 13 3 2 2 2 2 3" xfId="55000" xr:uid="{00000000-0005-0000-0000-000066CC0000}"/>
    <cellStyle name="Normal 13 3 2 2 2 3" xfId="55001" xr:uid="{00000000-0005-0000-0000-000067CC0000}"/>
    <cellStyle name="Normal 13 3 2 2 2 3 2" xfId="55002" xr:uid="{00000000-0005-0000-0000-000068CC0000}"/>
    <cellStyle name="Normal 13 3 2 2 2 3 3" xfId="55003" xr:uid="{00000000-0005-0000-0000-000069CC0000}"/>
    <cellStyle name="Normal 13 3 2 2 2 4" xfId="55004" xr:uid="{00000000-0005-0000-0000-00006ACC0000}"/>
    <cellStyle name="Normal 13 3 2 2 2 4 2" xfId="55005" xr:uid="{00000000-0005-0000-0000-00006BCC0000}"/>
    <cellStyle name="Normal 13 3 2 2 2 5" xfId="55006" xr:uid="{00000000-0005-0000-0000-00006CCC0000}"/>
    <cellStyle name="Normal 13 3 2 2 2 6" xfId="55007" xr:uid="{00000000-0005-0000-0000-00006DCC0000}"/>
    <cellStyle name="Normal 13 3 2 2 3" xfId="55008" xr:uid="{00000000-0005-0000-0000-00006ECC0000}"/>
    <cellStyle name="Normal 13 3 2 2 3 2" xfId="55009" xr:uid="{00000000-0005-0000-0000-00006FCC0000}"/>
    <cellStyle name="Normal 13 3 2 2 3 2 2" xfId="55010" xr:uid="{00000000-0005-0000-0000-000070CC0000}"/>
    <cellStyle name="Normal 13 3 2 2 3 2 3" xfId="55011" xr:uid="{00000000-0005-0000-0000-000071CC0000}"/>
    <cellStyle name="Normal 13 3 2 2 3 3" xfId="55012" xr:uid="{00000000-0005-0000-0000-000072CC0000}"/>
    <cellStyle name="Normal 13 3 2 2 3 3 2" xfId="55013" xr:uid="{00000000-0005-0000-0000-000073CC0000}"/>
    <cellStyle name="Normal 13 3 2 2 3 3 3" xfId="55014" xr:uid="{00000000-0005-0000-0000-000074CC0000}"/>
    <cellStyle name="Normal 13 3 2 2 3 4" xfId="55015" xr:uid="{00000000-0005-0000-0000-000075CC0000}"/>
    <cellStyle name="Normal 13 3 2 2 3 4 2" xfId="55016" xr:uid="{00000000-0005-0000-0000-000076CC0000}"/>
    <cellStyle name="Normal 13 3 2 2 3 5" xfId="55017" xr:uid="{00000000-0005-0000-0000-000077CC0000}"/>
    <cellStyle name="Normal 13 3 2 2 3 6" xfId="55018" xr:uid="{00000000-0005-0000-0000-000078CC0000}"/>
    <cellStyle name="Normal 13 3 2 2 4" xfId="55019" xr:uid="{00000000-0005-0000-0000-000079CC0000}"/>
    <cellStyle name="Normal 13 3 2 2 4 2" xfId="55020" xr:uid="{00000000-0005-0000-0000-00007ACC0000}"/>
    <cellStyle name="Normal 13 3 2 2 4 2 2" xfId="55021" xr:uid="{00000000-0005-0000-0000-00007BCC0000}"/>
    <cellStyle name="Normal 13 3 2 2 4 2 3" xfId="55022" xr:uid="{00000000-0005-0000-0000-00007CCC0000}"/>
    <cellStyle name="Normal 13 3 2 2 4 3" xfId="55023" xr:uid="{00000000-0005-0000-0000-00007DCC0000}"/>
    <cellStyle name="Normal 13 3 2 2 4 3 2" xfId="55024" xr:uid="{00000000-0005-0000-0000-00007ECC0000}"/>
    <cellStyle name="Normal 13 3 2 2 4 4" xfId="55025" xr:uid="{00000000-0005-0000-0000-00007FCC0000}"/>
    <cellStyle name="Normal 13 3 2 2 4 5" xfId="55026" xr:uid="{00000000-0005-0000-0000-000080CC0000}"/>
    <cellStyle name="Normal 13 3 2 2 5" xfId="55027" xr:uid="{00000000-0005-0000-0000-000081CC0000}"/>
    <cellStyle name="Normal 13 3 2 2 5 2" xfId="55028" xr:uid="{00000000-0005-0000-0000-000082CC0000}"/>
    <cellStyle name="Normal 13 3 2 2 5 3" xfId="55029" xr:uid="{00000000-0005-0000-0000-000083CC0000}"/>
    <cellStyle name="Normal 13 3 2 2 6" xfId="55030" xr:uid="{00000000-0005-0000-0000-000084CC0000}"/>
    <cellStyle name="Normal 13 3 2 2 6 2" xfId="55031" xr:uid="{00000000-0005-0000-0000-000085CC0000}"/>
    <cellStyle name="Normal 13 3 2 2 6 3" xfId="55032" xr:uid="{00000000-0005-0000-0000-000086CC0000}"/>
    <cellStyle name="Normal 13 3 2 2 7" xfId="55033" xr:uid="{00000000-0005-0000-0000-000087CC0000}"/>
    <cellStyle name="Normal 13 3 2 2 7 2" xfId="55034" xr:uid="{00000000-0005-0000-0000-000088CC0000}"/>
    <cellStyle name="Normal 13 3 2 2 8" xfId="55035" xr:uid="{00000000-0005-0000-0000-000089CC0000}"/>
    <cellStyle name="Normal 13 3 2 2 9" xfId="55036" xr:uid="{00000000-0005-0000-0000-00008ACC0000}"/>
    <cellStyle name="Normal 13 3 2 3" xfId="55037" xr:uid="{00000000-0005-0000-0000-00008BCC0000}"/>
    <cellStyle name="Normal 13 3 2 3 2" xfId="55038" xr:uid="{00000000-0005-0000-0000-00008CCC0000}"/>
    <cellStyle name="Normal 13 3 2 3 2 2" xfId="55039" xr:uid="{00000000-0005-0000-0000-00008DCC0000}"/>
    <cellStyle name="Normal 13 3 2 3 2 3" xfId="55040" xr:uid="{00000000-0005-0000-0000-00008ECC0000}"/>
    <cellStyle name="Normal 13 3 2 3 3" xfId="55041" xr:uid="{00000000-0005-0000-0000-00008FCC0000}"/>
    <cellStyle name="Normal 13 3 2 3 3 2" xfId="55042" xr:uid="{00000000-0005-0000-0000-000090CC0000}"/>
    <cellStyle name="Normal 13 3 2 3 3 3" xfId="55043" xr:uid="{00000000-0005-0000-0000-000091CC0000}"/>
    <cellStyle name="Normal 13 3 2 3 4" xfId="55044" xr:uid="{00000000-0005-0000-0000-000092CC0000}"/>
    <cellStyle name="Normal 13 3 2 3 4 2" xfId="55045" xr:uid="{00000000-0005-0000-0000-000093CC0000}"/>
    <cellStyle name="Normal 13 3 2 3 5" xfId="55046" xr:uid="{00000000-0005-0000-0000-000094CC0000}"/>
    <cellStyle name="Normal 13 3 2 3 6" xfId="55047" xr:uid="{00000000-0005-0000-0000-000095CC0000}"/>
    <cellStyle name="Normal 13 3 2 4" xfId="55048" xr:uid="{00000000-0005-0000-0000-000096CC0000}"/>
    <cellStyle name="Normal 13 3 2 4 2" xfId="55049" xr:uid="{00000000-0005-0000-0000-000097CC0000}"/>
    <cellStyle name="Normal 13 3 2 4 2 2" xfId="55050" xr:uid="{00000000-0005-0000-0000-000098CC0000}"/>
    <cellStyle name="Normal 13 3 2 4 2 3" xfId="55051" xr:uid="{00000000-0005-0000-0000-000099CC0000}"/>
    <cellStyle name="Normal 13 3 2 4 3" xfId="55052" xr:uid="{00000000-0005-0000-0000-00009ACC0000}"/>
    <cellStyle name="Normal 13 3 2 4 3 2" xfId="55053" xr:uid="{00000000-0005-0000-0000-00009BCC0000}"/>
    <cellStyle name="Normal 13 3 2 4 3 3" xfId="55054" xr:uid="{00000000-0005-0000-0000-00009CCC0000}"/>
    <cellStyle name="Normal 13 3 2 4 4" xfId="55055" xr:uid="{00000000-0005-0000-0000-00009DCC0000}"/>
    <cellStyle name="Normal 13 3 2 4 4 2" xfId="55056" xr:uid="{00000000-0005-0000-0000-00009ECC0000}"/>
    <cellStyle name="Normal 13 3 2 4 5" xfId="55057" xr:uid="{00000000-0005-0000-0000-00009FCC0000}"/>
    <cellStyle name="Normal 13 3 2 4 6" xfId="55058" xr:uid="{00000000-0005-0000-0000-0000A0CC0000}"/>
    <cellStyle name="Normal 13 3 2 5" xfId="55059" xr:uid="{00000000-0005-0000-0000-0000A1CC0000}"/>
    <cellStyle name="Normal 13 3 2 5 2" xfId="55060" xr:uid="{00000000-0005-0000-0000-0000A2CC0000}"/>
    <cellStyle name="Normal 13 3 2 5 2 2" xfId="55061" xr:uid="{00000000-0005-0000-0000-0000A3CC0000}"/>
    <cellStyle name="Normal 13 3 2 5 2 3" xfId="55062" xr:uid="{00000000-0005-0000-0000-0000A4CC0000}"/>
    <cellStyle name="Normal 13 3 2 5 3" xfId="55063" xr:uid="{00000000-0005-0000-0000-0000A5CC0000}"/>
    <cellStyle name="Normal 13 3 2 5 3 2" xfId="55064" xr:uid="{00000000-0005-0000-0000-0000A6CC0000}"/>
    <cellStyle name="Normal 13 3 2 5 4" xfId="55065" xr:uid="{00000000-0005-0000-0000-0000A7CC0000}"/>
    <cellStyle name="Normal 13 3 2 5 5" xfId="55066" xr:uid="{00000000-0005-0000-0000-0000A8CC0000}"/>
    <cellStyle name="Normal 13 3 2 6" xfId="55067" xr:uid="{00000000-0005-0000-0000-0000A9CC0000}"/>
    <cellStyle name="Normal 13 3 2 6 2" xfId="55068" xr:uid="{00000000-0005-0000-0000-0000AACC0000}"/>
    <cellStyle name="Normal 13 3 2 6 3" xfId="55069" xr:uid="{00000000-0005-0000-0000-0000ABCC0000}"/>
    <cellStyle name="Normal 13 3 2 7" xfId="55070" xr:uid="{00000000-0005-0000-0000-0000ACCC0000}"/>
    <cellStyle name="Normal 13 3 2 7 2" xfId="55071" xr:uid="{00000000-0005-0000-0000-0000ADCC0000}"/>
    <cellStyle name="Normal 13 3 2 7 3" xfId="55072" xr:uid="{00000000-0005-0000-0000-0000AECC0000}"/>
    <cellStyle name="Normal 13 3 2 8" xfId="55073" xr:uid="{00000000-0005-0000-0000-0000AFCC0000}"/>
    <cellStyle name="Normal 13 3 2 8 2" xfId="55074" xr:uid="{00000000-0005-0000-0000-0000B0CC0000}"/>
    <cellStyle name="Normal 13 3 2 9" xfId="55075" xr:uid="{00000000-0005-0000-0000-0000B1CC0000}"/>
    <cellStyle name="Normal 13 3 3" xfId="55076" xr:uid="{00000000-0005-0000-0000-0000B2CC0000}"/>
    <cellStyle name="Normal 13 3 3 2" xfId="55077" xr:uid="{00000000-0005-0000-0000-0000B3CC0000}"/>
    <cellStyle name="Normal 13 3 3 2 2" xfId="55078" xr:uid="{00000000-0005-0000-0000-0000B4CC0000}"/>
    <cellStyle name="Normal 13 3 3 2 2 2" xfId="55079" xr:uid="{00000000-0005-0000-0000-0000B5CC0000}"/>
    <cellStyle name="Normal 13 3 3 2 2 3" xfId="55080" xr:uid="{00000000-0005-0000-0000-0000B6CC0000}"/>
    <cellStyle name="Normal 13 3 3 2 3" xfId="55081" xr:uid="{00000000-0005-0000-0000-0000B7CC0000}"/>
    <cellStyle name="Normal 13 3 3 2 3 2" xfId="55082" xr:uid="{00000000-0005-0000-0000-0000B8CC0000}"/>
    <cellStyle name="Normal 13 3 3 2 3 3" xfId="55083" xr:uid="{00000000-0005-0000-0000-0000B9CC0000}"/>
    <cellStyle name="Normal 13 3 3 2 4" xfId="55084" xr:uid="{00000000-0005-0000-0000-0000BACC0000}"/>
    <cellStyle name="Normal 13 3 3 2 4 2" xfId="55085" xr:uid="{00000000-0005-0000-0000-0000BBCC0000}"/>
    <cellStyle name="Normal 13 3 3 2 5" xfId="55086" xr:uid="{00000000-0005-0000-0000-0000BCCC0000}"/>
    <cellStyle name="Normal 13 3 3 2 6" xfId="55087" xr:uid="{00000000-0005-0000-0000-0000BDCC0000}"/>
    <cellStyle name="Normal 13 3 3 3" xfId="55088" xr:uid="{00000000-0005-0000-0000-0000BECC0000}"/>
    <cellStyle name="Normal 13 3 3 3 2" xfId="55089" xr:uid="{00000000-0005-0000-0000-0000BFCC0000}"/>
    <cellStyle name="Normal 13 3 3 3 2 2" xfId="55090" xr:uid="{00000000-0005-0000-0000-0000C0CC0000}"/>
    <cellStyle name="Normal 13 3 3 3 2 3" xfId="55091" xr:uid="{00000000-0005-0000-0000-0000C1CC0000}"/>
    <cellStyle name="Normal 13 3 3 3 3" xfId="55092" xr:uid="{00000000-0005-0000-0000-0000C2CC0000}"/>
    <cellStyle name="Normal 13 3 3 3 3 2" xfId="55093" xr:uid="{00000000-0005-0000-0000-0000C3CC0000}"/>
    <cellStyle name="Normal 13 3 3 3 3 3" xfId="55094" xr:uid="{00000000-0005-0000-0000-0000C4CC0000}"/>
    <cellStyle name="Normal 13 3 3 3 4" xfId="55095" xr:uid="{00000000-0005-0000-0000-0000C5CC0000}"/>
    <cellStyle name="Normal 13 3 3 3 4 2" xfId="55096" xr:uid="{00000000-0005-0000-0000-0000C6CC0000}"/>
    <cellStyle name="Normal 13 3 3 3 5" xfId="55097" xr:uid="{00000000-0005-0000-0000-0000C7CC0000}"/>
    <cellStyle name="Normal 13 3 3 3 6" xfId="55098" xr:uid="{00000000-0005-0000-0000-0000C8CC0000}"/>
    <cellStyle name="Normal 13 3 3 4" xfId="55099" xr:uid="{00000000-0005-0000-0000-0000C9CC0000}"/>
    <cellStyle name="Normal 13 3 3 4 2" xfId="55100" xr:uid="{00000000-0005-0000-0000-0000CACC0000}"/>
    <cellStyle name="Normal 13 3 3 4 2 2" xfId="55101" xr:uid="{00000000-0005-0000-0000-0000CBCC0000}"/>
    <cellStyle name="Normal 13 3 3 4 2 3" xfId="55102" xr:uid="{00000000-0005-0000-0000-0000CCCC0000}"/>
    <cellStyle name="Normal 13 3 3 4 3" xfId="55103" xr:uid="{00000000-0005-0000-0000-0000CDCC0000}"/>
    <cellStyle name="Normal 13 3 3 4 3 2" xfId="55104" xr:uid="{00000000-0005-0000-0000-0000CECC0000}"/>
    <cellStyle name="Normal 13 3 3 4 4" xfId="55105" xr:uid="{00000000-0005-0000-0000-0000CFCC0000}"/>
    <cellStyle name="Normal 13 3 3 4 5" xfId="55106" xr:uid="{00000000-0005-0000-0000-0000D0CC0000}"/>
    <cellStyle name="Normal 13 3 3 5" xfId="55107" xr:uid="{00000000-0005-0000-0000-0000D1CC0000}"/>
    <cellStyle name="Normal 13 3 3 5 2" xfId="55108" xr:uid="{00000000-0005-0000-0000-0000D2CC0000}"/>
    <cellStyle name="Normal 13 3 3 5 3" xfId="55109" xr:uid="{00000000-0005-0000-0000-0000D3CC0000}"/>
    <cellStyle name="Normal 13 3 3 6" xfId="55110" xr:uid="{00000000-0005-0000-0000-0000D4CC0000}"/>
    <cellStyle name="Normal 13 3 3 6 2" xfId="55111" xr:uid="{00000000-0005-0000-0000-0000D5CC0000}"/>
    <cellStyle name="Normal 13 3 3 6 3" xfId="55112" xr:uid="{00000000-0005-0000-0000-0000D6CC0000}"/>
    <cellStyle name="Normal 13 3 3 7" xfId="55113" xr:uid="{00000000-0005-0000-0000-0000D7CC0000}"/>
    <cellStyle name="Normal 13 3 3 7 2" xfId="55114" xr:uid="{00000000-0005-0000-0000-0000D8CC0000}"/>
    <cellStyle name="Normal 13 3 3 8" xfId="55115" xr:uid="{00000000-0005-0000-0000-0000D9CC0000}"/>
    <cellStyle name="Normal 13 3 3 9" xfId="55116" xr:uid="{00000000-0005-0000-0000-0000DACC0000}"/>
    <cellStyle name="Normal 13 3 4" xfId="55117" xr:uid="{00000000-0005-0000-0000-0000DBCC0000}"/>
    <cellStyle name="Normal 13 3 4 2" xfId="55118" xr:uid="{00000000-0005-0000-0000-0000DCCC0000}"/>
    <cellStyle name="Normal 13 3 4 2 2" xfId="55119" xr:uid="{00000000-0005-0000-0000-0000DDCC0000}"/>
    <cellStyle name="Normal 13 3 4 2 2 2" xfId="55120" xr:uid="{00000000-0005-0000-0000-0000DECC0000}"/>
    <cellStyle name="Normal 13 3 4 2 2 3" xfId="55121" xr:uid="{00000000-0005-0000-0000-0000DFCC0000}"/>
    <cellStyle name="Normal 13 3 4 2 3" xfId="55122" xr:uid="{00000000-0005-0000-0000-0000E0CC0000}"/>
    <cellStyle name="Normal 13 3 4 2 3 2" xfId="55123" xr:uid="{00000000-0005-0000-0000-0000E1CC0000}"/>
    <cellStyle name="Normal 13 3 4 2 3 3" xfId="55124" xr:uid="{00000000-0005-0000-0000-0000E2CC0000}"/>
    <cellStyle name="Normal 13 3 4 2 4" xfId="55125" xr:uid="{00000000-0005-0000-0000-0000E3CC0000}"/>
    <cellStyle name="Normal 13 3 4 2 4 2" xfId="55126" xr:uid="{00000000-0005-0000-0000-0000E4CC0000}"/>
    <cellStyle name="Normal 13 3 4 2 5" xfId="55127" xr:uid="{00000000-0005-0000-0000-0000E5CC0000}"/>
    <cellStyle name="Normal 13 3 4 2 6" xfId="55128" xr:uid="{00000000-0005-0000-0000-0000E6CC0000}"/>
    <cellStyle name="Normal 13 3 4 3" xfId="55129" xr:uid="{00000000-0005-0000-0000-0000E7CC0000}"/>
    <cellStyle name="Normal 13 3 4 3 2" xfId="55130" xr:uid="{00000000-0005-0000-0000-0000E8CC0000}"/>
    <cellStyle name="Normal 13 3 4 3 2 2" xfId="55131" xr:uid="{00000000-0005-0000-0000-0000E9CC0000}"/>
    <cellStyle name="Normal 13 3 4 3 2 3" xfId="55132" xr:uid="{00000000-0005-0000-0000-0000EACC0000}"/>
    <cellStyle name="Normal 13 3 4 3 3" xfId="55133" xr:uid="{00000000-0005-0000-0000-0000EBCC0000}"/>
    <cellStyle name="Normal 13 3 4 3 3 2" xfId="55134" xr:uid="{00000000-0005-0000-0000-0000ECCC0000}"/>
    <cellStyle name="Normal 13 3 4 3 3 3" xfId="55135" xr:uid="{00000000-0005-0000-0000-0000EDCC0000}"/>
    <cellStyle name="Normal 13 3 4 3 4" xfId="55136" xr:uid="{00000000-0005-0000-0000-0000EECC0000}"/>
    <cellStyle name="Normal 13 3 4 3 4 2" xfId="55137" xr:uid="{00000000-0005-0000-0000-0000EFCC0000}"/>
    <cellStyle name="Normal 13 3 4 3 5" xfId="55138" xr:uid="{00000000-0005-0000-0000-0000F0CC0000}"/>
    <cellStyle name="Normal 13 3 4 3 6" xfId="55139" xr:uid="{00000000-0005-0000-0000-0000F1CC0000}"/>
    <cellStyle name="Normal 13 3 4 4" xfId="55140" xr:uid="{00000000-0005-0000-0000-0000F2CC0000}"/>
    <cellStyle name="Normal 13 3 4 4 2" xfId="55141" xr:uid="{00000000-0005-0000-0000-0000F3CC0000}"/>
    <cellStyle name="Normal 13 3 4 4 2 2" xfId="55142" xr:uid="{00000000-0005-0000-0000-0000F4CC0000}"/>
    <cellStyle name="Normal 13 3 4 4 2 3" xfId="55143" xr:uid="{00000000-0005-0000-0000-0000F5CC0000}"/>
    <cellStyle name="Normal 13 3 4 4 3" xfId="55144" xr:uid="{00000000-0005-0000-0000-0000F6CC0000}"/>
    <cellStyle name="Normal 13 3 4 4 3 2" xfId="55145" xr:uid="{00000000-0005-0000-0000-0000F7CC0000}"/>
    <cellStyle name="Normal 13 3 4 4 4" xfId="55146" xr:uid="{00000000-0005-0000-0000-0000F8CC0000}"/>
    <cellStyle name="Normal 13 3 4 4 5" xfId="55147" xr:uid="{00000000-0005-0000-0000-0000F9CC0000}"/>
    <cellStyle name="Normal 13 3 4 5" xfId="55148" xr:uid="{00000000-0005-0000-0000-0000FACC0000}"/>
    <cellStyle name="Normal 13 3 4 5 2" xfId="55149" xr:uid="{00000000-0005-0000-0000-0000FBCC0000}"/>
    <cellStyle name="Normal 13 3 4 5 3" xfId="55150" xr:uid="{00000000-0005-0000-0000-0000FCCC0000}"/>
    <cellStyle name="Normal 13 3 4 6" xfId="55151" xr:uid="{00000000-0005-0000-0000-0000FDCC0000}"/>
    <cellStyle name="Normal 13 3 4 6 2" xfId="55152" xr:uid="{00000000-0005-0000-0000-0000FECC0000}"/>
    <cellStyle name="Normal 13 3 4 6 3" xfId="55153" xr:uid="{00000000-0005-0000-0000-0000FFCC0000}"/>
    <cellStyle name="Normal 13 3 4 7" xfId="55154" xr:uid="{00000000-0005-0000-0000-000000CD0000}"/>
    <cellStyle name="Normal 13 3 4 7 2" xfId="55155" xr:uid="{00000000-0005-0000-0000-000001CD0000}"/>
    <cellStyle name="Normal 13 3 4 8" xfId="55156" xr:uid="{00000000-0005-0000-0000-000002CD0000}"/>
    <cellStyle name="Normal 13 3 4 9" xfId="55157" xr:uid="{00000000-0005-0000-0000-000003CD0000}"/>
    <cellStyle name="Normal 13 3 5" xfId="55158" xr:uid="{00000000-0005-0000-0000-000004CD0000}"/>
    <cellStyle name="Normal 13 3 5 2" xfId="55159" xr:uid="{00000000-0005-0000-0000-000005CD0000}"/>
    <cellStyle name="Normal 13 3 5 2 2" xfId="55160" xr:uid="{00000000-0005-0000-0000-000006CD0000}"/>
    <cellStyle name="Normal 13 3 5 2 3" xfId="55161" xr:uid="{00000000-0005-0000-0000-000007CD0000}"/>
    <cellStyle name="Normal 13 3 5 3" xfId="55162" xr:uid="{00000000-0005-0000-0000-000008CD0000}"/>
    <cellStyle name="Normal 13 3 5 3 2" xfId="55163" xr:uid="{00000000-0005-0000-0000-000009CD0000}"/>
    <cellStyle name="Normal 13 3 5 3 3" xfId="55164" xr:uid="{00000000-0005-0000-0000-00000ACD0000}"/>
    <cellStyle name="Normal 13 3 5 4" xfId="55165" xr:uid="{00000000-0005-0000-0000-00000BCD0000}"/>
    <cellStyle name="Normal 13 3 5 4 2" xfId="55166" xr:uid="{00000000-0005-0000-0000-00000CCD0000}"/>
    <cellStyle name="Normal 13 3 5 5" xfId="55167" xr:uid="{00000000-0005-0000-0000-00000DCD0000}"/>
    <cellStyle name="Normal 13 3 5 6" xfId="55168" xr:uid="{00000000-0005-0000-0000-00000ECD0000}"/>
    <cellStyle name="Normal 13 3 6" xfId="55169" xr:uid="{00000000-0005-0000-0000-00000FCD0000}"/>
    <cellStyle name="Normal 13 3 6 2" xfId="55170" xr:uid="{00000000-0005-0000-0000-000010CD0000}"/>
    <cellStyle name="Normal 13 3 6 2 2" xfId="55171" xr:uid="{00000000-0005-0000-0000-000011CD0000}"/>
    <cellStyle name="Normal 13 3 6 2 3" xfId="55172" xr:uid="{00000000-0005-0000-0000-000012CD0000}"/>
    <cellStyle name="Normal 13 3 6 3" xfId="55173" xr:uid="{00000000-0005-0000-0000-000013CD0000}"/>
    <cellStyle name="Normal 13 3 6 3 2" xfId="55174" xr:uid="{00000000-0005-0000-0000-000014CD0000}"/>
    <cellStyle name="Normal 13 3 6 3 3" xfId="55175" xr:uid="{00000000-0005-0000-0000-000015CD0000}"/>
    <cellStyle name="Normal 13 3 6 4" xfId="55176" xr:uid="{00000000-0005-0000-0000-000016CD0000}"/>
    <cellStyle name="Normal 13 3 6 4 2" xfId="55177" xr:uid="{00000000-0005-0000-0000-000017CD0000}"/>
    <cellStyle name="Normal 13 3 6 5" xfId="55178" xr:uid="{00000000-0005-0000-0000-000018CD0000}"/>
    <cellStyle name="Normal 13 3 6 6" xfId="55179" xr:uid="{00000000-0005-0000-0000-000019CD0000}"/>
    <cellStyle name="Normal 13 3 7" xfId="55180" xr:uid="{00000000-0005-0000-0000-00001ACD0000}"/>
    <cellStyle name="Normal 13 3 7 2" xfId="55181" xr:uid="{00000000-0005-0000-0000-00001BCD0000}"/>
    <cellStyle name="Normal 13 3 7 2 2" xfId="55182" xr:uid="{00000000-0005-0000-0000-00001CCD0000}"/>
    <cellStyle name="Normal 13 3 7 2 3" xfId="55183" xr:uid="{00000000-0005-0000-0000-00001DCD0000}"/>
    <cellStyle name="Normal 13 3 7 3" xfId="55184" xr:uid="{00000000-0005-0000-0000-00001ECD0000}"/>
    <cellStyle name="Normal 13 3 7 3 2" xfId="55185" xr:uid="{00000000-0005-0000-0000-00001FCD0000}"/>
    <cellStyle name="Normal 13 3 7 4" xfId="55186" xr:uid="{00000000-0005-0000-0000-000020CD0000}"/>
    <cellStyle name="Normal 13 3 7 5" xfId="55187" xr:uid="{00000000-0005-0000-0000-000021CD0000}"/>
    <cellStyle name="Normal 13 3 8" xfId="55188" xr:uid="{00000000-0005-0000-0000-000022CD0000}"/>
    <cellStyle name="Normal 13 3 8 2" xfId="55189" xr:uid="{00000000-0005-0000-0000-000023CD0000}"/>
    <cellStyle name="Normal 13 3 8 3" xfId="55190" xr:uid="{00000000-0005-0000-0000-000024CD0000}"/>
    <cellStyle name="Normal 13 3 9" xfId="55191" xr:uid="{00000000-0005-0000-0000-000025CD0000}"/>
    <cellStyle name="Normal 13 3 9 2" xfId="55192" xr:uid="{00000000-0005-0000-0000-000026CD0000}"/>
    <cellStyle name="Normal 13 3 9 3" xfId="55193" xr:uid="{00000000-0005-0000-0000-000027CD0000}"/>
    <cellStyle name="Normal 13 4" xfId="9227" xr:uid="{00000000-0005-0000-0000-000028CD0000}"/>
    <cellStyle name="Normal 13 4 10" xfId="55194" xr:uid="{00000000-0005-0000-0000-000029CD0000}"/>
    <cellStyle name="Normal 13 4 2" xfId="55195" xr:uid="{00000000-0005-0000-0000-00002ACD0000}"/>
    <cellStyle name="Normal 13 4 2 2" xfId="55196" xr:uid="{00000000-0005-0000-0000-00002BCD0000}"/>
    <cellStyle name="Normal 13 4 2 2 2" xfId="55197" xr:uid="{00000000-0005-0000-0000-00002CCD0000}"/>
    <cellStyle name="Normal 13 4 2 2 2 2" xfId="55198" xr:uid="{00000000-0005-0000-0000-00002DCD0000}"/>
    <cellStyle name="Normal 13 4 2 2 2 3" xfId="55199" xr:uid="{00000000-0005-0000-0000-00002ECD0000}"/>
    <cellStyle name="Normal 13 4 2 2 3" xfId="55200" xr:uid="{00000000-0005-0000-0000-00002FCD0000}"/>
    <cellStyle name="Normal 13 4 2 2 3 2" xfId="55201" xr:uid="{00000000-0005-0000-0000-000030CD0000}"/>
    <cellStyle name="Normal 13 4 2 2 3 3" xfId="55202" xr:uid="{00000000-0005-0000-0000-000031CD0000}"/>
    <cellStyle name="Normal 13 4 2 2 4" xfId="55203" xr:uid="{00000000-0005-0000-0000-000032CD0000}"/>
    <cellStyle name="Normal 13 4 2 2 4 2" xfId="55204" xr:uid="{00000000-0005-0000-0000-000033CD0000}"/>
    <cellStyle name="Normal 13 4 2 2 5" xfId="55205" xr:uid="{00000000-0005-0000-0000-000034CD0000}"/>
    <cellStyle name="Normal 13 4 2 2 6" xfId="55206" xr:uid="{00000000-0005-0000-0000-000035CD0000}"/>
    <cellStyle name="Normal 13 4 2 3" xfId="55207" xr:uid="{00000000-0005-0000-0000-000036CD0000}"/>
    <cellStyle name="Normal 13 4 2 3 2" xfId="55208" xr:uid="{00000000-0005-0000-0000-000037CD0000}"/>
    <cellStyle name="Normal 13 4 2 3 2 2" xfId="55209" xr:uid="{00000000-0005-0000-0000-000038CD0000}"/>
    <cellStyle name="Normal 13 4 2 3 2 3" xfId="55210" xr:uid="{00000000-0005-0000-0000-000039CD0000}"/>
    <cellStyle name="Normal 13 4 2 3 3" xfId="55211" xr:uid="{00000000-0005-0000-0000-00003ACD0000}"/>
    <cellStyle name="Normal 13 4 2 3 3 2" xfId="55212" xr:uid="{00000000-0005-0000-0000-00003BCD0000}"/>
    <cellStyle name="Normal 13 4 2 3 3 3" xfId="55213" xr:uid="{00000000-0005-0000-0000-00003CCD0000}"/>
    <cellStyle name="Normal 13 4 2 3 4" xfId="55214" xr:uid="{00000000-0005-0000-0000-00003DCD0000}"/>
    <cellStyle name="Normal 13 4 2 3 4 2" xfId="55215" xr:uid="{00000000-0005-0000-0000-00003ECD0000}"/>
    <cellStyle name="Normal 13 4 2 3 5" xfId="55216" xr:uid="{00000000-0005-0000-0000-00003FCD0000}"/>
    <cellStyle name="Normal 13 4 2 3 6" xfId="55217" xr:uid="{00000000-0005-0000-0000-000040CD0000}"/>
    <cellStyle name="Normal 13 4 2 4" xfId="55218" xr:uid="{00000000-0005-0000-0000-000041CD0000}"/>
    <cellStyle name="Normal 13 4 2 4 2" xfId="55219" xr:uid="{00000000-0005-0000-0000-000042CD0000}"/>
    <cellStyle name="Normal 13 4 2 4 2 2" xfId="55220" xr:uid="{00000000-0005-0000-0000-000043CD0000}"/>
    <cellStyle name="Normal 13 4 2 4 2 3" xfId="55221" xr:uid="{00000000-0005-0000-0000-000044CD0000}"/>
    <cellStyle name="Normal 13 4 2 4 3" xfId="55222" xr:uid="{00000000-0005-0000-0000-000045CD0000}"/>
    <cellStyle name="Normal 13 4 2 4 3 2" xfId="55223" xr:uid="{00000000-0005-0000-0000-000046CD0000}"/>
    <cellStyle name="Normal 13 4 2 4 4" xfId="55224" xr:uid="{00000000-0005-0000-0000-000047CD0000}"/>
    <cellStyle name="Normal 13 4 2 4 5" xfId="55225" xr:uid="{00000000-0005-0000-0000-000048CD0000}"/>
    <cellStyle name="Normal 13 4 2 5" xfId="55226" xr:uid="{00000000-0005-0000-0000-000049CD0000}"/>
    <cellStyle name="Normal 13 4 2 5 2" xfId="55227" xr:uid="{00000000-0005-0000-0000-00004ACD0000}"/>
    <cellStyle name="Normal 13 4 2 5 3" xfId="55228" xr:uid="{00000000-0005-0000-0000-00004BCD0000}"/>
    <cellStyle name="Normal 13 4 2 6" xfId="55229" xr:uid="{00000000-0005-0000-0000-00004CCD0000}"/>
    <cellStyle name="Normal 13 4 2 6 2" xfId="55230" xr:uid="{00000000-0005-0000-0000-00004DCD0000}"/>
    <cellStyle name="Normal 13 4 2 6 3" xfId="55231" xr:uid="{00000000-0005-0000-0000-00004ECD0000}"/>
    <cellStyle name="Normal 13 4 2 7" xfId="55232" xr:uid="{00000000-0005-0000-0000-00004FCD0000}"/>
    <cellStyle name="Normal 13 4 2 7 2" xfId="55233" xr:uid="{00000000-0005-0000-0000-000050CD0000}"/>
    <cellStyle name="Normal 13 4 2 8" xfId="55234" xr:uid="{00000000-0005-0000-0000-000051CD0000}"/>
    <cellStyle name="Normal 13 4 2 9" xfId="55235" xr:uid="{00000000-0005-0000-0000-000052CD0000}"/>
    <cellStyle name="Normal 13 4 3" xfId="55236" xr:uid="{00000000-0005-0000-0000-000053CD0000}"/>
    <cellStyle name="Normal 13 4 3 2" xfId="55237" xr:uid="{00000000-0005-0000-0000-000054CD0000}"/>
    <cellStyle name="Normal 13 4 3 2 2" xfId="55238" xr:uid="{00000000-0005-0000-0000-000055CD0000}"/>
    <cellStyle name="Normal 13 4 3 2 3" xfId="55239" xr:uid="{00000000-0005-0000-0000-000056CD0000}"/>
    <cellStyle name="Normal 13 4 3 3" xfId="55240" xr:uid="{00000000-0005-0000-0000-000057CD0000}"/>
    <cellStyle name="Normal 13 4 3 3 2" xfId="55241" xr:uid="{00000000-0005-0000-0000-000058CD0000}"/>
    <cellStyle name="Normal 13 4 3 3 3" xfId="55242" xr:uid="{00000000-0005-0000-0000-000059CD0000}"/>
    <cellStyle name="Normal 13 4 3 4" xfId="55243" xr:uid="{00000000-0005-0000-0000-00005ACD0000}"/>
    <cellStyle name="Normal 13 4 3 4 2" xfId="55244" xr:uid="{00000000-0005-0000-0000-00005BCD0000}"/>
    <cellStyle name="Normal 13 4 3 5" xfId="55245" xr:uid="{00000000-0005-0000-0000-00005CCD0000}"/>
    <cellStyle name="Normal 13 4 3 6" xfId="55246" xr:uid="{00000000-0005-0000-0000-00005DCD0000}"/>
    <cellStyle name="Normal 13 4 4" xfId="55247" xr:uid="{00000000-0005-0000-0000-00005ECD0000}"/>
    <cellStyle name="Normal 13 4 4 2" xfId="55248" xr:uid="{00000000-0005-0000-0000-00005FCD0000}"/>
    <cellStyle name="Normal 13 4 4 2 2" xfId="55249" xr:uid="{00000000-0005-0000-0000-000060CD0000}"/>
    <cellStyle name="Normal 13 4 4 2 3" xfId="55250" xr:uid="{00000000-0005-0000-0000-000061CD0000}"/>
    <cellStyle name="Normal 13 4 4 3" xfId="55251" xr:uid="{00000000-0005-0000-0000-000062CD0000}"/>
    <cellStyle name="Normal 13 4 4 3 2" xfId="55252" xr:uid="{00000000-0005-0000-0000-000063CD0000}"/>
    <cellStyle name="Normal 13 4 4 3 3" xfId="55253" xr:uid="{00000000-0005-0000-0000-000064CD0000}"/>
    <cellStyle name="Normal 13 4 4 4" xfId="55254" xr:uid="{00000000-0005-0000-0000-000065CD0000}"/>
    <cellStyle name="Normal 13 4 4 4 2" xfId="55255" xr:uid="{00000000-0005-0000-0000-000066CD0000}"/>
    <cellStyle name="Normal 13 4 4 5" xfId="55256" xr:uid="{00000000-0005-0000-0000-000067CD0000}"/>
    <cellStyle name="Normal 13 4 4 6" xfId="55257" xr:uid="{00000000-0005-0000-0000-000068CD0000}"/>
    <cellStyle name="Normal 13 4 5" xfId="55258" xr:uid="{00000000-0005-0000-0000-000069CD0000}"/>
    <cellStyle name="Normal 13 4 5 2" xfId="55259" xr:uid="{00000000-0005-0000-0000-00006ACD0000}"/>
    <cellStyle name="Normal 13 4 5 2 2" xfId="55260" xr:uid="{00000000-0005-0000-0000-00006BCD0000}"/>
    <cellStyle name="Normal 13 4 5 2 3" xfId="55261" xr:uid="{00000000-0005-0000-0000-00006CCD0000}"/>
    <cellStyle name="Normal 13 4 5 3" xfId="55262" xr:uid="{00000000-0005-0000-0000-00006DCD0000}"/>
    <cellStyle name="Normal 13 4 5 3 2" xfId="55263" xr:uid="{00000000-0005-0000-0000-00006ECD0000}"/>
    <cellStyle name="Normal 13 4 5 4" xfId="55264" xr:uid="{00000000-0005-0000-0000-00006FCD0000}"/>
    <cellStyle name="Normal 13 4 5 5" xfId="55265" xr:uid="{00000000-0005-0000-0000-000070CD0000}"/>
    <cellStyle name="Normal 13 4 6" xfId="55266" xr:uid="{00000000-0005-0000-0000-000071CD0000}"/>
    <cellStyle name="Normal 13 4 6 2" xfId="55267" xr:uid="{00000000-0005-0000-0000-000072CD0000}"/>
    <cellStyle name="Normal 13 4 6 3" xfId="55268" xr:uid="{00000000-0005-0000-0000-000073CD0000}"/>
    <cellStyle name="Normal 13 4 7" xfId="55269" xr:uid="{00000000-0005-0000-0000-000074CD0000}"/>
    <cellStyle name="Normal 13 4 7 2" xfId="55270" xr:uid="{00000000-0005-0000-0000-000075CD0000}"/>
    <cellStyle name="Normal 13 4 7 3" xfId="55271" xr:uid="{00000000-0005-0000-0000-000076CD0000}"/>
    <cellStyle name="Normal 13 4 8" xfId="55272" xr:uid="{00000000-0005-0000-0000-000077CD0000}"/>
    <cellStyle name="Normal 13 4 8 2" xfId="55273" xr:uid="{00000000-0005-0000-0000-000078CD0000}"/>
    <cellStyle name="Normal 13 4 9" xfId="55274" xr:uid="{00000000-0005-0000-0000-000079CD0000}"/>
    <cellStyle name="Normal 13 5" xfId="9228" xr:uid="{00000000-0005-0000-0000-00007ACD0000}"/>
    <cellStyle name="Normal 13 5 2" xfId="55275" xr:uid="{00000000-0005-0000-0000-00007BCD0000}"/>
    <cellStyle name="Normal 13 5 2 2" xfId="55276" xr:uid="{00000000-0005-0000-0000-00007CCD0000}"/>
    <cellStyle name="Normal 13 5 2 2 2" xfId="55277" xr:uid="{00000000-0005-0000-0000-00007DCD0000}"/>
    <cellStyle name="Normal 13 5 2 2 3" xfId="55278" xr:uid="{00000000-0005-0000-0000-00007ECD0000}"/>
    <cellStyle name="Normal 13 5 2 3" xfId="55279" xr:uid="{00000000-0005-0000-0000-00007FCD0000}"/>
    <cellStyle name="Normal 13 5 2 3 2" xfId="55280" xr:uid="{00000000-0005-0000-0000-000080CD0000}"/>
    <cellStyle name="Normal 13 5 2 3 3" xfId="55281" xr:uid="{00000000-0005-0000-0000-000081CD0000}"/>
    <cellStyle name="Normal 13 5 2 4" xfId="55282" xr:uid="{00000000-0005-0000-0000-000082CD0000}"/>
    <cellStyle name="Normal 13 5 2 4 2" xfId="55283" xr:uid="{00000000-0005-0000-0000-000083CD0000}"/>
    <cellStyle name="Normal 13 5 2 5" xfId="55284" xr:uid="{00000000-0005-0000-0000-000084CD0000}"/>
    <cellStyle name="Normal 13 5 2 6" xfId="55285" xr:uid="{00000000-0005-0000-0000-000085CD0000}"/>
    <cellStyle name="Normal 13 5 3" xfId="55286" xr:uid="{00000000-0005-0000-0000-000086CD0000}"/>
    <cellStyle name="Normal 13 5 3 2" xfId="55287" xr:uid="{00000000-0005-0000-0000-000087CD0000}"/>
    <cellStyle name="Normal 13 5 3 2 2" xfId="55288" xr:uid="{00000000-0005-0000-0000-000088CD0000}"/>
    <cellStyle name="Normal 13 5 3 2 3" xfId="55289" xr:uid="{00000000-0005-0000-0000-000089CD0000}"/>
    <cellStyle name="Normal 13 5 3 3" xfId="55290" xr:uid="{00000000-0005-0000-0000-00008ACD0000}"/>
    <cellStyle name="Normal 13 5 3 3 2" xfId="55291" xr:uid="{00000000-0005-0000-0000-00008BCD0000}"/>
    <cellStyle name="Normal 13 5 3 3 3" xfId="55292" xr:uid="{00000000-0005-0000-0000-00008CCD0000}"/>
    <cellStyle name="Normal 13 5 3 4" xfId="55293" xr:uid="{00000000-0005-0000-0000-00008DCD0000}"/>
    <cellStyle name="Normal 13 5 3 4 2" xfId="55294" xr:uid="{00000000-0005-0000-0000-00008ECD0000}"/>
    <cellStyle name="Normal 13 5 3 5" xfId="55295" xr:uid="{00000000-0005-0000-0000-00008FCD0000}"/>
    <cellStyle name="Normal 13 5 3 6" xfId="55296" xr:uid="{00000000-0005-0000-0000-000090CD0000}"/>
    <cellStyle name="Normal 13 5 4" xfId="55297" xr:uid="{00000000-0005-0000-0000-000091CD0000}"/>
    <cellStyle name="Normal 13 5 4 2" xfId="55298" xr:uid="{00000000-0005-0000-0000-000092CD0000}"/>
    <cellStyle name="Normal 13 5 4 2 2" xfId="55299" xr:uid="{00000000-0005-0000-0000-000093CD0000}"/>
    <cellStyle name="Normal 13 5 4 2 3" xfId="55300" xr:uid="{00000000-0005-0000-0000-000094CD0000}"/>
    <cellStyle name="Normal 13 5 4 3" xfId="55301" xr:uid="{00000000-0005-0000-0000-000095CD0000}"/>
    <cellStyle name="Normal 13 5 4 3 2" xfId="55302" xr:uid="{00000000-0005-0000-0000-000096CD0000}"/>
    <cellStyle name="Normal 13 5 4 4" xfId="55303" xr:uid="{00000000-0005-0000-0000-000097CD0000}"/>
    <cellStyle name="Normal 13 5 4 5" xfId="55304" xr:uid="{00000000-0005-0000-0000-000098CD0000}"/>
    <cellStyle name="Normal 13 5 5" xfId="55305" xr:uid="{00000000-0005-0000-0000-000099CD0000}"/>
    <cellStyle name="Normal 13 5 5 2" xfId="55306" xr:uid="{00000000-0005-0000-0000-00009ACD0000}"/>
    <cellStyle name="Normal 13 5 5 3" xfId="55307" xr:uid="{00000000-0005-0000-0000-00009BCD0000}"/>
    <cellStyle name="Normal 13 5 6" xfId="55308" xr:uid="{00000000-0005-0000-0000-00009CCD0000}"/>
    <cellStyle name="Normal 13 5 6 2" xfId="55309" xr:uid="{00000000-0005-0000-0000-00009DCD0000}"/>
    <cellStyle name="Normal 13 5 6 3" xfId="55310" xr:uid="{00000000-0005-0000-0000-00009ECD0000}"/>
    <cellStyle name="Normal 13 5 7" xfId="55311" xr:uid="{00000000-0005-0000-0000-00009FCD0000}"/>
    <cellStyle name="Normal 13 5 7 2" xfId="55312" xr:uid="{00000000-0005-0000-0000-0000A0CD0000}"/>
    <cellStyle name="Normal 13 5 8" xfId="55313" xr:uid="{00000000-0005-0000-0000-0000A1CD0000}"/>
    <cellStyle name="Normal 13 5 9" xfId="55314" xr:uid="{00000000-0005-0000-0000-0000A2CD0000}"/>
    <cellStyle name="Normal 13 6" xfId="55315" xr:uid="{00000000-0005-0000-0000-0000A3CD0000}"/>
    <cellStyle name="Normal 13 6 2" xfId="55316" xr:uid="{00000000-0005-0000-0000-0000A4CD0000}"/>
    <cellStyle name="Normal 13 6 2 2" xfId="55317" xr:uid="{00000000-0005-0000-0000-0000A5CD0000}"/>
    <cellStyle name="Normal 13 6 2 2 2" xfId="55318" xr:uid="{00000000-0005-0000-0000-0000A6CD0000}"/>
    <cellStyle name="Normal 13 6 2 2 3" xfId="55319" xr:uid="{00000000-0005-0000-0000-0000A7CD0000}"/>
    <cellStyle name="Normal 13 6 2 3" xfId="55320" xr:uid="{00000000-0005-0000-0000-0000A8CD0000}"/>
    <cellStyle name="Normal 13 6 2 3 2" xfId="55321" xr:uid="{00000000-0005-0000-0000-0000A9CD0000}"/>
    <cellStyle name="Normal 13 6 2 3 3" xfId="55322" xr:uid="{00000000-0005-0000-0000-0000AACD0000}"/>
    <cellStyle name="Normal 13 6 2 4" xfId="55323" xr:uid="{00000000-0005-0000-0000-0000ABCD0000}"/>
    <cellStyle name="Normal 13 6 2 4 2" xfId="55324" xr:uid="{00000000-0005-0000-0000-0000ACCD0000}"/>
    <cellStyle name="Normal 13 6 2 5" xfId="55325" xr:uid="{00000000-0005-0000-0000-0000ADCD0000}"/>
    <cellStyle name="Normal 13 6 2 6" xfId="55326" xr:uid="{00000000-0005-0000-0000-0000AECD0000}"/>
    <cellStyle name="Normal 13 6 3" xfId="55327" xr:uid="{00000000-0005-0000-0000-0000AFCD0000}"/>
    <cellStyle name="Normal 13 6 3 2" xfId="55328" xr:uid="{00000000-0005-0000-0000-0000B0CD0000}"/>
    <cellStyle name="Normal 13 6 3 2 2" xfId="55329" xr:uid="{00000000-0005-0000-0000-0000B1CD0000}"/>
    <cellStyle name="Normal 13 6 3 2 3" xfId="55330" xr:uid="{00000000-0005-0000-0000-0000B2CD0000}"/>
    <cellStyle name="Normal 13 6 3 3" xfId="55331" xr:uid="{00000000-0005-0000-0000-0000B3CD0000}"/>
    <cellStyle name="Normal 13 6 3 3 2" xfId="55332" xr:uid="{00000000-0005-0000-0000-0000B4CD0000}"/>
    <cellStyle name="Normal 13 6 3 3 3" xfId="55333" xr:uid="{00000000-0005-0000-0000-0000B5CD0000}"/>
    <cellStyle name="Normal 13 6 3 4" xfId="55334" xr:uid="{00000000-0005-0000-0000-0000B6CD0000}"/>
    <cellStyle name="Normal 13 6 3 4 2" xfId="55335" xr:uid="{00000000-0005-0000-0000-0000B7CD0000}"/>
    <cellStyle name="Normal 13 6 3 5" xfId="55336" xr:uid="{00000000-0005-0000-0000-0000B8CD0000}"/>
    <cellStyle name="Normal 13 6 3 6" xfId="55337" xr:uid="{00000000-0005-0000-0000-0000B9CD0000}"/>
    <cellStyle name="Normal 13 6 4" xfId="55338" xr:uid="{00000000-0005-0000-0000-0000BACD0000}"/>
    <cellStyle name="Normal 13 6 4 2" xfId="55339" xr:uid="{00000000-0005-0000-0000-0000BBCD0000}"/>
    <cellStyle name="Normal 13 6 4 2 2" xfId="55340" xr:uid="{00000000-0005-0000-0000-0000BCCD0000}"/>
    <cellStyle name="Normal 13 6 4 2 3" xfId="55341" xr:uid="{00000000-0005-0000-0000-0000BDCD0000}"/>
    <cellStyle name="Normal 13 6 4 3" xfId="55342" xr:uid="{00000000-0005-0000-0000-0000BECD0000}"/>
    <cellStyle name="Normal 13 6 4 3 2" xfId="55343" xr:uid="{00000000-0005-0000-0000-0000BFCD0000}"/>
    <cellStyle name="Normal 13 6 4 4" xfId="55344" xr:uid="{00000000-0005-0000-0000-0000C0CD0000}"/>
    <cellStyle name="Normal 13 6 4 5" xfId="55345" xr:uid="{00000000-0005-0000-0000-0000C1CD0000}"/>
    <cellStyle name="Normal 13 6 5" xfId="55346" xr:uid="{00000000-0005-0000-0000-0000C2CD0000}"/>
    <cellStyle name="Normal 13 6 5 2" xfId="55347" xr:uid="{00000000-0005-0000-0000-0000C3CD0000}"/>
    <cellStyle name="Normal 13 6 5 3" xfId="55348" xr:uid="{00000000-0005-0000-0000-0000C4CD0000}"/>
    <cellStyle name="Normal 13 6 6" xfId="55349" xr:uid="{00000000-0005-0000-0000-0000C5CD0000}"/>
    <cellStyle name="Normal 13 6 6 2" xfId="55350" xr:uid="{00000000-0005-0000-0000-0000C6CD0000}"/>
    <cellStyle name="Normal 13 6 6 3" xfId="55351" xr:uid="{00000000-0005-0000-0000-0000C7CD0000}"/>
    <cellStyle name="Normal 13 6 7" xfId="55352" xr:uid="{00000000-0005-0000-0000-0000C8CD0000}"/>
    <cellStyle name="Normal 13 6 7 2" xfId="55353" xr:uid="{00000000-0005-0000-0000-0000C9CD0000}"/>
    <cellStyle name="Normal 13 6 8" xfId="55354" xr:uid="{00000000-0005-0000-0000-0000CACD0000}"/>
    <cellStyle name="Normal 13 6 9" xfId="55355" xr:uid="{00000000-0005-0000-0000-0000CBCD0000}"/>
    <cellStyle name="Normal 13 7" xfId="55356" xr:uid="{00000000-0005-0000-0000-0000CCCD0000}"/>
    <cellStyle name="Normal 13 7 2" xfId="55357" xr:uid="{00000000-0005-0000-0000-0000CDCD0000}"/>
    <cellStyle name="Normal 13 7 2 2" xfId="55358" xr:uid="{00000000-0005-0000-0000-0000CECD0000}"/>
    <cellStyle name="Normal 13 7 2 3" xfId="55359" xr:uid="{00000000-0005-0000-0000-0000CFCD0000}"/>
    <cellStyle name="Normal 13 7 3" xfId="55360" xr:uid="{00000000-0005-0000-0000-0000D0CD0000}"/>
    <cellStyle name="Normal 13 7 3 2" xfId="55361" xr:uid="{00000000-0005-0000-0000-0000D1CD0000}"/>
    <cellStyle name="Normal 13 7 3 3" xfId="55362" xr:uid="{00000000-0005-0000-0000-0000D2CD0000}"/>
    <cellStyle name="Normal 13 7 4" xfId="55363" xr:uid="{00000000-0005-0000-0000-0000D3CD0000}"/>
    <cellStyle name="Normal 13 7 4 2" xfId="55364" xr:uid="{00000000-0005-0000-0000-0000D4CD0000}"/>
    <cellStyle name="Normal 13 7 5" xfId="55365" xr:uid="{00000000-0005-0000-0000-0000D5CD0000}"/>
    <cellStyle name="Normal 13 7 6" xfId="55366" xr:uid="{00000000-0005-0000-0000-0000D6CD0000}"/>
    <cellStyle name="Normal 13 8" xfId="55367" xr:uid="{00000000-0005-0000-0000-0000D7CD0000}"/>
    <cellStyle name="Normal 13 8 2" xfId="55368" xr:uid="{00000000-0005-0000-0000-0000D8CD0000}"/>
    <cellStyle name="Normal 13 8 2 2" xfId="55369" xr:uid="{00000000-0005-0000-0000-0000D9CD0000}"/>
    <cellStyle name="Normal 13 8 2 3" xfId="55370" xr:uid="{00000000-0005-0000-0000-0000DACD0000}"/>
    <cellStyle name="Normal 13 8 3" xfId="55371" xr:uid="{00000000-0005-0000-0000-0000DBCD0000}"/>
    <cellStyle name="Normal 13 8 3 2" xfId="55372" xr:uid="{00000000-0005-0000-0000-0000DCCD0000}"/>
    <cellStyle name="Normal 13 8 3 3" xfId="55373" xr:uid="{00000000-0005-0000-0000-0000DDCD0000}"/>
    <cellStyle name="Normal 13 8 4" xfId="55374" xr:uid="{00000000-0005-0000-0000-0000DECD0000}"/>
    <cellStyle name="Normal 13 8 4 2" xfId="55375" xr:uid="{00000000-0005-0000-0000-0000DFCD0000}"/>
    <cellStyle name="Normal 13 8 5" xfId="55376" xr:uid="{00000000-0005-0000-0000-0000E0CD0000}"/>
    <cellStyle name="Normal 13 8 6" xfId="55377" xr:uid="{00000000-0005-0000-0000-0000E1CD0000}"/>
    <cellStyle name="Normal 13 9" xfId="55378" xr:uid="{00000000-0005-0000-0000-0000E2CD0000}"/>
    <cellStyle name="Normal 13 9 2" xfId="55379" xr:uid="{00000000-0005-0000-0000-0000E3CD0000}"/>
    <cellStyle name="Normal 13 9 2 2" xfId="55380" xr:uid="{00000000-0005-0000-0000-0000E4CD0000}"/>
    <cellStyle name="Normal 13 9 2 3" xfId="55381" xr:uid="{00000000-0005-0000-0000-0000E5CD0000}"/>
    <cellStyle name="Normal 13 9 3" xfId="55382" xr:uid="{00000000-0005-0000-0000-0000E6CD0000}"/>
    <cellStyle name="Normal 13 9 3 2" xfId="55383" xr:uid="{00000000-0005-0000-0000-0000E7CD0000}"/>
    <cellStyle name="Normal 13 9 4" xfId="55384" xr:uid="{00000000-0005-0000-0000-0000E8CD0000}"/>
    <cellStyle name="Normal 13 9 5" xfId="55385" xr:uid="{00000000-0005-0000-0000-0000E9CD0000}"/>
    <cellStyle name="Normal 14" xfId="4469" xr:uid="{00000000-0005-0000-0000-0000EACD0000}"/>
    <cellStyle name="Normal 14 2" xfId="4470" xr:uid="{00000000-0005-0000-0000-0000EBCD0000}"/>
    <cellStyle name="Normal 14 2 2" xfId="4471" xr:uid="{00000000-0005-0000-0000-0000ECCD0000}"/>
    <cellStyle name="Normal 14 2 2 2" xfId="9229" xr:uid="{00000000-0005-0000-0000-0000EDCD0000}"/>
    <cellStyle name="Normal 14 2 2 2 2" xfId="59493" xr:uid="{00000000-0005-0000-0000-0000EECD0000}"/>
    <cellStyle name="Normal 14 2 2 3" xfId="9230" xr:uid="{00000000-0005-0000-0000-0000EFCD0000}"/>
    <cellStyle name="Normal 14 2 2 4" xfId="59494" xr:uid="{00000000-0005-0000-0000-0000F0CD0000}"/>
    <cellStyle name="Normal 14 2 3" xfId="4472" xr:uid="{00000000-0005-0000-0000-0000F1CD0000}"/>
    <cellStyle name="Normal 14 2 3 2" xfId="9231" xr:uid="{00000000-0005-0000-0000-0000F2CD0000}"/>
    <cellStyle name="Normal 14 2 4" xfId="9232" xr:uid="{00000000-0005-0000-0000-0000F3CD0000}"/>
    <cellStyle name="Normal 14 2 4 2" xfId="59495" xr:uid="{00000000-0005-0000-0000-0000F4CD0000}"/>
    <cellStyle name="Normal 14 2 5" xfId="59496" xr:uid="{00000000-0005-0000-0000-0000F5CD0000}"/>
    <cellStyle name="Normal 14 2 6" xfId="59497" xr:uid="{00000000-0005-0000-0000-0000F6CD0000}"/>
    <cellStyle name="Normal 14 2 7" xfId="59498" xr:uid="{00000000-0005-0000-0000-0000F7CD0000}"/>
    <cellStyle name="Normal 14 3" xfId="4473" xr:uid="{00000000-0005-0000-0000-0000F8CD0000}"/>
    <cellStyle name="Normal 14 3 2" xfId="9233" xr:uid="{00000000-0005-0000-0000-0000F9CD0000}"/>
    <cellStyle name="Normal 14 3 2 2" xfId="59499" xr:uid="{00000000-0005-0000-0000-0000FACD0000}"/>
    <cellStyle name="Normal 14 3 3" xfId="9234" xr:uid="{00000000-0005-0000-0000-0000FBCD0000}"/>
    <cellStyle name="Normal 14 3 4" xfId="59500" xr:uid="{00000000-0005-0000-0000-0000FCCD0000}"/>
    <cellStyle name="Normal 14 4" xfId="4474" xr:uid="{00000000-0005-0000-0000-0000FDCD0000}"/>
    <cellStyle name="Normal 14 4 2" xfId="9235" xr:uid="{00000000-0005-0000-0000-0000FECD0000}"/>
    <cellStyle name="Normal 14 4 3" xfId="59501" xr:uid="{00000000-0005-0000-0000-0000FFCD0000}"/>
    <cellStyle name="Normal 14 4 4" xfId="59502" xr:uid="{00000000-0005-0000-0000-000000CE0000}"/>
    <cellStyle name="Normal 14 5" xfId="8768" xr:uid="{00000000-0005-0000-0000-000001CE0000}"/>
    <cellStyle name="Normal 14 6" xfId="55386" xr:uid="{00000000-0005-0000-0000-000002CE0000}"/>
    <cellStyle name="Normal 15" xfId="4475" xr:uid="{00000000-0005-0000-0000-000003CE0000}"/>
    <cellStyle name="Normal 15 10" xfId="55387" xr:uid="{00000000-0005-0000-0000-000004CE0000}"/>
    <cellStyle name="Normal 15 10 2" xfId="55388" xr:uid="{00000000-0005-0000-0000-000005CE0000}"/>
    <cellStyle name="Normal 15 10 3" xfId="55389" xr:uid="{00000000-0005-0000-0000-000006CE0000}"/>
    <cellStyle name="Normal 15 11" xfId="55390" xr:uid="{00000000-0005-0000-0000-000007CE0000}"/>
    <cellStyle name="Normal 15 11 2" xfId="55391" xr:uid="{00000000-0005-0000-0000-000008CE0000}"/>
    <cellStyle name="Normal 15 12" xfId="55392" xr:uid="{00000000-0005-0000-0000-000009CE0000}"/>
    <cellStyle name="Normal 15 13" xfId="55393" xr:uid="{00000000-0005-0000-0000-00000ACE0000}"/>
    <cellStyle name="Normal 15 14" xfId="55394" xr:uid="{00000000-0005-0000-0000-00000BCE0000}"/>
    <cellStyle name="Normal 15 2" xfId="4476" xr:uid="{00000000-0005-0000-0000-00000CCE0000}"/>
    <cellStyle name="Normal 15 2 10" xfId="55395" xr:uid="{00000000-0005-0000-0000-00000DCE0000}"/>
    <cellStyle name="Normal 15 2 10 2" xfId="55396" xr:uid="{00000000-0005-0000-0000-00000ECE0000}"/>
    <cellStyle name="Normal 15 2 11" xfId="55397" xr:uid="{00000000-0005-0000-0000-00000FCE0000}"/>
    <cellStyle name="Normal 15 2 12" xfId="55398" xr:uid="{00000000-0005-0000-0000-000010CE0000}"/>
    <cellStyle name="Normal 15 2 13" xfId="55399" xr:uid="{00000000-0005-0000-0000-000011CE0000}"/>
    <cellStyle name="Normal 15 2 2" xfId="4477" xr:uid="{00000000-0005-0000-0000-000012CE0000}"/>
    <cellStyle name="Normal 15 2 2 10" xfId="55400" xr:uid="{00000000-0005-0000-0000-000013CE0000}"/>
    <cellStyle name="Normal 15 2 2 11" xfId="55401" xr:uid="{00000000-0005-0000-0000-000014CE0000}"/>
    <cellStyle name="Normal 15 2 2 2" xfId="8416" xr:uid="{00000000-0005-0000-0000-000015CE0000}"/>
    <cellStyle name="Normal 15 2 2 2 10" xfId="55402" xr:uid="{00000000-0005-0000-0000-000016CE0000}"/>
    <cellStyle name="Normal 15 2 2 2 2" xfId="8417" xr:uid="{00000000-0005-0000-0000-000017CE0000}"/>
    <cellStyle name="Normal 15 2 2 2 2 2" xfId="8418" xr:uid="{00000000-0005-0000-0000-000018CE0000}"/>
    <cellStyle name="Normal 15 2 2 2 2 2 2" xfId="55403" xr:uid="{00000000-0005-0000-0000-000019CE0000}"/>
    <cellStyle name="Normal 15 2 2 2 2 2 3" xfId="55404" xr:uid="{00000000-0005-0000-0000-00001ACE0000}"/>
    <cellStyle name="Normal 15 2 2 2 2 3" xfId="55405" xr:uid="{00000000-0005-0000-0000-00001BCE0000}"/>
    <cellStyle name="Normal 15 2 2 2 2 3 2" xfId="55406" xr:uid="{00000000-0005-0000-0000-00001CCE0000}"/>
    <cellStyle name="Normal 15 2 2 2 2 3 3" xfId="55407" xr:uid="{00000000-0005-0000-0000-00001DCE0000}"/>
    <cellStyle name="Normal 15 2 2 2 2 4" xfId="55408" xr:uid="{00000000-0005-0000-0000-00001ECE0000}"/>
    <cellStyle name="Normal 15 2 2 2 2 4 2" xfId="55409" xr:uid="{00000000-0005-0000-0000-00001FCE0000}"/>
    <cellStyle name="Normal 15 2 2 2 2 5" xfId="55410" xr:uid="{00000000-0005-0000-0000-000020CE0000}"/>
    <cellStyle name="Normal 15 2 2 2 2 6" xfId="55411" xr:uid="{00000000-0005-0000-0000-000021CE0000}"/>
    <cellStyle name="Normal 15 2 2 2 2 7" xfId="55412" xr:uid="{00000000-0005-0000-0000-000022CE0000}"/>
    <cellStyle name="Normal 15 2 2 2 3" xfId="8419" xr:uid="{00000000-0005-0000-0000-000023CE0000}"/>
    <cellStyle name="Normal 15 2 2 2 3 2" xfId="55413" xr:uid="{00000000-0005-0000-0000-000024CE0000}"/>
    <cellStyle name="Normal 15 2 2 2 3 2 2" xfId="55414" xr:uid="{00000000-0005-0000-0000-000025CE0000}"/>
    <cellStyle name="Normal 15 2 2 2 3 2 3" xfId="55415" xr:uid="{00000000-0005-0000-0000-000026CE0000}"/>
    <cellStyle name="Normal 15 2 2 2 3 3" xfId="55416" xr:uid="{00000000-0005-0000-0000-000027CE0000}"/>
    <cellStyle name="Normal 15 2 2 2 3 3 2" xfId="55417" xr:uid="{00000000-0005-0000-0000-000028CE0000}"/>
    <cellStyle name="Normal 15 2 2 2 3 3 3" xfId="55418" xr:uid="{00000000-0005-0000-0000-000029CE0000}"/>
    <cellStyle name="Normal 15 2 2 2 3 4" xfId="55419" xr:uid="{00000000-0005-0000-0000-00002ACE0000}"/>
    <cellStyle name="Normal 15 2 2 2 3 4 2" xfId="55420" xr:uid="{00000000-0005-0000-0000-00002BCE0000}"/>
    <cellStyle name="Normal 15 2 2 2 3 5" xfId="55421" xr:uid="{00000000-0005-0000-0000-00002CCE0000}"/>
    <cellStyle name="Normal 15 2 2 2 3 6" xfId="55422" xr:uid="{00000000-0005-0000-0000-00002DCE0000}"/>
    <cellStyle name="Normal 15 2 2 2 3 7" xfId="55423" xr:uid="{00000000-0005-0000-0000-00002ECE0000}"/>
    <cellStyle name="Normal 15 2 2 2 4" xfId="55424" xr:uid="{00000000-0005-0000-0000-00002FCE0000}"/>
    <cellStyle name="Normal 15 2 2 2 4 2" xfId="55425" xr:uid="{00000000-0005-0000-0000-000030CE0000}"/>
    <cellStyle name="Normal 15 2 2 2 4 2 2" xfId="55426" xr:uid="{00000000-0005-0000-0000-000031CE0000}"/>
    <cellStyle name="Normal 15 2 2 2 4 2 3" xfId="55427" xr:uid="{00000000-0005-0000-0000-000032CE0000}"/>
    <cellStyle name="Normal 15 2 2 2 4 3" xfId="55428" xr:uid="{00000000-0005-0000-0000-000033CE0000}"/>
    <cellStyle name="Normal 15 2 2 2 4 3 2" xfId="55429" xr:uid="{00000000-0005-0000-0000-000034CE0000}"/>
    <cellStyle name="Normal 15 2 2 2 4 4" xfId="55430" xr:uid="{00000000-0005-0000-0000-000035CE0000}"/>
    <cellStyle name="Normal 15 2 2 2 4 5" xfId="55431" xr:uid="{00000000-0005-0000-0000-000036CE0000}"/>
    <cellStyle name="Normal 15 2 2 2 5" xfId="55432" xr:uid="{00000000-0005-0000-0000-000037CE0000}"/>
    <cellStyle name="Normal 15 2 2 2 5 2" xfId="55433" xr:uid="{00000000-0005-0000-0000-000038CE0000}"/>
    <cellStyle name="Normal 15 2 2 2 5 3" xfId="55434" xr:uid="{00000000-0005-0000-0000-000039CE0000}"/>
    <cellStyle name="Normal 15 2 2 2 6" xfId="55435" xr:uid="{00000000-0005-0000-0000-00003ACE0000}"/>
    <cellStyle name="Normal 15 2 2 2 6 2" xfId="55436" xr:uid="{00000000-0005-0000-0000-00003BCE0000}"/>
    <cellStyle name="Normal 15 2 2 2 6 3" xfId="55437" xr:uid="{00000000-0005-0000-0000-00003CCE0000}"/>
    <cellStyle name="Normal 15 2 2 2 7" xfId="55438" xr:uid="{00000000-0005-0000-0000-00003DCE0000}"/>
    <cellStyle name="Normal 15 2 2 2 7 2" xfId="55439" xr:uid="{00000000-0005-0000-0000-00003ECE0000}"/>
    <cellStyle name="Normal 15 2 2 2 8" xfId="55440" xr:uid="{00000000-0005-0000-0000-00003FCE0000}"/>
    <cellStyle name="Normal 15 2 2 2 9" xfId="55441" xr:uid="{00000000-0005-0000-0000-000040CE0000}"/>
    <cellStyle name="Normal 15 2 2 3" xfId="8420" xr:uid="{00000000-0005-0000-0000-000041CE0000}"/>
    <cellStyle name="Normal 15 2 2 3 2" xfId="8421" xr:uid="{00000000-0005-0000-0000-000042CE0000}"/>
    <cellStyle name="Normal 15 2 2 3 2 2" xfId="55442" xr:uid="{00000000-0005-0000-0000-000043CE0000}"/>
    <cellStyle name="Normal 15 2 2 3 2 3" xfId="55443" xr:uid="{00000000-0005-0000-0000-000044CE0000}"/>
    <cellStyle name="Normal 15 2 2 3 3" xfId="55444" xr:uid="{00000000-0005-0000-0000-000045CE0000}"/>
    <cellStyle name="Normal 15 2 2 3 3 2" xfId="55445" xr:uid="{00000000-0005-0000-0000-000046CE0000}"/>
    <cellStyle name="Normal 15 2 2 3 3 3" xfId="55446" xr:uid="{00000000-0005-0000-0000-000047CE0000}"/>
    <cellStyle name="Normal 15 2 2 3 4" xfId="55447" xr:uid="{00000000-0005-0000-0000-000048CE0000}"/>
    <cellStyle name="Normal 15 2 2 3 4 2" xfId="55448" xr:uid="{00000000-0005-0000-0000-000049CE0000}"/>
    <cellStyle name="Normal 15 2 2 3 5" xfId="55449" xr:uid="{00000000-0005-0000-0000-00004ACE0000}"/>
    <cellStyle name="Normal 15 2 2 3 6" xfId="55450" xr:uid="{00000000-0005-0000-0000-00004BCE0000}"/>
    <cellStyle name="Normal 15 2 2 3 7" xfId="55451" xr:uid="{00000000-0005-0000-0000-00004CCE0000}"/>
    <cellStyle name="Normal 15 2 2 4" xfId="8422" xr:uid="{00000000-0005-0000-0000-00004DCE0000}"/>
    <cellStyle name="Normal 15 2 2 4 2" xfId="55452" xr:uid="{00000000-0005-0000-0000-00004ECE0000}"/>
    <cellStyle name="Normal 15 2 2 4 2 2" xfId="55453" xr:uid="{00000000-0005-0000-0000-00004FCE0000}"/>
    <cellStyle name="Normal 15 2 2 4 2 3" xfId="55454" xr:uid="{00000000-0005-0000-0000-000050CE0000}"/>
    <cellStyle name="Normal 15 2 2 4 3" xfId="55455" xr:uid="{00000000-0005-0000-0000-000051CE0000}"/>
    <cellStyle name="Normal 15 2 2 4 3 2" xfId="55456" xr:uid="{00000000-0005-0000-0000-000052CE0000}"/>
    <cellStyle name="Normal 15 2 2 4 3 3" xfId="55457" xr:uid="{00000000-0005-0000-0000-000053CE0000}"/>
    <cellStyle name="Normal 15 2 2 4 4" xfId="55458" xr:uid="{00000000-0005-0000-0000-000054CE0000}"/>
    <cellStyle name="Normal 15 2 2 4 4 2" xfId="55459" xr:uid="{00000000-0005-0000-0000-000055CE0000}"/>
    <cellStyle name="Normal 15 2 2 4 5" xfId="55460" xr:uid="{00000000-0005-0000-0000-000056CE0000}"/>
    <cellStyle name="Normal 15 2 2 4 6" xfId="55461" xr:uid="{00000000-0005-0000-0000-000057CE0000}"/>
    <cellStyle name="Normal 15 2 2 4 7" xfId="55462" xr:uid="{00000000-0005-0000-0000-000058CE0000}"/>
    <cellStyle name="Normal 15 2 2 5" xfId="55463" xr:uid="{00000000-0005-0000-0000-000059CE0000}"/>
    <cellStyle name="Normal 15 2 2 5 2" xfId="55464" xr:uid="{00000000-0005-0000-0000-00005ACE0000}"/>
    <cellStyle name="Normal 15 2 2 5 2 2" xfId="55465" xr:uid="{00000000-0005-0000-0000-00005BCE0000}"/>
    <cellStyle name="Normal 15 2 2 5 2 3" xfId="55466" xr:uid="{00000000-0005-0000-0000-00005CCE0000}"/>
    <cellStyle name="Normal 15 2 2 5 3" xfId="55467" xr:uid="{00000000-0005-0000-0000-00005DCE0000}"/>
    <cellStyle name="Normal 15 2 2 5 3 2" xfId="55468" xr:uid="{00000000-0005-0000-0000-00005ECE0000}"/>
    <cellStyle name="Normal 15 2 2 5 4" xfId="55469" xr:uid="{00000000-0005-0000-0000-00005FCE0000}"/>
    <cellStyle name="Normal 15 2 2 5 5" xfId="55470" xr:uid="{00000000-0005-0000-0000-000060CE0000}"/>
    <cellStyle name="Normal 15 2 2 6" xfId="55471" xr:uid="{00000000-0005-0000-0000-000061CE0000}"/>
    <cellStyle name="Normal 15 2 2 6 2" xfId="55472" xr:uid="{00000000-0005-0000-0000-000062CE0000}"/>
    <cellStyle name="Normal 15 2 2 6 3" xfId="55473" xr:uid="{00000000-0005-0000-0000-000063CE0000}"/>
    <cellStyle name="Normal 15 2 2 7" xfId="55474" xr:uid="{00000000-0005-0000-0000-000064CE0000}"/>
    <cellStyle name="Normal 15 2 2 7 2" xfId="55475" xr:uid="{00000000-0005-0000-0000-000065CE0000}"/>
    <cellStyle name="Normal 15 2 2 7 3" xfId="55476" xr:uid="{00000000-0005-0000-0000-000066CE0000}"/>
    <cellStyle name="Normal 15 2 2 8" xfId="55477" xr:uid="{00000000-0005-0000-0000-000067CE0000}"/>
    <cellStyle name="Normal 15 2 2 8 2" xfId="55478" xr:uid="{00000000-0005-0000-0000-000068CE0000}"/>
    <cellStyle name="Normal 15 2 2 9" xfId="55479" xr:uid="{00000000-0005-0000-0000-000069CE0000}"/>
    <cellStyle name="Normal 15 2 3" xfId="4478" xr:uid="{00000000-0005-0000-0000-00006ACE0000}"/>
    <cellStyle name="Normal 15 2 3 10" xfId="55480" xr:uid="{00000000-0005-0000-0000-00006BCE0000}"/>
    <cellStyle name="Normal 15 2 3 2" xfId="8423" xr:uid="{00000000-0005-0000-0000-00006CCE0000}"/>
    <cellStyle name="Normal 15 2 3 2 2" xfId="8424" xr:uid="{00000000-0005-0000-0000-00006DCE0000}"/>
    <cellStyle name="Normal 15 2 3 2 2 2" xfId="55481" xr:uid="{00000000-0005-0000-0000-00006ECE0000}"/>
    <cellStyle name="Normal 15 2 3 2 2 3" xfId="55482" xr:uid="{00000000-0005-0000-0000-00006FCE0000}"/>
    <cellStyle name="Normal 15 2 3 2 2 4" xfId="55483" xr:uid="{00000000-0005-0000-0000-000070CE0000}"/>
    <cellStyle name="Normal 15 2 3 2 3" xfId="55484" xr:uid="{00000000-0005-0000-0000-000071CE0000}"/>
    <cellStyle name="Normal 15 2 3 2 3 2" xfId="55485" xr:uid="{00000000-0005-0000-0000-000072CE0000}"/>
    <cellStyle name="Normal 15 2 3 2 3 3" xfId="55486" xr:uid="{00000000-0005-0000-0000-000073CE0000}"/>
    <cellStyle name="Normal 15 2 3 2 4" xfId="55487" xr:uid="{00000000-0005-0000-0000-000074CE0000}"/>
    <cellStyle name="Normal 15 2 3 2 4 2" xfId="55488" xr:uid="{00000000-0005-0000-0000-000075CE0000}"/>
    <cellStyle name="Normal 15 2 3 2 5" xfId="55489" xr:uid="{00000000-0005-0000-0000-000076CE0000}"/>
    <cellStyle name="Normal 15 2 3 2 6" xfId="55490" xr:uid="{00000000-0005-0000-0000-000077CE0000}"/>
    <cellStyle name="Normal 15 2 3 2 7" xfId="55491" xr:uid="{00000000-0005-0000-0000-000078CE0000}"/>
    <cellStyle name="Normal 15 2 3 3" xfId="8425" xr:uid="{00000000-0005-0000-0000-000079CE0000}"/>
    <cellStyle name="Normal 15 2 3 3 2" xfId="55492" xr:uid="{00000000-0005-0000-0000-00007ACE0000}"/>
    <cellStyle name="Normal 15 2 3 3 2 2" xfId="55493" xr:uid="{00000000-0005-0000-0000-00007BCE0000}"/>
    <cellStyle name="Normal 15 2 3 3 2 3" xfId="55494" xr:uid="{00000000-0005-0000-0000-00007CCE0000}"/>
    <cellStyle name="Normal 15 2 3 3 3" xfId="55495" xr:uid="{00000000-0005-0000-0000-00007DCE0000}"/>
    <cellStyle name="Normal 15 2 3 3 3 2" xfId="55496" xr:uid="{00000000-0005-0000-0000-00007ECE0000}"/>
    <cellStyle name="Normal 15 2 3 3 3 3" xfId="55497" xr:uid="{00000000-0005-0000-0000-00007FCE0000}"/>
    <cellStyle name="Normal 15 2 3 3 4" xfId="55498" xr:uid="{00000000-0005-0000-0000-000080CE0000}"/>
    <cellStyle name="Normal 15 2 3 3 4 2" xfId="55499" xr:uid="{00000000-0005-0000-0000-000081CE0000}"/>
    <cellStyle name="Normal 15 2 3 3 5" xfId="55500" xr:uid="{00000000-0005-0000-0000-000082CE0000}"/>
    <cellStyle name="Normal 15 2 3 3 6" xfId="55501" xr:uid="{00000000-0005-0000-0000-000083CE0000}"/>
    <cellStyle name="Normal 15 2 3 3 7" xfId="55502" xr:uid="{00000000-0005-0000-0000-000084CE0000}"/>
    <cellStyle name="Normal 15 2 3 4" xfId="55503" xr:uid="{00000000-0005-0000-0000-000085CE0000}"/>
    <cellStyle name="Normal 15 2 3 4 2" xfId="55504" xr:uid="{00000000-0005-0000-0000-000086CE0000}"/>
    <cellStyle name="Normal 15 2 3 4 2 2" xfId="55505" xr:uid="{00000000-0005-0000-0000-000087CE0000}"/>
    <cellStyle name="Normal 15 2 3 4 2 3" xfId="55506" xr:uid="{00000000-0005-0000-0000-000088CE0000}"/>
    <cellStyle name="Normal 15 2 3 4 3" xfId="55507" xr:uid="{00000000-0005-0000-0000-000089CE0000}"/>
    <cellStyle name="Normal 15 2 3 4 3 2" xfId="55508" xr:uid="{00000000-0005-0000-0000-00008ACE0000}"/>
    <cellStyle name="Normal 15 2 3 4 4" xfId="55509" xr:uid="{00000000-0005-0000-0000-00008BCE0000}"/>
    <cellStyle name="Normal 15 2 3 4 5" xfId="55510" xr:uid="{00000000-0005-0000-0000-00008CCE0000}"/>
    <cellStyle name="Normal 15 2 3 5" xfId="55511" xr:uid="{00000000-0005-0000-0000-00008DCE0000}"/>
    <cellStyle name="Normal 15 2 3 5 2" xfId="55512" xr:uid="{00000000-0005-0000-0000-00008ECE0000}"/>
    <cellStyle name="Normal 15 2 3 5 3" xfId="55513" xr:uid="{00000000-0005-0000-0000-00008FCE0000}"/>
    <cellStyle name="Normal 15 2 3 6" xfId="55514" xr:uid="{00000000-0005-0000-0000-000090CE0000}"/>
    <cellStyle name="Normal 15 2 3 6 2" xfId="55515" xr:uid="{00000000-0005-0000-0000-000091CE0000}"/>
    <cellStyle name="Normal 15 2 3 6 3" xfId="55516" xr:uid="{00000000-0005-0000-0000-000092CE0000}"/>
    <cellStyle name="Normal 15 2 3 7" xfId="55517" xr:uid="{00000000-0005-0000-0000-000093CE0000}"/>
    <cellStyle name="Normal 15 2 3 7 2" xfId="55518" xr:uid="{00000000-0005-0000-0000-000094CE0000}"/>
    <cellStyle name="Normal 15 2 3 8" xfId="55519" xr:uid="{00000000-0005-0000-0000-000095CE0000}"/>
    <cellStyle name="Normal 15 2 3 9" xfId="55520" xr:uid="{00000000-0005-0000-0000-000096CE0000}"/>
    <cellStyle name="Normal 15 2 4" xfId="4479" xr:uid="{00000000-0005-0000-0000-000097CE0000}"/>
    <cellStyle name="Normal 15 2 4 10" xfId="55521" xr:uid="{00000000-0005-0000-0000-000098CE0000}"/>
    <cellStyle name="Normal 15 2 4 2" xfId="8426" xr:uid="{00000000-0005-0000-0000-000099CE0000}"/>
    <cellStyle name="Normal 15 2 4 2 2" xfId="55522" xr:uid="{00000000-0005-0000-0000-00009ACE0000}"/>
    <cellStyle name="Normal 15 2 4 2 2 2" xfId="55523" xr:uid="{00000000-0005-0000-0000-00009BCE0000}"/>
    <cellStyle name="Normal 15 2 4 2 2 3" xfId="55524" xr:uid="{00000000-0005-0000-0000-00009CCE0000}"/>
    <cellStyle name="Normal 15 2 4 2 3" xfId="55525" xr:uid="{00000000-0005-0000-0000-00009DCE0000}"/>
    <cellStyle name="Normal 15 2 4 2 3 2" xfId="55526" xr:uid="{00000000-0005-0000-0000-00009ECE0000}"/>
    <cellStyle name="Normal 15 2 4 2 3 3" xfId="55527" xr:uid="{00000000-0005-0000-0000-00009FCE0000}"/>
    <cellStyle name="Normal 15 2 4 2 4" xfId="55528" xr:uid="{00000000-0005-0000-0000-0000A0CE0000}"/>
    <cellStyle name="Normal 15 2 4 2 4 2" xfId="55529" xr:uid="{00000000-0005-0000-0000-0000A1CE0000}"/>
    <cellStyle name="Normal 15 2 4 2 5" xfId="55530" xr:uid="{00000000-0005-0000-0000-0000A2CE0000}"/>
    <cellStyle name="Normal 15 2 4 2 6" xfId="55531" xr:uid="{00000000-0005-0000-0000-0000A3CE0000}"/>
    <cellStyle name="Normal 15 2 4 2 7" xfId="55532" xr:uid="{00000000-0005-0000-0000-0000A4CE0000}"/>
    <cellStyle name="Normal 15 2 4 3" xfId="55533" xr:uid="{00000000-0005-0000-0000-0000A5CE0000}"/>
    <cellStyle name="Normal 15 2 4 3 2" xfId="55534" xr:uid="{00000000-0005-0000-0000-0000A6CE0000}"/>
    <cellStyle name="Normal 15 2 4 3 2 2" xfId="55535" xr:uid="{00000000-0005-0000-0000-0000A7CE0000}"/>
    <cellStyle name="Normal 15 2 4 3 2 3" xfId="55536" xr:uid="{00000000-0005-0000-0000-0000A8CE0000}"/>
    <cellStyle name="Normal 15 2 4 3 3" xfId="55537" xr:uid="{00000000-0005-0000-0000-0000A9CE0000}"/>
    <cellStyle name="Normal 15 2 4 3 3 2" xfId="55538" xr:uid="{00000000-0005-0000-0000-0000AACE0000}"/>
    <cellStyle name="Normal 15 2 4 3 3 3" xfId="55539" xr:uid="{00000000-0005-0000-0000-0000ABCE0000}"/>
    <cellStyle name="Normal 15 2 4 3 4" xfId="55540" xr:uid="{00000000-0005-0000-0000-0000ACCE0000}"/>
    <cellStyle name="Normal 15 2 4 3 4 2" xfId="55541" xr:uid="{00000000-0005-0000-0000-0000ADCE0000}"/>
    <cellStyle name="Normal 15 2 4 3 5" xfId="55542" xr:uid="{00000000-0005-0000-0000-0000AECE0000}"/>
    <cellStyle name="Normal 15 2 4 3 6" xfId="55543" xr:uid="{00000000-0005-0000-0000-0000AFCE0000}"/>
    <cellStyle name="Normal 15 2 4 4" xfId="55544" xr:uid="{00000000-0005-0000-0000-0000B0CE0000}"/>
    <cellStyle name="Normal 15 2 4 4 2" xfId="55545" xr:uid="{00000000-0005-0000-0000-0000B1CE0000}"/>
    <cellStyle name="Normal 15 2 4 4 2 2" xfId="55546" xr:uid="{00000000-0005-0000-0000-0000B2CE0000}"/>
    <cellStyle name="Normal 15 2 4 4 2 3" xfId="55547" xr:uid="{00000000-0005-0000-0000-0000B3CE0000}"/>
    <cellStyle name="Normal 15 2 4 4 3" xfId="55548" xr:uid="{00000000-0005-0000-0000-0000B4CE0000}"/>
    <cellStyle name="Normal 15 2 4 4 3 2" xfId="55549" xr:uid="{00000000-0005-0000-0000-0000B5CE0000}"/>
    <cellStyle name="Normal 15 2 4 4 4" xfId="55550" xr:uid="{00000000-0005-0000-0000-0000B6CE0000}"/>
    <cellStyle name="Normal 15 2 4 4 5" xfId="55551" xr:uid="{00000000-0005-0000-0000-0000B7CE0000}"/>
    <cellStyle name="Normal 15 2 4 5" xfId="55552" xr:uid="{00000000-0005-0000-0000-0000B8CE0000}"/>
    <cellStyle name="Normal 15 2 4 5 2" xfId="55553" xr:uid="{00000000-0005-0000-0000-0000B9CE0000}"/>
    <cellStyle name="Normal 15 2 4 5 3" xfId="55554" xr:uid="{00000000-0005-0000-0000-0000BACE0000}"/>
    <cellStyle name="Normal 15 2 4 6" xfId="55555" xr:uid="{00000000-0005-0000-0000-0000BBCE0000}"/>
    <cellStyle name="Normal 15 2 4 6 2" xfId="55556" xr:uid="{00000000-0005-0000-0000-0000BCCE0000}"/>
    <cellStyle name="Normal 15 2 4 6 3" xfId="55557" xr:uid="{00000000-0005-0000-0000-0000BDCE0000}"/>
    <cellStyle name="Normal 15 2 4 7" xfId="55558" xr:uid="{00000000-0005-0000-0000-0000BECE0000}"/>
    <cellStyle name="Normal 15 2 4 7 2" xfId="55559" xr:uid="{00000000-0005-0000-0000-0000BFCE0000}"/>
    <cellStyle name="Normal 15 2 4 8" xfId="55560" xr:uid="{00000000-0005-0000-0000-0000C0CE0000}"/>
    <cellStyle name="Normal 15 2 4 9" xfId="55561" xr:uid="{00000000-0005-0000-0000-0000C1CE0000}"/>
    <cellStyle name="Normal 15 2 5" xfId="8427" xr:uid="{00000000-0005-0000-0000-0000C2CE0000}"/>
    <cellStyle name="Normal 15 2 5 2" xfId="8428" xr:uid="{00000000-0005-0000-0000-0000C3CE0000}"/>
    <cellStyle name="Normal 15 2 5 2 2" xfId="55562" xr:uid="{00000000-0005-0000-0000-0000C4CE0000}"/>
    <cellStyle name="Normal 15 2 5 2 3" xfId="55563" xr:uid="{00000000-0005-0000-0000-0000C5CE0000}"/>
    <cellStyle name="Normal 15 2 5 2 4" xfId="55564" xr:uid="{00000000-0005-0000-0000-0000C6CE0000}"/>
    <cellStyle name="Normal 15 2 5 3" xfId="55565" xr:uid="{00000000-0005-0000-0000-0000C7CE0000}"/>
    <cellStyle name="Normal 15 2 5 3 2" xfId="55566" xr:uid="{00000000-0005-0000-0000-0000C8CE0000}"/>
    <cellStyle name="Normal 15 2 5 3 3" xfId="55567" xr:uid="{00000000-0005-0000-0000-0000C9CE0000}"/>
    <cellStyle name="Normal 15 2 5 4" xfId="55568" xr:uid="{00000000-0005-0000-0000-0000CACE0000}"/>
    <cellStyle name="Normal 15 2 5 4 2" xfId="55569" xr:uid="{00000000-0005-0000-0000-0000CBCE0000}"/>
    <cellStyle name="Normal 15 2 5 5" xfId="55570" xr:uid="{00000000-0005-0000-0000-0000CCCE0000}"/>
    <cellStyle name="Normal 15 2 5 6" xfId="55571" xr:uid="{00000000-0005-0000-0000-0000CDCE0000}"/>
    <cellStyle name="Normal 15 2 5 7" xfId="55572" xr:uid="{00000000-0005-0000-0000-0000CECE0000}"/>
    <cellStyle name="Normal 15 2 6" xfId="8429" xr:uid="{00000000-0005-0000-0000-0000CFCE0000}"/>
    <cellStyle name="Normal 15 2 6 2" xfId="55573" xr:uid="{00000000-0005-0000-0000-0000D0CE0000}"/>
    <cellStyle name="Normal 15 2 6 2 2" xfId="55574" xr:uid="{00000000-0005-0000-0000-0000D1CE0000}"/>
    <cellStyle name="Normal 15 2 6 2 3" xfId="55575" xr:uid="{00000000-0005-0000-0000-0000D2CE0000}"/>
    <cellStyle name="Normal 15 2 6 3" xfId="55576" xr:uid="{00000000-0005-0000-0000-0000D3CE0000}"/>
    <cellStyle name="Normal 15 2 6 3 2" xfId="55577" xr:uid="{00000000-0005-0000-0000-0000D4CE0000}"/>
    <cellStyle name="Normal 15 2 6 3 3" xfId="55578" xr:uid="{00000000-0005-0000-0000-0000D5CE0000}"/>
    <cellStyle name="Normal 15 2 6 4" xfId="55579" xr:uid="{00000000-0005-0000-0000-0000D6CE0000}"/>
    <cellStyle name="Normal 15 2 6 4 2" xfId="55580" xr:uid="{00000000-0005-0000-0000-0000D7CE0000}"/>
    <cellStyle name="Normal 15 2 6 5" xfId="55581" xr:uid="{00000000-0005-0000-0000-0000D8CE0000}"/>
    <cellStyle name="Normal 15 2 6 6" xfId="55582" xr:uid="{00000000-0005-0000-0000-0000D9CE0000}"/>
    <cellStyle name="Normal 15 2 6 7" xfId="55583" xr:uid="{00000000-0005-0000-0000-0000DACE0000}"/>
    <cellStyle name="Normal 15 2 7" xfId="55584" xr:uid="{00000000-0005-0000-0000-0000DBCE0000}"/>
    <cellStyle name="Normal 15 2 7 2" xfId="55585" xr:uid="{00000000-0005-0000-0000-0000DCCE0000}"/>
    <cellStyle name="Normal 15 2 7 2 2" xfId="55586" xr:uid="{00000000-0005-0000-0000-0000DDCE0000}"/>
    <cellStyle name="Normal 15 2 7 2 3" xfId="55587" xr:uid="{00000000-0005-0000-0000-0000DECE0000}"/>
    <cellStyle name="Normal 15 2 7 3" xfId="55588" xr:uid="{00000000-0005-0000-0000-0000DFCE0000}"/>
    <cellStyle name="Normal 15 2 7 3 2" xfId="55589" xr:uid="{00000000-0005-0000-0000-0000E0CE0000}"/>
    <cellStyle name="Normal 15 2 7 4" xfId="55590" xr:uid="{00000000-0005-0000-0000-0000E1CE0000}"/>
    <cellStyle name="Normal 15 2 7 5" xfId="55591" xr:uid="{00000000-0005-0000-0000-0000E2CE0000}"/>
    <cellStyle name="Normal 15 2 8" xfId="55592" xr:uid="{00000000-0005-0000-0000-0000E3CE0000}"/>
    <cellStyle name="Normal 15 2 8 2" xfId="55593" xr:uid="{00000000-0005-0000-0000-0000E4CE0000}"/>
    <cellStyle name="Normal 15 2 8 3" xfId="55594" xr:uid="{00000000-0005-0000-0000-0000E5CE0000}"/>
    <cellStyle name="Normal 15 2 9" xfId="55595" xr:uid="{00000000-0005-0000-0000-0000E6CE0000}"/>
    <cellStyle name="Normal 15 2 9 2" xfId="55596" xr:uid="{00000000-0005-0000-0000-0000E7CE0000}"/>
    <cellStyle name="Normal 15 2 9 3" xfId="55597" xr:uid="{00000000-0005-0000-0000-0000E8CE0000}"/>
    <cellStyle name="Normal 15 3" xfId="4480" xr:uid="{00000000-0005-0000-0000-0000E9CE0000}"/>
    <cellStyle name="Normal 15 3 10" xfId="55598" xr:uid="{00000000-0005-0000-0000-0000EACE0000}"/>
    <cellStyle name="Normal 15 3 11" xfId="55599" xr:uid="{00000000-0005-0000-0000-0000EBCE0000}"/>
    <cellStyle name="Normal 15 3 2" xfId="8430" xr:uid="{00000000-0005-0000-0000-0000ECCE0000}"/>
    <cellStyle name="Normal 15 3 2 10" xfId="55600" xr:uid="{00000000-0005-0000-0000-0000EDCE0000}"/>
    <cellStyle name="Normal 15 3 2 2" xfId="8431" xr:uid="{00000000-0005-0000-0000-0000EECE0000}"/>
    <cellStyle name="Normal 15 3 2 2 2" xfId="8432" xr:uid="{00000000-0005-0000-0000-0000EFCE0000}"/>
    <cellStyle name="Normal 15 3 2 2 2 2" xfId="55601" xr:uid="{00000000-0005-0000-0000-0000F0CE0000}"/>
    <cellStyle name="Normal 15 3 2 2 2 3" xfId="55602" xr:uid="{00000000-0005-0000-0000-0000F1CE0000}"/>
    <cellStyle name="Normal 15 3 2 2 3" xfId="55603" xr:uid="{00000000-0005-0000-0000-0000F2CE0000}"/>
    <cellStyle name="Normal 15 3 2 2 3 2" xfId="55604" xr:uid="{00000000-0005-0000-0000-0000F3CE0000}"/>
    <cellStyle name="Normal 15 3 2 2 3 3" xfId="55605" xr:uid="{00000000-0005-0000-0000-0000F4CE0000}"/>
    <cellStyle name="Normal 15 3 2 2 4" xfId="55606" xr:uid="{00000000-0005-0000-0000-0000F5CE0000}"/>
    <cellStyle name="Normal 15 3 2 2 4 2" xfId="55607" xr:uid="{00000000-0005-0000-0000-0000F6CE0000}"/>
    <cellStyle name="Normal 15 3 2 2 5" xfId="55608" xr:uid="{00000000-0005-0000-0000-0000F7CE0000}"/>
    <cellStyle name="Normal 15 3 2 2 6" xfId="55609" xr:uid="{00000000-0005-0000-0000-0000F8CE0000}"/>
    <cellStyle name="Normal 15 3 2 2 7" xfId="55610" xr:uid="{00000000-0005-0000-0000-0000F9CE0000}"/>
    <cellStyle name="Normal 15 3 2 3" xfId="8433" xr:uid="{00000000-0005-0000-0000-0000FACE0000}"/>
    <cellStyle name="Normal 15 3 2 3 2" xfId="55611" xr:uid="{00000000-0005-0000-0000-0000FBCE0000}"/>
    <cellStyle name="Normal 15 3 2 3 2 2" xfId="55612" xr:uid="{00000000-0005-0000-0000-0000FCCE0000}"/>
    <cellStyle name="Normal 15 3 2 3 2 3" xfId="55613" xr:uid="{00000000-0005-0000-0000-0000FDCE0000}"/>
    <cellStyle name="Normal 15 3 2 3 3" xfId="55614" xr:uid="{00000000-0005-0000-0000-0000FECE0000}"/>
    <cellStyle name="Normal 15 3 2 3 3 2" xfId="55615" xr:uid="{00000000-0005-0000-0000-0000FFCE0000}"/>
    <cellStyle name="Normal 15 3 2 3 3 3" xfId="55616" xr:uid="{00000000-0005-0000-0000-000000CF0000}"/>
    <cellStyle name="Normal 15 3 2 3 4" xfId="55617" xr:uid="{00000000-0005-0000-0000-000001CF0000}"/>
    <cellStyle name="Normal 15 3 2 3 4 2" xfId="55618" xr:uid="{00000000-0005-0000-0000-000002CF0000}"/>
    <cellStyle name="Normal 15 3 2 3 5" xfId="55619" xr:uid="{00000000-0005-0000-0000-000003CF0000}"/>
    <cellStyle name="Normal 15 3 2 3 6" xfId="55620" xr:uid="{00000000-0005-0000-0000-000004CF0000}"/>
    <cellStyle name="Normal 15 3 2 3 7" xfId="55621" xr:uid="{00000000-0005-0000-0000-000005CF0000}"/>
    <cellStyle name="Normal 15 3 2 4" xfId="55622" xr:uid="{00000000-0005-0000-0000-000006CF0000}"/>
    <cellStyle name="Normal 15 3 2 4 2" xfId="55623" xr:uid="{00000000-0005-0000-0000-000007CF0000}"/>
    <cellStyle name="Normal 15 3 2 4 2 2" xfId="55624" xr:uid="{00000000-0005-0000-0000-000008CF0000}"/>
    <cellStyle name="Normal 15 3 2 4 2 3" xfId="55625" xr:uid="{00000000-0005-0000-0000-000009CF0000}"/>
    <cellStyle name="Normal 15 3 2 4 3" xfId="55626" xr:uid="{00000000-0005-0000-0000-00000ACF0000}"/>
    <cellStyle name="Normal 15 3 2 4 3 2" xfId="55627" xr:uid="{00000000-0005-0000-0000-00000BCF0000}"/>
    <cellStyle name="Normal 15 3 2 4 4" xfId="55628" xr:uid="{00000000-0005-0000-0000-00000CCF0000}"/>
    <cellStyle name="Normal 15 3 2 4 5" xfId="55629" xr:uid="{00000000-0005-0000-0000-00000DCF0000}"/>
    <cellStyle name="Normal 15 3 2 5" xfId="55630" xr:uid="{00000000-0005-0000-0000-00000ECF0000}"/>
    <cellStyle name="Normal 15 3 2 5 2" xfId="55631" xr:uid="{00000000-0005-0000-0000-00000FCF0000}"/>
    <cellStyle name="Normal 15 3 2 5 3" xfId="55632" xr:uid="{00000000-0005-0000-0000-000010CF0000}"/>
    <cellStyle name="Normal 15 3 2 6" xfId="55633" xr:uid="{00000000-0005-0000-0000-000011CF0000}"/>
    <cellStyle name="Normal 15 3 2 6 2" xfId="55634" xr:uid="{00000000-0005-0000-0000-000012CF0000}"/>
    <cellStyle name="Normal 15 3 2 6 3" xfId="55635" xr:uid="{00000000-0005-0000-0000-000013CF0000}"/>
    <cellStyle name="Normal 15 3 2 7" xfId="55636" xr:uid="{00000000-0005-0000-0000-000014CF0000}"/>
    <cellStyle name="Normal 15 3 2 7 2" xfId="55637" xr:uid="{00000000-0005-0000-0000-000015CF0000}"/>
    <cellStyle name="Normal 15 3 2 8" xfId="55638" xr:uid="{00000000-0005-0000-0000-000016CF0000}"/>
    <cellStyle name="Normal 15 3 2 9" xfId="55639" xr:uid="{00000000-0005-0000-0000-000017CF0000}"/>
    <cellStyle name="Normal 15 3 3" xfId="8434" xr:uid="{00000000-0005-0000-0000-000018CF0000}"/>
    <cellStyle name="Normal 15 3 3 2" xfId="8435" xr:uid="{00000000-0005-0000-0000-000019CF0000}"/>
    <cellStyle name="Normal 15 3 3 2 2" xfId="55640" xr:uid="{00000000-0005-0000-0000-00001ACF0000}"/>
    <cellStyle name="Normal 15 3 3 2 3" xfId="55641" xr:uid="{00000000-0005-0000-0000-00001BCF0000}"/>
    <cellStyle name="Normal 15 3 3 3" xfId="55642" xr:uid="{00000000-0005-0000-0000-00001CCF0000}"/>
    <cellStyle name="Normal 15 3 3 3 2" xfId="55643" xr:uid="{00000000-0005-0000-0000-00001DCF0000}"/>
    <cellStyle name="Normal 15 3 3 3 3" xfId="55644" xr:uid="{00000000-0005-0000-0000-00001ECF0000}"/>
    <cellStyle name="Normal 15 3 3 4" xfId="55645" xr:uid="{00000000-0005-0000-0000-00001FCF0000}"/>
    <cellStyle name="Normal 15 3 3 4 2" xfId="55646" xr:uid="{00000000-0005-0000-0000-000020CF0000}"/>
    <cellStyle name="Normal 15 3 3 5" xfId="55647" xr:uid="{00000000-0005-0000-0000-000021CF0000}"/>
    <cellStyle name="Normal 15 3 3 6" xfId="55648" xr:uid="{00000000-0005-0000-0000-000022CF0000}"/>
    <cellStyle name="Normal 15 3 3 7" xfId="55649" xr:uid="{00000000-0005-0000-0000-000023CF0000}"/>
    <cellStyle name="Normal 15 3 4" xfId="8436" xr:uid="{00000000-0005-0000-0000-000024CF0000}"/>
    <cellStyle name="Normal 15 3 4 2" xfId="55650" xr:uid="{00000000-0005-0000-0000-000025CF0000}"/>
    <cellStyle name="Normal 15 3 4 2 2" xfId="55651" xr:uid="{00000000-0005-0000-0000-000026CF0000}"/>
    <cellStyle name="Normal 15 3 4 2 3" xfId="55652" xr:uid="{00000000-0005-0000-0000-000027CF0000}"/>
    <cellStyle name="Normal 15 3 4 3" xfId="55653" xr:uid="{00000000-0005-0000-0000-000028CF0000}"/>
    <cellStyle name="Normal 15 3 4 3 2" xfId="55654" xr:uid="{00000000-0005-0000-0000-000029CF0000}"/>
    <cellStyle name="Normal 15 3 4 3 3" xfId="55655" xr:uid="{00000000-0005-0000-0000-00002ACF0000}"/>
    <cellStyle name="Normal 15 3 4 4" xfId="55656" xr:uid="{00000000-0005-0000-0000-00002BCF0000}"/>
    <cellStyle name="Normal 15 3 4 4 2" xfId="55657" xr:uid="{00000000-0005-0000-0000-00002CCF0000}"/>
    <cellStyle name="Normal 15 3 4 5" xfId="55658" xr:uid="{00000000-0005-0000-0000-00002DCF0000}"/>
    <cellStyle name="Normal 15 3 4 6" xfId="55659" xr:uid="{00000000-0005-0000-0000-00002ECF0000}"/>
    <cellStyle name="Normal 15 3 4 7" xfId="55660" xr:uid="{00000000-0005-0000-0000-00002FCF0000}"/>
    <cellStyle name="Normal 15 3 5" xfId="55661" xr:uid="{00000000-0005-0000-0000-000030CF0000}"/>
    <cellStyle name="Normal 15 3 5 2" xfId="55662" xr:uid="{00000000-0005-0000-0000-000031CF0000}"/>
    <cellStyle name="Normal 15 3 5 2 2" xfId="55663" xr:uid="{00000000-0005-0000-0000-000032CF0000}"/>
    <cellStyle name="Normal 15 3 5 2 3" xfId="55664" xr:uid="{00000000-0005-0000-0000-000033CF0000}"/>
    <cellStyle name="Normal 15 3 5 3" xfId="55665" xr:uid="{00000000-0005-0000-0000-000034CF0000}"/>
    <cellStyle name="Normal 15 3 5 3 2" xfId="55666" xr:uid="{00000000-0005-0000-0000-000035CF0000}"/>
    <cellStyle name="Normal 15 3 5 4" xfId="55667" xr:uid="{00000000-0005-0000-0000-000036CF0000}"/>
    <cellStyle name="Normal 15 3 5 5" xfId="55668" xr:uid="{00000000-0005-0000-0000-000037CF0000}"/>
    <cellStyle name="Normal 15 3 6" xfId="55669" xr:uid="{00000000-0005-0000-0000-000038CF0000}"/>
    <cellStyle name="Normal 15 3 6 2" xfId="55670" xr:uid="{00000000-0005-0000-0000-000039CF0000}"/>
    <cellStyle name="Normal 15 3 6 3" xfId="55671" xr:uid="{00000000-0005-0000-0000-00003ACF0000}"/>
    <cellStyle name="Normal 15 3 7" xfId="55672" xr:uid="{00000000-0005-0000-0000-00003BCF0000}"/>
    <cellStyle name="Normal 15 3 7 2" xfId="55673" xr:uid="{00000000-0005-0000-0000-00003CCF0000}"/>
    <cellStyle name="Normal 15 3 7 3" xfId="55674" xr:uid="{00000000-0005-0000-0000-00003DCF0000}"/>
    <cellStyle name="Normal 15 3 8" xfId="55675" xr:uid="{00000000-0005-0000-0000-00003ECF0000}"/>
    <cellStyle name="Normal 15 3 8 2" xfId="55676" xr:uid="{00000000-0005-0000-0000-00003FCF0000}"/>
    <cellStyle name="Normal 15 3 9" xfId="55677" xr:uid="{00000000-0005-0000-0000-000040CF0000}"/>
    <cellStyle name="Normal 15 4" xfId="4481" xr:uid="{00000000-0005-0000-0000-000041CF0000}"/>
    <cellStyle name="Normal 15 4 10" xfId="55678" xr:uid="{00000000-0005-0000-0000-000042CF0000}"/>
    <cellStyle name="Normal 15 4 2" xfId="8437" xr:uid="{00000000-0005-0000-0000-000043CF0000}"/>
    <cellStyle name="Normal 15 4 2 2" xfId="8438" xr:uid="{00000000-0005-0000-0000-000044CF0000}"/>
    <cellStyle name="Normal 15 4 2 2 2" xfId="55679" xr:uid="{00000000-0005-0000-0000-000045CF0000}"/>
    <cellStyle name="Normal 15 4 2 2 3" xfId="55680" xr:uid="{00000000-0005-0000-0000-000046CF0000}"/>
    <cellStyle name="Normal 15 4 2 2 4" xfId="55681" xr:uid="{00000000-0005-0000-0000-000047CF0000}"/>
    <cellStyle name="Normal 15 4 2 3" xfId="55682" xr:uid="{00000000-0005-0000-0000-000048CF0000}"/>
    <cellStyle name="Normal 15 4 2 3 2" xfId="55683" xr:uid="{00000000-0005-0000-0000-000049CF0000}"/>
    <cellStyle name="Normal 15 4 2 3 3" xfId="55684" xr:uid="{00000000-0005-0000-0000-00004ACF0000}"/>
    <cellStyle name="Normal 15 4 2 4" xfId="55685" xr:uid="{00000000-0005-0000-0000-00004BCF0000}"/>
    <cellStyle name="Normal 15 4 2 4 2" xfId="55686" xr:uid="{00000000-0005-0000-0000-00004CCF0000}"/>
    <cellStyle name="Normal 15 4 2 5" xfId="55687" xr:uid="{00000000-0005-0000-0000-00004DCF0000}"/>
    <cellStyle name="Normal 15 4 2 6" xfId="55688" xr:uid="{00000000-0005-0000-0000-00004ECF0000}"/>
    <cellStyle name="Normal 15 4 2 7" xfId="55689" xr:uid="{00000000-0005-0000-0000-00004FCF0000}"/>
    <cellStyle name="Normal 15 4 3" xfId="8439" xr:uid="{00000000-0005-0000-0000-000050CF0000}"/>
    <cellStyle name="Normal 15 4 3 2" xfId="55690" xr:uid="{00000000-0005-0000-0000-000051CF0000}"/>
    <cellStyle name="Normal 15 4 3 2 2" xfId="55691" xr:uid="{00000000-0005-0000-0000-000052CF0000}"/>
    <cellStyle name="Normal 15 4 3 2 3" xfId="55692" xr:uid="{00000000-0005-0000-0000-000053CF0000}"/>
    <cellStyle name="Normal 15 4 3 3" xfId="55693" xr:uid="{00000000-0005-0000-0000-000054CF0000}"/>
    <cellStyle name="Normal 15 4 3 3 2" xfId="55694" xr:uid="{00000000-0005-0000-0000-000055CF0000}"/>
    <cellStyle name="Normal 15 4 3 3 3" xfId="55695" xr:uid="{00000000-0005-0000-0000-000056CF0000}"/>
    <cellStyle name="Normal 15 4 3 4" xfId="55696" xr:uid="{00000000-0005-0000-0000-000057CF0000}"/>
    <cellStyle name="Normal 15 4 3 4 2" xfId="55697" xr:uid="{00000000-0005-0000-0000-000058CF0000}"/>
    <cellStyle name="Normal 15 4 3 5" xfId="55698" xr:uid="{00000000-0005-0000-0000-000059CF0000}"/>
    <cellStyle name="Normal 15 4 3 6" xfId="55699" xr:uid="{00000000-0005-0000-0000-00005ACF0000}"/>
    <cellStyle name="Normal 15 4 3 7" xfId="55700" xr:uid="{00000000-0005-0000-0000-00005BCF0000}"/>
    <cellStyle name="Normal 15 4 4" xfId="55701" xr:uid="{00000000-0005-0000-0000-00005CCF0000}"/>
    <cellStyle name="Normal 15 4 4 2" xfId="55702" xr:uid="{00000000-0005-0000-0000-00005DCF0000}"/>
    <cellStyle name="Normal 15 4 4 2 2" xfId="55703" xr:uid="{00000000-0005-0000-0000-00005ECF0000}"/>
    <cellStyle name="Normal 15 4 4 2 3" xfId="55704" xr:uid="{00000000-0005-0000-0000-00005FCF0000}"/>
    <cellStyle name="Normal 15 4 4 3" xfId="55705" xr:uid="{00000000-0005-0000-0000-000060CF0000}"/>
    <cellStyle name="Normal 15 4 4 3 2" xfId="55706" xr:uid="{00000000-0005-0000-0000-000061CF0000}"/>
    <cellStyle name="Normal 15 4 4 4" xfId="55707" xr:uid="{00000000-0005-0000-0000-000062CF0000}"/>
    <cellStyle name="Normal 15 4 4 5" xfId="55708" xr:uid="{00000000-0005-0000-0000-000063CF0000}"/>
    <cellStyle name="Normal 15 4 5" xfId="55709" xr:uid="{00000000-0005-0000-0000-000064CF0000}"/>
    <cellStyle name="Normal 15 4 5 2" xfId="55710" xr:uid="{00000000-0005-0000-0000-000065CF0000}"/>
    <cellStyle name="Normal 15 4 5 3" xfId="55711" xr:uid="{00000000-0005-0000-0000-000066CF0000}"/>
    <cellStyle name="Normal 15 4 6" xfId="55712" xr:uid="{00000000-0005-0000-0000-000067CF0000}"/>
    <cellStyle name="Normal 15 4 6 2" xfId="55713" xr:uid="{00000000-0005-0000-0000-000068CF0000}"/>
    <cellStyle name="Normal 15 4 6 3" xfId="55714" xr:uid="{00000000-0005-0000-0000-000069CF0000}"/>
    <cellStyle name="Normal 15 4 7" xfId="55715" xr:uid="{00000000-0005-0000-0000-00006ACF0000}"/>
    <cellStyle name="Normal 15 4 7 2" xfId="55716" xr:uid="{00000000-0005-0000-0000-00006BCF0000}"/>
    <cellStyle name="Normal 15 4 8" xfId="55717" xr:uid="{00000000-0005-0000-0000-00006CCF0000}"/>
    <cellStyle name="Normal 15 4 9" xfId="55718" xr:uid="{00000000-0005-0000-0000-00006DCF0000}"/>
    <cellStyle name="Normal 15 5" xfId="4482" xr:uid="{00000000-0005-0000-0000-00006ECF0000}"/>
    <cellStyle name="Normal 15 5 10" xfId="55719" xr:uid="{00000000-0005-0000-0000-00006FCF0000}"/>
    <cellStyle name="Normal 15 5 2" xfId="8440" xr:uid="{00000000-0005-0000-0000-000070CF0000}"/>
    <cellStyle name="Normal 15 5 2 2" xfId="55720" xr:uid="{00000000-0005-0000-0000-000071CF0000}"/>
    <cellStyle name="Normal 15 5 2 2 2" xfId="55721" xr:uid="{00000000-0005-0000-0000-000072CF0000}"/>
    <cellStyle name="Normal 15 5 2 2 3" xfId="55722" xr:uid="{00000000-0005-0000-0000-000073CF0000}"/>
    <cellStyle name="Normal 15 5 2 3" xfId="55723" xr:uid="{00000000-0005-0000-0000-000074CF0000}"/>
    <cellStyle name="Normal 15 5 2 3 2" xfId="55724" xr:uid="{00000000-0005-0000-0000-000075CF0000}"/>
    <cellStyle name="Normal 15 5 2 3 3" xfId="55725" xr:uid="{00000000-0005-0000-0000-000076CF0000}"/>
    <cellStyle name="Normal 15 5 2 4" xfId="55726" xr:uid="{00000000-0005-0000-0000-000077CF0000}"/>
    <cellStyle name="Normal 15 5 2 4 2" xfId="55727" xr:uid="{00000000-0005-0000-0000-000078CF0000}"/>
    <cellStyle name="Normal 15 5 2 5" xfId="55728" xr:uid="{00000000-0005-0000-0000-000079CF0000}"/>
    <cellStyle name="Normal 15 5 2 6" xfId="55729" xr:uid="{00000000-0005-0000-0000-00007ACF0000}"/>
    <cellStyle name="Normal 15 5 2 7" xfId="55730" xr:uid="{00000000-0005-0000-0000-00007BCF0000}"/>
    <cellStyle name="Normal 15 5 3" xfId="55731" xr:uid="{00000000-0005-0000-0000-00007CCF0000}"/>
    <cellStyle name="Normal 15 5 3 2" xfId="55732" xr:uid="{00000000-0005-0000-0000-00007DCF0000}"/>
    <cellStyle name="Normal 15 5 3 2 2" xfId="55733" xr:uid="{00000000-0005-0000-0000-00007ECF0000}"/>
    <cellStyle name="Normal 15 5 3 2 3" xfId="55734" xr:uid="{00000000-0005-0000-0000-00007FCF0000}"/>
    <cellStyle name="Normal 15 5 3 3" xfId="55735" xr:uid="{00000000-0005-0000-0000-000080CF0000}"/>
    <cellStyle name="Normal 15 5 3 3 2" xfId="55736" xr:uid="{00000000-0005-0000-0000-000081CF0000}"/>
    <cellStyle name="Normal 15 5 3 3 3" xfId="55737" xr:uid="{00000000-0005-0000-0000-000082CF0000}"/>
    <cellStyle name="Normal 15 5 3 4" xfId="55738" xr:uid="{00000000-0005-0000-0000-000083CF0000}"/>
    <cellStyle name="Normal 15 5 3 4 2" xfId="55739" xr:uid="{00000000-0005-0000-0000-000084CF0000}"/>
    <cellStyle name="Normal 15 5 3 5" xfId="55740" xr:uid="{00000000-0005-0000-0000-000085CF0000}"/>
    <cellStyle name="Normal 15 5 3 6" xfId="55741" xr:uid="{00000000-0005-0000-0000-000086CF0000}"/>
    <cellStyle name="Normal 15 5 4" xfId="55742" xr:uid="{00000000-0005-0000-0000-000087CF0000}"/>
    <cellStyle name="Normal 15 5 4 2" xfId="55743" xr:uid="{00000000-0005-0000-0000-000088CF0000}"/>
    <cellStyle name="Normal 15 5 4 2 2" xfId="55744" xr:uid="{00000000-0005-0000-0000-000089CF0000}"/>
    <cellStyle name="Normal 15 5 4 2 3" xfId="55745" xr:uid="{00000000-0005-0000-0000-00008ACF0000}"/>
    <cellStyle name="Normal 15 5 4 3" xfId="55746" xr:uid="{00000000-0005-0000-0000-00008BCF0000}"/>
    <cellStyle name="Normal 15 5 4 3 2" xfId="55747" xr:uid="{00000000-0005-0000-0000-00008CCF0000}"/>
    <cellStyle name="Normal 15 5 4 4" xfId="55748" xr:uid="{00000000-0005-0000-0000-00008DCF0000}"/>
    <cellStyle name="Normal 15 5 4 5" xfId="55749" xr:uid="{00000000-0005-0000-0000-00008ECF0000}"/>
    <cellStyle name="Normal 15 5 5" xfId="55750" xr:uid="{00000000-0005-0000-0000-00008FCF0000}"/>
    <cellStyle name="Normal 15 5 5 2" xfId="55751" xr:uid="{00000000-0005-0000-0000-000090CF0000}"/>
    <cellStyle name="Normal 15 5 5 3" xfId="55752" xr:uid="{00000000-0005-0000-0000-000091CF0000}"/>
    <cellStyle name="Normal 15 5 6" xfId="55753" xr:uid="{00000000-0005-0000-0000-000092CF0000}"/>
    <cellStyle name="Normal 15 5 6 2" xfId="55754" xr:uid="{00000000-0005-0000-0000-000093CF0000}"/>
    <cellStyle name="Normal 15 5 6 3" xfId="55755" xr:uid="{00000000-0005-0000-0000-000094CF0000}"/>
    <cellStyle name="Normal 15 5 7" xfId="55756" xr:uid="{00000000-0005-0000-0000-000095CF0000}"/>
    <cellStyle name="Normal 15 5 7 2" xfId="55757" xr:uid="{00000000-0005-0000-0000-000096CF0000}"/>
    <cellStyle name="Normal 15 5 8" xfId="55758" xr:uid="{00000000-0005-0000-0000-000097CF0000}"/>
    <cellStyle name="Normal 15 5 9" xfId="55759" xr:uid="{00000000-0005-0000-0000-000098CF0000}"/>
    <cellStyle name="Normal 15 6" xfId="8441" xr:uid="{00000000-0005-0000-0000-000099CF0000}"/>
    <cellStyle name="Normal 15 6 2" xfId="8442" xr:uid="{00000000-0005-0000-0000-00009ACF0000}"/>
    <cellStyle name="Normal 15 6 2 2" xfId="55760" xr:uid="{00000000-0005-0000-0000-00009BCF0000}"/>
    <cellStyle name="Normal 15 6 2 3" xfId="55761" xr:uid="{00000000-0005-0000-0000-00009CCF0000}"/>
    <cellStyle name="Normal 15 6 2 4" xfId="55762" xr:uid="{00000000-0005-0000-0000-00009DCF0000}"/>
    <cellStyle name="Normal 15 6 3" xfId="55763" xr:uid="{00000000-0005-0000-0000-00009ECF0000}"/>
    <cellStyle name="Normal 15 6 3 2" xfId="55764" xr:uid="{00000000-0005-0000-0000-00009FCF0000}"/>
    <cellStyle name="Normal 15 6 3 3" xfId="55765" xr:uid="{00000000-0005-0000-0000-0000A0CF0000}"/>
    <cellStyle name="Normal 15 6 4" xfId="55766" xr:uid="{00000000-0005-0000-0000-0000A1CF0000}"/>
    <cellStyle name="Normal 15 6 4 2" xfId="55767" xr:uid="{00000000-0005-0000-0000-0000A2CF0000}"/>
    <cellStyle name="Normal 15 6 5" xfId="55768" xr:uid="{00000000-0005-0000-0000-0000A3CF0000}"/>
    <cellStyle name="Normal 15 6 6" xfId="55769" xr:uid="{00000000-0005-0000-0000-0000A4CF0000}"/>
    <cellStyle name="Normal 15 6 7" xfId="55770" xr:uid="{00000000-0005-0000-0000-0000A5CF0000}"/>
    <cellStyle name="Normal 15 7" xfId="8443" xr:uid="{00000000-0005-0000-0000-0000A6CF0000}"/>
    <cellStyle name="Normal 15 7 2" xfId="55771" xr:uid="{00000000-0005-0000-0000-0000A7CF0000}"/>
    <cellStyle name="Normal 15 7 2 2" xfId="55772" xr:uid="{00000000-0005-0000-0000-0000A8CF0000}"/>
    <cellStyle name="Normal 15 7 2 3" xfId="55773" xr:uid="{00000000-0005-0000-0000-0000A9CF0000}"/>
    <cellStyle name="Normal 15 7 3" xfId="55774" xr:uid="{00000000-0005-0000-0000-0000AACF0000}"/>
    <cellStyle name="Normal 15 7 3 2" xfId="55775" xr:uid="{00000000-0005-0000-0000-0000ABCF0000}"/>
    <cellStyle name="Normal 15 7 3 3" xfId="55776" xr:uid="{00000000-0005-0000-0000-0000ACCF0000}"/>
    <cellStyle name="Normal 15 7 4" xfId="55777" xr:uid="{00000000-0005-0000-0000-0000ADCF0000}"/>
    <cellStyle name="Normal 15 7 4 2" xfId="55778" xr:uid="{00000000-0005-0000-0000-0000AECF0000}"/>
    <cellStyle name="Normal 15 7 5" xfId="55779" xr:uid="{00000000-0005-0000-0000-0000AFCF0000}"/>
    <cellStyle name="Normal 15 7 6" xfId="55780" xr:uid="{00000000-0005-0000-0000-0000B0CF0000}"/>
    <cellStyle name="Normal 15 7 7" xfId="55781" xr:uid="{00000000-0005-0000-0000-0000B1CF0000}"/>
    <cellStyle name="Normal 15 8" xfId="9370" xr:uid="{00000000-0005-0000-0000-0000B2CF0000}"/>
    <cellStyle name="Normal 15 8 2" xfId="55782" xr:uid="{00000000-0005-0000-0000-0000B3CF0000}"/>
    <cellStyle name="Normal 15 8 2 2" xfId="55783" xr:uid="{00000000-0005-0000-0000-0000B4CF0000}"/>
    <cellStyle name="Normal 15 8 2 3" xfId="55784" xr:uid="{00000000-0005-0000-0000-0000B5CF0000}"/>
    <cellStyle name="Normal 15 8 3" xfId="55785" xr:uid="{00000000-0005-0000-0000-0000B6CF0000}"/>
    <cellStyle name="Normal 15 8 3 2" xfId="55786" xr:uid="{00000000-0005-0000-0000-0000B7CF0000}"/>
    <cellStyle name="Normal 15 8 4" xfId="55787" xr:uid="{00000000-0005-0000-0000-0000B8CF0000}"/>
    <cellStyle name="Normal 15 8 5" xfId="55788" xr:uid="{00000000-0005-0000-0000-0000B9CF0000}"/>
    <cellStyle name="Normal 15 9" xfId="55789" xr:uid="{00000000-0005-0000-0000-0000BACF0000}"/>
    <cellStyle name="Normal 15 9 2" xfId="55790" xr:uid="{00000000-0005-0000-0000-0000BBCF0000}"/>
    <cellStyle name="Normal 15 9 3" xfId="55791" xr:uid="{00000000-0005-0000-0000-0000BCCF0000}"/>
    <cellStyle name="Normal 16" xfId="4483" xr:uid="{00000000-0005-0000-0000-0000BDCF0000}"/>
    <cellStyle name="Normal 16 2" xfId="4484" xr:uid="{00000000-0005-0000-0000-0000BECF0000}"/>
    <cellStyle name="Normal 16 2 2" xfId="9236" xr:uid="{00000000-0005-0000-0000-0000BFCF0000}"/>
    <cellStyle name="Normal 16 2 2 2" xfId="9237" xr:uid="{00000000-0005-0000-0000-0000C0CF0000}"/>
    <cellStyle name="Normal 16 2 3" xfId="9238" xr:uid="{00000000-0005-0000-0000-0000C1CF0000}"/>
    <cellStyle name="Normal 16 2 4" xfId="9239" xr:uid="{00000000-0005-0000-0000-0000C2CF0000}"/>
    <cellStyle name="Normal 16 3" xfId="9240" xr:uid="{00000000-0005-0000-0000-0000C3CF0000}"/>
    <cellStyle name="Normal 16 3 2" xfId="9241" xr:uid="{00000000-0005-0000-0000-0000C4CF0000}"/>
    <cellStyle name="Normal 16 4" xfId="9242" xr:uid="{00000000-0005-0000-0000-0000C5CF0000}"/>
    <cellStyle name="Normal 16 4 2" xfId="55792" xr:uid="{00000000-0005-0000-0000-0000C6CF0000}"/>
    <cellStyle name="Normal 16 5" xfId="9243" xr:uid="{00000000-0005-0000-0000-0000C7CF0000}"/>
    <cellStyle name="Normal 16 6" xfId="55793" xr:uid="{00000000-0005-0000-0000-0000C8CF0000}"/>
    <cellStyle name="Normal 17" xfId="4485" xr:uid="{00000000-0005-0000-0000-0000C9CF0000}"/>
    <cellStyle name="Normal 17 10" xfId="55794" xr:uid="{00000000-0005-0000-0000-0000CACF0000}"/>
    <cellStyle name="Normal 17 10 2" xfId="55795" xr:uid="{00000000-0005-0000-0000-0000CBCF0000}"/>
    <cellStyle name="Normal 17 11" xfId="55796" xr:uid="{00000000-0005-0000-0000-0000CCCF0000}"/>
    <cellStyle name="Normal 17 12" xfId="55797" xr:uid="{00000000-0005-0000-0000-0000CDCF0000}"/>
    <cellStyle name="Normal 17 13" xfId="55798" xr:uid="{00000000-0005-0000-0000-0000CECF0000}"/>
    <cellStyle name="Normal 17 2" xfId="4486" xr:uid="{00000000-0005-0000-0000-0000CFCF0000}"/>
    <cellStyle name="Normal 17 2 10" xfId="55799" xr:uid="{00000000-0005-0000-0000-0000D0CF0000}"/>
    <cellStyle name="Normal 17 2 11" xfId="55800" xr:uid="{00000000-0005-0000-0000-0000D1CF0000}"/>
    <cellStyle name="Normal 17 2 2" xfId="4487" xr:uid="{00000000-0005-0000-0000-0000D2CF0000}"/>
    <cellStyle name="Normal 17 2 2 10" xfId="55801" xr:uid="{00000000-0005-0000-0000-0000D3CF0000}"/>
    <cellStyle name="Normal 17 2 2 2" xfId="8444" xr:uid="{00000000-0005-0000-0000-0000D4CF0000}"/>
    <cellStyle name="Normal 17 2 2 2 2" xfId="8445" xr:uid="{00000000-0005-0000-0000-0000D5CF0000}"/>
    <cellStyle name="Normal 17 2 2 2 2 2" xfId="55802" xr:uid="{00000000-0005-0000-0000-0000D6CF0000}"/>
    <cellStyle name="Normal 17 2 2 2 2 3" xfId="55803" xr:uid="{00000000-0005-0000-0000-0000D7CF0000}"/>
    <cellStyle name="Normal 17 2 2 2 3" xfId="55804" xr:uid="{00000000-0005-0000-0000-0000D8CF0000}"/>
    <cellStyle name="Normal 17 2 2 2 3 2" xfId="55805" xr:uid="{00000000-0005-0000-0000-0000D9CF0000}"/>
    <cellStyle name="Normal 17 2 2 2 3 3" xfId="55806" xr:uid="{00000000-0005-0000-0000-0000DACF0000}"/>
    <cellStyle name="Normal 17 2 2 2 4" xfId="55807" xr:uid="{00000000-0005-0000-0000-0000DBCF0000}"/>
    <cellStyle name="Normal 17 2 2 2 4 2" xfId="55808" xr:uid="{00000000-0005-0000-0000-0000DCCF0000}"/>
    <cellStyle name="Normal 17 2 2 2 5" xfId="55809" xr:uid="{00000000-0005-0000-0000-0000DDCF0000}"/>
    <cellStyle name="Normal 17 2 2 2 6" xfId="55810" xr:uid="{00000000-0005-0000-0000-0000DECF0000}"/>
    <cellStyle name="Normal 17 2 2 2 7" xfId="55811" xr:uid="{00000000-0005-0000-0000-0000DFCF0000}"/>
    <cellStyle name="Normal 17 2 2 3" xfId="8446" xr:uid="{00000000-0005-0000-0000-0000E0CF0000}"/>
    <cellStyle name="Normal 17 2 2 3 2" xfId="55812" xr:uid="{00000000-0005-0000-0000-0000E1CF0000}"/>
    <cellStyle name="Normal 17 2 2 3 2 2" xfId="55813" xr:uid="{00000000-0005-0000-0000-0000E2CF0000}"/>
    <cellStyle name="Normal 17 2 2 3 2 3" xfId="55814" xr:uid="{00000000-0005-0000-0000-0000E3CF0000}"/>
    <cellStyle name="Normal 17 2 2 3 3" xfId="55815" xr:uid="{00000000-0005-0000-0000-0000E4CF0000}"/>
    <cellStyle name="Normal 17 2 2 3 3 2" xfId="55816" xr:uid="{00000000-0005-0000-0000-0000E5CF0000}"/>
    <cellStyle name="Normal 17 2 2 3 3 3" xfId="55817" xr:uid="{00000000-0005-0000-0000-0000E6CF0000}"/>
    <cellStyle name="Normal 17 2 2 3 4" xfId="55818" xr:uid="{00000000-0005-0000-0000-0000E7CF0000}"/>
    <cellStyle name="Normal 17 2 2 3 4 2" xfId="55819" xr:uid="{00000000-0005-0000-0000-0000E8CF0000}"/>
    <cellStyle name="Normal 17 2 2 3 5" xfId="55820" xr:uid="{00000000-0005-0000-0000-0000E9CF0000}"/>
    <cellStyle name="Normal 17 2 2 3 6" xfId="55821" xr:uid="{00000000-0005-0000-0000-0000EACF0000}"/>
    <cellStyle name="Normal 17 2 2 3 7" xfId="55822" xr:uid="{00000000-0005-0000-0000-0000EBCF0000}"/>
    <cellStyle name="Normal 17 2 2 4" xfId="55823" xr:uid="{00000000-0005-0000-0000-0000ECCF0000}"/>
    <cellStyle name="Normal 17 2 2 4 2" xfId="55824" xr:uid="{00000000-0005-0000-0000-0000EDCF0000}"/>
    <cellStyle name="Normal 17 2 2 4 2 2" xfId="55825" xr:uid="{00000000-0005-0000-0000-0000EECF0000}"/>
    <cellStyle name="Normal 17 2 2 4 2 3" xfId="55826" xr:uid="{00000000-0005-0000-0000-0000EFCF0000}"/>
    <cellStyle name="Normal 17 2 2 4 3" xfId="55827" xr:uid="{00000000-0005-0000-0000-0000F0CF0000}"/>
    <cellStyle name="Normal 17 2 2 4 3 2" xfId="55828" xr:uid="{00000000-0005-0000-0000-0000F1CF0000}"/>
    <cellStyle name="Normal 17 2 2 4 4" xfId="55829" xr:uid="{00000000-0005-0000-0000-0000F2CF0000}"/>
    <cellStyle name="Normal 17 2 2 4 5" xfId="55830" xr:uid="{00000000-0005-0000-0000-0000F3CF0000}"/>
    <cellStyle name="Normal 17 2 2 5" xfId="55831" xr:uid="{00000000-0005-0000-0000-0000F4CF0000}"/>
    <cellStyle name="Normal 17 2 2 5 2" xfId="55832" xr:uid="{00000000-0005-0000-0000-0000F5CF0000}"/>
    <cellStyle name="Normal 17 2 2 5 3" xfId="55833" xr:uid="{00000000-0005-0000-0000-0000F6CF0000}"/>
    <cellStyle name="Normal 17 2 2 6" xfId="55834" xr:uid="{00000000-0005-0000-0000-0000F7CF0000}"/>
    <cellStyle name="Normal 17 2 2 6 2" xfId="55835" xr:uid="{00000000-0005-0000-0000-0000F8CF0000}"/>
    <cellStyle name="Normal 17 2 2 6 3" xfId="55836" xr:uid="{00000000-0005-0000-0000-0000F9CF0000}"/>
    <cellStyle name="Normal 17 2 2 7" xfId="55837" xr:uid="{00000000-0005-0000-0000-0000FACF0000}"/>
    <cellStyle name="Normal 17 2 2 7 2" xfId="55838" xr:uid="{00000000-0005-0000-0000-0000FBCF0000}"/>
    <cellStyle name="Normal 17 2 2 8" xfId="55839" xr:uid="{00000000-0005-0000-0000-0000FCCF0000}"/>
    <cellStyle name="Normal 17 2 2 9" xfId="55840" xr:uid="{00000000-0005-0000-0000-0000FDCF0000}"/>
    <cellStyle name="Normal 17 2 3" xfId="8447" xr:uid="{00000000-0005-0000-0000-0000FECF0000}"/>
    <cellStyle name="Normal 17 2 3 2" xfId="8448" xr:uid="{00000000-0005-0000-0000-0000FFCF0000}"/>
    <cellStyle name="Normal 17 2 3 2 2" xfId="55841" xr:uid="{00000000-0005-0000-0000-000000D00000}"/>
    <cellStyle name="Normal 17 2 3 2 3" xfId="55842" xr:uid="{00000000-0005-0000-0000-000001D00000}"/>
    <cellStyle name="Normal 17 2 3 3" xfId="55843" xr:uid="{00000000-0005-0000-0000-000002D00000}"/>
    <cellStyle name="Normal 17 2 3 3 2" xfId="55844" xr:uid="{00000000-0005-0000-0000-000003D00000}"/>
    <cellStyle name="Normal 17 2 3 3 3" xfId="55845" xr:uid="{00000000-0005-0000-0000-000004D00000}"/>
    <cellStyle name="Normal 17 2 3 4" xfId="55846" xr:uid="{00000000-0005-0000-0000-000005D00000}"/>
    <cellStyle name="Normal 17 2 3 4 2" xfId="55847" xr:uid="{00000000-0005-0000-0000-000006D00000}"/>
    <cellStyle name="Normal 17 2 3 5" xfId="55848" xr:uid="{00000000-0005-0000-0000-000007D00000}"/>
    <cellStyle name="Normal 17 2 3 6" xfId="55849" xr:uid="{00000000-0005-0000-0000-000008D00000}"/>
    <cellStyle name="Normal 17 2 3 7" xfId="55850" xr:uid="{00000000-0005-0000-0000-000009D00000}"/>
    <cellStyle name="Normal 17 2 4" xfId="8449" xr:uid="{00000000-0005-0000-0000-00000AD00000}"/>
    <cellStyle name="Normal 17 2 4 2" xfId="55851" xr:uid="{00000000-0005-0000-0000-00000BD00000}"/>
    <cellStyle name="Normal 17 2 4 2 2" xfId="55852" xr:uid="{00000000-0005-0000-0000-00000CD00000}"/>
    <cellStyle name="Normal 17 2 4 2 3" xfId="55853" xr:uid="{00000000-0005-0000-0000-00000DD00000}"/>
    <cellStyle name="Normal 17 2 4 3" xfId="55854" xr:uid="{00000000-0005-0000-0000-00000ED00000}"/>
    <cellStyle name="Normal 17 2 4 3 2" xfId="55855" xr:uid="{00000000-0005-0000-0000-00000FD00000}"/>
    <cellStyle name="Normal 17 2 4 3 3" xfId="55856" xr:uid="{00000000-0005-0000-0000-000010D00000}"/>
    <cellStyle name="Normal 17 2 4 4" xfId="55857" xr:uid="{00000000-0005-0000-0000-000011D00000}"/>
    <cellStyle name="Normal 17 2 4 4 2" xfId="55858" xr:uid="{00000000-0005-0000-0000-000012D00000}"/>
    <cellStyle name="Normal 17 2 4 5" xfId="55859" xr:uid="{00000000-0005-0000-0000-000013D00000}"/>
    <cellStyle name="Normal 17 2 4 6" xfId="55860" xr:uid="{00000000-0005-0000-0000-000014D00000}"/>
    <cellStyle name="Normal 17 2 4 7" xfId="55861" xr:uid="{00000000-0005-0000-0000-000015D00000}"/>
    <cellStyle name="Normal 17 2 5" xfId="55862" xr:uid="{00000000-0005-0000-0000-000016D00000}"/>
    <cellStyle name="Normal 17 2 5 2" xfId="55863" xr:uid="{00000000-0005-0000-0000-000017D00000}"/>
    <cellStyle name="Normal 17 2 5 2 2" xfId="55864" xr:uid="{00000000-0005-0000-0000-000018D00000}"/>
    <cellStyle name="Normal 17 2 5 2 3" xfId="55865" xr:uid="{00000000-0005-0000-0000-000019D00000}"/>
    <cellStyle name="Normal 17 2 5 3" xfId="55866" xr:uid="{00000000-0005-0000-0000-00001AD00000}"/>
    <cellStyle name="Normal 17 2 5 3 2" xfId="55867" xr:uid="{00000000-0005-0000-0000-00001BD00000}"/>
    <cellStyle name="Normal 17 2 5 4" xfId="55868" xr:uid="{00000000-0005-0000-0000-00001CD00000}"/>
    <cellStyle name="Normal 17 2 5 5" xfId="55869" xr:uid="{00000000-0005-0000-0000-00001DD00000}"/>
    <cellStyle name="Normal 17 2 6" xfId="55870" xr:uid="{00000000-0005-0000-0000-00001ED00000}"/>
    <cellStyle name="Normal 17 2 6 2" xfId="55871" xr:uid="{00000000-0005-0000-0000-00001FD00000}"/>
    <cellStyle name="Normal 17 2 6 3" xfId="55872" xr:uid="{00000000-0005-0000-0000-000020D00000}"/>
    <cellStyle name="Normal 17 2 7" xfId="55873" xr:uid="{00000000-0005-0000-0000-000021D00000}"/>
    <cellStyle name="Normal 17 2 7 2" xfId="55874" xr:uid="{00000000-0005-0000-0000-000022D00000}"/>
    <cellStyle name="Normal 17 2 7 3" xfId="55875" xr:uid="{00000000-0005-0000-0000-000023D00000}"/>
    <cellStyle name="Normal 17 2 8" xfId="55876" xr:uid="{00000000-0005-0000-0000-000024D00000}"/>
    <cellStyle name="Normal 17 2 8 2" xfId="55877" xr:uid="{00000000-0005-0000-0000-000025D00000}"/>
    <cellStyle name="Normal 17 2 9" xfId="55878" xr:uid="{00000000-0005-0000-0000-000026D00000}"/>
    <cellStyle name="Normal 17 3" xfId="4488" xr:uid="{00000000-0005-0000-0000-000027D00000}"/>
    <cellStyle name="Normal 17 3 10" xfId="55879" xr:uid="{00000000-0005-0000-0000-000028D00000}"/>
    <cellStyle name="Normal 17 3 2" xfId="8450" xr:uid="{00000000-0005-0000-0000-000029D00000}"/>
    <cellStyle name="Normal 17 3 2 2" xfId="8451" xr:uid="{00000000-0005-0000-0000-00002AD00000}"/>
    <cellStyle name="Normal 17 3 2 2 2" xfId="55880" xr:uid="{00000000-0005-0000-0000-00002BD00000}"/>
    <cellStyle name="Normal 17 3 2 2 3" xfId="55881" xr:uid="{00000000-0005-0000-0000-00002CD00000}"/>
    <cellStyle name="Normal 17 3 2 2 4" xfId="55882" xr:uid="{00000000-0005-0000-0000-00002DD00000}"/>
    <cellStyle name="Normal 17 3 2 3" xfId="55883" xr:uid="{00000000-0005-0000-0000-00002ED00000}"/>
    <cellStyle name="Normal 17 3 2 3 2" xfId="55884" xr:uid="{00000000-0005-0000-0000-00002FD00000}"/>
    <cellStyle name="Normal 17 3 2 3 3" xfId="55885" xr:uid="{00000000-0005-0000-0000-000030D00000}"/>
    <cellStyle name="Normal 17 3 2 4" xfId="55886" xr:uid="{00000000-0005-0000-0000-000031D00000}"/>
    <cellStyle name="Normal 17 3 2 4 2" xfId="55887" xr:uid="{00000000-0005-0000-0000-000032D00000}"/>
    <cellStyle name="Normal 17 3 2 5" xfId="55888" xr:uid="{00000000-0005-0000-0000-000033D00000}"/>
    <cellStyle name="Normal 17 3 2 6" xfId="55889" xr:uid="{00000000-0005-0000-0000-000034D00000}"/>
    <cellStyle name="Normal 17 3 2 7" xfId="55890" xr:uid="{00000000-0005-0000-0000-000035D00000}"/>
    <cellStyle name="Normal 17 3 3" xfId="8452" xr:uid="{00000000-0005-0000-0000-000036D00000}"/>
    <cellStyle name="Normal 17 3 3 2" xfId="55891" xr:uid="{00000000-0005-0000-0000-000037D00000}"/>
    <cellStyle name="Normal 17 3 3 2 2" xfId="55892" xr:uid="{00000000-0005-0000-0000-000038D00000}"/>
    <cellStyle name="Normal 17 3 3 2 3" xfId="55893" xr:uid="{00000000-0005-0000-0000-000039D00000}"/>
    <cellStyle name="Normal 17 3 3 3" xfId="55894" xr:uid="{00000000-0005-0000-0000-00003AD00000}"/>
    <cellStyle name="Normal 17 3 3 3 2" xfId="55895" xr:uid="{00000000-0005-0000-0000-00003BD00000}"/>
    <cellStyle name="Normal 17 3 3 3 3" xfId="55896" xr:uid="{00000000-0005-0000-0000-00003CD00000}"/>
    <cellStyle name="Normal 17 3 3 4" xfId="55897" xr:uid="{00000000-0005-0000-0000-00003DD00000}"/>
    <cellStyle name="Normal 17 3 3 4 2" xfId="55898" xr:uid="{00000000-0005-0000-0000-00003ED00000}"/>
    <cellStyle name="Normal 17 3 3 5" xfId="55899" xr:uid="{00000000-0005-0000-0000-00003FD00000}"/>
    <cellStyle name="Normal 17 3 3 6" xfId="55900" xr:uid="{00000000-0005-0000-0000-000040D00000}"/>
    <cellStyle name="Normal 17 3 3 7" xfId="55901" xr:uid="{00000000-0005-0000-0000-000041D00000}"/>
    <cellStyle name="Normal 17 3 4" xfId="55902" xr:uid="{00000000-0005-0000-0000-000042D00000}"/>
    <cellStyle name="Normal 17 3 4 2" xfId="55903" xr:uid="{00000000-0005-0000-0000-000043D00000}"/>
    <cellStyle name="Normal 17 3 4 2 2" xfId="55904" xr:uid="{00000000-0005-0000-0000-000044D00000}"/>
    <cellStyle name="Normal 17 3 4 2 3" xfId="55905" xr:uid="{00000000-0005-0000-0000-000045D00000}"/>
    <cellStyle name="Normal 17 3 4 3" xfId="55906" xr:uid="{00000000-0005-0000-0000-000046D00000}"/>
    <cellStyle name="Normal 17 3 4 3 2" xfId="55907" xr:uid="{00000000-0005-0000-0000-000047D00000}"/>
    <cellStyle name="Normal 17 3 4 4" xfId="55908" xr:uid="{00000000-0005-0000-0000-000048D00000}"/>
    <cellStyle name="Normal 17 3 4 5" xfId="55909" xr:uid="{00000000-0005-0000-0000-000049D00000}"/>
    <cellStyle name="Normal 17 3 5" xfId="55910" xr:uid="{00000000-0005-0000-0000-00004AD00000}"/>
    <cellStyle name="Normal 17 3 5 2" xfId="55911" xr:uid="{00000000-0005-0000-0000-00004BD00000}"/>
    <cellStyle name="Normal 17 3 5 3" xfId="55912" xr:uid="{00000000-0005-0000-0000-00004CD00000}"/>
    <cellStyle name="Normal 17 3 6" xfId="55913" xr:uid="{00000000-0005-0000-0000-00004DD00000}"/>
    <cellStyle name="Normal 17 3 6 2" xfId="55914" xr:uid="{00000000-0005-0000-0000-00004ED00000}"/>
    <cellStyle name="Normal 17 3 6 3" xfId="55915" xr:uid="{00000000-0005-0000-0000-00004FD00000}"/>
    <cellStyle name="Normal 17 3 7" xfId="55916" xr:uid="{00000000-0005-0000-0000-000050D00000}"/>
    <cellStyle name="Normal 17 3 7 2" xfId="55917" xr:uid="{00000000-0005-0000-0000-000051D00000}"/>
    <cellStyle name="Normal 17 3 8" xfId="55918" xr:uid="{00000000-0005-0000-0000-000052D00000}"/>
    <cellStyle name="Normal 17 3 9" xfId="55919" xr:uid="{00000000-0005-0000-0000-000053D00000}"/>
    <cellStyle name="Normal 17 4" xfId="8453" xr:uid="{00000000-0005-0000-0000-000054D00000}"/>
    <cellStyle name="Normal 17 4 10" xfId="55920" xr:uid="{00000000-0005-0000-0000-000055D00000}"/>
    <cellStyle name="Normal 17 4 2" xfId="8454" xr:uid="{00000000-0005-0000-0000-000056D00000}"/>
    <cellStyle name="Normal 17 4 2 2" xfId="55921" xr:uid="{00000000-0005-0000-0000-000057D00000}"/>
    <cellStyle name="Normal 17 4 2 2 2" xfId="55922" xr:uid="{00000000-0005-0000-0000-000058D00000}"/>
    <cellStyle name="Normal 17 4 2 2 3" xfId="55923" xr:uid="{00000000-0005-0000-0000-000059D00000}"/>
    <cellStyle name="Normal 17 4 2 3" xfId="55924" xr:uid="{00000000-0005-0000-0000-00005AD00000}"/>
    <cellStyle name="Normal 17 4 2 3 2" xfId="55925" xr:uid="{00000000-0005-0000-0000-00005BD00000}"/>
    <cellStyle name="Normal 17 4 2 3 3" xfId="55926" xr:uid="{00000000-0005-0000-0000-00005CD00000}"/>
    <cellStyle name="Normal 17 4 2 4" xfId="55927" xr:uid="{00000000-0005-0000-0000-00005DD00000}"/>
    <cellStyle name="Normal 17 4 2 4 2" xfId="55928" xr:uid="{00000000-0005-0000-0000-00005ED00000}"/>
    <cellStyle name="Normal 17 4 2 5" xfId="55929" xr:uid="{00000000-0005-0000-0000-00005FD00000}"/>
    <cellStyle name="Normal 17 4 2 6" xfId="55930" xr:uid="{00000000-0005-0000-0000-000060D00000}"/>
    <cellStyle name="Normal 17 4 2 7" xfId="55931" xr:uid="{00000000-0005-0000-0000-000061D00000}"/>
    <cellStyle name="Normal 17 4 3" xfId="55932" xr:uid="{00000000-0005-0000-0000-000062D00000}"/>
    <cellStyle name="Normal 17 4 3 2" xfId="55933" xr:uid="{00000000-0005-0000-0000-000063D00000}"/>
    <cellStyle name="Normal 17 4 3 2 2" xfId="55934" xr:uid="{00000000-0005-0000-0000-000064D00000}"/>
    <cellStyle name="Normal 17 4 3 2 3" xfId="55935" xr:uid="{00000000-0005-0000-0000-000065D00000}"/>
    <cellStyle name="Normal 17 4 3 3" xfId="55936" xr:uid="{00000000-0005-0000-0000-000066D00000}"/>
    <cellStyle name="Normal 17 4 3 3 2" xfId="55937" xr:uid="{00000000-0005-0000-0000-000067D00000}"/>
    <cellStyle name="Normal 17 4 3 3 3" xfId="55938" xr:uid="{00000000-0005-0000-0000-000068D00000}"/>
    <cellStyle name="Normal 17 4 3 4" xfId="55939" xr:uid="{00000000-0005-0000-0000-000069D00000}"/>
    <cellStyle name="Normal 17 4 3 4 2" xfId="55940" xr:uid="{00000000-0005-0000-0000-00006AD00000}"/>
    <cellStyle name="Normal 17 4 3 5" xfId="55941" xr:uid="{00000000-0005-0000-0000-00006BD00000}"/>
    <cellStyle name="Normal 17 4 3 6" xfId="55942" xr:uid="{00000000-0005-0000-0000-00006CD00000}"/>
    <cellStyle name="Normal 17 4 4" xfId="55943" xr:uid="{00000000-0005-0000-0000-00006DD00000}"/>
    <cellStyle name="Normal 17 4 4 2" xfId="55944" xr:uid="{00000000-0005-0000-0000-00006ED00000}"/>
    <cellStyle name="Normal 17 4 4 2 2" xfId="55945" xr:uid="{00000000-0005-0000-0000-00006FD00000}"/>
    <cellStyle name="Normal 17 4 4 2 3" xfId="55946" xr:uid="{00000000-0005-0000-0000-000070D00000}"/>
    <cellStyle name="Normal 17 4 4 3" xfId="55947" xr:uid="{00000000-0005-0000-0000-000071D00000}"/>
    <cellStyle name="Normal 17 4 4 3 2" xfId="55948" xr:uid="{00000000-0005-0000-0000-000072D00000}"/>
    <cellStyle name="Normal 17 4 4 4" xfId="55949" xr:uid="{00000000-0005-0000-0000-000073D00000}"/>
    <cellStyle name="Normal 17 4 4 5" xfId="55950" xr:uid="{00000000-0005-0000-0000-000074D00000}"/>
    <cellStyle name="Normal 17 4 5" xfId="55951" xr:uid="{00000000-0005-0000-0000-000075D00000}"/>
    <cellStyle name="Normal 17 4 5 2" xfId="55952" xr:uid="{00000000-0005-0000-0000-000076D00000}"/>
    <cellStyle name="Normal 17 4 5 3" xfId="55953" xr:uid="{00000000-0005-0000-0000-000077D00000}"/>
    <cellStyle name="Normal 17 4 6" xfId="55954" xr:uid="{00000000-0005-0000-0000-000078D00000}"/>
    <cellStyle name="Normal 17 4 6 2" xfId="55955" xr:uid="{00000000-0005-0000-0000-000079D00000}"/>
    <cellStyle name="Normal 17 4 6 3" xfId="55956" xr:uid="{00000000-0005-0000-0000-00007AD00000}"/>
    <cellStyle name="Normal 17 4 7" xfId="55957" xr:uid="{00000000-0005-0000-0000-00007BD00000}"/>
    <cellStyle name="Normal 17 4 7 2" xfId="55958" xr:uid="{00000000-0005-0000-0000-00007CD00000}"/>
    <cellStyle name="Normal 17 4 8" xfId="55959" xr:uid="{00000000-0005-0000-0000-00007DD00000}"/>
    <cellStyle name="Normal 17 4 9" xfId="55960" xr:uid="{00000000-0005-0000-0000-00007ED00000}"/>
    <cellStyle name="Normal 17 5" xfId="8455" xr:uid="{00000000-0005-0000-0000-00007FD00000}"/>
    <cellStyle name="Normal 17 5 2" xfId="8456" xr:uid="{00000000-0005-0000-0000-000080D00000}"/>
    <cellStyle name="Normal 17 5 2 2" xfId="55961" xr:uid="{00000000-0005-0000-0000-000081D00000}"/>
    <cellStyle name="Normal 17 5 2 3" xfId="55962" xr:uid="{00000000-0005-0000-0000-000082D00000}"/>
    <cellStyle name="Normal 17 5 2 4" xfId="55963" xr:uid="{00000000-0005-0000-0000-000083D00000}"/>
    <cellStyle name="Normal 17 5 3" xfId="55964" xr:uid="{00000000-0005-0000-0000-000084D00000}"/>
    <cellStyle name="Normal 17 5 3 2" xfId="55965" xr:uid="{00000000-0005-0000-0000-000085D00000}"/>
    <cellStyle name="Normal 17 5 3 3" xfId="55966" xr:uid="{00000000-0005-0000-0000-000086D00000}"/>
    <cellStyle name="Normal 17 5 4" xfId="55967" xr:uid="{00000000-0005-0000-0000-000087D00000}"/>
    <cellStyle name="Normal 17 5 4 2" xfId="55968" xr:uid="{00000000-0005-0000-0000-000088D00000}"/>
    <cellStyle name="Normal 17 5 5" xfId="55969" xr:uid="{00000000-0005-0000-0000-000089D00000}"/>
    <cellStyle name="Normal 17 5 6" xfId="55970" xr:uid="{00000000-0005-0000-0000-00008AD00000}"/>
    <cellStyle name="Normal 17 5 7" xfId="55971" xr:uid="{00000000-0005-0000-0000-00008BD00000}"/>
    <cellStyle name="Normal 17 6" xfId="8457" xr:uid="{00000000-0005-0000-0000-00008CD00000}"/>
    <cellStyle name="Normal 17 6 2" xfId="55972" xr:uid="{00000000-0005-0000-0000-00008DD00000}"/>
    <cellStyle name="Normal 17 6 2 2" xfId="55973" xr:uid="{00000000-0005-0000-0000-00008ED00000}"/>
    <cellStyle name="Normal 17 6 2 3" xfId="55974" xr:uid="{00000000-0005-0000-0000-00008FD00000}"/>
    <cellStyle name="Normal 17 6 3" xfId="55975" xr:uid="{00000000-0005-0000-0000-000090D00000}"/>
    <cellStyle name="Normal 17 6 3 2" xfId="55976" xr:uid="{00000000-0005-0000-0000-000091D00000}"/>
    <cellStyle name="Normal 17 6 3 3" xfId="55977" xr:uid="{00000000-0005-0000-0000-000092D00000}"/>
    <cellStyle name="Normal 17 6 4" xfId="55978" xr:uid="{00000000-0005-0000-0000-000093D00000}"/>
    <cellStyle name="Normal 17 6 4 2" xfId="55979" xr:uid="{00000000-0005-0000-0000-000094D00000}"/>
    <cellStyle name="Normal 17 6 5" xfId="55980" xr:uid="{00000000-0005-0000-0000-000095D00000}"/>
    <cellStyle name="Normal 17 6 6" xfId="55981" xr:uid="{00000000-0005-0000-0000-000096D00000}"/>
    <cellStyle name="Normal 17 6 7" xfId="55982" xr:uid="{00000000-0005-0000-0000-000097D00000}"/>
    <cellStyle name="Normal 17 7" xfId="55983" xr:uid="{00000000-0005-0000-0000-000098D00000}"/>
    <cellStyle name="Normal 17 7 2" xfId="55984" xr:uid="{00000000-0005-0000-0000-000099D00000}"/>
    <cellStyle name="Normal 17 7 2 2" xfId="55985" xr:uid="{00000000-0005-0000-0000-00009AD00000}"/>
    <cellStyle name="Normal 17 7 2 3" xfId="55986" xr:uid="{00000000-0005-0000-0000-00009BD00000}"/>
    <cellStyle name="Normal 17 7 3" xfId="55987" xr:uid="{00000000-0005-0000-0000-00009CD00000}"/>
    <cellStyle name="Normal 17 7 3 2" xfId="55988" xr:uid="{00000000-0005-0000-0000-00009DD00000}"/>
    <cellStyle name="Normal 17 7 4" xfId="55989" xr:uid="{00000000-0005-0000-0000-00009ED00000}"/>
    <cellStyle name="Normal 17 7 5" xfId="55990" xr:uid="{00000000-0005-0000-0000-00009FD00000}"/>
    <cellStyle name="Normal 17 8" xfId="55991" xr:uid="{00000000-0005-0000-0000-0000A0D00000}"/>
    <cellStyle name="Normal 17 8 2" xfId="55992" xr:uid="{00000000-0005-0000-0000-0000A1D00000}"/>
    <cellStyle name="Normal 17 8 3" xfId="55993" xr:uid="{00000000-0005-0000-0000-0000A2D00000}"/>
    <cellStyle name="Normal 17 9" xfId="55994" xr:uid="{00000000-0005-0000-0000-0000A3D00000}"/>
    <cellStyle name="Normal 17 9 2" xfId="55995" xr:uid="{00000000-0005-0000-0000-0000A4D00000}"/>
    <cellStyle name="Normal 17 9 3" xfId="55996" xr:uid="{00000000-0005-0000-0000-0000A5D00000}"/>
    <cellStyle name="Normal 18" xfId="4489" xr:uid="{00000000-0005-0000-0000-0000A6D00000}"/>
    <cellStyle name="Normal 18 2" xfId="4490" xr:uid="{00000000-0005-0000-0000-0000A7D00000}"/>
    <cellStyle name="Normal 18 2 2" xfId="4491" xr:uid="{00000000-0005-0000-0000-0000A8D00000}"/>
    <cellStyle name="Normal 18 2 2 2" xfId="55997" xr:uid="{00000000-0005-0000-0000-0000A9D00000}"/>
    <cellStyle name="Normal 18 2 2 3" xfId="59503" xr:uid="{00000000-0005-0000-0000-0000AAD00000}"/>
    <cellStyle name="Normal 18 2 3" xfId="55998" xr:uid="{00000000-0005-0000-0000-0000ABD00000}"/>
    <cellStyle name="Normal 18 2 4" xfId="59504" xr:uid="{00000000-0005-0000-0000-0000ACD00000}"/>
    <cellStyle name="Normal 18 2 5" xfId="59505" xr:uid="{00000000-0005-0000-0000-0000ADD00000}"/>
    <cellStyle name="Normal 18 2 6" xfId="59506" xr:uid="{00000000-0005-0000-0000-0000AED00000}"/>
    <cellStyle name="Normal 18 2 7" xfId="59507" xr:uid="{00000000-0005-0000-0000-0000AFD00000}"/>
    <cellStyle name="Normal 18 3" xfId="4492" xr:uid="{00000000-0005-0000-0000-0000B0D00000}"/>
    <cellStyle name="Normal 18 3 2" xfId="55999" xr:uid="{00000000-0005-0000-0000-0000B1D00000}"/>
    <cellStyle name="Normal 18 3 2 2" xfId="59508" xr:uid="{00000000-0005-0000-0000-0000B2D00000}"/>
    <cellStyle name="Normal 18 3 3" xfId="59509" xr:uid="{00000000-0005-0000-0000-0000B3D00000}"/>
    <cellStyle name="Normal 18 3 4" xfId="59510" xr:uid="{00000000-0005-0000-0000-0000B4D00000}"/>
    <cellStyle name="Normal 18 3 5" xfId="59511" xr:uid="{00000000-0005-0000-0000-0000B5D00000}"/>
    <cellStyle name="Normal 18 3 6" xfId="59512" xr:uid="{00000000-0005-0000-0000-0000B6D00000}"/>
    <cellStyle name="Normal 18 4" xfId="9244" xr:uid="{00000000-0005-0000-0000-0000B7D00000}"/>
    <cellStyle name="Normal 18 4 2" xfId="56000" xr:uid="{00000000-0005-0000-0000-0000B8D00000}"/>
    <cellStyle name="Normal 18 5" xfId="56001" xr:uid="{00000000-0005-0000-0000-0000B9D00000}"/>
    <cellStyle name="Normal 18 5 2" xfId="56002" xr:uid="{00000000-0005-0000-0000-0000BAD00000}"/>
    <cellStyle name="Normal 18 6" xfId="56003" xr:uid="{00000000-0005-0000-0000-0000BBD00000}"/>
    <cellStyle name="Normal 18 7" xfId="56004" xr:uid="{00000000-0005-0000-0000-0000BCD00000}"/>
    <cellStyle name="Normal 18 8" xfId="56005" xr:uid="{00000000-0005-0000-0000-0000BDD00000}"/>
    <cellStyle name="Normal 19" xfId="4493" xr:uid="{00000000-0005-0000-0000-0000BED00000}"/>
    <cellStyle name="Normal 19 2" xfId="4494" xr:uid="{00000000-0005-0000-0000-0000BFD00000}"/>
    <cellStyle name="Normal 19 2 2" xfId="9245" xr:uid="{00000000-0005-0000-0000-0000C0D00000}"/>
    <cellStyle name="Normal 19 2 2 2" xfId="9246" xr:uid="{00000000-0005-0000-0000-0000C1D00000}"/>
    <cellStyle name="Normal 19 2 3" xfId="9247" xr:uid="{00000000-0005-0000-0000-0000C2D00000}"/>
    <cellStyle name="Normal 19 2 4" xfId="9248" xr:uid="{00000000-0005-0000-0000-0000C3D00000}"/>
    <cellStyle name="Normal 19 3" xfId="9249" xr:uid="{00000000-0005-0000-0000-0000C4D00000}"/>
    <cellStyle name="Normal 19 3 2" xfId="9250" xr:uid="{00000000-0005-0000-0000-0000C5D00000}"/>
    <cellStyle name="Normal 19 4" xfId="9251" xr:uid="{00000000-0005-0000-0000-0000C6D00000}"/>
    <cellStyle name="Normal 19 4 2" xfId="56006" xr:uid="{00000000-0005-0000-0000-0000C7D00000}"/>
    <cellStyle name="Normal 19 5" xfId="9252" xr:uid="{00000000-0005-0000-0000-0000C8D00000}"/>
    <cellStyle name="Normal 19 6" xfId="56007" xr:uid="{00000000-0005-0000-0000-0000C9D00000}"/>
    <cellStyle name="Normal 2" xfId="4495" xr:uid="{00000000-0005-0000-0000-0000CAD00000}"/>
    <cellStyle name="Normal 2 10" xfId="8458" xr:uid="{00000000-0005-0000-0000-0000CBD00000}"/>
    <cellStyle name="Normal 2 10 2" xfId="8459" xr:uid="{00000000-0005-0000-0000-0000CCD00000}"/>
    <cellStyle name="Normal 2 10 2 2" xfId="59513" xr:uid="{00000000-0005-0000-0000-0000CDD00000}"/>
    <cellStyle name="Normal 2 10 3" xfId="57816" xr:uid="{00000000-0005-0000-0000-0000CED00000}"/>
    <cellStyle name="Normal 2 11" xfId="8460" xr:uid="{00000000-0005-0000-0000-0000CFD00000}"/>
    <cellStyle name="Normal 2 11 2" xfId="8461" xr:uid="{00000000-0005-0000-0000-0000D0D00000}"/>
    <cellStyle name="Normal 2 11 2 2" xfId="59514" xr:uid="{00000000-0005-0000-0000-0000D1D00000}"/>
    <cellStyle name="Normal 2 11 3" xfId="59515" xr:uid="{00000000-0005-0000-0000-0000D2D00000}"/>
    <cellStyle name="Normal 2 12" xfId="8462" xr:uid="{00000000-0005-0000-0000-0000D3D00000}"/>
    <cellStyle name="Normal 2 12 2" xfId="59516" xr:uid="{00000000-0005-0000-0000-0000D4D00000}"/>
    <cellStyle name="Normal 2 13" xfId="9844" xr:uid="{00000000-0005-0000-0000-0000D5D00000}"/>
    <cellStyle name="Normal 2 14" xfId="9845" xr:uid="{00000000-0005-0000-0000-0000D6D00000}"/>
    <cellStyle name="Normal 2 15" xfId="9846" xr:uid="{00000000-0005-0000-0000-0000D7D00000}"/>
    <cellStyle name="Normal 2 16" xfId="9847" xr:uid="{00000000-0005-0000-0000-0000D8D00000}"/>
    <cellStyle name="Normal 2 17" xfId="9848" xr:uid="{00000000-0005-0000-0000-0000D9D00000}"/>
    <cellStyle name="Normal 2 18" xfId="59517" xr:uid="{00000000-0005-0000-0000-0000DAD00000}"/>
    <cellStyle name="Normal 2 18 2" xfId="59518" xr:uid="{00000000-0005-0000-0000-0000DBD00000}"/>
    <cellStyle name="Normal 2 18 2 2" xfId="59519" xr:uid="{00000000-0005-0000-0000-0000DCD00000}"/>
    <cellStyle name="Normal 2 18 3" xfId="59520" xr:uid="{00000000-0005-0000-0000-0000DDD00000}"/>
    <cellStyle name="Normal 2 18 4" xfId="59521" xr:uid="{00000000-0005-0000-0000-0000DED00000}"/>
    <cellStyle name="Normal 2 19" xfId="59522" xr:uid="{00000000-0005-0000-0000-0000DFD00000}"/>
    <cellStyle name="Normal 2 19 2" xfId="59523" xr:uid="{00000000-0005-0000-0000-0000E0D00000}"/>
    <cellStyle name="Normal 2 2" xfId="4496" xr:uid="{00000000-0005-0000-0000-0000E1D00000}"/>
    <cellStyle name="Normal 2 2 2" xfId="4497" xr:uid="{00000000-0005-0000-0000-0000E2D00000}"/>
    <cellStyle name="Normal 2 2 2 2" xfId="4498" xr:uid="{00000000-0005-0000-0000-0000E3D00000}"/>
    <cellStyle name="Normal 2 2 2 2 2" xfId="9849" xr:uid="{00000000-0005-0000-0000-0000E4D00000}"/>
    <cellStyle name="Normal 2 2 2 2 3" xfId="56008" xr:uid="{00000000-0005-0000-0000-0000E5D00000}"/>
    <cellStyle name="Normal 2 2 2 3" xfId="8463" xr:uid="{00000000-0005-0000-0000-0000E6D00000}"/>
    <cellStyle name="Normal 2 2 2 3 2" xfId="9850" xr:uid="{00000000-0005-0000-0000-0000E7D00000}"/>
    <cellStyle name="Normal 2 2 2 3 3" xfId="56009" xr:uid="{00000000-0005-0000-0000-0000E8D00000}"/>
    <cellStyle name="Normal 2 2 2 4" xfId="8464" xr:uid="{00000000-0005-0000-0000-0000E9D00000}"/>
    <cellStyle name="Normal 2 2 2 4 2" xfId="9851" xr:uid="{00000000-0005-0000-0000-0000EAD00000}"/>
    <cellStyle name="Normal 2 2 2 5" xfId="9852" xr:uid="{00000000-0005-0000-0000-0000EBD00000}"/>
    <cellStyle name="Normal 2 2 3" xfId="4499" xr:uid="{00000000-0005-0000-0000-0000ECD00000}"/>
    <cellStyle name="Normal 2 2 3 2" xfId="9853" xr:uid="{00000000-0005-0000-0000-0000EDD00000}"/>
    <cellStyle name="Normal 2 2 3 3" xfId="56010" xr:uid="{00000000-0005-0000-0000-0000EED00000}"/>
    <cellStyle name="Normal 2 2 4" xfId="4500" xr:uid="{00000000-0005-0000-0000-0000EFD00000}"/>
    <cellStyle name="Normal 2 2 4 2" xfId="4501" xr:uid="{00000000-0005-0000-0000-0000F0D00000}"/>
    <cellStyle name="Normal 2 2 4 2 2" xfId="4502" xr:uid="{00000000-0005-0000-0000-0000F1D00000}"/>
    <cellStyle name="Normal 2 2 4 2 2 2" xfId="59524" xr:uid="{00000000-0005-0000-0000-0000F2D00000}"/>
    <cellStyle name="Normal 2 2 4 2 2 2 2" xfId="59525" xr:uid="{00000000-0005-0000-0000-0000F3D00000}"/>
    <cellStyle name="Normal 2 2 4 2 2 3" xfId="59526" xr:uid="{00000000-0005-0000-0000-0000F4D00000}"/>
    <cellStyle name="Normal 2 2 4 2 2 4" xfId="59527" xr:uid="{00000000-0005-0000-0000-0000F5D00000}"/>
    <cellStyle name="Normal 2 2 4 2 3" xfId="59528" xr:uid="{00000000-0005-0000-0000-0000F6D00000}"/>
    <cellStyle name="Normal 2 2 4 2 3 2" xfId="59529" xr:uid="{00000000-0005-0000-0000-0000F7D00000}"/>
    <cellStyle name="Normal 2 2 4 2 4" xfId="59530" xr:uid="{00000000-0005-0000-0000-0000F8D00000}"/>
    <cellStyle name="Normal 2 2 4 2 5" xfId="59531" xr:uid="{00000000-0005-0000-0000-0000F9D00000}"/>
    <cellStyle name="Normal 2 2 4 3" xfId="4503" xr:uid="{00000000-0005-0000-0000-0000FAD00000}"/>
    <cellStyle name="Normal 2 2 4 3 2" xfId="59532" xr:uid="{00000000-0005-0000-0000-0000FBD00000}"/>
    <cellStyle name="Normal 2 2 4 3 2 2" xfId="59533" xr:uid="{00000000-0005-0000-0000-0000FCD00000}"/>
    <cellStyle name="Normal 2 2 4 3 3" xfId="59534" xr:uid="{00000000-0005-0000-0000-0000FDD00000}"/>
    <cellStyle name="Normal 2 2 4 3 4" xfId="59535" xr:uid="{00000000-0005-0000-0000-0000FED00000}"/>
    <cellStyle name="Normal 2 2 4 4" xfId="59536" xr:uid="{00000000-0005-0000-0000-0000FFD00000}"/>
    <cellStyle name="Normal 2 2 4 4 2" xfId="59537" xr:uid="{00000000-0005-0000-0000-000000D10000}"/>
    <cellStyle name="Normal 2 2 4 5" xfId="59538" xr:uid="{00000000-0005-0000-0000-000001D10000}"/>
    <cellStyle name="Normal 2 2 4 5 2" xfId="59539" xr:uid="{00000000-0005-0000-0000-000002D10000}"/>
    <cellStyle name="Normal 2 2 4 6" xfId="59540" xr:uid="{00000000-0005-0000-0000-000003D10000}"/>
    <cellStyle name="Normal 2 2 4 7" xfId="59541" xr:uid="{00000000-0005-0000-0000-000004D10000}"/>
    <cellStyle name="Normal 2 2 5" xfId="4504" xr:uid="{00000000-0005-0000-0000-000005D10000}"/>
    <cellStyle name="Normal 2 2 5 2" xfId="59542" xr:uid="{00000000-0005-0000-0000-000006D10000}"/>
    <cellStyle name="Normal 2 2 5 2 2" xfId="59543" xr:uid="{00000000-0005-0000-0000-000007D10000}"/>
    <cellStyle name="Normal 2 2 5 2 3" xfId="59544" xr:uid="{00000000-0005-0000-0000-000008D10000}"/>
    <cellStyle name="Normal 2 2 5 3" xfId="59545" xr:uid="{00000000-0005-0000-0000-000009D10000}"/>
    <cellStyle name="Normal 2 2 5 4" xfId="59546" xr:uid="{00000000-0005-0000-0000-00000AD10000}"/>
    <cellStyle name="Normal 2 2 5 5" xfId="59547" xr:uid="{00000000-0005-0000-0000-00000BD10000}"/>
    <cellStyle name="Normal 2 2 5 6" xfId="59548" xr:uid="{00000000-0005-0000-0000-00000CD10000}"/>
    <cellStyle name="Normal 2 2 6" xfId="9253" xr:uid="{00000000-0005-0000-0000-00000DD10000}"/>
    <cellStyle name="Normal 2 2 6 2" xfId="59549" xr:uid="{00000000-0005-0000-0000-00000ED10000}"/>
    <cellStyle name="Normal 2 2 6 2 2" xfId="59550" xr:uid="{00000000-0005-0000-0000-00000FD10000}"/>
    <cellStyle name="Normal 2 2 6 3" xfId="59551" xr:uid="{00000000-0005-0000-0000-000010D10000}"/>
    <cellStyle name="Normal 2 2 6 4" xfId="59552" xr:uid="{00000000-0005-0000-0000-000011D10000}"/>
    <cellStyle name="Normal 2 2 6 5" xfId="59553" xr:uid="{00000000-0005-0000-0000-000012D10000}"/>
    <cellStyle name="Normal 2 2 7" xfId="9854" xr:uid="{00000000-0005-0000-0000-000013D10000}"/>
    <cellStyle name="Normal 2 2 8" xfId="59554" xr:uid="{00000000-0005-0000-0000-000014D10000}"/>
    <cellStyle name="Normal 2 2 8 2" xfId="59555" xr:uid="{00000000-0005-0000-0000-000015D10000}"/>
    <cellStyle name="Normal 2 2 8 3" xfId="59556" xr:uid="{00000000-0005-0000-0000-000016D10000}"/>
    <cellStyle name="Normal 2 20" xfId="59557" xr:uid="{00000000-0005-0000-0000-000017D10000}"/>
    <cellStyle name="Normal 2 20 2" xfId="59558" xr:uid="{00000000-0005-0000-0000-000018D10000}"/>
    <cellStyle name="Normal 2 20 3" xfId="59559" xr:uid="{00000000-0005-0000-0000-000019D10000}"/>
    <cellStyle name="Normal 2 21" xfId="59560" xr:uid="{00000000-0005-0000-0000-00001AD10000}"/>
    <cellStyle name="Normal 2 21 2" xfId="59561" xr:uid="{00000000-0005-0000-0000-00001BD10000}"/>
    <cellStyle name="Normal 2 22" xfId="59562" xr:uid="{00000000-0005-0000-0000-00001CD10000}"/>
    <cellStyle name="Normal 2 23" xfId="61972" xr:uid="{00000000-0005-0000-0000-00001DD10000}"/>
    <cellStyle name="Normal 2 24" xfId="61979" xr:uid="{00000000-0005-0000-0000-00001ED10000}"/>
    <cellStyle name="Normal 2 3" xfId="4505" xr:uid="{00000000-0005-0000-0000-00001FD10000}"/>
    <cellStyle name="Normal 2 3 2" xfId="4506" xr:uid="{00000000-0005-0000-0000-000020D10000}"/>
    <cellStyle name="Normal 2 3 2 2" xfId="9855" xr:uid="{00000000-0005-0000-0000-000021D10000}"/>
    <cellStyle name="Normal 2 3 2 3" xfId="56011" xr:uid="{00000000-0005-0000-0000-000022D10000}"/>
    <cellStyle name="Normal 2 3 2 4" xfId="56012" xr:uid="{00000000-0005-0000-0000-000023D10000}"/>
    <cellStyle name="Normal 2 3 3" xfId="9856" xr:uid="{00000000-0005-0000-0000-000024D10000}"/>
    <cellStyle name="Normal 2 3 3 2" xfId="56013" xr:uid="{00000000-0005-0000-0000-000025D10000}"/>
    <cellStyle name="Normal 2 3 3 3" xfId="56014" xr:uid="{00000000-0005-0000-0000-000026D10000}"/>
    <cellStyle name="Normal 2 3 4" xfId="9857" xr:uid="{00000000-0005-0000-0000-000027D10000}"/>
    <cellStyle name="Normal 2 3 4 2" xfId="59563" xr:uid="{00000000-0005-0000-0000-000028D10000}"/>
    <cellStyle name="Normal 2 3 4 2 2" xfId="59564" xr:uid="{00000000-0005-0000-0000-000029D10000}"/>
    <cellStyle name="Normal 2 3 4 3" xfId="59565" xr:uid="{00000000-0005-0000-0000-00002AD10000}"/>
    <cellStyle name="Normal 2 3 4 4" xfId="59566" xr:uid="{00000000-0005-0000-0000-00002BD10000}"/>
    <cellStyle name="Normal 2 3 4 5" xfId="59567" xr:uid="{00000000-0005-0000-0000-00002CD10000}"/>
    <cellStyle name="Normal 2 3 5" xfId="9858" xr:uid="{00000000-0005-0000-0000-00002DD10000}"/>
    <cellStyle name="Normal 2 3 5 2" xfId="56015" xr:uid="{00000000-0005-0000-0000-00002ED10000}"/>
    <cellStyle name="Normal 2 3 5 2 2" xfId="59568" xr:uid="{00000000-0005-0000-0000-00002FD10000}"/>
    <cellStyle name="Normal 2 3 5 3" xfId="59569" xr:uid="{00000000-0005-0000-0000-000030D10000}"/>
    <cellStyle name="Normal 2 3 5 4" xfId="59570" xr:uid="{00000000-0005-0000-0000-000031D10000}"/>
    <cellStyle name="Normal 2 3 5 5" xfId="59571" xr:uid="{00000000-0005-0000-0000-000032D10000}"/>
    <cellStyle name="Normal 2 3 6" xfId="9859" xr:uid="{00000000-0005-0000-0000-000033D10000}"/>
    <cellStyle name="Normal 2 3 6 2" xfId="59572" xr:uid="{00000000-0005-0000-0000-000034D10000}"/>
    <cellStyle name="Normal 2 4" xfId="4507" xr:uid="{00000000-0005-0000-0000-000035D10000}"/>
    <cellStyle name="Normal 2 4 2" xfId="8465" xr:uid="{00000000-0005-0000-0000-000036D10000}"/>
    <cellStyle name="Normal 2 4 2 2" xfId="9860" xr:uid="{00000000-0005-0000-0000-000037D10000}"/>
    <cellStyle name="Normal 2 4 2 2 2" xfId="56016" xr:uid="{00000000-0005-0000-0000-000038D10000}"/>
    <cellStyle name="Normal 2 4 2 3" xfId="56017" xr:uid="{00000000-0005-0000-0000-000039D10000}"/>
    <cellStyle name="Normal 2 4 2 3 2" xfId="56018" xr:uid="{00000000-0005-0000-0000-00003AD10000}"/>
    <cellStyle name="Normal 2 4 2 4" xfId="56019" xr:uid="{00000000-0005-0000-0000-00003BD10000}"/>
    <cellStyle name="Normal 2 4 2 5" xfId="56020" xr:uid="{00000000-0005-0000-0000-00003CD10000}"/>
    <cellStyle name="Normal 2 4 3" xfId="8466" xr:uid="{00000000-0005-0000-0000-00003DD10000}"/>
    <cellStyle name="Normal 2 4 3 2" xfId="9861" xr:uid="{00000000-0005-0000-0000-00003ED10000}"/>
    <cellStyle name="Normal 2 4 3 2 2" xfId="56021" xr:uid="{00000000-0005-0000-0000-00003FD10000}"/>
    <cellStyle name="Normal 2 4 3 3" xfId="56022" xr:uid="{00000000-0005-0000-0000-000040D10000}"/>
    <cellStyle name="Normal 2 4 3 3 2" xfId="56023" xr:uid="{00000000-0005-0000-0000-000041D10000}"/>
    <cellStyle name="Normal 2 4 3 4" xfId="56024" xr:uid="{00000000-0005-0000-0000-000042D10000}"/>
    <cellStyle name="Normal 2 4 3 5" xfId="56025" xr:uid="{00000000-0005-0000-0000-000043D10000}"/>
    <cellStyle name="Normal 2 4 4" xfId="8467" xr:uid="{00000000-0005-0000-0000-000044D10000}"/>
    <cellStyle name="Normal 2 4 4 2" xfId="9862" xr:uid="{00000000-0005-0000-0000-000045D10000}"/>
    <cellStyle name="Normal 2 4 4 2 2" xfId="56026" xr:uid="{00000000-0005-0000-0000-000046D10000}"/>
    <cellStyle name="Normal 2 4 4 3" xfId="56027" xr:uid="{00000000-0005-0000-0000-000047D10000}"/>
    <cellStyle name="Normal 2 4 4 4" xfId="56028" xr:uid="{00000000-0005-0000-0000-000048D10000}"/>
    <cellStyle name="Normal 2 4 5" xfId="9863" xr:uid="{00000000-0005-0000-0000-000049D10000}"/>
    <cellStyle name="Normal 2 4 5 2" xfId="56029" xr:uid="{00000000-0005-0000-0000-00004AD10000}"/>
    <cellStyle name="Normal 2 4 6" xfId="56030" xr:uid="{00000000-0005-0000-0000-00004BD10000}"/>
    <cellStyle name="Normal 2 4 7" xfId="56031" xr:uid="{00000000-0005-0000-0000-00004CD10000}"/>
    <cellStyle name="Normal 2 4 8" xfId="56032" xr:uid="{00000000-0005-0000-0000-00004DD10000}"/>
    <cellStyle name="Normal 2 41" xfId="8675" xr:uid="{00000000-0005-0000-0000-00004ED10000}"/>
    <cellStyle name="Normal 2 43" xfId="8676" xr:uid="{00000000-0005-0000-0000-00004FD10000}"/>
    <cellStyle name="Normal 2 5" xfId="4508" xr:uid="{00000000-0005-0000-0000-000050D10000}"/>
    <cellStyle name="Normal 2 5 2" xfId="4509" xr:uid="{00000000-0005-0000-0000-000051D10000}"/>
    <cellStyle name="Normal 2 5 2 2" xfId="4510" xr:uid="{00000000-0005-0000-0000-000052D10000}"/>
    <cellStyle name="Normal 2 5 2 2 2" xfId="59573" xr:uid="{00000000-0005-0000-0000-000053D10000}"/>
    <cellStyle name="Normal 2 5 2 2 2 2" xfId="59574" xr:uid="{00000000-0005-0000-0000-000054D10000}"/>
    <cellStyle name="Normal 2 5 2 2 3" xfId="59575" xr:uid="{00000000-0005-0000-0000-000055D10000}"/>
    <cellStyle name="Normal 2 5 2 2 4" xfId="59576" xr:uid="{00000000-0005-0000-0000-000056D10000}"/>
    <cellStyle name="Normal 2 5 2 3" xfId="4511" xr:uid="{00000000-0005-0000-0000-000057D10000}"/>
    <cellStyle name="Normal 2 5 2 3 2" xfId="59577" xr:uid="{00000000-0005-0000-0000-000058D10000}"/>
    <cellStyle name="Normal 2 5 2 3 2 2" xfId="59578" xr:uid="{00000000-0005-0000-0000-000059D10000}"/>
    <cellStyle name="Normal 2 5 2 3 3" xfId="59579" xr:uid="{00000000-0005-0000-0000-00005AD10000}"/>
    <cellStyle name="Normal 2 5 2 3 4" xfId="59580" xr:uid="{00000000-0005-0000-0000-00005BD10000}"/>
    <cellStyle name="Normal 2 5 2 4" xfId="59581" xr:uid="{00000000-0005-0000-0000-00005CD10000}"/>
    <cellStyle name="Normal 2 5 2 4 2" xfId="59582" xr:uid="{00000000-0005-0000-0000-00005DD10000}"/>
    <cellStyle name="Normal 2 5 2 5" xfId="59583" xr:uid="{00000000-0005-0000-0000-00005ED10000}"/>
    <cellStyle name="Normal 2 5 2 6" xfId="59584" xr:uid="{00000000-0005-0000-0000-00005FD10000}"/>
    <cellStyle name="Normal 2 5 2 7" xfId="59585" xr:uid="{00000000-0005-0000-0000-000060D10000}"/>
    <cellStyle name="Normal 2 5 3" xfId="4512" xr:uid="{00000000-0005-0000-0000-000061D10000}"/>
    <cellStyle name="Normal 2 5 3 2" xfId="56033" xr:uid="{00000000-0005-0000-0000-000062D10000}"/>
    <cellStyle name="Normal 2 5 3 2 2" xfId="59586" xr:uid="{00000000-0005-0000-0000-000063D10000}"/>
    <cellStyle name="Normal 2 5 3 3" xfId="59587" xr:uid="{00000000-0005-0000-0000-000064D10000}"/>
    <cellStyle name="Normal 2 5 3 4" xfId="59588" xr:uid="{00000000-0005-0000-0000-000065D10000}"/>
    <cellStyle name="Normal 2 5 4" xfId="4513" xr:uid="{00000000-0005-0000-0000-000066D10000}"/>
    <cellStyle name="Normal 2 5 4 2" xfId="59589" xr:uid="{00000000-0005-0000-0000-000067D10000}"/>
    <cellStyle name="Normal 2 5 4 2 2" xfId="59590" xr:uid="{00000000-0005-0000-0000-000068D10000}"/>
    <cellStyle name="Normal 2 5 4 3" xfId="59591" xr:uid="{00000000-0005-0000-0000-000069D10000}"/>
    <cellStyle name="Normal 2 5 4 4" xfId="59592" xr:uid="{00000000-0005-0000-0000-00006AD10000}"/>
    <cellStyle name="Normal 2 5 5" xfId="9254" xr:uid="{00000000-0005-0000-0000-00006BD10000}"/>
    <cellStyle name="Normal 2 5 6" xfId="59593" xr:uid="{00000000-0005-0000-0000-00006CD10000}"/>
    <cellStyle name="Normal 2 6" xfId="4514" xr:uid="{00000000-0005-0000-0000-00006DD10000}"/>
    <cellStyle name="Normal 2 6 2" xfId="9255" xr:uid="{00000000-0005-0000-0000-00006ED10000}"/>
    <cellStyle name="Normal 2 6 2 2" xfId="9256" xr:uid="{00000000-0005-0000-0000-00006FD10000}"/>
    <cellStyle name="Normal 2 6 3" xfId="9257" xr:uid="{00000000-0005-0000-0000-000070D10000}"/>
    <cellStyle name="Normal 2 6 3 2" xfId="56034" xr:uid="{00000000-0005-0000-0000-000071D10000}"/>
    <cellStyle name="Normal 2 6 4" xfId="9258" xr:uid="{00000000-0005-0000-0000-000072D10000}"/>
    <cellStyle name="Normal 2 6 4 2" xfId="56035" xr:uid="{00000000-0005-0000-0000-000073D10000}"/>
    <cellStyle name="Normal 2 6 5" xfId="56036" xr:uid="{00000000-0005-0000-0000-000074D10000}"/>
    <cellStyle name="Normal 2 6 5 2" xfId="56037" xr:uid="{00000000-0005-0000-0000-000075D10000}"/>
    <cellStyle name="Normal 2 6 6" xfId="56038" xr:uid="{00000000-0005-0000-0000-000076D10000}"/>
    <cellStyle name="Normal 2 6 7" xfId="56039" xr:uid="{00000000-0005-0000-0000-000077D10000}"/>
    <cellStyle name="Normal 2 7" xfId="8468" xr:uid="{00000000-0005-0000-0000-000078D10000}"/>
    <cellStyle name="Normal 2 7 2" xfId="8469" xr:uid="{00000000-0005-0000-0000-000079D10000}"/>
    <cellStyle name="Normal 2 7 2 2" xfId="8470" xr:uid="{00000000-0005-0000-0000-00007AD10000}"/>
    <cellStyle name="Normal 2 7 2 2 2" xfId="8471" xr:uid="{00000000-0005-0000-0000-00007BD10000}"/>
    <cellStyle name="Normal 2 7 2 2 3" xfId="59594" xr:uid="{00000000-0005-0000-0000-00007CD10000}"/>
    <cellStyle name="Normal 2 7 2 3" xfId="8472" xr:uid="{00000000-0005-0000-0000-00007DD10000}"/>
    <cellStyle name="Normal 2 7 2 3 2" xfId="59595" xr:uid="{00000000-0005-0000-0000-00007ED10000}"/>
    <cellStyle name="Normal 2 7 2 4" xfId="56040" xr:uid="{00000000-0005-0000-0000-00007FD10000}"/>
    <cellStyle name="Normal 2 7 2 5" xfId="56041" xr:uid="{00000000-0005-0000-0000-000080D10000}"/>
    <cellStyle name="Normal 2 7 3" xfId="8473" xr:uid="{00000000-0005-0000-0000-000081D10000}"/>
    <cellStyle name="Normal 2 7 3 2" xfId="8474" xr:uid="{00000000-0005-0000-0000-000082D10000}"/>
    <cellStyle name="Normal 2 7 3 2 2" xfId="59596" xr:uid="{00000000-0005-0000-0000-000083D10000}"/>
    <cellStyle name="Normal 2 7 3 3" xfId="59597" xr:uid="{00000000-0005-0000-0000-000084D10000}"/>
    <cellStyle name="Normal 2 7 3 4" xfId="59598" xr:uid="{00000000-0005-0000-0000-000085D10000}"/>
    <cellStyle name="Normal 2 7 3 5" xfId="59599" xr:uid="{00000000-0005-0000-0000-000086D10000}"/>
    <cellStyle name="Normal 2 7 4" xfId="8475" xr:uid="{00000000-0005-0000-0000-000087D10000}"/>
    <cellStyle name="Normal 2 7 4 2" xfId="59600" xr:uid="{00000000-0005-0000-0000-000088D10000}"/>
    <cellStyle name="Normal 2 7 4 2 2" xfId="59601" xr:uid="{00000000-0005-0000-0000-000089D10000}"/>
    <cellStyle name="Normal 2 7 4 3" xfId="59602" xr:uid="{00000000-0005-0000-0000-00008AD10000}"/>
    <cellStyle name="Normal 2 7 4 4" xfId="59603" xr:uid="{00000000-0005-0000-0000-00008BD10000}"/>
    <cellStyle name="Normal 2 7 4 5" xfId="59604" xr:uid="{00000000-0005-0000-0000-00008CD10000}"/>
    <cellStyle name="Normal 2 7 5" xfId="56042" xr:uid="{00000000-0005-0000-0000-00008DD10000}"/>
    <cellStyle name="Normal 2 7 6" xfId="56043" xr:uid="{00000000-0005-0000-0000-00008ED10000}"/>
    <cellStyle name="Normal 2 8" xfId="8476" xr:uid="{00000000-0005-0000-0000-00008FD10000}"/>
    <cellStyle name="Normal 2 8 2" xfId="8477" xr:uid="{00000000-0005-0000-0000-000090D10000}"/>
    <cellStyle name="Normal 2 8 2 2" xfId="8478" xr:uid="{00000000-0005-0000-0000-000091D10000}"/>
    <cellStyle name="Normal 2 8 2 2 2" xfId="59605" xr:uid="{00000000-0005-0000-0000-000092D10000}"/>
    <cellStyle name="Normal 2 8 2 3" xfId="59606" xr:uid="{00000000-0005-0000-0000-000093D10000}"/>
    <cellStyle name="Normal 2 8 2 4" xfId="59607" xr:uid="{00000000-0005-0000-0000-000094D10000}"/>
    <cellStyle name="Normal 2 8 2 5" xfId="59608" xr:uid="{00000000-0005-0000-0000-000095D10000}"/>
    <cellStyle name="Normal 2 8 3" xfId="8479" xr:uid="{00000000-0005-0000-0000-000096D10000}"/>
    <cellStyle name="Normal 2 8 3 2" xfId="59609" xr:uid="{00000000-0005-0000-0000-000097D10000}"/>
    <cellStyle name="Normal 2 8 3 2 2" xfId="59610" xr:uid="{00000000-0005-0000-0000-000098D10000}"/>
    <cellStyle name="Normal 2 8 3 3" xfId="59611" xr:uid="{00000000-0005-0000-0000-000099D10000}"/>
    <cellStyle name="Normal 2 8 3 4" xfId="59612" xr:uid="{00000000-0005-0000-0000-00009AD10000}"/>
    <cellStyle name="Normal 2 8 3 5" xfId="59613" xr:uid="{00000000-0005-0000-0000-00009BD10000}"/>
    <cellStyle name="Normal 2 8 4" xfId="56044" xr:uid="{00000000-0005-0000-0000-00009CD10000}"/>
    <cellStyle name="Normal 2 8 5" xfId="56045" xr:uid="{00000000-0005-0000-0000-00009DD10000}"/>
    <cellStyle name="Normal 2 9" xfId="8480" xr:uid="{00000000-0005-0000-0000-00009ED10000}"/>
    <cellStyle name="Normal 2 9 2" xfId="8481" xr:uid="{00000000-0005-0000-0000-00009FD10000}"/>
    <cellStyle name="Normal 2 9 2 2" xfId="59614" xr:uid="{00000000-0005-0000-0000-0000A0D10000}"/>
    <cellStyle name="Normal 2 9 2 2 2" xfId="59615" xr:uid="{00000000-0005-0000-0000-0000A1D10000}"/>
    <cellStyle name="Normal 2 9 2 3" xfId="59616" xr:uid="{00000000-0005-0000-0000-0000A2D10000}"/>
    <cellStyle name="Normal 2 9 2 4" xfId="59617" xr:uid="{00000000-0005-0000-0000-0000A3D10000}"/>
    <cellStyle name="Normal 2 9 2 5" xfId="59618" xr:uid="{00000000-0005-0000-0000-0000A4D10000}"/>
    <cellStyle name="Normal 2 9 3" xfId="56046" xr:uid="{00000000-0005-0000-0000-0000A5D10000}"/>
    <cellStyle name="Normal 2_183302" xfId="8770" xr:uid="{00000000-0005-0000-0000-0000A6D10000}"/>
    <cellStyle name="Normal 20" xfId="4515" xr:uid="{00000000-0005-0000-0000-0000A7D10000}"/>
    <cellStyle name="Normal 20 2" xfId="4516" xr:uid="{00000000-0005-0000-0000-0000A8D10000}"/>
    <cellStyle name="Normal 20 2 2" xfId="4517" xr:uid="{00000000-0005-0000-0000-0000A9D10000}"/>
    <cellStyle name="Normal 20 2 2 2" xfId="59619" xr:uid="{00000000-0005-0000-0000-0000AAD10000}"/>
    <cellStyle name="Normal 20 2 3" xfId="59620" xr:uid="{00000000-0005-0000-0000-0000ABD10000}"/>
    <cellStyle name="Normal 20 2 4" xfId="59621" xr:uid="{00000000-0005-0000-0000-0000ACD10000}"/>
    <cellStyle name="Normal 20 2 5" xfId="59622" xr:uid="{00000000-0005-0000-0000-0000ADD10000}"/>
    <cellStyle name="Normal 20 3" xfId="4518" xr:uid="{00000000-0005-0000-0000-0000AED10000}"/>
    <cellStyle name="Normal 20 3 2" xfId="56047" xr:uid="{00000000-0005-0000-0000-0000AFD10000}"/>
    <cellStyle name="Normal 20 3 3" xfId="59623" xr:uid="{00000000-0005-0000-0000-0000B0D10000}"/>
    <cellStyle name="Normal 20 3 4" xfId="59624" xr:uid="{00000000-0005-0000-0000-0000B1D10000}"/>
    <cellStyle name="Normal 20 4" xfId="9259" xr:uid="{00000000-0005-0000-0000-0000B2D10000}"/>
    <cellStyle name="Normal 20 4 2" xfId="56048" xr:uid="{00000000-0005-0000-0000-0000B3D10000}"/>
    <cellStyle name="Normal 20 5" xfId="56049" xr:uid="{00000000-0005-0000-0000-0000B4D10000}"/>
    <cellStyle name="Normal 20 5 2" xfId="56050" xr:uid="{00000000-0005-0000-0000-0000B5D10000}"/>
    <cellStyle name="Normal 20 6" xfId="56051" xr:uid="{00000000-0005-0000-0000-0000B6D10000}"/>
    <cellStyle name="Normal 20 7" xfId="56052" xr:uid="{00000000-0005-0000-0000-0000B7D10000}"/>
    <cellStyle name="Normal 20 8" xfId="56053" xr:uid="{00000000-0005-0000-0000-0000B8D10000}"/>
    <cellStyle name="Normal 21" xfId="4519" xr:uid="{00000000-0005-0000-0000-0000B9D10000}"/>
    <cellStyle name="Normal 21 2" xfId="4520" xr:uid="{00000000-0005-0000-0000-0000BAD10000}"/>
    <cellStyle name="Normal 21 2 2" xfId="9260" xr:uid="{00000000-0005-0000-0000-0000BBD10000}"/>
    <cellStyle name="Normal 21 3" xfId="9261" xr:uid="{00000000-0005-0000-0000-0000BCD10000}"/>
    <cellStyle name="Normal 21 3 2" xfId="56054" xr:uid="{00000000-0005-0000-0000-0000BDD10000}"/>
    <cellStyle name="Normal 21 4" xfId="56055" xr:uid="{00000000-0005-0000-0000-0000BED10000}"/>
    <cellStyle name="Normal 21 4 2" xfId="56056" xr:uid="{00000000-0005-0000-0000-0000BFD10000}"/>
    <cellStyle name="Normal 21 5" xfId="56057" xr:uid="{00000000-0005-0000-0000-0000C0D10000}"/>
    <cellStyle name="Normal 21 5 2" xfId="56058" xr:uid="{00000000-0005-0000-0000-0000C1D10000}"/>
    <cellStyle name="Normal 21 6" xfId="56059" xr:uid="{00000000-0005-0000-0000-0000C2D10000}"/>
    <cellStyle name="Normal 21 7" xfId="56060" xr:uid="{00000000-0005-0000-0000-0000C3D10000}"/>
    <cellStyle name="Normal 21 8" xfId="56061" xr:uid="{00000000-0005-0000-0000-0000C4D10000}"/>
    <cellStyle name="Normal 22" xfId="4521" xr:uid="{00000000-0005-0000-0000-0000C5D10000}"/>
    <cellStyle name="Normal 22 2" xfId="4522" xr:uid="{00000000-0005-0000-0000-0000C6D10000}"/>
    <cellStyle name="Normal 22 2 2" xfId="56062" xr:uid="{00000000-0005-0000-0000-0000C7D10000}"/>
    <cellStyle name="Normal 22 2 3" xfId="59625" xr:uid="{00000000-0005-0000-0000-0000C8D10000}"/>
    <cellStyle name="Normal 22 2 4" xfId="59626" xr:uid="{00000000-0005-0000-0000-0000C9D10000}"/>
    <cellStyle name="Normal 22 2 5" xfId="59627" xr:uid="{00000000-0005-0000-0000-0000CAD10000}"/>
    <cellStyle name="Normal 22 3" xfId="4523" xr:uid="{00000000-0005-0000-0000-0000CBD10000}"/>
    <cellStyle name="Normal 22 3 2" xfId="56063" xr:uid="{00000000-0005-0000-0000-0000CCD10000}"/>
    <cellStyle name="Normal 22 4" xfId="9262" xr:uid="{00000000-0005-0000-0000-0000CDD10000}"/>
    <cellStyle name="Normal 22 4 2" xfId="56064" xr:uid="{00000000-0005-0000-0000-0000CED10000}"/>
    <cellStyle name="Normal 22 5" xfId="56065" xr:uid="{00000000-0005-0000-0000-0000CFD10000}"/>
    <cellStyle name="Normal 22 6" xfId="56066" xr:uid="{00000000-0005-0000-0000-0000D0D10000}"/>
    <cellStyle name="Normal 23" xfId="4524" xr:uid="{00000000-0005-0000-0000-0000D1D10000}"/>
    <cellStyle name="Normal 23 2" xfId="4525" xr:uid="{00000000-0005-0000-0000-0000D2D10000}"/>
    <cellStyle name="Normal 23 2 2" xfId="9263" xr:uid="{00000000-0005-0000-0000-0000D3D10000}"/>
    <cellStyle name="Normal 23 2 2 2" xfId="9264" xr:uid="{00000000-0005-0000-0000-0000D4D10000}"/>
    <cellStyle name="Normal 23 2 3" xfId="9265" xr:uid="{00000000-0005-0000-0000-0000D5D10000}"/>
    <cellStyle name="Normal 23 2 4" xfId="9266" xr:uid="{00000000-0005-0000-0000-0000D6D10000}"/>
    <cellStyle name="Normal 23 2 5" xfId="59628" xr:uid="{00000000-0005-0000-0000-0000D7D10000}"/>
    <cellStyle name="Normal 23 3" xfId="4526" xr:uid="{00000000-0005-0000-0000-0000D8D10000}"/>
    <cellStyle name="Normal 23 3 2" xfId="9267" xr:uid="{00000000-0005-0000-0000-0000D9D10000}"/>
    <cellStyle name="Normal 23 3 3" xfId="9268" xr:uid="{00000000-0005-0000-0000-0000DAD10000}"/>
    <cellStyle name="Normal 23 4" xfId="9269" xr:uid="{00000000-0005-0000-0000-0000DBD10000}"/>
    <cellStyle name="Normal 23 5" xfId="9270" xr:uid="{00000000-0005-0000-0000-0000DCD10000}"/>
    <cellStyle name="Normal 24" xfId="4527" xr:uid="{00000000-0005-0000-0000-0000DDD10000}"/>
    <cellStyle name="Normal 24 2" xfId="4528" xr:uid="{00000000-0005-0000-0000-0000DED10000}"/>
    <cellStyle name="Normal 24 2 2" xfId="9271" xr:uid="{00000000-0005-0000-0000-0000DFD10000}"/>
    <cellStyle name="Normal 24 3" xfId="4529" xr:uid="{00000000-0005-0000-0000-0000E0D10000}"/>
    <cellStyle name="Normal 24 4" xfId="9272" xr:uid="{00000000-0005-0000-0000-0000E1D10000}"/>
    <cellStyle name="Normal 25" xfId="4530" xr:uid="{00000000-0005-0000-0000-0000E2D10000}"/>
    <cellStyle name="Normal 25 2" xfId="4531" xr:uid="{00000000-0005-0000-0000-0000E3D10000}"/>
    <cellStyle name="Normal 25 3" xfId="56067" xr:uid="{00000000-0005-0000-0000-0000E4D10000}"/>
    <cellStyle name="Normal 26" xfId="4532" xr:uid="{00000000-0005-0000-0000-0000E5D10000}"/>
    <cellStyle name="Normal 26 2" xfId="4533" xr:uid="{00000000-0005-0000-0000-0000E6D10000}"/>
    <cellStyle name="Normal 26 2 2" xfId="9864" xr:uid="{00000000-0005-0000-0000-0000E7D10000}"/>
    <cellStyle name="Normal 26 3" xfId="9865" xr:uid="{00000000-0005-0000-0000-0000E8D10000}"/>
    <cellStyle name="Normal 26 3 2" xfId="59629" xr:uid="{00000000-0005-0000-0000-0000E9D10000}"/>
    <cellStyle name="Normal 26 3 3" xfId="59630" xr:uid="{00000000-0005-0000-0000-0000EAD10000}"/>
    <cellStyle name="Normal 26 4" xfId="59631" xr:uid="{00000000-0005-0000-0000-0000EBD10000}"/>
    <cellStyle name="Normal 26 4 2" xfId="59632" xr:uid="{00000000-0005-0000-0000-0000ECD10000}"/>
    <cellStyle name="Normal 26 4 3" xfId="59633" xr:uid="{00000000-0005-0000-0000-0000EDD10000}"/>
    <cellStyle name="Normal 26 5" xfId="59634" xr:uid="{00000000-0005-0000-0000-0000EED10000}"/>
    <cellStyle name="Normal 26 5 2" xfId="59635" xr:uid="{00000000-0005-0000-0000-0000EFD10000}"/>
    <cellStyle name="Normal 26 6" xfId="59636" xr:uid="{00000000-0005-0000-0000-0000F0D10000}"/>
    <cellStyle name="Normal 26 7" xfId="59637" xr:uid="{00000000-0005-0000-0000-0000F1D10000}"/>
    <cellStyle name="Normal 26 8" xfId="59638" xr:uid="{00000000-0005-0000-0000-0000F2D10000}"/>
    <cellStyle name="Normal 27" xfId="4534" xr:uid="{00000000-0005-0000-0000-0000F3D10000}"/>
    <cellStyle name="Normal 27 2" xfId="4535" xr:uid="{00000000-0005-0000-0000-0000F4D10000}"/>
    <cellStyle name="Normal 27 2 2" xfId="4536" xr:uid="{00000000-0005-0000-0000-0000F5D10000}"/>
    <cellStyle name="Normal 27 2 2 2" xfId="4537" xr:uid="{00000000-0005-0000-0000-0000F6D10000}"/>
    <cellStyle name="Normal 27 2 2 3" xfId="59639" xr:uid="{00000000-0005-0000-0000-0000F7D10000}"/>
    <cellStyle name="Normal 27 2 3" xfId="4538" xr:uid="{00000000-0005-0000-0000-0000F8D10000}"/>
    <cellStyle name="Normal 27 2 4" xfId="59640" xr:uid="{00000000-0005-0000-0000-0000F9D10000}"/>
    <cellStyle name="Normal 27 3" xfId="4539" xr:uid="{00000000-0005-0000-0000-0000FAD10000}"/>
    <cellStyle name="Normal 27 3 2" xfId="4540" xr:uid="{00000000-0005-0000-0000-0000FBD10000}"/>
    <cellStyle name="Normal 27 3 3" xfId="59641" xr:uid="{00000000-0005-0000-0000-0000FCD10000}"/>
    <cellStyle name="Normal 27 4" xfId="4541" xr:uid="{00000000-0005-0000-0000-0000FDD10000}"/>
    <cellStyle name="Normal 27 5" xfId="9273" xr:uid="{00000000-0005-0000-0000-0000FED10000}"/>
    <cellStyle name="Normal 28" xfId="4542" xr:uid="{00000000-0005-0000-0000-0000FFD10000}"/>
    <cellStyle name="Normal 28 2" xfId="4543" xr:uid="{00000000-0005-0000-0000-000000D20000}"/>
    <cellStyle name="Normal 28 2 2" xfId="4544" xr:uid="{00000000-0005-0000-0000-000001D20000}"/>
    <cellStyle name="Normal 28 2 2 2" xfId="4545" xr:uid="{00000000-0005-0000-0000-000002D20000}"/>
    <cellStyle name="Normal 28 2 3" xfId="4546" xr:uid="{00000000-0005-0000-0000-000003D20000}"/>
    <cellStyle name="Normal 28 2 3 2" xfId="59642" xr:uid="{00000000-0005-0000-0000-000004D20000}"/>
    <cellStyle name="Normal 28 2 4" xfId="9274" xr:uid="{00000000-0005-0000-0000-000005D20000}"/>
    <cellStyle name="Normal 28 3" xfId="4547" xr:uid="{00000000-0005-0000-0000-000006D20000}"/>
    <cellStyle name="Normal 28 3 2" xfId="4548" xr:uid="{00000000-0005-0000-0000-000007D20000}"/>
    <cellStyle name="Normal 28 4" xfId="4549" xr:uid="{00000000-0005-0000-0000-000008D20000}"/>
    <cellStyle name="Normal 28 4 2" xfId="59643" xr:uid="{00000000-0005-0000-0000-000009D20000}"/>
    <cellStyle name="Normal 28 4 3" xfId="59644" xr:uid="{00000000-0005-0000-0000-00000AD20000}"/>
    <cellStyle name="Normal 28 5" xfId="9275" xr:uid="{00000000-0005-0000-0000-00000BD20000}"/>
    <cellStyle name="Normal 28 5 2" xfId="59645" xr:uid="{00000000-0005-0000-0000-00000CD20000}"/>
    <cellStyle name="Normal 28 6" xfId="59646" xr:uid="{00000000-0005-0000-0000-00000DD20000}"/>
    <cellStyle name="Normal 28 7" xfId="59647" xr:uid="{00000000-0005-0000-0000-00000ED20000}"/>
    <cellStyle name="Normal 28 8" xfId="59648" xr:uid="{00000000-0005-0000-0000-00000FD20000}"/>
    <cellStyle name="Normal 29" xfId="4550" xr:uid="{00000000-0005-0000-0000-000010D20000}"/>
    <cellStyle name="Normal 29 2" xfId="4551" xr:uid="{00000000-0005-0000-0000-000011D20000}"/>
    <cellStyle name="Normal 29 2 2" xfId="4552" xr:uid="{00000000-0005-0000-0000-000012D20000}"/>
    <cellStyle name="Normal 29 2 3" xfId="59649" xr:uid="{00000000-0005-0000-0000-000013D20000}"/>
    <cellStyle name="Normal 29 2 4" xfId="59650" xr:uid="{00000000-0005-0000-0000-000014D20000}"/>
    <cellStyle name="Normal 29 3" xfId="4553" xr:uid="{00000000-0005-0000-0000-000015D20000}"/>
    <cellStyle name="Normal 29 3 2" xfId="59651" xr:uid="{00000000-0005-0000-0000-000016D20000}"/>
    <cellStyle name="Normal 29 4" xfId="9276" xr:uid="{00000000-0005-0000-0000-000017D20000}"/>
    <cellStyle name="Normal 29 5" xfId="9371" xr:uid="{00000000-0005-0000-0000-000018D20000}"/>
    <cellStyle name="Normal 29 6" xfId="59652" xr:uid="{00000000-0005-0000-0000-000019D20000}"/>
    <cellStyle name="Normal 3" xfId="4" xr:uid="{00000000-0005-0000-0000-00001AD20000}"/>
    <cellStyle name="Normal 3 10" xfId="9866" xr:uid="{00000000-0005-0000-0000-00001BD20000}"/>
    <cellStyle name="Normal 3 11" xfId="9867" xr:uid="{00000000-0005-0000-0000-00001CD20000}"/>
    <cellStyle name="Normal 3 12" xfId="9868" xr:uid="{00000000-0005-0000-0000-00001DD20000}"/>
    <cellStyle name="Normal 3 13" xfId="9869" xr:uid="{00000000-0005-0000-0000-00001ED20000}"/>
    <cellStyle name="Normal 3 14" xfId="9870" xr:uid="{00000000-0005-0000-0000-00001FD20000}"/>
    <cellStyle name="Normal 3 15" xfId="9871" xr:uid="{00000000-0005-0000-0000-000020D20000}"/>
    <cellStyle name="Normal 3 16" xfId="9872" xr:uid="{00000000-0005-0000-0000-000021D20000}"/>
    <cellStyle name="Normal 3 17" xfId="9873" xr:uid="{00000000-0005-0000-0000-000022D20000}"/>
    <cellStyle name="Normal 3 17 2" xfId="9874" xr:uid="{00000000-0005-0000-0000-000023D20000}"/>
    <cellStyle name="Normal 3 17 2 2" xfId="9875" xr:uid="{00000000-0005-0000-0000-000024D20000}"/>
    <cellStyle name="Normal 3 17 3" xfId="9876" xr:uid="{00000000-0005-0000-0000-000025D20000}"/>
    <cellStyle name="Normal 3 18" xfId="9877" xr:uid="{00000000-0005-0000-0000-000026D20000}"/>
    <cellStyle name="Normal 3 18 2" xfId="9878" xr:uid="{00000000-0005-0000-0000-000027D20000}"/>
    <cellStyle name="Normal 3 18 2 2" xfId="59653" xr:uid="{00000000-0005-0000-0000-000028D20000}"/>
    <cellStyle name="Normal 3 18 2 3" xfId="59654" xr:uid="{00000000-0005-0000-0000-000029D20000}"/>
    <cellStyle name="Normal 3 18 3" xfId="59655" xr:uid="{00000000-0005-0000-0000-00002AD20000}"/>
    <cellStyle name="Normal 3 18 3 2" xfId="59656" xr:uid="{00000000-0005-0000-0000-00002BD20000}"/>
    <cellStyle name="Normal 3 18 4" xfId="59657" xr:uid="{00000000-0005-0000-0000-00002CD20000}"/>
    <cellStyle name="Normal 3 18 5" xfId="59658" xr:uid="{00000000-0005-0000-0000-00002DD20000}"/>
    <cellStyle name="Normal 3 18 6" xfId="59659" xr:uid="{00000000-0005-0000-0000-00002ED20000}"/>
    <cellStyle name="Normal 3 19" xfId="9879" xr:uid="{00000000-0005-0000-0000-00002FD20000}"/>
    <cellStyle name="Normal 3 19 2" xfId="59660" xr:uid="{00000000-0005-0000-0000-000030D20000}"/>
    <cellStyle name="Normal 3 19 3" xfId="59661" xr:uid="{00000000-0005-0000-0000-000031D20000}"/>
    <cellStyle name="Normal 3 2" xfId="4554" xr:uid="{00000000-0005-0000-0000-000032D20000}"/>
    <cellStyle name="Normal 3 2 2" xfId="4555" xr:uid="{00000000-0005-0000-0000-000033D20000}"/>
    <cellStyle name="Normal 3 2 2 2" xfId="9880" xr:uid="{00000000-0005-0000-0000-000034D20000}"/>
    <cellStyle name="Normal 3 2 2 3" xfId="56068" xr:uid="{00000000-0005-0000-0000-000035D20000}"/>
    <cellStyle name="Normal 3 2 3" xfId="8482" xr:uid="{00000000-0005-0000-0000-000036D20000}"/>
    <cellStyle name="Normal 3 2 3 2" xfId="56069" xr:uid="{00000000-0005-0000-0000-000037D20000}"/>
    <cellStyle name="Normal 3 2 3 3" xfId="56070" xr:uid="{00000000-0005-0000-0000-000038D20000}"/>
    <cellStyle name="Normal 3 2 4" xfId="9881" xr:uid="{00000000-0005-0000-0000-000039D20000}"/>
    <cellStyle name="Normal 3 2 4 2" xfId="56071" xr:uid="{00000000-0005-0000-0000-00003AD20000}"/>
    <cellStyle name="Normal 3 2 4 3" xfId="59662" xr:uid="{00000000-0005-0000-0000-00003BD20000}"/>
    <cellStyle name="Normal 3 2 4 4" xfId="59663" xr:uid="{00000000-0005-0000-0000-00003CD20000}"/>
    <cellStyle name="Normal 3 2 5 2" xfId="61981" xr:uid="{00000000-0005-0000-0000-00003DD20000}"/>
    <cellStyle name="Normal 3 20" xfId="59664" xr:uid="{00000000-0005-0000-0000-00003ED20000}"/>
    <cellStyle name="Normal 3 20 2" xfId="59665" xr:uid="{00000000-0005-0000-0000-00003FD20000}"/>
    <cellStyle name="Normal 3 20 3" xfId="59666" xr:uid="{00000000-0005-0000-0000-000040D20000}"/>
    <cellStyle name="Normal 3 21" xfId="59667" xr:uid="{00000000-0005-0000-0000-000041D20000}"/>
    <cellStyle name="Normal 3 22" xfId="59668" xr:uid="{00000000-0005-0000-0000-000042D20000}"/>
    <cellStyle name="Normal 3 23" xfId="59669" xr:uid="{00000000-0005-0000-0000-000043D20000}"/>
    <cellStyle name="Normal 3 3" xfId="4556" xr:uid="{00000000-0005-0000-0000-000044D20000}"/>
    <cellStyle name="Normal 3 3 2" xfId="9277" xr:uid="{00000000-0005-0000-0000-000045D20000}"/>
    <cellStyle name="Normal 3 3 2 2" xfId="9278" xr:uid="{00000000-0005-0000-0000-000046D20000}"/>
    <cellStyle name="Normal 3 3 2 2 2" xfId="9279" xr:uid="{00000000-0005-0000-0000-000047D20000}"/>
    <cellStyle name="Normal 3 3 2 3" xfId="9280" xr:uid="{00000000-0005-0000-0000-000048D20000}"/>
    <cellStyle name="Normal 3 3 3" xfId="9281" xr:uid="{00000000-0005-0000-0000-000049D20000}"/>
    <cellStyle name="Normal 3 3 3 2" xfId="9282" xr:uid="{00000000-0005-0000-0000-00004AD20000}"/>
    <cellStyle name="Normal 3 3 4" xfId="9283" xr:uid="{00000000-0005-0000-0000-00004BD20000}"/>
    <cellStyle name="Normal 3 3 5" xfId="9284" xr:uid="{00000000-0005-0000-0000-00004CD20000}"/>
    <cellStyle name="Normal 3 4" xfId="4557" xr:uid="{00000000-0005-0000-0000-00004DD20000}"/>
    <cellStyle name="Normal 3 4 2" xfId="9882" xr:uid="{00000000-0005-0000-0000-00004ED20000}"/>
    <cellStyle name="Normal 3 4 2 2" xfId="56072" xr:uid="{00000000-0005-0000-0000-00004FD20000}"/>
    <cellStyle name="Normal 3 4 3" xfId="9883" xr:uid="{00000000-0005-0000-0000-000050D20000}"/>
    <cellStyle name="Normal 3 4 3 2" xfId="9884" xr:uid="{00000000-0005-0000-0000-000051D20000}"/>
    <cellStyle name="Normal 3 4 4" xfId="9885" xr:uid="{00000000-0005-0000-0000-000052D20000}"/>
    <cellStyle name="Normal 3 4 5" xfId="59670" xr:uid="{00000000-0005-0000-0000-000053D20000}"/>
    <cellStyle name="Normal 3 5" xfId="4558" xr:uid="{00000000-0005-0000-0000-000054D20000}"/>
    <cellStyle name="Normal 3 5 2" xfId="56073" xr:uid="{00000000-0005-0000-0000-000055D20000}"/>
    <cellStyle name="Normal 3 6" xfId="9285" xr:uid="{00000000-0005-0000-0000-000056D20000}"/>
    <cellStyle name="Normal 3 7" xfId="9886" xr:uid="{00000000-0005-0000-0000-000057D20000}"/>
    <cellStyle name="Normal 3 8" xfId="9887" xr:uid="{00000000-0005-0000-0000-000058D20000}"/>
    <cellStyle name="Normal 3 9" xfId="9888" xr:uid="{00000000-0005-0000-0000-000059D20000}"/>
    <cellStyle name="Normal 3_183302" xfId="8771" xr:uid="{00000000-0005-0000-0000-00005AD20000}"/>
    <cellStyle name="Normal 30" xfId="4559" xr:uid="{00000000-0005-0000-0000-00005BD20000}"/>
    <cellStyle name="Normal 30 2" xfId="4560" xr:uid="{00000000-0005-0000-0000-00005CD20000}"/>
    <cellStyle name="Normal 30 2 2" xfId="59671" xr:uid="{00000000-0005-0000-0000-00005DD20000}"/>
    <cellStyle name="Normal 30 2 3" xfId="59672" xr:uid="{00000000-0005-0000-0000-00005ED20000}"/>
    <cellStyle name="Normal 30 2 4" xfId="59673" xr:uid="{00000000-0005-0000-0000-00005FD20000}"/>
    <cellStyle name="Normal 30 3" xfId="9286" xr:uid="{00000000-0005-0000-0000-000060D20000}"/>
    <cellStyle name="Normal 30 3 2" xfId="59674" xr:uid="{00000000-0005-0000-0000-000061D20000}"/>
    <cellStyle name="Normal 30 4" xfId="59675" xr:uid="{00000000-0005-0000-0000-000062D20000}"/>
    <cellStyle name="Normal 30 5" xfId="59676" xr:uid="{00000000-0005-0000-0000-000063D20000}"/>
    <cellStyle name="Normal 30 6" xfId="59677" xr:uid="{00000000-0005-0000-0000-000064D20000}"/>
    <cellStyle name="Normal 30 7" xfId="59678" xr:uid="{00000000-0005-0000-0000-000065D20000}"/>
    <cellStyle name="Normal 31" xfId="4561" xr:uid="{00000000-0005-0000-0000-000066D20000}"/>
    <cellStyle name="Normal 31 2" xfId="4562" xr:uid="{00000000-0005-0000-0000-000067D20000}"/>
    <cellStyle name="Normal 31 2 2" xfId="4563" xr:uid="{00000000-0005-0000-0000-000068D20000}"/>
    <cellStyle name="Normal 31 2 3" xfId="59679" xr:uid="{00000000-0005-0000-0000-000069D20000}"/>
    <cellStyle name="Normal 31 2 4" xfId="59680" xr:uid="{00000000-0005-0000-0000-00006AD20000}"/>
    <cellStyle name="Normal 31 3" xfId="4564" xr:uid="{00000000-0005-0000-0000-00006BD20000}"/>
    <cellStyle name="Normal 31 3 2" xfId="59681" xr:uid="{00000000-0005-0000-0000-00006CD20000}"/>
    <cellStyle name="Normal 31 4" xfId="9287" xr:uid="{00000000-0005-0000-0000-00006DD20000}"/>
    <cellStyle name="Normal 31 5" xfId="59682" xr:uid="{00000000-0005-0000-0000-00006ED20000}"/>
    <cellStyle name="Normal 31 6" xfId="59683" xr:uid="{00000000-0005-0000-0000-00006FD20000}"/>
    <cellStyle name="Normal 31 7" xfId="59684" xr:uid="{00000000-0005-0000-0000-000070D20000}"/>
    <cellStyle name="Normal 32" xfId="4565" xr:uid="{00000000-0005-0000-0000-000071D20000}"/>
    <cellStyle name="Normal 32 2" xfId="4566" xr:uid="{00000000-0005-0000-0000-000072D20000}"/>
    <cellStyle name="Normal 32 2 2" xfId="59685" xr:uid="{00000000-0005-0000-0000-000073D20000}"/>
    <cellStyle name="Normal 32 2 3" xfId="59686" xr:uid="{00000000-0005-0000-0000-000074D20000}"/>
    <cellStyle name="Normal 32 2 4" xfId="59687" xr:uid="{00000000-0005-0000-0000-000075D20000}"/>
    <cellStyle name="Normal 32 3" xfId="9288" xr:uid="{00000000-0005-0000-0000-000076D20000}"/>
    <cellStyle name="Normal 32 3 2" xfId="59688" xr:uid="{00000000-0005-0000-0000-000077D20000}"/>
    <cellStyle name="Normal 32 4" xfId="59689" xr:uid="{00000000-0005-0000-0000-000078D20000}"/>
    <cellStyle name="Normal 32 5" xfId="59690" xr:uid="{00000000-0005-0000-0000-000079D20000}"/>
    <cellStyle name="Normal 32 6" xfId="59691" xr:uid="{00000000-0005-0000-0000-00007AD20000}"/>
    <cellStyle name="Normal 32 7" xfId="59692" xr:uid="{00000000-0005-0000-0000-00007BD20000}"/>
    <cellStyle name="Normal 33" xfId="4567" xr:uid="{00000000-0005-0000-0000-00007CD20000}"/>
    <cellStyle name="Normal 33 2" xfId="4568" xr:uid="{00000000-0005-0000-0000-00007DD20000}"/>
    <cellStyle name="Normal 33 2 2" xfId="59693" xr:uid="{00000000-0005-0000-0000-00007ED20000}"/>
    <cellStyle name="Normal 33 2 3" xfId="59694" xr:uid="{00000000-0005-0000-0000-00007FD20000}"/>
    <cellStyle name="Normal 33 2 4" xfId="59695" xr:uid="{00000000-0005-0000-0000-000080D20000}"/>
    <cellStyle name="Normal 33 3" xfId="56074" xr:uid="{00000000-0005-0000-0000-000081D20000}"/>
    <cellStyle name="Normal 33 4" xfId="59696" xr:uid="{00000000-0005-0000-0000-000082D20000}"/>
    <cellStyle name="Normal 33 5" xfId="59697" xr:uid="{00000000-0005-0000-0000-000083D20000}"/>
    <cellStyle name="Normal 33 6" xfId="59698" xr:uid="{00000000-0005-0000-0000-000084D20000}"/>
    <cellStyle name="Normal 34" xfId="4569" xr:uid="{00000000-0005-0000-0000-000085D20000}"/>
    <cellStyle name="Normal 34 2" xfId="4570" xr:uid="{00000000-0005-0000-0000-000086D20000}"/>
    <cellStyle name="Normal 34 2 2" xfId="59699" xr:uid="{00000000-0005-0000-0000-000087D20000}"/>
    <cellStyle name="Normal 34 3" xfId="59700" xr:uid="{00000000-0005-0000-0000-000088D20000}"/>
    <cellStyle name="Normal 34 4" xfId="59701" xr:uid="{00000000-0005-0000-0000-000089D20000}"/>
    <cellStyle name="Normal 34 4 2" xfId="59702" xr:uid="{00000000-0005-0000-0000-00008AD20000}"/>
    <cellStyle name="Normal 34 4 3" xfId="59703" xr:uid="{00000000-0005-0000-0000-00008BD20000}"/>
    <cellStyle name="Normal 34 5" xfId="59704" xr:uid="{00000000-0005-0000-0000-00008CD20000}"/>
    <cellStyle name="Normal 34 6" xfId="59705" xr:uid="{00000000-0005-0000-0000-00008DD20000}"/>
    <cellStyle name="Normal 34 7" xfId="59706" xr:uid="{00000000-0005-0000-0000-00008ED20000}"/>
    <cellStyle name="Normal 35" xfId="4571" xr:uid="{00000000-0005-0000-0000-00008FD20000}"/>
    <cellStyle name="Normal 35 2" xfId="4572" xr:uid="{00000000-0005-0000-0000-000090D20000}"/>
    <cellStyle name="Normal 35 2 2" xfId="59707" xr:uid="{00000000-0005-0000-0000-000091D20000}"/>
    <cellStyle name="Normal 35 2 3" xfId="59708" xr:uid="{00000000-0005-0000-0000-000092D20000}"/>
    <cellStyle name="Normal 35 3" xfId="59709" xr:uid="{00000000-0005-0000-0000-000093D20000}"/>
    <cellStyle name="Normal 35 4" xfId="59710" xr:uid="{00000000-0005-0000-0000-000094D20000}"/>
    <cellStyle name="Normal 35 5" xfId="59711" xr:uid="{00000000-0005-0000-0000-000095D20000}"/>
    <cellStyle name="Normal 36" xfId="4573" xr:uid="{00000000-0005-0000-0000-000096D20000}"/>
    <cellStyle name="Normal 36 2" xfId="4574" xr:uid="{00000000-0005-0000-0000-000097D20000}"/>
    <cellStyle name="Normal 36 2 2" xfId="59712" xr:uid="{00000000-0005-0000-0000-000098D20000}"/>
    <cellStyle name="Normal 36 2 3" xfId="59713" xr:uid="{00000000-0005-0000-0000-000099D20000}"/>
    <cellStyle name="Normal 36 3" xfId="59714" xr:uid="{00000000-0005-0000-0000-00009AD20000}"/>
    <cellStyle name="Normal 36 4" xfId="59715" xr:uid="{00000000-0005-0000-0000-00009BD20000}"/>
    <cellStyle name="Normal 36 5" xfId="59716" xr:uid="{00000000-0005-0000-0000-00009CD20000}"/>
    <cellStyle name="Normal 37" xfId="4575" xr:uid="{00000000-0005-0000-0000-00009DD20000}"/>
    <cellStyle name="Normal 37 2" xfId="4576" xr:uid="{00000000-0005-0000-0000-00009ED20000}"/>
    <cellStyle name="Normal 37 2 2" xfId="59717" xr:uid="{00000000-0005-0000-0000-00009FD20000}"/>
    <cellStyle name="Normal 37 3" xfId="59718" xr:uid="{00000000-0005-0000-0000-0000A0D20000}"/>
    <cellStyle name="Normal 37 4" xfId="59719" xr:uid="{00000000-0005-0000-0000-0000A1D20000}"/>
    <cellStyle name="Normal 37 5" xfId="59720" xr:uid="{00000000-0005-0000-0000-0000A2D20000}"/>
    <cellStyle name="Normal 38" xfId="4577" xr:uid="{00000000-0005-0000-0000-0000A3D20000}"/>
    <cellStyle name="Normal 38 2" xfId="4578" xr:uid="{00000000-0005-0000-0000-0000A4D20000}"/>
    <cellStyle name="Normal 38 2 2" xfId="4579" xr:uid="{00000000-0005-0000-0000-0000A5D20000}"/>
    <cellStyle name="Normal 38 3" xfId="4580" xr:uid="{00000000-0005-0000-0000-0000A6D20000}"/>
    <cellStyle name="Normal 38 4" xfId="59721" xr:uid="{00000000-0005-0000-0000-0000A7D20000}"/>
    <cellStyle name="Normal 38 5" xfId="59722" xr:uid="{00000000-0005-0000-0000-0000A8D20000}"/>
    <cellStyle name="Normal 39" xfId="4581" xr:uid="{00000000-0005-0000-0000-0000A9D20000}"/>
    <cellStyle name="Normal 39 2" xfId="4582" xr:uid="{00000000-0005-0000-0000-0000AAD20000}"/>
    <cellStyle name="Normal 39 3" xfId="4583" xr:uid="{00000000-0005-0000-0000-0000ABD20000}"/>
    <cellStyle name="Normal 4" xfId="4584" xr:uid="{00000000-0005-0000-0000-0000ACD20000}"/>
    <cellStyle name="Normal 4 10" xfId="59723" xr:uid="{00000000-0005-0000-0000-0000ADD20000}"/>
    <cellStyle name="Normal 4 11" xfId="59724" xr:uid="{00000000-0005-0000-0000-0000AED20000}"/>
    <cellStyle name="Normal 4 2" xfId="4585" xr:uid="{00000000-0005-0000-0000-0000AFD20000}"/>
    <cellStyle name="Normal 4 2 10" xfId="8483" xr:uid="{00000000-0005-0000-0000-0000B0D20000}"/>
    <cellStyle name="Normal 4 2 10 2" xfId="59725" xr:uid="{00000000-0005-0000-0000-0000B1D20000}"/>
    <cellStyle name="Normal 4 2 10 2 2" xfId="59726" xr:uid="{00000000-0005-0000-0000-0000B2D20000}"/>
    <cellStyle name="Normal 4 2 10 3" xfId="59727" xr:uid="{00000000-0005-0000-0000-0000B3D20000}"/>
    <cellStyle name="Normal 4 2 10 4" xfId="59728" xr:uid="{00000000-0005-0000-0000-0000B4D20000}"/>
    <cellStyle name="Normal 4 2 10 5" xfId="59729" xr:uid="{00000000-0005-0000-0000-0000B5D20000}"/>
    <cellStyle name="Normal 4 2 11" xfId="59730" xr:uid="{00000000-0005-0000-0000-0000B6D20000}"/>
    <cellStyle name="Normal 4 2 2" xfId="4586" xr:uid="{00000000-0005-0000-0000-0000B7D20000}"/>
    <cellStyle name="Normal 4 2 2 10" xfId="59731" xr:uid="{00000000-0005-0000-0000-0000B8D20000}"/>
    <cellStyle name="Normal 4 2 2 11" xfId="59732" xr:uid="{00000000-0005-0000-0000-0000B9D20000}"/>
    <cellStyle name="Normal 4 2 2 2" xfId="4587" xr:uid="{00000000-0005-0000-0000-0000BAD20000}"/>
    <cellStyle name="Normal 4 2 2 2 10" xfId="59733" xr:uid="{00000000-0005-0000-0000-0000BBD20000}"/>
    <cellStyle name="Normal 4 2 2 2 2" xfId="4588" xr:uid="{00000000-0005-0000-0000-0000BCD20000}"/>
    <cellStyle name="Normal 4 2 2 2 2 2" xfId="4589" xr:uid="{00000000-0005-0000-0000-0000BDD20000}"/>
    <cellStyle name="Normal 4 2 2 2 2 2 2" xfId="4590" xr:uid="{00000000-0005-0000-0000-0000BED20000}"/>
    <cellStyle name="Normal 4 2 2 2 2 2 2 2" xfId="8484" xr:uid="{00000000-0005-0000-0000-0000BFD20000}"/>
    <cellStyle name="Normal 4 2 2 2 2 2 2 2 2" xfId="8485" xr:uid="{00000000-0005-0000-0000-0000C0D20000}"/>
    <cellStyle name="Normal 4 2 2 2 2 2 2 2 3" xfId="59734" xr:uid="{00000000-0005-0000-0000-0000C1D20000}"/>
    <cellStyle name="Normal 4 2 2 2 2 2 2 3" xfId="8486" xr:uid="{00000000-0005-0000-0000-0000C2D20000}"/>
    <cellStyle name="Normal 4 2 2 2 2 2 2 3 2" xfId="59735" xr:uid="{00000000-0005-0000-0000-0000C3D20000}"/>
    <cellStyle name="Normal 4 2 2 2 2 2 2 4" xfId="59736" xr:uid="{00000000-0005-0000-0000-0000C4D20000}"/>
    <cellStyle name="Normal 4 2 2 2 2 2 2 5" xfId="59737" xr:uid="{00000000-0005-0000-0000-0000C5D20000}"/>
    <cellStyle name="Normal 4 2 2 2 2 2 3" xfId="8487" xr:uid="{00000000-0005-0000-0000-0000C6D20000}"/>
    <cellStyle name="Normal 4 2 2 2 2 2 3 2" xfId="8488" xr:uid="{00000000-0005-0000-0000-0000C7D20000}"/>
    <cellStyle name="Normal 4 2 2 2 2 2 3 3" xfId="59738" xr:uid="{00000000-0005-0000-0000-0000C8D20000}"/>
    <cellStyle name="Normal 4 2 2 2 2 2 4" xfId="8489" xr:uid="{00000000-0005-0000-0000-0000C9D20000}"/>
    <cellStyle name="Normal 4 2 2 2 2 2 4 2" xfId="59739" xr:uid="{00000000-0005-0000-0000-0000CAD20000}"/>
    <cellStyle name="Normal 4 2 2 2 2 2 5" xfId="59740" xr:uid="{00000000-0005-0000-0000-0000CBD20000}"/>
    <cellStyle name="Normal 4 2 2 2 2 2 6" xfId="59741" xr:uid="{00000000-0005-0000-0000-0000CCD20000}"/>
    <cellStyle name="Normal 4 2 2 2 2 3" xfId="4591" xr:uid="{00000000-0005-0000-0000-0000CDD20000}"/>
    <cellStyle name="Normal 4 2 2 2 2 3 2" xfId="8490" xr:uid="{00000000-0005-0000-0000-0000CED20000}"/>
    <cellStyle name="Normal 4 2 2 2 2 3 2 2" xfId="8491" xr:uid="{00000000-0005-0000-0000-0000CFD20000}"/>
    <cellStyle name="Normal 4 2 2 2 2 3 2 2 2" xfId="59742" xr:uid="{00000000-0005-0000-0000-0000D0D20000}"/>
    <cellStyle name="Normal 4 2 2 2 2 3 2 3" xfId="59743" xr:uid="{00000000-0005-0000-0000-0000D1D20000}"/>
    <cellStyle name="Normal 4 2 2 2 2 3 2 4" xfId="59744" xr:uid="{00000000-0005-0000-0000-0000D2D20000}"/>
    <cellStyle name="Normal 4 2 2 2 2 3 2 5" xfId="59745" xr:uid="{00000000-0005-0000-0000-0000D3D20000}"/>
    <cellStyle name="Normal 4 2 2 2 2 3 3" xfId="8492" xr:uid="{00000000-0005-0000-0000-0000D4D20000}"/>
    <cellStyle name="Normal 4 2 2 2 2 3 3 2" xfId="59746" xr:uid="{00000000-0005-0000-0000-0000D5D20000}"/>
    <cellStyle name="Normal 4 2 2 2 2 3 4" xfId="59747" xr:uid="{00000000-0005-0000-0000-0000D6D20000}"/>
    <cellStyle name="Normal 4 2 2 2 2 3 5" xfId="59748" xr:uid="{00000000-0005-0000-0000-0000D7D20000}"/>
    <cellStyle name="Normal 4 2 2 2 2 3 6" xfId="59749" xr:uid="{00000000-0005-0000-0000-0000D8D20000}"/>
    <cellStyle name="Normal 4 2 2 2 2 4" xfId="8493" xr:uid="{00000000-0005-0000-0000-0000D9D20000}"/>
    <cellStyle name="Normal 4 2 2 2 2 4 2" xfId="8494" xr:uid="{00000000-0005-0000-0000-0000DAD20000}"/>
    <cellStyle name="Normal 4 2 2 2 2 4 2 2" xfId="59750" xr:uid="{00000000-0005-0000-0000-0000DBD20000}"/>
    <cellStyle name="Normal 4 2 2 2 2 4 3" xfId="59751" xr:uid="{00000000-0005-0000-0000-0000DCD20000}"/>
    <cellStyle name="Normal 4 2 2 2 2 4 4" xfId="59752" xr:uid="{00000000-0005-0000-0000-0000DDD20000}"/>
    <cellStyle name="Normal 4 2 2 2 2 4 5" xfId="59753" xr:uid="{00000000-0005-0000-0000-0000DED20000}"/>
    <cellStyle name="Normal 4 2 2 2 2 5" xfId="8495" xr:uid="{00000000-0005-0000-0000-0000DFD20000}"/>
    <cellStyle name="Normal 4 2 2 2 2 5 2" xfId="8496" xr:uid="{00000000-0005-0000-0000-0000E0D20000}"/>
    <cellStyle name="Normal 4 2 2 2 2 5 2 2" xfId="59754" xr:uid="{00000000-0005-0000-0000-0000E1D20000}"/>
    <cellStyle name="Normal 4 2 2 2 2 5 3" xfId="59755" xr:uid="{00000000-0005-0000-0000-0000E2D20000}"/>
    <cellStyle name="Normal 4 2 2 2 2 5 4" xfId="59756" xr:uid="{00000000-0005-0000-0000-0000E3D20000}"/>
    <cellStyle name="Normal 4 2 2 2 2 5 5" xfId="59757" xr:uid="{00000000-0005-0000-0000-0000E4D20000}"/>
    <cellStyle name="Normal 4 2 2 2 2 6" xfId="8497" xr:uid="{00000000-0005-0000-0000-0000E5D20000}"/>
    <cellStyle name="Normal 4 2 2 2 2 6 2" xfId="59758" xr:uid="{00000000-0005-0000-0000-0000E6D20000}"/>
    <cellStyle name="Normal 4 2 2 2 2 7" xfId="59759" xr:uid="{00000000-0005-0000-0000-0000E7D20000}"/>
    <cellStyle name="Normal 4 2 2 2 2 8" xfId="59760" xr:uid="{00000000-0005-0000-0000-0000E8D20000}"/>
    <cellStyle name="Normal 4 2 2 2 2 9" xfId="59761" xr:uid="{00000000-0005-0000-0000-0000E9D20000}"/>
    <cellStyle name="Normal 4 2 2 2 3" xfId="4592" xr:uid="{00000000-0005-0000-0000-0000EAD20000}"/>
    <cellStyle name="Normal 4 2 2 2 3 2" xfId="4593" xr:uid="{00000000-0005-0000-0000-0000EBD20000}"/>
    <cellStyle name="Normal 4 2 2 2 3 2 2" xfId="8498" xr:uid="{00000000-0005-0000-0000-0000ECD20000}"/>
    <cellStyle name="Normal 4 2 2 2 3 2 2 2" xfId="8499" xr:uid="{00000000-0005-0000-0000-0000EDD20000}"/>
    <cellStyle name="Normal 4 2 2 2 3 2 2 3" xfId="59762" xr:uid="{00000000-0005-0000-0000-0000EED20000}"/>
    <cellStyle name="Normal 4 2 2 2 3 2 3" xfId="8500" xr:uid="{00000000-0005-0000-0000-0000EFD20000}"/>
    <cellStyle name="Normal 4 2 2 2 3 2 3 2" xfId="59763" xr:uid="{00000000-0005-0000-0000-0000F0D20000}"/>
    <cellStyle name="Normal 4 2 2 2 3 2 4" xfId="59764" xr:uid="{00000000-0005-0000-0000-0000F1D20000}"/>
    <cellStyle name="Normal 4 2 2 2 3 2 5" xfId="59765" xr:uid="{00000000-0005-0000-0000-0000F2D20000}"/>
    <cellStyle name="Normal 4 2 2 2 3 3" xfId="8501" xr:uid="{00000000-0005-0000-0000-0000F3D20000}"/>
    <cellStyle name="Normal 4 2 2 2 3 3 2" xfId="8502" xr:uid="{00000000-0005-0000-0000-0000F4D20000}"/>
    <cellStyle name="Normal 4 2 2 2 3 3 3" xfId="59766" xr:uid="{00000000-0005-0000-0000-0000F5D20000}"/>
    <cellStyle name="Normal 4 2 2 2 3 4" xfId="8503" xr:uid="{00000000-0005-0000-0000-0000F6D20000}"/>
    <cellStyle name="Normal 4 2 2 2 3 4 2" xfId="59767" xr:uid="{00000000-0005-0000-0000-0000F7D20000}"/>
    <cellStyle name="Normal 4 2 2 2 3 5" xfId="59768" xr:uid="{00000000-0005-0000-0000-0000F8D20000}"/>
    <cellStyle name="Normal 4 2 2 2 3 6" xfId="59769" xr:uid="{00000000-0005-0000-0000-0000F9D20000}"/>
    <cellStyle name="Normal 4 2 2 2 4" xfId="4594" xr:uid="{00000000-0005-0000-0000-0000FAD20000}"/>
    <cellStyle name="Normal 4 2 2 2 4 2" xfId="8504" xr:uid="{00000000-0005-0000-0000-0000FBD20000}"/>
    <cellStyle name="Normal 4 2 2 2 4 2 2" xfId="8505" xr:uid="{00000000-0005-0000-0000-0000FCD20000}"/>
    <cellStyle name="Normal 4 2 2 2 4 2 2 2" xfId="59770" xr:uid="{00000000-0005-0000-0000-0000FDD20000}"/>
    <cellStyle name="Normal 4 2 2 2 4 2 3" xfId="59771" xr:uid="{00000000-0005-0000-0000-0000FED20000}"/>
    <cellStyle name="Normal 4 2 2 2 4 2 4" xfId="59772" xr:uid="{00000000-0005-0000-0000-0000FFD20000}"/>
    <cellStyle name="Normal 4 2 2 2 4 2 5" xfId="59773" xr:uid="{00000000-0005-0000-0000-000000D30000}"/>
    <cellStyle name="Normal 4 2 2 2 4 3" xfId="8506" xr:uid="{00000000-0005-0000-0000-000001D30000}"/>
    <cellStyle name="Normal 4 2 2 2 4 3 2" xfId="59774" xr:uid="{00000000-0005-0000-0000-000002D30000}"/>
    <cellStyle name="Normal 4 2 2 2 4 4" xfId="59775" xr:uid="{00000000-0005-0000-0000-000003D30000}"/>
    <cellStyle name="Normal 4 2 2 2 4 5" xfId="59776" xr:uid="{00000000-0005-0000-0000-000004D30000}"/>
    <cellStyle name="Normal 4 2 2 2 4 6" xfId="59777" xr:uid="{00000000-0005-0000-0000-000005D30000}"/>
    <cellStyle name="Normal 4 2 2 2 5" xfId="8507" xr:uid="{00000000-0005-0000-0000-000006D30000}"/>
    <cellStyle name="Normal 4 2 2 2 5 2" xfId="8508" xr:uid="{00000000-0005-0000-0000-000007D30000}"/>
    <cellStyle name="Normal 4 2 2 2 5 2 2" xfId="59778" xr:uid="{00000000-0005-0000-0000-000008D30000}"/>
    <cellStyle name="Normal 4 2 2 2 5 3" xfId="59779" xr:uid="{00000000-0005-0000-0000-000009D30000}"/>
    <cellStyle name="Normal 4 2 2 2 5 4" xfId="59780" xr:uid="{00000000-0005-0000-0000-00000AD30000}"/>
    <cellStyle name="Normal 4 2 2 2 5 5" xfId="59781" xr:uid="{00000000-0005-0000-0000-00000BD30000}"/>
    <cellStyle name="Normal 4 2 2 2 6" xfId="8509" xr:uid="{00000000-0005-0000-0000-00000CD30000}"/>
    <cellStyle name="Normal 4 2 2 2 6 2" xfId="8510" xr:uid="{00000000-0005-0000-0000-00000DD30000}"/>
    <cellStyle name="Normal 4 2 2 2 6 2 2" xfId="59782" xr:uid="{00000000-0005-0000-0000-00000ED30000}"/>
    <cellStyle name="Normal 4 2 2 2 6 3" xfId="59783" xr:uid="{00000000-0005-0000-0000-00000FD30000}"/>
    <cellStyle name="Normal 4 2 2 2 6 4" xfId="59784" xr:uid="{00000000-0005-0000-0000-000010D30000}"/>
    <cellStyle name="Normal 4 2 2 2 6 5" xfId="59785" xr:uid="{00000000-0005-0000-0000-000011D30000}"/>
    <cellStyle name="Normal 4 2 2 2 7" xfId="8511" xr:uid="{00000000-0005-0000-0000-000012D30000}"/>
    <cellStyle name="Normal 4 2 2 2 7 2" xfId="59786" xr:uid="{00000000-0005-0000-0000-000013D30000}"/>
    <cellStyle name="Normal 4 2 2 2 8" xfId="59787" xr:uid="{00000000-0005-0000-0000-000014D30000}"/>
    <cellStyle name="Normal 4 2 2 2 9" xfId="59788" xr:uid="{00000000-0005-0000-0000-000015D30000}"/>
    <cellStyle name="Normal 4 2 2 3" xfId="4595" xr:uid="{00000000-0005-0000-0000-000016D30000}"/>
    <cellStyle name="Normal 4 2 2 3 2" xfId="4596" xr:uid="{00000000-0005-0000-0000-000017D30000}"/>
    <cellStyle name="Normal 4 2 2 3 2 2" xfId="4597" xr:uid="{00000000-0005-0000-0000-000018D30000}"/>
    <cellStyle name="Normal 4 2 2 3 2 2 2" xfId="8512" xr:uid="{00000000-0005-0000-0000-000019D30000}"/>
    <cellStyle name="Normal 4 2 2 3 2 2 2 2" xfId="8513" xr:uid="{00000000-0005-0000-0000-00001AD30000}"/>
    <cellStyle name="Normal 4 2 2 3 2 2 2 3" xfId="59789" xr:uid="{00000000-0005-0000-0000-00001BD30000}"/>
    <cellStyle name="Normal 4 2 2 3 2 2 3" xfId="8514" xr:uid="{00000000-0005-0000-0000-00001CD30000}"/>
    <cellStyle name="Normal 4 2 2 3 2 2 3 2" xfId="59790" xr:uid="{00000000-0005-0000-0000-00001DD30000}"/>
    <cellStyle name="Normal 4 2 2 3 2 2 4" xfId="59791" xr:uid="{00000000-0005-0000-0000-00001ED30000}"/>
    <cellStyle name="Normal 4 2 2 3 2 2 5" xfId="59792" xr:uid="{00000000-0005-0000-0000-00001FD30000}"/>
    <cellStyle name="Normal 4 2 2 3 2 3" xfId="8515" xr:uid="{00000000-0005-0000-0000-000020D30000}"/>
    <cellStyle name="Normal 4 2 2 3 2 3 2" xfId="8516" xr:uid="{00000000-0005-0000-0000-000021D30000}"/>
    <cellStyle name="Normal 4 2 2 3 2 3 3" xfId="59793" xr:uid="{00000000-0005-0000-0000-000022D30000}"/>
    <cellStyle name="Normal 4 2 2 3 2 4" xfId="8517" xr:uid="{00000000-0005-0000-0000-000023D30000}"/>
    <cellStyle name="Normal 4 2 2 3 2 4 2" xfId="59794" xr:uid="{00000000-0005-0000-0000-000024D30000}"/>
    <cellStyle name="Normal 4 2 2 3 2 5" xfId="59795" xr:uid="{00000000-0005-0000-0000-000025D30000}"/>
    <cellStyle name="Normal 4 2 2 3 2 6" xfId="59796" xr:uid="{00000000-0005-0000-0000-000026D30000}"/>
    <cellStyle name="Normal 4 2 2 3 3" xfId="4598" xr:uid="{00000000-0005-0000-0000-000027D30000}"/>
    <cellStyle name="Normal 4 2 2 3 3 2" xfId="8518" xr:uid="{00000000-0005-0000-0000-000028D30000}"/>
    <cellStyle name="Normal 4 2 2 3 3 2 2" xfId="8519" xr:uid="{00000000-0005-0000-0000-000029D30000}"/>
    <cellStyle name="Normal 4 2 2 3 3 2 2 2" xfId="59797" xr:uid="{00000000-0005-0000-0000-00002AD30000}"/>
    <cellStyle name="Normal 4 2 2 3 3 2 3" xfId="59798" xr:uid="{00000000-0005-0000-0000-00002BD30000}"/>
    <cellStyle name="Normal 4 2 2 3 3 2 4" xfId="59799" xr:uid="{00000000-0005-0000-0000-00002CD30000}"/>
    <cellStyle name="Normal 4 2 2 3 3 2 5" xfId="59800" xr:uid="{00000000-0005-0000-0000-00002DD30000}"/>
    <cellStyle name="Normal 4 2 2 3 3 3" xfId="8520" xr:uid="{00000000-0005-0000-0000-00002ED30000}"/>
    <cellStyle name="Normal 4 2 2 3 3 3 2" xfId="59801" xr:uid="{00000000-0005-0000-0000-00002FD30000}"/>
    <cellStyle name="Normal 4 2 2 3 3 4" xfId="59802" xr:uid="{00000000-0005-0000-0000-000030D30000}"/>
    <cellStyle name="Normal 4 2 2 3 3 5" xfId="59803" xr:uid="{00000000-0005-0000-0000-000031D30000}"/>
    <cellStyle name="Normal 4 2 2 3 3 6" xfId="59804" xr:uid="{00000000-0005-0000-0000-000032D30000}"/>
    <cellStyle name="Normal 4 2 2 3 4" xfId="8521" xr:uid="{00000000-0005-0000-0000-000033D30000}"/>
    <cellStyle name="Normal 4 2 2 3 4 2" xfId="8522" xr:uid="{00000000-0005-0000-0000-000034D30000}"/>
    <cellStyle name="Normal 4 2 2 3 4 2 2" xfId="59805" xr:uid="{00000000-0005-0000-0000-000035D30000}"/>
    <cellStyle name="Normal 4 2 2 3 4 3" xfId="59806" xr:uid="{00000000-0005-0000-0000-000036D30000}"/>
    <cellStyle name="Normal 4 2 2 3 4 4" xfId="59807" xr:uid="{00000000-0005-0000-0000-000037D30000}"/>
    <cellStyle name="Normal 4 2 2 3 4 5" xfId="59808" xr:uid="{00000000-0005-0000-0000-000038D30000}"/>
    <cellStyle name="Normal 4 2 2 3 5" xfId="8523" xr:uid="{00000000-0005-0000-0000-000039D30000}"/>
    <cellStyle name="Normal 4 2 2 3 5 2" xfId="8524" xr:uid="{00000000-0005-0000-0000-00003AD30000}"/>
    <cellStyle name="Normal 4 2 2 3 5 2 2" xfId="59809" xr:uid="{00000000-0005-0000-0000-00003BD30000}"/>
    <cellStyle name="Normal 4 2 2 3 5 3" xfId="59810" xr:uid="{00000000-0005-0000-0000-00003CD30000}"/>
    <cellStyle name="Normal 4 2 2 3 5 4" xfId="59811" xr:uid="{00000000-0005-0000-0000-00003DD30000}"/>
    <cellStyle name="Normal 4 2 2 3 5 5" xfId="59812" xr:uid="{00000000-0005-0000-0000-00003ED30000}"/>
    <cellStyle name="Normal 4 2 2 3 6" xfId="8525" xr:uid="{00000000-0005-0000-0000-00003FD30000}"/>
    <cellStyle name="Normal 4 2 2 3 6 2" xfId="59813" xr:uid="{00000000-0005-0000-0000-000040D30000}"/>
    <cellStyle name="Normal 4 2 2 3 7" xfId="59814" xr:uid="{00000000-0005-0000-0000-000041D30000}"/>
    <cellStyle name="Normal 4 2 2 3 8" xfId="59815" xr:uid="{00000000-0005-0000-0000-000042D30000}"/>
    <cellStyle name="Normal 4 2 2 3 9" xfId="59816" xr:uid="{00000000-0005-0000-0000-000043D30000}"/>
    <cellStyle name="Normal 4 2 2 4" xfId="4599" xr:uid="{00000000-0005-0000-0000-000044D30000}"/>
    <cellStyle name="Normal 4 2 2 4 2" xfId="4600" xr:uid="{00000000-0005-0000-0000-000045D30000}"/>
    <cellStyle name="Normal 4 2 2 4 2 2" xfId="8526" xr:uid="{00000000-0005-0000-0000-000046D30000}"/>
    <cellStyle name="Normal 4 2 2 4 2 2 2" xfId="8527" xr:uid="{00000000-0005-0000-0000-000047D30000}"/>
    <cellStyle name="Normal 4 2 2 4 2 2 3" xfId="59817" xr:uid="{00000000-0005-0000-0000-000048D30000}"/>
    <cellStyle name="Normal 4 2 2 4 2 3" xfId="8528" xr:uid="{00000000-0005-0000-0000-000049D30000}"/>
    <cellStyle name="Normal 4 2 2 4 2 3 2" xfId="59818" xr:uid="{00000000-0005-0000-0000-00004AD30000}"/>
    <cellStyle name="Normal 4 2 2 4 2 4" xfId="59819" xr:uid="{00000000-0005-0000-0000-00004BD30000}"/>
    <cellStyle name="Normal 4 2 2 4 2 5" xfId="59820" xr:uid="{00000000-0005-0000-0000-00004CD30000}"/>
    <cellStyle name="Normal 4 2 2 4 3" xfId="8529" xr:uid="{00000000-0005-0000-0000-00004DD30000}"/>
    <cellStyle name="Normal 4 2 2 4 3 2" xfId="8530" xr:uid="{00000000-0005-0000-0000-00004ED30000}"/>
    <cellStyle name="Normal 4 2 2 4 3 3" xfId="59821" xr:uid="{00000000-0005-0000-0000-00004FD30000}"/>
    <cellStyle name="Normal 4 2 2 4 4" xfId="8531" xr:uid="{00000000-0005-0000-0000-000050D30000}"/>
    <cellStyle name="Normal 4 2 2 4 4 2" xfId="59822" xr:uid="{00000000-0005-0000-0000-000051D30000}"/>
    <cellStyle name="Normal 4 2 2 4 5" xfId="59823" xr:uid="{00000000-0005-0000-0000-000052D30000}"/>
    <cellStyle name="Normal 4 2 2 4 6" xfId="59824" xr:uid="{00000000-0005-0000-0000-000053D30000}"/>
    <cellStyle name="Normal 4 2 2 5" xfId="4601" xr:uid="{00000000-0005-0000-0000-000054D30000}"/>
    <cellStyle name="Normal 4 2 2 5 2" xfId="8532" xr:uid="{00000000-0005-0000-0000-000055D30000}"/>
    <cellStyle name="Normal 4 2 2 5 2 2" xfId="8533" xr:uid="{00000000-0005-0000-0000-000056D30000}"/>
    <cellStyle name="Normal 4 2 2 5 2 2 2" xfId="59825" xr:uid="{00000000-0005-0000-0000-000057D30000}"/>
    <cellStyle name="Normal 4 2 2 5 2 3" xfId="59826" xr:uid="{00000000-0005-0000-0000-000058D30000}"/>
    <cellStyle name="Normal 4 2 2 5 2 4" xfId="59827" xr:uid="{00000000-0005-0000-0000-000059D30000}"/>
    <cellStyle name="Normal 4 2 2 5 2 5" xfId="59828" xr:uid="{00000000-0005-0000-0000-00005AD30000}"/>
    <cellStyle name="Normal 4 2 2 5 3" xfId="8534" xr:uid="{00000000-0005-0000-0000-00005BD30000}"/>
    <cellStyle name="Normal 4 2 2 5 3 2" xfId="59829" xr:uid="{00000000-0005-0000-0000-00005CD30000}"/>
    <cellStyle name="Normal 4 2 2 5 4" xfId="59830" xr:uid="{00000000-0005-0000-0000-00005DD30000}"/>
    <cellStyle name="Normal 4 2 2 5 5" xfId="59831" xr:uid="{00000000-0005-0000-0000-00005ED30000}"/>
    <cellStyle name="Normal 4 2 2 5 6" xfId="59832" xr:uid="{00000000-0005-0000-0000-00005FD30000}"/>
    <cellStyle name="Normal 4 2 2 6" xfId="8535" xr:uid="{00000000-0005-0000-0000-000060D30000}"/>
    <cellStyle name="Normal 4 2 2 6 2" xfId="8536" xr:uid="{00000000-0005-0000-0000-000061D30000}"/>
    <cellStyle name="Normal 4 2 2 6 2 2" xfId="59833" xr:uid="{00000000-0005-0000-0000-000062D30000}"/>
    <cellStyle name="Normal 4 2 2 6 3" xfId="59834" xr:uid="{00000000-0005-0000-0000-000063D30000}"/>
    <cellStyle name="Normal 4 2 2 6 4" xfId="59835" xr:uid="{00000000-0005-0000-0000-000064D30000}"/>
    <cellStyle name="Normal 4 2 2 6 5" xfId="59836" xr:uid="{00000000-0005-0000-0000-000065D30000}"/>
    <cellStyle name="Normal 4 2 2 7" xfId="8537" xr:uid="{00000000-0005-0000-0000-000066D30000}"/>
    <cellStyle name="Normal 4 2 2 7 2" xfId="8538" xr:uid="{00000000-0005-0000-0000-000067D30000}"/>
    <cellStyle name="Normal 4 2 2 7 2 2" xfId="59837" xr:uid="{00000000-0005-0000-0000-000068D30000}"/>
    <cellStyle name="Normal 4 2 2 7 3" xfId="59838" xr:uid="{00000000-0005-0000-0000-000069D30000}"/>
    <cellStyle name="Normal 4 2 2 7 4" xfId="59839" xr:uid="{00000000-0005-0000-0000-00006AD30000}"/>
    <cellStyle name="Normal 4 2 2 7 5" xfId="59840" xr:uid="{00000000-0005-0000-0000-00006BD30000}"/>
    <cellStyle name="Normal 4 2 2 8" xfId="8539" xr:uid="{00000000-0005-0000-0000-00006CD30000}"/>
    <cellStyle name="Normal 4 2 2 8 2" xfId="59841" xr:uid="{00000000-0005-0000-0000-00006DD30000}"/>
    <cellStyle name="Normal 4 2 2 9" xfId="59842" xr:uid="{00000000-0005-0000-0000-00006ED30000}"/>
    <cellStyle name="Normal 4 2 3" xfId="4602" xr:uid="{00000000-0005-0000-0000-00006FD30000}"/>
    <cellStyle name="Normal 4 2 3 10" xfId="59843" xr:uid="{00000000-0005-0000-0000-000070D30000}"/>
    <cellStyle name="Normal 4 2 3 11" xfId="59844" xr:uid="{00000000-0005-0000-0000-000071D30000}"/>
    <cellStyle name="Normal 4 2 3 2" xfId="4603" xr:uid="{00000000-0005-0000-0000-000072D30000}"/>
    <cellStyle name="Normal 4 2 3 2 10" xfId="59845" xr:uid="{00000000-0005-0000-0000-000073D30000}"/>
    <cellStyle name="Normal 4 2 3 2 2" xfId="4604" xr:uid="{00000000-0005-0000-0000-000074D30000}"/>
    <cellStyle name="Normal 4 2 3 2 2 2" xfId="4605" xr:uid="{00000000-0005-0000-0000-000075D30000}"/>
    <cellStyle name="Normal 4 2 3 2 2 2 2" xfId="8540" xr:uid="{00000000-0005-0000-0000-000076D30000}"/>
    <cellStyle name="Normal 4 2 3 2 2 2 2 2" xfId="8541" xr:uid="{00000000-0005-0000-0000-000077D30000}"/>
    <cellStyle name="Normal 4 2 3 2 2 2 2 2 2" xfId="8542" xr:uid="{00000000-0005-0000-0000-000078D30000}"/>
    <cellStyle name="Normal 4 2 3 2 2 2 2 2 3" xfId="59846" xr:uid="{00000000-0005-0000-0000-000079D30000}"/>
    <cellStyle name="Normal 4 2 3 2 2 2 2 3" xfId="8543" xr:uid="{00000000-0005-0000-0000-00007AD30000}"/>
    <cellStyle name="Normal 4 2 3 2 2 2 2 3 2" xfId="59847" xr:uid="{00000000-0005-0000-0000-00007BD30000}"/>
    <cellStyle name="Normal 4 2 3 2 2 2 2 4" xfId="59848" xr:uid="{00000000-0005-0000-0000-00007CD30000}"/>
    <cellStyle name="Normal 4 2 3 2 2 2 2 5" xfId="59849" xr:uid="{00000000-0005-0000-0000-00007DD30000}"/>
    <cellStyle name="Normal 4 2 3 2 2 2 3" xfId="8544" xr:uid="{00000000-0005-0000-0000-00007ED30000}"/>
    <cellStyle name="Normal 4 2 3 2 2 2 3 2" xfId="8545" xr:uid="{00000000-0005-0000-0000-00007FD30000}"/>
    <cellStyle name="Normal 4 2 3 2 2 2 3 3" xfId="59850" xr:uid="{00000000-0005-0000-0000-000080D30000}"/>
    <cellStyle name="Normal 4 2 3 2 2 2 4" xfId="8546" xr:uid="{00000000-0005-0000-0000-000081D30000}"/>
    <cellStyle name="Normal 4 2 3 2 2 2 4 2" xfId="59851" xr:uid="{00000000-0005-0000-0000-000082D30000}"/>
    <cellStyle name="Normal 4 2 3 2 2 2 5" xfId="59852" xr:uid="{00000000-0005-0000-0000-000083D30000}"/>
    <cellStyle name="Normal 4 2 3 2 2 2 6" xfId="59853" xr:uid="{00000000-0005-0000-0000-000084D30000}"/>
    <cellStyle name="Normal 4 2 3 2 2 3" xfId="8547" xr:uid="{00000000-0005-0000-0000-000085D30000}"/>
    <cellStyle name="Normal 4 2 3 2 2 3 2" xfId="8548" xr:uid="{00000000-0005-0000-0000-000086D30000}"/>
    <cellStyle name="Normal 4 2 3 2 2 3 2 2" xfId="8549" xr:uid="{00000000-0005-0000-0000-000087D30000}"/>
    <cellStyle name="Normal 4 2 3 2 2 3 2 2 2" xfId="59854" xr:uid="{00000000-0005-0000-0000-000088D30000}"/>
    <cellStyle name="Normal 4 2 3 2 2 3 2 3" xfId="59855" xr:uid="{00000000-0005-0000-0000-000089D30000}"/>
    <cellStyle name="Normal 4 2 3 2 2 3 2 4" xfId="59856" xr:uid="{00000000-0005-0000-0000-00008AD30000}"/>
    <cellStyle name="Normal 4 2 3 2 2 3 2 5" xfId="59857" xr:uid="{00000000-0005-0000-0000-00008BD30000}"/>
    <cellStyle name="Normal 4 2 3 2 2 3 3" xfId="8550" xr:uid="{00000000-0005-0000-0000-00008CD30000}"/>
    <cellStyle name="Normal 4 2 3 2 2 3 3 2" xfId="59858" xr:uid="{00000000-0005-0000-0000-00008DD30000}"/>
    <cellStyle name="Normal 4 2 3 2 2 3 4" xfId="59859" xr:uid="{00000000-0005-0000-0000-00008ED30000}"/>
    <cellStyle name="Normal 4 2 3 2 2 3 5" xfId="59860" xr:uid="{00000000-0005-0000-0000-00008FD30000}"/>
    <cellStyle name="Normal 4 2 3 2 2 3 6" xfId="59861" xr:uid="{00000000-0005-0000-0000-000090D30000}"/>
    <cellStyle name="Normal 4 2 3 2 2 4" xfId="8551" xr:uid="{00000000-0005-0000-0000-000091D30000}"/>
    <cellStyle name="Normal 4 2 3 2 2 4 2" xfId="8552" xr:uid="{00000000-0005-0000-0000-000092D30000}"/>
    <cellStyle name="Normal 4 2 3 2 2 4 2 2" xfId="59862" xr:uid="{00000000-0005-0000-0000-000093D30000}"/>
    <cellStyle name="Normal 4 2 3 2 2 4 3" xfId="59863" xr:uid="{00000000-0005-0000-0000-000094D30000}"/>
    <cellStyle name="Normal 4 2 3 2 2 4 4" xfId="59864" xr:uid="{00000000-0005-0000-0000-000095D30000}"/>
    <cellStyle name="Normal 4 2 3 2 2 4 5" xfId="59865" xr:uid="{00000000-0005-0000-0000-000096D30000}"/>
    <cellStyle name="Normal 4 2 3 2 2 5" xfId="8553" xr:uid="{00000000-0005-0000-0000-000097D30000}"/>
    <cellStyle name="Normal 4 2 3 2 2 5 2" xfId="8554" xr:uid="{00000000-0005-0000-0000-000098D30000}"/>
    <cellStyle name="Normal 4 2 3 2 2 5 2 2" xfId="59866" xr:uid="{00000000-0005-0000-0000-000099D30000}"/>
    <cellStyle name="Normal 4 2 3 2 2 5 3" xfId="59867" xr:uid="{00000000-0005-0000-0000-00009AD30000}"/>
    <cellStyle name="Normal 4 2 3 2 2 5 4" xfId="59868" xr:uid="{00000000-0005-0000-0000-00009BD30000}"/>
    <cellStyle name="Normal 4 2 3 2 2 5 5" xfId="59869" xr:uid="{00000000-0005-0000-0000-00009CD30000}"/>
    <cellStyle name="Normal 4 2 3 2 2 6" xfId="8555" xr:uid="{00000000-0005-0000-0000-00009DD30000}"/>
    <cellStyle name="Normal 4 2 3 2 2 6 2" xfId="59870" xr:uid="{00000000-0005-0000-0000-00009ED30000}"/>
    <cellStyle name="Normal 4 2 3 2 2 7" xfId="59871" xr:uid="{00000000-0005-0000-0000-00009FD30000}"/>
    <cellStyle name="Normal 4 2 3 2 2 8" xfId="59872" xr:uid="{00000000-0005-0000-0000-0000A0D30000}"/>
    <cellStyle name="Normal 4 2 3 2 2 9" xfId="59873" xr:uid="{00000000-0005-0000-0000-0000A1D30000}"/>
    <cellStyle name="Normal 4 2 3 2 3" xfId="4606" xr:uid="{00000000-0005-0000-0000-0000A2D30000}"/>
    <cellStyle name="Normal 4 2 3 2 3 2" xfId="8556" xr:uid="{00000000-0005-0000-0000-0000A3D30000}"/>
    <cellStyle name="Normal 4 2 3 2 3 2 2" xfId="8557" xr:uid="{00000000-0005-0000-0000-0000A4D30000}"/>
    <cellStyle name="Normal 4 2 3 2 3 2 2 2" xfId="8558" xr:uid="{00000000-0005-0000-0000-0000A5D30000}"/>
    <cellStyle name="Normal 4 2 3 2 3 2 2 3" xfId="59874" xr:uid="{00000000-0005-0000-0000-0000A6D30000}"/>
    <cellStyle name="Normal 4 2 3 2 3 2 3" xfId="8559" xr:uid="{00000000-0005-0000-0000-0000A7D30000}"/>
    <cellStyle name="Normal 4 2 3 2 3 2 3 2" xfId="59875" xr:uid="{00000000-0005-0000-0000-0000A8D30000}"/>
    <cellStyle name="Normal 4 2 3 2 3 2 4" xfId="59876" xr:uid="{00000000-0005-0000-0000-0000A9D30000}"/>
    <cellStyle name="Normal 4 2 3 2 3 2 5" xfId="59877" xr:uid="{00000000-0005-0000-0000-0000AAD30000}"/>
    <cellStyle name="Normal 4 2 3 2 3 3" xfId="8560" xr:uid="{00000000-0005-0000-0000-0000ABD30000}"/>
    <cellStyle name="Normal 4 2 3 2 3 3 2" xfId="8561" xr:uid="{00000000-0005-0000-0000-0000ACD30000}"/>
    <cellStyle name="Normal 4 2 3 2 3 3 3" xfId="59878" xr:uid="{00000000-0005-0000-0000-0000ADD30000}"/>
    <cellStyle name="Normal 4 2 3 2 3 4" xfId="8562" xr:uid="{00000000-0005-0000-0000-0000AED30000}"/>
    <cellStyle name="Normal 4 2 3 2 3 4 2" xfId="59879" xr:uid="{00000000-0005-0000-0000-0000AFD30000}"/>
    <cellStyle name="Normal 4 2 3 2 3 5" xfId="59880" xr:uid="{00000000-0005-0000-0000-0000B0D30000}"/>
    <cellStyle name="Normal 4 2 3 2 3 6" xfId="59881" xr:uid="{00000000-0005-0000-0000-0000B1D30000}"/>
    <cellStyle name="Normal 4 2 3 2 4" xfId="8563" xr:uid="{00000000-0005-0000-0000-0000B2D30000}"/>
    <cellStyle name="Normal 4 2 3 2 4 2" xfId="8564" xr:uid="{00000000-0005-0000-0000-0000B3D30000}"/>
    <cellStyle name="Normal 4 2 3 2 4 2 2" xfId="8565" xr:uid="{00000000-0005-0000-0000-0000B4D30000}"/>
    <cellStyle name="Normal 4 2 3 2 4 2 2 2" xfId="59882" xr:uid="{00000000-0005-0000-0000-0000B5D30000}"/>
    <cellStyle name="Normal 4 2 3 2 4 2 3" xfId="59883" xr:uid="{00000000-0005-0000-0000-0000B6D30000}"/>
    <cellStyle name="Normal 4 2 3 2 4 2 4" xfId="59884" xr:uid="{00000000-0005-0000-0000-0000B7D30000}"/>
    <cellStyle name="Normal 4 2 3 2 4 2 5" xfId="59885" xr:uid="{00000000-0005-0000-0000-0000B8D30000}"/>
    <cellStyle name="Normal 4 2 3 2 4 3" xfId="8566" xr:uid="{00000000-0005-0000-0000-0000B9D30000}"/>
    <cellStyle name="Normal 4 2 3 2 4 3 2" xfId="59886" xr:uid="{00000000-0005-0000-0000-0000BAD30000}"/>
    <cellStyle name="Normal 4 2 3 2 4 4" xfId="59887" xr:uid="{00000000-0005-0000-0000-0000BBD30000}"/>
    <cellStyle name="Normal 4 2 3 2 4 5" xfId="59888" xr:uid="{00000000-0005-0000-0000-0000BCD30000}"/>
    <cellStyle name="Normal 4 2 3 2 4 6" xfId="59889" xr:uid="{00000000-0005-0000-0000-0000BDD30000}"/>
    <cellStyle name="Normal 4 2 3 2 5" xfId="8567" xr:uid="{00000000-0005-0000-0000-0000BED30000}"/>
    <cellStyle name="Normal 4 2 3 2 5 2" xfId="8568" xr:uid="{00000000-0005-0000-0000-0000BFD30000}"/>
    <cellStyle name="Normal 4 2 3 2 5 2 2" xfId="59890" xr:uid="{00000000-0005-0000-0000-0000C0D30000}"/>
    <cellStyle name="Normal 4 2 3 2 5 3" xfId="59891" xr:uid="{00000000-0005-0000-0000-0000C1D30000}"/>
    <cellStyle name="Normal 4 2 3 2 5 4" xfId="59892" xr:uid="{00000000-0005-0000-0000-0000C2D30000}"/>
    <cellStyle name="Normal 4 2 3 2 5 5" xfId="59893" xr:uid="{00000000-0005-0000-0000-0000C3D30000}"/>
    <cellStyle name="Normal 4 2 3 2 6" xfId="8569" xr:uid="{00000000-0005-0000-0000-0000C4D30000}"/>
    <cellStyle name="Normal 4 2 3 2 6 2" xfId="8570" xr:uid="{00000000-0005-0000-0000-0000C5D30000}"/>
    <cellStyle name="Normal 4 2 3 2 6 2 2" xfId="59894" xr:uid="{00000000-0005-0000-0000-0000C6D30000}"/>
    <cellStyle name="Normal 4 2 3 2 6 3" xfId="59895" xr:uid="{00000000-0005-0000-0000-0000C7D30000}"/>
    <cellStyle name="Normal 4 2 3 2 6 4" xfId="59896" xr:uid="{00000000-0005-0000-0000-0000C8D30000}"/>
    <cellStyle name="Normal 4 2 3 2 6 5" xfId="59897" xr:uid="{00000000-0005-0000-0000-0000C9D30000}"/>
    <cellStyle name="Normal 4 2 3 2 7" xfId="8571" xr:uid="{00000000-0005-0000-0000-0000CAD30000}"/>
    <cellStyle name="Normal 4 2 3 2 7 2" xfId="59898" xr:uid="{00000000-0005-0000-0000-0000CBD30000}"/>
    <cellStyle name="Normal 4 2 3 2 8" xfId="59899" xr:uid="{00000000-0005-0000-0000-0000CCD30000}"/>
    <cellStyle name="Normal 4 2 3 2 9" xfId="59900" xr:uid="{00000000-0005-0000-0000-0000CDD30000}"/>
    <cellStyle name="Normal 4 2 3 3" xfId="4607" xr:uid="{00000000-0005-0000-0000-0000CED30000}"/>
    <cellStyle name="Normal 4 2 3 3 2" xfId="4608" xr:uid="{00000000-0005-0000-0000-0000CFD30000}"/>
    <cellStyle name="Normal 4 2 3 3 2 2" xfId="8572" xr:uid="{00000000-0005-0000-0000-0000D0D30000}"/>
    <cellStyle name="Normal 4 2 3 3 2 2 2" xfId="8573" xr:uid="{00000000-0005-0000-0000-0000D1D30000}"/>
    <cellStyle name="Normal 4 2 3 3 2 2 2 2" xfId="8574" xr:uid="{00000000-0005-0000-0000-0000D2D30000}"/>
    <cellStyle name="Normal 4 2 3 3 2 2 2 3" xfId="59901" xr:uid="{00000000-0005-0000-0000-0000D3D30000}"/>
    <cellStyle name="Normal 4 2 3 3 2 2 3" xfId="8575" xr:uid="{00000000-0005-0000-0000-0000D4D30000}"/>
    <cellStyle name="Normal 4 2 3 3 2 2 3 2" xfId="59902" xr:uid="{00000000-0005-0000-0000-0000D5D30000}"/>
    <cellStyle name="Normal 4 2 3 3 2 2 4" xfId="59903" xr:uid="{00000000-0005-0000-0000-0000D6D30000}"/>
    <cellStyle name="Normal 4 2 3 3 2 2 5" xfId="59904" xr:uid="{00000000-0005-0000-0000-0000D7D30000}"/>
    <cellStyle name="Normal 4 2 3 3 2 3" xfId="8576" xr:uid="{00000000-0005-0000-0000-0000D8D30000}"/>
    <cellStyle name="Normal 4 2 3 3 2 3 2" xfId="8577" xr:uid="{00000000-0005-0000-0000-0000D9D30000}"/>
    <cellStyle name="Normal 4 2 3 3 2 3 3" xfId="59905" xr:uid="{00000000-0005-0000-0000-0000DAD30000}"/>
    <cellStyle name="Normal 4 2 3 3 2 4" xfId="8578" xr:uid="{00000000-0005-0000-0000-0000DBD30000}"/>
    <cellStyle name="Normal 4 2 3 3 2 4 2" xfId="59906" xr:uid="{00000000-0005-0000-0000-0000DCD30000}"/>
    <cellStyle name="Normal 4 2 3 3 2 5" xfId="59907" xr:uid="{00000000-0005-0000-0000-0000DDD30000}"/>
    <cellStyle name="Normal 4 2 3 3 2 6" xfId="59908" xr:uid="{00000000-0005-0000-0000-0000DED30000}"/>
    <cellStyle name="Normal 4 2 3 3 3" xfId="8579" xr:uid="{00000000-0005-0000-0000-0000DFD30000}"/>
    <cellStyle name="Normal 4 2 3 3 3 2" xfId="8580" xr:uid="{00000000-0005-0000-0000-0000E0D30000}"/>
    <cellStyle name="Normal 4 2 3 3 3 2 2" xfId="8581" xr:uid="{00000000-0005-0000-0000-0000E1D30000}"/>
    <cellStyle name="Normal 4 2 3 3 3 2 2 2" xfId="59909" xr:uid="{00000000-0005-0000-0000-0000E2D30000}"/>
    <cellStyle name="Normal 4 2 3 3 3 2 3" xfId="59910" xr:uid="{00000000-0005-0000-0000-0000E3D30000}"/>
    <cellStyle name="Normal 4 2 3 3 3 2 4" xfId="59911" xr:uid="{00000000-0005-0000-0000-0000E4D30000}"/>
    <cellStyle name="Normal 4 2 3 3 3 2 5" xfId="59912" xr:uid="{00000000-0005-0000-0000-0000E5D30000}"/>
    <cellStyle name="Normal 4 2 3 3 3 3" xfId="8582" xr:uid="{00000000-0005-0000-0000-0000E6D30000}"/>
    <cellStyle name="Normal 4 2 3 3 3 3 2" xfId="59913" xr:uid="{00000000-0005-0000-0000-0000E7D30000}"/>
    <cellStyle name="Normal 4 2 3 3 3 4" xfId="59914" xr:uid="{00000000-0005-0000-0000-0000E8D30000}"/>
    <cellStyle name="Normal 4 2 3 3 3 5" xfId="59915" xr:uid="{00000000-0005-0000-0000-0000E9D30000}"/>
    <cellStyle name="Normal 4 2 3 3 3 6" xfId="59916" xr:uid="{00000000-0005-0000-0000-0000EAD30000}"/>
    <cellStyle name="Normal 4 2 3 3 4" xfId="8583" xr:uid="{00000000-0005-0000-0000-0000EBD30000}"/>
    <cellStyle name="Normal 4 2 3 3 4 2" xfId="8584" xr:uid="{00000000-0005-0000-0000-0000ECD30000}"/>
    <cellStyle name="Normal 4 2 3 3 4 2 2" xfId="59917" xr:uid="{00000000-0005-0000-0000-0000EDD30000}"/>
    <cellStyle name="Normal 4 2 3 3 4 3" xfId="59918" xr:uid="{00000000-0005-0000-0000-0000EED30000}"/>
    <cellStyle name="Normal 4 2 3 3 4 4" xfId="59919" xr:uid="{00000000-0005-0000-0000-0000EFD30000}"/>
    <cellStyle name="Normal 4 2 3 3 4 5" xfId="59920" xr:uid="{00000000-0005-0000-0000-0000F0D30000}"/>
    <cellStyle name="Normal 4 2 3 3 5" xfId="8585" xr:uid="{00000000-0005-0000-0000-0000F1D30000}"/>
    <cellStyle name="Normal 4 2 3 3 5 2" xfId="8586" xr:uid="{00000000-0005-0000-0000-0000F2D30000}"/>
    <cellStyle name="Normal 4 2 3 3 5 2 2" xfId="59921" xr:uid="{00000000-0005-0000-0000-0000F3D30000}"/>
    <cellStyle name="Normal 4 2 3 3 5 3" xfId="59922" xr:uid="{00000000-0005-0000-0000-0000F4D30000}"/>
    <cellStyle name="Normal 4 2 3 3 5 4" xfId="59923" xr:uid="{00000000-0005-0000-0000-0000F5D30000}"/>
    <cellStyle name="Normal 4 2 3 3 5 5" xfId="59924" xr:uid="{00000000-0005-0000-0000-0000F6D30000}"/>
    <cellStyle name="Normal 4 2 3 3 6" xfId="8587" xr:uid="{00000000-0005-0000-0000-0000F7D30000}"/>
    <cellStyle name="Normal 4 2 3 3 6 2" xfId="59925" xr:uid="{00000000-0005-0000-0000-0000F8D30000}"/>
    <cellStyle name="Normal 4 2 3 3 7" xfId="59926" xr:uid="{00000000-0005-0000-0000-0000F9D30000}"/>
    <cellStyle name="Normal 4 2 3 3 8" xfId="59927" xr:uid="{00000000-0005-0000-0000-0000FAD30000}"/>
    <cellStyle name="Normal 4 2 3 3 9" xfId="59928" xr:uid="{00000000-0005-0000-0000-0000FBD30000}"/>
    <cellStyle name="Normal 4 2 3 4" xfId="4609" xr:uid="{00000000-0005-0000-0000-0000FCD30000}"/>
    <cellStyle name="Normal 4 2 3 4 2" xfId="8588" xr:uid="{00000000-0005-0000-0000-0000FDD30000}"/>
    <cellStyle name="Normal 4 2 3 4 2 2" xfId="8589" xr:uid="{00000000-0005-0000-0000-0000FED30000}"/>
    <cellStyle name="Normal 4 2 3 4 2 2 2" xfId="8590" xr:uid="{00000000-0005-0000-0000-0000FFD30000}"/>
    <cellStyle name="Normal 4 2 3 4 2 2 3" xfId="59929" xr:uid="{00000000-0005-0000-0000-000000D40000}"/>
    <cellStyle name="Normal 4 2 3 4 2 3" xfId="8591" xr:uid="{00000000-0005-0000-0000-000001D40000}"/>
    <cellStyle name="Normal 4 2 3 4 2 3 2" xfId="59930" xr:uid="{00000000-0005-0000-0000-000002D40000}"/>
    <cellStyle name="Normal 4 2 3 4 2 4" xfId="59931" xr:uid="{00000000-0005-0000-0000-000003D40000}"/>
    <cellStyle name="Normal 4 2 3 4 2 5" xfId="59932" xr:uid="{00000000-0005-0000-0000-000004D40000}"/>
    <cellStyle name="Normal 4 2 3 4 3" xfId="8592" xr:uid="{00000000-0005-0000-0000-000005D40000}"/>
    <cellStyle name="Normal 4 2 3 4 3 2" xfId="8593" xr:uid="{00000000-0005-0000-0000-000006D40000}"/>
    <cellStyle name="Normal 4 2 3 4 3 3" xfId="59933" xr:uid="{00000000-0005-0000-0000-000007D40000}"/>
    <cellStyle name="Normal 4 2 3 4 4" xfId="8594" xr:uid="{00000000-0005-0000-0000-000008D40000}"/>
    <cellStyle name="Normal 4 2 3 4 4 2" xfId="59934" xr:uid="{00000000-0005-0000-0000-000009D40000}"/>
    <cellStyle name="Normal 4 2 3 4 5" xfId="59935" xr:uid="{00000000-0005-0000-0000-00000AD40000}"/>
    <cellStyle name="Normal 4 2 3 4 6" xfId="59936" xr:uid="{00000000-0005-0000-0000-00000BD40000}"/>
    <cellStyle name="Normal 4 2 3 5" xfId="8595" xr:uid="{00000000-0005-0000-0000-00000CD40000}"/>
    <cellStyle name="Normal 4 2 3 5 2" xfId="8596" xr:uid="{00000000-0005-0000-0000-00000DD40000}"/>
    <cellStyle name="Normal 4 2 3 5 2 2" xfId="8597" xr:uid="{00000000-0005-0000-0000-00000ED40000}"/>
    <cellStyle name="Normal 4 2 3 5 2 2 2" xfId="59937" xr:uid="{00000000-0005-0000-0000-00000FD40000}"/>
    <cellStyle name="Normal 4 2 3 5 2 3" xfId="59938" xr:uid="{00000000-0005-0000-0000-000010D40000}"/>
    <cellStyle name="Normal 4 2 3 5 2 4" xfId="59939" xr:uid="{00000000-0005-0000-0000-000011D40000}"/>
    <cellStyle name="Normal 4 2 3 5 2 5" xfId="59940" xr:uid="{00000000-0005-0000-0000-000012D40000}"/>
    <cellStyle name="Normal 4 2 3 5 3" xfId="8598" xr:uid="{00000000-0005-0000-0000-000013D40000}"/>
    <cellStyle name="Normal 4 2 3 5 3 2" xfId="59941" xr:uid="{00000000-0005-0000-0000-000014D40000}"/>
    <cellStyle name="Normal 4 2 3 5 4" xfId="59942" xr:uid="{00000000-0005-0000-0000-000015D40000}"/>
    <cellStyle name="Normal 4 2 3 5 5" xfId="59943" xr:uid="{00000000-0005-0000-0000-000016D40000}"/>
    <cellStyle name="Normal 4 2 3 5 6" xfId="59944" xr:uid="{00000000-0005-0000-0000-000017D40000}"/>
    <cellStyle name="Normal 4 2 3 6" xfId="8599" xr:uid="{00000000-0005-0000-0000-000018D40000}"/>
    <cellStyle name="Normal 4 2 3 6 2" xfId="8600" xr:uid="{00000000-0005-0000-0000-000019D40000}"/>
    <cellStyle name="Normal 4 2 3 6 2 2" xfId="59945" xr:uid="{00000000-0005-0000-0000-00001AD40000}"/>
    <cellStyle name="Normal 4 2 3 6 3" xfId="59946" xr:uid="{00000000-0005-0000-0000-00001BD40000}"/>
    <cellStyle name="Normal 4 2 3 6 4" xfId="59947" xr:uid="{00000000-0005-0000-0000-00001CD40000}"/>
    <cellStyle name="Normal 4 2 3 6 5" xfId="59948" xr:uid="{00000000-0005-0000-0000-00001DD40000}"/>
    <cellStyle name="Normal 4 2 3 7" xfId="8601" xr:uid="{00000000-0005-0000-0000-00001ED40000}"/>
    <cellStyle name="Normal 4 2 3 7 2" xfId="8602" xr:uid="{00000000-0005-0000-0000-00001FD40000}"/>
    <cellStyle name="Normal 4 2 3 7 2 2" xfId="59949" xr:uid="{00000000-0005-0000-0000-000020D40000}"/>
    <cellStyle name="Normal 4 2 3 7 3" xfId="59950" xr:uid="{00000000-0005-0000-0000-000021D40000}"/>
    <cellStyle name="Normal 4 2 3 7 4" xfId="59951" xr:uid="{00000000-0005-0000-0000-000022D40000}"/>
    <cellStyle name="Normal 4 2 3 7 5" xfId="59952" xr:uid="{00000000-0005-0000-0000-000023D40000}"/>
    <cellStyle name="Normal 4 2 3 8" xfId="8603" xr:uid="{00000000-0005-0000-0000-000024D40000}"/>
    <cellStyle name="Normal 4 2 3 8 2" xfId="59953" xr:uid="{00000000-0005-0000-0000-000025D40000}"/>
    <cellStyle name="Normal 4 2 3 9" xfId="59954" xr:uid="{00000000-0005-0000-0000-000026D40000}"/>
    <cellStyle name="Normal 4 2 4" xfId="4610" xr:uid="{00000000-0005-0000-0000-000027D40000}"/>
    <cellStyle name="Normal 4 2 4 10" xfId="59955" xr:uid="{00000000-0005-0000-0000-000028D40000}"/>
    <cellStyle name="Normal 4 2 4 2" xfId="4611" xr:uid="{00000000-0005-0000-0000-000029D40000}"/>
    <cellStyle name="Normal 4 2 4 2 2" xfId="4612" xr:uid="{00000000-0005-0000-0000-00002AD40000}"/>
    <cellStyle name="Normal 4 2 4 2 2 2" xfId="8604" xr:uid="{00000000-0005-0000-0000-00002BD40000}"/>
    <cellStyle name="Normal 4 2 4 2 2 2 2" xfId="8605" xr:uid="{00000000-0005-0000-0000-00002CD40000}"/>
    <cellStyle name="Normal 4 2 4 2 2 2 2 2" xfId="8606" xr:uid="{00000000-0005-0000-0000-00002DD40000}"/>
    <cellStyle name="Normal 4 2 4 2 2 2 2 3" xfId="59956" xr:uid="{00000000-0005-0000-0000-00002ED40000}"/>
    <cellStyle name="Normal 4 2 4 2 2 2 3" xfId="8607" xr:uid="{00000000-0005-0000-0000-00002FD40000}"/>
    <cellStyle name="Normal 4 2 4 2 2 2 3 2" xfId="59957" xr:uid="{00000000-0005-0000-0000-000030D40000}"/>
    <cellStyle name="Normal 4 2 4 2 2 2 4" xfId="59958" xr:uid="{00000000-0005-0000-0000-000031D40000}"/>
    <cellStyle name="Normal 4 2 4 2 2 2 5" xfId="59959" xr:uid="{00000000-0005-0000-0000-000032D40000}"/>
    <cellStyle name="Normal 4 2 4 2 2 3" xfId="8608" xr:uid="{00000000-0005-0000-0000-000033D40000}"/>
    <cellStyle name="Normal 4 2 4 2 2 3 2" xfId="8609" xr:uid="{00000000-0005-0000-0000-000034D40000}"/>
    <cellStyle name="Normal 4 2 4 2 2 3 3" xfId="59960" xr:uid="{00000000-0005-0000-0000-000035D40000}"/>
    <cellStyle name="Normal 4 2 4 2 2 4" xfId="8610" xr:uid="{00000000-0005-0000-0000-000036D40000}"/>
    <cellStyle name="Normal 4 2 4 2 2 4 2" xfId="59961" xr:uid="{00000000-0005-0000-0000-000037D40000}"/>
    <cellStyle name="Normal 4 2 4 2 2 5" xfId="59962" xr:uid="{00000000-0005-0000-0000-000038D40000}"/>
    <cellStyle name="Normal 4 2 4 2 2 6" xfId="59963" xr:uid="{00000000-0005-0000-0000-000039D40000}"/>
    <cellStyle name="Normal 4 2 4 2 3" xfId="8611" xr:uid="{00000000-0005-0000-0000-00003AD40000}"/>
    <cellStyle name="Normal 4 2 4 2 3 2" xfId="8612" xr:uid="{00000000-0005-0000-0000-00003BD40000}"/>
    <cellStyle name="Normal 4 2 4 2 3 2 2" xfId="8613" xr:uid="{00000000-0005-0000-0000-00003CD40000}"/>
    <cellStyle name="Normal 4 2 4 2 3 2 2 2" xfId="59964" xr:uid="{00000000-0005-0000-0000-00003DD40000}"/>
    <cellStyle name="Normal 4 2 4 2 3 2 3" xfId="59965" xr:uid="{00000000-0005-0000-0000-00003ED40000}"/>
    <cellStyle name="Normal 4 2 4 2 3 2 4" xfId="59966" xr:uid="{00000000-0005-0000-0000-00003FD40000}"/>
    <cellStyle name="Normal 4 2 4 2 3 2 5" xfId="59967" xr:uid="{00000000-0005-0000-0000-000040D40000}"/>
    <cellStyle name="Normal 4 2 4 2 3 3" xfId="8614" xr:uid="{00000000-0005-0000-0000-000041D40000}"/>
    <cellStyle name="Normal 4 2 4 2 3 3 2" xfId="59968" xr:uid="{00000000-0005-0000-0000-000042D40000}"/>
    <cellStyle name="Normal 4 2 4 2 3 4" xfId="59969" xr:uid="{00000000-0005-0000-0000-000043D40000}"/>
    <cellStyle name="Normal 4 2 4 2 3 5" xfId="59970" xr:uid="{00000000-0005-0000-0000-000044D40000}"/>
    <cellStyle name="Normal 4 2 4 2 3 6" xfId="59971" xr:uid="{00000000-0005-0000-0000-000045D40000}"/>
    <cellStyle name="Normal 4 2 4 2 4" xfId="8615" xr:uid="{00000000-0005-0000-0000-000046D40000}"/>
    <cellStyle name="Normal 4 2 4 2 4 2" xfId="8616" xr:uid="{00000000-0005-0000-0000-000047D40000}"/>
    <cellStyle name="Normal 4 2 4 2 4 2 2" xfId="59972" xr:uid="{00000000-0005-0000-0000-000048D40000}"/>
    <cellStyle name="Normal 4 2 4 2 4 3" xfId="59973" xr:uid="{00000000-0005-0000-0000-000049D40000}"/>
    <cellStyle name="Normal 4 2 4 2 4 4" xfId="59974" xr:uid="{00000000-0005-0000-0000-00004AD40000}"/>
    <cellStyle name="Normal 4 2 4 2 4 5" xfId="59975" xr:uid="{00000000-0005-0000-0000-00004BD40000}"/>
    <cellStyle name="Normal 4 2 4 2 5" xfId="8617" xr:uid="{00000000-0005-0000-0000-00004CD40000}"/>
    <cellStyle name="Normal 4 2 4 2 5 2" xfId="8618" xr:uid="{00000000-0005-0000-0000-00004DD40000}"/>
    <cellStyle name="Normal 4 2 4 2 5 2 2" xfId="59976" xr:uid="{00000000-0005-0000-0000-00004ED40000}"/>
    <cellStyle name="Normal 4 2 4 2 5 3" xfId="59977" xr:uid="{00000000-0005-0000-0000-00004FD40000}"/>
    <cellStyle name="Normal 4 2 4 2 5 4" xfId="59978" xr:uid="{00000000-0005-0000-0000-000050D40000}"/>
    <cellStyle name="Normal 4 2 4 2 5 5" xfId="59979" xr:uid="{00000000-0005-0000-0000-000051D40000}"/>
    <cellStyle name="Normal 4 2 4 2 6" xfId="8619" xr:uid="{00000000-0005-0000-0000-000052D40000}"/>
    <cellStyle name="Normal 4 2 4 2 6 2" xfId="59980" xr:uid="{00000000-0005-0000-0000-000053D40000}"/>
    <cellStyle name="Normal 4 2 4 2 7" xfId="59981" xr:uid="{00000000-0005-0000-0000-000054D40000}"/>
    <cellStyle name="Normal 4 2 4 2 8" xfId="59982" xr:uid="{00000000-0005-0000-0000-000055D40000}"/>
    <cellStyle name="Normal 4 2 4 2 9" xfId="59983" xr:uid="{00000000-0005-0000-0000-000056D40000}"/>
    <cellStyle name="Normal 4 2 4 3" xfId="4613" xr:uid="{00000000-0005-0000-0000-000057D40000}"/>
    <cellStyle name="Normal 4 2 4 3 2" xfId="8620" xr:uid="{00000000-0005-0000-0000-000058D40000}"/>
    <cellStyle name="Normal 4 2 4 3 2 2" xfId="8621" xr:uid="{00000000-0005-0000-0000-000059D40000}"/>
    <cellStyle name="Normal 4 2 4 3 2 2 2" xfId="8622" xr:uid="{00000000-0005-0000-0000-00005AD40000}"/>
    <cellStyle name="Normal 4 2 4 3 2 2 3" xfId="59984" xr:uid="{00000000-0005-0000-0000-00005BD40000}"/>
    <cellStyle name="Normal 4 2 4 3 2 3" xfId="8623" xr:uid="{00000000-0005-0000-0000-00005CD40000}"/>
    <cellStyle name="Normal 4 2 4 3 2 3 2" xfId="59985" xr:uid="{00000000-0005-0000-0000-00005DD40000}"/>
    <cellStyle name="Normal 4 2 4 3 2 4" xfId="59986" xr:uid="{00000000-0005-0000-0000-00005ED40000}"/>
    <cellStyle name="Normal 4 2 4 3 2 5" xfId="59987" xr:uid="{00000000-0005-0000-0000-00005FD40000}"/>
    <cellStyle name="Normal 4 2 4 3 3" xfId="8624" xr:uid="{00000000-0005-0000-0000-000060D40000}"/>
    <cellStyle name="Normal 4 2 4 3 3 2" xfId="8625" xr:uid="{00000000-0005-0000-0000-000061D40000}"/>
    <cellStyle name="Normal 4 2 4 3 3 3" xfId="59988" xr:uid="{00000000-0005-0000-0000-000062D40000}"/>
    <cellStyle name="Normal 4 2 4 3 4" xfId="8626" xr:uid="{00000000-0005-0000-0000-000063D40000}"/>
    <cellStyle name="Normal 4 2 4 3 4 2" xfId="59989" xr:uid="{00000000-0005-0000-0000-000064D40000}"/>
    <cellStyle name="Normal 4 2 4 3 5" xfId="59990" xr:uid="{00000000-0005-0000-0000-000065D40000}"/>
    <cellStyle name="Normal 4 2 4 3 6" xfId="59991" xr:uid="{00000000-0005-0000-0000-000066D40000}"/>
    <cellStyle name="Normal 4 2 4 4" xfId="8627" xr:uid="{00000000-0005-0000-0000-000067D40000}"/>
    <cellStyle name="Normal 4 2 4 4 2" xfId="8628" xr:uid="{00000000-0005-0000-0000-000068D40000}"/>
    <cellStyle name="Normal 4 2 4 4 2 2" xfId="8629" xr:uid="{00000000-0005-0000-0000-000069D40000}"/>
    <cellStyle name="Normal 4 2 4 4 2 2 2" xfId="59992" xr:uid="{00000000-0005-0000-0000-00006AD40000}"/>
    <cellStyle name="Normal 4 2 4 4 2 3" xfId="59993" xr:uid="{00000000-0005-0000-0000-00006BD40000}"/>
    <cellStyle name="Normal 4 2 4 4 2 4" xfId="59994" xr:uid="{00000000-0005-0000-0000-00006CD40000}"/>
    <cellStyle name="Normal 4 2 4 4 2 5" xfId="59995" xr:uid="{00000000-0005-0000-0000-00006DD40000}"/>
    <cellStyle name="Normal 4 2 4 4 3" xfId="8630" xr:uid="{00000000-0005-0000-0000-00006ED40000}"/>
    <cellStyle name="Normal 4 2 4 4 3 2" xfId="59996" xr:uid="{00000000-0005-0000-0000-00006FD40000}"/>
    <cellStyle name="Normal 4 2 4 4 4" xfId="59997" xr:uid="{00000000-0005-0000-0000-000070D40000}"/>
    <cellStyle name="Normal 4 2 4 4 5" xfId="59998" xr:uid="{00000000-0005-0000-0000-000071D40000}"/>
    <cellStyle name="Normal 4 2 4 4 6" xfId="59999" xr:uid="{00000000-0005-0000-0000-000072D40000}"/>
    <cellStyle name="Normal 4 2 4 5" xfId="8631" xr:uid="{00000000-0005-0000-0000-000073D40000}"/>
    <cellStyle name="Normal 4 2 4 5 2" xfId="8632" xr:uid="{00000000-0005-0000-0000-000074D40000}"/>
    <cellStyle name="Normal 4 2 4 5 2 2" xfId="60000" xr:uid="{00000000-0005-0000-0000-000075D40000}"/>
    <cellStyle name="Normal 4 2 4 5 3" xfId="60001" xr:uid="{00000000-0005-0000-0000-000076D40000}"/>
    <cellStyle name="Normal 4 2 4 5 4" xfId="60002" xr:uid="{00000000-0005-0000-0000-000077D40000}"/>
    <cellStyle name="Normal 4 2 4 5 5" xfId="60003" xr:uid="{00000000-0005-0000-0000-000078D40000}"/>
    <cellStyle name="Normal 4 2 4 6" xfId="8633" xr:uid="{00000000-0005-0000-0000-000079D40000}"/>
    <cellStyle name="Normal 4 2 4 6 2" xfId="8634" xr:uid="{00000000-0005-0000-0000-00007AD40000}"/>
    <cellStyle name="Normal 4 2 4 6 2 2" xfId="60004" xr:uid="{00000000-0005-0000-0000-00007BD40000}"/>
    <cellStyle name="Normal 4 2 4 6 3" xfId="60005" xr:uid="{00000000-0005-0000-0000-00007CD40000}"/>
    <cellStyle name="Normal 4 2 4 6 4" xfId="60006" xr:uid="{00000000-0005-0000-0000-00007DD40000}"/>
    <cellStyle name="Normal 4 2 4 6 5" xfId="60007" xr:uid="{00000000-0005-0000-0000-00007ED40000}"/>
    <cellStyle name="Normal 4 2 4 7" xfId="8635" xr:uid="{00000000-0005-0000-0000-00007FD40000}"/>
    <cellStyle name="Normal 4 2 4 7 2" xfId="60008" xr:uid="{00000000-0005-0000-0000-000080D40000}"/>
    <cellStyle name="Normal 4 2 4 8" xfId="60009" xr:uid="{00000000-0005-0000-0000-000081D40000}"/>
    <cellStyle name="Normal 4 2 4 9" xfId="60010" xr:uid="{00000000-0005-0000-0000-000082D40000}"/>
    <cellStyle name="Normal 4 2 5" xfId="4614" xr:uid="{00000000-0005-0000-0000-000083D40000}"/>
    <cellStyle name="Normal 4 2 5 2" xfId="4615" xr:uid="{00000000-0005-0000-0000-000084D40000}"/>
    <cellStyle name="Normal 4 2 5 2 2" xfId="8636" xr:uid="{00000000-0005-0000-0000-000085D40000}"/>
    <cellStyle name="Normal 4 2 5 2 2 2" xfId="8637" xr:uid="{00000000-0005-0000-0000-000086D40000}"/>
    <cellStyle name="Normal 4 2 5 2 2 2 2" xfId="8638" xr:uid="{00000000-0005-0000-0000-000087D40000}"/>
    <cellStyle name="Normal 4 2 5 2 2 2 3" xfId="60011" xr:uid="{00000000-0005-0000-0000-000088D40000}"/>
    <cellStyle name="Normal 4 2 5 2 2 3" xfId="8639" xr:uid="{00000000-0005-0000-0000-000089D40000}"/>
    <cellStyle name="Normal 4 2 5 2 2 3 2" xfId="60012" xr:uid="{00000000-0005-0000-0000-00008AD40000}"/>
    <cellStyle name="Normal 4 2 5 2 2 4" xfId="60013" xr:uid="{00000000-0005-0000-0000-00008BD40000}"/>
    <cellStyle name="Normal 4 2 5 2 2 5" xfId="60014" xr:uid="{00000000-0005-0000-0000-00008CD40000}"/>
    <cellStyle name="Normal 4 2 5 2 3" xfId="8640" xr:uid="{00000000-0005-0000-0000-00008DD40000}"/>
    <cellStyle name="Normal 4 2 5 2 3 2" xfId="8641" xr:uid="{00000000-0005-0000-0000-00008ED40000}"/>
    <cellStyle name="Normal 4 2 5 2 3 3" xfId="60015" xr:uid="{00000000-0005-0000-0000-00008FD40000}"/>
    <cellStyle name="Normal 4 2 5 2 4" xfId="8642" xr:uid="{00000000-0005-0000-0000-000090D40000}"/>
    <cellStyle name="Normal 4 2 5 2 4 2" xfId="60016" xr:uid="{00000000-0005-0000-0000-000091D40000}"/>
    <cellStyle name="Normal 4 2 5 2 5" xfId="60017" xr:uid="{00000000-0005-0000-0000-000092D40000}"/>
    <cellStyle name="Normal 4 2 5 2 6" xfId="60018" xr:uid="{00000000-0005-0000-0000-000093D40000}"/>
    <cellStyle name="Normal 4 2 5 3" xfId="8643" xr:uid="{00000000-0005-0000-0000-000094D40000}"/>
    <cellStyle name="Normal 4 2 5 3 2" xfId="8644" xr:uid="{00000000-0005-0000-0000-000095D40000}"/>
    <cellStyle name="Normal 4 2 5 3 2 2" xfId="8645" xr:uid="{00000000-0005-0000-0000-000096D40000}"/>
    <cellStyle name="Normal 4 2 5 3 2 2 2" xfId="60019" xr:uid="{00000000-0005-0000-0000-000097D40000}"/>
    <cellStyle name="Normal 4 2 5 3 2 3" xfId="60020" xr:uid="{00000000-0005-0000-0000-000098D40000}"/>
    <cellStyle name="Normal 4 2 5 3 2 4" xfId="60021" xr:uid="{00000000-0005-0000-0000-000099D40000}"/>
    <cellStyle name="Normal 4 2 5 3 2 5" xfId="60022" xr:uid="{00000000-0005-0000-0000-00009AD40000}"/>
    <cellStyle name="Normal 4 2 5 3 3" xfId="8646" xr:uid="{00000000-0005-0000-0000-00009BD40000}"/>
    <cellStyle name="Normal 4 2 5 3 3 2" xfId="60023" xr:uid="{00000000-0005-0000-0000-00009CD40000}"/>
    <cellStyle name="Normal 4 2 5 3 4" xfId="60024" xr:uid="{00000000-0005-0000-0000-00009DD40000}"/>
    <cellStyle name="Normal 4 2 5 3 5" xfId="60025" xr:uid="{00000000-0005-0000-0000-00009ED40000}"/>
    <cellStyle name="Normal 4 2 5 3 6" xfId="60026" xr:uid="{00000000-0005-0000-0000-00009FD40000}"/>
    <cellStyle name="Normal 4 2 5 4" xfId="8647" xr:uid="{00000000-0005-0000-0000-0000A0D40000}"/>
    <cellStyle name="Normal 4 2 5 4 2" xfId="8648" xr:uid="{00000000-0005-0000-0000-0000A1D40000}"/>
    <cellStyle name="Normal 4 2 5 4 2 2" xfId="60027" xr:uid="{00000000-0005-0000-0000-0000A2D40000}"/>
    <cellStyle name="Normal 4 2 5 4 3" xfId="60028" xr:uid="{00000000-0005-0000-0000-0000A3D40000}"/>
    <cellStyle name="Normal 4 2 5 4 4" xfId="60029" xr:uid="{00000000-0005-0000-0000-0000A4D40000}"/>
    <cellStyle name="Normal 4 2 5 4 5" xfId="60030" xr:uid="{00000000-0005-0000-0000-0000A5D40000}"/>
    <cellStyle name="Normal 4 2 5 5" xfId="8649" xr:uid="{00000000-0005-0000-0000-0000A6D40000}"/>
    <cellStyle name="Normal 4 2 5 5 2" xfId="8650" xr:uid="{00000000-0005-0000-0000-0000A7D40000}"/>
    <cellStyle name="Normal 4 2 5 5 2 2" xfId="60031" xr:uid="{00000000-0005-0000-0000-0000A8D40000}"/>
    <cellStyle name="Normal 4 2 5 5 3" xfId="60032" xr:uid="{00000000-0005-0000-0000-0000A9D40000}"/>
    <cellStyle name="Normal 4 2 5 5 4" xfId="60033" xr:uid="{00000000-0005-0000-0000-0000AAD40000}"/>
    <cellStyle name="Normal 4 2 5 5 5" xfId="60034" xr:uid="{00000000-0005-0000-0000-0000ABD40000}"/>
    <cellStyle name="Normal 4 2 5 6" xfId="8651" xr:uid="{00000000-0005-0000-0000-0000ACD40000}"/>
    <cellStyle name="Normal 4 2 5 6 2" xfId="60035" xr:uid="{00000000-0005-0000-0000-0000ADD40000}"/>
    <cellStyle name="Normal 4 2 5 7" xfId="60036" xr:uid="{00000000-0005-0000-0000-0000AED40000}"/>
    <cellStyle name="Normal 4 2 5 8" xfId="60037" xr:uid="{00000000-0005-0000-0000-0000AFD40000}"/>
    <cellStyle name="Normal 4 2 5 9" xfId="60038" xr:uid="{00000000-0005-0000-0000-0000B0D40000}"/>
    <cellStyle name="Normal 4 2 6" xfId="4616" xr:uid="{00000000-0005-0000-0000-0000B1D40000}"/>
    <cellStyle name="Normal 4 2 6 2" xfId="8652" xr:uid="{00000000-0005-0000-0000-0000B2D40000}"/>
    <cellStyle name="Normal 4 2 6 2 2" xfId="8653" xr:uid="{00000000-0005-0000-0000-0000B3D40000}"/>
    <cellStyle name="Normal 4 2 6 2 2 2" xfId="8654" xr:uid="{00000000-0005-0000-0000-0000B4D40000}"/>
    <cellStyle name="Normal 4 2 6 2 2 3" xfId="60039" xr:uid="{00000000-0005-0000-0000-0000B5D40000}"/>
    <cellStyle name="Normal 4 2 6 2 3" xfId="8655" xr:uid="{00000000-0005-0000-0000-0000B6D40000}"/>
    <cellStyle name="Normal 4 2 6 2 3 2" xfId="60040" xr:uid="{00000000-0005-0000-0000-0000B7D40000}"/>
    <cellStyle name="Normal 4 2 6 2 4" xfId="60041" xr:uid="{00000000-0005-0000-0000-0000B8D40000}"/>
    <cellStyle name="Normal 4 2 6 2 5" xfId="60042" xr:uid="{00000000-0005-0000-0000-0000B9D40000}"/>
    <cellStyle name="Normal 4 2 6 3" xfId="8656" xr:uid="{00000000-0005-0000-0000-0000BAD40000}"/>
    <cellStyle name="Normal 4 2 6 3 2" xfId="8657" xr:uid="{00000000-0005-0000-0000-0000BBD40000}"/>
    <cellStyle name="Normal 4 2 6 3 3" xfId="60043" xr:uid="{00000000-0005-0000-0000-0000BCD40000}"/>
    <cellStyle name="Normal 4 2 6 4" xfId="8658" xr:uid="{00000000-0005-0000-0000-0000BDD40000}"/>
    <cellStyle name="Normal 4 2 6 4 2" xfId="60044" xr:uid="{00000000-0005-0000-0000-0000BED40000}"/>
    <cellStyle name="Normal 4 2 6 5" xfId="60045" xr:uid="{00000000-0005-0000-0000-0000BFD40000}"/>
    <cellStyle name="Normal 4 2 6 6" xfId="60046" xr:uid="{00000000-0005-0000-0000-0000C0D40000}"/>
    <cellStyle name="Normal 4 2 7" xfId="8659" xr:uid="{00000000-0005-0000-0000-0000C1D40000}"/>
    <cellStyle name="Normal 4 2 7 2" xfId="8660" xr:uid="{00000000-0005-0000-0000-0000C2D40000}"/>
    <cellStyle name="Normal 4 2 7 2 2" xfId="8661" xr:uid="{00000000-0005-0000-0000-0000C3D40000}"/>
    <cellStyle name="Normal 4 2 7 2 2 2" xfId="60047" xr:uid="{00000000-0005-0000-0000-0000C4D40000}"/>
    <cellStyle name="Normal 4 2 7 2 3" xfId="60048" xr:uid="{00000000-0005-0000-0000-0000C5D40000}"/>
    <cellStyle name="Normal 4 2 7 2 4" xfId="60049" xr:uid="{00000000-0005-0000-0000-0000C6D40000}"/>
    <cellStyle name="Normal 4 2 7 2 5" xfId="60050" xr:uid="{00000000-0005-0000-0000-0000C7D40000}"/>
    <cellStyle name="Normal 4 2 7 3" xfId="8662" xr:uid="{00000000-0005-0000-0000-0000C8D40000}"/>
    <cellStyle name="Normal 4 2 7 3 2" xfId="60051" xr:uid="{00000000-0005-0000-0000-0000C9D40000}"/>
    <cellStyle name="Normal 4 2 7 4" xfId="60052" xr:uid="{00000000-0005-0000-0000-0000CAD40000}"/>
    <cellStyle name="Normal 4 2 7 5" xfId="60053" xr:uid="{00000000-0005-0000-0000-0000CBD40000}"/>
    <cellStyle name="Normal 4 2 7 6" xfId="60054" xr:uid="{00000000-0005-0000-0000-0000CCD40000}"/>
    <cellStyle name="Normal 4 2 8" xfId="8663" xr:uid="{00000000-0005-0000-0000-0000CDD40000}"/>
    <cellStyle name="Normal 4 2 8 2" xfId="8664" xr:uid="{00000000-0005-0000-0000-0000CED40000}"/>
    <cellStyle name="Normal 4 2 8 2 2" xfId="60055" xr:uid="{00000000-0005-0000-0000-0000CFD40000}"/>
    <cellStyle name="Normal 4 2 8 3" xfId="60056" xr:uid="{00000000-0005-0000-0000-0000D0D40000}"/>
    <cellStyle name="Normal 4 2 8 4" xfId="60057" xr:uid="{00000000-0005-0000-0000-0000D1D40000}"/>
    <cellStyle name="Normal 4 2 8 5" xfId="60058" xr:uid="{00000000-0005-0000-0000-0000D2D40000}"/>
    <cellStyle name="Normal 4 2 9" xfId="8665" xr:uid="{00000000-0005-0000-0000-0000D3D40000}"/>
    <cellStyle name="Normal 4 2 9 2" xfId="8666" xr:uid="{00000000-0005-0000-0000-0000D4D40000}"/>
    <cellStyle name="Normal 4 2 9 2 2" xfId="60059" xr:uid="{00000000-0005-0000-0000-0000D5D40000}"/>
    <cellStyle name="Normal 4 2 9 3" xfId="60060" xr:uid="{00000000-0005-0000-0000-0000D6D40000}"/>
    <cellStyle name="Normal 4 2 9 4" xfId="60061" xr:uid="{00000000-0005-0000-0000-0000D7D40000}"/>
    <cellStyle name="Normal 4 2 9 5" xfId="60062" xr:uid="{00000000-0005-0000-0000-0000D8D40000}"/>
    <cellStyle name="Normal 4 3" xfId="4617" xr:uid="{00000000-0005-0000-0000-0000D9D40000}"/>
    <cellStyle name="Normal 4 3 2" xfId="4618" xr:uid="{00000000-0005-0000-0000-0000DAD40000}"/>
    <cellStyle name="Normal 4 3 2 2" xfId="4619" xr:uid="{00000000-0005-0000-0000-0000DBD40000}"/>
    <cellStyle name="Normal 4 3 2 2 2" xfId="4620" xr:uid="{00000000-0005-0000-0000-0000DCD40000}"/>
    <cellStyle name="Normal 4 3 2 2 2 2" xfId="4621" xr:uid="{00000000-0005-0000-0000-0000DDD40000}"/>
    <cellStyle name="Normal 4 3 2 2 3" xfId="4622" xr:uid="{00000000-0005-0000-0000-0000DED40000}"/>
    <cellStyle name="Normal 4 3 2 3" xfId="4623" xr:uid="{00000000-0005-0000-0000-0000DFD40000}"/>
    <cellStyle name="Normal 4 3 2 3 2" xfId="4624" xr:uid="{00000000-0005-0000-0000-0000E0D40000}"/>
    <cellStyle name="Normal 4 3 2 4" xfId="4625" xr:uid="{00000000-0005-0000-0000-0000E1D40000}"/>
    <cellStyle name="Normal 4 3 2 5" xfId="60063" xr:uid="{00000000-0005-0000-0000-0000E2D40000}"/>
    <cellStyle name="Normal 4 3 3" xfId="4626" xr:uid="{00000000-0005-0000-0000-0000E3D40000}"/>
    <cellStyle name="Normal 4 3 3 2" xfId="4627" xr:uid="{00000000-0005-0000-0000-0000E4D40000}"/>
    <cellStyle name="Normal 4 3 3 2 2" xfId="4628" xr:uid="{00000000-0005-0000-0000-0000E5D40000}"/>
    <cellStyle name="Normal 4 3 3 3" xfId="4629" xr:uid="{00000000-0005-0000-0000-0000E6D40000}"/>
    <cellStyle name="Normal 4 3 4" xfId="4630" xr:uid="{00000000-0005-0000-0000-0000E7D40000}"/>
    <cellStyle name="Normal 4 3 4 2" xfId="4631" xr:uid="{00000000-0005-0000-0000-0000E8D40000}"/>
    <cellStyle name="Normal 4 3 5" xfId="4632" xr:uid="{00000000-0005-0000-0000-0000E9D40000}"/>
    <cellStyle name="Normal 4 3 6" xfId="60064" xr:uid="{00000000-0005-0000-0000-0000EAD40000}"/>
    <cellStyle name="Normal 4 4" xfId="4633" xr:uid="{00000000-0005-0000-0000-0000EBD40000}"/>
    <cellStyle name="Normal 4 4 2" xfId="4634" xr:uid="{00000000-0005-0000-0000-0000ECD40000}"/>
    <cellStyle name="Normal 4 4 2 2" xfId="4635" xr:uid="{00000000-0005-0000-0000-0000EDD40000}"/>
    <cellStyle name="Normal 4 4 2 2 2" xfId="4636" xr:uid="{00000000-0005-0000-0000-0000EED40000}"/>
    <cellStyle name="Normal 4 4 2 2 3" xfId="60065" xr:uid="{00000000-0005-0000-0000-0000EFD40000}"/>
    <cellStyle name="Normal 4 4 2 3" xfId="4637" xr:uid="{00000000-0005-0000-0000-0000F0D40000}"/>
    <cellStyle name="Normal 4 4 2 4" xfId="60066" xr:uid="{00000000-0005-0000-0000-0000F1D40000}"/>
    <cellStyle name="Normal 4 4 3" xfId="4638" xr:uid="{00000000-0005-0000-0000-0000F2D40000}"/>
    <cellStyle name="Normal 4 4 3 2" xfId="4639" xr:uid="{00000000-0005-0000-0000-0000F3D40000}"/>
    <cellStyle name="Normal 4 4 3 3" xfId="60067" xr:uid="{00000000-0005-0000-0000-0000F4D40000}"/>
    <cellStyle name="Normal 4 4 4" xfId="4640" xr:uid="{00000000-0005-0000-0000-0000F5D40000}"/>
    <cellStyle name="Normal 4 4 5" xfId="60068" xr:uid="{00000000-0005-0000-0000-0000F6D40000}"/>
    <cellStyle name="Normal 4 4 6" xfId="60069" xr:uid="{00000000-0005-0000-0000-0000F7D40000}"/>
    <cellStyle name="Normal 4 4 7" xfId="60070" xr:uid="{00000000-0005-0000-0000-0000F8D40000}"/>
    <cellStyle name="Normal 4 5" xfId="4641" xr:uid="{00000000-0005-0000-0000-0000F9D40000}"/>
    <cellStyle name="Normal 4 5 2" xfId="4642" xr:uid="{00000000-0005-0000-0000-0000FAD40000}"/>
    <cellStyle name="Normal 4 5 2 2" xfId="4643" xr:uid="{00000000-0005-0000-0000-0000FBD40000}"/>
    <cellStyle name="Normal 4 5 2 3" xfId="60071" xr:uid="{00000000-0005-0000-0000-0000FCD40000}"/>
    <cellStyle name="Normal 4 5 3" xfId="4644" xr:uid="{00000000-0005-0000-0000-0000FDD40000}"/>
    <cellStyle name="Normal 4 5 4" xfId="60072" xr:uid="{00000000-0005-0000-0000-0000FED40000}"/>
    <cellStyle name="Normal 4 6" xfId="4645" xr:uid="{00000000-0005-0000-0000-0000FFD40000}"/>
    <cellStyle name="Normal 4 6 2" xfId="4646" xr:uid="{00000000-0005-0000-0000-000000D50000}"/>
    <cellStyle name="Normal 4 6 3" xfId="60073" xr:uid="{00000000-0005-0000-0000-000001D50000}"/>
    <cellStyle name="Normal 4 7" xfId="4647" xr:uid="{00000000-0005-0000-0000-000002D50000}"/>
    <cellStyle name="Normal 4 7 2" xfId="60074" xr:uid="{00000000-0005-0000-0000-000003D50000}"/>
    <cellStyle name="Normal 4 8" xfId="4648" xr:uid="{00000000-0005-0000-0000-000004D50000}"/>
    <cellStyle name="Normal 4 9" xfId="9289" xr:uid="{00000000-0005-0000-0000-000005D50000}"/>
    <cellStyle name="Normal 4_183302" xfId="8772" xr:uid="{00000000-0005-0000-0000-000006D50000}"/>
    <cellStyle name="Normal 40" xfId="4649" xr:uid="{00000000-0005-0000-0000-000007D50000}"/>
    <cellStyle name="Normal 40 2" xfId="4650" xr:uid="{00000000-0005-0000-0000-000008D50000}"/>
    <cellStyle name="Normal 41" xfId="4651" xr:uid="{00000000-0005-0000-0000-000009D50000}"/>
    <cellStyle name="Normal 41 2" xfId="4652" xr:uid="{00000000-0005-0000-0000-00000AD50000}"/>
    <cellStyle name="Normal 42" xfId="4653" xr:uid="{00000000-0005-0000-0000-00000BD50000}"/>
    <cellStyle name="Normal 42 2" xfId="60075" xr:uid="{00000000-0005-0000-0000-00000CD50000}"/>
    <cellStyle name="Normal 42 3" xfId="60076" xr:uid="{00000000-0005-0000-0000-00000DD50000}"/>
    <cellStyle name="Normal 42 4" xfId="60077" xr:uid="{00000000-0005-0000-0000-00000ED50000}"/>
    <cellStyle name="Normal 43" xfId="4654" xr:uid="{00000000-0005-0000-0000-00000FD50000}"/>
    <cellStyle name="Normal 43 2" xfId="60078" xr:uid="{00000000-0005-0000-0000-000010D50000}"/>
    <cellStyle name="Normal 43 3" xfId="60079" xr:uid="{00000000-0005-0000-0000-000011D50000}"/>
    <cellStyle name="Normal 44" xfId="4655" xr:uid="{00000000-0005-0000-0000-000012D50000}"/>
    <cellStyle name="Normal 44 2" xfId="60080" xr:uid="{00000000-0005-0000-0000-000013D50000}"/>
    <cellStyle name="Normal 44 3" xfId="60081" xr:uid="{00000000-0005-0000-0000-000014D50000}"/>
    <cellStyle name="Normal 45" xfId="4656" xr:uid="{00000000-0005-0000-0000-000015D50000}"/>
    <cellStyle name="Normal 45 2" xfId="60082" xr:uid="{00000000-0005-0000-0000-000016D50000}"/>
    <cellStyle name="Normal 45 3" xfId="60083" xr:uid="{00000000-0005-0000-0000-000017D50000}"/>
    <cellStyle name="Normal 46" xfId="1" xr:uid="{00000000-0005-0000-0000-000018D50000}"/>
    <cellStyle name="Normal 46 2" xfId="9290" xr:uid="{00000000-0005-0000-0000-000019D50000}"/>
    <cellStyle name="Normal 46 2 2" xfId="56075" xr:uid="{00000000-0005-0000-0000-00001AD50000}"/>
    <cellStyle name="Normal 46 3" xfId="60084" xr:uid="{00000000-0005-0000-0000-00001BD50000}"/>
    <cellStyle name="Normal 47" xfId="8207" xr:uid="{00000000-0005-0000-0000-00001CD50000}"/>
    <cellStyle name="Normal 47 2" xfId="56076" xr:uid="{00000000-0005-0000-0000-00001DD50000}"/>
    <cellStyle name="Normal 47 3" xfId="60085" xr:uid="{00000000-0005-0000-0000-00001ED50000}"/>
    <cellStyle name="Normal 48" xfId="8667" xr:uid="{00000000-0005-0000-0000-00001FD50000}"/>
    <cellStyle name="Normal 48 2" xfId="60086" xr:uid="{00000000-0005-0000-0000-000020D50000}"/>
    <cellStyle name="Normal 48 3" xfId="60087" xr:uid="{00000000-0005-0000-0000-000021D50000}"/>
    <cellStyle name="Normal 49" xfId="8671" xr:uid="{00000000-0005-0000-0000-000022D50000}"/>
    <cellStyle name="Normal 49 2" xfId="60088" xr:uid="{00000000-0005-0000-0000-000023D50000}"/>
    <cellStyle name="Normal 49 3" xfId="60089" xr:uid="{00000000-0005-0000-0000-000024D50000}"/>
    <cellStyle name="Normal 49 4" xfId="61970" xr:uid="{00000000-0005-0000-0000-000025D50000}"/>
    <cellStyle name="Normal 5" xfId="4657" xr:uid="{00000000-0005-0000-0000-000026D50000}"/>
    <cellStyle name="Normal 5 10" xfId="4658" xr:uid="{00000000-0005-0000-0000-000027D50000}"/>
    <cellStyle name="Normal 5 10 2" xfId="4659" xr:uid="{00000000-0005-0000-0000-000028D50000}"/>
    <cellStyle name="Normal 5 10 2 2" xfId="4660" xr:uid="{00000000-0005-0000-0000-000029D50000}"/>
    <cellStyle name="Normal 5 10 2 2 2" xfId="4661" xr:uid="{00000000-0005-0000-0000-00002AD50000}"/>
    <cellStyle name="Normal 5 10 2 3" xfId="4662" xr:uid="{00000000-0005-0000-0000-00002BD50000}"/>
    <cellStyle name="Normal 5 10 3" xfId="4663" xr:uid="{00000000-0005-0000-0000-00002CD50000}"/>
    <cellStyle name="Normal 5 10 3 2" xfId="4664" xr:uid="{00000000-0005-0000-0000-00002DD50000}"/>
    <cellStyle name="Normal 5 10 4" xfId="4665" xr:uid="{00000000-0005-0000-0000-00002ED50000}"/>
    <cellStyle name="Normal 5 11" xfId="4666" xr:uid="{00000000-0005-0000-0000-00002FD50000}"/>
    <cellStyle name="Normal 5 11 2" xfId="4667" xr:uid="{00000000-0005-0000-0000-000030D50000}"/>
    <cellStyle name="Normal 5 11 2 2" xfId="4668" xr:uid="{00000000-0005-0000-0000-000031D50000}"/>
    <cellStyle name="Normal 5 11 3" xfId="4669" xr:uid="{00000000-0005-0000-0000-000032D50000}"/>
    <cellStyle name="Normal 5 12" xfId="4670" xr:uid="{00000000-0005-0000-0000-000033D50000}"/>
    <cellStyle name="Normal 5 12 2" xfId="4671" xr:uid="{00000000-0005-0000-0000-000034D50000}"/>
    <cellStyle name="Normal 5 13" xfId="9291" xr:uid="{00000000-0005-0000-0000-000035D50000}"/>
    <cellStyle name="Normal 5 2" xfId="4672" xr:uid="{00000000-0005-0000-0000-000036D50000}"/>
    <cellStyle name="Normal 5 2 10" xfId="4673" xr:uid="{00000000-0005-0000-0000-000037D50000}"/>
    <cellStyle name="Normal 5 2 11" xfId="60090" xr:uid="{00000000-0005-0000-0000-000038D50000}"/>
    <cellStyle name="Normal 5 2 2" xfId="4674" xr:uid="{00000000-0005-0000-0000-000039D50000}"/>
    <cellStyle name="Normal 5 2 2 2" xfId="4675" xr:uid="{00000000-0005-0000-0000-00003AD50000}"/>
    <cellStyle name="Normal 5 2 2 2 2" xfId="4676" xr:uid="{00000000-0005-0000-0000-00003BD50000}"/>
    <cellStyle name="Normal 5 2 2 2 2 2" xfId="4677" xr:uid="{00000000-0005-0000-0000-00003CD50000}"/>
    <cellStyle name="Normal 5 2 2 2 2 2 2" xfId="4678" xr:uid="{00000000-0005-0000-0000-00003DD50000}"/>
    <cellStyle name="Normal 5 2 2 2 2 2 2 2" xfId="4679" xr:uid="{00000000-0005-0000-0000-00003ED50000}"/>
    <cellStyle name="Normal 5 2 2 2 2 2 2 2 2" xfId="4680" xr:uid="{00000000-0005-0000-0000-00003FD50000}"/>
    <cellStyle name="Normal 5 2 2 2 2 2 2 3" xfId="4681" xr:uid="{00000000-0005-0000-0000-000040D50000}"/>
    <cellStyle name="Normal 5 2 2 2 2 2 3" xfId="4682" xr:uid="{00000000-0005-0000-0000-000041D50000}"/>
    <cellStyle name="Normal 5 2 2 2 2 2 3 2" xfId="4683" xr:uid="{00000000-0005-0000-0000-000042D50000}"/>
    <cellStyle name="Normal 5 2 2 2 2 2 4" xfId="4684" xr:uid="{00000000-0005-0000-0000-000043D50000}"/>
    <cellStyle name="Normal 5 2 2 2 2 3" xfId="4685" xr:uid="{00000000-0005-0000-0000-000044D50000}"/>
    <cellStyle name="Normal 5 2 2 2 2 3 2" xfId="4686" xr:uid="{00000000-0005-0000-0000-000045D50000}"/>
    <cellStyle name="Normal 5 2 2 2 2 3 2 2" xfId="4687" xr:uid="{00000000-0005-0000-0000-000046D50000}"/>
    <cellStyle name="Normal 5 2 2 2 2 3 3" xfId="4688" xr:uid="{00000000-0005-0000-0000-000047D50000}"/>
    <cellStyle name="Normal 5 2 2 2 2 4" xfId="4689" xr:uid="{00000000-0005-0000-0000-000048D50000}"/>
    <cellStyle name="Normal 5 2 2 2 2 4 2" xfId="4690" xr:uid="{00000000-0005-0000-0000-000049D50000}"/>
    <cellStyle name="Normal 5 2 2 2 2 5" xfId="4691" xr:uid="{00000000-0005-0000-0000-00004AD50000}"/>
    <cellStyle name="Normal 5 2 2 2 2 6" xfId="60091" xr:uid="{00000000-0005-0000-0000-00004BD50000}"/>
    <cellStyle name="Normal 5 2 2 2 3" xfId="4692" xr:uid="{00000000-0005-0000-0000-00004CD50000}"/>
    <cellStyle name="Normal 5 2 2 2 3 2" xfId="4693" xr:uid="{00000000-0005-0000-0000-00004DD50000}"/>
    <cellStyle name="Normal 5 2 2 2 3 2 2" xfId="4694" xr:uid="{00000000-0005-0000-0000-00004ED50000}"/>
    <cellStyle name="Normal 5 2 2 2 3 2 2 2" xfId="4695" xr:uid="{00000000-0005-0000-0000-00004FD50000}"/>
    <cellStyle name="Normal 5 2 2 2 3 2 3" xfId="4696" xr:uid="{00000000-0005-0000-0000-000050D50000}"/>
    <cellStyle name="Normal 5 2 2 2 3 3" xfId="4697" xr:uid="{00000000-0005-0000-0000-000051D50000}"/>
    <cellStyle name="Normal 5 2 2 2 3 3 2" xfId="4698" xr:uid="{00000000-0005-0000-0000-000052D50000}"/>
    <cellStyle name="Normal 5 2 2 2 3 4" xfId="4699" xr:uid="{00000000-0005-0000-0000-000053D50000}"/>
    <cellStyle name="Normal 5 2 2 2 4" xfId="4700" xr:uid="{00000000-0005-0000-0000-000054D50000}"/>
    <cellStyle name="Normal 5 2 2 2 4 2" xfId="4701" xr:uid="{00000000-0005-0000-0000-000055D50000}"/>
    <cellStyle name="Normal 5 2 2 2 4 2 2" xfId="4702" xr:uid="{00000000-0005-0000-0000-000056D50000}"/>
    <cellStyle name="Normal 5 2 2 2 4 3" xfId="4703" xr:uid="{00000000-0005-0000-0000-000057D50000}"/>
    <cellStyle name="Normal 5 2 2 2 5" xfId="4704" xr:uid="{00000000-0005-0000-0000-000058D50000}"/>
    <cellStyle name="Normal 5 2 2 2 5 2" xfId="4705" xr:uid="{00000000-0005-0000-0000-000059D50000}"/>
    <cellStyle name="Normal 5 2 2 2 6" xfId="4706" xr:uid="{00000000-0005-0000-0000-00005AD50000}"/>
    <cellStyle name="Normal 5 2 2 2 7" xfId="60092" xr:uid="{00000000-0005-0000-0000-00005BD50000}"/>
    <cellStyle name="Normal 5 2 2 3" xfId="4707" xr:uid="{00000000-0005-0000-0000-00005CD50000}"/>
    <cellStyle name="Normal 5 2 2 3 2" xfId="4708" xr:uid="{00000000-0005-0000-0000-00005DD50000}"/>
    <cellStyle name="Normal 5 2 2 3 2 2" xfId="4709" xr:uid="{00000000-0005-0000-0000-00005ED50000}"/>
    <cellStyle name="Normal 5 2 2 3 2 2 2" xfId="4710" xr:uid="{00000000-0005-0000-0000-00005FD50000}"/>
    <cellStyle name="Normal 5 2 2 3 2 2 2 2" xfId="4711" xr:uid="{00000000-0005-0000-0000-000060D50000}"/>
    <cellStyle name="Normal 5 2 2 3 2 2 3" xfId="4712" xr:uid="{00000000-0005-0000-0000-000061D50000}"/>
    <cellStyle name="Normal 5 2 2 3 2 3" xfId="4713" xr:uid="{00000000-0005-0000-0000-000062D50000}"/>
    <cellStyle name="Normal 5 2 2 3 2 3 2" xfId="4714" xr:uid="{00000000-0005-0000-0000-000063D50000}"/>
    <cellStyle name="Normal 5 2 2 3 2 4" xfId="4715" xr:uid="{00000000-0005-0000-0000-000064D50000}"/>
    <cellStyle name="Normal 5 2 2 3 3" xfId="4716" xr:uid="{00000000-0005-0000-0000-000065D50000}"/>
    <cellStyle name="Normal 5 2 2 3 3 2" xfId="4717" xr:uid="{00000000-0005-0000-0000-000066D50000}"/>
    <cellStyle name="Normal 5 2 2 3 3 2 2" xfId="4718" xr:uid="{00000000-0005-0000-0000-000067D50000}"/>
    <cellStyle name="Normal 5 2 2 3 3 3" xfId="4719" xr:uid="{00000000-0005-0000-0000-000068D50000}"/>
    <cellStyle name="Normal 5 2 2 3 4" xfId="4720" xr:uid="{00000000-0005-0000-0000-000069D50000}"/>
    <cellStyle name="Normal 5 2 2 3 4 2" xfId="4721" xr:uid="{00000000-0005-0000-0000-00006AD50000}"/>
    <cellStyle name="Normal 5 2 2 3 5" xfId="4722" xr:uid="{00000000-0005-0000-0000-00006BD50000}"/>
    <cellStyle name="Normal 5 2 2 3 6" xfId="60093" xr:uid="{00000000-0005-0000-0000-00006CD50000}"/>
    <cellStyle name="Normal 5 2 2 4" xfId="4723" xr:uid="{00000000-0005-0000-0000-00006DD50000}"/>
    <cellStyle name="Normal 5 2 2 4 2" xfId="4724" xr:uid="{00000000-0005-0000-0000-00006ED50000}"/>
    <cellStyle name="Normal 5 2 2 4 2 2" xfId="4725" xr:uid="{00000000-0005-0000-0000-00006FD50000}"/>
    <cellStyle name="Normal 5 2 2 4 2 2 2" xfId="4726" xr:uid="{00000000-0005-0000-0000-000070D50000}"/>
    <cellStyle name="Normal 5 2 2 4 2 2 2 2" xfId="4727" xr:uid="{00000000-0005-0000-0000-000071D50000}"/>
    <cellStyle name="Normal 5 2 2 4 2 2 3" xfId="4728" xr:uid="{00000000-0005-0000-0000-000072D50000}"/>
    <cellStyle name="Normal 5 2 2 4 2 3" xfId="4729" xr:uid="{00000000-0005-0000-0000-000073D50000}"/>
    <cellStyle name="Normal 5 2 2 4 2 3 2" xfId="4730" xr:uid="{00000000-0005-0000-0000-000074D50000}"/>
    <cellStyle name="Normal 5 2 2 4 2 4" xfId="4731" xr:uid="{00000000-0005-0000-0000-000075D50000}"/>
    <cellStyle name="Normal 5 2 2 4 3" xfId="4732" xr:uid="{00000000-0005-0000-0000-000076D50000}"/>
    <cellStyle name="Normal 5 2 2 4 3 2" xfId="4733" xr:uid="{00000000-0005-0000-0000-000077D50000}"/>
    <cellStyle name="Normal 5 2 2 4 3 2 2" xfId="4734" xr:uid="{00000000-0005-0000-0000-000078D50000}"/>
    <cellStyle name="Normal 5 2 2 4 3 3" xfId="4735" xr:uid="{00000000-0005-0000-0000-000079D50000}"/>
    <cellStyle name="Normal 5 2 2 4 4" xfId="4736" xr:uid="{00000000-0005-0000-0000-00007AD50000}"/>
    <cellStyle name="Normal 5 2 2 4 4 2" xfId="4737" xr:uid="{00000000-0005-0000-0000-00007BD50000}"/>
    <cellStyle name="Normal 5 2 2 4 5" xfId="4738" xr:uid="{00000000-0005-0000-0000-00007CD50000}"/>
    <cellStyle name="Normal 5 2 2 5" xfId="4739" xr:uid="{00000000-0005-0000-0000-00007DD50000}"/>
    <cellStyle name="Normal 5 2 2 5 2" xfId="4740" xr:uid="{00000000-0005-0000-0000-00007ED50000}"/>
    <cellStyle name="Normal 5 2 2 5 2 2" xfId="4741" xr:uid="{00000000-0005-0000-0000-00007FD50000}"/>
    <cellStyle name="Normal 5 2 2 5 2 2 2" xfId="4742" xr:uid="{00000000-0005-0000-0000-000080D50000}"/>
    <cellStyle name="Normal 5 2 2 5 2 3" xfId="4743" xr:uid="{00000000-0005-0000-0000-000081D50000}"/>
    <cellStyle name="Normal 5 2 2 5 3" xfId="4744" xr:uid="{00000000-0005-0000-0000-000082D50000}"/>
    <cellStyle name="Normal 5 2 2 5 3 2" xfId="4745" xr:uid="{00000000-0005-0000-0000-000083D50000}"/>
    <cellStyle name="Normal 5 2 2 5 4" xfId="4746" xr:uid="{00000000-0005-0000-0000-000084D50000}"/>
    <cellStyle name="Normal 5 2 2 6" xfId="4747" xr:uid="{00000000-0005-0000-0000-000085D50000}"/>
    <cellStyle name="Normal 5 2 2 6 2" xfId="4748" xr:uid="{00000000-0005-0000-0000-000086D50000}"/>
    <cellStyle name="Normal 5 2 2 6 2 2" xfId="4749" xr:uid="{00000000-0005-0000-0000-000087D50000}"/>
    <cellStyle name="Normal 5 2 2 6 3" xfId="4750" xr:uid="{00000000-0005-0000-0000-000088D50000}"/>
    <cellStyle name="Normal 5 2 2 7" xfId="4751" xr:uid="{00000000-0005-0000-0000-000089D50000}"/>
    <cellStyle name="Normal 5 2 2 7 2" xfId="4752" xr:uid="{00000000-0005-0000-0000-00008AD50000}"/>
    <cellStyle name="Normal 5 2 2 8" xfId="4753" xr:uid="{00000000-0005-0000-0000-00008BD50000}"/>
    <cellStyle name="Normal 5 2 2 9" xfId="60094" xr:uid="{00000000-0005-0000-0000-00008CD50000}"/>
    <cellStyle name="Normal 5 2 3" xfId="4754" xr:uid="{00000000-0005-0000-0000-00008DD50000}"/>
    <cellStyle name="Normal 5 2 3 2" xfId="4755" xr:uid="{00000000-0005-0000-0000-00008ED50000}"/>
    <cellStyle name="Normal 5 2 3 2 2" xfId="4756" xr:uid="{00000000-0005-0000-0000-00008FD50000}"/>
    <cellStyle name="Normal 5 2 3 2 2 2" xfId="4757" xr:uid="{00000000-0005-0000-0000-000090D50000}"/>
    <cellStyle name="Normal 5 2 3 2 2 2 2" xfId="4758" xr:uid="{00000000-0005-0000-0000-000091D50000}"/>
    <cellStyle name="Normal 5 2 3 2 2 2 2 2" xfId="4759" xr:uid="{00000000-0005-0000-0000-000092D50000}"/>
    <cellStyle name="Normal 5 2 3 2 2 2 3" xfId="4760" xr:uid="{00000000-0005-0000-0000-000093D50000}"/>
    <cellStyle name="Normal 5 2 3 2 2 3" xfId="4761" xr:uid="{00000000-0005-0000-0000-000094D50000}"/>
    <cellStyle name="Normal 5 2 3 2 2 3 2" xfId="4762" xr:uid="{00000000-0005-0000-0000-000095D50000}"/>
    <cellStyle name="Normal 5 2 3 2 2 4" xfId="4763" xr:uid="{00000000-0005-0000-0000-000096D50000}"/>
    <cellStyle name="Normal 5 2 3 2 3" xfId="4764" xr:uid="{00000000-0005-0000-0000-000097D50000}"/>
    <cellStyle name="Normal 5 2 3 2 3 2" xfId="4765" xr:uid="{00000000-0005-0000-0000-000098D50000}"/>
    <cellStyle name="Normal 5 2 3 2 3 2 2" xfId="4766" xr:uid="{00000000-0005-0000-0000-000099D50000}"/>
    <cellStyle name="Normal 5 2 3 2 3 3" xfId="4767" xr:uid="{00000000-0005-0000-0000-00009AD50000}"/>
    <cellStyle name="Normal 5 2 3 2 4" xfId="4768" xr:uid="{00000000-0005-0000-0000-00009BD50000}"/>
    <cellStyle name="Normal 5 2 3 2 4 2" xfId="4769" xr:uid="{00000000-0005-0000-0000-00009CD50000}"/>
    <cellStyle name="Normal 5 2 3 2 5" xfId="4770" xr:uid="{00000000-0005-0000-0000-00009DD50000}"/>
    <cellStyle name="Normal 5 2 3 3" xfId="4771" xr:uid="{00000000-0005-0000-0000-00009ED50000}"/>
    <cellStyle name="Normal 5 2 3 3 2" xfId="4772" xr:uid="{00000000-0005-0000-0000-00009FD50000}"/>
    <cellStyle name="Normal 5 2 3 3 2 2" xfId="4773" xr:uid="{00000000-0005-0000-0000-0000A0D50000}"/>
    <cellStyle name="Normal 5 2 3 3 2 2 2" xfId="4774" xr:uid="{00000000-0005-0000-0000-0000A1D50000}"/>
    <cellStyle name="Normal 5 2 3 3 2 3" xfId="4775" xr:uid="{00000000-0005-0000-0000-0000A2D50000}"/>
    <cellStyle name="Normal 5 2 3 3 3" xfId="4776" xr:uid="{00000000-0005-0000-0000-0000A3D50000}"/>
    <cellStyle name="Normal 5 2 3 3 3 2" xfId="4777" xr:uid="{00000000-0005-0000-0000-0000A4D50000}"/>
    <cellStyle name="Normal 5 2 3 3 4" xfId="4778" xr:uid="{00000000-0005-0000-0000-0000A5D50000}"/>
    <cellStyle name="Normal 5 2 3 4" xfId="4779" xr:uid="{00000000-0005-0000-0000-0000A6D50000}"/>
    <cellStyle name="Normal 5 2 3 4 2" xfId="4780" xr:uid="{00000000-0005-0000-0000-0000A7D50000}"/>
    <cellStyle name="Normal 5 2 3 4 2 2" xfId="4781" xr:uid="{00000000-0005-0000-0000-0000A8D50000}"/>
    <cellStyle name="Normal 5 2 3 4 3" xfId="4782" xr:uid="{00000000-0005-0000-0000-0000A9D50000}"/>
    <cellStyle name="Normal 5 2 3 5" xfId="4783" xr:uid="{00000000-0005-0000-0000-0000AAD50000}"/>
    <cellStyle name="Normal 5 2 3 5 2" xfId="4784" xr:uid="{00000000-0005-0000-0000-0000ABD50000}"/>
    <cellStyle name="Normal 5 2 3 6" xfId="4785" xr:uid="{00000000-0005-0000-0000-0000ACD50000}"/>
    <cellStyle name="Normal 5 2 3 7" xfId="60095" xr:uid="{00000000-0005-0000-0000-0000ADD50000}"/>
    <cellStyle name="Normal 5 2 4" xfId="4786" xr:uid="{00000000-0005-0000-0000-0000AED50000}"/>
    <cellStyle name="Normal 5 2 4 2" xfId="4787" xr:uid="{00000000-0005-0000-0000-0000AFD50000}"/>
    <cellStyle name="Normal 5 2 4 2 2" xfId="4788" xr:uid="{00000000-0005-0000-0000-0000B0D50000}"/>
    <cellStyle name="Normal 5 2 4 2 2 2" xfId="4789" xr:uid="{00000000-0005-0000-0000-0000B1D50000}"/>
    <cellStyle name="Normal 5 2 4 2 2 2 2" xfId="4790" xr:uid="{00000000-0005-0000-0000-0000B2D50000}"/>
    <cellStyle name="Normal 5 2 4 2 2 3" xfId="4791" xr:uid="{00000000-0005-0000-0000-0000B3D50000}"/>
    <cellStyle name="Normal 5 2 4 2 3" xfId="4792" xr:uid="{00000000-0005-0000-0000-0000B4D50000}"/>
    <cellStyle name="Normal 5 2 4 2 3 2" xfId="4793" xr:uid="{00000000-0005-0000-0000-0000B5D50000}"/>
    <cellStyle name="Normal 5 2 4 2 4" xfId="4794" xr:uid="{00000000-0005-0000-0000-0000B6D50000}"/>
    <cellStyle name="Normal 5 2 4 2 5" xfId="60096" xr:uid="{00000000-0005-0000-0000-0000B7D50000}"/>
    <cellStyle name="Normal 5 2 4 3" xfId="4795" xr:uid="{00000000-0005-0000-0000-0000B8D50000}"/>
    <cellStyle name="Normal 5 2 4 3 2" xfId="4796" xr:uid="{00000000-0005-0000-0000-0000B9D50000}"/>
    <cellStyle name="Normal 5 2 4 3 2 2" xfId="4797" xr:uid="{00000000-0005-0000-0000-0000BAD50000}"/>
    <cellStyle name="Normal 5 2 4 3 3" xfId="4798" xr:uid="{00000000-0005-0000-0000-0000BBD50000}"/>
    <cellStyle name="Normal 5 2 4 4" xfId="4799" xr:uid="{00000000-0005-0000-0000-0000BCD50000}"/>
    <cellStyle name="Normal 5 2 4 4 2" xfId="4800" xr:uid="{00000000-0005-0000-0000-0000BDD50000}"/>
    <cellStyle name="Normal 5 2 4 5" xfId="4801" xr:uid="{00000000-0005-0000-0000-0000BED50000}"/>
    <cellStyle name="Normal 5 2 4 6" xfId="60097" xr:uid="{00000000-0005-0000-0000-0000BFD50000}"/>
    <cellStyle name="Normal 5 2 5" xfId="4802" xr:uid="{00000000-0005-0000-0000-0000C0D50000}"/>
    <cellStyle name="Normal 5 2 5 2" xfId="4803" xr:uid="{00000000-0005-0000-0000-0000C1D50000}"/>
    <cellStyle name="Normal 5 2 5 2 2" xfId="4804" xr:uid="{00000000-0005-0000-0000-0000C2D50000}"/>
    <cellStyle name="Normal 5 2 5 2 2 2" xfId="4805" xr:uid="{00000000-0005-0000-0000-0000C3D50000}"/>
    <cellStyle name="Normal 5 2 5 2 2 2 2" xfId="4806" xr:uid="{00000000-0005-0000-0000-0000C4D50000}"/>
    <cellStyle name="Normal 5 2 5 2 2 3" xfId="4807" xr:uid="{00000000-0005-0000-0000-0000C5D50000}"/>
    <cellStyle name="Normal 5 2 5 2 3" xfId="4808" xr:uid="{00000000-0005-0000-0000-0000C6D50000}"/>
    <cellStyle name="Normal 5 2 5 2 3 2" xfId="4809" xr:uid="{00000000-0005-0000-0000-0000C7D50000}"/>
    <cellStyle name="Normal 5 2 5 2 4" xfId="4810" xr:uid="{00000000-0005-0000-0000-0000C8D50000}"/>
    <cellStyle name="Normal 5 2 5 3" xfId="4811" xr:uid="{00000000-0005-0000-0000-0000C9D50000}"/>
    <cellStyle name="Normal 5 2 5 3 2" xfId="4812" xr:uid="{00000000-0005-0000-0000-0000CAD50000}"/>
    <cellStyle name="Normal 5 2 5 3 2 2" xfId="4813" xr:uid="{00000000-0005-0000-0000-0000CBD50000}"/>
    <cellStyle name="Normal 5 2 5 3 3" xfId="4814" xr:uid="{00000000-0005-0000-0000-0000CCD50000}"/>
    <cellStyle name="Normal 5 2 5 4" xfId="4815" xr:uid="{00000000-0005-0000-0000-0000CDD50000}"/>
    <cellStyle name="Normal 5 2 5 4 2" xfId="4816" xr:uid="{00000000-0005-0000-0000-0000CED50000}"/>
    <cellStyle name="Normal 5 2 5 5" xfId="4817" xr:uid="{00000000-0005-0000-0000-0000CFD50000}"/>
    <cellStyle name="Normal 5 2 5 6" xfId="60098" xr:uid="{00000000-0005-0000-0000-0000D0D50000}"/>
    <cellStyle name="Normal 5 2 6" xfId="4818" xr:uid="{00000000-0005-0000-0000-0000D1D50000}"/>
    <cellStyle name="Normal 5 2 6 2" xfId="4819" xr:uid="{00000000-0005-0000-0000-0000D2D50000}"/>
    <cellStyle name="Normal 5 2 6 2 2" xfId="4820" xr:uid="{00000000-0005-0000-0000-0000D3D50000}"/>
    <cellStyle name="Normal 5 2 6 2 2 2" xfId="4821" xr:uid="{00000000-0005-0000-0000-0000D4D50000}"/>
    <cellStyle name="Normal 5 2 6 2 3" xfId="4822" xr:uid="{00000000-0005-0000-0000-0000D5D50000}"/>
    <cellStyle name="Normal 5 2 6 3" xfId="4823" xr:uid="{00000000-0005-0000-0000-0000D6D50000}"/>
    <cellStyle name="Normal 5 2 6 3 2" xfId="4824" xr:uid="{00000000-0005-0000-0000-0000D7D50000}"/>
    <cellStyle name="Normal 5 2 6 4" xfId="4825" xr:uid="{00000000-0005-0000-0000-0000D8D50000}"/>
    <cellStyle name="Normal 5 2 7" xfId="4826" xr:uid="{00000000-0005-0000-0000-0000D9D50000}"/>
    <cellStyle name="Normal 5 2 7 2" xfId="4827" xr:uid="{00000000-0005-0000-0000-0000DAD50000}"/>
    <cellStyle name="Normal 5 2 7 2 2" xfId="4828" xr:uid="{00000000-0005-0000-0000-0000DBD50000}"/>
    <cellStyle name="Normal 5 2 7 3" xfId="4829" xr:uid="{00000000-0005-0000-0000-0000DCD50000}"/>
    <cellStyle name="Normal 5 2 8" xfId="4830" xr:uid="{00000000-0005-0000-0000-0000DDD50000}"/>
    <cellStyle name="Normal 5 2 8 2" xfId="4831" xr:uid="{00000000-0005-0000-0000-0000DED50000}"/>
    <cellStyle name="Normal 5 2 9" xfId="4832" xr:uid="{00000000-0005-0000-0000-0000DFD50000}"/>
    <cellStyle name="Normal 5 3" xfId="4833" xr:uid="{00000000-0005-0000-0000-0000E0D50000}"/>
    <cellStyle name="Normal 5 3 10" xfId="4834" xr:uid="{00000000-0005-0000-0000-0000E1D50000}"/>
    <cellStyle name="Normal 5 3 11" xfId="60099" xr:uid="{00000000-0005-0000-0000-0000E2D50000}"/>
    <cellStyle name="Normal 5 3 2" xfId="4835" xr:uid="{00000000-0005-0000-0000-0000E3D50000}"/>
    <cellStyle name="Normal 5 3 2 2" xfId="4836" xr:uid="{00000000-0005-0000-0000-0000E4D50000}"/>
    <cellStyle name="Normal 5 3 2 2 2" xfId="4837" xr:uid="{00000000-0005-0000-0000-0000E5D50000}"/>
    <cellStyle name="Normal 5 3 2 2 2 2" xfId="4838" xr:uid="{00000000-0005-0000-0000-0000E6D50000}"/>
    <cellStyle name="Normal 5 3 2 2 2 2 2" xfId="4839" xr:uid="{00000000-0005-0000-0000-0000E7D50000}"/>
    <cellStyle name="Normal 5 3 2 2 2 2 2 2" xfId="4840" xr:uid="{00000000-0005-0000-0000-0000E8D50000}"/>
    <cellStyle name="Normal 5 3 2 2 2 2 2 2 2" xfId="4841" xr:uid="{00000000-0005-0000-0000-0000E9D50000}"/>
    <cellStyle name="Normal 5 3 2 2 2 2 2 3" xfId="4842" xr:uid="{00000000-0005-0000-0000-0000EAD50000}"/>
    <cellStyle name="Normal 5 3 2 2 2 2 3" xfId="4843" xr:uid="{00000000-0005-0000-0000-0000EBD50000}"/>
    <cellStyle name="Normal 5 3 2 2 2 2 3 2" xfId="4844" xr:uid="{00000000-0005-0000-0000-0000ECD50000}"/>
    <cellStyle name="Normal 5 3 2 2 2 2 4" xfId="4845" xr:uid="{00000000-0005-0000-0000-0000EDD50000}"/>
    <cellStyle name="Normal 5 3 2 2 2 3" xfId="4846" xr:uid="{00000000-0005-0000-0000-0000EED50000}"/>
    <cellStyle name="Normal 5 3 2 2 2 3 2" xfId="4847" xr:uid="{00000000-0005-0000-0000-0000EFD50000}"/>
    <cellStyle name="Normal 5 3 2 2 2 3 2 2" xfId="4848" xr:uid="{00000000-0005-0000-0000-0000F0D50000}"/>
    <cellStyle name="Normal 5 3 2 2 2 3 3" xfId="4849" xr:uid="{00000000-0005-0000-0000-0000F1D50000}"/>
    <cellStyle name="Normal 5 3 2 2 2 4" xfId="4850" xr:uid="{00000000-0005-0000-0000-0000F2D50000}"/>
    <cellStyle name="Normal 5 3 2 2 2 4 2" xfId="4851" xr:uid="{00000000-0005-0000-0000-0000F3D50000}"/>
    <cellStyle name="Normal 5 3 2 2 2 5" xfId="4852" xr:uid="{00000000-0005-0000-0000-0000F4D50000}"/>
    <cellStyle name="Normal 5 3 2 2 3" xfId="4853" xr:uid="{00000000-0005-0000-0000-0000F5D50000}"/>
    <cellStyle name="Normal 5 3 2 2 3 2" xfId="4854" xr:uid="{00000000-0005-0000-0000-0000F6D50000}"/>
    <cellStyle name="Normal 5 3 2 2 3 2 2" xfId="4855" xr:uid="{00000000-0005-0000-0000-0000F7D50000}"/>
    <cellStyle name="Normal 5 3 2 2 3 2 2 2" xfId="4856" xr:uid="{00000000-0005-0000-0000-0000F8D50000}"/>
    <cellStyle name="Normal 5 3 2 2 3 2 3" xfId="4857" xr:uid="{00000000-0005-0000-0000-0000F9D50000}"/>
    <cellStyle name="Normal 5 3 2 2 3 3" xfId="4858" xr:uid="{00000000-0005-0000-0000-0000FAD50000}"/>
    <cellStyle name="Normal 5 3 2 2 3 3 2" xfId="4859" xr:uid="{00000000-0005-0000-0000-0000FBD50000}"/>
    <cellStyle name="Normal 5 3 2 2 3 4" xfId="4860" xr:uid="{00000000-0005-0000-0000-0000FCD50000}"/>
    <cellStyle name="Normal 5 3 2 2 4" xfId="4861" xr:uid="{00000000-0005-0000-0000-0000FDD50000}"/>
    <cellStyle name="Normal 5 3 2 2 4 2" xfId="4862" xr:uid="{00000000-0005-0000-0000-0000FED50000}"/>
    <cellStyle name="Normal 5 3 2 2 4 2 2" xfId="4863" xr:uid="{00000000-0005-0000-0000-0000FFD50000}"/>
    <cellStyle name="Normal 5 3 2 2 4 3" xfId="4864" xr:uid="{00000000-0005-0000-0000-000000D60000}"/>
    <cellStyle name="Normal 5 3 2 2 5" xfId="4865" xr:uid="{00000000-0005-0000-0000-000001D60000}"/>
    <cellStyle name="Normal 5 3 2 2 5 2" xfId="4866" xr:uid="{00000000-0005-0000-0000-000002D60000}"/>
    <cellStyle name="Normal 5 3 2 2 6" xfId="4867" xr:uid="{00000000-0005-0000-0000-000003D60000}"/>
    <cellStyle name="Normal 5 3 2 3" xfId="4868" xr:uid="{00000000-0005-0000-0000-000004D60000}"/>
    <cellStyle name="Normal 5 3 2 3 2" xfId="4869" xr:uid="{00000000-0005-0000-0000-000005D60000}"/>
    <cellStyle name="Normal 5 3 2 3 2 2" xfId="4870" xr:uid="{00000000-0005-0000-0000-000006D60000}"/>
    <cellStyle name="Normal 5 3 2 3 2 2 2" xfId="4871" xr:uid="{00000000-0005-0000-0000-000007D60000}"/>
    <cellStyle name="Normal 5 3 2 3 2 2 2 2" xfId="4872" xr:uid="{00000000-0005-0000-0000-000008D60000}"/>
    <cellStyle name="Normal 5 3 2 3 2 2 3" xfId="4873" xr:uid="{00000000-0005-0000-0000-000009D60000}"/>
    <cellStyle name="Normal 5 3 2 3 2 3" xfId="4874" xr:uid="{00000000-0005-0000-0000-00000AD60000}"/>
    <cellStyle name="Normal 5 3 2 3 2 3 2" xfId="4875" xr:uid="{00000000-0005-0000-0000-00000BD60000}"/>
    <cellStyle name="Normal 5 3 2 3 2 4" xfId="4876" xr:uid="{00000000-0005-0000-0000-00000CD60000}"/>
    <cellStyle name="Normal 5 3 2 3 3" xfId="4877" xr:uid="{00000000-0005-0000-0000-00000DD60000}"/>
    <cellStyle name="Normal 5 3 2 3 3 2" xfId="4878" xr:uid="{00000000-0005-0000-0000-00000ED60000}"/>
    <cellStyle name="Normal 5 3 2 3 3 2 2" xfId="4879" xr:uid="{00000000-0005-0000-0000-00000FD60000}"/>
    <cellStyle name="Normal 5 3 2 3 3 3" xfId="4880" xr:uid="{00000000-0005-0000-0000-000010D60000}"/>
    <cellStyle name="Normal 5 3 2 3 4" xfId="4881" xr:uid="{00000000-0005-0000-0000-000011D60000}"/>
    <cellStyle name="Normal 5 3 2 3 4 2" xfId="4882" xr:uid="{00000000-0005-0000-0000-000012D60000}"/>
    <cellStyle name="Normal 5 3 2 3 5" xfId="4883" xr:uid="{00000000-0005-0000-0000-000013D60000}"/>
    <cellStyle name="Normal 5 3 2 4" xfId="4884" xr:uid="{00000000-0005-0000-0000-000014D60000}"/>
    <cellStyle name="Normal 5 3 2 4 2" xfId="4885" xr:uid="{00000000-0005-0000-0000-000015D60000}"/>
    <cellStyle name="Normal 5 3 2 4 2 2" xfId="4886" xr:uid="{00000000-0005-0000-0000-000016D60000}"/>
    <cellStyle name="Normal 5 3 2 4 2 2 2" xfId="4887" xr:uid="{00000000-0005-0000-0000-000017D60000}"/>
    <cellStyle name="Normal 5 3 2 4 2 2 2 2" xfId="4888" xr:uid="{00000000-0005-0000-0000-000018D60000}"/>
    <cellStyle name="Normal 5 3 2 4 2 2 3" xfId="4889" xr:uid="{00000000-0005-0000-0000-000019D60000}"/>
    <cellStyle name="Normal 5 3 2 4 2 3" xfId="4890" xr:uid="{00000000-0005-0000-0000-00001AD60000}"/>
    <cellStyle name="Normal 5 3 2 4 2 3 2" xfId="4891" xr:uid="{00000000-0005-0000-0000-00001BD60000}"/>
    <cellStyle name="Normal 5 3 2 4 2 4" xfId="4892" xr:uid="{00000000-0005-0000-0000-00001CD60000}"/>
    <cellStyle name="Normal 5 3 2 4 3" xfId="4893" xr:uid="{00000000-0005-0000-0000-00001DD60000}"/>
    <cellStyle name="Normal 5 3 2 4 3 2" xfId="4894" xr:uid="{00000000-0005-0000-0000-00001ED60000}"/>
    <cellStyle name="Normal 5 3 2 4 3 2 2" xfId="4895" xr:uid="{00000000-0005-0000-0000-00001FD60000}"/>
    <cellStyle name="Normal 5 3 2 4 3 3" xfId="4896" xr:uid="{00000000-0005-0000-0000-000020D60000}"/>
    <cellStyle name="Normal 5 3 2 4 4" xfId="4897" xr:uid="{00000000-0005-0000-0000-000021D60000}"/>
    <cellStyle name="Normal 5 3 2 4 4 2" xfId="4898" xr:uid="{00000000-0005-0000-0000-000022D60000}"/>
    <cellStyle name="Normal 5 3 2 4 5" xfId="4899" xr:uid="{00000000-0005-0000-0000-000023D60000}"/>
    <cellStyle name="Normal 5 3 2 5" xfId="4900" xr:uid="{00000000-0005-0000-0000-000024D60000}"/>
    <cellStyle name="Normal 5 3 2 5 2" xfId="4901" xr:uid="{00000000-0005-0000-0000-000025D60000}"/>
    <cellStyle name="Normal 5 3 2 5 2 2" xfId="4902" xr:uid="{00000000-0005-0000-0000-000026D60000}"/>
    <cellStyle name="Normal 5 3 2 5 2 2 2" xfId="4903" xr:uid="{00000000-0005-0000-0000-000027D60000}"/>
    <cellStyle name="Normal 5 3 2 5 2 3" xfId="4904" xr:uid="{00000000-0005-0000-0000-000028D60000}"/>
    <cellStyle name="Normal 5 3 2 5 3" xfId="4905" xr:uid="{00000000-0005-0000-0000-000029D60000}"/>
    <cellStyle name="Normal 5 3 2 5 3 2" xfId="4906" xr:uid="{00000000-0005-0000-0000-00002AD60000}"/>
    <cellStyle name="Normal 5 3 2 5 4" xfId="4907" xr:uid="{00000000-0005-0000-0000-00002BD60000}"/>
    <cellStyle name="Normal 5 3 2 6" xfId="4908" xr:uid="{00000000-0005-0000-0000-00002CD60000}"/>
    <cellStyle name="Normal 5 3 2 6 2" xfId="4909" xr:uid="{00000000-0005-0000-0000-00002DD60000}"/>
    <cellStyle name="Normal 5 3 2 6 2 2" xfId="4910" xr:uid="{00000000-0005-0000-0000-00002ED60000}"/>
    <cellStyle name="Normal 5 3 2 6 3" xfId="4911" xr:uid="{00000000-0005-0000-0000-00002FD60000}"/>
    <cellStyle name="Normal 5 3 2 7" xfId="4912" xr:uid="{00000000-0005-0000-0000-000030D60000}"/>
    <cellStyle name="Normal 5 3 2 7 2" xfId="4913" xr:uid="{00000000-0005-0000-0000-000031D60000}"/>
    <cellStyle name="Normal 5 3 2 8" xfId="4914" xr:uid="{00000000-0005-0000-0000-000032D60000}"/>
    <cellStyle name="Normal 5 3 3" xfId="4915" xr:uid="{00000000-0005-0000-0000-000033D60000}"/>
    <cellStyle name="Normal 5 3 3 2" xfId="4916" xr:uid="{00000000-0005-0000-0000-000034D60000}"/>
    <cellStyle name="Normal 5 3 3 2 2" xfId="4917" xr:uid="{00000000-0005-0000-0000-000035D60000}"/>
    <cellStyle name="Normal 5 3 3 2 2 2" xfId="4918" xr:uid="{00000000-0005-0000-0000-000036D60000}"/>
    <cellStyle name="Normal 5 3 3 2 2 2 2" xfId="4919" xr:uid="{00000000-0005-0000-0000-000037D60000}"/>
    <cellStyle name="Normal 5 3 3 2 2 2 2 2" xfId="4920" xr:uid="{00000000-0005-0000-0000-000038D60000}"/>
    <cellStyle name="Normal 5 3 3 2 2 2 3" xfId="4921" xr:uid="{00000000-0005-0000-0000-000039D60000}"/>
    <cellStyle name="Normal 5 3 3 2 2 3" xfId="4922" xr:uid="{00000000-0005-0000-0000-00003AD60000}"/>
    <cellStyle name="Normal 5 3 3 2 2 3 2" xfId="4923" xr:uid="{00000000-0005-0000-0000-00003BD60000}"/>
    <cellStyle name="Normal 5 3 3 2 2 4" xfId="4924" xr:uid="{00000000-0005-0000-0000-00003CD60000}"/>
    <cellStyle name="Normal 5 3 3 2 3" xfId="4925" xr:uid="{00000000-0005-0000-0000-00003DD60000}"/>
    <cellStyle name="Normal 5 3 3 2 3 2" xfId="4926" xr:uid="{00000000-0005-0000-0000-00003ED60000}"/>
    <cellStyle name="Normal 5 3 3 2 3 2 2" xfId="4927" xr:uid="{00000000-0005-0000-0000-00003FD60000}"/>
    <cellStyle name="Normal 5 3 3 2 3 3" xfId="4928" xr:uid="{00000000-0005-0000-0000-000040D60000}"/>
    <cellStyle name="Normal 5 3 3 2 4" xfId="4929" xr:uid="{00000000-0005-0000-0000-000041D60000}"/>
    <cellStyle name="Normal 5 3 3 2 4 2" xfId="4930" xr:uid="{00000000-0005-0000-0000-000042D60000}"/>
    <cellStyle name="Normal 5 3 3 2 5" xfId="4931" xr:uid="{00000000-0005-0000-0000-000043D60000}"/>
    <cellStyle name="Normal 5 3 3 3" xfId="4932" xr:uid="{00000000-0005-0000-0000-000044D60000}"/>
    <cellStyle name="Normal 5 3 3 3 2" xfId="4933" xr:uid="{00000000-0005-0000-0000-000045D60000}"/>
    <cellStyle name="Normal 5 3 3 3 2 2" xfId="4934" xr:uid="{00000000-0005-0000-0000-000046D60000}"/>
    <cellStyle name="Normal 5 3 3 3 2 2 2" xfId="4935" xr:uid="{00000000-0005-0000-0000-000047D60000}"/>
    <cellStyle name="Normal 5 3 3 3 2 3" xfId="4936" xr:uid="{00000000-0005-0000-0000-000048D60000}"/>
    <cellStyle name="Normal 5 3 3 3 3" xfId="4937" xr:uid="{00000000-0005-0000-0000-000049D60000}"/>
    <cellStyle name="Normal 5 3 3 3 3 2" xfId="4938" xr:uid="{00000000-0005-0000-0000-00004AD60000}"/>
    <cellStyle name="Normal 5 3 3 3 4" xfId="4939" xr:uid="{00000000-0005-0000-0000-00004BD60000}"/>
    <cellStyle name="Normal 5 3 3 4" xfId="4940" xr:uid="{00000000-0005-0000-0000-00004CD60000}"/>
    <cellStyle name="Normal 5 3 3 4 2" xfId="4941" xr:uid="{00000000-0005-0000-0000-00004DD60000}"/>
    <cellStyle name="Normal 5 3 3 4 2 2" xfId="4942" xr:uid="{00000000-0005-0000-0000-00004ED60000}"/>
    <cellStyle name="Normal 5 3 3 4 3" xfId="4943" xr:uid="{00000000-0005-0000-0000-00004FD60000}"/>
    <cellStyle name="Normal 5 3 3 5" xfId="4944" xr:uid="{00000000-0005-0000-0000-000050D60000}"/>
    <cellStyle name="Normal 5 3 3 5 2" xfId="4945" xr:uid="{00000000-0005-0000-0000-000051D60000}"/>
    <cellStyle name="Normal 5 3 3 6" xfId="4946" xr:uid="{00000000-0005-0000-0000-000052D60000}"/>
    <cellStyle name="Normal 5 3 4" xfId="4947" xr:uid="{00000000-0005-0000-0000-000053D60000}"/>
    <cellStyle name="Normal 5 3 4 2" xfId="4948" xr:uid="{00000000-0005-0000-0000-000054D60000}"/>
    <cellStyle name="Normal 5 3 4 2 2" xfId="4949" xr:uid="{00000000-0005-0000-0000-000055D60000}"/>
    <cellStyle name="Normal 5 3 4 2 2 2" xfId="4950" xr:uid="{00000000-0005-0000-0000-000056D60000}"/>
    <cellStyle name="Normal 5 3 4 2 2 2 2" xfId="4951" xr:uid="{00000000-0005-0000-0000-000057D60000}"/>
    <cellStyle name="Normal 5 3 4 2 2 3" xfId="4952" xr:uid="{00000000-0005-0000-0000-000058D60000}"/>
    <cellStyle name="Normal 5 3 4 2 3" xfId="4953" xr:uid="{00000000-0005-0000-0000-000059D60000}"/>
    <cellStyle name="Normal 5 3 4 2 3 2" xfId="4954" xr:uid="{00000000-0005-0000-0000-00005AD60000}"/>
    <cellStyle name="Normal 5 3 4 2 4" xfId="4955" xr:uid="{00000000-0005-0000-0000-00005BD60000}"/>
    <cellStyle name="Normal 5 3 4 3" xfId="4956" xr:uid="{00000000-0005-0000-0000-00005CD60000}"/>
    <cellStyle name="Normal 5 3 4 3 2" xfId="4957" xr:uid="{00000000-0005-0000-0000-00005DD60000}"/>
    <cellStyle name="Normal 5 3 4 3 2 2" xfId="4958" xr:uid="{00000000-0005-0000-0000-00005ED60000}"/>
    <cellStyle name="Normal 5 3 4 3 3" xfId="4959" xr:uid="{00000000-0005-0000-0000-00005FD60000}"/>
    <cellStyle name="Normal 5 3 4 4" xfId="4960" xr:uid="{00000000-0005-0000-0000-000060D60000}"/>
    <cellStyle name="Normal 5 3 4 4 2" xfId="4961" xr:uid="{00000000-0005-0000-0000-000061D60000}"/>
    <cellStyle name="Normal 5 3 4 5" xfId="4962" xr:uid="{00000000-0005-0000-0000-000062D60000}"/>
    <cellStyle name="Normal 5 3 5" xfId="4963" xr:uid="{00000000-0005-0000-0000-000063D60000}"/>
    <cellStyle name="Normal 5 3 5 2" xfId="4964" xr:uid="{00000000-0005-0000-0000-000064D60000}"/>
    <cellStyle name="Normal 5 3 5 2 2" xfId="4965" xr:uid="{00000000-0005-0000-0000-000065D60000}"/>
    <cellStyle name="Normal 5 3 5 2 2 2" xfId="4966" xr:uid="{00000000-0005-0000-0000-000066D60000}"/>
    <cellStyle name="Normal 5 3 5 2 2 2 2" xfId="4967" xr:uid="{00000000-0005-0000-0000-000067D60000}"/>
    <cellStyle name="Normal 5 3 5 2 2 3" xfId="4968" xr:uid="{00000000-0005-0000-0000-000068D60000}"/>
    <cellStyle name="Normal 5 3 5 2 3" xfId="4969" xr:uid="{00000000-0005-0000-0000-000069D60000}"/>
    <cellStyle name="Normal 5 3 5 2 3 2" xfId="4970" xr:uid="{00000000-0005-0000-0000-00006AD60000}"/>
    <cellStyle name="Normal 5 3 5 2 4" xfId="4971" xr:uid="{00000000-0005-0000-0000-00006BD60000}"/>
    <cellStyle name="Normal 5 3 5 3" xfId="4972" xr:uid="{00000000-0005-0000-0000-00006CD60000}"/>
    <cellStyle name="Normal 5 3 5 3 2" xfId="4973" xr:uid="{00000000-0005-0000-0000-00006DD60000}"/>
    <cellStyle name="Normal 5 3 5 3 2 2" xfId="4974" xr:uid="{00000000-0005-0000-0000-00006ED60000}"/>
    <cellStyle name="Normal 5 3 5 3 3" xfId="4975" xr:uid="{00000000-0005-0000-0000-00006FD60000}"/>
    <cellStyle name="Normal 5 3 5 4" xfId="4976" xr:uid="{00000000-0005-0000-0000-000070D60000}"/>
    <cellStyle name="Normal 5 3 5 4 2" xfId="4977" xr:uid="{00000000-0005-0000-0000-000071D60000}"/>
    <cellStyle name="Normal 5 3 5 5" xfId="4978" xr:uid="{00000000-0005-0000-0000-000072D60000}"/>
    <cellStyle name="Normal 5 3 6" xfId="4979" xr:uid="{00000000-0005-0000-0000-000073D60000}"/>
    <cellStyle name="Normal 5 3 6 2" xfId="4980" xr:uid="{00000000-0005-0000-0000-000074D60000}"/>
    <cellStyle name="Normal 5 3 6 2 2" xfId="4981" xr:uid="{00000000-0005-0000-0000-000075D60000}"/>
    <cellStyle name="Normal 5 3 6 2 2 2" xfId="4982" xr:uid="{00000000-0005-0000-0000-000076D60000}"/>
    <cellStyle name="Normal 5 3 6 2 3" xfId="4983" xr:uid="{00000000-0005-0000-0000-000077D60000}"/>
    <cellStyle name="Normal 5 3 6 3" xfId="4984" xr:uid="{00000000-0005-0000-0000-000078D60000}"/>
    <cellStyle name="Normal 5 3 6 3 2" xfId="4985" xr:uid="{00000000-0005-0000-0000-000079D60000}"/>
    <cellStyle name="Normal 5 3 6 4" xfId="4986" xr:uid="{00000000-0005-0000-0000-00007AD60000}"/>
    <cellStyle name="Normal 5 3 7" xfId="4987" xr:uid="{00000000-0005-0000-0000-00007BD60000}"/>
    <cellStyle name="Normal 5 3 7 2" xfId="4988" xr:uid="{00000000-0005-0000-0000-00007CD60000}"/>
    <cellStyle name="Normal 5 3 7 2 2" xfId="4989" xr:uid="{00000000-0005-0000-0000-00007DD60000}"/>
    <cellStyle name="Normal 5 3 7 3" xfId="4990" xr:uid="{00000000-0005-0000-0000-00007ED60000}"/>
    <cellStyle name="Normal 5 3 8" xfId="4991" xr:uid="{00000000-0005-0000-0000-00007FD60000}"/>
    <cellStyle name="Normal 5 3 8 2" xfId="4992" xr:uid="{00000000-0005-0000-0000-000080D60000}"/>
    <cellStyle name="Normal 5 3 9" xfId="4993" xr:uid="{00000000-0005-0000-0000-000081D60000}"/>
    <cellStyle name="Normal 5 4" xfId="4994" xr:uid="{00000000-0005-0000-0000-000082D60000}"/>
    <cellStyle name="Normal 5 4 10" xfId="4995" xr:uid="{00000000-0005-0000-0000-000083D60000}"/>
    <cellStyle name="Normal 5 4 2" xfId="4996" xr:uid="{00000000-0005-0000-0000-000084D60000}"/>
    <cellStyle name="Normal 5 4 2 2" xfId="4997" xr:uid="{00000000-0005-0000-0000-000085D60000}"/>
    <cellStyle name="Normal 5 4 2 2 2" xfId="4998" xr:uid="{00000000-0005-0000-0000-000086D60000}"/>
    <cellStyle name="Normal 5 4 2 2 2 2" xfId="4999" xr:uid="{00000000-0005-0000-0000-000087D60000}"/>
    <cellStyle name="Normal 5 4 2 2 2 2 2" xfId="5000" xr:uid="{00000000-0005-0000-0000-000088D60000}"/>
    <cellStyle name="Normal 5 4 2 2 2 2 2 2" xfId="5001" xr:uid="{00000000-0005-0000-0000-000089D60000}"/>
    <cellStyle name="Normal 5 4 2 2 2 2 3" xfId="5002" xr:uid="{00000000-0005-0000-0000-00008AD60000}"/>
    <cellStyle name="Normal 5 4 2 2 2 3" xfId="5003" xr:uid="{00000000-0005-0000-0000-00008BD60000}"/>
    <cellStyle name="Normal 5 4 2 2 2 3 2" xfId="5004" xr:uid="{00000000-0005-0000-0000-00008CD60000}"/>
    <cellStyle name="Normal 5 4 2 2 2 4" xfId="5005" xr:uid="{00000000-0005-0000-0000-00008DD60000}"/>
    <cellStyle name="Normal 5 4 2 2 3" xfId="5006" xr:uid="{00000000-0005-0000-0000-00008ED60000}"/>
    <cellStyle name="Normal 5 4 2 2 3 2" xfId="5007" xr:uid="{00000000-0005-0000-0000-00008FD60000}"/>
    <cellStyle name="Normal 5 4 2 2 3 2 2" xfId="5008" xr:uid="{00000000-0005-0000-0000-000090D60000}"/>
    <cellStyle name="Normal 5 4 2 2 3 3" xfId="5009" xr:uid="{00000000-0005-0000-0000-000091D60000}"/>
    <cellStyle name="Normal 5 4 2 2 4" xfId="5010" xr:uid="{00000000-0005-0000-0000-000092D60000}"/>
    <cellStyle name="Normal 5 4 2 2 4 2" xfId="5011" xr:uid="{00000000-0005-0000-0000-000093D60000}"/>
    <cellStyle name="Normal 5 4 2 2 5" xfId="5012" xr:uid="{00000000-0005-0000-0000-000094D60000}"/>
    <cellStyle name="Normal 5 4 2 2 6" xfId="60100" xr:uid="{00000000-0005-0000-0000-000095D60000}"/>
    <cellStyle name="Normal 5 4 2 3" xfId="5013" xr:uid="{00000000-0005-0000-0000-000096D60000}"/>
    <cellStyle name="Normal 5 4 2 3 2" xfId="5014" xr:uid="{00000000-0005-0000-0000-000097D60000}"/>
    <cellStyle name="Normal 5 4 2 3 2 2" xfId="5015" xr:uid="{00000000-0005-0000-0000-000098D60000}"/>
    <cellStyle name="Normal 5 4 2 3 2 2 2" xfId="5016" xr:uid="{00000000-0005-0000-0000-000099D60000}"/>
    <cellStyle name="Normal 5 4 2 3 2 2 2 2" xfId="5017" xr:uid="{00000000-0005-0000-0000-00009AD60000}"/>
    <cellStyle name="Normal 5 4 2 3 2 2 3" xfId="5018" xr:uid="{00000000-0005-0000-0000-00009BD60000}"/>
    <cellStyle name="Normal 5 4 2 3 2 3" xfId="5019" xr:uid="{00000000-0005-0000-0000-00009CD60000}"/>
    <cellStyle name="Normal 5 4 2 3 2 3 2" xfId="5020" xr:uid="{00000000-0005-0000-0000-00009DD60000}"/>
    <cellStyle name="Normal 5 4 2 3 2 4" xfId="5021" xr:uid="{00000000-0005-0000-0000-00009ED60000}"/>
    <cellStyle name="Normal 5 4 2 3 3" xfId="5022" xr:uid="{00000000-0005-0000-0000-00009FD60000}"/>
    <cellStyle name="Normal 5 4 2 3 3 2" xfId="5023" xr:uid="{00000000-0005-0000-0000-0000A0D60000}"/>
    <cellStyle name="Normal 5 4 2 3 3 2 2" xfId="5024" xr:uid="{00000000-0005-0000-0000-0000A1D60000}"/>
    <cellStyle name="Normal 5 4 2 3 3 3" xfId="5025" xr:uid="{00000000-0005-0000-0000-0000A2D60000}"/>
    <cellStyle name="Normal 5 4 2 3 4" xfId="5026" xr:uid="{00000000-0005-0000-0000-0000A3D60000}"/>
    <cellStyle name="Normal 5 4 2 3 4 2" xfId="5027" xr:uid="{00000000-0005-0000-0000-0000A4D60000}"/>
    <cellStyle name="Normal 5 4 2 3 5" xfId="5028" xr:uid="{00000000-0005-0000-0000-0000A5D60000}"/>
    <cellStyle name="Normal 5 4 2 4" xfId="5029" xr:uid="{00000000-0005-0000-0000-0000A6D60000}"/>
    <cellStyle name="Normal 5 4 2 4 2" xfId="5030" xr:uid="{00000000-0005-0000-0000-0000A7D60000}"/>
    <cellStyle name="Normal 5 4 2 4 2 2" xfId="5031" xr:uid="{00000000-0005-0000-0000-0000A8D60000}"/>
    <cellStyle name="Normal 5 4 2 4 2 2 2" xfId="5032" xr:uid="{00000000-0005-0000-0000-0000A9D60000}"/>
    <cellStyle name="Normal 5 4 2 4 2 2 2 2" xfId="56077" xr:uid="{00000000-0005-0000-0000-0000AAD60000}"/>
    <cellStyle name="Normal 5 4 2 4 2 2 2 3" xfId="56078" xr:uid="{00000000-0005-0000-0000-0000ABD60000}"/>
    <cellStyle name="Normal 5 4 2 4 2 2 2 4" xfId="56079" xr:uid="{00000000-0005-0000-0000-0000ACD60000}"/>
    <cellStyle name="Normal 5 4 2 4 2 2 3" xfId="56080" xr:uid="{00000000-0005-0000-0000-0000ADD60000}"/>
    <cellStyle name="Normal 5 4 2 4 2 2 3 2" xfId="56081" xr:uid="{00000000-0005-0000-0000-0000AED60000}"/>
    <cellStyle name="Normal 5 4 2 4 2 2 3 3" xfId="56082" xr:uid="{00000000-0005-0000-0000-0000AFD60000}"/>
    <cellStyle name="Normal 5 4 2 4 2 2 4" xfId="56083" xr:uid="{00000000-0005-0000-0000-0000B0D60000}"/>
    <cellStyle name="Normal 5 4 2 4 2 2 4 2" xfId="56084" xr:uid="{00000000-0005-0000-0000-0000B1D60000}"/>
    <cellStyle name="Normal 5 4 2 4 2 2 5" xfId="56085" xr:uid="{00000000-0005-0000-0000-0000B2D60000}"/>
    <cellStyle name="Normal 5 4 2 4 2 2 6" xfId="56086" xr:uid="{00000000-0005-0000-0000-0000B3D60000}"/>
    <cellStyle name="Normal 5 4 2 4 2 3" xfId="5033" xr:uid="{00000000-0005-0000-0000-0000B4D60000}"/>
    <cellStyle name="Normal 5 4 2 4 2 3 2" xfId="56087" xr:uid="{00000000-0005-0000-0000-0000B5D60000}"/>
    <cellStyle name="Normal 5 4 2 4 2 4" xfId="56088" xr:uid="{00000000-0005-0000-0000-0000B6D60000}"/>
    <cellStyle name="Normal 5 4 2 4 2 5" xfId="56089" xr:uid="{00000000-0005-0000-0000-0000B7D60000}"/>
    <cellStyle name="Normal 5 4 2 4 3" xfId="5034" xr:uid="{00000000-0005-0000-0000-0000B8D60000}"/>
    <cellStyle name="Normal 5 4 2 4 3 2" xfId="5035" xr:uid="{00000000-0005-0000-0000-0000B9D60000}"/>
    <cellStyle name="Normal 5 4 2 4 4" xfId="5036" xr:uid="{00000000-0005-0000-0000-0000BAD60000}"/>
    <cellStyle name="Normal 5 4 2 4 4 2" xfId="56090" xr:uid="{00000000-0005-0000-0000-0000BBD60000}"/>
    <cellStyle name="Normal 5 4 2 4 5" xfId="56091" xr:uid="{00000000-0005-0000-0000-0000BCD60000}"/>
    <cellStyle name="Normal 5 4 2 4 6" xfId="56092" xr:uid="{00000000-0005-0000-0000-0000BDD60000}"/>
    <cellStyle name="Normal 5 4 2 5" xfId="5037" xr:uid="{00000000-0005-0000-0000-0000BED60000}"/>
    <cellStyle name="Normal 5 4 2 5 2" xfId="5038" xr:uid="{00000000-0005-0000-0000-0000BFD60000}"/>
    <cellStyle name="Normal 5 4 2 5 2 2" xfId="5039" xr:uid="{00000000-0005-0000-0000-0000C0D60000}"/>
    <cellStyle name="Normal 5 4 2 5 3" xfId="5040" xr:uid="{00000000-0005-0000-0000-0000C1D60000}"/>
    <cellStyle name="Normal 5 4 2 6" xfId="5041" xr:uid="{00000000-0005-0000-0000-0000C2D60000}"/>
    <cellStyle name="Normal 5 4 2 6 2" xfId="5042" xr:uid="{00000000-0005-0000-0000-0000C3D60000}"/>
    <cellStyle name="Normal 5 4 2 7" xfId="5043" xr:uid="{00000000-0005-0000-0000-0000C4D60000}"/>
    <cellStyle name="Normal 5 4 2 8" xfId="56093" xr:uid="{00000000-0005-0000-0000-0000C5D60000}"/>
    <cellStyle name="Normal 5 4 3" xfId="5044" xr:uid="{00000000-0005-0000-0000-0000C6D60000}"/>
    <cellStyle name="Normal 5 4 3 2" xfId="5045" xr:uid="{00000000-0005-0000-0000-0000C7D60000}"/>
    <cellStyle name="Normal 5 4 3 2 2" xfId="5046" xr:uid="{00000000-0005-0000-0000-0000C8D60000}"/>
    <cellStyle name="Normal 5 4 3 2 2 2" xfId="5047" xr:uid="{00000000-0005-0000-0000-0000C9D60000}"/>
    <cellStyle name="Normal 5 4 3 2 2 2 2" xfId="5048" xr:uid="{00000000-0005-0000-0000-0000CAD60000}"/>
    <cellStyle name="Normal 5 4 3 2 2 2 2 2" xfId="5049" xr:uid="{00000000-0005-0000-0000-0000CBD60000}"/>
    <cellStyle name="Normal 5 4 3 2 2 2 3" xfId="5050" xr:uid="{00000000-0005-0000-0000-0000CCD60000}"/>
    <cellStyle name="Normal 5 4 3 2 2 3" xfId="5051" xr:uid="{00000000-0005-0000-0000-0000CDD60000}"/>
    <cellStyle name="Normal 5 4 3 2 2 3 2" xfId="5052" xr:uid="{00000000-0005-0000-0000-0000CED60000}"/>
    <cellStyle name="Normal 5 4 3 2 2 4" xfId="5053" xr:uid="{00000000-0005-0000-0000-0000CFD60000}"/>
    <cellStyle name="Normal 5 4 3 2 3" xfId="5054" xr:uid="{00000000-0005-0000-0000-0000D0D60000}"/>
    <cellStyle name="Normal 5 4 3 2 3 2" xfId="5055" xr:uid="{00000000-0005-0000-0000-0000D1D60000}"/>
    <cellStyle name="Normal 5 4 3 2 3 2 2" xfId="5056" xr:uid="{00000000-0005-0000-0000-0000D2D60000}"/>
    <cellStyle name="Normal 5 4 3 2 3 3" xfId="5057" xr:uid="{00000000-0005-0000-0000-0000D3D60000}"/>
    <cellStyle name="Normal 5 4 3 2 4" xfId="5058" xr:uid="{00000000-0005-0000-0000-0000D4D60000}"/>
    <cellStyle name="Normal 5 4 3 2 4 2" xfId="5059" xr:uid="{00000000-0005-0000-0000-0000D5D60000}"/>
    <cellStyle name="Normal 5 4 3 2 5" xfId="5060" xr:uid="{00000000-0005-0000-0000-0000D6D60000}"/>
    <cellStyle name="Normal 5 4 3 3" xfId="5061" xr:uid="{00000000-0005-0000-0000-0000D7D60000}"/>
    <cellStyle name="Normal 5 4 3 3 2" xfId="5062" xr:uid="{00000000-0005-0000-0000-0000D8D60000}"/>
    <cellStyle name="Normal 5 4 3 3 2 2" xfId="5063" xr:uid="{00000000-0005-0000-0000-0000D9D60000}"/>
    <cellStyle name="Normal 5 4 3 3 2 2 2" xfId="5064" xr:uid="{00000000-0005-0000-0000-0000DAD60000}"/>
    <cellStyle name="Normal 5 4 3 3 2 3" xfId="5065" xr:uid="{00000000-0005-0000-0000-0000DBD60000}"/>
    <cellStyle name="Normal 5 4 3 3 3" xfId="5066" xr:uid="{00000000-0005-0000-0000-0000DCD60000}"/>
    <cellStyle name="Normal 5 4 3 3 3 2" xfId="5067" xr:uid="{00000000-0005-0000-0000-0000DDD60000}"/>
    <cellStyle name="Normal 5 4 3 3 4" xfId="5068" xr:uid="{00000000-0005-0000-0000-0000DED60000}"/>
    <cellStyle name="Normal 5 4 3 4" xfId="5069" xr:uid="{00000000-0005-0000-0000-0000DFD60000}"/>
    <cellStyle name="Normal 5 4 3 4 2" xfId="5070" xr:uid="{00000000-0005-0000-0000-0000E0D60000}"/>
    <cellStyle name="Normal 5 4 3 4 2 2" xfId="5071" xr:uid="{00000000-0005-0000-0000-0000E1D60000}"/>
    <cellStyle name="Normal 5 4 3 4 3" xfId="5072" xr:uid="{00000000-0005-0000-0000-0000E2D60000}"/>
    <cellStyle name="Normal 5 4 3 5" xfId="5073" xr:uid="{00000000-0005-0000-0000-0000E3D60000}"/>
    <cellStyle name="Normal 5 4 3 5 2" xfId="5074" xr:uid="{00000000-0005-0000-0000-0000E4D60000}"/>
    <cellStyle name="Normal 5 4 3 6" xfId="5075" xr:uid="{00000000-0005-0000-0000-0000E5D60000}"/>
    <cellStyle name="Normal 5 4 3 7" xfId="60101" xr:uid="{00000000-0005-0000-0000-0000E6D60000}"/>
    <cellStyle name="Normal 5 4 4" xfId="5076" xr:uid="{00000000-0005-0000-0000-0000E7D60000}"/>
    <cellStyle name="Normal 5 4 4 2" xfId="5077" xr:uid="{00000000-0005-0000-0000-0000E8D60000}"/>
    <cellStyle name="Normal 5 4 4 2 2" xfId="5078" xr:uid="{00000000-0005-0000-0000-0000E9D60000}"/>
    <cellStyle name="Normal 5 4 4 2 2 2" xfId="5079" xr:uid="{00000000-0005-0000-0000-0000EAD60000}"/>
    <cellStyle name="Normal 5 4 4 2 2 2 2" xfId="5080" xr:uid="{00000000-0005-0000-0000-0000EBD60000}"/>
    <cellStyle name="Normal 5 4 4 2 2 3" xfId="5081" xr:uid="{00000000-0005-0000-0000-0000ECD60000}"/>
    <cellStyle name="Normal 5 4 4 2 3" xfId="5082" xr:uid="{00000000-0005-0000-0000-0000EDD60000}"/>
    <cellStyle name="Normal 5 4 4 2 3 2" xfId="5083" xr:uid="{00000000-0005-0000-0000-0000EED60000}"/>
    <cellStyle name="Normal 5 4 4 2 4" xfId="5084" xr:uid="{00000000-0005-0000-0000-0000EFD60000}"/>
    <cellStyle name="Normal 5 4 4 3" xfId="5085" xr:uid="{00000000-0005-0000-0000-0000F0D60000}"/>
    <cellStyle name="Normal 5 4 4 3 2" xfId="5086" xr:uid="{00000000-0005-0000-0000-0000F1D60000}"/>
    <cellStyle name="Normal 5 4 4 3 2 2" xfId="5087" xr:uid="{00000000-0005-0000-0000-0000F2D60000}"/>
    <cellStyle name="Normal 5 4 4 3 3" xfId="5088" xr:uid="{00000000-0005-0000-0000-0000F3D60000}"/>
    <cellStyle name="Normal 5 4 4 4" xfId="5089" xr:uid="{00000000-0005-0000-0000-0000F4D60000}"/>
    <cellStyle name="Normal 5 4 4 4 2" xfId="5090" xr:uid="{00000000-0005-0000-0000-0000F5D60000}"/>
    <cellStyle name="Normal 5 4 4 5" xfId="5091" xr:uid="{00000000-0005-0000-0000-0000F6D60000}"/>
    <cellStyle name="Normal 5 4 5" xfId="5092" xr:uid="{00000000-0005-0000-0000-0000F7D60000}"/>
    <cellStyle name="Normal 5 4 5 2" xfId="5093" xr:uid="{00000000-0005-0000-0000-0000F8D60000}"/>
    <cellStyle name="Normal 5 4 5 2 2" xfId="5094" xr:uid="{00000000-0005-0000-0000-0000F9D60000}"/>
    <cellStyle name="Normal 5 4 5 2 2 2" xfId="5095" xr:uid="{00000000-0005-0000-0000-0000FAD60000}"/>
    <cellStyle name="Normal 5 4 5 2 2 2 2" xfId="5096" xr:uid="{00000000-0005-0000-0000-0000FBD60000}"/>
    <cellStyle name="Normal 5 4 5 2 2 3" xfId="5097" xr:uid="{00000000-0005-0000-0000-0000FCD60000}"/>
    <cellStyle name="Normal 5 4 5 2 3" xfId="5098" xr:uid="{00000000-0005-0000-0000-0000FDD60000}"/>
    <cellStyle name="Normal 5 4 5 2 3 2" xfId="5099" xr:uid="{00000000-0005-0000-0000-0000FED60000}"/>
    <cellStyle name="Normal 5 4 5 2 4" xfId="5100" xr:uid="{00000000-0005-0000-0000-0000FFD60000}"/>
    <cellStyle name="Normal 5 4 5 3" xfId="5101" xr:uid="{00000000-0005-0000-0000-000000D70000}"/>
    <cellStyle name="Normal 5 4 5 3 2" xfId="5102" xr:uid="{00000000-0005-0000-0000-000001D70000}"/>
    <cellStyle name="Normal 5 4 5 3 2 2" xfId="5103" xr:uid="{00000000-0005-0000-0000-000002D70000}"/>
    <cellStyle name="Normal 5 4 5 3 3" xfId="5104" xr:uid="{00000000-0005-0000-0000-000003D70000}"/>
    <cellStyle name="Normal 5 4 5 4" xfId="5105" xr:uid="{00000000-0005-0000-0000-000004D70000}"/>
    <cellStyle name="Normal 5 4 5 4 2" xfId="5106" xr:uid="{00000000-0005-0000-0000-000005D70000}"/>
    <cellStyle name="Normal 5 4 5 5" xfId="5107" xr:uid="{00000000-0005-0000-0000-000006D70000}"/>
    <cellStyle name="Normal 5 4 6" xfId="5108" xr:uid="{00000000-0005-0000-0000-000007D70000}"/>
    <cellStyle name="Normal 5 4 6 2" xfId="5109" xr:uid="{00000000-0005-0000-0000-000008D70000}"/>
    <cellStyle name="Normal 5 4 6 2 2" xfId="5110" xr:uid="{00000000-0005-0000-0000-000009D70000}"/>
    <cellStyle name="Normal 5 4 6 2 2 2" xfId="5111" xr:uid="{00000000-0005-0000-0000-00000AD70000}"/>
    <cellStyle name="Normal 5 4 6 2 3" xfId="5112" xr:uid="{00000000-0005-0000-0000-00000BD70000}"/>
    <cellStyle name="Normal 5 4 6 3" xfId="5113" xr:uid="{00000000-0005-0000-0000-00000CD70000}"/>
    <cellStyle name="Normal 5 4 6 3 2" xfId="5114" xr:uid="{00000000-0005-0000-0000-00000DD70000}"/>
    <cellStyle name="Normal 5 4 6 4" xfId="5115" xr:uid="{00000000-0005-0000-0000-00000ED70000}"/>
    <cellStyle name="Normal 5 4 7" xfId="5116" xr:uid="{00000000-0005-0000-0000-00000FD70000}"/>
    <cellStyle name="Normal 5 4 7 2" xfId="5117" xr:uid="{00000000-0005-0000-0000-000010D70000}"/>
    <cellStyle name="Normal 5 4 7 2 2" xfId="5118" xr:uid="{00000000-0005-0000-0000-000011D70000}"/>
    <cellStyle name="Normal 5 4 7 3" xfId="5119" xr:uid="{00000000-0005-0000-0000-000012D70000}"/>
    <cellStyle name="Normal 5 4 8" xfId="5120" xr:uid="{00000000-0005-0000-0000-000013D70000}"/>
    <cellStyle name="Normal 5 4 8 2" xfId="5121" xr:uid="{00000000-0005-0000-0000-000014D70000}"/>
    <cellStyle name="Normal 5 4 9" xfId="5122" xr:uid="{00000000-0005-0000-0000-000015D70000}"/>
    <cellStyle name="Normal 5 5" xfId="5123" xr:uid="{00000000-0005-0000-0000-000016D70000}"/>
    <cellStyle name="Normal 5 5 10" xfId="56094" xr:uid="{00000000-0005-0000-0000-000017D70000}"/>
    <cellStyle name="Normal 5 5 2" xfId="5124" xr:uid="{00000000-0005-0000-0000-000018D70000}"/>
    <cellStyle name="Normal 5 5 2 2" xfId="5125" xr:uid="{00000000-0005-0000-0000-000019D70000}"/>
    <cellStyle name="Normal 5 5 2 2 2" xfId="5126" xr:uid="{00000000-0005-0000-0000-00001AD70000}"/>
    <cellStyle name="Normal 5 5 2 2 2 2" xfId="5127" xr:uid="{00000000-0005-0000-0000-00001BD70000}"/>
    <cellStyle name="Normal 5 5 2 2 2 2 2" xfId="5128" xr:uid="{00000000-0005-0000-0000-00001CD70000}"/>
    <cellStyle name="Normal 5 5 2 2 2 3" xfId="5129" xr:uid="{00000000-0005-0000-0000-00001DD70000}"/>
    <cellStyle name="Normal 5 5 2 2 3" xfId="5130" xr:uid="{00000000-0005-0000-0000-00001ED70000}"/>
    <cellStyle name="Normal 5 5 2 2 3 2" xfId="5131" xr:uid="{00000000-0005-0000-0000-00001FD70000}"/>
    <cellStyle name="Normal 5 5 2 2 4" xfId="5132" xr:uid="{00000000-0005-0000-0000-000020D70000}"/>
    <cellStyle name="Normal 5 5 2 2 5" xfId="56095" xr:uid="{00000000-0005-0000-0000-000021D70000}"/>
    <cellStyle name="Normal 5 5 2 3" xfId="5133" xr:uid="{00000000-0005-0000-0000-000022D70000}"/>
    <cellStyle name="Normal 5 5 2 3 2" xfId="5134" xr:uid="{00000000-0005-0000-0000-000023D70000}"/>
    <cellStyle name="Normal 5 5 2 3 2 2" xfId="5135" xr:uid="{00000000-0005-0000-0000-000024D70000}"/>
    <cellStyle name="Normal 5 5 2 3 2 2 2" xfId="56096" xr:uid="{00000000-0005-0000-0000-000025D70000}"/>
    <cellStyle name="Normal 5 5 2 3 2 2 2 2" xfId="56097" xr:uid="{00000000-0005-0000-0000-000026D70000}"/>
    <cellStyle name="Normal 5 5 2 3 2 2 2 3" xfId="56098" xr:uid="{00000000-0005-0000-0000-000027D70000}"/>
    <cellStyle name="Normal 5 5 2 3 2 2 2 4" xfId="56099" xr:uid="{00000000-0005-0000-0000-000028D70000}"/>
    <cellStyle name="Normal 5 5 2 3 2 2 3" xfId="56100" xr:uid="{00000000-0005-0000-0000-000029D70000}"/>
    <cellStyle name="Normal 5 5 2 3 2 2 3 2" xfId="56101" xr:uid="{00000000-0005-0000-0000-00002AD70000}"/>
    <cellStyle name="Normal 5 5 2 3 2 2 3 3" xfId="56102" xr:uid="{00000000-0005-0000-0000-00002BD70000}"/>
    <cellStyle name="Normal 5 5 2 3 2 2 4" xfId="56103" xr:uid="{00000000-0005-0000-0000-00002CD70000}"/>
    <cellStyle name="Normal 5 5 2 3 2 2 4 2" xfId="56104" xr:uid="{00000000-0005-0000-0000-00002DD70000}"/>
    <cellStyle name="Normal 5 5 2 3 2 2 5" xfId="56105" xr:uid="{00000000-0005-0000-0000-00002ED70000}"/>
    <cellStyle name="Normal 5 5 2 3 2 2 6" xfId="56106" xr:uid="{00000000-0005-0000-0000-00002FD70000}"/>
    <cellStyle name="Normal 5 5 2 3 2 3" xfId="56107" xr:uid="{00000000-0005-0000-0000-000030D70000}"/>
    <cellStyle name="Normal 5 5 2 3 2 3 2" xfId="56108" xr:uid="{00000000-0005-0000-0000-000031D70000}"/>
    <cellStyle name="Normal 5 5 2 3 2 4" xfId="56109" xr:uid="{00000000-0005-0000-0000-000032D70000}"/>
    <cellStyle name="Normal 5 5 2 3 2 5" xfId="56110" xr:uid="{00000000-0005-0000-0000-000033D70000}"/>
    <cellStyle name="Normal 5 5 2 3 3" xfId="5136" xr:uid="{00000000-0005-0000-0000-000034D70000}"/>
    <cellStyle name="Normal 5 5 2 3 3 2" xfId="56111" xr:uid="{00000000-0005-0000-0000-000035D70000}"/>
    <cellStyle name="Normal 5 5 2 3 4" xfId="56112" xr:uid="{00000000-0005-0000-0000-000036D70000}"/>
    <cellStyle name="Normal 5 5 2 3 4 2" xfId="56113" xr:uid="{00000000-0005-0000-0000-000037D70000}"/>
    <cellStyle name="Normal 5 5 2 3 5" xfId="56114" xr:uid="{00000000-0005-0000-0000-000038D70000}"/>
    <cellStyle name="Normal 5 5 2 3 6" xfId="56115" xr:uid="{00000000-0005-0000-0000-000039D70000}"/>
    <cellStyle name="Normal 5 5 2 4" xfId="5137" xr:uid="{00000000-0005-0000-0000-00003AD70000}"/>
    <cellStyle name="Normal 5 5 2 4 2" xfId="5138" xr:uid="{00000000-0005-0000-0000-00003BD70000}"/>
    <cellStyle name="Normal 5 5 2 5" xfId="5139" xr:uid="{00000000-0005-0000-0000-00003CD70000}"/>
    <cellStyle name="Normal 5 5 2 5 2" xfId="56116" xr:uid="{00000000-0005-0000-0000-00003DD70000}"/>
    <cellStyle name="Normal 5 5 2 6" xfId="56117" xr:uid="{00000000-0005-0000-0000-00003ED70000}"/>
    <cellStyle name="Normal 5 5 2 7" xfId="56118" xr:uid="{00000000-0005-0000-0000-00003FD70000}"/>
    <cellStyle name="Normal 5 5 3" xfId="5140" xr:uid="{00000000-0005-0000-0000-000040D70000}"/>
    <cellStyle name="Normal 5 5 3 2" xfId="5141" xr:uid="{00000000-0005-0000-0000-000041D70000}"/>
    <cellStyle name="Normal 5 5 3 2 2" xfId="5142" xr:uid="{00000000-0005-0000-0000-000042D70000}"/>
    <cellStyle name="Normal 5 5 3 2 2 2" xfId="5143" xr:uid="{00000000-0005-0000-0000-000043D70000}"/>
    <cellStyle name="Normal 5 5 3 2 2 2 2" xfId="5144" xr:uid="{00000000-0005-0000-0000-000044D70000}"/>
    <cellStyle name="Normal 5 5 3 2 2 3" xfId="5145" xr:uid="{00000000-0005-0000-0000-000045D70000}"/>
    <cellStyle name="Normal 5 5 3 2 3" xfId="5146" xr:uid="{00000000-0005-0000-0000-000046D70000}"/>
    <cellStyle name="Normal 5 5 3 2 3 2" xfId="5147" xr:uid="{00000000-0005-0000-0000-000047D70000}"/>
    <cellStyle name="Normal 5 5 3 2 4" xfId="5148" xr:uid="{00000000-0005-0000-0000-000048D70000}"/>
    <cellStyle name="Normal 5 5 3 3" xfId="5149" xr:uid="{00000000-0005-0000-0000-000049D70000}"/>
    <cellStyle name="Normal 5 5 3 3 2" xfId="5150" xr:uid="{00000000-0005-0000-0000-00004AD70000}"/>
    <cellStyle name="Normal 5 5 3 3 2 2" xfId="5151" xr:uid="{00000000-0005-0000-0000-00004BD70000}"/>
    <cellStyle name="Normal 5 5 3 3 3" xfId="5152" xr:uid="{00000000-0005-0000-0000-00004CD70000}"/>
    <cellStyle name="Normal 5 5 3 4" xfId="5153" xr:uid="{00000000-0005-0000-0000-00004DD70000}"/>
    <cellStyle name="Normal 5 5 3 4 2" xfId="5154" xr:uid="{00000000-0005-0000-0000-00004ED70000}"/>
    <cellStyle name="Normal 5 5 3 5" xfId="5155" xr:uid="{00000000-0005-0000-0000-00004FD70000}"/>
    <cellStyle name="Normal 5 5 4" xfId="5156" xr:uid="{00000000-0005-0000-0000-000050D70000}"/>
    <cellStyle name="Normal 5 5 4 2" xfId="5157" xr:uid="{00000000-0005-0000-0000-000051D70000}"/>
    <cellStyle name="Normal 5 5 4 2 2" xfId="5158" xr:uid="{00000000-0005-0000-0000-000052D70000}"/>
    <cellStyle name="Normal 5 5 4 2 2 2" xfId="5159" xr:uid="{00000000-0005-0000-0000-000053D70000}"/>
    <cellStyle name="Normal 5 5 4 2 3" xfId="5160" xr:uid="{00000000-0005-0000-0000-000054D70000}"/>
    <cellStyle name="Normal 5 5 4 3" xfId="5161" xr:uid="{00000000-0005-0000-0000-000055D70000}"/>
    <cellStyle name="Normal 5 5 4 3 2" xfId="5162" xr:uid="{00000000-0005-0000-0000-000056D70000}"/>
    <cellStyle name="Normal 5 5 4 4" xfId="5163" xr:uid="{00000000-0005-0000-0000-000057D70000}"/>
    <cellStyle name="Normal 5 5 5" xfId="5164" xr:uid="{00000000-0005-0000-0000-000058D70000}"/>
    <cellStyle name="Normal 5 5 5 2" xfId="5165" xr:uid="{00000000-0005-0000-0000-000059D70000}"/>
    <cellStyle name="Normal 5 5 5 2 2" xfId="5166" xr:uid="{00000000-0005-0000-0000-00005AD70000}"/>
    <cellStyle name="Normal 5 5 5 3" xfId="5167" xr:uid="{00000000-0005-0000-0000-00005BD70000}"/>
    <cellStyle name="Normal 5 5 6" xfId="5168" xr:uid="{00000000-0005-0000-0000-00005CD70000}"/>
    <cellStyle name="Normal 5 5 6 2" xfId="5169" xr:uid="{00000000-0005-0000-0000-00005DD70000}"/>
    <cellStyle name="Normal 5 5 7" xfId="5170" xr:uid="{00000000-0005-0000-0000-00005ED70000}"/>
    <cellStyle name="Normal 5 5 8" xfId="56119" xr:uid="{00000000-0005-0000-0000-00005FD70000}"/>
    <cellStyle name="Normal 5 5 8 2" xfId="56120" xr:uid="{00000000-0005-0000-0000-000060D70000}"/>
    <cellStyle name="Normal 5 5 9" xfId="56121" xr:uid="{00000000-0005-0000-0000-000061D70000}"/>
    <cellStyle name="Normal 5 6" xfId="5171" xr:uid="{00000000-0005-0000-0000-000062D70000}"/>
    <cellStyle name="Normal 5 6 2" xfId="5172" xr:uid="{00000000-0005-0000-0000-000063D70000}"/>
    <cellStyle name="Normal 5 6 2 2" xfId="5173" xr:uid="{00000000-0005-0000-0000-000064D70000}"/>
    <cellStyle name="Normal 5 6 2 2 2" xfId="5174" xr:uid="{00000000-0005-0000-0000-000065D70000}"/>
    <cellStyle name="Normal 5 6 2 2 2 2" xfId="5175" xr:uid="{00000000-0005-0000-0000-000066D70000}"/>
    <cellStyle name="Normal 5 6 2 2 2 2 2" xfId="5176" xr:uid="{00000000-0005-0000-0000-000067D70000}"/>
    <cellStyle name="Normal 5 6 2 2 2 3" xfId="5177" xr:uid="{00000000-0005-0000-0000-000068D70000}"/>
    <cellStyle name="Normal 5 6 2 2 3" xfId="5178" xr:uid="{00000000-0005-0000-0000-000069D70000}"/>
    <cellStyle name="Normal 5 6 2 2 3 2" xfId="5179" xr:uid="{00000000-0005-0000-0000-00006AD70000}"/>
    <cellStyle name="Normal 5 6 2 2 4" xfId="5180" xr:uid="{00000000-0005-0000-0000-00006BD70000}"/>
    <cellStyle name="Normal 5 6 2 3" xfId="5181" xr:uid="{00000000-0005-0000-0000-00006CD70000}"/>
    <cellStyle name="Normal 5 6 2 3 2" xfId="5182" xr:uid="{00000000-0005-0000-0000-00006DD70000}"/>
    <cellStyle name="Normal 5 6 2 3 2 2" xfId="5183" xr:uid="{00000000-0005-0000-0000-00006ED70000}"/>
    <cellStyle name="Normal 5 6 2 3 3" xfId="5184" xr:uid="{00000000-0005-0000-0000-00006FD70000}"/>
    <cellStyle name="Normal 5 6 2 4" xfId="5185" xr:uid="{00000000-0005-0000-0000-000070D70000}"/>
    <cellStyle name="Normal 5 6 2 4 2" xfId="5186" xr:uid="{00000000-0005-0000-0000-000071D70000}"/>
    <cellStyle name="Normal 5 6 2 5" xfId="5187" xr:uid="{00000000-0005-0000-0000-000072D70000}"/>
    <cellStyle name="Normal 5 6 3" xfId="5188" xr:uid="{00000000-0005-0000-0000-000073D70000}"/>
    <cellStyle name="Normal 5 6 3 2" xfId="5189" xr:uid="{00000000-0005-0000-0000-000074D70000}"/>
    <cellStyle name="Normal 5 6 3 2 2" xfId="5190" xr:uid="{00000000-0005-0000-0000-000075D70000}"/>
    <cellStyle name="Normal 5 6 3 2 2 2" xfId="5191" xr:uid="{00000000-0005-0000-0000-000076D70000}"/>
    <cellStyle name="Normal 5 6 3 2 3" xfId="5192" xr:uid="{00000000-0005-0000-0000-000077D70000}"/>
    <cellStyle name="Normal 5 6 3 3" xfId="5193" xr:uid="{00000000-0005-0000-0000-000078D70000}"/>
    <cellStyle name="Normal 5 6 3 3 2" xfId="5194" xr:uid="{00000000-0005-0000-0000-000079D70000}"/>
    <cellStyle name="Normal 5 6 3 4" xfId="5195" xr:uid="{00000000-0005-0000-0000-00007AD70000}"/>
    <cellStyle name="Normal 5 6 4" xfId="5196" xr:uid="{00000000-0005-0000-0000-00007BD70000}"/>
    <cellStyle name="Normal 5 6 4 2" xfId="5197" xr:uid="{00000000-0005-0000-0000-00007CD70000}"/>
    <cellStyle name="Normal 5 6 4 2 2" xfId="5198" xr:uid="{00000000-0005-0000-0000-00007DD70000}"/>
    <cellStyle name="Normal 5 6 4 3" xfId="5199" xr:uid="{00000000-0005-0000-0000-00007ED70000}"/>
    <cellStyle name="Normal 5 6 5" xfId="5200" xr:uid="{00000000-0005-0000-0000-00007FD70000}"/>
    <cellStyle name="Normal 5 6 5 2" xfId="5201" xr:uid="{00000000-0005-0000-0000-000080D70000}"/>
    <cellStyle name="Normal 5 6 6" xfId="5202" xr:uid="{00000000-0005-0000-0000-000081D70000}"/>
    <cellStyle name="Normal 5 7" xfId="5203" xr:uid="{00000000-0005-0000-0000-000082D70000}"/>
    <cellStyle name="Normal 5 7 2" xfId="5204" xr:uid="{00000000-0005-0000-0000-000083D70000}"/>
    <cellStyle name="Normal 5 7 2 2" xfId="5205" xr:uid="{00000000-0005-0000-0000-000084D70000}"/>
    <cellStyle name="Normal 5 7 2 2 2" xfId="5206" xr:uid="{00000000-0005-0000-0000-000085D70000}"/>
    <cellStyle name="Normal 5 7 2 2 2 2" xfId="5207" xr:uid="{00000000-0005-0000-0000-000086D70000}"/>
    <cellStyle name="Normal 5 7 2 2 3" xfId="5208" xr:uid="{00000000-0005-0000-0000-000087D70000}"/>
    <cellStyle name="Normal 5 7 2 3" xfId="5209" xr:uid="{00000000-0005-0000-0000-000088D70000}"/>
    <cellStyle name="Normal 5 7 2 3 2" xfId="5210" xr:uid="{00000000-0005-0000-0000-000089D70000}"/>
    <cellStyle name="Normal 5 7 2 4" xfId="5211" xr:uid="{00000000-0005-0000-0000-00008AD70000}"/>
    <cellStyle name="Normal 5 7 3" xfId="5212" xr:uid="{00000000-0005-0000-0000-00008BD70000}"/>
    <cellStyle name="Normal 5 7 3 2" xfId="5213" xr:uid="{00000000-0005-0000-0000-00008CD70000}"/>
    <cellStyle name="Normal 5 7 3 2 2" xfId="5214" xr:uid="{00000000-0005-0000-0000-00008DD70000}"/>
    <cellStyle name="Normal 5 7 3 3" xfId="5215" xr:uid="{00000000-0005-0000-0000-00008ED70000}"/>
    <cellStyle name="Normal 5 7 4" xfId="5216" xr:uid="{00000000-0005-0000-0000-00008FD70000}"/>
    <cellStyle name="Normal 5 7 4 2" xfId="5217" xr:uid="{00000000-0005-0000-0000-000090D70000}"/>
    <cellStyle name="Normal 5 7 5" xfId="5218" xr:uid="{00000000-0005-0000-0000-000091D70000}"/>
    <cellStyle name="Normal 5 8" xfId="5219" xr:uid="{00000000-0005-0000-0000-000092D70000}"/>
    <cellStyle name="Normal 5 8 2" xfId="5220" xr:uid="{00000000-0005-0000-0000-000093D70000}"/>
    <cellStyle name="Normal 5 8 2 2" xfId="5221" xr:uid="{00000000-0005-0000-0000-000094D70000}"/>
    <cellStyle name="Normal 5 8 2 2 2" xfId="5222" xr:uid="{00000000-0005-0000-0000-000095D70000}"/>
    <cellStyle name="Normal 5 8 2 2 2 2" xfId="5223" xr:uid="{00000000-0005-0000-0000-000096D70000}"/>
    <cellStyle name="Normal 5 8 2 2 3" xfId="5224" xr:uid="{00000000-0005-0000-0000-000097D70000}"/>
    <cellStyle name="Normal 5 8 2 3" xfId="5225" xr:uid="{00000000-0005-0000-0000-000098D70000}"/>
    <cellStyle name="Normal 5 8 2 3 2" xfId="5226" xr:uid="{00000000-0005-0000-0000-000099D70000}"/>
    <cellStyle name="Normal 5 8 2 4" xfId="5227" xr:uid="{00000000-0005-0000-0000-00009AD70000}"/>
    <cellStyle name="Normal 5 8 3" xfId="5228" xr:uid="{00000000-0005-0000-0000-00009BD70000}"/>
    <cellStyle name="Normal 5 8 3 2" xfId="5229" xr:uid="{00000000-0005-0000-0000-00009CD70000}"/>
    <cellStyle name="Normal 5 8 3 2 2" xfId="5230" xr:uid="{00000000-0005-0000-0000-00009DD70000}"/>
    <cellStyle name="Normal 5 8 3 3" xfId="5231" xr:uid="{00000000-0005-0000-0000-00009ED70000}"/>
    <cellStyle name="Normal 5 8 4" xfId="5232" xr:uid="{00000000-0005-0000-0000-00009FD70000}"/>
    <cellStyle name="Normal 5 8 4 2" xfId="5233" xr:uid="{00000000-0005-0000-0000-0000A0D70000}"/>
    <cellStyle name="Normal 5 8 5" xfId="5234" xr:uid="{00000000-0005-0000-0000-0000A1D70000}"/>
    <cellStyle name="Normal 5 9" xfId="5235" xr:uid="{00000000-0005-0000-0000-0000A2D70000}"/>
    <cellStyle name="Normal 5 9 2" xfId="5236" xr:uid="{00000000-0005-0000-0000-0000A3D70000}"/>
    <cellStyle name="Normal 5 9 2 2" xfId="5237" xr:uid="{00000000-0005-0000-0000-0000A4D70000}"/>
    <cellStyle name="Normal 5 9 2 2 2" xfId="5238" xr:uid="{00000000-0005-0000-0000-0000A5D70000}"/>
    <cellStyle name="Normal 5 9 2 3" xfId="5239" xr:uid="{00000000-0005-0000-0000-0000A6D70000}"/>
    <cellStyle name="Normal 5 9 3" xfId="5240" xr:uid="{00000000-0005-0000-0000-0000A7D70000}"/>
    <cellStyle name="Normal 5 9 3 2" xfId="5241" xr:uid="{00000000-0005-0000-0000-0000A8D70000}"/>
    <cellStyle name="Normal 5 9 4" xfId="5242" xr:uid="{00000000-0005-0000-0000-0000A9D70000}"/>
    <cellStyle name="Normal 5_183302" xfId="8773" xr:uid="{00000000-0005-0000-0000-0000AAD70000}"/>
    <cellStyle name="Normal 50" xfId="8673" xr:uid="{00000000-0005-0000-0000-0000ABD70000}"/>
    <cellStyle name="Normal 50 2" xfId="60102" xr:uid="{00000000-0005-0000-0000-0000ACD70000}"/>
    <cellStyle name="Normal 50 3" xfId="60103" xr:uid="{00000000-0005-0000-0000-0000ADD70000}"/>
    <cellStyle name="Normal 51" xfId="8674" xr:uid="{00000000-0005-0000-0000-0000AED70000}"/>
    <cellStyle name="Normal 51 2" xfId="56122" xr:uid="{00000000-0005-0000-0000-0000AFD70000}"/>
    <cellStyle name="Normal 51 3" xfId="60104" xr:uid="{00000000-0005-0000-0000-0000B0D70000}"/>
    <cellStyle name="Normal 52" xfId="8733" xr:uid="{00000000-0005-0000-0000-0000B1D70000}"/>
    <cellStyle name="Normal 52 2" xfId="60105" xr:uid="{00000000-0005-0000-0000-0000B2D70000}"/>
    <cellStyle name="Normal 52 3" xfId="60106" xr:uid="{00000000-0005-0000-0000-0000B3D70000}"/>
    <cellStyle name="Normal 53" xfId="8767" xr:uid="{00000000-0005-0000-0000-0000B4D70000}"/>
    <cellStyle name="Normal 53 2" xfId="56123" xr:uid="{00000000-0005-0000-0000-0000B5D70000}"/>
    <cellStyle name="Normal 53 3" xfId="60107" xr:uid="{00000000-0005-0000-0000-0000B6D70000}"/>
    <cellStyle name="Normal 54" xfId="9372" xr:uid="{00000000-0005-0000-0000-0000B7D70000}"/>
    <cellStyle name="Normal 54 2" xfId="56124" xr:uid="{00000000-0005-0000-0000-0000B8D70000}"/>
    <cellStyle name="Normal 54 3" xfId="60108" xr:uid="{00000000-0005-0000-0000-0000B9D70000}"/>
    <cellStyle name="Normal 55" xfId="56125" xr:uid="{00000000-0005-0000-0000-0000BAD70000}"/>
    <cellStyle name="Normal 55 2" xfId="60109" xr:uid="{00000000-0005-0000-0000-0000BBD70000}"/>
    <cellStyle name="Normal 55 3" xfId="60110" xr:uid="{00000000-0005-0000-0000-0000BCD70000}"/>
    <cellStyle name="Normal 56" xfId="56126" xr:uid="{00000000-0005-0000-0000-0000BDD70000}"/>
    <cellStyle name="Normal 56 2" xfId="60111" xr:uid="{00000000-0005-0000-0000-0000BED70000}"/>
    <cellStyle name="Normal 57" xfId="57817" xr:uid="{00000000-0005-0000-0000-0000BFD70000}"/>
    <cellStyle name="Normal 57 2" xfId="60112" xr:uid="{00000000-0005-0000-0000-0000C0D70000}"/>
    <cellStyle name="Normal 58" xfId="60113" xr:uid="{00000000-0005-0000-0000-0000C1D70000}"/>
    <cellStyle name="Normal 58 2" xfId="60114" xr:uid="{00000000-0005-0000-0000-0000C2D70000}"/>
    <cellStyle name="Normal 59" xfId="60115" xr:uid="{00000000-0005-0000-0000-0000C3D70000}"/>
    <cellStyle name="Normal 6" xfId="5243" xr:uid="{00000000-0005-0000-0000-0000C4D70000}"/>
    <cellStyle name="Normal 6 10" xfId="60116" xr:uid="{00000000-0005-0000-0000-0000C5D70000}"/>
    <cellStyle name="Normal 6 11" xfId="60117" xr:uid="{00000000-0005-0000-0000-0000C6D70000}"/>
    <cellStyle name="Normal 6 2" xfId="5244" xr:uid="{00000000-0005-0000-0000-0000C7D70000}"/>
    <cellStyle name="Normal 6 2 2" xfId="5245" xr:uid="{00000000-0005-0000-0000-0000C8D70000}"/>
    <cellStyle name="Normal 6 2 2 2" xfId="5246" xr:uid="{00000000-0005-0000-0000-0000C9D70000}"/>
    <cellStyle name="Normal 6 2 2 2 2" xfId="5247" xr:uid="{00000000-0005-0000-0000-0000CAD70000}"/>
    <cellStyle name="Normal 6 2 2 2 2 2" xfId="5248" xr:uid="{00000000-0005-0000-0000-0000CBD70000}"/>
    <cellStyle name="Normal 6 2 2 2 2 2 2" xfId="5249" xr:uid="{00000000-0005-0000-0000-0000CCD70000}"/>
    <cellStyle name="Normal 6 2 2 2 2 3" xfId="5250" xr:uid="{00000000-0005-0000-0000-0000CDD70000}"/>
    <cellStyle name="Normal 6 2 2 2 3" xfId="5251" xr:uid="{00000000-0005-0000-0000-0000CED70000}"/>
    <cellStyle name="Normal 6 2 2 2 3 2" xfId="5252" xr:uid="{00000000-0005-0000-0000-0000CFD70000}"/>
    <cellStyle name="Normal 6 2 2 2 4" xfId="5253" xr:uid="{00000000-0005-0000-0000-0000D0D70000}"/>
    <cellStyle name="Normal 6 2 2 2 5" xfId="60118" xr:uid="{00000000-0005-0000-0000-0000D1D70000}"/>
    <cellStyle name="Normal 6 2 2 3" xfId="5254" xr:uid="{00000000-0005-0000-0000-0000D2D70000}"/>
    <cellStyle name="Normal 6 2 2 3 2" xfId="5255" xr:uid="{00000000-0005-0000-0000-0000D3D70000}"/>
    <cellStyle name="Normal 6 2 2 3 2 2" xfId="5256" xr:uid="{00000000-0005-0000-0000-0000D4D70000}"/>
    <cellStyle name="Normal 6 2 2 3 3" xfId="5257" xr:uid="{00000000-0005-0000-0000-0000D5D70000}"/>
    <cellStyle name="Normal 6 2 2 4" xfId="5258" xr:uid="{00000000-0005-0000-0000-0000D6D70000}"/>
    <cellStyle name="Normal 6 2 2 4 2" xfId="5259" xr:uid="{00000000-0005-0000-0000-0000D7D70000}"/>
    <cellStyle name="Normal 6 2 2 5" xfId="5260" xr:uid="{00000000-0005-0000-0000-0000D8D70000}"/>
    <cellStyle name="Normal 6 2 2 6" xfId="60119" xr:uid="{00000000-0005-0000-0000-0000D9D70000}"/>
    <cellStyle name="Normal 6 2 3" xfId="5261" xr:uid="{00000000-0005-0000-0000-0000DAD70000}"/>
    <cellStyle name="Normal 6 2 3 2" xfId="5262" xr:uid="{00000000-0005-0000-0000-0000DBD70000}"/>
    <cellStyle name="Normal 6 2 3 2 2" xfId="5263" xr:uid="{00000000-0005-0000-0000-0000DCD70000}"/>
    <cellStyle name="Normal 6 2 3 2 2 2" xfId="5264" xr:uid="{00000000-0005-0000-0000-0000DDD70000}"/>
    <cellStyle name="Normal 6 2 3 2 3" xfId="5265" xr:uid="{00000000-0005-0000-0000-0000DED70000}"/>
    <cellStyle name="Normal 6 2 3 3" xfId="5266" xr:uid="{00000000-0005-0000-0000-0000DFD70000}"/>
    <cellStyle name="Normal 6 2 3 3 2" xfId="5267" xr:uid="{00000000-0005-0000-0000-0000E0D70000}"/>
    <cellStyle name="Normal 6 2 3 4" xfId="5268" xr:uid="{00000000-0005-0000-0000-0000E1D70000}"/>
    <cellStyle name="Normal 6 2 3 5" xfId="60120" xr:uid="{00000000-0005-0000-0000-0000E2D70000}"/>
    <cellStyle name="Normal 6 2 4" xfId="5269" xr:uid="{00000000-0005-0000-0000-0000E3D70000}"/>
    <cellStyle name="Normal 6 2 4 2" xfId="5270" xr:uid="{00000000-0005-0000-0000-0000E4D70000}"/>
    <cellStyle name="Normal 6 2 4 2 2" xfId="5271" xr:uid="{00000000-0005-0000-0000-0000E5D70000}"/>
    <cellStyle name="Normal 6 2 4 3" xfId="5272" xr:uid="{00000000-0005-0000-0000-0000E6D70000}"/>
    <cellStyle name="Normal 6 2 5" xfId="5273" xr:uid="{00000000-0005-0000-0000-0000E7D70000}"/>
    <cellStyle name="Normal 6 2 5 2" xfId="5274" xr:uid="{00000000-0005-0000-0000-0000E8D70000}"/>
    <cellStyle name="Normal 6 2 6" xfId="5275" xr:uid="{00000000-0005-0000-0000-0000E9D70000}"/>
    <cellStyle name="Normal 6 2 7" xfId="5276" xr:uid="{00000000-0005-0000-0000-0000EAD70000}"/>
    <cellStyle name="Normal 6 2 8" xfId="60121" xr:uid="{00000000-0005-0000-0000-0000EBD70000}"/>
    <cellStyle name="Normal 6 3" xfId="5277" xr:uid="{00000000-0005-0000-0000-0000ECD70000}"/>
    <cellStyle name="Normal 6 3 2" xfId="5278" xr:uid="{00000000-0005-0000-0000-0000EDD70000}"/>
    <cellStyle name="Normal 6 3 2 2" xfId="5279" xr:uid="{00000000-0005-0000-0000-0000EED70000}"/>
    <cellStyle name="Normal 6 3 2 2 2" xfId="5280" xr:uid="{00000000-0005-0000-0000-0000EFD70000}"/>
    <cellStyle name="Normal 6 3 2 2 2 2" xfId="5281" xr:uid="{00000000-0005-0000-0000-0000F0D70000}"/>
    <cellStyle name="Normal 6 3 2 2 3" xfId="5282" xr:uid="{00000000-0005-0000-0000-0000F1D70000}"/>
    <cellStyle name="Normal 6 3 2 3" xfId="5283" xr:uid="{00000000-0005-0000-0000-0000F2D70000}"/>
    <cellStyle name="Normal 6 3 2 3 2" xfId="5284" xr:uid="{00000000-0005-0000-0000-0000F3D70000}"/>
    <cellStyle name="Normal 6 3 2 4" xfId="5285" xr:uid="{00000000-0005-0000-0000-0000F4D70000}"/>
    <cellStyle name="Normal 6 3 2 5" xfId="60122" xr:uid="{00000000-0005-0000-0000-0000F5D70000}"/>
    <cellStyle name="Normal 6 3 3" xfId="5286" xr:uid="{00000000-0005-0000-0000-0000F6D70000}"/>
    <cellStyle name="Normal 6 3 3 2" xfId="5287" xr:uid="{00000000-0005-0000-0000-0000F7D70000}"/>
    <cellStyle name="Normal 6 3 3 2 2" xfId="5288" xr:uid="{00000000-0005-0000-0000-0000F8D70000}"/>
    <cellStyle name="Normal 6 3 3 3" xfId="5289" xr:uid="{00000000-0005-0000-0000-0000F9D70000}"/>
    <cellStyle name="Normal 6 3 4" xfId="5290" xr:uid="{00000000-0005-0000-0000-0000FAD70000}"/>
    <cellStyle name="Normal 6 3 4 2" xfId="5291" xr:uid="{00000000-0005-0000-0000-0000FBD70000}"/>
    <cellStyle name="Normal 6 3 5" xfId="5292" xr:uid="{00000000-0005-0000-0000-0000FCD70000}"/>
    <cellStyle name="Normal 6 3 6" xfId="5293" xr:uid="{00000000-0005-0000-0000-0000FDD70000}"/>
    <cellStyle name="Normal 6 3 7" xfId="60123" xr:uid="{00000000-0005-0000-0000-0000FED70000}"/>
    <cellStyle name="Normal 6 4" xfId="5294" xr:uid="{00000000-0005-0000-0000-0000FFD70000}"/>
    <cellStyle name="Normal 6 4 2" xfId="5295" xr:uid="{00000000-0005-0000-0000-000000D80000}"/>
    <cellStyle name="Normal 6 4 2 2" xfId="5296" xr:uid="{00000000-0005-0000-0000-000001D80000}"/>
    <cellStyle name="Normal 6 4 2 2 2" xfId="5297" xr:uid="{00000000-0005-0000-0000-000002D80000}"/>
    <cellStyle name="Normal 6 4 2 2 3" xfId="60124" xr:uid="{00000000-0005-0000-0000-000003D80000}"/>
    <cellStyle name="Normal 6 4 2 3" xfId="5298" xr:uid="{00000000-0005-0000-0000-000004D80000}"/>
    <cellStyle name="Normal 6 4 2 3 2" xfId="60125" xr:uid="{00000000-0005-0000-0000-000005D80000}"/>
    <cellStyle name="Normal 6 4 2 4" xfId="60126" xr:uid="{00000000-0005-0000-0000-000006D80000}"/>
    <cellStyle name="Normal 6 4 2 5" xfId="60127" xr:uid="{00000000-0005-0000-0000-000007D80000}"/>
    <cellStyle name="Normal 6 4 2 6" xfId="60128" xr:uid="{00000000-0005-0000-0000-000008D80000}"/>
    <cellStyle name="Normal 6 4 3" xfId="5299" xr:uid="{00000000-0005-0000-0000-000009D80000}"/>
    <cellStyle name="Normal 6 4 3 2" xfId="5300" xr:uid="{00000000-0005-0000-0000-00000AD80000}"/>
    <cellStyle name="Normal 6 4 3 3" xfId="60129" xr:uid="{00000000-0005-0000-0000-00000BD80000}"/>
    <cellStyle name="Normal 6 4 4" xfId="5301" xr:uid="{00000000-0005-0000-0000-00000CD80000}"/>
    <cellStyle name="Normal 6 4 4 2" xfId="60130" xr:uid="{00000000-0005-0000-0000-00000DD80000}"/>
    <cellStyle name="Normal 6 4 4 3" xfId="60131" xr:uid="{00000000-0005-0000-0000-00000ED80000}"/>
    <cellStyle name="Normal 6 4 5" xfId="5302" xr:uid="{00000000-0005-0000-0000-00000FD80000}"/>
    <cellStyle name="Normal 6 4 5 2" xfId="60132" xr:uid="{00000000-0005-0000-0000-000010D80000}"/>
    <cellStyle name="Normal 6 4 6" xfId="60133" xr:uid="{00000000-0005-0000-0000-000011D80000}"/>
    <cellStyle name="Normal 6 4 7" xfId="60134" xr:uid="{00000000-0005-0000-0000-000012D80000}"/>
    <cellStyle name="Normal 6 4 8" xfId="60135" xr:uid="{00000000-0005-0000-0000-000013D80000}"/>
    <cellStyle name="Normal 6 5" xfId="5303" xr:uid="{00000000-0005-0000-0000-000014D80000}"/>
    <cellStyle name="Normal 6 5 2" xfId="5304" xr:uid="{00000000-0005-0000-0000-000015D80000}"/>
    <cellStyle name="Normal 6 5 2 2" xfId="5305" xr:uid="{00000000-0005-0000-0000-000016D80000}"/>
    <cellStyle name="Normal 6 5 2 2 2" xfId="60136" xr:uid="{00000000-0005-0000-0000-000017D80000}"/>
    <cellStyle name="Normal 6 5 2 3" xfId="60137" xr:uid="{00000000-0005-0000-0000-000018D80000}"/>
    <cellStyle name="Normal 6 5 3" xfId="5306" xr:uid="{00000000-0005-0000-0000-000019D80000}"/>
    <cellStyle name="Normal 6 5 3 2" xfId="60138" xr:uid="{00000000-0005-0000-0000-00001AD80000}"/>
    <cellStyle name="Normal 6 5 4" xfId="60139" xr:uid="{00000000-0005-0000-0000-00001BD80000}"/>
    <cellStyle name="Normal 6 5 5" xfId="60140" xr:uid="{00000000-0005-0000-0000-00001CD80000}"/>
    <cellStyle name="Normal 6 5 6" xfId="60141" xr:uid="{00000000-0005-0000-0000-00001DD80000}"/>
    <cellStyle name="Normal 6 6" xfId="5307" xr:uid="{00000000-0005-0000-0000-00001ED80000}"/>
    <cellStyle name="Normal 6 6 2" xfId="5308" xr:uid="{00000000-0005-0000-0000-00001FD80000}"/>
    <cellStyle name="Normal 6 6 2 2" xfId="60142" xr:uid="{00000000-0005-0000-0000-000020D80000}"/>
    <cellStyle name="Normal 6 6 3" xfId="60143" xr:uid="{00000000-0005-0000-0000-000021D80000}"/>
    <cellStyle name="Normal 6 6 4" xfId="60144" xr:uid="{00000000-0005-0000-0000-000022D80000}"/>
    <cellStyle name="Normal 6 6 5" xfId="60145" xr:uid="{00000000-0005-0000-0000-000023D80000}"/>
    <cellStyle name="Normal 6 7" xfId="5309" xr:uid="{00000000-0005-0000-0000-000024D80000}"/>
    <cellStyle name="Normal 6 7 2" xfId="60146" xr:uid="{00000000-0005-0000-0000-000025D80000}"/>
    <cellStyle name="Normal 6 7 3" xfId="60147" xr:uid="{00000000-0005-0000-0000-000026D80000}"/>
    <cellStyle name="Normal 6 8" xfId="5310" xr:uid="{00000000-0005-0000-0000-000027D80000}"/>
    <cellStyle name="Normal 6 8 2" xfId="60148" xr:uid="{00000000-0005-0000-0000-000028D80000}"/>
    <cellStyle name="Normal 6 8 3" xfId="60149" xr:uid="{00000000-0005-0000-0000-000029D80000}"/>
    <cellStyle name="Normal 6 9" xfId="60150" xr:uid="{00000000-0005-0000-0000-00002AD80000}"/>
    <cellStyle name="Normal 6_183302" xfId="8774" xr:uid="{00000000-0005-0000-0000-00002BD80000}"/>
    <cellStyle name="Normal 60" xfId="60151" xr:uid="{00000000-0005-0000-0000-00002CD80000}"/>
    <cellStyle name="Normal 61" xfId="60152" xr:uid="{00000000-0005-0000-0000-00002DD80000}"/>
    <cellStyle name="Normal 62" xfId="60153" xr:uid="{00000000-0005-0000-0000-00002ED80000}"/>
    <cellStyle name="Normal 63" xfId="60154" xr:uid="{00000000-0005-0000-0000-00002FD80000}"/>
    <cellStyle name="Normal 64" xfId="60155" xr:uid="{00000000-0005-0000-0000-000030D80000}"/>
    <cellStyle name="Normal 65" xfId="60156" xr:uid="{00000000-0005-0000-0000-000031D80000}"/>
    <cellStyle name="Normal 66" xfId="60157" xr:uid="{00000000-0005-0000-0000-000032D80000}"/>
    <cellStyle name="Normal 67" xfId="60158" xr:uid="{00000000-0005-0000-0000-000033D80000}"/>
    <cellStyle name="Normal 68" xfId="60159" xr:uid="{00000000-0005-0000-0000-000034D80000}"/>
    <cellStyle name="Normal 69" xfId="60160" xr:uid="{00000000-0005-0000-0000-000035D80000}"/>
    <cellStyle name="Normal 7" xfId="5311" xr:uid="{00000000-0005-0000-0000-000036D80000}"/>
    <cellStyle name="Normal 7 10" xfId="5312" xr:uid="{00000000-0005-0000-0000-000037D80000}"/>
    <cellStyle name="Normal 7 11" xfId="5313" xr:uid="{00000000-0005-0000-0000-000038D80000}"/>
    <cellStyle name="Normal 7 2" xfId="5314" xr:uid="{00000000-0005-0000-0000-000039D80000}"/>
    <cellStyle name="Normal 7 2 2" xfId="5315" xr:uid="{00000000-0005-0000-0000-00003AD80000}"/>
    <cellStyle name="Normal 7 2 2 2" xfId="5316" xr:uid="{00000000-0005-0000-0000-00003BD80000}"/>
    <cellStyle name="Normal 7 2 2 2 2" xfId="5317" xr:uid="{00000000-0005-0000-0000-00003CD80000}"/>
    <cellStyle name="Normal 7 2 2 2 2 2" xfId="5318" xr:uid="{00000000-0005-0000-0000-00003DD80000}"/>
    <cellStyle name="Normal 7 2 2 2 2 2 2" xfId="5319" xr:uid="{00000000-0005-0000-0000-00003ED80000}"/>
    <cellStyle name="Normal 7 2 2 2 2 2 2 2" xfId="5320" xr:uid="{00000000-0005-0000-0000-00003FD80000}"/>
    <cellStyle name="Normal 7 2 2 2 2 2 3" xfId="5321" xr:uid="{00000000-0005-0000-0000-000040D80000}"/>
    <cellStyle name="Normal 7 2 2 2 2 3" xfId="5322" xr:uid="{00000000-0005-0000-0000-000041D80000}"/>
    <cellStyle name="Normal 7 2 2 2 2 3 2" xfId="5323" xr:uid="{00000000-0005-0000-0000-000042D80000}"/>
    <cellStyle name="Normal 7 2 2 2 2 4" xfId="5324" xr:uid="{00000000-0005-0000-0000-000043D80000}"/>
    <cellStyle name="Normal 7 2 2 2 3" xfId="5325" xr:uid="{00000000-0005-0000-0000-000044D80000}"/>
    <cellStyle name="Normal 7 2 2 2 3 2" xfId="5326" xr:uid="{00000000-0005-0000-0000-000045D80000}"/>
    <cellStyle name="Normal 7 2 2 2 3 2 2" xfId="5327" xr:uid="{00000000-0005-0000-0000-000046D80000}"/>
    <cellStyle name="Normal 7 2 2 2 3 3" xfId="5328" xr:uid="{00000000-0005-0000-0000-000047D80000}"/>
    <cellStyle name="Normal 7 2 2 2 4" xfId="5329" xr:uid="{00000000-0005-0000-0000-000048D80000}"/>
    <cellStyle name="Normal 7 2 2 2 4 2" xfId="5330" xr:uid="{00000000-0005-0000-0000-000049D80000}"/>
    <cellStyle name="Normal 7 2 2 2 5" xfId="5331" xr:uid="{00000000-0005-0000-0000-00004AD80000}"/>
    <cellStyle name="Normal 7 2 2 2 6" xfId="60161" xr:uid="{00000000-0005-0000-0000-00004BD80000}"/>
    <cellStyle name="Normal 7 2 2 3" xfId="5332" xr:uid="{00000000-0005-0000-0000-00004CD80000}"/>
    <cellStyle name="Normal 7 2 2 3 2" xfId="5333" xr:uid="{00000000-0005-0000-0000-00004DD80000}"/>
    <cellStyle name="Normal 7 2 2 3 2 2" xfId="5334" xr:uid="{00000000-0005-0000-0000-00004ED80000}"/>
    <cellStyle name="Normal 7 2 2 3 2 2 2" xfId="5335" xr:uid="{00000000-0005-0000-0000-00004FD80000}"/>
    <cellStyle name="Normal 7 2 2 3 2 3" xfId="5336" xr:uid="{00000000-0005-0000-0000-000050D80000}"/>
    <cellStyle name="Normal 7 2 2 3 3" xfId="5337" xr:uid="{00000000-0005-0000-0000-000051D80000}"/>
    <cellStyle name="Normal 7 2 2 3 3 2" xfId="5338" xr:uid="{00000000-0005-0000-0000-000052D80000}"/>
    <cellStyle name="Normal 7 2 2 3 4" xfId="5339" xr:uid="{00000000-0005-0000-0000-000053D80000}"/>
    <cellStyle name="Normal 7 2 2 4" xfId="5340" xr:uid="{00000000-0005-0000-0000-000054D80000}"/>
    <cellStyle name="Normal 7 2 2 4 2" xfId="5341" xr:uid="{00000000-0005-0000-0000-000055D80000}"/>
    <cellStyle name="Normal 7 2 2 4 2 2" xfId="5342" xr:uid="{00000000-0005-0000-0000-000056D80000}"/>
    <cellStyle name="Normal 7 2 2 4 3" xfId="5343" xr:uid="{00000000-0005-0000-0000-000057D80000}"/>
    <cellStyle name="Normal 7 2 2 5" xfId="5344" xr:uid="{00000000-0005-0000-0000-000058D80000}"/>
    <cellStyle name="Normal 7 2 2 5 2" xfId="5345" xr:uid="{00000000-0005-0000-0000-000059D80000}"/>
    <cellStyle name="Normal 7 2 2 6" xfId="5346" xr:uid="{00000000-0005-0000-0000-00005AD80000}"/>
    <cellStyle name="Normal 7 2 2 7" xfId="60162" xr:uid="{00000000-0005-0000-0000-00005BD80000}"/>
    <cellStyle name="Normal 7 2 3" xfId="5347" xr:uid="{00000000-0005-0000-0000-00005CD80000}"/>
    <cellStyle name="Normal 7 2 3 2" xfId="5348" xr:uid="{00000000-0005-0000-0000-00005DD80000}"/>
    <cellStyle name="Normal 7 2 3 2 2" xfId="5349" xr:uid="{00000000-0005-0000-0000-00005ED80000}"/>
    <cellStyle name="Normal 7 2 3 2 2 2" xfId="5350" xr:uid="{00000000-0005-0000-0000-00005FD80000}"/>
    <cellStyle name="Normal 7 2 3 2 2 2 2" xfId="5351" xr:uid="{00000000-0005-0000-0000-000060D80000}"/>
    <cellStyle name="Normal 7 2 3 2 2 3" xfId="5352" xr:uid="{00000000-0005-0000-0000-000061D80000}"/>
    <cellStyle name="Normal 7 2 3 2 3" xfId="5353" xr:uid="{00000000-0005-0000-0000-000062D80000}"/>
    <cellStyle name="Normal 7 2 3 2 3 2" xfId="5354" xr:uid="{00000000-0005-0000-0000-000063D80000}"/>
    <cellStyle name="Normal 7 2 3 2 4" xfId="5355" xr:uid="{00000000-0005-0000-0000-000064D80000}"/>
    <cellStyle name="Normal 7 2 3 3" xfId="5356" xr:uid="{00000000-0005-0000-0000-000065D80000}"/>
    <cellStyle name="Normal 7 2 3 3 2" xfId="5357" xr:uid="{00000000-0005-0000-0000-000066D80000}"/>
    <cellStyle name="Normal 7 2 3 3 2 2" xfId="5358" xr:uid="{00000000-0005-0000-0000-000067D80000}"/>
    <cellStyle name="Normal 7 2 3 3 3" xfId="5359" xr:uid="{00000000-0005-0000-0000-000068D80000}"/>
    <cellStyle name="Normal 7 2 3 4" xfId="5360" xr:uid="{00000000-0005-0000-0000-000069D80000}"/>
    <cellStyle name="Normal 7 2 3 4 2" xfId="5361" xr:uid="{00000000-0005-0000-0000-00006AD80000}"/>
    <cellStyle name="Normal 7 2 3 5" xfId="5362" xr:uid="{00000000-0005-0000-0000-00006BD80000}"/>
    <cellStyle name="Normal 7 2 3 6" xfId="60163" xr:uid="{00000000-0005-0000-0000-00006CD80000}"/>
    <cellStyle name="Normal 7 2 4" xfId="5363" xr:uid="{00000000-0005-0000-0000-00006DD80000}"/>
    <cellStyle name="Normal 7 2 4 2" xfId="5364" xr:uid="{00000000-0005-0000-0000-00006ED80000}"/>
    <cellStyle name="Normal 7 2 4 2 2" xfId="5365" xr:uid="{00000000-0005-0000-0000-00006FD80000}"/>
    <cellStyle name="Normal 7 2 4 2 2 2" xfId="5366" xr:uid="{00000000-0005-0000-0000-000070D80000}"/>
    <cellStyle name="Normal 7 2 4 2 2 2 2" xfId="5367" xr:uid="{00000000-0005-0000-0000-000071D80000}"/>
    <cellStyle name="Normal 7 2 4 2 2 3" xfId="5368" xr:uid="{00000000-0005-0000-0000-000072D80000}"/>
    <cellStyle name="Normal 7 2 4 2 3" xfId="5369" xr:uid="{00000000-0005-0000-0000-000073D80000}"/>
    <cellStyle name="Normal 7 2 4 2 3 2" xfId="5370" xr:uid="{00000000-0005-0000-0000-000074D80000}"/>
    <cellStyle name="Normal 7 2 4 2 4" xfId="5371" xr:uid="{00000000-0005-0000-0000-000075D80000}"/>
    <cellStyle name="Normal 7 2 4 3" xfId="5372" xr:uid="{00000000-0005-0000-0000-000076D80000}"/>
    <cellStyle name="Normal 7 2 4 3 2" xfId="5373" xr:uid="{00000000-0005-0000-0000-000077D80000}"/>
    <cellStyle name="Normal 7 2 4 3 2 2" xfId="5374" xr:uid="{00000000-0005-0000-0000-000078D80000}"/>
    <cellStyle name="Normal 7 2 4 3 3" xfId="5375" xr:uid="{00000000-0005-0000-0000-000079D80000}"/>
    <cellStyle name="Normal 7 2 4 4" xfId="5376" xr:uid="{00000000-0005-0000-0000-00007AD80000}"/>
    <cellStyle name="Normal 7 2 4 4 2" xfId="5377" xr:uid="{00000000-0005-0000-0000-00007BD80000}"/>
    <cellStyle name="Normal 7 2 4 5" xfId="5378" xr:uid="{00000000-0005-0000-0000-00007CD80000}"/>
    <cellStyle name="Normal 7 2 5" xfId="5379" xr:uid="{00000000-0005-0000-0000-00007DD80000}"/>
    <cellStyle name="Normal 7 2 5 2" xfId="5380" xr:uid="{00000000-0005-0000-0000-00007ED80000}"/>
    <cellStyle name="Normal 7 2 5 2 2" xfId="5381" xr:uid="{00000000-0005-0000-0000-00007FD80000}"/>
    <cellStyle name="Normal 7 2 5 2 2 2" xfId="5382" xr:uid="{00000000-0005-0000-0000-000080D80000}"/>
    <cellStyle name="Normal 7 2 5 2 3" xfId="5383" xr:uid="{00000000-0005-0000-0000-000081D80000}"/>
    <cellStyle name="Normal 7 2 5 3" xfId="5384" xr:uid="{00000000-0005-0000-0000-000082D80000}"/>
    <cellStyle name="Normal 7 2 5 3 2" xfId="5385" xr:uid="{00000000-0005-0000-0000-000083D80000}"/>
    <cellStyle name="Normal 7 2 5 4" xfId="5386" xr:uid="{00000000-0005-0000-0000-000084D80000}"/>
    <cellStyle name="Normal 7 2 6" xfId="5387" xr:uid="{00000000-0005-0000-0000-000085D80000}"/>
    <cellStyle name="Normal 7 2 6 2" xfId="5388" xr:uid="{00000000-0005-0000-0000-000086D80000}"/>
    <cellStyle name="Normal 7 2 6 2 2" xfId="5389" xr:uid="{00000000-0005-0000-0000-000087D80000}"/>
    <cellStyle name="Normal 7 2 6 3" xfId="5390" xr:uid="{00000000-0005-0000-0000-000088D80000}"/>
    <cellStyle name="Normal 7 2 7" xfId="5391" xr:uid="{00000000-0005-0000-0000-000089D80000}"/>
    <cellStyle name="Normal 7 2 7 2" xfId="5392" xr:uid="{00000000-0005-0000-0000-00008AD80000}"/>
    <cellStyle name="Normal 7 2 8" xfId="5393" xr:uid="{00000000-0005-0000-0000-00008BD80000}"/>
    <cellStyle name="Normal 7 2 9" xfId="60164" xr:uid="{00000000-0005-0000-0000-00008CD80000}"/>
    <cellStyle name="Normal 7 3" xfId="5394" xr:uid="{00000000-0005-0000-0000-00008DD80000}"/>
    <cellStyle name="Normal 7 3 2" xfId="5395" xr:uid="{00000000-0005-0000-0000-00008ED80000}"/>
    <cellStyle name="Normal 7 3 2 2" xfId="5396" xr:uid="{00000000-0005-0000-0000-00008FD80000}"/>
    <cellStyle name="Normal 7 3 2 2 2" xfId="5397" xr:uid="{00000000-0005-0000-0000-000090D80000}"/>
    <cellStyle name="Normal 7 3 2 2 2 2" xfId="5398" xr:uid="{00000000-0005-0000-0000-000091D80000}"/>
    <cellStyle name="Normal 7 3 2 2 2 2 2" xfId="5399" xr:uid="{00000000-0005-0000-0000-000092D80000}"/>
    <cellStyle name="Normal 7 3 2 2 2 3" xfId="5400" xr:uid="{00000000-0005-0000-0000-000093D80000}"/>
    <cellStyle name="Normal 7 3 2 2 3" xfId="5401" xr:uid="{00000000-0005-0000-0000-000094D80000}"/>
    <cellStyle name="Normal 7 3 2 2 3 2" xfId="5402" xr:uid="{00000000-0005-0000-0000-000095D80000}"/>
    <cellStyle name="Normal 7 3 2 2 4" xfId="5403" xr:uid="{00000000-0005-0000-0000-000096D80000}"/>
    <cellStyle name="Normal 7 3 2 3" xfId="5404" xr:uid="{00000000-0005-0000-0000-000097D80000}"/>
    <cellStyle name="Normal 7 3 2 3 2" xfId="5405" xr:uid="{00000000-0005-0000-0000-000098D80000}"/>
    <cellStyle name="Normal 7 3 2 3 2 2" xfId="5406" xr:uid="{00000000-0005-0000-0000-000099D80000}"/>
    <cellStyle name="Normal 7 3 2 3 3" xfId="5407" xr:uid="{00000000-0005-0000-0000-00009AD80000}"/>
    <cellStyle name="Normal 7 3 2 4" xfId="5408" xr:uid="{00000000-0005-0000-0000-00009BD80000}"/>
    <cellStyle name="Normal 7 3 2 4 2" xfId="5409" xr:uid="{00000000-0005-0000-0000-00009CD80000}"/>
    <cellStyle name="Normal 7 3 2 5" xfId="5410" xr:uid="{00000000-0005-0000-0000-00009DD80000}"/>
    <cellStyle name="Normal 7 3 2 6" xfId="60165" xr:uid="{00000000-0005-0000-0000-00009ED80000}"/>
    <cellStyle name="Normal 7 3 3" xfId="5411" xr:uid="{00000000-0005-0000-0000-00009FD80000}"/>
    <cellStyle name="Normal 7 3 3 2" xfId="5412" xr:uid="{00000000-0005-0000-0000-0000A0D80000}"/>
    <cellStyle name="Normal 7 3 3 2 2" xfId="5413" xr:uid="{00000000-0005-0000-0000-0000A1D80000}"/>
    <cellStyle name="Normal 7 3 3 2 2 2" xfId="5414" xr:uid="{00000000-0005-0000-0000-0000A2D80000}"/>
    <cellStyle name="Normal 7 3 3 2 3" xfId="5415" xr:uid="{00000000-0005-0000-0000-0000A3D80000}"/>
    <cellStyle name="Normal 7 3 3 3" xfId="5416" xr:uid="{00000000-0005-0000-0000-0000A4D80000}"/>
    <cellStyle name="Normal 7 3 3 3 2" xfId="5417" xr:uid="{00000000-0005-0000-0000-0000A5D80000}"/>
    <cellStyle name="Normal 7 3 3 4" xfId="5418" xr:uid="{00000000-0005-0000-0000-0000A6D80000}"/>
    <cellStyle name="Normal 7 3 4" xfId="5419" xr:uid="{00000000-0005-0000-0000-0000A7D80000}"/>
    <cellStyle name="Normal 7 3 4 2" xfId="5420" xr:uid="{00000000-0005-0000-0000-0000A8D80000}"/>
    <cellStyle name="Normal 7 3 4 2 2" xfId="5421" xr:uid="{00000000-0005-0000-0000-0000A9D80000}"/>
    <cellStyle name="Normal 7 3 4 3" xfId="5422" xr:uid="{00000000-0005-0000-0000-0000AAD80000}"/>
    <cellStyle name="Normal 7 3 5" xfId="5423" xr:uid="{00000000-0005-0000-0000-0000ABD80000}"/>
    <cellStyle name="Normal 7 3 5 2" xfId="5424" xr:uid="{00000000-0005-0000-0000-0000ACD80000}"/>
    <cellStyle name="Normal 7 3 6" xfId="5425" xr:uid="{00000000-0005-0000-0000-0000ADD80000}"/>
    <cellStyle name="Normal 7 3 7" xfId="60166" xr:uid="{00000000-0005-0000-0000-0000AED80000}"/>
    <cellStyle name="Normal 7 4" xfId="5426" xr:uid="{00000000-0005-0000-0000-0000AFD80000}"/>
    <cellStyle name="Normal 7 4 2" xfId="5427" xr:uid="{00000000-0005-0000-0000-0000B0D80000}"/>
    <cellStyle name="Normal 7 4 2 2" xfId="5428" xr:uid="{00000000-0005-0000-0000-0000B1D80000}"/>
    <cellStyle name="Normal 7 4 2 2 2" xfId="5429" xr:uid="{00000000-0005-0000-0000-0000B2D80000}"/>
    <cellStyle name="Normal 7 4 2 2 2 2" xfId="5430" xr:uid="{00000000-0005-0000-0000-0000B3D80000}"/>
    <cellStyle name="Normal 7 4 2 2 3" xfId="5431" xr:uid="{00000000-0005-0000-0000-0000B4D80000}"/>
    <cellStyle name="Normal 7 4 2 3" xfId="5432" xr:uid="{00000000-0005-0000-0000-0000B5D80000}"/>
    <cellStyle name="Normal 7 4 2 3 2" xfId="5433" xr:uid="{00000000-0005-0000-0000-0000B6D80000}"/>
    <cellStyle name="Normal 7 4 2 4" xfId="5434" xr:uid="{00000000-0005-0000-0000-0000B7D80000}"/>
    <cellStyle name="Normal 7 4 2 5" xfId="60167" xr:uid="{00000000-0005-0000-0000-0000B8D80000}"/>
    <cellStyle name="Normal 7 4 3" xfId="5435" xr:uid="{00000000-0005-0000-0000-0000B9D80000}"/>
    <cellStyle name="Normal 7 4 3 2" xfId="5436" xr:uid="{00000000-0005-0000-0000-0000BAD80000}"/>
    <cellStyle name="Normal 7 4 3 2 2" xfId="5437" xr:uid="{00000000-0005-0000-0000-0000BBD80000}"/>
    <cellStyle name="Normal 7 4 3 3" xfId="5438" xr:uid="{00000000-0005-0000-0000-0000BCD80000}"/>
    <cellStyle name="Normal 7 4 4" xfId="5439" xr:uid="{00000000-0005-0000-0000-0000BDD80000}"/>
    <cellStyle name="Normal 7 4 4 2" xfId="5440" xr:uid="{00000000-0005-0000-0000-0000BED80000}"/>
    <cellStyle name="Normal 7 4 5" xfId="5441" xr:uid="{00000000-0005-0000-0000-0000BFD80000}"/>
    <cellStyle name="Normal 7 4 6" xfId="60168" xr:uid="{00000000-0005-0000-0000-0000C0D80000}"/>
    <cellStyle name="Normal 7 4 7" xfId="60169" xr:uid="{00000000-0005-0000-0000-0000C1D80000}"/>
    <cellStyle name="Normal 7 5" xfId="5442" xr:uid="{00000000-0005-0000-0000-0000C2D80000}"/>
    <cellStyle name="Normal 7 5 2" xfId="5443" xr:uid="{00000000-0005-0000-0000-0000C3D80000}"/>
    <cellStyle name="Normal 7 5 2 2" xfId="5444" xr:uid="{00000000-0005-0000-0000-0000C4D80000}"/>
    <cellStyle name="Normal 7 5 2 2 2" xfId="5445" xr:uid="{00000000-0005-0000-0000-0000C5D80000}"/>
    <cellStyle name="Normal 7 5 2 2 2 2" xfId="5446" xr:uid="{00000000-0005-0000-0000-0000C6D80000}"/>
    <cellStyle name="Normal 7 5 2 2 3" xfId="5447" xr:uid="{00000000-0005-0000-0000-0000C7D80000}"/>
    <cellStyle name="Normal 7 5 2 3" xfId="5448" xr:uid="{00000000-0005-0000-0000-0000C8D80000}"/>
    <cellStyle name="Normal 7 5 2 3 2" xfId="5449" xr:uid="{00000000-0005-0000-0000-0000C9D80000}"/>
    <cellStyle name="Normal 7 5 2 4" xfId="5450" xr:uid="{00000000-0005-0000-0000-0000CAD80000}"/>
    <cellStyle name="Normal 7 5 3" xfId="5451" xr:uid="{00000000-0005-0000-0000-0000CBD80000}"/>
    <cellStyle name="Normal 7 5 3 2" xfId="5452" xr:uid="{00000000-0005-0000-0000-0000CCD80000}"/>
    <cellStyle name="Normal 7 5 3 2 2" xfId="5453" xr:uid="{00000000-0005-0000-0000-0000CDD80000}"/>
    <cellStyle name="Normal 7 5 3 3" xfId="5454" xr:uid="{00000000-0005-0000-0000-0000CED80000}"/>
    <cellStyle name="Normal 7 5 4" xfId="5455" xr:uid="{00000000-0005-0000-0000-0000CFD80000}"/>
    <cellStyle name="Normal 7 5 4 2" xfId="5456" xr:uid="{00000000-0005-0000-0000-0000D0D80000}"/>
    <cellStyle name="Normal 7 5 5" xfId="5457" xr:uid="{00000000-0005-0000-0000-0000D1D80000}"/>
    <cellStyle name="Normal 7 5 6" xfId="60170" xr:uid="{00000000-0005-0000-0000-0000D2D80000}"/>
    <cellStyle name="Normal 7 6" xfId="5458" xr:uid="{00000000-0005-0000-0000-0000D3D80000}"/>
    <cellStyle name="Normal 7 6 2" xfId="5459" xr:uid="{00000000-0005-0000-0000-0000D4D80000}"/>
    <cellStyle name="Normal 7 6 2 2" xfId="5460" xr:uid="{00000000-0005-0000-0000-0000D5D80000}"/>
    <cellStyle name="Normal 7 6 2 2 2" xfId="5461" xr:uid="{00000000-0005-0000-0000-0000D6D80000}"/>
    <cellStyle name="Normal 7 6 2 3" xfId="5462" xr:uid="{00000000-0005-0000-0000-0000D7D80000}"/>
    <cellStyle name="Normal 7 6 3" xfId="5463" xr:uid="{00000000-0005-0000-0000-0000D8D80000}"/>
    <cellStyle name="Normal 7 6 3 2" xfId="5464" xr:uid="{00000000-0005-0000-0000-0000D9D80000}"/>
    <cellStyle name="Normal 7 6 4" xfId="5465" xr:uid="{00000000-0005-0000-0000-0000DAD80000}"/>
    <cellStyle name="Normal 7 7" xfId="5466" xr:uid="{00000000-0005-0000-0000-0000DBD80000}"/>
    <cellStyle name="Normal 7 7 2" xfId="5467" xr:uid="{00000000-0005-0000-0000-0000DCD80000}"/>
    <cellStyle name="Normal 7 7 2 2" xfId="5468" xr:uid="{00000000-0005-0000-0000-0000DDD80000}"/>
    <cellStyle name="Normal 7 7 3" xfId="5469" xr:uid="{00000000-0005-0000-0000-0000DED80000}"/>
    <cellStyle name="Normal 7 8" xfId="5470" xr:uid="{00000000-0005-0000-0000-0000DFD80000}"/>
    <cellStyle name="Normal 7 8 2" xfId="5471" xr:uid="{00000000-0005-0000-0000-0000E0D80000}"/>
    <cellStyle name="Normal 7 8 2 2" xfId="5472" xr:uid="{00000000-0005-0000-0000-0000E1D80000}"/>
    <cellStyle name="Normal 7 8 3" xfId="5473" xr:uid="{00000000-0005-0000-0000-0000E2D80000}"/>
    <cellStyle name="Normal 7 9" xfId="5474" xr:uid="{00000000-0005-0000-0000-0000E3D80000}"/>
    <cellStyle name="Normal 7 9 2" xfId="5475" xr:uid="{00000000-0005-0000-0000-0000E4D80000}"/>
    <cellStyle name="Normal 7_183302" xfId="8775" xr:uid="{00000000-0005-0000-0000-0000E5D80000}"/>
    <cellStyle name="Normal 70" xfId="60171" xr:uid="{00000000-0005-0000-0000-0000E6D80000}"/>
    <cellStyle name="Normal 71" xfId="60172" xr:uid="{00000000-0005-0000-0000-0000E7D80000}"/>
    <cellStyle name="Normal 72" xfId="60173" xr:uid="{00000000-0005-0000-0000-0000E8D80000}"/>
    <cellStyle name="Normal 73" xfId="60174" xr:uid="{00000000-0005-0000-0000-0000E9D80000}"/>
    <cellStyle name="Normal 74" xfId="60175" xr:uid="{00000000-0005-0000-0000-0000EAD80000}"/>
    <cellStyle name="Normal 74 2" xfId="61982" xr:uid="{00000000-0005-0000-0000-0000EBD80000}"/>
    <cellStyle name="Normal 75" xfId="60176" xr:uid="{00000000-0005-0000-0000-0000ECD80000}"/>
    <cellStyle name="Normal 76" xfId="60177" xr:uid="{00000000-0005-0000-0000-0000EDD80000}"/>
    <cellStyle name="Normal 77" xfId="60178" xr:uid="{00000000-0005-0000-0000-0000EED80000}"/>
    <cellStyle name="Normal 78" xfId="60179" xr:uid="{00000000-0005-0000-0000-0000EFD80000}"/>
    <cellStyle name="Normal 79" xfId="60180" xr:uid="{00000000-0005-0000-0000-0000F0D80000}"/>
    <cellStyle name="Normal 8" xfId="5476" xr:uid="{00000000-0005-0000-0000-0000F1D80000}"/>
    <cellStyle name="Normal 8 2" xfId="5477" xr:uid="{00000000-0005-0000-0000-0000F2D80000}"/>
    <cellStyle name="Normal 8 2 2" xfId="5478" xr:uid="{00000000-0005-0000-0000-0000F3D80000}"/>
    <cellStyle name="Normal 8 2 2 2" xfId="5479" xr:uid="{00000000-0005-0000-0000-0000F4D80000}"/>
    <cellStyle name="Normal 8 2 2 2 2" xfId="5480" xr:uid="{00000000-0005-0000-0000-0000F5D80000}"/>
    <cellStyle name="Normal 8 2 2 2 2 2" xfId="5481" xr:uid="{00000000-0005-0000-0000-0000F6D80000}"/>
    <cellStyle name="Normal 8 2 2 2 2 2 2" xfId="5482" xr:uid="{00000000-0005-0000-0000-0000F7D80000}"/>
    <cellStyle name="Normal 8 2 2 2 2 3" xfId="5483" xr:uid="{00000000-0005-0000-0000-0000F8D80000}"/>
    <cellStyle name="Normal 8 2 2 2 3" xfId="5484" xr:uid="{00000000-0005-0000-0000-0000F9D80000}"/>
    <cellStyle name="Normal 8 2 2 2 3 2" xfId="5485" xr:uid="{00000000-0005-0000-0000-0000FAD80000}"/>
    <cellStyle name="Normal 8 2 2 2 4" xfId="5486" xr:uid="{00000000-0005-0000-0000-0000FBD80000}"/>
    <cellStyle name="Normal 8 2 2 2 5" xfId="60181" xr:uid="{00000000-0005-0000-0000-0000FCD80000}"/>
    <cellStyle name="Normal 8 2 2 3" xfId="5487" xr:uid="{00000000-0005-0000-0000-0000FDD80000}"/>
    <cellStyle name="Normal 8 2 2 3 2" xfId="5488" xr:uid="{00000000-0005-0000-0000-0000FED80000}"/>
    <cellStyle name="Normal 8 2 2 3 2 2" xfId="5489" xr:uid="{00000000-0005-0000-0000-0000FFD80000}"/>
    <cellStyle name="Normal 8 2 2 3 3" xfId="5490" xr:uid="{00000000-0005-0000-0000-000000D90000}"/>
    <cellStyle name="Normal 8 2 2 4" xfId="5491" xr:uid="{00000000-0005-0000-0000-000001D90000}"/>
    <cellStyle name="Normal 8 2 2 4 2" xfId="5492" xr:uid="{00000000-0005-0000-0000-000002D90000}"/>
    <cellStyle name="Normal 8 2 2 5" xfId="5493" xr:uid="{00000000-0005-0000-0000-000003D90000}"/>
    <cellStyle name="Normal 8 2 2 6" xfId="60182" xr:uid="{00000000-0005-0000-0000-000004D90000}"/>
    <cellStyle name="Normal 8 2 3" xfId="5494" xr:uid="{00000000-0005-0000-0000-000005D90000}"/>
    <cellStyle name="Normal 8 2 3 2" xfId="5495" xr:uid="{00000000-0005-0000-0000-000006D90000}"/>
    <cellStyle name="Normal 8 2 3 2 2" xfId="5496" xr:uid="{00000000-0005-0000-0000-000007D90000}"/>
    <cellStyle name="Normal 8 2 3 2 2 2" xfId="5497" xr:uid="{00000000-0005-0000-0000-000008D90000}"/>
    <cellStyle name="Normal 8 2 3 2 3" xfId="5498" xr:uid="{00000000-0005-0000-0000-000009D90000}"/>
    <cellStyle name="Normal 8 2 3 3" xfId="5499" xr:uid="{00000000-0005-0000-0000-00000AD90000}"/>
    <cellStyle name="Normal 8 2 3 3 2" xfId="5500" xr:uid="{00000000-0005-0000-0000-00000BD90000}"/>
    <cellStyle name="Normal 8 2 3 4" xfId="5501" xr:uid="{00000000-0005-0000-0000-00000CD90000}"/>
    <cellStyle name="Normal 8 2 3 5" xfId="60183" xr:uid="{00000000-0005-0000-0000-00000DD90000}"/>
    <cellStyle name="Normal 8 2 4" xfId="5502" xr:uid="{00000000-0005-0000-0000-00000ED90000}"/>
    <cellStyle name="Normal 8 2 4 2" xfId="5503" xr:uid="{00000000-0005-0000-0000-00000FD90000}"/>
    <cellStyle name="Normal 8 2 4 2 2" xfId="5504" xr:uid="{00000000-0005-0000-0000-000010D90000}"/>
    <cellStyle name="Normal 8 2 4 3" xfId="5505" xr:uid="{00000000-0005-0000-0000-000011D90000}"/>
    <cellStyle name="Normal 8 2 5" xfId="5506" xr:uid="{00000000-0005-0000-0000-000012D90000}"/>
    <cellStyle name="Normal 8 2 5 2" xfId="5507" xr:uid="{00000000-0005-0000-0000-000013D90000}"/>
    <cellStyle name="Normal 8 2 6" xfId="5508" xr:uid="{00000000-0005-0000-0000-000014D90000}"/>
    <cellStyle name="Normal 8 2 7" xfId="5509" xr:uid="{00000000-0005-0000-0000-000015D90000}"/>
    <cellStyle name="Normal 8 2 8" xfId="60184" xr:uid="{00000000-0005-0000-0000-000016D90000}"/>
    <cellStyle name="Normal 8 3" xfId="5510" xr:uid="{00000000-0005-0000-0000-000017D90000}"/>
    <cellStyle name="Normal 8 3 2" xfId="5511" xr:uid="{00000000-0005-0000-0000-000018D90000}"/>
    <cellStyle name="Normal 8 3 2 2" xfId="5512" xr:uid="{00000000-0005-0000-0000-000019D90000}"/>
    <cellStyle name="Normal 8 3 2 2 2" xfId="5513" xr:uid="{00000000-0005-0000-0000-00001AD90000}"/>
    <cellStyle name="Normal 8 3 2 2 2 2" xfId="5514" xr:uid="{00000000-0005-0000-0000-00001BD90000}"/>
    <cellStyle name="Normal 8 3 2 2 3" xfId="5515" xr:uid="{00000000-0005-0000-0000-00001CD90000}"/>
    <cellStyle name="Normal 8 3 2 3" xfId="5516" xr:uid="{00000000-0005-0000-0000-00001DD90000}"/>
    <cellStyle name="Normal 8 3 2 3 2" xfId="5517" xr:uid="{00000000-0005-0000-0000-00001ED90000}"/>
    <cellStyle name="Normal 8 3 2 4" xfId="5518" xr:uid="{00000000-0005-0000-0000-00001FD90000}"/>
    <cellStyle name="Normal 8 3 2 5" xfId="60185" xr:uid="{00000000-0005-0000-0000-000020D90000}"/>
    <cellStyle name="Normal 8 3 3" xfId="5519" xr:uid="{00000000-0005-0000-0000-000021D90000}"/>
    <cellStyle name="Normal 8 3 3 2" xfId="5520" xr:uid="{00000000-0005-0000-0000-000022D90000}"/>
    <cellStyle name="Normal 8 3 3 2 2" xfId="5521" xr:uid="{00000000-0005-0000-0000-000023D90000}"/>
    <cellStyle name="Normal 8 3 3 3" xfId="5522" xr:uid="{00000000-0005-0000-0000-000024D90000}"/>
    <cellStyle name="Normal 8 3 4" xfId="5523" xr:uid="{00000000-0005-0000-0000-000025D90000}"/>
    <cellStyle name="Normal 8 3 4 2" xfId="5524" xr:uid="{00000000-0005-0000-0000-000026D90000}"/>
    <cellStyle name="Normal 8 3 5" xfId="5525" xr:uid="{00000000-0005-0000-0000-000027D90000}"/>
    <cellStyle name="Normal 8 3 6" xfId="60186" xr:uid="{00000000-0005-0000-0000-000028D90000}"/>
    <cellStyle name="Normal 8 4" xfId="5526" xr:uid="{00000000-0005-0000-0000-000029D90000}"/>
    <cellStyle name="Normal 8 4 2" xfId="5527" xr:uid="{00000000-0005-0000-0000-00002AD90000}"/>
    <cellStyle name="Normal 8 4 2 2" xfId="5528" xr:uid="{00000000-0005-0000-0000-00002BD90000}"/>
    <cellStyle name="Normal 8 4 2 2 2" xfId="5529" xr:uid="{00000000-0005-0000-0000-00002CD90000}"/>
    <cellStyle name="Normal 8 4 2 3" xfId="5530" xr:uid="{00000000-0005-0000-0000-00002DD90000}"/>
    <cellStyle name="Normal 8 4 3" xfId="5531" xr:uid="{00000000-0005-0000-0000-00002ED90000}"/>
    <cellStyle name="Normal 8 4 3 2" xfId="5532" xr:uid="{00000000-0005-0000-0000-00002FD90000}"/>
    <cellStyle name="Normal 8 4 4" xfId="5533" xr:uid="{00000000-0005-0000-0000-000030D90000}"/>
    <cellStyle name="Normal 8 4 5" xfId="60187" xr:uid="{00000000-0005-0000-0000-000031D90000}"/>
    <cellStyle name="Normal 8 5" xfId="5534" xr:uid="{00000000-0005-0000-0000-000032D90000}"/>
    <cellStyle name="Normal 8 5 2" xfId="5535" xr:uid="{00000000-0005-0000-0000-000033D90000}"/>
    <cellStyle name="Normal 8 5 2 2" xfId="5536" xr:uid="{00000000-0005-0000-0000-000034D90000}"/>
    <cellStyle name="Normal 8 5 3" xfId="5537" xr:uid="{00000000-0005-0000-0000-000035D90000}"/>
    <cellStyle name="Normal 8 6" xfId="5538" xr:uid="{00000000-0005-0000-0000-000036D90000}"/>
    <cellStyle name="Normal 8 6 2" xfId="5539" xr:uid="{00000000-0005-0000-0000-000037D90000}"/>
    <cellStyle name="Normal 8 7" xfId="5540" xr:uid="{00000000-0005-0000-0000-000038D90000}"/>
    <cellStyle name="Normal 8 8" xfId="5541" xr:uid="{00000000-0005-0000-0000-000039D90000}"/>
    <cellStyle name="Normal 8_183302" xfId="8776" xr:uid="{00000000-0005-0000-0000-00003AD90000}"/>
    <cellStyle name="Normal 80" xfId="60188" xr:uid="{00000000-0005-0000-0000-00003BD90000}"/>
    <cellStyle name="Normal 81" xfId="60189" xr:uid="{00000000-0005-0000-0000-00003CD90000}"/>
    <cellStyle name="Normal 82" xfId="60190" xr:uid="{00000000-0005-0000-0000-00003DD90000}"/>
    <cellStyle name="Normal 83" xfId="60191" xr:uid="{00000000-0005-0000-0000-00003ED90000}"/>
    <cellStyle name="Normal 84" xfId="61971" xr:uid="{00000000-0005-0000-0000-00003FD90000}"/>
    <cellStyle name="Normal 85" xfId="61973" xr:uid="{00000000-0005-0000-0000-000040D90000}"/>
    <cellStyle name="Normal 86" xfId="61975" xr:uid="{00000000-0005-0000-0000-000041D90000}"/>
    <cellStyle name="Normal 86 2" xfId="61978" xr:uid="{00000000-0005-0000-0000-000042D90000}"/>
    <cellStyle name="Normal 9" xfId="5542" xr:uid="{00000000-0005-0000-0000-000043D90000}"/>
    <cellStyle name="Normal 9 2" xfId="5543" xr:uid="{00000000-0005-0000-0000-000044D90000}"/>
    <cellStyle name="Normal 9 2 2" xfId="5544" xr:uid="{00000000-0005-0000-0000-000045D90000}"/>
    <cellStyle name="Normal 9 2 2 2" xfId="5545" xr:uid="{00000000-0005-0000-0000-000046D90000}"/>
    <cellStyle name="Normal 9 2 2 2 2" xfId="5546" xr:uid="{00000000-0005-0000-0000-000047D90000}"/>
    <cellStyle name="Normal 9 2 2 2 2 2" xfId="5547" xr:uid="{00000000-0005-0000-0000-000048D90000}"/>
    <cellStyle name="Normal 9 2 2 2 2 2 2" xfId="5548" xr:uid="{00000000-0005-0000-0000-000049D90000}"/>
    <cellStyle name="Normal 9 2 2 2 2 3" xfId="5549" xr:uid="{00000000-0005-0000-0000-00004AD90000}"/>
    <cellStyle name="Normal 9 2 2 2 2 4" xfId="9292" xr:uid="{00000000-0005-0000-0000-00004BD90000}"/>
    <cellStyle name="Normal 9 2 2 2 3" xfId="5550" xr:uid="{00000000-0005-0000-0000-00004CD90000}"/>
    <cellStyle name="Normal 9 2 2 2 3 2" xfId="5551" xr:uid="{00000000-0005-0000-0000-00004DD90000}"/>
    <cellStyle name="Normal 9 2 2 2 4" xfId="5552" xr:uid="{00000000-0005-0000-0000-00004ED90000}"/>
    <cellStyle name="Normal 9 2 2 2 5" xfId="5553" xr:uid="{00000000-0005-0000-0000-00004FD90000}"/>
    <cellStyle name="Normal 9 2 2 2 6" xfId="9293" xr:uid="{00000000-0005-0000-0000-000050D90000}"/>
    <cellStyle name="Normal 9 2 2 3" xfId="5554" xr:uid="{00000000-0005-0000-0000-000051D90000}"/>
    <cellStyle name="Normal 9 2 2 3 2" xfId="5555" xr:uid="{00000000-0005-0000-0000-000052D90000}"/>
    <cellStyle name="Normal 9 2 2 3 2 2" xfId="5556" xr:uid="{00000000-0005-0000-0000-000053D90000}"/>
    <cellStyle name="Normal 9 2 2 3 3" xfId="5557" xr:uid="{00000000-0005-0000-0000-000054D90000}"/>
    <cellStyle name="Normal 9 2 2 3 4" xfId="9294" xr:uid="{00000000-0005-0000-0000-000055D90000}"/>
    <cellStyle name="Normal 9 2 2 4" xfId="5558" xr:uid="{00000000-0005-0000-0000-000056D90000}"/>
    <cellStyle name="Normal 9 2 2 4 2" xfId="5559" xr:uid="{00000000-0005-0000-0000-000057D90000}"/>
    <cellStyle name="Normal 9 2 2 5" xfId="5560" xr:uid="{00000000-0005-0000-0000-000058D90000}"/>
    <cellStyle name="Normal 9 2 2 6" xfId="5561" xr:uid="{00000000-0005-0000-0000-000059D90000}"/>
    <cellStyle name="Normal 9 2 2 7" xfId="9295" xr:uid="{00000000-0005-0000-0000-00005AD90000}"/>
    <cellStyle name="Normal 9 2 3" xfId="5562" xr:uid="{00000000-0005-0000-0000-00005BD90000}"/>
    <cellStyle name="Normal 9 2 3 2" xfId="5563" xr:uid="{00000000-0005-0000-0000-00005CD90000}"/>
    <cellStyle name="Normal 9 2 3 2 2" xfId="5564" xr:uid="{00000000-0005-0000-0000-00005DD90000}"/>
    <cellStyle name="Normal 9 2 3 2 2 2" xfId="5565" xr:uid="{00000000-0005-0000-0000-00005ED90000}"/>
    <cellStyle name="Normal 9 2 3 2 3" xfId="5566" xr:uid="{00000000-0005-0000-0000-00005FD90000}"/>
    <cellStyle name="Normal 9 2 3 2 4" xfId="9296" xr:uid="{00000000-0005-0000-0000-000060D90000}"/>
    <cellStyle name="Normal 9 2 3 3" xfId="5567" xr:uid="{00000000-0005-0000-0000-000061D90000}"/>
    <cellStyle name="Normal 9 2 3 3 2" xfId="5568" xr:uid="{00000000-0005-0000-0000-000062D90000}"/>
    <cellStyle name="Normal 9 2 3 4" xfId="5569" xr:uid="{00000000-0005-0000-0000-000063D90000}"/>
    <cellStyle name="Normal 9 2 3 5" xfId="5570" xr:uid="{00000000-0005-0000-0000-000064D90000}"/>
    <cellStyle name="Normal 9 2 3 6" xfId="9297" xr:uid="{00000000-0005-0000-0000-000065D90000}"/>
    <cellStyle name="Normal 9 2 4" xfId="5571" xr:uid="{00000000-0005-0000-0000-000066D90000}"/>
    <cellStyle name="Normal 9 2 4 2" xfId="5572" xr:uid="{00000000-0005-0000-0000-000067D90000}"/>
    <cellStyle name="Normal 9 2 4 2 2" xfId="5573" xr:uid="{00000000-0005-0000-0000-000068D90000}"/>
    <cellStyle name="Normal 9 2 4 3" xfId="5574" xr:uid="{00000000-0005-0000-0000-000069D90000}"/>
    <cellStyle name="Normal 9 2 4 4" xfId="9298" xr:uid="{00000000-0005-0000-0000-00006AD90000}"/>
    <cellStyle name="Normal 9 2 5" xfId="5575" xr:uid="{00000000-0005-0000-0000-00006BD90000}"/>
    <cellStyle name="Normal 9 2 5 2" xfId="5576" xr:uid="{00000000-0005-0000-0000-00006CD90000}"/>
    <cellStyle name="Normal 9 2 6" xfId="5577" xr:uid="{00000000-0005-0000-0000-00006DD90000}"/>
    <cellStyle name="Normal 9 2 7" xfId="5578" xr:uid="{00000000-0005-0000-0000-00006ED90000}"/>
    <cellStyle name="Normal 9 2 8" xfId="9299" xr:uid="{00000000-0005-0000-0000-00006FD90000}"/>
    <cellStyle name="Normal 9 3" xfId="5579" xr:uid="{00000000-0005-0000-0000-000070D90000}"/>
    <cellStyle name="Normal 9 3 2" xfId="5580" xr:uid="{00000000-0005-0000-0000-000071D90000}"/>
    <cellStyle name="Normal 9 3 2 2" xfId="5581" xr:uid="{00000000-0005-0000-0000-000072D90000}"/>
    <cellStyle name="Normal 9 3 2 2 2" xfId="5582" xr:uid="{00000000-0005-0000-0000-000073D90000}"/>
    <cellStyle name="Normal 9 3 2 2 2 2" xfId="5583" xr:uid="{00000000-0005-0000-0000-000074D90000}"/>
    <cellStyle name="Normal 9 3 2 2 3" xfId="5584" xr:uid="{00000000-0005-0000-0000-000075D90000}"/>
    <cellStyle name="Normal 9 3 2 2 4" xfId="9300" xr:uid="{00000000-0005-0000-0000-000076D90000}"/>
    <cellStyle name="Normal 9 3 2 3" xfId="5585" xr:uid="{00000000-0005-0000-0000-000077D90000}"/>
    <cellStyle name="Normal 9 3 2 3 2" xfId="5586" xr:uid="{00000000-0005-0000-0000-000078D90000}"/>
    <cellStyle name="Normal 9 3 2 4" xfId="5587" xr:uid="{00000000-0005-0000-0000-000079D90000}"/>
    <cellStyle name="Normal 9 3 2 5" xfId="5588" xr:uid="{00000000-0005-0000-0000-00007AD90000}"/>
    <cellStyle name="Normal 9 3 2 6" xfId="9301" xr:uid="{00000000-0005-0000-0000-00007BD90000}"/>
    <cellStyle name="Normal 9 3 3" xfId="5589" xr:uid="{00000000-0005-0000-0000-00007CD90000}"/>
    <cellStyle name="Normal 9 3 3 2" xfId="5590" xr:uid="{00000000-0005-0000-0000-00007DD90000}"/>
    <cellStyle name="Normal 9 3 3 2 2" xfId="5591" xr:uid="{00000000-0005-0000-0000-00007ED90000}"/>
    <cellStyle name="Normal 9 3 3 3" xfId="5592" xr:uid="{00000000-0005-0000-0000-00007FD90000}"/>
    <cellStyle name="Normal 9 3 3 4" xfId="9302" xr:uid="{00000000-0005-0000-0000-000080D90000}"/>
    <cellStyle name="Normal 9 3 4" xfId="5593" xr:uid="{00000000-0005-0000-0000-000081D90000}"/>
    <cellStyle name="Normal 9 3 4 2" xfId="5594" xr:uid="{00000000-0005-0000-0000-000082D90000}"/>
    <cellStyle name="Normal 9 3 5" xfId="5595" xr:uid="{00000000-0005-0000-0000-000083D90000}"/>
    <cellStyle name="Normal 9 3 6" xfId="5596" xr:uid="{00000000-0005-0000-0000-000084D90000}"/>
    <cellStyle name="Normal 9 3 7" xfId="9303" xr:uid="{00000000-0005-0000-0000-000085D90000}"/>
    <cellStyle name="Normal 9 4" xfId="5597" xr:uid="{00000000-0005-0000-0000-000086D90000}"/>
    <cellStyle name="Normal 9 4 2" xfId="5598" xr:uid="{00000000-0005-0000-0000-000087D90000}"/>
    <cellStyle name="Normal 9 4 2 2" xfId="5599" xr:uid="{00000000-0005-0000-0000-000088D90000}"/>
    <cellStyle name="Normal 9 4 2 2 2" xfId="5600" xr:uid="{00000000-0005-0000-0000-000089D90000}"/>
    <cellStyle name="Normal 9 4 2 3" xfId="5601" xr:uid="{00000000-0005-0000-0000-00008AD90000}"/>
    <cellStyle name="Normal 9 4 2 4" xfId="9304" xr:uid="{00000000-0005-0000-0000-00008BD90000}"/>
    <cellStyle name="Normal 9 4 3" xfId="5602" xr:uid="{00000000-0005-0000-0000-00008CD90000}"/>
    <cellStyle name="Normal 9 4 3 2" xfId="5603" xr:uid="{00000000-0005-0000-0000-00008DD90000}"/>
    <cellStyle name="Normal 9 4 4" xfId="5604" xr:uid="{00000000-0005-0000-0000-00008ED90000}"/>
    <cellStyle name="Normal 9 4 5" xfId="5605" xr:uid="{00000000-0005-0000-0000-00008FD90000}"/>
    <cellStyle name="Normal 9 4 6" xfId="9305" xr:uid="{00000000-0005-0000-0000-000090D90000}"/>
    <cellStyle name="Normal 9 5" xfId="5606" xr:uid="{00000000-0005-0000-0000-000091D90000}"/>
    <cellStyle name="Normal 9 5 2" xfId="5607" xr:uid="{00000000-0005-0000-0000-000092D90000}"/>
    <cellStyle name="Normal 9 5 2 2" xfId="5608" xr:uid="{00000000-0005-0000-0000-000093D90000}"/>
    <cellStyle name="Normal 9 5 3" xfId="5609" xr:uid="{00000000-0005-0000-0000-000094D90000}"/>
    <cellStyle name="Normal 9 5 4" xfId="9306" xr:uid="{00000000-0005-0000-0000-000095D90000}"/>
    <cellStyle name="Normal 9 6" xfId="5610" xr:uid="{00000000-0005-0000-0000-000096D90000}"/>
    <cellStyle name="Normal 9 6 2" xfId="5611" xr:uid="{00000000-0005-0000-0000-000097D90000}"/>
    <cellStyle name="Normal 9 7" xfId="5612" xr:uid="{00000000-0005-0000-0000-000098D90000}"/>
    <cellStyle name="Normal 9 8" xfId="5613" xr:uid="{00000000-0005-0000-0000-000099D90000}"/>
    <cellStyle name="Normal 9 9" xfId="9307" xr:uid="{00000000-0005-0000-0000-00009AD90000}"/>
    <cellStyle name="Normal_AFUDC Dec 2008 Balance by Acct Rev" xfId="61980" xr:uid="{00000000-0005-0000-0000-00009BD90000}"/>
    <cellStyle name="Normal_KU COS Print File 2003q3" xfId="8670" xr:uid="{00000000-0005-0000-0000-00009CD90000}"/>
    <cellStyle name="Normal_KU ESM Forms 2001(Final Order 10-16-02)" xfId="9375" xr:uid="{00000000-0005-0000-0000-00009DD90000}"/>
    <cellStyle name="Normal_Schedules A thru L Cost of Servive June 30, 2009" xfId="8677" xr:uid="{00000000-0005-0000-0000-00009ED90000}"/>
    <cellStyle name="Note 10" xfId="5614" xr:uid="{00000000-0005-0000-0000-00009FD90000}"/>
    <cellStyle name="Note 10 10" xfId="5615" xr:uid="{00000000-0005-0000-0000-0000A0D90000}"/>
    <cellStyle name="Note 10 10 2" xfId="60192" xr:uid="{00000000-0005-0000-0000-0000A1D90000}"/>
    <cellStyle name="Note 10 11" xfId="5616" xr:uid="{00000000-0005-0000-0000-0000A2D90000}"/>
    <cellStyle name="Note 10 12" xfId="60193" xr:uid="{00000000-0005-0000-0000-0000A3D90000}"/>
    <cellStyle name="Note 10 13" xfId="60194" xr:uid="{00000000-0005-0000-0000-0000A4D90000}"/>
    <cellStyle name="Note 10 2" xfId="5617" xr:uid="{00000000-0005-0000-0000-0000A5D90000}"/>
    <cellStyle name="Note 10 2 10" xfId="5618" xr:uid="{00000000-0005-0000-0000-0000A6D90000}"/>
    <cellStyle name="Note 10 2 2" xfId="5619" xr:uid="{00000000-0005-0000-0000-0000A7D90000}"/>
    <cellStyle name="Note 10 2 2 2" xfId="60195" xr:uid="{00000000-0005-0000-0000-0000A8D90000}"/>
    <cellStyle name="Note 10 2 3" xfId="5620" xr:uid="{00000000-0005-0000-0000-0000A9D90000}"/>
    <cellStyle name="Note 10 2 3 2" xfId="60196" xr:uid="{00000000-0005-0000-0000-0000AAD90000}"/>
    <cellStyle name="Note 10 2 4" xfId="5621" xr:uid="{00000000-0005-0000-0000-0000ABD90000}"/>
    <cellStyle name="Note 10 2 4 2" xfId="60197" xr:uid="{00000000-0005-0000-0000-0000ACD90000}"/>
    <cellStyle name="Note 10 2 5" xfId="5622" xr:uid="{00000000-0005-0000-0000-0000ADD90000}"/>
    <cellStyle name="Note 10 2 5 2" xfId="60198" xr:uid="{00000000-0005-0000-0000-0000AED90000}"/>
    <cellStyle name="Note 10 2 6" xfId="5623" xr:uid="{00000000-0005-0000-0000-0000AFD90000}"/>
    <cellStyle name="Note 10 2 6 2" xfId="60199" xr:uid="{00000000-0005-0000-0000-0000B0D90000}"/>
    <cellStyle name="Note 10 2 7" xfId="5624" xr:uid="{00000000-0005-0000-0000-0000B1D90000}"/>
    <cellStyle name="Note 10 2 7 2" xfId="60200" xr:uid="{00000000-0005-0000-0000-0000B2D90000}"/>
    <cellStyle name="Note 10 2 8" xfId="5625" xr:uid="{00000000-0005-0000-0000-0000B3D90000}"/>
    <cellStyle name="Note 10 2 8 2" xfId="60201" xr:uid="{00000000-0005-0000-0000-0000B4D90000}"/>
    <cellStyle name="Note 10 2 9" xfId="5626" xr:uid="{00000000-0005-0000-0000-0000B5D90000}"/>
    <cellStyle name="Note 10 2 9 2" xfId="60202" xr:uid="{00000000-0005-0000-0000-0000B6D90000}"/>
    <cellStyle name="Note 10 3" xfId="5627" xr:uid="{00000000-0005-0000-0000-0000B7D90000}"/>
    <cellStyle name="Note 10 3 2" xfId="60203" xr:uid="{00000000-0005-0000-0000-0000B8D90000}"/>
    <cellStyle name="Note 10 4" xfId="5628" xr:uid="{00000000-0005-0000-0000-0000B9D90000}"/>
    <cellStyle name="Note 10 4 2" xfId="60204" xr:uid="{00000000-0005-0000-0000-0000BAD90000}"/>
    <cellStyle name="Note 10 5" xfId="5629" xr:uid="{00000000-0005-0000-0000-0000BBD90000}"/>
    <cellStyle name="Note 10 5 2" xfId="60205" xr:uid="{00000000-0005-0000-0000-0000BCD90000}"/>
    <cellStyle name="Note 10 6" xfId="5630" xr:uid="{00000000-0005-0000-0000-0000BDD90000}"/>
    <cellStyle name="Note 10 6 2" xfId="60206" xr:uid="{00000000-0005-0000-0000-0000BED90000}"/>
    <cellStyle name="Note 10 7" xfId="5631" xr:uid="{00000000-0005-0000-0000-0000BFD90000}"/>
    <cellStyle name="Note 10 7 2" xfId="60207" xr:uid="{00000000-0005-0000-0000-0000C0D90000}"/>
    <cellStyle name="Note 10 8" xfId="5632" xr:uid="{00000000-0005-0000-0000-0000C1D90000}"/>
    <cellStyle name="Note 10 8 2" xfId="60208" xr:uid="{00000000-0005-0000-0000-0000C2D90000}"/>
    <cellStyle name="Note 10 9" xfId="5633" xr:uid="{00000000-0005-0000-0000-0000C3D90000}"/>
    <cellStyle name="Note 10 9 2" xfId="60209" xr:uid="{00000000-0005-0000-0000-0000C4D90000}"/>
    <cellStyle name="Note 11" xfId="5634" xr:uid="{00000000-0005-0000-0000-0000C5D90000}"/>
    <cellStyle name="Note 11 10" xfId="5635" xr:uid="{00000000-0005-0000-0000-0000C6D90000}"/>
    <cellStyle name="Note 11 10 2" xfId="60210" xr:uid="{00000000-0005-0000-0000-0000C7D90000}"/>
    <cellStyle name="Note 11 11" xfId="5636" xr:uid="{00000000-0005-0000-0000-0000C8D90000}"/>
    <cellStyle name="Note 11 12" xfId="60211" xr:uid="{00000000-0005-0000-0000-0000C9D90000}"/>
    <cellStyle name="Note 11 13" xfId="60212" xr:uid="{00000000-0005-0000-0000-0000CAD90000}"/>
    <cellStyle name="Note 11 2" xfId="5637" xr:uid="{00000000-0005-0000-0000-0000CBD90000}"/>
    <cellStyle name="Note 11 2 10" xfId="5638" xr:uid="{00000000-0005-0000-0000-0000CCD90000}"/>
    <cellStyle name="Note 11 2 2" xfId="5639" xr:uid="{00000000-0005-0000-0000-0000CDD90000}"/>
    <cellStyle name="Note 11 2 2 2" xfId="60213" xr:uid="{00000000-0005-0000-0000-0000CED90000}"/>
    <cellStyle name="Note 11 2 3" xfId="5640" xr:uid="{00000000-0005-0000-0000-0000CFD90000}"/>
    <cellStyle name="Note 11 2 3 2" xfId="60214" xr:uid="{00000000-0005-0000-0000-0000D0D90000}"/>
    <cellStyle name="Note 11 2 4" xfId="5641" xr:uid="{00000000-0005-0000-0000-0000D1D90000}"/>
    <cellStyle name="Note 11 2 4 2" xfId="60215" xr:uid="{00000000-0005-0000-0000-0000D2D90000}"/>
    <cellStyle name="Note 11 2 5" xfId="5642" xr:uid="{00000000-0005-0000-0000-0000D3D90000}"/>
    <cellStyle name="Note 11 2 5 2" xfId="60216" xr:uid="{00000000-0005-0000-0000-0000D4D90000}"/>
    <cellStyle name="Note 11 2 6" xfId="5643" xr:uid="{00000000-0005-0000-0000-0000D5D90000}"/>
    <cellStyle name="Note 11 2 6 2" xfId="60217" xr:uid="{00000000-0005-0000-0000-0000D6D90000}"/>
    <cellStyle name="Note 11 2 7" xfId="5644" xr:uid="{00000000-0005-0000-0000-0000D7D90000}"/>
    <cellStyle name="Note 11 2 7 2" xfId="60218" xr:uid="{00000000-0005-0000-0000-0000D8D90000}"/>
    <cellStyle name="Note 11 2 8" xfId="5645" xr:uid="{00000000-0005-0000-0000-0000D9D90000}"/>
    <cellStyle name="Note 11 2 8 2" xfId="60219" xr:uid="{00000000-0005-0000-0000-0000DAD90000}"/>
    <cellStyle name="Note 11 2 9" xfId="5646" xr:uid="{00000000-0005-0000-0000-0000DBD90000}"/>
    <cellStyle name="Note 11 2 9 2" xfId="60220" xr:uid="{00000000-0005-0000-0000-0000DCD90000}"/>
    <cellStyle name="Note 11 3" xfId="5647" xr:uid="{00000000-0005-0000-0000-0000DDD90000}"/>
    <cellStyle name="Note 11 3 2" xfId="60221" xr:uid="{00000000-0005-0000-0000-0000DED90000}"/>
    <cellStyle name="Note 11 4" xfId="5648" xr:uid="{00000000-0005-0000-0000-0000DFD90000}"/>
    <cellStyle name="Note 11 4 2" xfId="60222" xr:uid="{00000000-0005-0000-0000-0000E0D90000}"/>
    <cellStyle name="Note 11 5" xfId="5649" xr:uid="{00000000-0005-0000-0000-0000E1D90000}"/>
    <cellStyle name="Note 11 5 2" xfId="60223" xr:uid="{00000000-0005-0000-0000-0000E2D90000}"/>
    <cellStyle name="Note 11 6" xfId="5650" xr:uid="{00000000-0005-0000-0000-0000E3D90000}"/>
    <cellStyle name="Note 11 6 2" xfId="60224" xr:uid="{00000000-0005-0000-0000-0000E4D90000}"/>
    <cellStyle name="Note 11 7" xfId="5651" xr:uid="{00000000-0005-0000-0000-0000E5D90000}"/>
    <cellStyle name="Note 11 7 2" xfId="60225" xr:uid="{00000000-0005-0000-0000-0000E6D90000}"/>
    <cellStyle name="Note 11 8" xfId="5652" xr:uid="{00000000-0005-0000-0000-0000E7D90000}"/>
    <cellStyle name="Note 11 8 2" xfId="60226" xr:uid="{00000000-0005-0000-0000-0000E8D90000}"/>
    <cellStyle name="Note 11 9" xfId="5653" xr:uid="{00000000-0005-0000-0000-0000E9D90000}"/>
    <cellStyle name="Note 11 9 2" xfId="60227" xr:uid="{00000000-0005-0000-0000-0000EAD90000}"/>
    <cellStyle name="Note 12" xfId="5654" xr:uid="{00000000-0005-0000-0000-0000EBD90000}"/>
    <cellStyle name="Note 12 10" xfId="5655" xr:uid="{00000000-0005-0000-0000-0000ECD90000}"/>
    <cellStyle name="Note 12 10 2" xfId="60228" xr:uid="{00000000-0005-0000-0000-0000EDD90000}"/>
    <cellStyle name="Note 12 11" xfId="5656" xr:uid="{00000000-0005-0000-0000-0000EED90000}"/>
    <cellStyle name="Note 12 12" xfId="60229" xr:uid="{00000000-0005-0000-0000-0000EFD90000}"/>
    <cellStyle name="Note 12 13" xfId="60230" xr:uid="{00000000-0005-0000-0000-0000F0D90000}"/>
    <cellStyle name="Note 12 2" xfId="5657" xr:uid="{00000000-0005-0000-0000-0000F1D90000}"/>
    <cellStyle name="Note 12 2 10" xfId="5658" xr:uid="{00000000-0005-0000-0000-0000F2D90000}"/>
    <cellStyle name="Note 12 2 2" xfId="5659" xr:uid="{00000000-0005-0000-0000-0000F3D90000}"/>
    <cellStyle name="Note 12 2 2 2" xfId="60231" xr:uid="{00000000-0005-0000-0000-0000F4D90000}"/>
    <cellStyle name="Note 12 2 3" xfId="5660" xr:uid="{00000000-0005-0000-0000-0000F5D90000}"/>
    <cellStyle name="Note 12 2 3 2" xfId="60232" xr:uid="{00000000-0005-0000-0000-0000F6D90000}"/>
    <cellStyle name="Note 12 2 4" xfId="5661" xr:uid="{00000000-0005-0000-0000-0000F7D90000}"/>
    <cellStyle name="Note 12 2 4 2" xfId="60233" xr:uid="{00000000-0005-0000-0000-0000F8D90000}"/>
    <cellStyle name="Note 12 2 5" xfId="5662" xr:uid="{00000000-0005-0000-0000-0000F9D90000}"/>
    <cellStyle name="Note 12 2 5 2" xfId="60234" xr:uid="{00000000-0005-0000-0000-0000FAD90000}"/>
    <cellStyle name="Note 12 2 6" xfId="5663" xr:uid="{00000000-0005-0000-0000-0000FBD90000}"/>
    <cellStyle name="Note 12 2 6 2" xfId="60235" xr:uid="{00000000-0005-0000-0000-0000FCD90000}"/>
    <cellStyle name="Note 12 2 7" xfId="5664" xr:uid="{00000000-0005-0000-0000-0000FDD90000}"/>
    <cellStyle name="Note 12 2 7 2" xfId="60236" xr:uid="{00000000-0005-0000-0000-0000FED90000}"/>
    <cellStyle name="Note 12 2 8" xfId="5665" xr:uid="{00000000-0005-0000-0000-0000FFD90000}"/>
    <cellStyle name="Note 12 2 8 2" xfId="60237" xr:uid="{00000000-0005-0000-0000-000000DA0000}"/>
    <cellStyle name="Note 12 2 9" xfId="5666" xr:uid="{00000000-0005-0000-0000-000001DA0000}"/>
    <cellStyle name="Note 12 2 9 2" xfId="60238" xr:uid="{00000000-0005-0000-0000-000002DA0000}"/>
    <cellStyle name="Note 12 3" xfId="5667" xr:uid="{00000000-0005-0000-0000-000003DA0000}"/>
    <cellStyle name="Note 12 3 2" xfId="60239" xr:uid="{00000000-0005-0000-0000-000004DA0000}"/>
    <cellStyle name="Note 12 4" xfId="5668" xr:uid="{00000000-0005-0000-0000-000005DA0000}"/>
    <cellStyle name="Note 12 4 2" xfId="60240" xr:uid="{00000000-0005-0000-0000-000006DA0000}"/>
    <cellStyle name="Note 12 5" xfId="5669" xr:uid="{00000000-0005-0000-0000-000007DA0000}"/>
    <cellStyle name="Note 12 5 2" xfId="60241" xr:uid="{00000000-0005-0000-0000-000008DA0000}"/>
    <cellStyle name="Note 12 6" xfId="5670" xr:uid="{00000000-0005-0000-0000-000009DA0000}"/>
    <cellStyle name="Note 12 6 2" xfId="60242" xr:uid="{00000000-0005-0000-0000-00000ADA0000}"/>
    <cellStyle name="Note 12 7" xfId="5671" xr:uid="{00000000-0005-0000-0000-00000BDA0000}"/>
    <cellStyle name="Note 12 7 2" xfId="60243" xr:uid="{00000000-0005-0000-0000-00000CDA0000}"/>
    <cellStyle name="Note 12 8" xfId="5672" xr:uid="{00000000-0005-0000-0000-00000DDA0000}"/>
    <cellStyle name="Note 12 8 2" xfId="60244" xr:uid="{00000000-0005-0000-0000-00000EDA0000}"/>
    <cellStyle name="Note 12 9" xfId="5673" xr:uid="{00000000-0005-0000-0000-00000FDA0000}"/>
    <cellStyle name="Note 12 9 2" xfId="60245" xr:uid="{00000000-0005-0000-0000-000010DA0000}"/>
    <cellStyle name="Note 13" xfId="5674" xr:uid="{00000000-0005-0000-0000-000011DA0000}"/>
    <cellStyle name="Note 13 10" xfId="5675" xr:uid="{00000000-0005-0000-0000-000012DA0000}"/>
    <cellStyle name="Note 13 10 2" xfId="60246" xr:uid="{00000000-0005-0000-0000-000013DA0000}"/>
    <cellStyle name="Note 13 11" xfId="5676" xr:uid="{00000000-0005-0000-0000-000014DA0000}"/>
    <cellStyle name="Note 13 12" xfId="60247" xr:uid="{00000000-0005-0000-0000-000015DA0000}"/>
    <cellStyle name="Note 13 13" xfId="60248" xr:uid="{00000000-0005-0000-0000-000016DA0000}"/>
    <cellStyle name="Note 13 2" xfId="5677" xr:uid="{00000000-0005-0000-0000-000017DA0000}"/>
    <cellStyle name="Note 13 2 10" xfId="5678" xr:uid="{00000000-0005-0000-0000-000018DA0000}"/>
    <cellStyle name="Note 13 2 2" xfId="5679" xr:uid="{00000000-0005-0000-0000-000019DA0000}"/>
    <cellStyle name="Note 13 2 2 2" xfId="60249" xr:uid="{00000000-0005-0000-0000-00001ADA0000}"/>
    <cellStyle name="Note 13 2 3" xfId="5680" xr:uid="{00000000-0005-0000-0000-00001BDA0000}"/>
    <cellStyle name="Note 13 2 3 2" xfId="60250" xr:uid="{00000000-0005-0000-0000-00001CDA0000}"/>
    <cellStyle name="Note 13 2 4" xfId="5681" xr:uid="{00000000-0005-0000-0000-00001DDA0000}"/>
    <cellStyle name="Note 13 2 4 2" xfId="60251" xr:uid="{00000000-0005-0000-0000-00001EDA0000}"/>
    <cellStyle name="Note 13 2 5" xfId="5682" xr:uid="{00000000-0005-0000-0000-00001FDA0000}"/>
    <cellStyle name="Note 13 2 5 2" xfId="60252" xr:uid="{00000000-0005-0000-0000-000020DA0000}"/>
    <cellStyle name="Note 13 2 6" xfId="5683" xr:uid="{00000000-0005-0000-0000-000021DA0000}"/>
    <cellStyle name="Note 13 2 6 2" xfId="60253" xr:uid="{00000000-0005-0000-0000-000022DA0000}"/>
    <cellStyle name="Note 13 2 7" xfId="5684" xr:uid="{00000000-0005-0000-0000-000023DA0000}"/>
    <cellStyle name="Note 13 2 7 2" xfId="60254" xr:uid="{00000000-0005-0000-0000-000024DA0000}"/>
    <cellStyle name="Note 13 2 8" xfId="5685" xr:uid="{00000000-0005-0000-0000-000025DA0000}"/>
    <cellStyle name="Note 13 2 8 2" xfId="60255" xr:uid="{00000000-0005-0000-0000-000026DA0000}"/>
    <cellStyle name="Note 13 2 9" xfId="5686" xr:uid="{00000000-0005-0000-0000-000027DA0000}"/>
    <cellStyle name="Note 13 2 9 2" xfId="60256" xr:uid="{00000000-0005-0000-0000-000028DA0000}"/>
    <cellStyle name="Note 13 3" xfId="5687" xr:uid="{00000000-0005-0000-0000-000029DA0000}"/>
    <cellStyle name="Note 13 3 2" xfId="60257" xr:uid="{00000000-0005-0000-0000-00002ADA0000}"/>
    <cellStyle name="Note 13 4" xfId="5688" xr:uid="{00000000-0005-0000-0000-00002BDA0000}"/>
    <cellStyle name="Note 13 4 2" xfId="60258" xr:uid="{00000000-0005-0000-0000-00002CDA0000}"/>
    <cellStyle name="Note 13 5" xfId="5689" xr:uid="{00000000-0005-0000-0000-00002DDA0000}"/>
    <cellStyle name="Note 13 5 2" xfId="60259" xr:uid="{00000000-0005-0000-0000-00002EDA0000}"/>
    <cellStyle name="Note 13 6" xfId="5690" xr:uid="{00000000-0005-0000-0000-00002FDA0000}"/>
    <cellStyle name="Note 13 6 2" xfId="60260" xr:uid="{00000000-0005-0000-0000-000030DA0000}"/>
    <cellStyle name="Note 13 7" xfId="5691" xr:uid="{00000000-0005-0000-0000-000031DA0000}"/>
    <cellStyle name="Note 13 7 2" xfId="60261" xr:uid="{00000000-0005-0000-0000-000032DA0000}"/>
    <cellStyle name="Note 13 8" xfId="5692" xr:uid="{00000000-0005-0000-0000-000033DA0000}"/>
    <cellStyle name="Note 13 8 2" xfId="60262" xr:uid="{00000000-0005-0000-0000-000034DA0000}"/>
    <cellStyle name="Note 13 9" xfId="5693" xr:uid="{00000000-0005-0000-0000-000035DA0000}"/>
    <cellStyle name="Note 13 9 2" xfId="60263" xr:uid="{00000000-0005-0000-0000-000036DA0000}"/>
    <cellStyle name="Note 14" xfId="5694" xr:uid="{00000000-0005-0000-0000-000037DA0000}"/>
    <cellStyle name="Note 14 10" xfId="5695" xr:uid="{00000000-0005-0000-0000-000038DA0000}"/>
    <cellStyle name="Note 14 10 2" xfId="60264" xr:uid="{00000000-0005-0000-0000-000039DA0000}"/>
    <cellStyle name="Note 14 11" xfId="5696" xr:uid="{00000000-0005-0000-0000-00003ADA0000}"/>
    <cellStyle name="Note 14 12" xfId="60265" xr:uid="{00000000-0005-0000-0000-00003BDA0000}"/>
    <cellStyle name="Note 14 13" xfId="60266" xr:uid="{00000000-0005-0000-0000-00003CDA0000}"/>
    <cellStyle name="Note 14 2" xfId="5697" xr:uid="{00000000-0005-0000-0000-00003DDA0000}"/>
    <cellStyle name="Note 14 2 10" xfId="5698" xr:uid="{00000000-0005-0000-0000-00003EDA0000}"/>
    <cellStyle name="Note 14 2 2" xfId="5699" xr:uid="{00000000-0005-0000-0000-00003FDA0000}"/>
    <cellStyle name="Note 14 2 2 2" xfId="60267" xr:uid="{00000000-0005-0000-0000-000040DA0000}"/>
    <cellStyle name="Note 14 2 3" xfId="5700" xr:uid="{00000000-0005-0000-0000-000041DA0000}"/>
    <cellStyle name="Note 14 2 3 2" xfId="60268" xr:uid="{00000000-0005-0000-0000-000042DA0000}"/>
    <cellStyle name="Note 14 2 4" xfId="5701" xr:uid="{00000000-0005-0000-0000-000043DA0000}"/>
    <cellStyle name="Note 14 2 4 2" xfId="60269" xr:uid="{00000000-0005-0000-0000-000044DA0000}"/>
    <cellStyle name="Note 14 2 5" xfId="5702" xr:uid="{00000000-0005-0000-0000-000045DA0000}"/>
    <cellStyle name="Note 14 2 5 2" xfId="60270" xr:uid="{00000000-0005-0000-0000-000046DA0000}"/>
    <cellStyle name="Note 14 2 6" xfId="5703" xr:uid="{00000000-0005-0000-0000-000047DA0000}"/>
    <cellStyle name="Note 14 2 6 2" xfId="60271" xr:uid="{00000000-0005-0000-0000-000048DA0000}"/>
    <cellStyle name="Note 14 2 7" xfId="5704" xr:uid="{00000000-0005-0000-0000-000049DA0000}"/>
    <cellStyle name="Note 14 2 7 2" xfId="60272" xr:uid="{00000000-0005-0000-0000-00004ADA0000}"/>
    <cellStyle name="Note 14 2 8" xfId="5705" xr:uid="{00000000-0005-0000-0000-00004BDA0000}"/>
    <cellStyle name="Note 14 2 8 2" xfId="60273" xr:uid="{00000000-0005-0000-0000-00004CDA0000}"/>
    <cellStyle name="Note 14 2 9" xfId="5706" xr:uid="{00000000-0005-0000-0000-00004DDA0000}"/>
    <cellStyle name="Note 14 2 9 2" xfId="60274" xr:uid="{00000000-0005-0000-0000-00004EDA0000}"/>
    <cellStyle name="Note 14 3" xfId="5707" xr:uid="{00000000-0005-0000-0000-00004FDA0000}"/>
    <cellStyle name="Note 14 3 2" xfId="60275" xr:uid="{00000000-0005-0000-0000-000050DA0000}"/>
    <cellStyle name="Note 14 4" xfId="5708" xr:uid="{00000000-0005-0000-0000-000051DA0000}"/>
    <cellStyle name="Note 14 4 2" xfId="60276" xr:uid="{00000000-0005-0000-0000-000052DA0000}"/>
    <cellStyle name="Note 14 5" xfId="5709" xr:uid="{00000000-0005-0000-0000-000053DA0000}"/>
    <cellStyle name="Note 14 5 2" xfId="60277" xr:uid="{00000000-0005-0000-0000-000054DA0000}"/>
    <cellStyle name="Note 14 6" xfId="5710" xr:uid="{00000000-0005-0000-0000-000055DA0000}"/>
    <cellStyle name="Note 14 6 2" xfId="60278" xr:uid="{00000000-0005-0000-0000-000056DA0000}"/>
    <cellStyle name="Note 14 7" xfId="5711" xr:uid="{00000000-0005-0000-0000-000057DA0000}"/>
    <cellStyle name="Note 14 7 2" xfId="60279" xr:uid="{00000000-0005-0000-0000-000058DA0000}"/>
    <cellStyle name="Note 14 8" xfId="5712" xr:uid="{00000000-0005-0000-0000-000059DA0000}"/>
    <cellStyle name="Note 14 8 2" xfId="60280" xr:uid="{00000000-0005-0000-0000-00005ADA0000}"/>
    <cellStyle name="Note 14 9" xfId="5713" xr:uid="{00000000-0005-0000-0000-00005BDA0000}"/>
    <cellStyle name="Note 14 9 2" xfId="60281" xr:uid="{00000000-0005-0000-0000-00005CDA0000}"/>
    <cellStyle name="Note 15" xfId="5714" xr:uid="{00000000-0005-0000-0000-00005DDA0000}"/>
    <cellStyle name="Note 15 10" xfId="5715" xr:uid="{00000000-0005-0000-0000-00005EDA0000}"/>
    <cellStyle name="Note 15 10 2" xfId="60282" xr:uid="{00000000-0005-0000-0000-00005FDA0000}"/>
    <cellStyle name="Note 15 11" xfId="5716" xr:uid="{00000000-0005-0000-0000-000060DA0000}"/>
    <cellStyle name="Note 15 12" xfId="60283" xr:uid="{00000000-0005-0000-0000-000061DA0000}"/>
    <cellStyle name="Note 15 2" xfId="5717" xr:uid="{00000000-0005-0000-0000-000062DA0000}"/>
    <cellStyle name="Note 15 2 10" xfId="5718" xr:uid="{00000000-0005-0000-0000-000063DA0000}"/>
    <cellStyle name="Note 15 2 2" xfId="5719" xr:uid="{00000000-0005-0000-0000-000064DA0000}"/>
    <cellStyle name="Note 15 2 2 2" xfId="60284" xr:uid="{00000000-0005-0000-0000-000065DA0000}"/>
    <cellStyle name="Note 15 2 3" xfId="5720" xr:uid="{00000000-0005-0000-0000-000066DA0000}"/>
    <cellStyle name="Note 15 2 3 2" xfId="60285" xr:uid="{00000000-0005-0000-0000-000067DA0000}"/>
    <cellStyle name="Note 15 2 4" xfId="5721" xr:uid="{00000000-0005-0000-0000-000068DA0000}"/>
    <cellStyle name="Note 15 2 4 2" xfId="60286" xr:uid="{00000000-0005-0000-0000-000069DA0000}"/>
    <cellStyle name="Note 15 2 5" xfId="5722" xr:uid="{00000000-0005-0000-0000-00006ADA0000}"/>
    <cellStyle name="Note 15 2 5 2" xfId="60287" xr:uid="{00000000-0005-0000-0000-00006BDA0000}"/>
    <cellStyle name="Note 15 2 6" xfId="5723" xr:uid="{00000000-0005-0000-0000-00006CDA0000}"/>
    <cellStyle name="Note 15 2 6 2" xfId="60288" xr:uid="{00000000-0005-0000-0000-00006DDA0000}"/>
    <cellStyle name="Note 15 2 7" xfId="5724" xr:uid="{00000000-0005-0000-0000-00006EDA0000}"/>
    <cellStyle name="Note 15 2 7 2" xfId="60289" xr:uid="{00000000-0005-0000-0000-00006FDA0000}"/>
    <cellStyle name="Note 15 2 8" xfId="5725" xr:uid="{00000000-0005-0000-0000-000070DA0000}"/>
    <cellStyle name="Note 15 2 8 2" xfId="60290" xr:uid="{00000000-0005-0000-0000-000071DA0000}"/>
    <cellStyle name="Note 15 2 9" xfId="5726" xr:uid="{00000000-0005-0000-0000-000072DA0000}"/>
    <cellStyle name="Note 15 2 9 2" xfId="60291" xr:uid="{00000000-0005-0000-0000-000073DA0000}"/>
    <cellStyle name="Note 15 3" xfId="5727" xr:uid="{00000000-0005-0000-0000-000074DA0000}"/>
    <cellStyle name="Note 15 3 2" xfId="60292" xr:uid="{00000000-0005-0000-0000-000075DA0000}"/>
    <cellStyle name="Note 15 4" xfId="5728" xr:uid="{00000000-0005-0000-0000-000076DA0000}"/>
    <cellStyle name="Note 15 4 2" xfId="60293" xr:uid="{00000000-0005-0000-0000-000077DA0000}"/>
    <cellStyle name="Note 15 5" xfId="5729" xr:uid="{00000000-0005-0000-0000-000078DA0000}"/>
    <cellStyle name="Note 15 5 2" xfId="60294" xr:uid="{00000000-0005-0000-0000-000079DA0000}"/>
    <cellStyle name="Note 15 6" xfId="5730" xr:uid="{00000000-0005-0000-0000-00007ADA0000}"/>
    <cellStyle name="Note 15 6 2" xfId="60295" xr:uid="{00000000-0005-0000-0000-00007BDA0000}"/>
    <cellStyle name="Note 15 7" xfId="5731" xr:uid="{00000000-0005-0000-0000-00007CDA0000}"/>
    <cellStyle name="Note 15 7 2" xfId="60296" xr:uid="{00000000-0005-0000-0000-00007DDA0000}"/>
    <cellStyle name="Note 15 8" xfId="5732" xr:uid="{00000000-0005-0000-0000-00007EDA0000}"/>
    <cellStyle name="Note 15 8 2" xfId="60297" xr:uid="{00000000-0005-0000-0000-00007FDA0000}"/>
    <cellStyle name="Note 15 9" xfId="5733" xr:uid="{00000000-0005-0000-0000-000080DA0000}"/>
    <cellStyle name="Note 15 9 2" xfId="60298" xr:uid="{00000000-0005-0000-0000-000081DA0000}"/>
    <cellStyle name="Note 16" xfId="5734" xr:uid="{00000000-0005-0000-0000-000082DA0000}"/>
    <cellStyle name="Note 16 10" xfId="5735" xr:uid="{00000000-0005-0000-0000-000083DA0000}"/>
    <cellStyle name="Note 16 10 2" xfId="60299" xr:uid="{00000000-0005-0000-0000-000084DA0000}"/>
    <cellStyle name="Note 16 11" xfId="5736" xr:uid="{00000000-0005-0000-0000-000085DA0000}"/>
    <cellStyle name="Note 16 2" xfId="5737" xr:uid="{00000000-0005-0000-0000-000086DA0000}"/>
    <cellStyle name="Note 16 2 10" xfId="5738" xr:uid="{00000000-0005-0000-0000-000087DA0000}"/>
    <cellStyle name="Note 16 2 2" xfId="5739" xr:uid="{00000000-0005-0000-0000-000088DA0000}"/>
    <cellStyle name="Note 16 2 2 2" xfId="60300" xr:uid="{00000000-0005-0000-0000-000089DA0000}"/>
    <cellStyle name="Note 16 2 3" xfId="5740" xr:uid="{00000000-0005-0000-0000-00008ADA0000}"/>
    <cellStyle name="Note 16 2 3 2" xfId="60301" xr:uid="{00000000-0005-0000-0000-00008BDA0000}"/>
    <cellStyle name="Note 16 2 4" xfId="5741" xr:uid="{00000000-0005-0000-0000-00008CDA0000}"/>
    <cellStyle name="Note 16 2 4 2" xfId="60302" xr:uid="{00000000-0005-0000-0000-00008DDA0000}"/>
    <cellStyle name="Note 16 2 5" xfId="5742" xr:uid="{00000000-0005-0000-0000-00008EDA0000}"/>
    <cellStyle name="Note 16 2 5 2" xfId="60303" xr:uid="{00000000-0005-0000-0000-00008FDA0000}"/>
    <cellStyle name="Note 16 2 6" xfId="5743" xr:uid="{00000000-0005-0000-0000-000090DA0000}"/>
    <cellStyle name="Note 16 2 6 2" xfId="60304" xr:uid="{00000000-0005-0000-0000-000091DA0000}"/>
    <cellStyle name="Note 16 2 7" xfId="5744" xr:uid="{00000000-0005-0000-0000-000092DA0000}"/>
    <cellStyle name="Note 16 2 7 2" xfId="60305" xr:uid="{00000000-0005-0000-0000-000093DA0000}"/>
    <cellStyle name="Note 16 2 8" xfId="5745" xr:uid="{00000000-0005-0000-0000-000094DA0000}"/>
    <cellStyle name="Note 16 2 8 2" xfId="60306" xr:uid="{00000000-0005-0000-0000-000095DA0000}"/>
    <cellStyle name="Note 16 2 9" xfId="5746" xr:uid="{00000000-0005-0000-0000-000096DA0000}"/>
    <cellStyle name="Note 16 2 9 2" xfId="60307" xr:uid="{00000000-0005-0000-0000-000097DA0000}"/>
    <cellStyle name="Note 16 3" xfId="5747" xr:uid="{00000000-0005-0000-0000-000098DA0000}"/>
    <cellStyle name="Note 16 3 2" xfId="60308" xr:uid="{00000000-0005-0000-0000-000099DA0000}"/>
    <cellStyle name="Note 16 4" xfId="5748" xr:uid="{00000000-0005-0000-0000-00009ADA0000}"/>
    <cellStyle name="Note 16 4 2" xfId="60309" xr:uid="{00000000-0005-0000-0000-00009BDA0000}"/>
    <cellStyle name="Note 16 5" xfId="5749" xr:uid="{00000000-0005-0000-0000-00009CDA0000}"/>
    <cellStyle name="Note 16 5 2" xfId="60310" xr:uid="{00000000-0005-0000-0000-00009DDA0000}"/>
    <cellStyle name="Note 16 6" xfId="5750" xr:uid="{00000000-0005-0000-0000-00009EDA0000}"/>
    <cellStyle name="Note 16 6 2" xfId="60311" xr:uid="{00000000-0005-0000-0000-00009FDA0000}"/>
    <cellStyle name="Note 16 7" xfId="5751" xr:uid="{00000000-0005-0000-0000-0000A0DA0000}"/>
    <cellStyle name="Note 16 7 2" xfId="60312" xr:uid="{00000000-0005-0000-0000-0000A1DA0000}"/>
    <cellStyle name="Note 16 8" xfId="5752" xr:uid="{00000000-0005-0000-0000-0000A2DA0000}"/>
    <cellStyle name="Note 16 8 2" xfId="60313" xr:uid="{00000000-0005-0000-0000-0000A3DA0000}"/>
    <cellStyle name="Note 16 9" xfId="5753" xr:uid="{00000000-0005-0000-0000-0000A4DA0000}"/>
    <cellStyle name="Note 16 9 2" xfId="60314" xr:uid="{00000000-0005-0000-0000-0000A5DA0000}"/>
    <cellStyle name="Note 17" xfId="5754" xr:uid="{00000000-0005-0000-0000-0000A6DA0000}"/>
    <cellStyle name="Note 17 10" xfId="5755" xr:uid="{00000000-0005-0000-0000-0000A7DA0000}"/>
    <cellStyle name="Note 17 10 2" xfId="60315" xr:uid="{00000000-0005-0000-0000-0000A8DA0000}"/>
    <cellStyle name="Note 17 11" xfId="5756" xr:uid="{00000000-0005-0000-0000-0000A9DA0000}"/>
    <cellStyle name="Note 17 2" xfId="5757" xr:uid="{00000000-0005-0000-0000-0000AADA0000}"/>
    <cellStyle name="Note 17 2 10" xfId="5758" xr:uid="{00000000-0005-0000-0000-0000ABDA0000}"/>
    <cellStyle name="Note 17 2 2" xfId="5759" xr:uid="{00000000-0005-0000-0000-0000ACDA0000}"/>
    <cellStyle name="Note 17 2 2 2" xfId="60316" xr:uid="{00000000-0005-0000-0000-0000ADDA0000}"/>
    <cellStyle name="Note 17 2 3" xfId="5760" xr:uid="{00000000-0005-0000-0000-0000AEDA0000}"/>
    <cellStyle name="Note 17 2 3 2" xfId="60317" xr:uid="{00000000-0005-0000-0000-0000AFDA0000}"/>
    <cellStyle name="Note 17 2 4" xfId="5761" xr:uid="{00000000-0005-0000-0000-0000B0DA0000}"/>
    <cellStyle name="Note 17 2 4 2" xfId="60318" xr:uid="{00000000-0005-0000-0000-0000B1DA0000}"/>
    <cellStyle name="Note 17 2 5" xfId="5762" xr:uid="{00000000-0005-0000-0000-0000B2DA0000}"/>
    <cellStyle name="Note 17 2 5 2" xfId="60319" xr:uid="{00000000-0005-0000-0000-0000B3DA0000}"/>
    <cellStyle name="Note 17 2 6" xfId="5763" xr:uid="{00000000-0005-0000-0000-0000B4DA0000}"/>
    <cellStyle name="Note 17 2 6 2" xfId="60320" xr:uid="{00000000-0005-0000-0000-0000B5DA0000}"/>
    <cellStyle name="Note 17 2 7" xfId="5764" xr:uid="{00000000-0005-0000-0000-0000B6DA0000}"/>
    <cellStyle name="Note 17 2 7 2" xfId="60321" xr:uid="{00000000-0005-0000-0000-0000B7DA0000}"/>
    <cellStyle name="Note 17 2 8" xfId="5765" xr:uid="{00000000-0005-0000-0000-0000B8DA0000}"/>
    <cellStyle name="Note 17 2 8 2" xfId="60322" xr:uid="{00000000-0005-0000-0000-0000B9DA0000}"/>
    <cellStyle name="Note 17 2 9" xfId="5766" xr:uid="{00000000-0005-0000-0000-0000BADA0000}"/>
    <cellStyle name="Note 17 2 9 2" xfId="60323" xr:uid="{00000000-0005-0000-0000-0000BBDA0000}"/>
    <cellStyle name="Note 17 3" xfId="5767" xr:uid="{00000000-0005-0000-0000-0000BCDA0000}"/>
    <cellStyle name="Note 17 3 2" xfId="60324" xr:uid="{00000000-0005-0000-0000-0000BDDA0000}"/>
    <cellStyle name="Note 17 4" xfId="5768" xr:uid="{00000000-0005-0000-0000-0000BEDA0000}"/>
    <cellStyle name="Note 17 4 2" xfId="60325" xr:uid="{00000000-0005-0000-0000-0000BFDA0000}"/>
    <cellStyle name="Note 17 5" xfId="5769" xr:uid="{00000000-0005-0000-0000-0000C0DA0000}"/>
    <cellStyle name="Note 17 5 2" xfId="60326" xr:uid="{00000000-0005-0000-0000-0000C1DA0000}"/>
    <cellStyle name="Note 17 6" xfId="5770" xr:uid="{00000000-0005-0000-0000-0000C2DA0000}"/>
    <cellStyle name="Note 17 6 2" xfId="60327" xr:uid="{00000000-0005-0000-0000-0000C3DA0000}"/>
    <cellStyle name="Note 17 7" xfId="5771" xr:uid="{00000000-0005-0000-0000-0000C4DA0000}"/>
    <cellStyle name="Note 17 7 2" xfId="60328" xr:uid="{00000000-0005-0000-0000-0000C5DA0000}"/>
    <cellStyle name="Note 17 8" xfId="5772" xr:uid="{00000000-0005-0000-0000-0000C6DA0000}"/>
    <cellStyle name="Note 17 8 2" xfId="60329" xr:uid="{00000000-0005-0000-0000-0000C7DA0000}"/>
    <cellStyle name="Note 17 9" xfId="5773" xr:uid="{00000000-0005-0000-0000-0000C8DA0000}"/>
    <cellStyle name="Note 17 9 2" xfId="60330" xr:uid="{00000000-0005-0000-0000-0000C9DA0000}"/>
    <cellStyle name="Note 18" xfId="5774" xr:uid="{00000000-0005-0000-0000-0000CADA0000}"/>
    <cellStyle name="Note 18 10" xfId="5775" xr:uid="{00000000-0005-0000-0000-0000CBDA0000}"/>
    <cellStyle name="Note 18 10 2" xfId="60331" xr:uid="{00000000-0005-0000-0000-0000CCDA0000}"/>
    <cellStyle name="Note 18 11" xfId="5776" xr:uid="{00000000-0005-0000-0000-0000CDDA0000}"/>
    <cellStyle name="Note 18 2" xfId="5777" xr:uid="{00000000-0005-0000-0000-0000CEDA0000}"/>
    <cellStyle name="Note 18 2 10" xfId="5778" xr:uid="{00000000-0005-0000-0000-0000CFDA0000}"/>
    <cellStyle name="Note 18 2 2" xfId="5779" xr:uid="{00000000-0005-0000-0000-0000D0DA0000}"/>
    <cellStyle name="Note 18 2 2 2" xfId="60332" xr:uid="{00000000-0005-0000-0000-0000D1DA0000}"/>
    <cellStyle name="Note 18 2 3" xfId="5780" xr:uid="{00000000-0005-0000-0000-0000D2DA0000}"/>
    <cellStyle name="Note 18 2 3 2" xfId="60333" xr:uid="{00000000-0005-0000-0000-0000D3DA0000}"/>
    <cellStyle name="Note 18 2 4" xfId="5781" xr:uid="{00000000-0005-0000-0000-0000D4DA0000}"/>
    <cellStyle name="Note 18 2 4 2" xfId="60334" xr:uid="{00000000-0005-0000-0000-0000D5DA0000}"/>
    <cellStyle name="Note 18 2 5" xfId="5782" xr:uid="{00000000-0005-0000-0000-0000D6DA0000}"/>
    <cellStyle name="Note 18 2 5 2" xfId="60335" xr:uid="{00000000-0005-0000-0000-0000D7DA0000}"/>
    <cellStyle name="Note 18 2 6" xfId="5783" xr:uid="{00000000-0005-0000-0000-0000D8DA0000}"/>
    <cellStyle name="Note 18 2 6 2" xfId="60336" xr:uid="{00000000-0005-0000-0000-0000D9DA0000}"/>
    <cellStyle name="Note 18 2 7" xfId="5784" xr:uid="{00000000-0005-0000-0000-0000DADA0000}"/>
    <cellStyle name="Note 18 2 7 2" xfId="60337" xr:uid="{00000000-0005-0000-0000-0000DBDA0000}"/>
    <cellStyle name="Note 18 2 8" xfId="5785" xr:uid="{00000000-0005-0000-0000-0000DCDA0000}"/>
    <cellStyle name="Note 18 2 8 2" xfId="60338" xr:uid="{00000000-0005-0000-0000-0000DDDA0000}"/>
    <cellStyle name="Note 18 2 9" xfId="5786" xr:uid="{00000000-0005-0000-0000-0000DEDA0000}"/>
    <cellStyle name="Note 18 2 9 2" xfId="60339" xr:uid="{00000000-0005-0000-0000-0000DFDA0000}"/>
    <cellStyle name="Note 18 3" xfId="5787" xr:uid="{00000000-0005-0000-0000-0000E0DA0000}"/>
    <cellStyle name="Note 18 3 2" xfId="60340" xr:uid="{00000000-0005-0000-0000-0000E1DA0000}"/>
    <cellStyle name="Note 18 4" xfId="5788" xr:uid="{00000000-0005-0000-0000-0000E2DA0000}"/>
    <cellStyle name="Note 18 4 2" xfId="60341" xr:uid="{00000000-0005-0000-0000-0000E3DA0000}"/>
    <cellStyle name="Note 18 5" xfId="5789" xr:uid="{00000000-0005-0000-0000-0000E4DA0000}"/>
    <cellStyle name="Note 18 5 2" xfId="60342" xr:uid="{00000000-0005-0000-0000-0000E5DA0000}"/>
    <cellStyle name="Note 18 6" xfId="5790" xr:uid="{00000000-0005-0000-0000-0000E6DA0000}"/>
    <cellStyle name="Note 18 6 2" xfId="60343" xr:uid="{00000000-0005-0000-0000-0000E7DA0000}"/>
    <cellStyle name="Note 18 7" xfId="5791" xr:uid="{00000000-0005-0000-0000-0000E8DA0000}"/>
    <cellStyle name="Note 18 7 2" xfId="60344" xr:uid="{00000000-0005-0000-0000-0000E9DA0000}"/>
    <cellStyle name="Note 18 8" xfId="5792" xr:uid="{00000000-0005-0000-0000-0000EADA0000}"/>
    <cellStyle name="Note 18 8 2" xfId="60345" xr:uid="{00000000-0005-0000-0000-0000EBDA0000}"/>
    <cellStyle name="Note 18 9" xfId="5793" xr:uid="{00000000-0005-0000-0000-0000ECDA0000}"/>
    <cellStyle name="Note 18 9 2" xfId="60346" xr:uid="{00000000-0005-0000-0000-0000EDDA0000}"/>
    <cellStyle name="Note 19" xfId="5794" xr:uid="{00000000-0005-0000-0000-0000EEDA0000}"/>
    <cellStyle name="Note 19 10" xfId="5795" xr:uid="{00000000-0005-0000-0000-0000EFDA0000}"/>
    <cellStyle name="Note 19 10 2" xfId="60347" xr:uid="{00000000-0005-0000-0000-0000F0DA0000}"/>
    <cellStyle name="Note 19 11" xfId="5796" xr:uid="{00000000-0005-0000-0000-0000F1DA0000}"/>
    <cellStyle name="Note 19 2" xfId="5797" xr:uid="{00000000-0005-0000-0000-0000F2DA0000}"/>
    <cellStyle name="Note 19 2 10" xfId="5798" xr:uid="{00000000-0005-0000-0000-0000F3DA0000}"/>
    <cellStyle name="Note 19 2 2" xfId="5799" xr:uid="{00000000-0005-0000-0000-0000F4DA0000}"/>
    <cellStyle name="Note 19 2 2 2" xfId="60348" xr:uid="{00000000-0005-0000-0000-0000F5DA0000}"/>
    <cellStyle name="Note 19 2 3" xfId="5800" xr:uid="{00000000-0005-0000-0000-0000F6DA0000}"/>
    <cellStyle name="Note 19 2 3 2" xfId="60349" xr:uid="{00000000-0005-0000-0000-0000F7DA0000}"/>
    <cellStyle name="Note 19 2 4" xfId="5801" xr:uid="{00000000-0005-0000-0000-0000F8DA0000}"/>
    <cellStyle name="Note 19 2 4 2" xfId="60350" xr:uid="{00000000-0005-0000-0000-0000F9DA0000}"/>
    <cellStyle name="Note 19 2 5" xfId="5802" xr:uid="{00000000-0005-0000-0000-0000FADA0000}"/>
    <cellStyle name="Note 19 2 5 2" xfId="60351" xr:uid="{00000000-0005-0000-0000-0000FBDA0000}"/>
    <cellStyle name="Note 19 2 6" xfId="5803" xr:uid="{00000000-0005-0000-0000-0000FCDA0000}"/>
    <cellStyle name="Note 19 2 6 2" xfId="60352" xr:uid="{00000000-0005-0000-0000-0000FDDA0000}"/>
    <cellStyle name="Note 19 2 7" xfId="5804" xr:uid="{00000000-0005-0000-0000-0000FEDA0000}"/>
    <cellStyle name="Note 19 2 7 2" xfId="60353" xr:uid="{00000000-0005-0000-0000-0000FFDA0000}"/>
    <cellStyle name="Note 19 2 8" xfId="5805" xr:uid="{00000000-0005-0000-0000-000000DB0000}"/>
    <cellStyle name="Note 19 2 8 2" xfId="60354" xr:uid="{00000000-0005-0000-0000-000001DB0000}"/>
    <cellStyle name="Note 19 2 9" xfId="5806" xr:uid="{00000000-0005-0000-0000-000002DB0000}"/>
    <cellStyle name="Note 19 2 9 2" xfId="60355" xr:uid="{00000000-0005-0000-0000-000003DB0000}"/>
    <cellStyle name="Note 19 3" xfId="5807" xr:uid="{00000000-0005-0000-0000-000004DB0000}"/>
    <cellStyle name="Note 19 3 2" xfId="60356" xr:uid="{00000000-0005-0000-0000-000005DB0000}"/>
    <cellStyle name="Note 19 4" xfId="5808" xr:uid="{00000000-0005-0000-0000-000006DB0000}"/>
    <cellStyle name="Note 19 4 2" xfId="60357" xr:uid="{00000000-0005-0000-0000-000007DB0000}"/>
    <cellStyle name="Note 19 5" xfId="5809" xr:uid="{00000000-0005-0000-0000-000008DB0000}"/>
    <cellStyle name="Note 19 5 2" xfId="60358" xr:uid="{00000000-0005-0000-0000-000009DB0000}"/>
    <cellStyle name="Note 19 6" xfId="5810" xr:uid="{00000000-0005-0000-0000-00000ADB0000}"/>
    <cellStyle name="Note 19 6 2" xfId="60359" xr:uid="{00000000-0005-0000-0000-00000BDB0000}"/>
    <cellStyle name="Note 19 7" xfId="5811" xr:uid="{00000000-0005-0000-0000-00000CDB0000}"/>
    <cellStyle name="Note 19 7 2" xfId="60360" xr:uid="{00000000-0005-0000-0000-00000DDB0000}"/>
    <cellStyle name="Note 19 8" xfId="5812" xr:uid="{00000000-0005-0000-0000-00000EDB0000}"/>
    <cellStyle name="Note 19 8 2" xfId="60361" xr:uid="{00000000-0005-0000-0000-00000FDB0000}"/>
    <cellStyle name="Note 19 9" xfId="5813" xr:uid="{00000000-0005-0000-0000-000010DB0000}"/>
    <cellStyle name="Note 19 9 2" xfId="60362" xr:uid="{00000000-0005-0000-0000-000011DB0000}"/>
    <cellStyle name="Note 2" xfId="5814" xr:uid="{00000000-0005-0000-0000-000012DB0000}"/>
    <cellStyle name="Note 2 10" xfId="5815" xr:uid="{00000000-0005-0000-0000-000013DB0000}"/>
    <cellStyle name="Note 2 10 2" xfId="60363" xr:uid="{00000000-0005-0000-0000-000014DB0000}"/>
    <cellStyle name="Note 2 11" xfId="5816" xr:uid="{00000000-0005-0000-0000-000015DB0000}"/>
    <cellStyle name="Note 2 12" xfId="5817" xr:uid="{00000000-0005-0000-0000-000016DB0000}"/>
    <cellStyle name="Note 2 12 2" xfId="60364" xr:uid="{00000000-0005-0000-0000-000017DB0000}"/>
    <cellStyle name="Note 2 12 3" xfId="60365" xr:uid="{00000000-0005-0000-0000-000018DB0000}"/>
    <cellStyle name="Note 2 12 4" xfId="60366" xr:uid="{00000000-0005-0000-0000-000019DB0000}"/>
    <cellStyle name="Note 2 13" xfId="9308" xr:uid="{00000000-0005-0000-0000-00001ADB0000}"/>
    <cellStyle name="Note 2 14" xfId="60367" xr:uid="{00000000-0005-0000-0000-00001BDB0000}"/>
    <cellStyle name="Note 2 15" xfId="60368" xr:uid="{00000000-0005-0000-0000-00001CDB0000}"/>
    <cellStyle name="Note 2 16" xfId="60369" xr:uid="{00000000-0005-0000-0000-00001DDB0000}"/>
    <cellStyle name="Note 2 2" xfId="5818" xr:uid="{00000000-0005-0000-0000-00001EDB0000}"/>
    <cellStyle name="Note 2 2 10" xfId="5819" xr:uid="{00000000-0005-0000-0000-00001FDB0000}"/>
    <cellStyle name="Note 2 2 11" xfId="5820" xr:uid="{00000000-0005-0000-0000-000020DB0000}"/>
    <cellStyle name="Note 2 2 12" xfId="9309" xr:uid="{00000000-0005-0000-0000-000021DB0000}"/>
    <cellStyle name="Note 2 2 2" xfId="5821" xr:uid="{00000000-0005-0000-0000-000022DB0000}"/>
    <cellStyle name="Note 2 2 2 2" xfId="5822" xr:uid="{00000000-0005-0000-0000-000023DB0000}"/>
    <cellStyle name="Note 2 2 2 2 2" xfId="5823" xr:uid="{00000000-0005-0000-0000-000024DB0000}"/>
    <cellStyle name="Note 2 2 2 2 2 2" xfId="5824" xr:uid="{00000000-0005-0000-0000-000025DB0000}"/>
    <cellStyle name="Note 2 2 2 2 2 2 2" xfId="5825" xr:uid="{00000000-0005-0000-0000-000026DB0000}"/>
    <cellStyle name="Note 2 2 2 2 2 3" xfId="5826" xr:uid="{00000000-0005-0000-0000-000027DB0000}"/>
    <cellStyle name="Note 2 2 2 2 2 4" xfId="9310" xr:uid="{00000000-0005-0000-0000-000028DB0000}"/>
    <cellStyle name="Note 2 2 2 2 3" xfId="5827" xr:uid="{00000000-0005-0000-0000-000029DB0000}"/>
    <cellStyle name="Note 2 2 2 2 3 2" xfId="5828" xr:uid="{00000000-0005-0000-0000-00002ADB0000}"/>
    <cellStyle name="Note 2 2 2 2 4" xfId="5829" xr:uid="{00000000-0005-0000-0000-00002BDB0000}"/>
    <cellStyle name="Note 2 2 2 2 5" xfId="9311" xr:uid="{00000000-0005-0000-0000-00002CDB0000}"/>
    <cellStyle name="Note 2 2 2 3" xfId="5830" xr:uid="{00000000-0005-0000-0000-00002DDB0000}"/>
    <cellStyle name="Note 2 2 2 3 2" xfId="5831" xr:uid="{00000000-0005-0000-0000-00002EDB0000}"/>
    <cellStyle name="Note 2 2 2 3 2 2" xfId="5832" xr:uid="{00000000-0005-0000-0000-00002FDB0000}"/>
    <cellStyle name="Note 2 2 2 3 3" xfId="5833" xr:uid="{00000000-0005-0000-0000-000030DB0000}"/>
    <cellStyle name="Note 2 2 2 3 4" xfId="9312" xr:uid="{00000000-0005-0000-0000-000031DB0000}"/>
    <cellStyle name="Note 2 2 2 4" xfId="5834" xr:uid="{00000000-0005-0000-0000-000032DB0000}"/>
    <cellStyle name="Note 2 2 2 4 2" xfId="5835" xr:uid="{00000000-0005-0000-0000-000033DB0000}"/>
    <cellStyle name="Note 2 2 2 5" xfId="5836" xr:uid="{00000000-0005-0000-0000-000034DB0000}"/>
    <cellStyle name="Note 2 2 2 6" xfId="5837" xr:uid="{00000000-0005-0000-0000-000035DB0000}"/>
    <cellStyle name="Note 2 2 2 7" xfId="9313" xr:uid="{00000000-0005-0000-0000-000036DB0000}"/>
    <cellStyle name="Note 2 2 3" xfId="5838" xr:uid="{00000000-0005-0000-0000-000037DB0000}"/>
    <cellStyle name="Note 2 2 3 2" xfId="5839" xr:uid="{00000000-0005-0000-0000-000038DB0000}"/>
    <cellStyle name="Note 2 2 3 2 2" xfId="5840" xr:uid="{00000000-0005-0000-0000-000039DB0000}"/>
    <cellStyle name="Note 2 2 3 2 2 2" xfId="5841" xr:uid="{00000000-0005-0000-0000-00003ADB0000}"/>
    <cellStyle name="Note 2 2 3 2 3" xfId="5842" xr:uid="{00000000-0005-0000-0000-00003BDB0000}"/>
    <cellStyle name="Note 2 2 3 2 4" xfId="9314" xr:uid="{00000000-0005-0000-0000-00003CDB0000}"/>
    <cellStyle name="Note 2 2 3 2 5" xfId="60370" xr:uid="{00000000-0005-0000-0000-00003DDB0000}"/>
    <cellStyle name="Note 2 2 3 3" xfId="5843" xr:uid="{00000000-0005-0000-0000-00003EDB0000}"/>
    <cellStyle name="Note 2 2 3 3 2" xfId="5844" xr:uid="{00000000-0005-0000-0000-00003FDB0000}"/>
    <cellStyle name="Note 2 2 3 4" xfId="5845" xr:uid="{00000000-0005-0000-0000-000040DB0000}"/>
    <cellStyle name="Note 2 2 3 5" xfId="5846" xr:uid="{00000000-0005-0000-0000-000041DB0000}"/>
    <cellStyle name="Note 2 2 3 6" xfId="9315" xr:uid="{00000000-0005-0000-0000-000042DB0000}"/>
    <cellStyle name="Note 2 2 4" xfId="5847" xr:uid="{00000000-0005-0000-0000-000043DB0000}"/>
    <cellStyle name="Note 2 2 4 2" xfId="5848" xr:uid="{00000000-0005-0000-0000-000044DB0000}"/>
    <cellStyle name="Note 2 2 4 2 2" xfId="5849" xr:uid="{00000000-0005-0000-0000-000045DB0000}"/>
    <cellStyle name="Note 2 2 4 2 3" xfId="60371" xr:uid="{00000000-0005-0000-0000-000046DB0000}"/>
    <cellStyle name="Note 2 2 4 2 4" xfId="60372" xr:uid="{00000000-0005-0000-0000-000047DB0000}"/>
    <cellStyle name="Note 2 2 4 3" xfId="5850" xr:uid="{00000000-0005-0000-0000-000048DB0000}"/>
    <cellStyle name="Note 2 2 4 4" xfId="5851" xr:uid="{00000000-0005-0000-0000-000049DB0000}"/>
    <cellStyle name="Note 2 2 4 5" xfId="9316" xr:uid="{00000000-0005-0000-0000-00004ADB0000}"/>
    <cellStyle name="Note 2 2 5" xfId="5852" xr:uid="{00000000-0005-0000-0000-00004BDB0000}"/>
    <cellStyle name="Note 2 2 5 2" xfId="5853" xr:uid="{00000000-0005-0000-0000-00004CDB0000}"/>
    <cellStyle name="Note 2 2 5 3" xfId="5854" xr:uid="{00000000-0005-0000-0000-00004DDB0000}"/>
    <cellStyle name="Note 2 2 6" xfId="5855" xr:uid="{00000000-0005-0000-0000-00004EDB0000}"/>
    <cellStyle name="Note 2 2 6 2" xfId="5856" xr:uid="{00000000-0005-0000-0000-00004FDB0000}"/>
    <cellStyle name="Note 2 2 7" xfId="5857" xr:uid="{00000000-0005-0000-0000-000050DB0000}"/>
    <cellStyle name="Note 2 2 7 2" xfId="60373" xr:uid="{00000000-0005-0000-0000-000051DB0000}"/>
    <cellStyle name="Note 2 2 8" xfId="5858" xr:uid="{00000000-0005-0000-0000-000052DB0000}"/>
    <cellStyle name="Note 2 2 8 2" xfId="60374" xr:uid="{00000000-0005-0000-0000-000053DB0000}"/>
    <cellStyle name="Note 2 2 9" xfId="5859" xr:uid="{00000000-0005-0000-0000-000054DB0000}"/>
    <cellStyle name="Note 2 2 9 2" xfId="60375" xr:uid="{00000000-0005-0000-0000-000055DB0000}"/>
    <cellStyle name="Note 2 3" xfId="5860" xr:uid="{00000000-0005-0000-0000-000056DB0000}"/>
    <cellStyle name="Note 2 3 2" xfId="5861" xr:uid="{00000000-0005-0000-0000-000057DB0000}"/>
    <cellStyle name="Note 2 3 2 2" xfId="5862" xr:uid="{00000000-0005-0000-0000-000058DB0000}"/>
    <cellStyle name="Note 2 3 2 2 2" xfId="5863" xr:uid="{00000000-0005-0000-0000-000059DB0000}"/>
    <cellStyle name="Note 2 3 2 2 2 2" xfId="5864" xr:uid="{00000000-0005-0000-0000-00005ADB0000}"/>
    <cellStyle name="Note 2 3 2 2 3" xfId="5865" xr:uid="{00000000-0005-0000-0000-00005BDB0000}"/>
    <cellStyle name="Note 2 3 2 2 4" xfId="60376" xr:uid="{00000000-0005-0000-0000-00005CDB0000}"/>
    <cellStyle name="Note 2 3 2 3" xfId="5866" xr:uid="{00000000-0005-0000-0000-00005DDB0000}"/>
    <cellStyle name="Note 2 3 2 3 2" xfId="5867" xr:uid="{00000000-0005-0000-0000-00005EDB0000}"/>
    <cellStyle name="Note 2 3 2 4" xfId="5868" xr:uid="{00000000-0005-0000-0000-00005FDB0000}"/>
    <cellStyle name="Note 2 3 2 5" xfId="60377" xr:uid="{00000000-0005-0000-0000-000060DB0000}"/>
    <cellStyle name="Note 2 3 3" xfId="5869" xr:uid="{00000000-0005-0000-0000-000061DB0000}"/>
    <cellStyle name="Note 2 3 3 2" xfId="5870" xr:uid="{00000000-0005-0000-0000-000062DB0000}"/>
    <cellStyle name="Note 2 3 3 2 2" xfId="5871" xr:uid="{00000000-0005-0000-0000-000063DB0000}"/>
    <cellStyle name="Note 2 3 3 3" xfId="5872" xr:uid="{00000000-0005-0000-0000-000064DB0000}"/>
    <cellStyle name="Note 2 3 3 4" xfId="60378" xr:uid="{00000000-0005-0000-0000-000065DB0000}"/>
    <cellStyle name="Note 2 3 3 5" xfId="60379" xr:uid="{00000000-0005-0000-0000-000066DB0000}"/>
    <cellStyle name="Note 2 3 4" xfId="5873" xr:uid="{00000000-0005-0000-0000-000067DB0000}"/>
    <cellStyle name="Note 2 3 4 2" xfId="5874" xr:uid="{00000000-0005-0000-0000-000068DB0000}"/>
    <cellStyle name="Note 2 3 5" xfId="5875" xr:uid="{00000000-0005-0000-0000-000069DB0000}"/>
    <cellStyle name="Note 2 3 6" xfId="5876" xr:uid="{00000000-0005-0000-0000-00006ADB0000}"/>
    <cellStyle name="Note 2 3 7" xfId="60380" xr:uid="{00000000-0005-0000-0000-00006BDB0000}"/>
    <cellStyle name="Note 2 4" xfId="5877" xr:uid="{00000000-0005-0000-0000-00006CDB0000}"/>
    <cellStyle name="Note 2 4 2" xfId="5878" xr:uid="{00000000-0005-0000-0000-00006DDB0000}"/>
    <cellStyle name="Note 2 4 2 2" xfId="5879" xr:uid="{00000000-0005-0000-0000-00006EDB0000}"/>
    <cellStyle name="Note 2 4 2 2 2" xfId="5880" xr:uid="{00000000-0005-0000-0000-00006FDB0000}"/>
    <cellStyle name="Note 2 4 2 2 3" xfId="60381" xr:uid="{00000000-0005-0000-0000-000070DB0000}"/>
    <cellStyle name="Note 2 4 2 3" xfId="5881" xr:uid="{00000000-0005-0000-0000-000071DB0000}"/>
    <cellStyle name="Note 2 4 2 4" xfId="60382" xr:uid="{00000000-0005-0000-0000-000072DB0000}"/>
    <cellStyle name="Note 2 4 2 5" xfId="60383" xr:uid="{00000000-0005-0000-0000-000073DB0000}"/>
    <cellStyle name="Note 2 4 3" xfId="5882" xr:uid="{00000000-0005-0000-0000-000074DB0000}"/>
    <cellStyle name="Note 2 4 3 2" xfId="5883" xr:uid="{00000000-0005-0000-0000-000075DB0000}"/>
    <cellStyle name="Note 2 4 3 3" xfId="60384" xr:uid="{00000000-0005-0000-0000-000076DB0000}"/>
    <cellStyle name="Note 2 4 4" xfId="5884" xr:uid="{00000000-0005-0000-0000-000077DB0000}"/>
    <cellStyle name="Note 2 4 4 2" xfId="60385" xr:uid="{00000000-0005-0000-0000-000078DB0000}"/>
    <cellStyle name="Note 2 4 5" xfId="5885" xr:uid="{00000000-0005-0000-0000-000079DB0000}"/>
    <cellStyle name="Note 2 4 6" xfId="60386" xr:uid="{00000000-0005-0000-0000-00007ADB0000}"/>
    <cellStyle name="Note 2 4 7" xfId="60387" xr:uid="{00000000-0005-0000-0000-00007BDB0000}"/>
    <cellStyle name="Note 2 5" xfId="5886" xr:uid="{00000000-0005-0000-0000-00007CDB0000}"/>
    <cellStyle name="Note 2 5 2" xfId="5887" xr:uid="{00000000-0005-0000-0000-00007DDB0000}"/>
    <cellStyle name="Note 2 5 2 2" xfId="5888" xr:uid="{00000000-0005-0000-0000-00007EDB0000}"/>
    <cellStyle name="Note 2 5 2 3" xfId="60388" xr:uid="{00000000-0005-0000-0000-00007FDB0000}"/>
    <cellStyle name="Note 2 5 2 4" xfId="60389" xr:uid="{00000000-0005-0000-0000-000080DB0000}"/>
    <cellStyle name="Note 2 5 2 5" xfId="60390" xr:uid="{00000000-0005-0000-0000-000081DB0000}"/>
    <cellStyle name="Note 2 5 3" xfId="5889" xr:uid="{00000000-0005-0000-0000-000082DB0000}"/>
    <cellStyle name="Note 2 5 4" xfId="5890" xr:uid="{00000000-0005-0000-0000-000083DB0000}"/>
    <cellStyle name="Note 2 5 5" xfId="60391" xr:uid="{00000000-0005-0000-0000-000084DB0000}"/>
    <cellStyle name="Note 2 6" xfId="5891" xr:uid="{00000000-0005-0000-0000-000085DB0000}"/>
    <cellStyle name="Note 2 6 2" xfId="5892" xr:uid="{00000000-0005-0000-0000-000086DB0000}"/>
    <cellStyle name="Note 2 6 2 2" xfId="60392" xr:uid="{00000000-0005-0000-0000-000087DB0000}"/>
    <cellStyle name="Note 2 6 2 3" xfId="60393" xr:uid="{00000000-0005-0000-0000-000088DB0000}"/>
    <cellStyle name="Note 2 6 2 4" xfId="60394" xr:uid="{00000000-0005-0000-0000-000089DB0000}"/>
    <cellStyle name="Note 2 6 3" xfId="5893" xr:uid="{00000000-0005-0000-0000-00008ADB0000}"/>
    <cellStyle name="Note 2 6 4" xfId="60395" xr:uid="{00000000-0005-0000-0000-00008BDB0000}"/>
    <cellStyle name="Note 2 6 5" xfId="60396" xr:uid="{00000000-0005-0000-0000-00008CDB0000}"/>
    <cellStyle name="Note 2 7" xfId="5894" xr:uid="{00000000-0005-0000-0000-00008DDB0000}"/>
    <cellStyle name="Note 2 7 2" xfId="5895" xr:uid="{00000000-0005-0000-0000-00008EDB0000}"/>
    <cellStyle name="Note 2 7 2 2" xfId="60397" xr:uid="{00000000-0005-0000-0000-00008FDB0000}"/>
    <cellStyle name="Note 2 7 2 3" xfId="60398" xr:uid="{00000000-0005-0000-0000-000090DB0000}"/>
    <cellStyle name="Note 2 7 2 4" xfId="60399" xr:uid="{00000000-0005-0000-0000-000091DB0000}"/>
    <cellStyle name="Note 2 7 3" xfId="60400" xr:uid="{00000000-0005-0000-0000-000092DB0000}"/>
    <cellStyle name="Note 2 7 4" xfId="60401" xr:uid="{00000000-0005-0000-0000-000093DB0000}"/>
    <cellStyle name="Note 2 7 5" xfId="60402" xr:uid="{00000000-0005-0000-0000-000094DB0000}"/>
    <cellStyle name="Note 2 8" xfId="5896" xr:uid="{00000000-0005-0000-0000-000095DB0000}"/>
    <cellStyle name="Note 2 8 2" xfId="60403" xr:uid="{00000000-0005-0000-0000-000096DB0000}"/>
    <cellStyle name="Note 2 9" xfId="5897" xr:uid="{00000000-0005-0000-0000-000097DB0000}"/>
    <cellStyle name="Note 2 9 2" xfId="60404" xr:uid="{00000000-0005-0000-0000-000098DB0000}"/>
    <cellStyle name="Note 20" xfId="5898" xr:uid="{00000000-0005-0000-0000-000099DB0000}"/>
    <cellStyle name="Note 20 10" xfId="5899" xr:uid="{00000000-0005-0000-0000-00009ADB0000}"/>
    <cellStyle name="Note 20 10 2" xfId="60405" xr:uid="{00000000-0005-0000-0000-00009BDB0000}"/>
    <cellStyle name="Note 20 11" xfId="5900" xr:uid="{00000000-0005-0000-0000-00009CDB0000}"/>
    <cellStyle name="Note 20 2" xfId="5901" xr:uid="{00000000-0005-0000-0000-00009DDB0000}"/>
    <cellStyle name="Note 20 2 10" xfId="5902" xr:uid="{00000000-0005-0000-0000-00009EDB0000}"/>
    <cellStyle name="Note 20 2 2" xfId="5903" xr:uid="{00000000-0005-0000-0000-00009FDB0000}"/>
    <cellStyle name="Note 20 2 2 2" xfId="60406" xr:uid="{00000000-0005-0000-0000-0000A0DB0000}"/>
    <cellStyle name="Note 20 2 3" xfId="5904" xr:uid="{00000000-0005-0000-0000-0000A1DB0000}"/>
    <cellStyle name="Note 20 2 3 2" xfId="60407" xr:uid="{00000000-0005-0000-0000-0000A2DB0000}"/>
    <cellStyle name="Note 20 2 4" xfId="5905" xr:uid="{00000000-0005-0000-0000-0000A3DB0000}"/>
    <cellStyle name="Note 20 2 4 2" xfId="60408" xr:uid="{00000000-0005-0000-0000-0000A4DB0000}"/>
    <cellStyle name="Note 20 2 5" xfId="5906" xr:uid="{00000000-0005-0000-0000-0000A5DB0000}"/>
    <cellStyle name="Note 20 2 5 2" xfId="60409" xr:uid="{00000000-0005-0000-0000-0000A6DB0000}"/>
    <cellStyle name="Note 20 2 6" xfId="5907" xr:uid="{00000000-0005-0000-0000-0000A7DB0000}"/>
    <cellStyle name="Note 20 2 6 2" xfId="60410" xr:uid="{00000000-0005-0000-0000-0000A8DB0000}"/>
    <cellStyle name="Note 20 2 7" xfId="5908" xr:uid="{00000000-0005-0000-0000-0000A9DB0000}"/>
    <cellStyle name="Note 20 2 7 2" xfId="60411" xr:uid="{00000000-0005-0000-0000-0000AADB0000}"/>
    <cellStyle name="Note 20 2 8" xfId="5909" xr:uid="{00000000-0005-0000-0000-0000ABDB0000}"/>
    <cellStyle name="Note 20 2 8 2" xfId="60412" xr:uid="{00000000-0005-0000-0000-0000ACDB0000}"/>
    <cellStyle name="Note 20 2 9" xfId="5910" xr:uid="{00000000-0005-0000-0000-0000ADDB0000}"/>
    <cellStyle name="Note 20 2 9 2" xfId="60413" xr:uid="{00000000-0005-0000-0000-0000AEDB0000}"/>
    <cellStyle name="Note 20 3" xfId="5911" xr:uid="{00000000-0005-0000-0000-0000AFDB0000}"/>
    <cellStyle name="Note 20 3 2" xfId="60414" xr:uid="{00000000-0005-0000-0000-0000B0DB0000}"/>
    <cellStyle name="Note 20 4" xfId="5912" xr:uid="{00000000-0005-0000-0000-0000B1DB0000}"/>
    <cellStyle name="Note 20 4 2" xfId="60415" xr:uid="{00000000-0005-0000-0000-0000B2DB0000}"/>
    <cellStyle name="Note 20 5" xfId="5913" xr:uid="{00000000-0005-0000-0000-0000B3DB0000}"/>
    <cellStyle name="Note 20 5 2" xfId="60416" xr:uid="{00000000-0005-0000-0000-0000B4DB0000}"/>
    <cellStyle name="Note 20 6" xfId="5914" xr:uid="{00000000-0005-0000-0000-0000B5DB0000}"/>
    <cellStyle name="Note 20 6 2" xfId="60417" xr:uid="{00000000-0005-0000-0000-0000B6DB0000}"/>
    <cellStyle name="Note 20 7" xfId="5915" xr:uid="{00000000-0005-0000-0000-0000B7DB0000}"/>
    <cellStyle name="Note 20 7 2" xfId="60418" xr:uid="{00000000-0005-0000-0000-0000B8DB0000}"/>
    <cellStyle name="Note 20 8" xfId="5916" xr:uid="{00000000-0005-0000-0000-0000B9DB0000}"/>
    <cellStyle name="Note 20 8 2" xfId="60419" xr:uid="{00000000-0005-0000-0000-0000BADB0000}"/>
    <cellStyle name="Note 20 9" xfId="5917" xr:uid="{00000000-0005-0000-0000-0000BBDB0000}"/>
    <cellStyle name="Note 20 9 2" xfId="60420" xr:uid="{00000000-0005-0000-0000-0000BCDB0000}"/>
    <cellStyle name="Note 21" xfId="5918" xr:uid="{00000000-0005-0000-0000-0000BDDB0000}"/>
    <cellStyle name="Note 21 10" xfId="5919" xr:uid="{00000000-0005-0000-0000-0000BEDB0000}"/>
    <cellStyle name="Note 21 10 2" xfId="60421" xr:uid="{00000000-0005-0000-0000-0000BFDB0000}"/>
    <cellStyle name="Note 21 11" xfId="5920" xr:uid="{00000000-0005-0000-0000-0000C0DB0000}"/>
    <cellStyle name="Note 21 2" xfId="5921" xr:uid="{00000000-0005-0000-0000-0000C1DB0000}"/>
    <cellStyle name="Note 21 2 10" xfId="5922" xr:uid="{00000000-0005-0000-0000-0000C2DB0000}"/>
    <cellStyle name="Note 21 2 2" xfId="5923" xr:uid="{00000000-0005-0000-0000-0000C3DB0000}"/>
    <cellStyle name="Note 21 2 2 2" xfId="60422" xr:uid="{00000000-0005-0000-0000-0000C4DB0000}"/>
    <cellStyle name="Note 21 2 3" xfId="5924" xr:uid="{00000000-0005-0000-0000-0000C5DB0000}"/>
    <cellStyle name="Note 21 2 3 2" xfId="60423" xr:uid="{00000000-0005-0000-0000-0000C6DB0000}"/>
    <cellStyle name="Note 21 2 4" xfId="5925" xr:uid="{00000000-0005-0000-0000-0000C7DB0000}"/>
    <cellStyle name="Note 21 2 4 2" xfId="60424" xr:uid="{00000000-0005-0000-0000-0000C8DB0000}"/>
    <cellStyle name="Note 21 2 5" xfId="5926" xr:uid="{00000000-0005-0000-0000-0000C9DB0000}"/>
    <cellStyle name="Note 21 2 5 2" xfId="60425" xr:uid="{00000000-0005-0000-0000-0000CADB0000}"/>
    <cellStyle name="Note 21 2 6" xfId="5927" xr:uid="{00000000-0005-0000-0000-0000CBDB0000}"/>
    <cellStyle name="Note 21 2 6 2" xfId="60426" xr:uid="{00000000-0005-0000-0000-0000CCDB0000}"/>
    <cellStyle name="Note 21 2 7" xfId="5928" xr:uid="{00000000-0005-0000-0000-0000CDDB0000}"/>
    <cellStyle name="Note 21 2 7 2" xfId="60427" xr:uid="{00000000-0005-0000-0000-0000CEDB0000}"/>
    <cellStyle name="Note 21 2 8" xfId="5929" xr:uid="{00000000-0005-0000-0000-0000CFDB0000}"/>
    <cellStyle name="Note 21 2 8 2" xfId="60428" xr:uid="{00000000-0005-0000-0000-0000D0DB0000}"/>
    <cellStyle name="Note 21 2 9" xfId="5930" xr:uid="{00000000-0005-0000-0000-0000D1DB0000}"/>
    <cellStyle name="Note 21 2 9 2" xfId="60429" xr:uid="{00000000-0005-0000-0000-0000D2DB0000}"/>
    <cellStyle name="Note 21 3" xfId="5931" xr:uid="{00000000-0005-0000-0000-0000D3DB0000}"/>
    <cellStyle name="Note 21 3 2" xfId="60430" xr:uid="{00000000-0005-0000-0000-0000D4DB0000}"/>
    <cellStyle name="Note 21 4" xfId="5932" xr:uid="{00000000-0005-0000-0000-0000D5DB0000}"/>
    <cellStyle name="Note 21 4 2" xfId="60431" xr:uid="{00000000-0005-0000-0000-0000D6DB0000}"/>
    <cellStyle name="Note 21 5" xfId="5933" xr:uid="{00000000-0005-0000-0000-0000D7DB0000}"/>
    <cellStyle name="Note 21 5 2" xfId="60432" xr:uid="{00000000-0005-0000-0000-0000D8DB0000}"/>
    <cellStyle name="Note 21 6" xfId="5934" xr:uid="{00000000-0005-0000-0000-0000D9DB0000}"/>
    <cellStyle name="Note 21 6 2" xfId="60433" xr:uid="{00000000-0005-0000-0000-0000DADB0000}"/>
    <cellStyle name="Note 21 7" xfId="5935" xr:uid="{00000000-0005-0000-0000-0000DBDB0000}"/>
    <cellStyle name="Note 21 7 2" xfId="60434" xr:uid="{00000000-0005-0000-0000-0000DCDB0000}"/>
    <cellStyle name="Note 21 8" xfId="5936" xr:uid="{00000000-0005-0000-0000-0000DDDB0000}"/>
    <cellStyle name="Note 21 8 2" xfId="60435" xr:uid="{00000000-0005-0000-0000-0000DEDB0000}"/>
    <cellStyle name="Note 21 9" xfId="5937" xr:uid="{00000000-0005-0000-0000-0000DFDB0000}"/>
    <cellStyle name="Note 21 9 2" xfId="60436" xr:uid="{00000000-0005-0000-0000-0000E0DB0000}"/>
    <cellStyle name="Note 22" xfId="5938" xr:uid="{00000000-0005-0000-0000-0000E1DB0000}"/>
    <cellStyle name="Note 22 10" xfId="5939" xr:uid="{00000000-0005-0000-0000-0000E2DB0000}"/>
    <cellStyle name="Note 22 2" xfId="5940" xr:uid="{00000000-0005-0000-0000-0000E3DB0000}"/>
    <cellStyle name="Note 22 2 2" xfId="60437" xr:uid="{00000000-0005-0000-0000-0000E4DB0000}"/>
    <cellStyle name="Note 22 3" xfId="5941" xr:uid="{00000000-0005-0000-0000-0000E5DB0000}"/>
    <cellStyle name="Note 22 3 2" xfId="60438" xr:uid="{00000000-0005-0000-0000-0000E6DB0000}"/>
    <cellStyle name="Note 22 4" xfId="5942" xr:uid="{00000000-0005-0000-0000-0000E7DB0000}"/>
    <cellStyle name="Note 22 4 2" xfId="60439" xr:uid="{00000000-0005-0000-0000-0000E8DB0000}"/>
    <cellStyle name="Note 22 5" xfId="5943" xr:uid="{00000000-0005-0000-0000-0000E9DB0000}"/>
    <cellStyle name="Note 22 5 2" xfId="60440" xr:uid="{00000000-0005-0000-0000-0000EADB0000}"/>
    <cellStyle name="Note 22 6" xfId="5944" xr:uid="{00000000-0005-0000-0000-0000EBDB0000}"/>
    <cellStyle name="Note 22 6 2" xfId="60441" xr:uid="{00000000-0005-0000-0000-0000ECDB0000}"/>
    <cellStyle name="Note 22 7" xfId="5945" xr:uid="{00000000-0005-0000-0000-0000EDDB0000}"/>
    <cellStyle name="Note 22 7 2" xfId="60442" xr:uid="{00000000-0005-0000-0000-0000EEDB0000}"/>
    <cellStyle name="Note 22 8" xfId="5946" xr:uid="{00000000-0005-0000-0000-0000EFDB0000}"/>
    <cellStyle name="Note 22 8 2" xfId="60443" xr:uid="{00000000-0005-0000-0000-0000F0DB0000}"/>
    <cellStyle name="Note 22 9" xfId="5947" xr:uid="{00000000-0005-0000-0000-0000F1DB0000}"/>
    <cellStyle name="Note 22 9 2" xfId="60444" xr:uid="{00000000-0005-0000-0000-0000F2DB0000}"/>
    <cellStyle name="Note 23" xfId="5948" xr:uid="{00000000-0005-0000-0000-0000F3DB0000}"/>
    <cellStyle name="Note 23 2" xfId="60445" xr:uid="{00000000-0005-0000-0000-0000F4DB0000}"/>
    <cellStyle name="Note 23 2 2" xfId="60446" xr:uid="{00000000-0005-0000-0000-0000F5DB0000}"/>
    <cellStyle name="Note 23 3" xfId="60447" xr:uid="{00000000-0005-0000-0000-0000F6DB0000}"/>
    <cellStyle name="Note 23 4" xfId="60448" xr:uid="{00000000-0005-0000-0000-0000F7DB0000}"/>
    <cellStyle name="Note 24" xfId="9317" xr:uid="{00000000-0005-0000-0000-0000F8DB0000}"/>
    <cellStyle name="Note 3" xfId="5949" xr:uid="{00000000-0005-0000-0000-0000F9DB0000}"/>
    <cellStyle name="Note 3 10" xfId="5950" xr:uid="{00000000-0005-0000-0000-0000FADB0000}"/>
    <cellStyle name="Note 3 10 2" xfId="60449" xr:uid="{00000000-0005-0000-0000-0000FBDB0000}"/>
    <cellStyle name="Note 3 11" xfId="5951" xr:uid="{00000000-0005-0000-0000-0000FCDB0000}"/>
    <cellStyle name="Note 3 12" xfId="5952" xr:uid="{00000000-0005-0000-0000-0000FDDB0000}"/>
    <cellStyle name="Note 3 13" xfId="9318" xr:uid="{00000000-0005-0000-0000-0000FEDB0000}"/>
    <cellStyle name="Note 3 2" xfId="5953" xr:uid="{00000000-0005-0000-0000-0000FFDB0000}"/>
    <cellStyle name="Note 3 2 10" xfId="5954" xr:uid="{00000000-0005-0000-0000-000000DC0000}"/>
    <cellStyle name="Note 3 2 11" xfId="5955" xr:uid="{00000000-0005-0000-0000-000001DC0000}"/>
    <cellStyle name="Note 3 2 12" xfId="60450" xr:uid="{00000000-0005-0000-0000-000002DC0000}"/>
    <cellStyle name="Note 3 2 2" xfId="5956" xr:uid="{00000000-0005-0000-0000-000003DC0000}"/>
    <cellStyle name="Note 3 2 2 2" xfId="5957" xr:uid="{00000000-0005-0000-0000-000004DC0000}"/>
    <cellStyle name="Note 3 2 2 2 2" xfId="5958" xr:uid="{00000000-0005-0000-0000-000005DC0000}"/>
    <cellStyle name="Note 3 2 2 2 2 2" xfId="5959" xr:uid="{00000000-0005-0000-0000-000006DC0000}"/>
    <cellStyle name="Note 3 2 2 2 2 2 2" xfId="5960" xr:uid="{00000000-0005-0000-0000-000007DC0000}"/>
    <cellStyle name="Note 3 2 2 2 2 3" xfId="5961" xr:uid="{00000000-0005-0000-0000-000008DC0000}"/>
    <cellStyle name="Note 3 2 2 2 3" xfId="5962" xr:uid="{00000000-0005-0000-0000-000009DC0000}"/>
    <cellStyle name="Note 3 2 2 2 3 2" xfId="5963" xr:uid="{00000000-0005-0000-0000-00000ADC0000}"/>
    <cellStyle name="Note 3 2 2 2 4" xfId="5964" xr:uid="{00000000-0005-0000-0000-00000BDC0000}"/>
    <cellStyle name="Note 3 2 2 3" xfId="5965" xr:uid="{00000000-0005-0000-0000-00000CDC0000}"/>
    <cellStyle name="Note 3 2 2 3 2" xfId="5966" xr:uid="{00000000-0005-0000-0000-00000DDC0000}"/>
    <cellStyle name="Note 3 2 2 3 2 2" xfId="5967" xr:uid="{00000000-0005-0000-0000-00000EDC0000}"/>
    <cellStyle name="Note 3 2 2 3 3" xfId="5968" xr:uid="{00000000-0005-0000-0000-00000FDC0000}"/>
    <cellStyle name="Note 3 2 2 4" xfId="5969" xr:uid="{00000000-0005-0000-0000-000010DC0000}"/>
    <cellStyle name="Note 3 2 2 4 2" xfId="5970" xr:uid="{00000000-0005-0000-0000-000011DC0000}"/>
    <cellStyle name="Note 3 2 2 5" xfId="5971" xr:uid="{00000000-0005-0000-0000-000012DC0000}"/>
    <cellStyle name="Note 3 2 2 6" xfId="5972" xr:uid="{00000000-0005-0000-0000-000013DC0000}"/>
    <cellStyle name="Note 3 2 3" xfId="5973" xr:uid="{00000000-0005-0000-0000-000014DC0000}"/>
    <cellStyle name="Note 3 2 3 2" xfId="5974" xr:uid="{00000000-0005-0000-0000-000015DC0000}"/>
    <cellStyle name="Note 3 2 3 2 2" xfId="5975" xr:uid="{00000000-0005-0000-0000-000016DC0000}"/>
    <cellStyle name="Note 3 2 3 2 2 2" xfId="5976" xr:uid="{00000000-0005-0000-0000-000017DC0000}"/>
    <cellStyle name="Note 3 2 3 2 3" xfId="5977" xr:uid="{00000000-0005-0000-0000-000018DC0000}"/>
    <cellStyle name="Note 3 2 3 3" xfId="5978" xr:uid="{00000000-0005-0000-0000-000019DC0000}"/>
    <cellStyle name="Note 3 2 3 3 2" xfId="5979" xr:uid="{00000000-0005-0000-0000-00001ADC0000}"/>
    <cellStyle name="Note 3 2 3 4" xfId="5980" xr:uid="{00000000-0005-0000-0000-00001BDC0000}"/>
    <cellStyle name="Note 3 2 3 5" xfId="5981" xr:uid="{00000000-0005-0000-0000-00001CDC0000}"/>
    <cellStyle name="Note 3 2 4" xfId="5982" xr:uid="{00000000-0005-0000-0000-00001DDC0000}"/>
    <cellStyle name="Note 3 2 4 2" xfId="5983" xr:uid="{00000000-0005-0000-0000-00001EDC0000}"/>
    <cellStyle name="Note 3 2 4 2 2" xfId="5984" xr:uid="{00000000-0005-0000-0000-00001FDC0000}"/>
    <cellStyle name="Note 3 2 4 3" xfId="5985" xr:uid="{00000000-0005-0000-0000-000020DC0000}"/>
    <cellStyle name="Note 3 2 4 4" xfId="5986" xr:uid="{00000000-0005-0000-0000-000021DC0000}"/>
    <cellStyle name="Note 3 2 5" xfId="5987" xr:uid="{00000000-0005-0000-0000-000022DC0000}"/>
    <cellStyle name="Note 3 2 5 2" xfId="5988" xr:uid="{00000000-0005-0000-0000-000023DC0000}"/>
    <cellStyle name="Note 3 2 5 3" xfId="5989" xr:uid="{00000000-0005-0000-0000-000024DC0000}"/>
    <cellStyle name="Note 3 2 6" xfId="5990" xr:uid="{00000000-0005-0000-0000-000025DC0000}"/>
    <cellStyle name="Note 3 2 6 2" xfId="5991" xr:uid="{00000000-0005-0000-0000-000026DC0000}"/>
    <cellStyle name="Note 3 2 7" xfId="5992" xr:uid="{00000000-0005-0000-0000-000027DC0000}"/>
    <cellStyle name="Note 3 2 7 2" xfId="60451" xr:uid="{00000000-0005-0000-0000-000028DC0000}"/>
    <cellStyle name="Note 3 2 8" xfId="5993" xr:uid="{00000000-0005-0000-0000-000029DC0000}"/>
    <cellStyle name="Note 3 2 8 2" xfId="60452" xr:uid="{00000000-0005-0000-0000-00002ADC0000}"/>
    <cellStyle name="Note 3 2 9" xfId="5994" xr:uid="{00000000-0005-0000-0000-00002BDC0000}"/>
    <cellStyle name="Note 3 2 9 2" xfId="60453" xr:uid="{00000000-0005-0000-0000-00002CDC0000}"/>
    <cellStyle name="Note 3 3" xfId="5995" xr:uid="{00000000-0005-0000-0000-00002DDC0000}"/>
    <cellStyle name="Note 3 3 2" xfId="5996" xr:uid="{00000000-0005-0000-0000-00002EDC0000}"/>
    <cellStyle name="Note 3 3 2 2" xfId="5997" xr:uid="{00000000-0005-0000-0000-00002FDC0000}"/>
    <cellStyle name="Note 3 3 2 2 2" xfId="5998" xr:uid="{00000000-0005-0000-0000-000030DC0000}"/>
    <cellStyle name="Note 3 3 2 2 2 2" xfId="5999" xr:uid="{00000000-0005-0000-0000-000031DC0000}"/>
    <cellStyle name="Note 3 3 2 2 3" xfId="6000" xr:uid="{00000000-0005-0000-0000-000032DC0000}"/>
    <cellStyle name="Note 3 3 2 3" xfId="6001" xr:uid="{00000000-0005-0000-0000-000033DC0000}"/>
    <cellStyle name="Note 3 3 2 3 2" xfId="6002" xr:uid="{00000000-0005-0000-0000-000034DC0000}"/>
    <cellStyle name="Note 3 3 2 4" xfId="6003" xr:uid="{00000000-0005-0000-0000-000035DC0000}"/>
    <cellStyle name="Note 3 3 3" xfId="6004" xr:uid="{00000000-0005-0000-0000-000036DC0000}"/>
    <cellStyle name="Note 3 3 3 2" xfId="6005" xr:uid="{00000000-0005-0000-0000-000037DC0000}"/>
    <cellStyle name="Note 3 3 3 2 2" xfId="6006" xr:uid="{00000000-0005-0000-0000-000038DC0000}"/>
    <cellStyle name="Note 3 3 3 3" xfId="6007" xr:uid="{00000000-0005-0000-0000-000039DC0000}"/>
    <cellStyle name="Note 3 3 4" xfId="6008" xr:uid="{00000000-0005-0000-0000-00003ADC0000}"/>
    <cellStyle name="Note 3 3 4 2" xfId="6009" xr:uid="{00000000-0005-0000-0000-00003BDC0000}"/>
    <cellStyle name="Note 3 3 5" xfId="6010" xr:uid="{00000000-0005-0000-0000-00003CDC0000}"/>
    <cellStyle name="Note 3 3 6" xfId="6011" xr:uid="{00000000-0005-0000-0000-00003DDC0000}"/>
    <cellStyle name="Note 3 3 7" xfId="60454" xr:uid="{00000000-0005-0000-0000-00003EDC0000}"/>
    <cellStyle name="Note 3 4" xfId="6012" xr:uid="{00000000-0005-0000-0000-00003FDC0000}"/>
    <cellStyle name="Note 3 4 2" xfId="6013" xr:uid="{00000000-0005-0000-0000-000040DC0000}"/>
    <cellStyle name="Note 3 4 2 2" xfId="6014" xr:uid="{00000000-0005-0000-0000-000041DC0000}"/>
    <cellStyle name="Note 3 4 2 2 2" xfId="6015" xr:uid="{00000000-0005-0000-0000-000042DC0000}"/>
    <cellStyle name="Note 3 4 2 3" xfId="6016" xr:uid="{00000000-0005-0000-0000-000043DC0000}"/>
    <cellStyle name="Note 3 4 2 4" xfId="60455" xr:uid="{00000000-0005-0000-0000-000044DC0000}"/>
    <cellStyle name="Note 3 4 3" xfId="6017" xr:uid="{00000000-0005-0000-0000-000045DC0000}"/>
    <cellStyle name="Note 3 4 3 2" xfId="6018" xr:uid="{00000000-0005-0000-0000-000046DC0000}"/>
    <cellStyle name="Note 3 4 4" xfId="6019" xr:uid="{00000000-0005-0000-0000-000047DC0000}"/>
    <cellStyle name="Note 3 4 5" xfId="6020" xr:uid="{00000000-0005-0000-0000-000048DC0000}"/>
    <cellStyle name="Note 3 5" xfId="6021" xr:uid="{00000000-0005-0000-0000-000049DC0000}"/>
    <cellStyle name="Note 3 5 2" xfId="6022" xr:uid="{00000000-0005-0000-0000-00004ADC0000}"/>
    <cellStyle name="Note 3 5 2 2" xfId="6023" xr:uid="{00000000-0005-0000-0000-00004BDC0000}"/>
    <cellStyle name="Note 3 5 3" xfId="6024" xr:uid="{00000000-0005-0000-0000-00004CDC0000}"/>
    <cellStyle name="Note 3 5 4" xfId="6025" xr:uid="{00000000-0005-0000-0000-00004DDC0000}"/>
    <cellStyle name="Note 3 6" xfId="6026" xr:uid="{00000000-0005-0000-0000-00004EDC0000}"/>
    <cellStyle name="Note 3 6 2" xfId="6027" xr:uid="{00000000-0005-0000-0000-00004FDC0000}"/>
    <cellStyle name="Note 3 6 3" xfId="6028" xr:uid="{00000000-0005-0000-0000-000050DC0000}"/>
    <cellStyle name="Note 3 7" xfId="6029" xr:uid="{00000000-0005-0000-0000-000051DC0000}"/>
    <cellStyle name="Note 3 7 2" xfId="6030" xr:uid="{00000000-0005-0000-0000-000052DC0000}"/>
    <cellStyle name="Note 3 8" xfId="6031" xr:uid="{00000000-0005-0000-0000-000053DC0000}"/>
    <cellStyle name="Note 3 8 2" xfId="60456" xr:uid="{00000000-0005-0000-0000-000054DC0000}"/>
    <cellStyle name="Note 3 9" xfId="6032" xr:uid="{00000000-0005-0000-0000-000055DC0000}"/>
    <cellStyle name="Note 3 9 2" xfId="60457" xr:uid="{00000000-0005-0000-0000-000056DC0000}"/>
    <cellStyle name="Note 4" xfId="6033" xr:uid="{00000000-0005-0000-0000-000057DC0000}"/>
    <cellStyle name="Note 4 10" xfId="6034" xr:uid="{00000000-0005-0000-0000-000058DC0000}"/>
    <cellStyle name="Note 4 10 2" xfId="60458" xr:uid="{00000000-0005-0000-0000-000059DC0000}"/>
    <cellStyle name="Note 4 11" xfId="6035" xr:uid="{00000000-0005-0000-0000-00005ADC0000}"/>
    <cellStyle name="Note 4 12" xfId="6036" xr:uid="{00000000-0005-0000-0000-00005BDC0000}"/>
    <cellStyle name="Note 4 13" xfId="9319" xr:uid="{00000000-0005-0000-0000-00005CDC0000}"/>
    <cellStyle name="Note 4 2" xfId="6037" xr:uid="{00000000-0005-0000-0000-00005DDC0000}"/>
    <cellStyle name="Note 4 2 10" xfId="6038" xr:uid="{00000000-0005-0000-0000-00005EDC0000}"/>
    <cellStyle name="Note 4 2 11" xfId="6039" xr:uid="{00000000-0005-0000-0000-00005FDC0000}"/>
    <cellStyle name="Note 4 2 12" xfId="9320" xr:uid="{00000000-0005-0000-0000-000060DC0000}"/>
    <cellStyle name="Note 4 2 2" xfId="6040" xr:uid="{00000000-0005-0000-0000-000061DC0000}"/>
    <cellStyle name="Note 4 2 2 2" xfId="6041" xr:uid="{00000000-0005-0000-0000-000062DC0000}"/>
    <cellStyle name="Note 4 2 2 2 2" xfId="6042" xr:uid="{00000000-0005-0000-0000-000063DC0000}"/>
    <cellStyle name="Note 4 2 2 2 2 2" xfId="6043" xr:uid="{00000000-0005-0000-0000-000064DC0000}"/>
    <cellStyle name="Note 4 2 2 2 2 2 2" xfId="6044" xr:uid="{00000000-0005-0000-0000-000065DC0000}"/>
    <cellStyle name="Note 4 2 2 2 2 3" xfId="6045" xr:uid="{00000000-0005-0000-0000-000066DC0000}"/>
    <cellStyle name="Note 4 2 2 2 3" xfId="6046" xr:uid="{00000000-0005-0000-0000-000067DC0000}"/>
    <cellStyle name="Note 4 2 2 2 3 2" xfId="6047" xr:uid="{00000000-0005-0000-0000-000068DC0000}"/>
    <cellStyle name="Note 4 2 2 2 4" xfId="6048" xr:uid="{00000000-0005-0000-0000-000069DC0000}"/>
    <cellStyle name="Note 4 2 2 2 5" xfId="9321" xr:uid="{00000000-0005-0000-0000-00006ADC0000}"/>
    <cellStyle name="Note 4 2 2 3" xfId="6049" xr:uid="{00000000-0005-0000-0000-00006BDC0000}"/>
    <cellStyle name="Note 4 2 2 3 2" xfId="6050" xr:uid="{00000000-0005-0000-0000-00006CDC0000}"/>
    <cellStyle name="Note 4 2 2 3 2 2" xfId="6051" xr:uid="{00000000-0005-0000-0000-00006DDC0000}"/>
    <cellStyle name="Note 4 2 2 3 3" xfId="6052" xr:uid="{00000000-0005-0000-0000-00006EDC0000}"/>
    <cellStyle name="Note 4 2 2 4" xfId="6053" xr:uid="{00000000-0005-0000-0000-00006FDC0000}"/>
    <cellStyle name="Note 4 2 2 4 2" xfId="6054" xr:uid="{00000000-0005-0000-0000-000070DC0000}"/>
    <cellStyle name="Note 4 2 2 5" xfId="6055" xr:uid="{00000000-0005-0000-0000-000071DC0000}"/>
    <cellStyle name="Note 4 2 2 6" xfId="6056" xr:uid="{00000000-0005-0000-0000-000072DC0000}"/>
    <cellStyle name="Note 4 2 2 7" xfId="9322" xr:uid="{00000000-0005-0000-0000-000073DC0000}"/>
    <cellStyle name="Note 4 2 3" xfId="6057" xr:uid="{00000000-0005-0000-0000-000074DC0000}"/>
    <cellStyle name="Note 4 2 3 2" xfId="6058" xr:uid="{00000000-0005-0000-0000-000075DC0000}"/>
    <cellStyle name="Note 4 2 3 2 2" xfId="6059" xr:uid="{00000000-0005-0000-0000-000076DC0000}"/>
    <cellStyle name="Note 4 2 3 2 2 2" xfId="6060" xr:uid="{00000000-0005-0000-0000-000077DC0000}"/>
    <cellStyle name="Note 4 2 3 2 3" xfId="6061" xr:uid="{00000000-0005-0000-0000-000078DC0000}"/>
    <cellStyle name="Note 4 2 3 3" xfId="6062" xr:uid="{00000000-0005-0000-0000-000079DC0000}"/>
    <cellStyle name="Note 4 2 3 3 2" xfId="6063" xr:uid="{00000000-0005-0000-0000-00007ADC0000}"/>
    <cellStyle name="Note 4 2 3 4" xfId="6064" xr:uid="{00000000-0005-0000-0000-00007BDC0000}"/>
    <cellStyle name="Note 4 2 3 5" xfId="6065" xr:uid="{00000000-0005-0000-0000-00007CDC0000}"/>
    <cellStyle name="Note 4 2 3 6" xfId="9323" xr:uid="{00000000-0005-0000-0000-00007DDC0000}"/>
    <cellStyle name="Note 4 2 4" xfId="6066" xr:uid="{00000000-0005-0000-0000-00007EDC0000}"/>
    <cellStyle name="Note 4 2 4 2" xfId="6067" xr:uid="{00000000-0005-0000-0000-00007FDC0000}"/>
    <cellStyle name="Note 4 2 4 2 2" xfId="6068" xr:uid="{00000000-0005-0000-0000-000080DC0000}"/>
    <cellStyle name="Note 4 2 4 3" xfId="6069" xr:uid="{00000000-0005-0000-0000-000081DC0000}"/>
    <cellStyle name="Note 4 2 4 4" xfId="6070" xr:uid="{00000000-0005-0000-0000-000082DC0000}"/>
    <cellStyle name="Note 4 2 5" xfId="6071" xr:uid="{00000000-0005-0000-0000-000083DC0000}"/>
    <cellStyle name="Note 4 2 5 2" xfId="6072" xr:uid="{00000000-0005-0000-0000-000084DC0000}"/>
    <cellStyle name="Note 4 2 5 3" xfId="6073" xr:uid="{00000000-0005-0000-0000-000085DC0000}"/>
    <cellStyle name="Note 4 2 6" xfId="6074" xr:uid="{00000000-0005-0000-0000-000086DC0000}"/>
    <cellStyle name="Note 4 2 6 2" xfId="6075" xr:uid="{00000000-0005-0000-0000-000087DC0000}"/>
    <cellStyle name="Note 4 2 7" xfId="6076" xr:uid="{00000000-0005-0000-0000-000088DC0000}"/>
    <cellStyle name="Note 4 2 7 2" xfId="60459" xr:uid="{00000000-0005-0000-0000-000089DC0000}"/>
    <cellStyle name="Note 4 2 8" xfId="6077" xr:uid="{00000000-0005-0000-0000-00008ADC0000}"/>
    <cellStyle name="Note 4 2 8 2" xfId="60460" xr:uid="{00000000-0005-0000-0000-00008BDC0000}"/>
    <cellStyle name="Note 4 2 9" xfId="6078" xr:uid="{00000000-0005-0000-0000-00008CDC0000}"/>
    <cellStyle name="Note 4 2 9 2" xfId="60461" xr:uid="{00000000-0005-0000-0000-00008DDC0000}"/>
    <cellStyle name="Note 4 3" xfId="6079" xr:uid="{00000000-0005-0000-0000-00008EDC0000}"/>
    <cellStyle name="Note 4 3 2" xfId="6080" xr:uid="{00000000-0005-0000-0000-00008FDC0000}"/>
    <cellStyle name="Note 4 3 2 2" xfId="6081" xr:uid="{00000000-0005-0000-0000-000090DC0000}"/>
    <cellStyle name="Note 4 3 2 2 2" xfId="6082" xr:uid="{00000000-0005-0000-0000-000091DC0000}"/>
    <cellStyle name="Note 4 3 2 2 2 2" xfId="6083" xr:uid="{00000000-0005-0000-0000-000092DC0000}"/>
    <cellStyle name="Note 4 3 2 2 3" xfId="6084" xr:uid="{00000000-0005-0000-0000-000093DC0000}"/>
    <cellStyle name="Note 4 3 2 3" xfId="6085" xr:uid="{00000000-0005-0000-0000-000094DC0000}"/>
    <cellStyle name="Note 4 3 2 3 2" xfId="6086" xr:uid="{00000000-0005-0000-0000-000095DC0000}"/>
    <cellStyle name="Note 4 3 2 4" xfId="6087" xr:uid="{00000000-0005-0000-0000-000096DC0000}"/>
    <cellStyle name="Note 4 3 2 5" xfId="9324" xr:uid="{00000000-0005-0000-0000-000097DC0000}"/>
    <cellStyle name="Note 4 3 3" xfId="6088" xr:uid="{00000000-0005-0000-0000-000098DC0000}"/>
    <cellStyle name="Note 4 3 3 2" xfId="6089" xr:uid="{00000000-0005-0000-0000-000099DC0000}"/>
    <cellStyle name="Note 4 3 3 2 2" xfId="6090" xr:uid="{00000000-0005-0000-0000-00009ADC0000}"/>
    <cellStyle name="Note 4 3 3 3" xfId="6091" xr:uid="{00000000-0005-0000-0000-00009BDC0000}"/>
    <cellStyle name="Note 4 3 4" xfId="6092" xr:uid="{00000000-0005-0000-0000-00009CDC0000}"/>
    <cellStyle name="Note 4 3 4 2" xfId="6093" xr:uid="{00000000-0005-0000-0000-00009DDC0000}"/>
    <cellStyle name="Note 4 3 5" xfId="6094" xr:uid="{00000000-0005-0000-0000-00009EDC0000}"/>
    <cellStyle name="Note 4 3 6" xfId="6095" xr:uid="{00000000-0005-0000-0000-00009FDC0000}"/>
    <cellStyle name="Note 4 3 7" xfId="9325" xr:uid="{00000000-0005-0000-0000-0000A0DC0000}"/>
    <cellStyle name="Note 4 4" xfId="6096" xr:uid="{00000000-0005-0000-0000-0000A1DC0000}"/>
    <cellStyle name="Note 4 4 2" xfId="6097" xr:uid="{00000000-0005-0000-0000-0000A2DC0000}"/>
    <cellStyle name="Note 4 4 2 2" xfId="6098" xr:uid="{00000000-0005-0000-0000-0000A3DC0000}"/>
    <cellStyle name="Note 4 4 2 2 2" xfId="6099" xr:uid="{00000000-0005-0000-0000-0000A4DC0000}"/>
    <cellStyle name="Note 4 4 2 3" xfId="6100" xr:uid="{00000000-0005-0000-0000-0000A5DC0000}"/>
    <cellStyle name="Note 4 4 3" xfId="6101" xr:uid="{00000000-0005-0000-0000-0000A6DC0000}"/>
    <cellStyle name="Note 4 4 3 2" xfId="6102" xr:uid="{00000000-0005-0000-0000-0000A7DC0000}"/>
    <cellStyle name="Note 4 4 4" xfId="6103" xr:uid="{00000000-0005-0000-0000-0000A8DC0000}"/>
    <cellStyle name="Note 4 4 5" xfId="6104" xr:uid="{00000000-0005-0000-0000-0000A9DC0000}"/>
    <cellStyle name="Note 4 4 6" xfId="9326" xr:uid="{00000000-0005-0000-0000-0000AADC0000}"/>
    <cellStyle name="Note 4 5" xfId="6105" xr:uid="{00000000-0005-0000-0000-0000ABDC0000}"/>
    <cellStyle name="Note 4 5 2" xfId="6106" xr:uid="{00000000-0005-0000-0000-0000ACDC0000}"/>
    <cellStyle name="Note 4 5 2 2" xfId="6107" xr:uid="{00000000-0005-0000-0000-0000ADDC0000}"/>
    <cellStyle name="Note 4 5 3" xfId="6108" xr:uid="{00000000-0005-0000-0000-0000AEDC0000}"/>
    <cellStyle name="Note 4 5 4" xfId="6109" xr:uid="{00000000-0005-0000-0000-0000AFDC0000}"/>
    <cellStyle name="Note 4 6" xfId="6110" xr:uid="{00000000-0005-0000-0000-0000B0DC0000}"/>
    <cellStyle name="Note 4 6 2" xfId="6111" xr:uid="{00000000-0005-0000-0000-0000B1DC0000}"/>
    <cellStyle name="Note 4 6 3" xfId="6112" xr:uid="{00000000-0005-0000-0000-0000B2DC0000}"/>
    <cellStyle name="Note 4 7" xfId="6113" xr:uid="{00000000-0005-0000-0000-0000B3DC0000}"/>
    <cellStyle name="Note 4 7 2" xfId="6114" xr:uid="{00000000-0005-0000-0000-0000B4DC0000}"/>
    <cellStyle name="Note 4 8" xfId="6115" xr:uid="{00000000-0005-0000-0000-0000B5DC0000}"/>
    <cellStyle name="Note 4 8 2" xfId="60462" xr:uid="{00000000-0005-0000-0000-0000B6DC0000}"/>
    <cellStyle name="Note 4 9" xfId="6116" xr:uid="{00000000-0005-0000-0000-0000B7DC0000}"/>
    <cellStyle name="Note 4 9 2" xfId="60463" xr:uid="{00000000-0005-0000-0000-0000B8DC0000}"/>
    <cellStyle name="Note 5" xfId="6117" xr:uid="{00000000-0005-0000-0000-0000B9DC0000}"/>
    <cellStyle name="Note 5 10" xfId="6118" xr:uid="{00000000-0005-0000-0000-0000BADC0000}"/>
    <cellStyle name="Note 5 10 2" xfId="56127" xr:uid="{00000000-0005-0000-0000-0000BBDC0000}"/>
    <cellStyle name="Note 5 10 2 2" xfId="56128" xr:uid="{00000000-0005-0000-0000-0000BCDC0000}"/>
    <cellStyle name="Note 5 10 2 3" xfId="56129" xr:uid="{00000000-0005-0000-0000-0000BDDC0000}"/>
    <cellStyle name="Note 5 10 3" xfId="56130" xr:uid="{00000000-0005-0000-0000-0000BEDC0000}"/>
    <cellStyle name="Note 5 10 3 2" xfId="56131" xr:uid="{00000000-0005-0000-0000-0000BFDC0000}"/>
    <cellStyle name="Note 5 10 4" xfId="56132" xr:uid="{00000000-0005-0000-0000-0000C0DC0000}"/>
    <cellStyle name="Note 5 10 5" xfId="56133" xr:uid="{00000000-0005-0000-0000-0000C1DC0000}"/>
    <cellStyle name="Note 5 11" xfId="6119" xr:uid="{00000000-0005-0000-0000-0000C2DC0000}"/>
    <cellStyle name="Note 5 11 2" xfId="56134" xr:uid="{00000000-0005-0000-0000-0000C3DC0000}"/>
    <cellStyle name="Note 5 11 3" xfId="56135" xr:uid="{00000000-0005-0000-0000-0000C4DC0000}"/>
    <cellStyle name="Note 5 12" xfId="6120" xr:uid="{00000000-0005-0000-0000-0000C5DC0000}"/>
    <cellStyle name="Note 5 12 2" xfId="56136" xr:uid="{00000000-0005-0000-0000-0000C6DC0000}"/>
    <cellStyle name="Note 5 12 3" xfId="56137" xr:uid="{00000000-0005-0000-0000-0000C7DC0000}"/>
    <cellStyle name="Note 5 13" xfId="9327" xr:uid="{00000000-0005-0000-0000-0000C8DC0000}"/>
    <cellStyle name="Note 5 13 2" xfId="56138" xr:uid="{00000000-0005-0000-0000-0000C9DC0000}"/>
    <cellStyle name="Note 5 14" xfId="56139" xr:uid="{00000000-0005-0000-0000-0000CADC0000}"/>
    <cellStyle name="Note 5 15" xfId="56140" xr:uid="{00000000-0005-0000-0000-0000CBDC0000}"/>
    <cellStyle name="Note 5 16" xfId="56141" xr:uid="{00000000-0005-0000-0000-0000CCDC0000}"/>
    <cellStyle name="Note 5 2" xfId="6121" xr:uid="{00000000-0005-0000-0000-0000CDDC0000}"/>
    <cellStyle name="Note 5 2 10" xfId="6122" xr:uid="{00000000-0005-0000-0000-0000CEDC0000}"/>
    <cellStyle name="Note 5 2 10 2" xfId="56142" xr:uid="{00000000-0005-0000-0000-0000CFDC0000}"/>
    <cellStyle name="Note 5 2 10 3" xfId="56143" xr:uid="{00000000-0005-0000-0000-0000D0DC0000}"/>
    <cellStyle name="Note 5 2 11" xfId="6123" xr:uid="{00000000-0005-0000-0000-0000D1DC0000}"/>
    <cellStyle name="Note 5 2 11 2" xfId="56144" xr:uid="{00000000-0005-0000-0000-0000D2DC0000}"/>
    <cellStyle name="Note 5 2 11 3" xfId="56145" xr:uid="{00000000-0005-0000-0000-0000D3DC0000}"/>
    <cellStyle name="Note 5 2 12" xfId="9328" xr:uid="{00000000-0005-0000-0000-0000D4DC0000}"/>
    <cellStyle name="Note 5 2 12 2" xfId="56146" xr:uid="{00000000-0005-0000-0000-0000D5DC0000}"/>
    <cellStyle name="Note 5 2 13" xfId="56147" xr:uid="{00000000-0005-0000-0000-0000D6DC0000}"/>
    <cellStyle name="Note 5 2 14" xfId="56148" xr:uid="{00000000-0005-0000-0000-0000D7DC0000}"/>
    <cellStyle name="Note 5 2 15" xfId="56149" xr:uid="{00000000-0005-0000-0000-0000D8DC0000}"/>
    <cellStyle name="Note 5 2 2" xfId="6124" xr:uid="{00000000-0005-0000-0000-0000D9DC0000}"/>
    <cellStyle name="Note 5 2 2 10" xfId="56150" xr:uid="{00000000-0005-0000-0000-0000DADC0000}"/>
    <cellStyle name="Note 5 2 2 10 2" xfId="56151" xr:uid="{00000000-0005-0000-0000-0000DBDC0000}"/>
    <cellStyle name="Note 5 2 2 10 3" xfId="56152" xr:uid="{00000000-0005-0000-0000-0000DCDC0000}"/>
    <cellStyle name="Note 5 2 2 11" xfId="56153" xr:uid="{00000000-0005-0000-0000-0000DDDC0000}"/>
    <cellStyle name="Note 5 2 2 11 2" xfId="56154" xr:uid="{00000000-0005-0000-0000-0000DEDC0000}"/>
    <cellStyle name="Note 5 2 2 12" xfId="56155" xr:uid="{00000000-0005-0000-0000-0000DFDC0000}"/>
    <cellStyle name="Note 5 2 2 13" xfId="56156" xr:uid="{00000000-0005-0000-0000-0000E0DC0000}"/>
    <cellStyle name="Note 5 2 2 2" xfId="6125" xr:uid="{00000000-0005-0000-0000-0000E1DC0000}"/>
    <cellStyle name="Note 5 2 2 2 10" xfId="56157" xr:uid="{00000000-0005-0000-0000-0000E2DC0000}"/>
    <cellStyle name="Note 5 2 2 2 10 2" xfId="56158" xr:uid="{00000000-0005-0000-0000-0000E3DC0000}"/>
    <cellStyle name="Note 5 2 2 2 11" xfId="56159" xr:uid="{00000000-0005-0000-0000-0000E4DC0000}"/>
    <cellStyle name="Note 5 2 2 2 12" xfId="56160" xr:uid="{00000000-0005-0000-0000-0000E5DC0000}"/>
    <cellStyle name="Note 5 2 2 2 2" xfId="9329" xr:uid="{00000000-0005-0000-0000-0000E6DC0000}"/>
    <cellStyle name="Note 5 2 2 2 2 10" xfId="56161" xr:uid="{00000000-0005-0000-0000-0000E7DC0000}"/>
    <cellStyle name="Note 5 2 2 2 2 2" xfId="56162" xr:uid="{00000000-0005-0000-0000-0000E8DC0000}"/>
    <cellStyle name="Note 5 2 2 2 2 2 2" xfId="56163" xr:uid="{00000000-0005-0000-0000-0000E9DC0000}"/>
    <cellStyle name="Note 5 2 2 2 2 2 2 2" xfId="56164" xr:uid="{00000000-0005-0000-0000-0000EADC0000}"/>
    <cellStyle name="Note 5 2 2 2 2 2 2 2 2" xfId="56165" xr:uid="{00000000-0005-0000-0000-0000EBDC0000}"/>
    <cellStyle name="Note 5 2 2 2 2 2 2 2 3" xfId="56166" xr:uid="{00000000-0005-0000-0000-0000ECDC0000}"/>
    <cellStyle name="Note 5 2 2 2 2 2 2 3" xfId="56167" xr:uid="{00000000-0005-0000-0000-0000EDDC0000}"/>
    <cellStyle name="Note 5 2 2 2 2 2 2 3 2" xfId="56168" xr:uid="{00000000-0005-0000-0000-0000EEDC0000}"/>
    <cellStyle name="Note 5 2 2 2 2 2 2 3 3" xfId="56169" xr:uid="{00000000-0005-0000-0000-0000EFDC0000}"/>
    <cellStyle name="Note 5 2 2 2 2 2 2 4" xfId="56170" xr:uid="{00000000-0005-0000-0000-0000F0DC0000}"/>
    <cellStyle name="Note 5 2 2 2 2 2 2 4 2" xfId="56171" xr:uid="{00000000-0005-0000-0000-0000F1DC0000}"/>
    <cellStyle name="Note 5 2 2 2 2 2 2 5" xfId="56172" xr:uid="{00000000-0005-0000-0000-0000F2DC0000}"/>
    <cellStyle name="Note 5 2 2 2 2 2 2 6" xfId="56173" xr:uid="{00000000-0005-0000-0000-0000F3DC0000}"/>
    <cellStyle name="Note 5 2 2 2 2 2 3" xfId="56174" xr:uid="{00000000-0005-0000-0000-0000F4DC0000}"/>
    <cellStyle name="Note 5 2 2 2 2 2 3 2" xfId="56175" xr:uid="{00000000-0005-0000-0000-0000F5DC0000}"/>
    <cellStyle name="Note 5 2 2 2 2 2 3 2 2" xfId="56176" xr:uid="{00000000-0005-0000-0000-0000F6DC0000}"/>
    <cellStyle name="Note 5 2 2 2 2 2 3 2 3" xfId="56177" xr:uid="{00000000-0005-0000-0000-0000F7DC0000}"/>
    <cellStyle name="Note 5 2 2 2 2 2 3 3" xfId="56178" xr:uid="{00000000-0005-0000-0000-0000F8DC0000}"/>
    <cellStyle name="Note 5 2 2 2 2 2 3 3 2" xfId="56179" xr:uid="{00000000-0005-0000-0000-0000F9DC0000}"/>
    <cellStyle name="Note 5 2 2 2 2 2 3 3 3" xfId="56180" xr:uid="{00000000-0005-0000-0000-0000FADC0000}"/>
    <cellStyle name="Note 5 2 2 2 2 2 3 4" xfId="56181" xr:uid="{00000000-0005-0000-0000-0000FBDC0000}"/>
    <cellStyle name="Note 5 2 2 2 2 2 3 4 2" xfId="56182" xr:uid="{00000000-0005-0000-0000-0000FCDC0000}"/>
    <cellStyle name="Note 5 2 2 2 2 2 3 5" xfId="56183" xr:uid="{00000000-0005-0000-0000-0000FDDC0000}"/>
    <cellStyle name="Note 5 2 2 2 2 2 3 6" xfId="56184" xr:uid="{00000000-0005-0000-0000-0000FEDC0000}"/>
    <cellStyle name="Note 5 2 2 2 2 2 4" xfId="56185" xr:uid="{00000000-0005-0000-0000-0000FFDC0000}"/>
    <cellStyle name="Note 5 2 2 2 2 2 4 2" xfId="56186" xr:uid="{00000000-0005-0000-0000-000000DD0000}"/>
    <cellStyle name="Note 5 2 2 2 2 2 4 2 2" xfId="56187" xr:uid="{00000000-0005-0000-0000-000001DD0000}"/>
    <cellStyle name="Note 5 2 2 2 2 2 4 2 3" xfId="56188" xr:uid="{00000000-0005-0000-0000-000002DD0000}"/>
    <cellStyle name="Note 5 2 2 2 2 2 4 3" xfId="56189" xr:uid="{00000000-0005-0000-0000-000003DD0000}"/>
    <cellStyle name="Note 5 2 2 2 2 2 4 3 2" xfId="56190" xr:uid="{00000000-0005-0000-0000-000004DD0000}"/>
    <cellStyle name="Note 5 2 2 2 2 2 4 4" xfId="56191" xr:uid="{00000000-0005-0000-0000-000005DD0000}"/>
    <cellStyle name="Note 5 2 2 2 2 2 4 5" xfId="56192" xr:uid="{00000000-0005-0000-0000-000006DD0000}"/>
    <cellStyle name="Note 5 2 2 2 2 2 5" xfId="56193" xr:uid="{00000000-0005-0000-0000-000007DD0000}"/>
    <cellStyle name="Note 5 2 2 2 2 2 5 2" xfId="56194" xr:uid="{00000000-0005-0000-0000-000008DD0000}"/>
    <cellStyle name="Note 5 2 2 2 2 2 5 3" xfId="56195" xr:uid="{00000000-0005-0000-0000-000009DD0000}"/>
    <cellStyle name="Note 5 2 2 2 2 2 6" xfId="56196" xr:uid="{00000000-0005-0000-0000-00000ADD0000}"/>
    <cellStyle name="Note 5 2 2 2 2 2 6 2" xfId="56197" xr:uid="{00000000-0005-0000-0000-00000BDD0000}"/>
    <cellStyle name="Note 5 2 2 2 2 2 6 3" xfId="56198" xr:uid="{00000000-0005-0000-0000-00000CDD0000}"/>
    <cellStyle name="Note 5 2 2 2 2 2 7" xfId="56199" xr:uid="{00000000-0005-0000-0000-00000DDD0000}"/>
    <cellStyle name="Note 5 2 2 2 2 2 7 2" xfId="56200" xr:uid="{00000000-0005-0000-0000-00000EDD0000}"/>
    <cellStyle name="Note 5 2 2 2 2 2 8" xfId="56201" xr:uid="{00000000-0005-0000-0000-00000FDD0000}"/>
    <cellStyle name="Note 5 2 2 2 2 2 9" xfId="56202" xr:uid="{00000000-0005-0000-0000-000010DD0000}"/>
    <cellStyle name="Note 5 2 2 2 2 3" xfId="56203" xr:uid="{00000000-0005-0000-0000-000011DD0000}"/>
    <cellStyle name="Note 5 2 2 2 2 3 2" xfId="56204" xr:uid="{00000000-0005-0000-0000-000012DD0000}"/>
    <cellStyle name="Note 5 2 2 2 2 3 2 2" xfId="56205" xr:uid="{00000000-0005-0000-0000-000013DD0000}"/>
    <cellStyle name="Note 5 2 2 2 2 3 2 3" xfId="56206" xr:uid="{00000000-0005-0000-0000-000014DD0000}"/>
    <cellStyle name="Note 5 2 2 2 2 3 3" xfId="56207" xr:uid="{00000000-0005-0000-0000-000015DD0000}"/>
    <cellStyle name="Note 5 2 2 2 2 3 3 2" xfId="56208" xr:uid="{00000000-0005-0000-0000-000016DD0000}"/>
    <cellStyle name="Note 5 2 2 2 2 3 3 3" xfId="56209" xr:uid="{00000000-0005-0000-0000-000017DD0000}"/>
    <cellStyle name="Note 5 2 2 2 2 3 4" xfId="56210" xr:uid="{00000000-0005-0000-0000-000018DD0000}"/>
    <cellStyle name="Note 5 2 2 2 2 3 4 2" xfId="56211" xr:uid="{00000000-0005-0000-0000-000019DD0000}"/>
    <cellStyle name="Note 5 2 2 2 2 3 5" xfId="56212" xr:uid="{00000000-0005-0000-0000-00001ADD0000}"/>
    <cellStyle name="Note 5 2 2 2 2 3 6" xfId="56213" xr:uid="{00000000-0005-0000-0000-00001BDD0000}"/>
    <cellStyle name="Note 5 2 2 2 2 4" xfId="56214" xr:uid="{00000000-0005-0000-0000-00001CDD0000}"/>
    <cellStyle name="Note 5 2 2 2 2 4 2" xfId="56215" xr:uid="{00000000-0005-0000-0000-00001DDD0000}"/>
    <cellStyle name="Note 5 2 2 2 2 4 2 2" xfId="56216" xr:uid="{00000000-0005-0000-0000-00001EDD0000}"/>
    <cellStyle name="Note 5 2 2 2 2 4 2 3" xfId="56217" xr:uid="{00000000-0005-0000-0000-00001FDD0000}"/>
    <cellStyle name="Note 5 2 2 2 2 4 3" xfId="56218" xr:uid="{00000000-0005-0000-0000-000020DD0000}"/>
    <cellStyle name="Note 5 2 2 2 2 4 3 2" xfId="56219" xr:uid="{00000000-0005-0000-0000-000021DD0000}"/>
    <cellStyle name="Note 5 2 2 2 2 4 3 3" xfId="56220" xr:uid="{00000000-0005-0000-0000-000022DD0000}"/>
    <cellStyle name="Note 5 2 2 2 2 4 4" xfId="56221" xr:uid="{00000000-0005-0000-0000-000023DD0000}"/>
    <cellStyle name="Note 5 2 2 2 2 4 4 2" xfId="56222" xr:uid="{00000000-0005-0000-0000-000024DD0000}"/>
    <cellStyle name="Note 5 2 2 2 2 4 5" xfId="56223" xr:uid="{00000000-0005-0000-0000-000025DD0000}"/>
    <cellStyle name="Note 5 2 2 2 2 4 6" xfId="56224" xr:uid="{00000000-0005-0000-0000-000026DD0000}"/>
    <cellStyle name="Note 5 2 2 2 2 5" xfId="56225" xr:uid="{00000000-0005-0000-0000-000027DD0000}"/>
    <cellStyle name="Note 5 2 2 2 2 5 2" xfId="56226" xr:uid="{00000000-0005-0000-0000-000028DD0000}"/>
    <cellStyle name="Note 5 2 2 2 2 5 2 2" xfId="56227" xr:uid="{00000000-0005-0000-0000-000029DD0000}"/>
    <cellStyle name="Note 5 2 2 2 2 5 2 3" xfId="56228" xr:uid="{00000000-0005-0000-0000-00002ADD0000}"/>
    <cellStyle name="Note 5 2 2 2 2 5 3" xfId="56229" xr:uid="{00000000-0005-0000-0000-00002BDD0000}"/>
    <cellStyle name="Note 5 2 2 2 2 5 3 2" xfId="56230" xr:uid="{00000000-0005-0000-0000-00002CDD0000}"/>
    <cellStyle name="Note 5 2 2 2 2 5 4" xfId="56231" xr:uid="{00000000-0005-0000-0000-00002DDD0000}"/>
    <cellStyle name="Note 5 2 2 2 2 5 5" xfId="56232" xr:uid="{00000000-0005-0000-0000-00002EDD0000}"/>
    <cellStyle name="Note 5 2 2 2 2 6" xfId="56233" xr:uid="{00000000-0005-0000-0000-00002FDD0000}"/>
    <cellStyle name="Note 5 2 2 2 2 6 2" xfId="56234" xr:uid="{00000000-0005-0000-0000-000030DD0000}"/>
    <cellStyle name="Note 5 2 2 2 2 6 3" xfId="56235" xr:uid="{00000000-0005-0000-0000-000031DD0000}"/>
    <cellStyle name="Note 5 2 2 2 2 7" xfId="56236" xr:uid="{00000000-0005-0000-0000-000032DD0000}"/>
    <cellStyle name="Note 5 2 2 2 2 7 2" xfId="56237" xr:uid="{00000000-0005-0000-0000-000033DD0000}"/>
    <cellStyle name="Note 5 2 2 2 2 7 3" xfId="56238" xr:uid="{00000000-0005-0000-0000-000034DD0000}"/>
    <cellStyle name="Note 5 2 2 2 2 8" xfId="56239" xr:uid="{00000000-0005-0000-0000-000035DD0000}"/>
    <cellStyle name="Note 5 2 2 2 2 8 2" xfId="56240" xr:uid="{00000000-0005-0000-0000-000036DD0000}"/>
    <cellStyle name="Note 5 2 2 2 2 9" xfId="56241" xr:uid="{00000000-0005-0000-0000-000037DD0000}"/>
    <cellStyle name="Note 5 2 2 2 3" xfId="56242" xr:uid="{00000000-0005-0000-0000-000038DD0000}"/>
    <cellStyle name="Note 5 2 2 2 3 2" xfId="56243" xr:uid="{00000000-0005-0000-0000-000039DD0000}"/>
    <cellStyle name="Note 5 2 2 2 3 2 2" xfId="56244" xr:uid="{00000000-0005-0000-0000-00003ADD0000}"/>
    <cellStyle name="Note 5 2 2 2 3 2 2 2" xfId="56245" xr:uid="{00000000-0005-0000-0000-00003BDD0000}"/>
    <cellStyle name="Note 5 2 2 2 3 2 2 3" xfId="56246" xr:uid="{00000000-0005-0000-0000-00003CDD0000}"/>
    <cellStyle name="Note 5 2 2 2 3 2 3" xfId="56247" xr:uid="{00000000-0005-0000-0000-00003DDD0000}"/>
    <cellStyle name="Note 5 2 2 2 3 2 3 2" xfId="56248" xr:uid="{00000000-0005-0000-0000-00003EDD0000}"/>
    <cellStyle name="Note 5 2 2 2 3 2 3 3" xfId="56249" xr:uid="{00000000-0005-0000-0000-00003FDD0000}"/>
    <cellStyle name="Note 5 2 2 2 3 2 4" xfId="56250" xr:uid="{00000000-0005-0000-0000-000040DD0000}"/>
    <cellStyle name="Note 5 2 2 2 3 2 4 2" xfId="56251" xr:uid="{00000000-0005-0000-0000-000041DD0000}"/>
    <cellStyle name="Note 5 2 2 2 3 2 5" xfId="56252" xr:uid="{00000000-0005-0000-0000-000042DD0000}"/>
    <cellStyle name="Note 5 2 2 2 3 2 6" xfId="56253" xr:uid="{00000000-0005-0000-0000-000043DD0000}"/>
    <cellStyle name="Note 5 2 2 2 3 3" xfId="56254" xr:uid="{00000000-0005-0000-0000-000044DD0000}"/>
    <cellStyle name="Note 5 2 2 2 3 3 2" xfId="56255" xr:uid="{00000000-0005-0000-0000-000045DD0000}"/>
    <cellStyle name="Note 5 2 2 2 3 3 2 2" xfId="56256" xr:uid="{00000000-0005-0000-0000-000046DD0000}"/>
    <cellStyle name="Note 5 2 2 2 3 3 2 3" xfId="56257" xr:uid="{00000000-0005-0000-0000-000047DD0000}"/>
    <cellStyle name="Note 5 2 2 2 3 3 3" xfId="56258" xr:uid="{00000000-0005-0000-0000-000048DD0000}"/>
    <cellStyle name="Note 5 2 2 2 3 3 3 2" xfId="56259" xr:uid="{00000000-0005-0000-0000-000049DD0000}"/>
    <cellStyle name="Note 5 2 2 2 3 3 3 3" xfId="56260" xr:uid="{00000000-0005-0000-0000-00004ADD0000}"/>
    <cellStyle name="Note 5 2 2 2 3 3 4" xfId="56261" xr:uid="{00000000-0005-0000-0000-00004BDD0000}"/>
    <cellStyle name="Note 5 2 2 2 3 3 4 2" xfId="56262" xr:uid="{00000000-0005-0000-0000-00004CDD0000}"/>
    <cellStyle name="Note 5 2 2 2 3 3 5" xfId="56263" xr:uid="{00000000-0005-0000-0000-00004DDD0000}"/>
    <cellStyle name="Note 5 2 2 2 3 3 6" xfId="56264" xr:uid="{00000000-0005-0000-0000-00004EDD0000}"/>
    <cellStyle name="Note 5 2 2 2 3 4" xfId="56265" xr:uid="{00000000-0005-0000-0000-00004FDD0000}"/>
    <cellStyle name="Note 5 2 2 2 3 4 2" xfId="56266" xr:uid="{00000000-0005-0000-0000-000050DD0000}"/>
    <cellStyle name="Note 5 2 2 2 3 4 2 2" xfId="56267" xr:uid="{00000000-0005-0000-0000-000051DD0000}"/>
    <cellStyle name="Note 5 2 2 2 3 4 2 3" xfId="56268" xr:uid="{00000000-0005-0000-0000-000052DD0000}"/>
    <cellStyle name="Note 5 2 2 2 3 4 3" xfId="56269" xr:uid="{00000000-0005-0000-0000-000053DD0000}"/>
    <cellStyle name="Note 5 2 2 2 3 4 3 2" xfId="56270" xr:uid="{00000000-0005-0000-0000-000054DD0000}"/>
    <cellStyle name="Note 5 2 2 2 3 4 4" xfId="56271" xr:uid="{00000000-0005-0000-0000-000055DD0000}"/>
    <cellStyle name="Note 5 2 2 2 3 4 5" xfId="56272" xr:uid="{00000000-0005-0000-0000-000056DD0000}"/>
    <cellStyle name="Note 5 2 2 2 3 5" xfId="56273" xr:uid="{00000000-0005-0000-0000-000057DD0000}"/>
    <cellStyle name="Note 5 2 2 2 3 5 2" xfId="56274" xr:uid="{00000000-0005-0000-0000-000058DD0000}"/>
    <cellStyle name="Note 5 2 2 2 3 5 3" xfId="56275" xr:uid="{00000000-0005-0000-0000-000059DD0000}"/>
    <cellStyle name="Note 5 2 2 2 3 6" xfId="56276" xr:uid="{00000000-0005-0000-0000-00005ADD0000}"/>
    <cellStyle name="Note 5 2 2 2 3 6 2" xfId="56277" xr:uid="{00000000-0005-0000-0000-00005BDD0000}"/>
    <cellStyle name="Note 5 2 2 2 3 6 3" xfId="56278" xr:uid="{00000000-0005-0000-0000-00005CDD0000}"/>
    <cellStyle name="Note 5 2 2 2 3 7" xfId="56279" xr:uid="{00000000-0005-0000-0000-00005DDD0000}"/>
    <cellStyle name="Note 5 2 2 2 3 7 2" xfId="56280" xr:uid="{00000000-0005-0000-0000-00005EDD0000}"/>
    <cellStyle name="Note 5 2 2 2 3 8" xfId="56281" xr:uid="{00000000-0005-0000-0000-00005FDD0000}"/>
    <cellStyle name="Note 5 2 2 2 3 9" xfId="56282" xr:uid="{00000000-0005-0000-0000-000060DD0000}"/>
    <cellStyle name="Note 5 2 2 2 4" xfId="56283" xr:uid="{00000000-0005-0000-0000-000061DD0000}"/>
    <cellStyle name="Note 5 2 2 2 4 2" xfId="56284" xr:uid="{00000000-0005-0000-0000-000062DD0000}"/>
    <cellStyle name="Note 5 2 2 2 4 2 2" xfId="56285" xr:uid="{00000000-0005-0000-0000-000063DD0000}"/>
    <cellStyle name="Note 5 2 2 2 4 2 2 2" xfId="56286" xr:uid="{00000000-0005-0000-0000-000064DD0000}"/>
    <cellStyle name="Note 5 2 2 2 4 2 2 3" xfId="56287" xr:uid="{00000000-0005-0000-0000-000065DD0000}"/>
    <cellStyle name="Note 5 2 2 2 4 2 3" xfId="56288" xr:uid="{00000000-0005-0000-0000-000066DD0000}"/>
    <cellStyle name="Note 5 2 2 2 4 2 3 2" xfId="56289" xr:uid="{00000000-0005-0000-0000-000067DD0000}"/>
    <cellStyle name="Note 5 2 2 2 4 2 3 3" xfId="56290" xr:uid="{00000000-0005-0000-0000-000068DD0000}"/>
    <cellStyle name="Note 5 2 2 2 4 2 4" xfId="56291" xr:uid="{00000000-0005-0000-0000-000069DD0000}"/>
    <cellStyle name="Note 5 2 2 2 4 2 4 2" xfId="56292" xr:uid="{00000000-0005-0000-0000-00006ADD0000}"/>
    <cellStyle name="Note 5 2 2 2 4 2 5" xfId="56293" xr:uid="{00000000-0005-0000-0000-00006BDD0000}"/>
    <cellStyle name="Note 5 2 2 2 4 2 6" xfId="56294" xr:uid="{00000000-0005-0000-0000-00006CDD0000}"/>
    <cellStyle name="Note 5 2 2 2 4 3" xfId="56295" xr:uid="{00000000-0005-0000-0000-00006DDD0000}"/>
    <cellStyle name="Note 5 2 2 2 4 3 2" xfId="56296" xr:uid="{00000000-0005-0000-0000-00006EDD0000}"/>
    <cellStyle name="Note 5 2 2 2 4 3 2 2" xfId="56297" xr:uid="{00000000-0005-0000-0000-00006FDD0000}"/>
    <cellStyle name="Note 5 2 2 2 4 3 2 3" xfId="56298" xr:uid="{00000000-0005-0000-0000-000070DD0000}"/>
    <cellStyle name="Note 5 2 2 2 4 3 3" xfId="56299" xr:uid="{00000000-0005-0000-0000-000071DD0000}"/>
    <cellStyle name="Note 5 2 2 2 4 3 3 2" xfId="56300" xr:uid="{00000000-0005-0000-0000-000072DD0000}"/>
    <cellStyle name="Note 5 2 2 2 4 3 3 3" xfId="56301" xr:uid="{00000000-0005-0000-0000-000073DD0000}"/>
    <cellStyle name="Note 5 2 2 2 4 3 4" xfId="56302" xr:uid="{00000000-0005-0000-0000-000074DD0000}"/>
    <cellStyle name="Note 5 2 2 2 4 3 4 2" xfId="56303" xr:uid="{00000000-0005-0000-0000-000075DD0000}"/>
    <cellStyle name="Note 5 2 2 2 4 3 5" xfId="56304" xr:uid="{00000000-0005-0000-0000-000076DD0000}"/>
    <cellStyle name="Note 5 2 2 2 4 3 6" xfId="56305" xr:uid="{00000000-0005-0000-0000-000077DD0000}"/>
    <cellStyle name="Note 5 2 2 2 4 4" xfId="56306" xr:uid="{00000000-0005-0000-0000-000078DD0000}"/>
    <cellStyle name="Note 5 2 2 2 4 4 2" xfId="56307" xr:uid="{00000000-0005-0000-0000-000079DD0000}"/>
    <cellStyle name="Note 5 2 2 2 4 4 2 2" xfId="56308" xr:uid="{00000000-0005-0000-0000-00007ADD0000}"/>
    <cellStyle name="Note 5 2 2 2 4 4 2 3" xfId="56309" xr:uid="{00000000-0005-0000-0000-00007BDD0000}"/>
    <cellStyle name="Note 5 2 2 2 4 4 3" xfId="56310" xr:uid="{00000000-0005-0000-0000-00007CDD0000}"/>
    <cellStyle name="Note 5 2 2 2 4 4 3 2" xfId="56311" xr:uid="{00000000-0005-0000-0000-00007DDD0000}"/>
    <cellStyle name="Note 5 2 2 2 4 4 4" xfId="56312" xr:uid="{00000000-0005-0000-0000-00007EDD0000}"/>
    <cellStyle name="Note 5 2 2 2 4 4 5" xfId="56313" xr:uid="{00000000-0005-0000-0000-00007FDD0000}"/>
    <cellStyle name="Note 5 2 2 2 4 5" xfId="56314" xr:uid="{00000000-0005-0000-0000-000080DD0000}"/>
    <cellStyle name="Note 5 2 2 2 4 5 2" xfId="56315" xr:uid="{00000000-0005-0000-0000-000081DD0000}"/>
    <cellStyle name="Note 5 2 2 2 4 5 3" xfId="56316" xr:uid="{00000000-0005-0000-0000-000082DD0000}"/>
    <cellStyle name="Note 5 2 2 2 4 6" xfId="56317" xr:uid="{00000000-0005-0000-0000-000083DD0000}"/>
    <cellStyle name="Note 5 2 2 2 4 6 2" xfId="56318" xr:uid="{00000000-0005-0000-0000-000084DD0000}"/>
    <cellStyle name="Note 5 2 2 2 4 6 3" xfId="56319" xr:uid="{00000000-0005-0000-0000-000085DD0000}"/>
    <cellStyle name="Note 5 2 2 2 4 7" xfId="56320" xr:uid="{00000000-0005-0000-0000-000086DD0000}"/>
    <cellStyle name="Note 5 2 2 2 4 7 2" xfId="56321" xr:uid="{00000000-0005-0000-0000-000087DD0000}"/>
    <cellStyle name="Note 5 2 2 2 4 8" xfId="56322" xr:uid="{00000000-0005-0000-0000-000088DD0000}"/>
    <cellStyle name="Note 5 2 2 2 4 9" xfId="56323" xr:uid="{00000000-0005-0000-0000-000089DD0000}"/>
    <cellStyle name="Note 5 2 2 2 5" xfId="56324" xr:uid="{00000000-0005-0000-0000-00008ADD0000}"/>
    <cellStyle name="Note 5 2 2 2 5 2" xfId="56325" xr:uid="{00000000-0005-0000-0000-00008BDD0000}"/>
    <cellStyle name="Note 5 2 2 2 5 2 2" xfId="56326" xr:uid="{00000000-0005-0000-0000-00008CDD0000}"/>
    <cellStyle name="Note 5 2 2 2 5 2 3" xfId="56327" xr:uid="{00000000-0005-0000-0000-00008DDD0000}"/>
    <cellStyle name="Note 5 2 2 2 5 3" xfId="56328" xr:uid="{00000000-0005-0000-0000-00008EDD0000}"/>
    <cellStyle name="Note 5 2 2 2 5 3 2" xfId="56329" xr:uid="{00000000-0005-0000-0000-00008FDD0000}"/>
    <cellStyle name="Note 5 2 2 2 5 3 3" xfId="56330" xr:uid="{00000000-0005-0000-0000-000090DD0000}"/>
    <cellStyle name="Note 5 2 2 2 5 4" xfId="56331" xr:uid="{00000000-0005-0000-0000-000091DD0000}"/>
    <cellStyle name="Note 5 2 2 2 5 4 2" xfId="56332" xr:uid="{00000000-0005-0000-0000-000092DD0000}"/>
    <cellStyle name="Note 5 2 2 2 5 5" xfId="56333" xr:uid="{00000000-0005-0000-0000-000093DD0000}"/>
    <cellStyle name="Note 5 2 2 2 5 6" xfId="56334" xr:uid="{00000000-0005-0000-0000-000094DD0000}"/>
    <cellStyle name="Note 5 2 2 2 6" xfId="56335" xr:uid="{00000000-0005-0000-0000-000095DD0000}"/>
    <cellStyle name="Note 5 2 2 2 6 2" xfId="56336" xr:uid="{00000000-0005-0000-0000-000096DD0000}"/>
    <cellStyle name="Note 5 2 2 2 6 2 2" xfId="56337" xr:uid="{00000000-0005-0000-0000-000097DD0000}"/>
    <cellStyle name="Note 5 2 2 2 6 2 3" xfId="56338" xr:uid="{00000000-0005-0000-0000-000098DD0000}"/>
    <cellStyle name="Note 5 2 2 2 6 3" xfId="56339" xr:uid="{00000000-0005-0000-0000-000099DD0000}"/>
    <cellStyle name="Note 5 2 2 2 6 3 2" xfId="56340" xr:uid="{00000000-0005-0000-0000-00009ADD0000}"/>
    <cellStyle name="Note 5 2 2 2 6 3 3" xfId="56341" xr:uid="{00000000-0005-0000-0000-00009BDD0000}"/>
    <cellStyle name="Note 5 2 2 2 6 4" xfId="56342" xr:uid="{00000000-0005-0000-0000-00009CDD0000}"/>
    <cellStyle name="Note 5 2 2 2 6 4 2" xfId="56343" xr:uid="{00000000-0005-0000-0000-00009DDD0000}"/>
    <cellStyle name="Note 5 2 2 2 6 5" xfId="56344" xr:uid="{00000000-0005-0000-0000-00009EDD0000}"/>
    <cellStyle name="Note 5 2 2 2 6 6" xfId="56345" xr:uid="{00000000-0005-0000-0000-00009FDD0000}"/>
    <cellStyle name="Note 5 2 2 2 7" xfId="56346" xr:uid="{00000000-0005-0000-0000-0000A0DD0000}"/>
    <cellStyle name="Note 5 2 2 2 7 2" xfId="56347" xr:uid="{00000000-0005-0000-0000-0000A1DD0000}"/>
    <cellStyle name="Note 5 2 2 2 7 2 2" xfId="56348" xr:uid="{00000000-0005-0000-0000-0000A2DD0000}"/>
    <cellStyle name="Note 5 2 2 2 7 2 3" xfId="56349" xr:uid="{00000000-0005-0000-0000-0000A3DD0000}"/>
    <cellStyle name="Note 5 2 2 2 7 3" xfId="56350" xr:uid="{00000000-0005-0000-0000-0000A4DD0000}"/>
    <cellStyle name="Note 5 2 2 2 7 3 2" xfId="56351" xr:uid="{00000000-0005-0000-0000-0000A5DD0000}"/>
    <cellStyle name="Note 5 2 2 2 7 4" xfId="56352" xr:uid="{00000000-0005-0000-0000-0000A6DD0000}"/>
    <cellStyle name="Note 5 2 2 2 7 5" xfId="56353" xr:uid="{00000000-0005-0000-0000-0000A7DD0000}"/>
    <cellStyle name="Note 5 2 2 2 8" xfId="56354" xr:uid="{00000000-0005-0000-0000-0000A8DD0000}"/>
    <cellStyle name="Note 5 2 2 2 8 2" xfId="56355" xr:uid="{00000000-0005-0000-0000-0000A9DD0000}"/>
    <cellStyle name="Note 5 2 2 2 8 3" xfId="56356" xr:uid="{00000000-0005-0000-0000-0000AADD0000}"/>
    <cellStyle name="Note 5 2 2 2 9" xfId="56357" xr:uid="{00000000-0005-0000-0000-0000ABDD0000}"/>
    <cellStyle name="Note 5 2 2 2 9 2" xfId="56358" xr:uid="{00000000-0005-0000-0000-0000ACDD0000}"/>
    <cellStyle name="Note 5 2 2 2 9 3" xfId="56359" xr:uid="{00000000-0005-0000-0000-0000ADDD0000}"/>
    <cellStyle name="Note 5 2 2 3" xfId="6126" xr:uid="{00000000-0005-0000-0000-0000AEDD0000}"/>
    <cellStyle name="Note 5 2 2 3 10" xfId="56360" xr:uid="{00000000-0005-0000-0000-0000AFDD0000}"/>
    <cellStyle name="Note 5 2 2 3 2" xfId="56361" xr:uid="{00000000-0005-0000-0000-0000B0DD0000}"/>
    <cellStyle name="Note 5 2 2 3 2 2" xfId="56362" xr:uid="{00000000-0005-0000-0000-0000B1DD0000}"/>
    <cellStyle name="Note 5 2 2 3 2 2 2" xfId="56363" xr:uid="{00000000-0005-0000-0000-0000B2DD0000}"/>
    <cellStyle name="Note 5 2 2 3 2 2 2 2" xfId="56364" xr:uid="{00000000-0005-0000-0000-0000B3DD0000}"/>
    <cellStyle name="Note 5 2 2 3 2 2 2 3" xfId="56365" xr:uid="{00000000-0005-0000-0000-0000B4DD0000}"/>
    <cellStyle name="Note 5 2 2 3 2 2 3" xfId="56366" xr:uid="{00000000-0005-0000-0000-0000B5DD0000}"/>
    <cellStyle name="Note 5 2 2 3 2 2 3 2" xfId="56367" xr:uid="{00000000-0005-0000-0000-0000B6DD0000}"/>
    <cellStyle name="Note 5 2 2 3 2 2 3 3" xfId="56368" xr:uid="{00000000-0005-0000-0000-0000B7DD0000}"/>
    <cellStyle name="Note 5 2 2 3 2 2 4" xfId="56369" xr:uid="{00000000-0005-0000-0000-0000B8DD0000}"/>
    <cellStyle name="Note 5 2 2 3 2 2 4 2" xfId="56370" xr:uid="{00000000-0005-0000-0000-0000B9DD0000}"/>
    <cellStyle name="Note 5 2 2 3 2 2 5" xfId="56371" xr:uid="{00000000-0005-0000-0000-0000BADD0000}"/>
    <cellStyle name="Note 5 2 2 3 2 2 6" xfId="56372" xr:uid="{00000000-0005-0000-0000-0000BBDD0000}"/>
    <cellStyle name="Note 5 2 2 3 2 3" xfId="56373" xr:uid="{00000000-0005-0000-0000-0000BCDD0000}"/>
    <cellStyle name="Note 5 2 2 3 2 3 2" xfId="56374" xr:uid="{00000000-0005-0000-0000-0000BDDD0000}"/>
    <cellStyle name="Note 5 2 2 3 2 3 2 2" xfId="56375" xr:uid="{00000000-0005-0000-0000-0000BEDD0000}"/>
    <cellStyle name="Note 5 2 2 3 2 3 2 3" xfId="56376" xr:uid="{00000000-0005-0000-0000-0000BFDD0000}"/>
    <cellStyle name="Note 5 2 2 3 2 3 3" xfId="56377" xr:uid="{00000000-0005-0000-0000-0000C0DD0000}"/>
    <cellStyle name="Note 5 2 2 3 2 3 3 2" xfId="56378" xr:uid="{00000000-0005-0000-0000-0000C1DD0000}"/>
    <cellStyle name="Note 5 2 2 3 2 3 3 3" xfId="56379" xr:uid="{00000000-0005-0000-0000-0000C2DD0000}"/>
    <cellStyle name="Note 5 2 2 3 2 3 4" xfId="56380" xr:uid="{00000000-0005-0000-0000-0000C3DD0000}"/>
    <cellStyle name="Note 5 2 2 3 2 3 4 2" xfId="56381" xr:uid="{00000000-0005-0000-0000-0000C4DD0000}"/>
    <cellStyle name="Note 5 2 2 3 2 3 5" xfId="56382" xr:uid="{00000000-0005-0000-0000-0000C5DD0000}"/>
    <cellStyle name="Note 5 2 2 3 2 3 6" xfId="56383" xr:uid="{00000000-0005-0000-0000-0000C6DD0000}"/>
    <cellStyle name="Note 5 2 2 3 2 4" xfId="56384" xr:uid="{00000000-0005-0000-0000-0000C7DD0000}"/>
    <cellStyle name="Note 5 2 2 3 2 4 2" xfId="56385" xr:uid="{00000000-0005-0000-0000-0000C8DD0000}"/>
    <cellStyle name="Note 5 2 2 3 2 4 2 2" xfId="56386" xr:uid="{00000000-0005-0000-0000-0000C9DD0000}"/>
    <cellStyle name="Note 5 2 2 3 2 4 2 3" xfId="56387" xr:uid="{00000000-0005-0000-0000-0000CADD0000}"/>
    <cellStyle name="Note 5 2 2 3 2 4 3" xfId="56388" xr:uid="{00000000-0005-0000-0000-0000CBDD0000}"/>
    <cellStyle name="Note 5 2 2 3 2 4 3 2" xfId="56389" xr:uid="{00000000-0005-0000-0000-0000CCDD0000}"/>
    <cellStyle name="Note 5 2 2 3 2 4 4" xfId="56390" xr:uid="{00000000-0005-0000-0000-0000CDDD0000}"/>
    <cellStyle name="Note 5 2 2 3 2 4 5" xfId="56391" xr:uid="{00000000-0005-0000-0000-0000CEDD0000}"/>
    <cellStyle name="Note 5 2 2 3 2 5" xfId="56392" xr:uid="{00000000-0005-0000-0000-0000CFDD0000}"/>
    <cellStyle name="Note 5 2 2 3 2 5 2" xfId="56393" xr:uid="{00000000-0005-0000-0000-0000D0DD0000}"/>
    <cellStyle name="Note 5 2 2 3 2 5 3" xfId="56394" xr:uid="{00000000-0005-0000-0000-0000D1DD0000}"/>
    <cellStyle name="Note 5 2 2 3 2 6" xfId="56395" xr:uid="{00000000-0005-0000-0000-0000D2DD0000}"/>
    <cellStyle name="Note 5 2 2 3 2 6 2" xfId="56396" xr:uid="{00000000-0005-0000-0000-0000D3DD0000}"/>
    <cellStyle name="Note 5 2 2 3 2 6 3" xfId="56397" xr:uid="{00000000-0005-0000-0000-0000D4DD0000}"/>
    <cellStyle name="Note 5 2 2 3 2 7" xfId="56398" xr:uid="{00000000-0005-0000-0000-0000D5DD0000}"/>
    <cellStyle name="Note 5 2 2 3 2 7 2" xfId="56399" xr:uid="{00000000-0005-0000-0000-0000D6DD0000}"/>
    <cellStyle name="Note 5 2 2 3 2 8" xfId="56400" xr:uid="{00000000-0005-0000-0000-0000D7DD0000}"/>
    <cellStyle name="Note 5 2 2 3 2 9" xfId="56401" xr:uid="{00000000-0005-0000-0000-0000D8DD0000}"/>
    <cellStyle name="Note 5 2 2 3 3" xfId="56402" xr:uid="{00000000-0005-0000-0000-0000D9DD0000}"/>
    <cellStyle name="Note 5 2 2 3 3 2" xfId="56403" xr:uid="{00000000-0005-0000-0000-0000DADD0000}"/>
    <cellStyle name="Note 5 2 2 3 3 2 2" xfId="56404" xr:uid="{00000000-0005-0000-0000-0000DBDD0000}"/>
    <cellStyle name="Note 5 2 2 3 3 2 3" xfId="56405" xr:uid="{00000000-0005-0000-0000-0000DCDD0000}"/>
    <cellStyle name="Note 5 2 2 3 3 3" xfId="56406" xr:uid="{00000000-0005-0000-0000-0000DDDD0000}"/>
    <cellStyle name="Note 5 2 2 3 3 3 2" xfId="56407" xr:uid="{00000000-0005-0000-0000-0000DEDD0000}"/>
    <cellStyle name="Note 5 2 2 3 3 3 3" xfId="56408" xr:uid="{00000000-0005-0000-0000-0000DFDD0000}"/>
    <cellStyle name="Note 5 2 2 3 3 4" xfId="56409" xr:uid="{00000000-0005-0000-0000-0000E0DD0000}"/>
    <cellStyle name="Note 5 2 2 3 3 4 2" xfId="56410" xr:uid="{00000000-0005-0000-0000-0000E1DD0000}"/>
    <cellStyle name="Note 5 2 2 3 3 5" xfId="56411" xr:uid="{00000000-0005-0000-0000-0000E2DD0000}"/>
    <cellStyle name="Note 5 2 2 3 3 6" xfId="56412" xr:uid="{00000000-0005-0000-0000-0000E3DD0000}"/>
    <cellStyle name="Note 5 2 2 3 4" xfId="56413" xr:uid="{00000000-0005-0000-0000-0000E4DD0000}"/>
    <cellStyle name="Note 5 2 2 3 4 2" xfId="56414" xr:uid="{00000000-0005-0000-0000-0000E5DD0000}"/>
    <cellStyle name="Note 5 2 2 3 4 2 2" xfId="56415" xr:uid="{00000000-0005-0000-0000-0000E6DD0000}"/>
    <cellStyle name="Note 5 2 2 3 4 2 3" xfId="56416" xr:uid="{00000000-0005-0000-0000-0000E7DD0000}"/>
    <cellStyle name="Note 5 2 2 3 4 3" xfId="56417" xr:uid="{00000000-0005-0000-0000-0000E8DD0000}"/>
    <cellStyle name="Note 5 2 2 3 4 3 2" xfId="56418" xr:uid="{00000000-0005-0000-0000-0000E9DD0000}"/>
    <cellStyle name="Note 5 2 2 3 4 3 3" xfId="56419" xr:uid="{00000000-0005-0000-0000-0000EADD0000}"/>
    <cellStyle name="Note 5 2 2 3 4 4" xfId="56420" xr:uid="{00000000-0005-0000-0000-0000EBDD0000}"/>
    <cellStyle name="Note 5 2 2 3 4 4 2" xfId="56421" xr:uid="{00000000-0005-0000-0000-0000ECDD0000}"/>
    <cellStyle name="Note 5 2 2 3 4 5" xfId="56422" xr:uid="{00000000-0005-0000-0000-0000EDDD0000}"/>
    <cellStyle name="Note 5 2 2 3 4 6" xfId="56423" xr:uid="{00000000-0005-0000-0000-0000EEDD0000}"/>
    <cellStyle name="Note 5 2 2 3 5" xfId="56424" xr:uid="{00000000-0005-0000-0000-0000EFDD0000}"/>
    <cellStyle name="Note 5 2 2 3 5 2" xfId="56425" xr:uid="{00000000-0005-0000-0000-0000F0DD0000}"/>
    <cellStyle name="Note 5 2 2 3 5 2 2" xfId="56426" xr:uid="{00000000-0005-0000-0000-0000F1DD0000}"/>
    <cellStyle name="Note 5 2 2 3 5 2 3" xfId="56427" xr:uid="{00000000-0005-0000-0000-0000F2DD0000}"/>
    <cellStyle name="Note 5 2 2 3 5 3" xfId="56428" xr:uid="{00000000-0005-0000-0000-0000F3DD0000}"/>
    <cellStyle name="Note 5 2 2 3 5 3 2" xfId="56429" xr:uid="{00000000-0005-0000-0000-0000F4DD0000}"/>
    <cellStyle name="Note 5 2 2 3 5 4" xfId="56430" xr:uid="{00000000-0005-0000-0000-0000F5DD0000}"/>
    <cellStyle name="Note 5 2 2 3 5 5" xfId="56431" xr:uid="{00000000-0005-0000-0000-0000F6DD0000}"/>
    <cellStyle name="Note 5 2 2 3 6" xfId="56432" xr:uid="{00000000-0005-0000-0000-0000F7DD0000}"/>
    <cellStyle name="Note 5 2 2 3 6 2" xfId="56433" xr:uid="{00000000-0005-0000-0000-0000F8DD0000}"/>
    <cellStyle name="Note 5 2 2 3 6 3" xfId="56434" xr:uid="{00000000-0005-0000-0000-0000F9DD0000}"/>
    <cellStyle name="Note 5 2 2 3 7" xfId="56435" xr:uid="{00000000-0005-0000-0000-0000FADD0000}"/>
    <cellStyle name="Note 5 2 2 3 7 2" xfId="56436" xr:uid="{00000000-0005-0000-0000-0000FBDD0000}"/>
    <cellStyle name="Note 5 2 2 3 7 3" xfId="56437" xr:uid="{00000000-0005-0000-0000-0000FCDD0000}"/>
    <cellStyle name="Note 5 2 2 3 8" xfId="56438" xr:uid="{00000000-0005-0000-0000-0000FDDD0000}"/>
    <cellStyle name="Note 5 2 2 3 8 2" xfId="56439" xr:uid="{00000000-0005-0000-0000-0000FEDD0000}"/>
    <cellStyle name="Note 5 2 2 3 9" xfId="56440" xr:uid="{00000000-0005-0000-0000-0000FFDD0000}"/>
    <cellStyle name="Note 5 2 2 4" xfId="9330" xr:uid="{00000000-0005-0000-0000-000000DE0000}"/>
    <cellStyle name="Note 5 2 2 4 2" xfId="56441" xr:uid="{00000000-0005-0000-0000-000001DE0000}"/>
    <cellStyle name="Note 5 2 2 4 2 2" xfId="56442" xr:uid="{00000000-0005-0000-0000-000002DE0000}"/>
    <cellStyle name="Note 5 2 2 4 2 2 2" xfId="56443" xr:uid="{00000000-0005-0000-0000-000003DE0000}"/>
    <cellStyle name="Note 5 2 2 4 2 2 3" xfId="56444" xr:uid="{00000000-0005-0000-0000-000004DE0000}"/>
    <cellStyle name="Note 5 2 2 4 2 3" xfId="56445" xr:uid="{00000000-0005-0000-0000-000005DE0000}"/>
    <cellStyle name="Note 5 2 2 4 2 3 2" xfId="56446" xr:uid="{00000000-0005-0000-0000-000006DE0000}"/>
    <cellStyle name="Note 5 2 2 4 2 3 3" xfId="56447" xr:uid="{00000000-0005-0000-0000-000007DE0000}"/>
    <cellStyle name="Note 5 2 2 4 2 4" xfId="56448" xr:uid="{00000000-0005-0000-0000-000008DE0000}"/>
    <cellStyle name="Note 5 2 2 4 2 4 2" xfId="56449" xr:uid="{00000000-0005-0000-0000-000009DE0000}"/>
    <cellStyle name="Note 5 2 2 4 2 5" xfId="56450" xr:uid="{00000000-0005-0000-0000-00000ADE0000}"/>
    <cellStyle name="Note 5 2 2 4 2 6" xfId="56451" xr:uid="{00000000-0005-0000-0000-00000BDE0000}"/>
    <cellStyle name="Note 5 2 2 4 3" xfId="56452" xr:uid="{00000000-0005-0000-0000-00000CDE0000}"/>
    <cellStyle name="Note 5 2 2 4 3 2" xfId="56453" xr:uid="{00000000-0005-0000-0000-00000DDE0000}"/>
    <cellStyle name="Note 5 2 2 4 3 2 2" xfId="56454" xr:uid="{00000000-0005-0000-0000-00000EDE0000}"/>
    <cellStyle name="Note 5 2 2 4 3 2 3" xfId="56455" xr:uid="{00000000-0005-0000-0000-00000FDE0000}"/>
    <cellStyle name="Note 5 2 2 4 3 3" xfId="56456" xr:uid="{00000000-0005-0000-0000-000010DE0000}"/>
    <cellStyle name="Note 5 2 2 4 3 3 2" xfId="56457" xr:uid="{00000000-0005-0000-0000-000011DE0000}"/>
    <cellStyle name="Note 5 2 2 4 3 3 3" xfId="56458" xr:uid="{00000000-0005-0000-0000-000012DE0000}"/>
    <cellStyle name="Note 5 2 2 4 3 4" xfId="56459" xr:uid="{00000000-0005-0000-0000-000013DE0000}"/>
    <cellStyle name="Note 5 2 2 4 3 4 2" xfId="56460" xr:uid="{00000000-0005-0000-0000-000014DE0000}"/>
    <cellStyle name="Note 5 2 2 4 3 5" xfId="56461" xr:uid="{00000000-0005-0000-0000-000015DE0000}"/>
    <cellStyle name="Note 5 2 2 4 3 6" xfId="56462" xr:uid="{00000000-0005-0000-0000-000016DE0000}"/>
    <cellStyle name="Note 5 2 2 4 4" xfId="56463" xr:uid="{00000000-0005-0000-0000-000017DE0000}"/>
    <cellStyle name="Note 5 2 2 4 4 2" xfId="56464" xr:uid="{00000000-0005-0000-0000-000018DE0000}"/>
    <cellStyle name="Note 5 2 2 4 4 2 2" xfId="56465" xr:uid="{00000000-0005-0000-0000-000019DE0000}"/>
    <cellStyle name="Note 5 2 2 4 4 2 3" xfId="56466" xr:uid="{00000000-0005-0000-0000-00001ADE0000}"/>
    <cellStyle name="Note 5 2 2 4 4 3" xfId="56467" xr:uid="{00000000-0005-0000-0000-00001BDE0000}"/>
    <cellStyle name="Note 5 2 2 4 4 3 2" xfId="56468" xr:uid="{00000000-0005-0000-0000-00001CDE0000}"/>
    <cellStyle name="Note 5 2 2 4 4 4" xfId="56469" xr:uid="{00000000-0005-0000-0000-00001DDE0000}"/>
    <cellStyle name="Note 5 2 2 4 4 5" xfId="56470" xr:uid="{00000000-0005-0000-0000-00001EDE0000}"/>
    <cellStyle name="Note 5 2 2 4 5" xfId="56471" xr:uid="{00000000-0005-0000-0000-00001FDE0000}"/>
    <cellStyle name="Note 5 2 2 4 5 2" xfId="56472" xr:uid="{00000000-0005-0000-0000-000020DE0000}"/>
    <cellStyle name="Note 5 2 2 4 5 3" xfId="56473" xr:uid="{00000000-0005-0000-0000-000021DE0000}"/>
    <cellStyle name="Note 5 2 2 4 6" xfId="56474" xr:uid="{00000000-0005-0000-0000-000022DE0000}"/>
    <cellStyle name="Note 5 2 2 4 6 2" xfId="56475" xr:uid="{00000000-0005-0000-0000-000023DE0000}"/>
    <cellStyle name="Note 5 2 2 4 6 3" xfId="56476" xr:uid="{00000000-0005-0000-0000-000024DE0000}"/>
    <cellStyle name="Note 5 2 2 4 7" xfId="56477" xr:uid="{00000000-0005-0000-0000-000025DE0000}"/>
    <cellStyle name="Note 5 2 2 4 7 2" xfId="56478" xr:uid="{00000000-0005-0000-0000-000026DE0000}"/>
    <cellStyle name="Note 5 2 2 4 8" xfId="56479" xr:uid="{00000000-0005-0000-0000-000027DE0000}"/>
    <cellStyle name="Note 5 2 2 4 9" xfId="56480" xr:uid="{00000000-0005-0000-0000-000028DE0000}"/>
    <cellStyle name="Note 5 2 2 5" xfId="56481" xr:uid="{00000000-0005-0000-0000-000029DE0000}"/>
    <cellStyle name="Note 5 2 2 5 2" xfId="56482" xr:uid="{00000000-0005-0000-0000-00002ADE0000}"/>
    <cellStyle name="Note 5 2 2 5 2 2" xfId="56483" xr:uid="{00000000-0005-0000-0000-00002BDE0000}"/>
    <cellStyle name="Note 5 2 2 5 2 2 2" xfId="56484" xr:uid="{00000000-0005-0000-0000-00002CDE0000}"/>
    <cellStyle name="Note 5 2 2 5 2 2 3" xfId="56485" xr:uid="{00000000-0005-0000-0000-00002DDE0000}"/>
    <cellStyle name="Note 5 2 2 5 2 3" xfId="56486" xr:uid="{00000000-0005-0000-0000-00002EDE0000}"/>
    <cellStyle name="Note 5 2 2 5 2 3 2" xfId="56487" xr:uid="{00000000-0005-0000-0000-00002FDE0000}"/>
    <cellStyle name="Note 5 2 2 5 2 3 3" xfId="56488" xr:uid="{00000000-0005-0000-0000-000030DE0000}"/>
    <cellStyle name="Note 5 2 2 5 2 4" xfId="56489" xr:uid="{00000000-0005-0000-0000-000031DE0000}"/>
    <cellStyle name="Note 5 2 2 5 2 4 2" xfId="56490" xr:uid="{00000000-0005-0000-0000-000032DE0000}"/>
    <cellStyle name="Note 5 2 2 5 2 5" xfId="56491" xr:uid="{00000000-0005-0000-0000-000033DE0000}"/>
    <cellStyle name="Note 5 2 2 5 2 6" xfId="56492" xr:uid="{00000000-0005-0000-0000-000034DE0000}"/>
    <cellStyle name="Note 5 2 2 5 3" xfId="56493" xr:uid="{00000000-0005-0000-0000-000035DE0000}"/>
    <cellStyle name="Note 5 2 2 5 3 2" xfId="56494" xr:uid="{00000000-0005-0000-0000-000036DE0000}"/>
    <cellStyle name="Note 5 2 2 5 3 2 2" xfId="56495" xr:uid="{00000000-0005-0000-0000-000037DE0000}"/>
    <cellStyle name="Note 5 2 2 5 3 2 3" xfId="56496" xr:uid="{00000000-0005-0000-0000-000038DE0000}"/>
    <cellStyle name="Note 5 2 2 5 3 3" xfId="56497" xr:uid="{00000000-0005-0000-0000-000039DE0000}"/>
    <cellStyle name="Note 5 2 2 5 3 3 2" xfId="56498" xr:uid="{00000000-0005-0000-0000-00003ADE0000}"/>
    <cellStyle name="Note 5 2 2 5 3 3 3" xfId="56499" xr:uid="{00000000-0005-0000-0000-00003BDE0000}"/>
    <cellStyle name="Note 5 2 2 5 3 4" xfId="56500" xr:uid="{00000000-0005-0000-0000-00003CDE0000}"/>
    <cellStyle name="Note 5 2 2 5 3 4 2" xfId="56501" xr:uid="{00000000-0005-0000-0000-00003DDE0000}"/>
    <cellStyle name="Note 5 2 2 5 3 5" xfId="56502" xr:uid="{00000000-0005-0000-0000-00003EDE0000}"/>
    <cellStyle name="Note 5 2 2 5 3 6" xfId="56503" xr:uid="{00000000-0005-0000-0000-00003FDE0000}"/>
    <cellStyle name="Note 5 2 2 5 4" xfId="56504" xr:uid="{00000000-0005-0000-0000-000040DE0000}"/>
    <cellStyle name="Note 5 2 2 5 4 2" xfId="56505" xr:uid="{00000000-0005-0000-0000-000041DE0000}"/>
    <cellStyle name="Note 5 2 2 5 4 2 2" xfId="56506" xr:uid="{00000000-0005-0000-0000-000042DE0000}"/>
    <cellStyle name="Note 5 2 2 5 4 2 3" xfId="56507" xr:uid="{00000000-0005-0000-0000-000043DE0000}"/>
    <cellStyle name="Note 5 2 2 5 4 3" xfId="56508" xr:uid="{00000000-0005-0000-0000-000044DE0000}"/>
    <cellStyle name="Note 5 2 2 5 4 3 2" xfId="56509" xr:uid="{00000000-0005-0000-0000-000045DE0000}"/>
    <cellStyle name="Note 5 2 2 5 4 4" xfId="56510" xr:uid="{00000000-0005-0000-0000-000046DE0000}"/>
    <cellStyle name="Note 5 2 2 5 4 5" xfId="56511" xr:uid="{00000000-0005-0000-0000-000047DE0000}"/>
    <cellStyle name="Note 5 2 2 5 5" xfId="56512" xr:uid="{00000000-0005-0000-0000-000048DE0000}"/>
    <cellStyle name="Note 5 2 2 5 5 2" xfId="56513" xr:uid="{00000000-0005-0000-0000-000049DE0000}"/>
    <cellStyle name="Note 5 2 2 5 5 3" xfId="56514" xr:uid="{00000000-0005-0000-0000-00004ADE0000}"/>
    <cellStyle name="Note 5 2 2 5 6" xfId="56515" xr:uid="{00000000-0005-0000-0000-00004BDE0000}"/>
    <cellStyle name="Note 5 2 2 5 6 2" xfId="56516" xr:uid="{00000000-0005-0000-0000-00004CDE0000}"/>
    <cellStyle name="Note 5 2 2 5 6 3" xfId="56517" xr:uid="{00000000-0005-0000-0000-00004DDE0000}"/>
    <cellStyle name="Note 5 2 2 5 7" xfId="56518" xr:uid="{00000000-0005-0000-0000-00004EDE0000}"/>
    <cellStyle name="Note 5 2 2 5 7 2" xfId="56519" xr:uid="{00000000-0005-0000-0000-00004FDE0000}"/>
    <cellStyle name="Note 5 2 2 5 8" xfId="56520" xr:uid="{00000000-0005-0000-0000-000050DE0000}"/>
    <cellStyle name="Note 5 2 2 5 9" xfId="56521" xr:uid="{00000000-0005-0000-0000-000051DE0000}"/>
    <cellStyle name="Note 5 2 2 6" xfId="56522" xr:uid="{00000000-0005-0000-0000-000052DE0000}"/>
    <cellStyle name="Note 5 2 2 6 2" xfId="56523" xr:uid="{00000000-0005-0000-0000-000053DE0000}"/>
    <cellStyle name="Note 5 2 2 6 2 2" xfId="56524" xr:uid="{00000000-0005-0000-0000-000054DE0000}"/>
    <cellStyle name="Note 5 2 2 6 2 3" xfId="56525" xr:uid="{00000000-0005-0000-0000-000055DE0000}"/>
    <cellStyle name="Note 5 2 2 6 3" xfId="56526" xr:uid="{00000000-0005-0000-0000-000056DE0000}"/>
    <cellStyle name="Note 5 2 2 6 3 2" xfId="56527" xr:uid="{00000000-0005-0000-0000-000057DE0000}"/>
    <cellStyle name="Note 5 2 2 6 3 3" xfId="56528" xr:uid="{00000000-0005-0000-0000-000058DE0000}"/>
    <cellStyle name="Note 5 2 2 6 4" xfId="56529" xr:uid="{00000000-0005-0000-0000-000059DE0000}"/>
    <cellStyle name="Note 5 2 2 6 4 2" xfId="56530" xr:uid="{00000000-0005-0000-0000-00005ADE0000}"/>
    <cellStyle name="Note 5 2 2 6 5" xfId="56531" xr:uid="{00000000-0005-0000-0000-00005BDE0000}"/>
    <cellStyle name="Note 5 2 2 6 6" xfId="56532" xr:uid="{00000000-0005-0000-0000-00005CDE0000}"/>
    <cellStyle name="Note 5 2 2 7" xfId="56533" xr:uid="{00000000-0005-0000-0000-00005DDE0000}"/>
    <cellStyle name="Note 5 2 2 7 2" xfId="56534" xr:uid="{00000000-0005-0000-0000-00005EDE0000}"/>
    <cellStyle name="Note 5 2 2 7 2 2" xfId="56535" xr:uid="{00000000-0005-0000-0000-00005FDE0000}"/>
    <cellStyle name="Note 5 2 2 7 2 3" xfId="56536" xr:uid="{00000000-0005-0000-0000-000060DE0000}"/>
    <cellStyle name="Note 5 2 2 7 3" xfId="56537" xr:uid="{00000000-0005-0000-0000-000061DE0000}"/>
    <cellStyle name="Note 5 2 2 7 3 2" xfId="56538" xr:uid="{00000000-0005-0000-0000-000062DE0000}"/>
    <cellStyle name="Note 5 2 2 7 3 3" xfId="56539" xr:uid="{00000000-0005-0000-0000-000063DE0000}"/>
    <cellStyle name="Note 5 2 2 7 4" xfId="56540" xr:uid="{00000000-0005-0000-0000-000064DE0000}"/>
    <cellStyle name="Note 5 2 2 7 4 2" xfId="56541" xr:uid="{00000000-0005-0000-0000-000065DE0000}"/>
    <cellStyle name="Note 5 2 2 7 5" xfId="56542" xr:uid="{00000000-0005-0000-0000-000066DE0000}"/>
    <cellStyle name="Note 5 2 2 7 6" xfId="56543" xr:uid="{00000000-0005-0000-0000-000067DE0000}"/>
    <cellStyle name="Note 5 2 2 8" xfId="56544" xr:uid="{00000000-0005-0000-0000-000068DE0000}"/>
    <cellStyle name="Note 5 2 2 8 2" xfId="56545" xr:uid="{00000000-0005-0000-0000-000069DE0000}"/>
    <cellStyle name="Note 5 2 2 8 2 2" xfId="56546" xr:uid="{00000000-0005-0000-0000-00006ADE0000}"/>
    <cellStyle name="Note 5 2 2 8 2 3" xfId="56547" xr:uid="{00000000-0005-0000-0000-00006BDE0000}"/>
    <cellStyle name="Note 5 2 2 8 3" xfId="56548" xr:uid="{00000000-0005-0000-0000-00006CDE0000}"/>
    <cellStyle name="Note 5 2 2 8 3 2" xfId="56549" xr:uid="{00000000-0005-0000-0000-00006DDE0000}"/>
    <cellStyle name="Note 5 2 2 8 4" xfId="56550" xr:uid="{00000000-0005-0000-0000-00006EDE0000}"/>
    <cellStyle name="Note 5 2 2 8 5" xfId="56551" xr:uid="{00000000-0005-0000-0000-00006FDE0000}"/>
    <cellStyle name="Note 5 2 2 9" xfId="56552" xr:uid="{00000000-0005-0000-0000-000070DE0000}"/>
    <cellStyle name="Note 5 2 2 9 2" xfId="56553" xr:uid="{00000000-0005-0000-0000-000071DE0000}"/>
    <cellStyle name="Note 5 2 2 9 3" xfId="56554" xr:uid="{00000000-0005-0000-0000-000072DE0000}"/>
    <cellStyle name="Note 5 2 3" xfId="6127" xr:uid="{00000000-0005-0000-0000-000073DE0000}"/>
    <cellStyle name="Note 5 2 3 10" xfId="56555" xr:uid="{00000000-0005-0000-0000-000074DE0000}"/>
    <cellStyle name="Note 5 2 3 10 2" xfId="56556" xr:uid="{00000000-0005-0000-0000-000075DE0000}"/>
    <cellStyle name="Note 5 2 3 11" xfId="56557" xr:uid="{00000000-0005-0000-0000-000076DE0000}"/>
    <cellStyle name="Note 5 2 3 12" xfId="56558" xr:uid="{00000000-0005-0000-0000-000077DE0000}"/>
    <cellStyle name="Note 5 2 3 2" xfId="6128" xr:uid="{00000000-0005-0000-0000-000078DE0000}"/>
    <cellStyle name="Note 5 2 3 2 10" xfId="56559" xr:uid="{00000000-0005-0000-0000-000079DE0000}"/>
    <cellStyle name="Note 5 2 3 2 2" xfId="56560" xr:uid="{00000000-0005-0000-0000-00007ADE0000}"/>
    <cellStyle name="Note 5 2 3 2 2 2" xfId="56561" xr:uid="{00000000-0005-0000-0000-00007BDE0000}"/>
    <cellStyle name="Note 5 2 3 2 2 2 2" xfId="56562" xr:uid="{00000000-0005-0000-0000-00007CDE0000}"/>
    <cellStyle name="Note 5 2 3 2 2 2 2 2" xfId="56563" xr:uid="{00000000-0005-0000-0000-00007DDE0000}"/>
    <cellStyle name="Note 5 2 3 2 2 2 2 3" xfId="56564" xr:uid="{00000000-0005-0000-0000-00007EDE0000}"/>
    <cellStyle name="Note 5 2 3 2 2 2 3" xfId="56565" xr:uid="{00000000-0005-0000-0000-00007FDE0000}"/>
    <cellStyle name="Note 5 2 3 2 2 2 3 2" xfId="56566" xr:uid="{00000000-0005-0000-0000-000080DE0000}"/>
    <cellStyle name="Note 5 2 3 2 2 2 3 3" xfId="56567" xr:uid="{00000000-0005-0000-0000-000081DE0000}"/>
    <cellStyle name="Note 5 2 3 2 2 2 4" xfId="56568" xr:uid="{00000000-0005-0000-0000-000082DE0000}"/>
    <cellStyle name="Note 5 2 3 2 2 2 4 2" xfId="56569" xr:uid="{00000000-0005-0000-0000-000083DE0000}"/>
    <cellStyle name="Note 5 2 3 2 2 2 5" xfId="56570" xr:uid="{00000000-0005-0000-0000-000084DE0000}"/>
    <cellStyle name="Note 5 2 3 2 2 2 6" xfId="56571" xr:uid="{00000000-0005-0000-0000-000085DE0000}"/>
    <cellStyle name="Note 5 2 3 2 2 3" xfId="56572" xr:uid="{00000000-0005-0000-0000-000086DE0000}"/>
    <cellStyle name="Note 5 2 3 2 2 3 2" xfId="56573" xr:uid="{00000000-0005-0000-0000-000087DE0000}"/>
    <cellStyle name="Note 5 2 3 2 2 3 2 2" xfId="56574" xr:uid="{00000000-0005-0000-0000-000088DE0000}"/>
    <cellStyle name="Note 5 2 3 2 2 3 2 3" xfId="56575" xr:uid="{00000000-0005-0000-0000-000089DE0000}"/>
    <cellStyle name="Note 5 2 3 2 2 3 3" xfId="56576" xr:uid="{00000000-0005-0000-0000-00008ADE0000}"/>
    <cellStyle name="Note 5 2 3 2 2 3 3 2" xfId="56577" xr:uid="{00000000-0005-0000-0000-00008BDE0000}"/>
    <cellStyle name="Note 5 2 3 2 2 3 3 3" xfId="56578" xr:uid="{00000000-0005-0000-0000-00008CDE0000}"/>
    <cellStyle name="Note 5 2 3 2 2 3 4" xfId="56579" xr:uid="{00000000-0005-0000-0000-00008DDE0000}"/>
    <cellStyle name="Note 5 2 3 2 2 3 4 2" xfId="56580" xr:uid="{00000000-0005-0000-0000-00008EDE0000}"/>
    <cellStyle name="Note 5 2 3 2 2 3 5" xfId="56581" xr:uid="{00000000-0005-0000-0000-00008FDE0000}"/>
    <cellStyle name="Note 5 2 3 2 2 3 6" xfId="56582" xr:uid="{00000000-0005-0000-0000-000090DE0000}"/>
    <cellStyle name="Note 5 2 3 2 2 4" xfId="56583" xr:uid="{00000000-0005-0000-0000-000091DE0000}"/>
    <cellStyle name="Note 5 2 3 2 2 4 2" xfId="56584" xr:uid="{00000000-0005-0000-0000-000092DE0000}"/>
    <cellStyle name="Note 5 2 3 2 2 4 2 2" xfId="56585" xr:uid="{00000000-0005-0000-0000-000093DE0000}"/>
    <cellStyle name="Note 5 2 3 2 2 4 2 3" xfId="56586" xr:uid="{00000000-0005-0000-0000-000094DE0000}"/>
    <cellStyle name="Note 5 2 3 2 2 4 3" xfId="56587" xr:uid="{00000000-0005-0000-0000-000095DE0000}"/>
    <cellStyle name="Note 5 2 3 2 2 4 3 2" xfId="56588" xr:uid="{00000000-0005-0000-0000-000096DE0000}"/>
    <cellStyle name="Note 5 2 3 2 2 4 4" xfId="56589" xr:uid="{00000000-0005-0000-0000-000097DE0000}"/>
    <cellStyle name="Note 5 2 3 2 2 4 5" xfId="56590" xr:uid="{00000000-0005-0000-0000-000098DE0000}"/>
    <cellStyle name="Note 5 2 3 2 2 5" xfId="56591" xr:uid="{00000000-0005-0000-0000-000099DE0000}"/>
    <cellStyle name="Note 5 2 3 2 2 5 2" xfId="56592" xr:uid="{00000000-0005-0000-0000-00009ADE0000}"/>
    <cellStyle name="Note 5 2 3 2 2 5 3" xfId="56593" xr:uid="{00000000-0005-0000-0000-00009BDE0000}"/>
    <cellStyle name="Note 5 2 3 2 2 6" xfId="56594" xr:uid="{00000000-0005-0000-0000-00009CDE0000}"/>
    <cellStyle name="Note 5 2 3 2 2 6 2" xfId="56595" xr:uid="{00000000-0005-0000-0000-00009DDE0000}"/>
    <cellStyle name="Note 5 2 3 2 2 6 3" xfId="56596" xr:uid="{00000000-0005-0000-0000-00009EDE0000}"/>
    <cellStyle name="Note 5 2 3 2 2 7" xfId="56597" xr:uid="{00000000-0005-0000-0000-00009FDE0000}"/>
    <cellStyle name="Note 5 2 3 2 2 7 2" xfId="56598" xr:uid="{00000000-0005-0000-0000-0000A0DE0000}"/>
    <cellStyle name="Note 5 2 3 2 2 8" xfId="56599" xr:uid="{00000000-0005-0000-0000-0000A1DE0000}"/>
    <cellStyle name="Note 5 2 3 2 2 9" xfId="56600" xr:uid="{00000000-0005-0000-0000-0000A2DE0000}"/>
    <cellStyle name="Note 5 2 3 2 3" xfId="56601" xr:uid="{00000000-0005-0000-0000-0000A3DE0000}"/>
    <cellStyle name="Note 5 2 3 2 3 2" xfId="56602" xr:uid="{00000000-0005-0000-0000-0000A4DE0000}"/>
    <cellStyle name="Note 5 2 3 2 3 2 2" xfId="56603" xr:uid="{00000000-0005-0000-0000-0000A5DE0000}"/>
    <cellStyle name="Note 5 2 3 2 3 2 3" xfId="56604" xr:uid="{00000000-0005-0000-0000-0000A6DE0000}"/>
    <cellStyle name="Note 5 2 3 2 3 3" xfId="56605" xr:uid="{00000000-0005-0000-0000-0000A7DE0000}"/>
    <cellStyle name="Note 5 2 3 2 3 3 2" xfId="56606" xr:uid="{00000000-0005-0000-0000-0000A8DE0000}"/>
    <cellStyle name="Note 5 2 3 2 3 3 3" xfId="56607" xr:uid="{00000000-0005-0000-0000-0000A9DE0000}"/>
    <cellStyle name="Note 5 2 3 2 3 4" xfId="56608" xr:uid="{00000000-0005-0000-0000-0000AADE0000}"/>
    <cellStyle name="Note 5 2 3 2 3 4 2" xfId="56609" xr:uid="{00000000-0005-0000-0000-0000ABDE0000}"/>
    <cellStyle name="Note 5 2 3 2 3 5" xfId="56610" xr:uid="{00000000-0005-0000-0000-0000ACDE0000}"/>
    <cellStyle name="Note 5 2 3 2 3 6" xfId="56611" xr:uid="{00000000-0005-0000-0000-0000ADDE0000}"/>
    <cellStyle name="Note 5 2 3 2 4" xfId="56612" xr:uid="{00000000-0005-0000-0000-0000AEDE0000}"/>
    <cellStyle name="Note 5 2 3 2 4 2" xfId="56613" xr:uid="{00000000-0005-0000-0000-0000AFDE0000}"/>
    <cellStyle name="Note 5 2 3 2 4 2 2" xfId="56614" xr:uid="{00000000-0005-0000-0000-0000B0DE0000}"/>
    <cellStyle name="Note 5 2 3 2 4 2 3" xfId="56615" xr:uid="{00000000-0005-0000-0000-0000B1DE0000}"/>
    <cellStyle name="Note 5 2 3 2 4 3" xfId="56616" xr:uid="{00000000-0005-0000-0000-0000B2DE0000}"/>
    <cellStyle name="Note 5 2 3 2 4 3 2" xfId="56617" xr:uid="{00000000-0005-0000-0000-0000B3DE0000}"/>
    <cellStyle name="Note 5 2 3 2 4 3 3" xfId="56618" xr:uid="{00000000-0005-0000-0000-0000B4DE0000}"/>
    <cellStyle name="Note 5 2 3 2 4 4" xfId="56619" xr:uid="{00000000-0005-0000-0000-0000B5DE0000}"/>
    <cellStyle name="Note 5 2 3 2 4 4 2" xfId="56620" xr:uid="{00000000-0005-0000-0000-0000B6DE0000}"/>
    <cellStyle name="Note 5 2 3 2 4 5" xfId="56621" xr:uid="{00000000-0005-0000-0000-0000B7DE0000}"/>
    <cellStyle name="Note 5 2 3 2 4 6" xfId="56622" xr:uid="{00000000-0005-0000-0000-0000B8DE0000}"/>
    <cellStyle name="Note 5 2 3 2 5" xfId="56623" xr:uid="{00000000-0005-0000-0000-0000B9DE0000}"/>
    <cellStyle name="Note 5 2 3 2 5 2" xfId="56624" xr:uid="{00000000-0005-0000-0000-0000BADE0000}"/>
    <cellStyle name="Note 5 2 3 2 5 2 2" xfId="56625" xr:uid="{00000000-0005-0000-0000-0000BBDE0000}"/>
    <cellStyle name="Note 5 2 3 2 5 2 3" xfId="56626" xr:uid="{00000000-0005-0000-0000-0000BCDE0000}"/>
    <cellStyle name="Note 5 2 3 2 5 3" xfId="56627" xr:uid="{00000000-0005-0000-0000-0000BDDE0000}"/>
    <cellStyle name="Note 5 2 3 2 5 3 2" xfId="56628" xr:uid="{00000000-0005-0000-0000-0000BEDE0000}"/>
    <cellStyle name="Note 5 2 3 2 5 4" xfId="56629" xr:uid="{00000000-0005-0000-0000-0000BFDE0000}"/>
    <cellStyle name="Note 5 2 3 2 5 5" xfId="56630" xr:uid="{00000000-0005-0000-0000-0000C0DE0000}"/>
    <cellStyle name="Note 5 2 3 2 6" xfId="56631" xr:uid="{00000000-0005-0000-0000-0000C1DE0000}"/>
    <cellStyle name="Note 5 2 3 2 6 2" xfId="56632" xr:uid="{00000000-0005-0000-0000-0000C2DE0000}"/>
    <cellStyle name="Note 5 2 3 2 6 3" xfId="56633" xr:uid="{00000000-0005-0000-0000-0000C3DE0000}"/>
    <cellStyle name="Note 5 2 3 2 7" xfId="56634" xr:uid="{00000000-0005-0000-0000-0000C4DE0000}"/>
    <cellStyle name="Note 5 2 3 2 7 2" xfId="56635" xr:uid="{00000000-0005-0000-0000-0000C5DE0000}"/>
    <cellStyle name="Note 5 2 3 2 7 3" xfId="56636" xr:uid="{00000000-0005-0000-0000-0000C6DE0000}"/>
    <cellStyle name="Note 5 2 3 2 8" xfId="56637" xr:uid="{00000000-0005-0000-0000-0000C7DE0000}"/>
    <cellStyle name="Note 5 2 3 2 8 2" xfId="56638" xr:uid="{00000000-0005-0000-0000-0000C8DE0000}"/>
    <cellStyle name="Note 5 2 3 2 9" xfId="56639" xr:uid="{00000000-0005-0000-0000-0000C9DE0000}"/>
    <cellStyle name="Note 5 2 3 3" xfId="9331" xr:uid="{00000000-0005-0000-0000-0000CADE0000}"/>
    <cellStyle name="Note 5 2 3 3 2" xfId="56640" xr:uid="{00000000-0005-0000-0000-0000CBDE0000}"/>
    <cellStyle name="Note 5 2 3 3 2 2" xfId="56641" xr:uid="{00000000-0005-0000-0000-0000CCDE0000}"/>
    <cellStyle name="Note 5 2 3 3 2 2 2" xfId="56642" xr:uid="{00000000-0005-0000-0000-0000CDDE0000}"/>
    <cellStyle name="Note 5 2 3 3 2 2 3" xfId="56643" xr:uid="{00000000-0005-0000-0000-0000CEDE0000}"/>
    <cellStyle name="Note 5 2 3 3 2 3" xfId="56644" xr:uid="{00000000-0005-0000-0000-0000CFDE0000}"/>
    <cellStyle name="Note 5 2 3 3 2 3 2" xfId="56645" xr:uid="{00000000-0005-0000-0000-0000D0DE0000}"/>
    <cellStyle name="Note 5 2 3 3 2 3 3" xfId="56646" xr:uid="{00000000-0005-0000-0000-0000D1DE0000}"/>
    <cellStyle name="Note 5 2 3 3 2 4" xfId="56647" xr:uid="{00000000-0005-0000-0000-0000D2DE0000}"/>
    <cellStyle name="Note 5 2 3 3 2 4 2" xfId="56648" xr:uid="{00000000-0005-0000-0000-0000D3DE0000}"/>
    <cellStyle name="Note 5 2 3 3 2 5" xfId="56649" xr:uid="{00000000-0005-0000-0000-0000D4DE0000}"/>
    <cellStyle name="Note 5 2 3 3 2 6" xfId="56650" xr:uid="{00000000-0005-0000-0000-0000D5DE0000}"/>
    <cellStyle name="Note 5 2 3 3 3" xfId="56651" xr:uid="{00000000-0005-0000-0000-0000D6DE0000}"/>
    <cellStyle name="Note 5 2 3 3 3 2" xfId="56652" xr:uid="{00000000-0005-0000-0000-0000D7DE0000}"/>
    <cellStyle name="Note 5 2 3 3 3 2 2" xfId="56653" xr:uid="{00000000-0005-0000-0000-0000D8DE0000}"/>
    <cellStyle name="Note 5 2 3 3 3 2 3" xfId="56654" xr:uid="{00000000-0005-0000-0000-0000D9DE0000}"/>
    <cellStyle name="Note 5 2 3 3 3 3" xfId="56655" xr:uid="{00000000-0005-0000-0000-0000DADE0000}"/>
    <cellStyle name="Note 5 2 3 3 3 3 2" xfId="56656" xr:uid="{00000000-0005-0000-0000-0000DBDE0000}"/>
    <cellStyle name="Note 5 2 3 3 3 3 3" xfId="56657" xr:uid="{00000000-0005-0000-0000-0000DCDE0000}"/>
    <cellStyle name="Note 5 2 3 3 3 4" xfId="56658" xr:uid="{00000000-0005-0000-0000-0000DDDE0000}"/>
    <cellStyle name="Note 5 2 3 3 3 4 2" xfId="56659" xr:uid="{00000000-0005-0000-0000-0000DEDE0000}"/>
    <cellStyle name="Note 5 2 3 3 3 5" xfId="56660" xr:uid="{00000000-0005-0000-0000-0000DFDE0000}"/>
    <cellStyle name="Note 5 2 3 3 3 6" xfId="56661" xr:uid="{00000000-0005-0000-0000-0000E0DE0000}"/>
    <cellStyle name="Note 5 2 3 3 4" xfId="56662" xr:uid="{00000000-0005-0000-0000-0000E1DE0000}"/>
    <cellStyle name="Note 5 2 3 3 4 2" xfId="56663" xr:uid="{00000000-0005-0000-0000-0000E2DE0000}"/>
    <cellStyle name="Note 5 2 3 3 4 2 2" xfId="56664" xr:uid="{00000000-0005-0000-0000-0000E3DE0000}"/>
    <cellStyle name="Note 5 2 3 3 4 2 3" xfId="56665" xr:uid="{00000000-0005-0000-0000-0000E4DE0000}"/>
    <cellStyle name="Note 5 2 3 3 4 3" xfId="56666" xr:uid="{00000000-0005-0000-0000-0000E5DE0000}"/>
    <cellStyle name="Note 5 2 3 3 4 3 2" xfId="56667" xr:uid="{00000000-0005-0000-0000-0000E6DE0000}"/>
    <cellStyle name="Note 5 2 3 3 4 4" xfId="56668" xr:uid="{00000000-0005-0000-0000-0000E7DE0000}"/>
    <cellStyle name="Note 5 2 3 3 4 5" xfId="56669" xr:uid="{00000000-0005-0000-0000-0000E8DE0000}"/>
    <cellStyle name="Note 5 2 3 3 5" xfId="56670" xr:uid="{00000000-0005-0000-0000-0000E9DE0000}"/>
    <cellStyle name="Note 5 2 3 3 5 2" xfId="56671" xr:uid="{00000000-0005-0000-0000-0000EADE0000}"/>
    <cellStyle name="Note 5 2 3 3 5 3" xfId="56672" xr:uid="{00000000-0005-0000-0000-0000EBDE0000}"/>
    <cellStyle name="Note 5 2 3 3 6" xfId="56673" xr:uid="{00000000-0005-0000-0000-0000ECDE0000}"/>
    <cellStyle name="Note 5 2 3 3 6 2" xfId="56674" xr:uid="{00000000-0005-0000-0000-0000EDDE0000}"/>
    <cellStyle name="Note 5 2 3 3 6 3" xfId="56675" xr:uid="{00000000-0005-0000-0000-0000EEDE0000}"/>
    <cellStyle name="Note 5 2 3 3 7" xfId="56676" xr:uid="{00000000-0005-0000-0000-0000EFDE0000}"/>
    <cellStyle name="Note 5 2 3 3 7 2" xfId="56677" xr:uid="{00000000-0005-0000-0000-0000F0DE0000}"/>
    <cellStyle name="Note 5 2 3 3 8" xfId="56678" xr:uid="{00000000-0005-0000-0000-0000F1DE0000}"/>
    <cellStyle name="Note 5 2 3 3 9" xfId="56679" xr:uid="{00000000-0005-0000-0000-0000F2DE0000}"/>
    <cellStyle name="Note 5 2 3 4" xfId="56680" xr:uid="{00000000-0005-0000-0000-0000F3DE0000}"/>
    <cellStyle name="Note 5 2 3 4 2" xfId="56681" xr:uid="{00000000-0005-0000-0000-0000F4DE0000}"/>
    <cellStyle name="Note 5 2 3 4 2 2" xfId="56682" xr:uid="{00000000-0005-0000-0000-0000F5DE0000}"/>
    <cellStyle name="Note 5 2 3 4 2 2 2" xfId="56683" xr:uid="{00000000-0005-0000-0000-0000F6DE0000}"/>
    <cellStyle name="Note 5 2 3 4 2 2 3" xfId="56684" xr:uid="{00000000-0005-0000-0000-0000F7DE0000}"/>
    <cellStyle name="Note 5 2 3 4 2 3" xfId="56685" xr:uid="{00000000-0005-0000-0000-0000F8DE0000}"/>
    <cellStyle name="Note 5 2 3 4 2 3 2" xfId="56686" xr:uid="{00000000-0005-0000-0000-0000F9DE0000}"/>
    <cellStyle name="Note 5 2 3 4 2 3 3" xfId="56687" xr:uid="{00000000-0005-0000-0000-0000FADE0000}"/>
    <cellStyle name="Note 5 2 3 4 2 4" xfId="56688" xr:uid="{00000000-0005-0000-0000-0000FBDE0000}"/>
    <cellStyle name="Note 5 2 3 4 2 4 2" xfId="56689" xr:uid="{00000000-0005-0000-0000-0000FCDE0000}"/>
    <cellStyle name="Note 5 2 3 4 2 5" xfId="56690" xr:uid="{00000000-0005-0000-0000-0000FDDE0000}"/>
    <cellStyle name="Note 5 2 3 4 2 6" xfId="56691" xr:uid="{00000000-0005-0000-0000-0000FEDE0000}"/>
    <cellStyle name="Note 5 2 3 4 3" xfId="56692" xr:uid="{00000000-0005-0000-0000-0000FFDE0000}"/>
    <cellStyle name="Note 5 2 3 4 3 2" xfId="56693" xr:uid="{00000000-0005-0000-0000-000000DF0000}"/>
    <cellStyle name="Note 5 2 3 4 3 2 2" xfId="56694" xr:uid="{00000000-0005-0000-0000-000001DF0000}"/>
    <cellStyle name="Note 5 2 3 4 3 2 3" xfId="56695" xr:uid="{00000000-0005-0000-0000-000002DF0000}"/>
    <cellStyle name="Note 5 2 3 4 3 3" xfId="56696" xr:uid="{00000000-0005-0000-0000-000003DF0000}"/>
    <cellStyle name="Note 5 2 3 4 3 3 2" xfId="56697" xr:uid="{00000000-0005-0000-0000-000004DF0000}"/>
    <cellStyle name="Note 5 2 3 4 3 3 3" xfId="56698" xr:uid="{00000000-0005-0000-0000-000005DF0000}"/>
    <cellStyle name="Note 5 2 3 4 3 4" xfId="56699" xr:uid="{00000000-0005-0000-0000-000006DF0000}"/>
    <cellStyle name="Note 5 2 3 4 3 4 2" xfId="56700" xr:uid="{00000000-0005-0000-0000-000007DF0000}"/>
    <cellStyle name="Note 5 2 3 4 3 5" xfId="56701" xr:uid="{00000000-0005-0000-0000-000008DF0000}"/>
    <cellStyle name="Note 5 2 3 4 3 6" xfId="56702" xr:uid="{00000000-0005-0000-0000-000009DF0000}"/>
    <cellStyle name="Note 5 2 3 4 4" xfId="56703" xr:uid="{00000000-0005-0000-0000-00000ADF0000}"/>
    <cellStyle name="Note 5 2 3 4 4 2" xfId="56704" xr:uid="{00000000-0005-0000-0000-00000BDF0000}"/>
    <cellStyle name="Note 5 2 3 4 4 2 2" xfId="56705" xr:uid="{00000000-0005-0000-0000-00000CDF0000}"/>
    <cellStyle name="Note 5 2 3 4 4 2 3" xfId="56706" xr:uid="{00000000-0005-0000-0000-00000DDF0000}"/>
    <cellStyle name="Note 5 2 3 4 4 3" xfId="56707" xr:uid="{00000000-0005-0000-0000-00000EDF0000}"/>
    <cellStyle name="Note 5 2 3 4 4 3 2" xfId="56708" xr:uid="{00000000-0005-0000-0000-00000FDF0000}"/>
    <cellStyle name="Note 5 2 3 4 4 4" xfId="56709" xr:uid="{00000000-0005-0000-0000-000010DF0000}"/>
    <cellStyle name="Note 5 2 3 4 4 5" xfId="56710" xr:uid="{00000000-0005-0000-0000-000011DF0000}"/>
    <cellStyle name="Note 5 2 3 4 5" xfId="56711" xr:uid="{00000000-0005-0000-0000-000012DF0000}"/>
    <cellStyle name="Note 5 2 3 4 5 2" xfId="56712" xr:uid="{00000000-0005-0000-0000-000013DF0000}"/>
    <cellStyle name="Note 5 2 3 4 5 3" xfId="56713" xr:uid="{00000000-0005-0000-0000-000014DF0000}"/>
    <cellStyle name="Note 5 2 3 4 6" xfId="56714" xr:uid="{00000000-0005-0000-0000-000015DF0000}"/>
    <cellStyle name="Note 5 2 3 4 6 2" xfId="56715" xr:uid="{00000000-0005-0000-0000-000016DF0000}"/>
    <cellStyle name="Note 5 2 3 4 6 3" xfId="56716" xr:uid="{00000000-0005-0000-0000-000017DF0000}"/>
    <cellStyle name="Note 5 2 3 4 7" xfId="56717" xr:uid="{00000000-0005-0000-0000-000018DF0000}"/>
    <cellStyle name="Note 5 2 3 4 7 2" xfId="56718" xr:uid="{00000000-0005-0000-0000-000019DF0000}"/>
    <cellStyle name="Note 5 2 3 4 8" xfId="56719" xr:uid="{00000000-0005-0000-0000-00001ADF0000}"/>
    <cellStyle name="Note 5 2 3 4 9" xfId="56720" xr:uid="{00000000-0005-0000-0000-00001BDF0000}"/>
    <cellStyle name="Note 5 2 3 5" xfId="56721" xr:uid="{00000000-0005-0000-0000-00001CDF0000}"/>
    <cellStyle name="Note 5 2 3 5 2" xfId="56722" xr:uid="{00000000-0005-0000-0000-00001DDF0000}"/>
    <cellStyle name="Note 5 2 3 5 2 2" xfId="56723" xr:uid="{00000000-0005-0000-0000-00001EDF0000}"/>
    <cellStyle name="Note 5 2 3 5 2 3" xfId="56724" xr:uid="{00000000-0005-0000-0000-00001FDF0000}"/>
    <cellStyle name="Note 5 2 3 5 3" xfId="56725" xr:uid="{00000000-0005-0000-0000-000020DF0000}"/>
    <cellStyle name="Note 5 2 3 5 3 2" xfId="56726" xr:uid="{00000000-0005-0000-0000-000021DF0000}"/>
    <cellStyle name="Note 5 2 3 5 3 3" xfId="56727" xr:uid="{00000000-0005-0000-0000-000022DF0000}"/>
    <cellStyle name="Note 5 2 3 5 4" xfId="56728" xr:uid="{00000000-0005-0000-0000-000023DF0000}"/>
    <cellStyle name="Note 5 2 3 5 4 2" xfId="56729" xr:uid="{00000000-0005-0000-0000-000024DF0000}"/>
    <cellStyle name="Note 5 2 3 5 5" xfId="56730" xr:uid="{00000000-0005-0000-0000-000025DF0000}"/>
    <cellStyle name="Note 5 2 3 5 6" xfId="56731" xr:uid="{00000000-0005-0000-0000-000026DF0000}"/>
    <cellStyle name="Note 5 2 3 6" xfId="56732" xr:uid="{00000000-0005-0000-0000-000027DF0000}"/>
    <cellStyle name="Note 5 2 3 6 2" xfId="56733" xr:uid="{00000000-0005-0000-0000-000028DF0000}"/>
    <cellStyle name="Note 5 2 3 6 2 2" xfId="56734" xr:uid="{00000000-0005-0000-0000-000029DF0000}"/>
    <cellStyle name="Note 5 2 3 6 2 3" xfId="56735" xr:uid="{00000000-0005-0000-0000-00002ADF0000}"/>
    <cellStyle name="Note 5 2 3 6 3" xfId="56736" xr:uid="{00000000-0005-0000-0000-00002BDF0000}"/>
    <cellStyle name="Note 5 2 3 6 3 2" xfId="56737" xr:uid="{00000000-0005-0000-0000-00002CDF0000}"/>
    <cellStyle name="Note 5 2 3 6 3 3" xfId="56738" xr:uid="{00000000-0005-0000-0000-00002DDF0000}"/>
    <cellStyle name="Note 5 2 3 6 4" xfId="56739" xr:uid="{00000000-0005-0000-0000-00002EDF0000}"/>
    <cellStyle name="Note 5 2 3 6 4 2" xfId="56740" xr:uid="{00000000-0005-0000-0000-00002FDF0000}"/>
    <cellStyle name="Note 5 2 3 6 5" xfId="56741" xr:uid="{00000000-0005-0000-0000-000030DF0000}"/>
    <cellStyle name="Note 5 2 3 6 6" xfId="56742" xr:uid="{00000000-0005-0000-0000-000031DF0000}"/>
    <cellStyle name="Note 5 2 3 7" xfId="56743" xr:uid="{00000000-0005-0000-0000-000032DF0000}"/>
    <cellStyle name="Note 5 2 3 7 2" xfId="56744" xr:uid="{00000000-0005-0000-0000-000033DF0000}"/>
    <cellStyle name="Note 5 2 3 7 2 2" xfId="56745" xr:uid="{00000000-0005-0000-0000-000034DF0000}"/>
    <cellStyle name="Note 5 2 3 7 2 3" xfId="56746" xr:uid="{00000000-0005-0000-0000-000035DF0000}"/>
    <cellStyle name="Note 5 2 3 7 3" xfId="56747" xr:uid="{00000000-0005-0000-0000-000036DF0000}"/>
    <cellStyle name="Note 5 2 3 7 3 2" xfId="56748" xr:uid="{00000000-0005-0000-0000-000037DF0000}"/>
    <cellStyle name="Note 5 2 3 7 4" xfId="56749" xr:uid="{00000000-0005-0000-0000-000038DF0000}"/>
    <cellStyle name="Note 5 2 3 7 5" xfId="56750" xr:uid="{00000000-0005-0000-0000-000039DF0000}"/>
    <cellStyle name="Note 5 2 3 8" xfId="56751" xr:uid="{00000000-0005-0000-0000-00003ADF0000}"/>
    <cellStyle name="Note 5 2 3 8 2" xfId="56752" xr:uid="{00000000-0005-0000-0000-00003BDF0000}"/>
    <cellStyle name="Note 5 2 3 8 3" xfId="56753" xr:uid="{00000000-0005-0000-0000-00003CDF0000}"/>
    <cellStyle name="Note 5 2 3 9" xfId="56754" xr:uid="{00000000-0005-0000-0000-00003DDF0000}"/>
    <cellStyle name="Note 5 2 3 9 2" xfId="56755" xr:uid="{00000000-0005-0000-0000-00003EDF0000}"/>
    <cellStyle name="Note 5 2 3 9 3" xfId="56756" xr:uid="{00000000-0005-0000-0000-00003FDF0000}"/>
    <cellStyle name="Note 5 2 4" xfId="6129" xr:uid="{00000000-0005-0000-0000-000040DF0000}"/>
    <cellStyle name="Note 5 2 4 10" xfId="56757" xr:uid="{00000000-0005-0000-0000-000041DF0000}"/>
    <cellStyle name="Note 5 2 4 2" xfId="56758" xr:uid="{00000000-0005-0000-0000-000042DF0000}"/>
    <cellStyle name="Note 5 2 4 2 2" xfId="56759" xr:uid="{00000000-0005-0000-0000-000043DF0000}"/>
    <cellStyle name="Note 5 2 4 2 2 2" xfId="56760" xr:uid="{00000000-0005-0000-0000-000044DF0000}"/>
    <cellStyle name="Note 5 2 4 2 2 2 2" xfId="56761" xr:uid="{00000000-0005-0000-0000-000045DF0000}"/>
    <cellStyle name="Note 5 2 4 2 2 2 3" xfId="56762" xr:uid="{00000000-0005-0000-0000-000046DF0000}"/>
    <cellStyle name="Note 5 2 4 2 2 3" xfId="56763" xr:uid="{00000000-0005-0000-0000-000047DF0000}"/>
    <cellStyle name="Note 5 2 4 2 2 3 2" xfId="56764" xr:uid="{00000000-0005-0000-0000-000048DF0000}"/>
    <cellStyle name="Note 5 2 4 2 2 3 3" xfId="56765" xr:uid="{00000000-0005-0000-0000-000049DF0000}"/>
    <cellStyle name="Note 5 2 4 2 2 4" xfId="56766" xr:uid="{00000000-0005-0000-0000-00004ADF0000}"/>
    <cellStyle name="Note 5 2 4 2 2 4 2" xfId="56767" xr:uid="{00000000-0005-0000-0000-00004BDF0000}"/>
    <cellStyle name="Note 5 2 4 2 2 5" xfId="56768" xr:uid="{00000000-0005-0000-0000-00004CDF0000}"/>
    <cellStyle name="Note 5 2 4 2 2 6" xfId="56769" xr:uid="{00000000-0005-0000-0000-00004DDF0000}"/>
    <cellStyle name="Note 5 2 4 2 3" xfId="56770" xr:uid="{00000000-0005-0000-0000-00004EDF0000}"/>
    <cellStyle name="Note 5 2 4 2 3 2" xfId="56771" xr:uid="{00000000-0005-0000-0000-00004FDF0000}"/>
    <cellStyle name="Note 5 2 4 2 3 2 2" xfId="56772" xr:uid="{00000000-0005-0000-0000-000050DF0000}"/>
    <cellStyle name="Note 5 2 4 2 3 2 3" xfId="56773" xr:uid="{00000000-0005-0000-0000-000051DF0000}"/>
    <cellStyle name="Note 5 2 4 2 3 3" xfId="56774" xr:uid="{00000000-0005-0000-0000-000052DF0000}"/>
    <cellStyle name="Note 5 2 4 2 3 3 2" xfId="56775" xr:uid="{00000000-0005-0000-0000-000053DF0000}"/>
    <cellStyle name="Note 5 2 4 2 3 3 3" xfId="56776" xr:uid="{00000000-0005-0000-0000-000054DF0000}"/>
    <cellStyle name="Note 5 2 4 2 3 4" xfId="56777" xr:uid="{00000000-0005-0000-0000-000055DF0000}"/>
    <cellStyle name="Note 5 2 4 2 3 4 2" xfId="56778" xr:uid="{00000000-0005-0000-0000-000056DF0000}"/>
    <cellStyle name="Note 5 2 4 2 3 5" xfId="56779" xr:uid="{00000000-0005-0000-0000-000057DF0000}"/>
    <cellStyle name="Note 5 2 4 2 3 6" xfId="56780" xr:uid="{00000000-0005-0000-0000-000058DF0000}"/>
    <cellStyle name="Note 5 2 4 2 4" xfId="56781" xr:uid="{00000000-0005-0000-0000-000059DF0000}"/>
    <cellStyle name="Note 5 2 4 2 4 2" xfId="56782" xr:uid="{00000000-0005-0000-0000-00005ADF0000}"/>
    <cellStyle name="Note 5 2 4 2 4 2 2" xfId="56783" xr:uid="{00000000-0005-0000-0000-00005BDF0000}"/>
    <cellStyle name="Note 5 2 4 2 4 2 3" xfId="56784" xr:uid="{00000000-0005-0000-0000-00005CDF0000}"/>
    <cellStyle name="Note 5 2 4 2 4 3" xfId="56785" xr:uid="{00000000-0005-0000-0000-00005DDF0000}"/>
    <cellStyle name="Note 5 2 4 2 4 3 2" xfId="56786" xr:uid="{00000000-0005-0000-0000-00005EDF0000}"/>
    <cellStyle name="Note 5 2 4 2 4 4" xfId="56787" xr:uid="{00000000-0005-0000-0000-00005FDF0000}"/>
    <cellStyle name="Note 5 2 4 2 4 5" xfId="56788" xr:uid="{00000000-0005-0000-0000-000060DF0000}"/>
    <cellStyle name="Note 5 2 4 2 5" xfId="56789" xr:uid="{00000000-0005-0000-0000-000061DF0000}"/>
    <cellStyle name="Note 5 2 4 2 5 2" xfId="56790" xr:uid="{00000000-0005-0000-0000-000062DF0000}"/>
    <cellStyle name="Note 5 2 4 2 5 3" xfId="56791" xr:uid="{00000000-0005-0000-0000-000063DF0000}"/>
    <cellStyle name="Note 5 2 4 2 6" xfId="56792" xr:uid="{00000000-0005-0000-0000-000064DF0000}"/>
    <cellStyle name="Note 5 2 4 2 6 2" xfId="56793" xr:uid="{00000000-0005-0000-0000-000065DF0000}"/>
    <cellStyle name="Note 5 2 4 2 6 3" xfId="56794" xr:uid="{00000000-0005-0000-0000-000066DF0000}"/>
    <cellStyle name="Note 5 2 4 2 7" xfId="56795" xr:uid="{00000000-0005-0000-0000-000067DF0000}"/>
    <cellStyle name="Note 5 2 4 2 7 2" xfId="56796" xr:uid="{00000000-0005-0000-0000-000068DF0000}"/>
    <cellStyle name="Note 5 2 4 2 8" xfId="56797" xr:uid="{00000000-0005-0000-0000-000069DF0000}"/>
    <cellStyle name="Note 5 2 4 2 9" xfId="56798" xr:uid="{00000000-0005-0000-0000-00006ADF0000}"/>
    <cellStyle name="Note 5 2 4 3" xfId="56799" xr:uid="{00000000-0005-0000-0000-00006BDF0000}"/>
    <cellStyle name="Note 5 2 4 3 2" xfId="56800" xr:uid="{00000000-0005-0000-0000-00006CDF0000}"/>
    <cellStyle name="Note 5 2 4 3 2 2" xfId="56801" xr:uid="{00000000-0005-0000-0000-00006DDF0000}"/>
    <cellStyle name="Note 5 2 4 3 2 3" xfId="56802" xr:uid="{00000000-0005-0000-0000-00006EDF0000}"/>
    <cellStyle name="Note 5 2 4 3 3" xfId="56803" xr:uid="{00000000-0005-0000-0000-00006FDF0000}"/>
    <cellStyle name="Note 5 2 4 3 3 2" xfId="56804" xr:uid="{00000000-0005-0000-0000-000070DF0000}"/>
    <cellStyle name="Note 5 2 4 3 3 3" xfId="56805" xr:uid="{00000000-0005-0000-0000-000071DF0000}"/>
    <cellStyle name="Note 5 2 4 3 4" xfId="56806" xr:uid="{00000000-0005-0000-0000-000072DF0000}"/>
    <cellStyle name="Note 5 2 4 3 4 2" xfId="56807" xr:uid="{00000000-0005-0000-0000-000073DF0000}"/>
    <cellStyle name="Note 5 2 4 3 5" xfId="56808" xr:uid="{00000000-0005-0000-0000-000074DF0000}"/>
    <cellStyle name="Note 5 2 4 3 6" xfId="56809" xr:uid="{00000000-0005-0000-0000-000075DF0000}"/>
    <cellStyle name="Note 5 2 4 4" xfId="56810" xr:uid="{00000000-0005-0000-0000-000076DF0000}"/>
    <cellStyle name="Note 5 2 4 4 2" xfId="56811" xr:uid="{00000000-0005-0000-0000-000077DF0000}"/>
    <cellStyle name="Note 5 2 4 4 2 2" xfId="56812" xr:uid="{00000000-0005-0000-0000-000078DF0000}"/>
    <cellStyle name="Note 5 2 4 4 2 3" xfId="56813" xr:uid="{00000000-0005-0000-0000-000079DF0000}"/>
    <cellStyle name="Note 5 2 4 4 3" xfId="56814" xr:uid="{00000000-0005-0000-0000-00007ADF0000}"/>
    <cellStyle name="Note 5 2 4 4 3 2" xfId="56815" xr:uid="{00000000-0005-0000-0000-00007BDF0000}"/>
    <cellStyle name="Note 5 2 4 4 3 3" xfId="56816" xr:uid="{00000000-0005-0000-0000-00007CDF0000}"/>
    <cellStyle name="Note 5 2 4 4 4" xfId="56817" xr:uid="{00000000-0005-0000-0000-00007DDF0000}"/>
    <cellStyle name="Note 5 2 4 4 4 2" xfId="56818" xr:uid="{00000000-0005-0000-0000-00007EDF0000}"/>
    <cellStyle name="Note 5 2 4 4 5" xfId="56819" xr:uid="{00000000-0005-0000-0000-00007FDF0000}"/>
    <cellStyle name="Note 5 2 4 4 6" xfId="56820" xr:uid="{00000000-0005-0000-0000-000080DF0000}"/>
    <cellStyle name="Note 5 2 4 5" xfId="56821" xr:uid="{00000000-0005-0000-0000-000081DF0000}"/>
    <cellStyle name="Note 5 2 4 5 2" xfId="56822" xr:uid="{00000000-0005-0000-0000-000082DF0000}"/>
    <cellStyle name="Note 5 2 4 5 2 2" xfId="56823" xr:uid="{00000000-0005-0000-0000-000083DF0000}"/>
    <cellStyle name="Note 5 2 4 5 2 3" xfId="56824" xr:uid="{00000000-0005-0000-0000-000084DF0000}"/>
    <cellStyle name="Note 5 2 4 5 3" xfId="56825" xr:uid="{00000000-0005-0000-0000-000085DF0000}"/>
    <cellStyle name="Note 5 2 4 5 3 2" xfId="56826" xr:uid="{00000000-0005-0000-0000-000086DF0000}"/>
    <cellStyle name="Note 5 2 4 5 4" xfId="56827" xr:uid="{00000000-0005-0000-0000-000087DF0000}"/>
    <cellStyle name="Note 5 2 4 5 5" xfId="56828" xr:uid="{00000000-0005-0000-0000-000088DF0000}"/>
    <cellStyle name="Note 5 2 4 6" xfId="56829" xr:uid="{00000000-0005-0000-0000-000089DF0000}"/>
    <cellStyle name="Note 5 2 4 6 2" xfId="56830" xr:uid="{00000000-0005-0000-0000-00008ADF0000}"/>
    <cellStyle name="Note 5 2 4 6 3" xfId="56831" xr:uid="{00000000-0005-0000-0000-00008BDF0000}"/>
    <cellStyle name="Note 5 2 4 7" xfId="56832" xr:uid="{00000000-0005-0000-0000-00008CDF0000}"/>
    <cellStyle name="Note 5 2 4 7 2" xfId="56833" xr:uid="{00000000-0005-0000-0000-00008DDF0000}"/>
    <cellStyle name="Note 5 2 4 7 3" xfId="56834" xr:uid="{00000000-0005-0000-0000-00008EDF0000}"/>
    <cellStyle name="Note 5 2 4 8" xfId="56835" xr:uid="{00000000-0005-0000-0000-00008FDF0000}"/>
    <cellStyle name="Note 5 2 4 8 2" xfId="56836" xr:uid="{00000000-0005-0000-0000-000090DF0000}"/>
    <cellStyle name="Note 5 2 4 9" xfId="56837" xr:uid="{00000000-0005-0000-0000-000091DF0000}"/>
    <cellStyle name="Note 5 2 5" xfId="6130" xr:uid="{00000000-0005-0000-0000-000092DF0000}"/>
    <cellStyle name="Note 5 2 5 2" xfId="56838" xr:uid="{00000000-0005-0000-0000-000093DF0000}"/>
    <cellStyle name="Note 5 2 5 2 2" xfId="56839" xr:uid="{00000000-0005-0000-0000-000094DF0000}"/>
    <cellStyle name="Note 5 2 5 2 2 2" xfId="56840" xr:uid="{00000000-0005-0000-0000-000095DF0000}"/>
    <cellStyle name="Note 5 2 5 2 2 3" xfId="56841" xr:uid="{00000000-0005-0000-0000-000096DF0000}"/>
    <cellStyle name="Note 5 2 5 2 3" xfId="56842" xr:uid="{00000000-0005-0000-0000-000097DF0000}"/>
    <cellStyle name="Note 5 2 5 2 3 2" xfId="56843" xr:uid="{00000000-0005-0000-0000-000098DF0000}"/>
    <cellStyle name="Note 5 2 5 2 3 3" xfId="56844" xr:uid="{00000000-0005-0000-0000-000099DF0000}"/>
    <cellStyle name="Note 5 2 5 2 4" xfId="56845" xr:uid="{00000000-0005-0000-0000-00009ADF0000}"/>
    <cellStyle name="Note 5 2 5 2 4 2" xfId="56846" xr:uid="{00000000-0005-0000-0000-00009BDF0000}"/>
    <cellStyle name="Note 5 2 5 2 5" xfId="56847" xr:uid="{00000000-0005-0000-0000-00009CDF0000}"/>
    <cellStyle name="Note 5 2 5 2 6" xfId="56848" xr:uid="{00000000-0005-0000-0000-00009DDF0000}"/>
    <cellStyle name="Note 5 2 5 3" xfId="56849" xr:uid="{00000000-0005-0000-0000-00009EDF0000}"/>
    <cellStyle name="Note 5 2 5 3 2" xfId="56850" xr:uid="{00000000-0005-0000-0000-00009FDF0000}"/>
    <cellStyle name="Note 5 2 5 3 2 2" xfId="56851" xr:uid="{00000000-0005-0000-0000-0000A0DF0000}"/>
    <cellStyle name="Note 5 2 5 3 2 3" xfId="56852" xr:uid="{00000000-0005-0000-0000-0000A1DF0000}"/>
    <cellStyle name="Note 5 2 5 3 3" xfId="56853" xr:uid="{00000000-0005-0000-0000-0000A2DF0000}"/>
    <cellStyle name="Note 5 2 5 3 3 2" xfId="56854" xr:uid="{00000000-0005-0000-0000-0000A3DF0000}"/>
    <cellStyle name="Note 5 2 5 3 3 3" xfId="56855" xr:uid="{00000000-0005-0000-0000-0000A4DF0000}"/>
    <cellStyle name="Note 5 2 5 3 4" xfId="56856" xr:uid="{00000000-0005-0000-0000-0000A5DF0000}"/>
    <cellStyle name="Note 5 2 5 3 4 2" xfId="56857" xr:uid="{00000000-0005-0000-0000-0000A6DF0000}"/>
    <cellStyle name="Note 5 2 5 3 5" xfId="56858" xr:uid="{00000000-0005-0000-0000-0000A7DF0000}"/>
    <cellStyle name="Note 5 2 5 3 6" xfId="56859" xr:uid="{00000000-0005-0000-0000-0000A8DF0000}"/>
    <cellStyle name="Note 5 2 5 4" xfId="56860" xr:uid="{00000000-0005-0000-0000-0000A9DF0000}"/>
    <cellStyle name="Note 5 2 5 4 2" xfId="56861" xr:uid="{00000000-0005-0000-0000-0000AADF0000}"/>
    <cellStyle name="Note 5 2 5 4 2 2" xfId="56862" xr:uid="{00000000-0005-0000-0000-0000ABDF0000}"/>
    <cellStyle name="Note 5 2 5 4 2 3" xfId="56863" xr:uid="{00000000-0005-0000-0000-0000ACDF0000}"/>
    <cellStyle name="Note 5 2 5 4 3" xfId="56864" xr:uid="{00000000-0005-0000-0000-0000ADDF0000}"/>
    <cellStyle name="Note 5 2 5 4 3 2" xfId="56865" xr:uid="{00000000-0005-0000-0000-0000AEDF0000}"/>
    <cellStyle name="Note 5 2 5 4 4" xfId="56866" xr:uid="{00000000-0005-0000-0000-0000AFDF0000}"/>
    <cellStyle name="Note 5 2 5 4 5" xfId="56867" xr:uid="{00000000-0005-0000-0000-0000B0DF0000}"/>
    <cellStyle name="Note 5 2 5 5" xfId="56868" xr:uid="{00000000-0005-0000-0000-0000B1DF0000}"/>
    <cellStyle name="Note 5 2 5 5 2" xfId="56869" xr:uid="{00000000-0005-0000-0000-0000B2DF0000}"/>
    <cellStyle name="Note 5 2 5 5 3" xfId="56870" xr:uid="{00000000-0005-0000-0000-0000B3DF0000}"/>
    <cellStyle name="Note 5 2 5 6" xfId="56871" xr:uid="{00000000-0005-0000-0000-0000B4DF0000}"/>
    <cellStyle name="Note 5 2 5 6 2" xfId="56872" xr:uid="{00000000-0005-0000-0000-0000B5DF0000}"/>
    <cellStyle name="Note 5 2 5 6 3" xfId="56873" xr:uid="{00000000-0005-0000-0000-0000B6DF0000}"/>
    <cellStyle name="Note 5 2 5 7" xfId="56874" xr:uid="{00000000-0005-0000-0000-0000B7DF0000}"/>
    <cellStyle name="Note 5 2 5 7 2" xfId="56875" xr:uid="{00000000-0005-0000-0000-0000B8DF0000}"/>
    <cellStyle name="Note 5 2 5 8" xfId="56876" xr:uid="{00000000-0005-0000-0000-0000B9DF0000}"/>
    <cellStyle name="Note 5 2 5 9" xfId="56877" xr:uid="{00000000-0005-0000-0000-0000BADF0000}"/>
    <cellStyle name="Note 5 2 6" xfId="6131" xr:uid="{00000000-0005-0000-0000-0000BBDF0000}"/>
    <cellStyle name="Note 5 2 6 2" xfId="56878" xr:uid="{00000000-0005-0000-0000-0000BCDF0000}"/>
    <cellStyle name="Note 5 2 6 2 2" xfId="56879" xr:uid="{00000000-0005-0000-0000-0000BDDF0000}"/>
    <cellStyle name="Note 5 2 6 2 2 2" xfId="56880" xr:uid="{00000000-0005-0000-0000-0000BEDF0000}"/>
    <cellStyle name="Note 5 2 6 2 2 3" xfId="56881" xr:uid="{00000000-0005-0000-0000-0000BFDF0000}"/>
    <cellStyle name="Note 5 2 6 2 3" xfId="56882" xr:uid="{00000000-0005-0000-0000-0000C0DF0000}"/>
    <cellStyle name="Note 5 2 6 2 3 2" xfId="56883" xr:uid="{00000000-0005-0000-0000-0000C1DF0000}"/>
    <cellStyle name="Note 5 2 6 2 3 3" xfId="56884" xr:uid="{00000000-0005-0000-0000-0000C2DF0000}"/>
    <cellStyle name="Note 5 2 6 2 4" xfId="56885" xr:uid="{00000000-0005-0000-0000-0000C3DF0000}"/>
    <cellStyle name="Note 5 2 6 2 4 2" xfId="56886" xr:uid="{00000000-0005-0000-0000-0000C4DF0000}"/>
    <cellStyle name="Note 5 2 6 2 5" xfId="56887" xr:uid="{00000000-0005-0000-0000-0000C5DF0000}"/>
    <cellStyle name="Note 5 2 6 2 6" xfId="56888" xr:uid="{00000000-0005-0000-0000-0000C6DF0000}"/>
    <cellStyle name="Note 5 2 6 3" xfId="56889" xr:uid="{00000000-0005-0000-0000-0000C7DF0000}"/>
    <cellStyle name="Note 5 2 6 3 2" xfId="56890" xr:uid="{00000000-0005-0000-0000-0000C8DF0000}"/>
    <cellStyle name="Note 5 2 6 3 2 2" xfId="56891" xr:uid="{00000000-0005-0000-0000-0000C9DF0000}"/>
    <cellStyle name="Note 5 2 6 3 2 3" xfId="56892" xr:uid="{00000000-0005-0000-0000-0000CADF0000}"/>
    <cellStyle name="Note 5 2 6 3 3" xfId="56893" xr:uid="{00000000-0005-0000-0000-0000CBDF0000}"/>
    <cellStyle name="Note 5 2 6 3 3 2" xfId="56894" xr:uid="{00000000-0005-0000-0000-0000CCDF0000}"/>
    <cellStyle name="Note 5 2 6 3 3 3" xfId="56895" xr:uid="{00000000-0005-0000-0000-0000CDDF0000}"/>
    <cellStyle name="Note 5 2 6 3 4" xfId="56896" xr:uid="{00000000-0005-0000-0000-0000CEDF0000}"/>
    <cellStyle name="Note 5 2 6 3 4 2" xfId="56897" xr:uid="{00000000-0005-0000-0000-0000CFDF0000}"/>
    <cellStyle name="Note 5 2 6 3 5" xfId="56898" xr:uid="{00000000-0005-0000-0000-0000D0DF0000}"/>
    <cellStyle name="Note 5 2 6 3 6" xfId="56899" xr:uid="{00000000-0005-0000-0000-0000D1DF0000}"/>
    <cellStyle name="Note 5 2 6 4" xfId="56900" xr:uid="{00000000-0005-0000-0000-0000D2DF0000}"/>
    <cellStyle name="Note 5 2 6 4 2" xfId="56901" xr:uid="{00000000-0005-0000-0000-0000D3DF0000}"/>
    <cellStyle name="Note 5 2 6 4 2 2" xfId="56902" xr:uid="{00000000-0005-0000-0000-0000D4DF0000}"/>
    <cellStyle name="Note 5 2 6 4 2 3" xfId="56903" xr:uid="{00000000-0005-0000-0000-0000D5DF0000}"/>
    <cellStyle name="Note 5 2 6 4 3" xfId="56904" xr:uid="{00000000-0005-0000-0000-0000D6DF0000}"/>
    <cellStyle name="Note 5 2 6 4 3 2" xfId="56905" xr:uid="{00000000-0005-0000-0000-0000D7DF0000}"/>
    <cellStyle name="Note 5 2 6 4 4" xfId="56906" xr:uid="{00000000-0005-0000-0000-0000D8DF0000}"/>
    <cellStyle name="Note 5 2 6 4 5" xfId="56907" xr:uid="{00000000-0005-0000-0000-0000D9DF0000}"/>
    <cellStyle name="Note 5 2 6 5" xfId="56908" xr:uid="{00000000-0005-0000-0000-0000DADF0000}"/>
    <cellStyle name="Note 5 2 6 5 2" xfId="56909" xr:uid="{00000000-0005-0000-0000-0000DBDF0000}"/>
    <cellStyle name="Note 5 2 6 5 3" xfId="56910" xr:uid="{00000000-0005-0000-0000-0000DCDF0000}"/>
    <cellStyle name="Note 5 2 6 6" xfId="56911" xr:uid="{00000000-0005-0000-0000-0000DDDF0000}"/>
    <cellStyle name="Note 5 2 6 6 2" xfId="56912" xr:uid="{00000000-0005-0000-0000-0000DEDF0000}"/>
    <cellStyle name="Note 5 2 6 6 3" xfId="56913" xr:uid="{00000000-0005-0000-0000-0000DFDF0000}"/>
    <cellStyle name="Note 5 2 6 7" xfId="56914" xr:uid="{00000000-0005-0000-0000-0000E0DF0000}"/>
    <cellStyle name="Note 5 2 6 7 2" xfId="56915" xr:uid="{00000000-0005-0000-0000-0000E1DF0000}"/>
    <cellStyle name="Note 5 2 6 8" xfId="56916" xr:uid="{00000000-0005-0000-0000-0000E2DF0000}"/>
    <cellStyle name="Note 5 2 6 9" xfId="56917" xr:uid="{00000000-0005-0000-0000-0000E3DF0000}"/>
    <cellStyle name="Note 5 2 7" xfId="6132" xr:uid="{00000000-0005-0000-0000-0000E4DF0000}"/>
    <cellStyle name="Note 5 2 7 2" xfId="56918" xr:uid="{00000000-0005-0000-0000-0000E5DF0000}"/>
    <cellStyle name="Note 5 2 7 2 2" xfId="56919" xr:uid="{00000000-0005-0000-0000-0000E6DF0000}"/>
    <cellStyle name="Note 5 2 7 2 3" xfId="56920" xr:uid="{00000000-0005-0000-0000-0000E7DF0000}"/>
    <cellStyle name="Note 5 2 7 3" xfId="56921" xr:uid="{00000000-0005-0000-0000-0000E8DF0000}"/>
    <cellStyle name="Note 5 2 7 3 2" xfId="56922" xr:uid="{00000000-0005-0000-0000-0000E9DF0000}"/>
    <cellStyle name="Note 5 2 7 3 3" xfId="56923" xr:uid="{00000000-0005-0000-0000-0000EADF0000}"/>
    <cellStyle name="Note 5 2 7 4" xfId="56924" xr:uid="{00000000-0005-0000-0000-0000EBDF0000}"/>
    <cellStyle name="Note 5 2 7 4 2" xfId="56925" xr:uid="{00000000-0005-0000-0000-0000ECDF0000}"/>
    <cellStyle name="Note 5 2 7 5" xfId="56926" xr:uid="{00000000-0005-0000-0000-0000EDDF0000}"/>
    <cellStyle name="Note 5 2 7 6" xfId="56927" xr:uid="{00000000-0005-0000-0000-0000EEDF0000}"/>
    <cellStyle name="Note 5 2 8" xfId="6133" xr:uid="{00000000-0005-0000-0000-0000EFDF0000}"/>
    <cellStyle name="Note 5 2 8 2" xfId="56928" xr:uid="{00000000-0005-0000-0000-0000F0DF0000}"/>
    <cellStyle name="Note 5 2 8 2 2" xfId="56929" xr:uid="{00000000-0005-0000-0000-0000F1DF0000}"/>
    <cellStyle name="Note 5 2 8 2 3" xfId="56930" xr:uid="{00000000-0005-0000-0000-0000F2DF0000}"/>
    <cellStyle name="Note 5 2 8 3" xfId="56931" xr:uid="{00000000-0005-0000-0000-0000F3DF0000}"/>
    <cellStyle name="Note 5 2 8 3 2" xfId="56932" xr:uid="{00000000-0005-0000-0000-0000F4DF0000}"/>
    <cellStyle name="Note 5 2 8 3 3" xfId="56933" xr:uid="{00000000-0005-0000-0000-0000F5DF0000}"/>
    <cellStyle name="Note 5 2 8 4" xfId="56934" xr:uid="{00000000-0005-0000-0000-0000F6DF0000}"/>
    <cellStyle name="Note 5 2 8 4 2" xfId="56935" xr:uid="{00000000-0005-0000-0000-0000F7DF0000}"/>
    <cellStyle name="Note 5 2 8 5" xfId="56936" xr:uid="{00000000-0005-0000-0000-0000F8DF0000}"/>
    <cellStyle name="Note 5 2 8 6" xfId="56937" xr:uid="{00000000-0005-0000-0000-0000F9DF0000}"/>
    <cellStyle name="Note 5 2 9" xfId="6134" xr:uid="{00000000-0005-0000-0000-0000FADF0000}"/>
    <cellStyle name="Note 5 2 9 2" xfId="56938" xr:uid="{00000000-0005-0000-0000-0000FBDF0000}"/>
    <cellStyle name="Note 5 2 9 2 2" xfId="56939" xr:uid="{00000000-0005-0000-0000-0000FCDF0000}"/>
    <cellStyle name="Note 5 2 9 2 3" xfId="56940" xr:uid="{00000000-0005-0000-0000-0000FDDF0000}"/>
    <cellStyle name="Note 5 2 9 3" xfId="56941" xr:uid="{00000000-0005-0000-0000-0000FEDF0000}"/>
    <cellStyle name="Note 5 2 9 3 2" xfId="56942" xr:uid="{00000000-0005-0000-0000-0000FFDF0000}"/>
    <cellStyle name="Note 5 2 9 4" xfId="56943" xr:uid="{00000000-0005-0000-0000-000000E00000}"/>
    <cellStyle name="Note 5 2 9 5" xfId="56944" xr:uid="{00000000-0005-0000-0000-000001E00000}"/>
    <cellStyle name="Note 5 3" xfId="6135" xr:uid="{00000000-0005-0000-0000-000002E00000}"/>
    <cellStyle name="Note 5 3 10" xfId="56945" xr:uid="{00000000-0005-0000-0000-000003E00000}"/>
    <cellStyle name="Note 5 3 10 2" xfId="56946" xr:uid="{00000000-0005-0000-0000-000004E00000}"/>
    <cellStyle name="Note 5 3 10 3" xfId="56947" xr:uid="{00000000-0005-0000-0000-000005E00000}"/>
    <cellStyle name="Note 5 3 11" xfId="56948" xr:uid="{00000000-0005-0000-0000-000006E00000}"/>
    <cellStyle name="Note 5 3 11 2" xfId="56949" xr:uid="{00000000-0005-0000-0000-000007E00000}"/>
    <cellStyle name="Note 5 3 12" xfId="56950" xr:uid="{00000000-0005-0000-0000-000008E00000}"/>
    <cellStyle name="Note 5 3 13" xfId="56951" xr:uid="{00000000-0005-0000-0000-000009E00000}"/>
    <cellStyle name="Note 5 3 14" xfId="56952" xr:uid="{00000000-0005-0000-0000-00000AE00000}"/>
    <cellStyle name="Note 5 3 2" xfId="6136" xr:uid="{00000000-0005-0000-0000-00000BE00000}"/>
    <cellStyle name="Note 5 3 2 10" xfId="56953" xr:uid="{00000000-0005-0000-0000-00000CE00000}"/>
    <cellStyle name="Note 5 3 2 10 2" xfId="56954" xr:uid="{00000000-0005-0000-0000-00000DE00000}"/>
    <cellStyle name="Note 5 3 2 11" xfId="56955" xr:uid="{00000000-0005-0000-0000-00000EE00000}"/>
    <cellStyle name="Note 5 3 2 12" xfId="56956" xr:uid="{00000000-0005-0000-0000-00000FE00000}"/>
    <cellStyle name="Note 5 3 2 2" xfId="9332" xr:uid="{00000000-0005-0000-0000-000010E00000}"/>
    <cellStyle name="Note 5 3 2 2 10" xfId="56957" xr:uid="{00000000-0005-0000-0000-000011E00000}"/>
    <cellStyle name="Note 5 3 2 2 2" xfId="56958" xr:uid="{00000000-0005-0000-0000-000012E00000}"/>
    <cellStyle name="Note 5 3 2 2 2 2" xfId="56959" xr:uid="{00000000-0005-0000-0000-000013E00000}"/>
    <cellStyle name="Note 5 3 2 2 2 2 2" xfId="56960" xr:uid="{00000000-0005-0000-0000-000014E00000}"/>
    <cellStyle name="Note 5 3 2 2 2 2 2 2" xfId="56961" xr:uid="{00000000-0005-0000-0000-000015E00000}"/>
    <cellStyle name="Note 5 3 2 2 2 2 2 3" xfId="56962" xr:uid="{00000000-0005-0000-0000-000016E00000}"/>
    <cellStyle name="Note 5 3 2 2 2 2 3" xfId="56963" xr:uid="{00000000-0005-0000-0000-000017E00000}"/>
    <cellStyle name="Note 5 3 2 2 2 2 3 2" xfId="56964" xr:uid="{00000000-0005-0000-0000-000018E00000}"/>
    <cellStyle name="Note 5 3 2 2 2 2 3 3" xfId="56965" xr:uid="{00000000-0005-0000-0000-000019E00000}"/>
    <cellStyle name="Note 5 3 2 2 2 2 4" xfId="56966" xr:uid="{00000000-0005-0000-0000-00001AE00000}"/>
    <cellStyle name="Note 5 3 2 2 2 2 4 2" xfId="56967" xr:uid="{00000000-0005-0000-0000-00001BE00000}"/>
    <cellStyle name="Note 5 3 2 2 2 2 5" xfId="56968" xr:uid="{00000000-0005-0000-0000-00001CE00000}"/>
    <cellStyle name="Note 5 3 2 2 2 2 6" xfId="56969" xr:uid="{00000000-0005-0000-0000-00001DE00000}"/>
    <cellStyle name="Note 5 3 2 2 2 3" xfId="56970" xr:uid="{00000000-0005-0000-0000-00001EE00000}"/>
    <cellStyle name="Note 5 3 2 2 2 3 2" xfId="56971" xr:uid="{00000000-0005-0000-0000-00001FE00000}"/>
    <cellStyle name="Note 5 3 2 2 2 3 2 2" xfId="56972" xr:uid="{00000000-0005-0000-0000-000020E00000}"/>
    <cellStyle name="Note 5 3 2 2 2 3 2 3" xfId="56973" xr:uid="{00000000-0005-0000-0000-000021E00000}"/>
    <cellStyle name="Note 5 3 2 2 2 3 3" xfId="56974" xr:uid="{00000000-0005-0000-0000-000022E00000}"/>
    <cellStyle name="Note 5 3 2 2 2 3 3 2" xfId="56975" xr:uid="{00000000-0005-0000-0000-000023E00000}"/>
    <cellStyle name="Note 5 3 2 2 2 3 3 3" xfId="56976" xr:uid="{00000000-0005-0000-0000-000024E00000}"/>
    <cellStyle name="Note 5 3 2 2 2 3 4" xfId="56977" xr:uid="{00000000-0005-0000-0000-000025E00000}"/>
    <cellStyle name="Note 5 3 2 2 2 3 4 2" xfId="56978" xr:uid="{00000000-0005-0000-0000-000026E00000}"/>
    <cellStyle name="Note 5 3 2 2 2 3 5" xfId="56979" xr:uid="{00000000-0005-0000-0000-000027E00000}"/>
    <cellStyle name="Note 5 3 2 2 2 3 6" xfId="56980" xr:uid="{00000000-0005-0000-0000-000028E00000}"/>
    <cellStyle name="Note 5 3 2 2 2 4" xfId="56981" xr:uid="{00000000-0005-0000-0000-000029E00000}"/>
    <cellStyle name="Note 5 3 2 2 2 4 2" xfId="56982" xr:uid="{00000000-0005-0000-0000-00002AE00000}"/>
    <cellStyle name="Note 5 3 2 2 2 4 2 2" xfId="56983" xr:uid="{00000000-0005-0000-0000-00002BE00000}"/>
    <cellStyle name="Note 5 3 2 2 2 4 2 3" xfId="56984" xr:uid="{00000000-0005-0000-0000-00002CE00000}"/>
    <cellStyle name="Note 5 3 2 2 2 4 3" xfId="56985" xr:uid="{00000000-0005-0000-0000-00002DE00000}"/>
    <cellStyle name="Note 5 3 2 2 2 4 3 2" xfId="56986" xr:uid="{00000000-0005-0000-0000-00002EE00000}"/>
    <cellStyle name="Note 5 3 2 2 2 4 4" xfId="56987" xr:uid="{00000000-0005-0000-0000-00002FE00000}"/>
    <cellStyle name="Note 5 3 2 2 2 4 5" xfId="56988" xr:uid="{00000000-0005-0000-0000-000030E00000}"/>
    <cellStyle name="Note 5 3 2 2 2 5" xfId="56989" xr:uid="{00000000-0005-0000-0000-000031E00000}"/>
    <cellStyle name="Note 5 3 2 2 2 5 2" xfId="56990" xr:uid="{00000000-0005-0000-0000-000032E00000}"/>
    <cellStyle name="Note 5 3 2 2 2 5 3" xfId="56991" xr:uid="{00000000-0005-0000-0000-000033E00000}"/>
    <cellStyle name="Note 5 3 2 2 2 6" xfId="56992" xr:uid="{00000000-0005-0000-0000-000034E00000}"/>
    <cellStyle name="Note 5 3 2 2 2 6 2" xfId="56993" xr:uid="{00000000-0005-0000-0000-000035E00000}"/>
    <cellStyle name="Note 5 3 2 2 2 6 3" xfId="56994" xr:uid="{00000000-0005-0000-0000-000036E00000}"/>
    <cellStyle name="Note 5 3 2 2 2 7" xfId="56995" xr:uid="{00000000-0005-0000-0000-000037E00000}"/>
    <cellStyle name="Note 5 3 2 2 2 7 2" xfId="56996" xr:uid="{00000000-0005-0000-0000-000038E00000}"/>
    <cellStyle name="Note 5 3 2 2 2 8" xfId="56997" xr:uid="{00000000-0005-0000-0000-000039E00000}"/>
    <cellStyle name="Note 5 3 2 2 2 9" xfId="56998" xr:uid="{00000000-0005-0000-0000-00003AE00000}"/>
    <cellStyle name="Note 5 3 2 2 3" xfId="56999" xr:uid="{00000000-0005-0000-0000-00003BE00000}"/>
    <cellStyle name="Note 5 3 2 2 3 2" xfId="57000" xr:uid="{00000000-0005-0000-0000-00003CE00000}"/>
    <cellStyle name="Note 5 3 2 2 3 2 2" xfId="57001" xr:uid="{00000000-0005-0000-0000-00003DE00000}"/>
    <cellStyle name="Note 5 3 2 2 3 2 3" xfId="57002" xr:uid="{00000000-0005-0000-0000-00003EE00000}"/>
    <cellStyle name="Note 5 3 2 2 3 3" xfId="57003" xr:uid="{00000000-0005-0000-0000-00003FE00000}"/>
    <cellStyle name="Note 5 3 2 2 3 3 2" xfId="57004" xr:uid="{00000000-0005-0000-0000-000040E00000}"/>
    <cellStyle name="Note 5 3 2 2 3 3 3" xfId="57005" xr:uid="{00000000-0005-0000-0000-000041E00000}"/>
    <cellStyle name="Note 5 3 2 2 3 4" xfId="57006" xr:uid="{00000000-0005-0000-0000-000042E00000}"/>
    <cellStyle name="Note 5 3 2 2 3 4 2" xfId="57007" xr:uid="{00000000-0005-0000-0000-000043E00000}"/>
    <cellStyle name="Note 5 3 2 2 3 5" xfId="57008" xr:uid="{00000000-0005-0000-0000-000044E00000}"/>
    <cellStyle name="Note 5 3 2 2 3 6" xfId="57009" xr:uid="{00000000-0005-0000-0000-000045E00000}"/>
    <cellStyle name="Note 5 3 2 2 4" xfId="57010" xr:uid="{00000000-0005-0000-0000-000046E00000}"/>
    <cellStyle name="Note 5 3 2 2 4 2" xfId="57011" xr:uid="{00000000-0005-0000-0000-000047E00000}"/>
    <cellStyle name="Note 5 3 2 2 4 2 2" xfId="57012" xr:uid="{00000000-0005-0000-0000-000048E00000}"/>
    <cellStyle name="Note 5 3 2 2 4 2 3" xfId="57013" xr:uid="{00000000-0005-0000-0000-000049E00000}"/>
    <cellStyle name="Note 5 3 2 2 4 3" xfId="57014" xr:uid="{00000000-0005-0000-0000-00004AE00000}"/>
    <cellStyle name="Note 5 3 2 2 4 3 2" xfId="57015" xr:uid="{00000000-0005-0000-0000-00004BE00000}"/>
    <cellStyle name="Note 5 3 2 2 4 3 3" xfId="57016" xr:uid="{00000000-0005-0000-0000-00004CE00000}"/>
    <cellStyle name="Note 5 3 2 2 4 4" xfId="57017" xr:uid="{00000000-0005-0000-0000-00004DE00000}"/>
    <cellStyle name="Note 5 3 2 2 4 4 2" xfId="57018" xr:uid="{00000000-0005-0000-0000-00004EE00000}"/>
    <cellStyle name="Note 5 3 2 2 4 5" xfId="57019" xr:uid="{00000000-0005-0000-0000-00004FE00000}"/>
    <cellStyle name="Note 5 3 2 2 4 6" xfId="57020" xr:uid="{00000000-0005-0000-0000-000050E00000}"/>
    <cellStyle name="Note 5 3 2 2 5" xfId="57021" xr:uid="{00000000-0005-0000-0000-000051E00000}"/>
    <cellStyle name="Note 5 3 2 2 5 2" xfId="57022" xr:uid="{00000000-0005-0000-0000-000052E00000}"/>
    <cellStyle name="Note 5 3 2 2 5 2 2" xfId="57023" xr:uid="{00000000-0005-0000-0000-000053E00000}"/>
    <cellStyle name="Note 5 3 2 2 5 2 3" xfId="57024" xr:uid="{00000000-0005-0000-0000-000054E00000}"/>
    <cellStyle name="Note 5 3 2 2 5 3" xfId="57025" xr:uid="{00000000-0005-0000-0000-000055E00000}"/>
    <cellStyle name="Note 5 3 2 2 5 3 2" xfId="57026" xr:uid="{00000000-0005-0000-0000-000056E00000}"/>
    <cellStyle name="Note 5 3 2 2 5 4" xfId="57027" xr:uid="{00000000-0005-0000-0000-000057E00000}"/>
    <cellStyle name="Note 5 3 2 2 5 5" xfId="57028" xr:uid="{00000000-0005-0000-0000-000058E00000}"/>
    <cellStyle name="Note 5 3 2 2 6" xfId="57029" xr:uid="{00000000-0005-0000-0000-000059E00000}"/>
    <cellStyle name="Note 5 3 2 2 6 2" xfId="57030" xr:uid="{00000000-0005-0000-0000-00005AE00000}"/>
    <cellStyle name="Note 5 3 2 2 6 3" xfId="57031" xr:uid="{00000000-0005-0000-0000-00005BE00000}"/>
    <cellStyle name="Note 5 3 2 2 7" xfId="57032" xr:uid="{00000000-0005-0000-0000-00005CE00000}"/>
    <cellStyle name="Note 5 3 2 2 7 2" xfId="57033" xr:uid="{00000000-0005-0000-0000-00005DE00000}"/>
    <cellStyle name="Note 5 3 2 2 7 3" xfId="57034" xr:uid="{00000000-0005-0000-0000-00005EE00000}"/>
    <cellStyle name="Note 5 3 2 2 8" xfId="57035" xr:uid="{00000000-0005-0000-0000-00005FE00000}"/>
    <cellStyle name="Note 5 3 2 2 8 2" xfId="57036" xr:uid="{00000000-0005-0000-0000-000060E00000}"/>
    <cellStyle name="Note 5 3 2 2 9" xfId="57037" xr:uid="{00000000-0005-0000-0000-000061E00000}"/>
    <cellStyle name="Note 5 3 2 3" xfId="57038" xr:uid="{00000000-0005-0000-0000-000062E00000}"/>
    <cellStyle name="Note 5 3 2 3 2" xfId="57039" xr:uid="{00000000-0005-0000-0000-000063E00000}"/>
    <cellStyle name="Note 5 3 2 3 2 2" xfId="57040" xr:uid="{00000000-0005-0000-0000-000064E00000}"/>
    <cellStyle name="Note 5 3 2 3 2 2 2" xfId="57041" xr:uid="{00000000-0005-0000-0000-000065E00000}"/>
    <cellStyle name="Note 5 3 2 3 2 2 3" xfId="57042" xr:uid="{00000000-0005-0000-0000-000066E00000}"/>
    <cellStyle name="Note 5 3 2 3 2 3" xfId="57043" xr:uid="{00000000-0005-0000-0000-000067E00000}"/>
    <cellStyle name="Note 5 3 2 3 2 3 2" xfId="57044" xr:uid="{00000000-0005-0000-0000-000068E00000}"/>
    <cellStyle name="Note 5 3 2 3 2 3 3" xfId="57045" xr:uid="{00000000-0005-0000-0000-000069E00000}"/>
    <cellStyle name="Note 5 3 2 3 2 4" xfId="57046" xr:uid="{00000000-0005-0000-0000-00006AE00000}"/>
    <cellStyle name="Note 5 3 2 3 2 4 2" xfId="57047" xr:uid="{00000000-0005-0000-0000-00006BE00000}"/>
    <cellStyle name="Note 5 3 2 3 2 5" xfId="57048" xr:uid="{00000000-0005-0000-0000-00006CE00000}"/>
    <cellStyle name="Note 5 3 2 3 2 6" xfId="57049" xr:uid="{00000000-0005-0000-0000-00006DE00000}"/>
    <cellStyle name="Note 5 3 2 3 3" xfId="57050" xr:uid="{00000000-0005-0000-0000-00006EE00000}"/>
    <cellStyle name="Note 5 3 2 3 3 2" xfId="57051" xr:uid="{00000000-0005-0000-0000-00006FE00000}"/>
    <cellStyle name="Note 5 3 2 3 3 2 2" xfId="57052" xr:uid="{00000000-0005-0000-0000-000070E00000}"/>
    <cellStyle name="Note 5 3 2 3 3 2 3" xfId="57053" xr:uid="{00000000-0005-0000-0000-000071E00000}"/>
    <cellStyle name="Note 5 3 2 3 3 3" xfId="57054" xr:uid="{00000000-0005-0000-0000-000072E00000}"/>
    <cellStyle name="Note 5 3 2 3 3 3 2" xfId="57055" xr:uid="{00000000-0005-0000-0000-000073E00000}"/>
    <cellStyle name="Note 5 3 2 3 3 3 3" xfId="57056" xr:uid="{00000000-0005-0000-0000-000074E00000}"/>
    <cellStyle name="Note 5 3 2 3 3 4" xfId="57057" xr:uid="{00000000-0005-0000-0000-000075E00000}"/>
    <cellStyle name="Note 5 3 2 3 3 4 2" xfId="57058" xr:uid="{00000000-0005-0000-0000-000076E00000}"/>
    <cellStyle name="Note 5 3 2 3 3 5" xfId="57059" xr:uid="{00000000-0005-0000-0000-000077E00000}"/>
    <cellStyle name="Note 5 3 2 3 3 6" xfId="57060" xr:uid="{00000000-0005-0000-0000-000078E00000}"/>
    <cellStyle name="Note 5 3 2 3 4" xfId="57061" xr:uid="{00000000-0005-0000-0000-000079E00000}"/>
    <cellStyle name="Note 5 3 2 3 4 2" xfId="57062" xr:uid="{00000000-0005-0000-0000-00007AE00000}"/>
    <cellStyle name="Note 5 3 2 3 4 2 2" xfId="57063" xr:uid="{00000000-0005-0000-0000-00007BE00000}"/>
    <cellStyle name="Note 5 3 2 3 4 2 3" xfId="57064" xr:uid="{00000000-0005-0000-0000-00007CE00000}"/>
    <cellStyle name="Note 5 3 2 3 4 3" xfId="57065" xr:uid="{00000000-0005-0000-0000-00007DE00000}"/>
    <cellStyle name="Note 5 3 2 3 4 3 2" xfId="57066" xr:uid="{00000000-0005-0000-0000-00007EE00000}"/>
    <cellStyle name="Note 5 3 2 3 4 4" xfId="57067" xr:uid="{00000000-0005-0000-0000-00007FE00000}"/>
    <cellStyle name="Note 5 3 2 3 4 5" xfId="57068" xr:uid="{00000000-0005-0000-0000-000080E00000}"/>
    <cellStyle name="Note 5 3 2 3 5" xfId="57069" xr:uid="{00000000-0005-0000-0000-000081E00000}"/>
    <cellStyle name="Note 5 3 2 3 5 2" xfId="57070" xr:uid="{00000000-0005-0000-0000-000082E00000}"/>
    <cellStyle name="Note 5 3 2 3 5 3" xfId="57071" xr:uid="{00000000-0005-0000-0000-000083E00000}"/>
    <cellStyle name="Note 5 3 2 3 6" xfId="57072" xr:uid="{00000000-0005-0000-0000-000084E00000}"/>
    <cellStyle name="Note 5 3 2 3 6 2" xfId="57073" xr:uid="{00000000-0005-0000-0000-000085E00000}"/>
    <cellStyle name="Note 5 3 2 3 6 3" xfId="57074" xr:uid="{00000000-0005-0000-0000-000086E00000}"/>
    <cellStyle name="Note 5 3 2 3 7" xfId="57075" xr:uid="{00000000-0005-0000-0000-000087E00000}"/>
    <cellStyle name="Note 5 3 2 3 7 2" xfId="57076" xr:uid="{00000000-0005-0000-0000-000088E00000}"/>
    <cellStyle name="Note 5 3 2 3 8" xfId="57077" xr:uid="{00000000-0005-0000-0000-000089E00000}"/>
    <cellStyle name="Note 5 3 2 3 9" xfId="57078" xr:uid="{00000000-0005-0000-0000-00008AE00000}"/>
    <cellStyle name="Note 5 3 2 4" xfId="57079" xr:uid="{00000000-0005-0000-0000-00008BE00000}"/>
    <cellStyle name="Note 5 3 2 4 2" xfId="57080" xr:uid="{00000000-0005-0000-0000-00008CE00000}"/>
    <cellStyle name="Note 5 3 2 4 2 2" xfId="57081" xr:uid="{00000000-0005-0000-0000-00008DE00000}"/>
    <cellStyle name="Note 5 3 2 4 2 2 2" xfId="57082" xr:uid="{00000000-0005-0000-0000-00008EE00000}"/>
    <cellStyle name="Note 5 3 2 4 2 2 3" xfId="57083" xr:uid="{00000000-0005-0000-0000-00008FE00000}"/>
    <cellStyle name="Note 5 3 2 4 2 3" xfId="57084" xr:uid="{00000000-0005-0000-0000-000090E00000}"/>
    <cellStyle name="Note 5 3 2 4 2 3 2" xfId="57085" xr:uid="{00000000-0005-0000-0000-000091E00000}"/>
    <cellStyle name="Note 5 3 2 4 2 3 3" xfId="57086" xr:uid="{00000000-0005-0000-0000-000092E00000}"/>
    <cellStyle name="Note 5 3 2 4 2 4" xfId="57087" xr:uid="{00000000-0005-0000-0000-000093E00000}"/>
    <cellStyle name="Note 5 3 2 4 2 4 2" xfId="57088" xr:uid="{00000000-0005-0000-0000-000094E00000}"/>
    <cellStyle name="Note 5 3 2 4 2 5" xfId="57089" xr:uid="{00000000-0005-0000-0000-000095E00000}"/>
    <cellStyle name="Note 5 3 2 4 2 6" xfId="57090" xr:uid="{00000000-0005-0000-0000-000096E00000}"/>
    <cellStyle name="Note 5 3 2 4 3" xfId="57091" xr:uid="{00000000-0005-0000-0000-000097E00000}"/>
    <cellStyle name="Note 5 3 2 4 3 2" xfId="57092" xr:uid="{00000000-0005-0000-0000-000098E00000}"/>
    <cellStyle name="Note 5 3 2 4 3 2 2" xfId="57093" xr:uid="{00000000-0005-0000-0000-000099E00000}"/>
    <cellStyle name="Note 5 3 2 4 3 2 3" xfId="57094" xr:uid="{00000000-0005-0000-0000-00009AE00000}"/>
    <cellStyle name="Note 5 3 2 4 3 3" xfId="57095" xr:uid="{00000000-0005-0000-0000-00009BE00000}"/>
    <cellStyle name="Note 5 3 2 4 3 3 2" xfId="57096" xr:uid="{00000000-0005-0000-0000-00009CE00000}"/>
    <cellStyle name="Note 5 3 2 4 3 3 3" xfId="57097" xr:uid="{00000000-0005-0000-0000-00009DE00000}"/>
    <cellStyle name="Note 5 3 2 4 3 4" xfId="57098" xr:uid="{00000000-0005-0000-0000-00009EE00000}"/>
    <cellStyle name="Note 5 3 2 4 3 4 2" xfId="57099" xr:uid="{00000000-0005-0000-0000-00009FE00000}"/>
    <cellStyle name="Note 5 3 2 4 3 5" xfId="57100" xr:uid="{00000000-0005-0000-0000-0000A0E00000}"/>
    <cellStyle name="Note 5 3 2 4 3 6" xfId="57101" xr:uid="{00000000-0005-0000-0000-0000A1E00000}"/>
    <cellStyle name="Note 5 3 2 4 4" xfId="57102" xr:uid="{00000000-0005-0000-0000-0000A2E00000}"/>
    <cellStyle name="Note 5 3 2 4 4 2" xfId="57103" xr:uid="{00000000-0005-0000-0000-0000A3E00000}"/>
    <cellStyle name="Note 5 3 2 4 4 2 2" xfId="57104" xr:uid="{00000000-0005-0000-0000-0000A4E00000}"/>
    <cellStyle name="Note 5 3 2 4 4 2 3" xfId="57105" xr:uid="{00000000-0005-0000-0000-0000A5E00000}"/>
    <cellStyle name="Note 5 3 2 4 4 3" xfId="57106" xr:uid="{00000000-0005-0000-0000-0000A6E00000}"/>
    <cellStyle name="Note 5 3 2 4 4 3 2" xfId="57107" xr:uid="{00000000-0005-0000-0000-0000A7E00000}"/>
    <cellStyle name="Note 5 3 2 4 4 4" xfId="57108" xr:uid="{00000000-0005-0000-0000-0000A8E00000}"/>
    <cellStyle name="Note 5 3 2 4 4 5" xfId="57109" xr:uid="{00000000-0005-0000-0000-0000A9E00000}"/>
    <cellStyle name="Note 5 3 2 4 5" xfId="57110" xr:uid="{00000000-0005-0000-0000-0000AAE00000}"/>
    <cellStyle name="Note 5 3 2 4 5 2" xfId="57111" xr:uid="{00000000-0005-0000-0000-0000ABE00000}"/>
    <cellStyle name="Note 5 3 2 4 5 3" xfId="57112" xr:uid="{00000000-0005-0000-0000-0000ACE00000}"/>
    <cellStyle name="Note 5 3 2 4 6" xfId="57113" xr:uid="{00000000-0005-0000-0000-0000ADE00000}"/>
    <cellStyle name="Note 5 3 2 4 6 2" xfId="57114" xr:uid="{00000000-0005-0000-0000-0000AEE00000}"/>
    <cellStyle name="Note 5 3 2 4 6 3" xfId="57115" xr:uid="{00000000-0005-0000-0000-0000AFE00000}"/>
    <cellStyle name="Note 5 3 2 4 7" xfId="57116" xr:uid="{00000000-0005-0000-0000-0000B0E00000}"/>
    <cellStyle name="Note 5 3 2 4 7 2" xfId="57117" xr:uid="{00000000-0005-0000-0000-0000B1E00000}"/>
    <cellStyle name="Note 5 3 2 4 8" xfId="57118" xr:uid="{00000000-0005-0000-0000-0000B2E00000}"/>
    <cellStyle name="Note 5 3 2 4 9" xfId="57119" xr:uid="{00000000-0005-0000-0000-0000B3E00000}"/>
    <cellStyle name="Note 5 3 2 5" xfId="57120" xr:uid="{00000000-0005-0000-0000-0000B4E00000}"/>
    <cellStyle name="Note 5 3 2 5 2" xfId="57121" xr:uid="{00000000-0005-0000-0000-0000B5E00000}"/>
    <cellStyle name="Note 5 3 2 5 2 2" xfId="57122" xr:uid="{00000000-0005-0000-0000-0000B6E00000}"/>
    <cellStyle name="Note 5 3 2 5 2 3" xfId="57123" xr:uid="{00000000-0005-0000-0000-0000B7E00000}"/>
    <cellStyle name="Note 5 3 2 5 3" xfId="57124" xr:uid="{00000000-0005-0000-0000-0000B8E00000}"/>
    <cellStyle name="Note 5 3 2 5 3 2" xfId="57125" xr:uid="{00000000-0005-0000-0000-0000B9E00000}"/>
    <cellStyle name="Note 5 3 2 5 3 3" xfId="57126" xr:uid="{00000000-0005-0000-0000-0000BAE00000}"/>
    <cellStyle name="Note 5 3 2 5 4" xfId="57127" xr:uid="{00000000-0005-0000-0000-0000BBE00000}"/>
    <cellStyle name="Note 5 3 2 5 4 2" xfId="57128" xr:uid="{00000000-0005-0000-0000-0000BCE00000}"/>
    <cellStyle name="Note 5 3 2 5 5" xfId="57129" xr:uid="{00000000-0005-0000-0000-0000BDE00000}"/>
    <cellStyle name="Note 5 3 2 5 6" xfId="57130" xr:uid="{00000000-0005-0000-0000-0000BEE00000}"/>
    <cellStyle name="Note 5 3 2 6" xfId="57131" xr:uid="{00000000-0005-0000-0000-0000BFE00000}"/>
    <cellStyle name="Note 5 3 2 6 2" xfId="57132" xr:uid="{00000000-0005-0000-0000-0000C0E00000}"/>
    <cellStyle name="Note 5 3 2 6 2 2" xfId="57133" xr:uid="{00000000-0005-0000-0000-0000C1E00000}"/>
    <cellStyle name="Note 5 3 2 6 2 3" xfId="57134" xr:uid="{00000000-0005-0000-0000-0000C2E00000}"/>
    <cellStyle name="Note 5 3 2 6 3" xfId="57135" xr:uid="{00000000-0005-0000-0000-0000C3E00000}"/>
    <cellStyle name="Note 5 3 2 6 3 2" xfId="57136" xr:uid="{00000000-0005-0000-0000-0000C4E00000}"/>
    <cellStyle name="Note 5 3 2 6 3 3" xfId="57137" xr:uid="{00000000-0005-0000-0000-0000C5E00000}"/>
    <cellStyle name="Note 5 3 2 6 4" xfId="57138" xr:uid="{00000000-0005-0000-0000-0000C6E00000}"/>
    <cellStyle name="Note 5 3 2 6 4 2" xfId="57139" xr:uid="{00000000-0005-0000-0000-0000C7E00000}"/>
    <cellStyle name="Note 5 3 2 6 5" xfId="57140" xr:uid="{00000000-0005-0000-0000-0000C8E00000}"/>
    <cellStyle name="Note 5 3 2 6 6" xfId="57141" xr:uid="{00000000-0005-0000-0000-0000C9E00000}"/>
    <cellStyle name="Note 5 3 2 7" xfId="57142" xr:uid="{00000000-0005-0000-0000-0000CAE00000}"/>
    <cellStyle name="Note 5 3 2 7 2" xfId="57143" xr:uid="{00000000-0005-0000-0000-0000CBE00000}"/>
    <cellStyle name="Note 5 3 2 7 2 2" xfId="57144" xr:uid="{00000000-0005-0000-0000-0000CCE00000}"/>
    <cellStyle name="Note 5 3 2 7 2 3" xfId="57145" xr:uid="{00000000-0005-0000-0000-0000CDE00000}"/>
    <cellStyle name="Note 5 3 2 7 3" xfId="57146" xr:uid="{00000000-0005-0000-0000-0000CEE00000}"/>
    <cellStyle name="Note 5 3 2 7 3 2" xfId="57147" xr:uid="{00000000-0005-0000-0000-0000CFE00000}"/>
    <cellStyle name="Note 5 3 2 7 4" xfId="57148" xr:uid="{00000000-0005-0000-0000-0000D0E00000}"/>
    <cellStyle name="Note 5 3 2 7 5" xfId="57149" xr:uid="{00000000-0005-0000-0000-0000D1E00000}"/>
    <cellStyle name="Note 5 3 2 8" xfId="57150" xr:uid="{00000000-0005-0000-0000-0000D2E00000}"/>
    <cellStyle name="Note 5 3 2 8 2" xfId="57151" xr:uid="{00000000-0005-0000-0000-0000D3E00000}"/>
    <cellStyle name="Note 5 3 2 8 3" xfId="57152" xr:uid="{00000000-0005-0000-0000-0000D4E00000}"/>
    <cellStyle name="Note 5 3 2 9" xfId="57153" xr:uid="{00000000-0005-0000-0000-0000D5E00000}"/>
    <cellStyle name="Note 5 3 2 9 2" xfId="57154" xr:uid="{00000000-0005-0000-0000-0000D6E00000}"/>
    <cellStyle name="Note 5 3 2 9 3" xfId="57155" xr:uid="{00000000-0005-0000-0000-0000D7E00000}"/>
    <cellStyle name="Note 5 3 3" xfId="6137" xr:uid="{00000000-0005-0000-0000-0000D8E00000}"/>
    <cellStyle name="Note 5 3 3 10" xfId="57156" xr:uid="{00000000-0005-0000-0000-0000D9E00000}"/>
    <cellStyle name="Note 5 3 3 2" xfId="57157" xr:uid="{00000000-0005-0000-0000-0000DAE00000}"/>
    <cellStyle name="Note 5 3 3 2 2" xfId="57158" xr:uid="{00000000-0005-0000-0000-0000DBE00000}"/>
    <cellStyle name="Note 5 3 3 2 2 2" xfId="57159" xr:uid="{00000000-0005-0000-0000-0000DCE00000}"/>
    <cellStyle name="Note 5 3 3 2 2 2 2" xfId="57160" xr:uid="{00000000-0005-0000-0000-0000DDE00000}"/>
    <cellStyle name="Note 5 3 3 2 2 2 3" xfId="57161" xr:uid="{00000000-0005-0000-0000-0000DEE00000}"/>
    <cellStyle name="Note 5 3 3 2 2 3" xfId="57162" xr:uid="{00000000-0005-0000-0000-0000DFE00000}"/>
    <cellStyle name="Note 5 3 3 2 2 3 2" xfId="57163" xr:uid="{00000000-0005-0000-0000-0000E0E00000}"/>
    <cellStyle name="Note 5 3 3 2 2 3 3" xfId="57164" xr:uid="{00000000-0005-0000-0000-0000E1E00000}"/>
    <cellStyle name="Note 5 3 3 2 2 4" xfId="57165" xr:uid="{00000000-0005-0000-0000-0000E2E00000}"/>
    <cellStyle name="Note 5 3 3 2 2 4 2" xfId="57166" xr:uid="{00000000-0005-0000-0000-0000E3E00000}"/>
    <cellStyle name="Note 5 3 3 2 2 5" xfId="57167" xr:uid="{00000000-0005-0000-0000-0000E4E00000}"/>
    <cellStyle name="Note 5 3 3 2 2 6" xfId="57168" xr:uid="{00000000-0005-0000-0000-0000E5E00000}"/>
    <cellStyle name="Note 5 3 3 2 3" xfId="57169" xr:uid="{00000000-0005-0000-0000-0000E6E00000}"/>
    <cellStyle name="Note 5 3 3 2 3 2" xfId="57170" xr:uid="{00000000-0005-0000-0000-0000E7E00000}"/>
    <cellStyle name="Note 5 3 3 2 3 2 2" xfId="57171" xr:uid="{00000000-0005-0000-0000-0000E8E00000}"/>
    <cellStyle name="Note 5 3 3 2 3 2 3" xfId="57172" xr:uid="{00000000-0005-0000-0000-0000E9E00000}"/>
    <cellStyle name="Note 5 3 3 2 3 3" xfId="57173" xr:uid="{00000000-0005-0000-0000-0000EAE00000}"/>
    <cellStyle name="Note 5 3 3 2 3 3 2" xfId="57174" xr:uid="{00000000-0005-0000-0000-0000EBE00000}"/>
    <cellStyle name="Note 5 3 3 2 3 3 3" xfId="57175" xr:uid="{00000000-0005-0000-0000-0000ECE00000}"/>
    <cellStyle name="Note 5 3 3 2 3 4" xfId="57176" xr:uid="{00000000-0005-0000-0000-0000EDE00000}"/>
    <cellStyle name="Note 5 3 3 2 3 4 2" xfId="57177" xr:uid="{00000000-0005-0000-0000-0000EEE00000}"/>
    <cellStyle name="Note 5 3 3 2 3 5" xfId="57178" xr:uid="{00000000-0005-0000-0000-0000EFE00000}"/>
    <cellStyle name="Note 5 3 3 2 3 6" xfId="57179" xr:uid="{00000000-0005-0000-0000-0000F0E00000}"/>
    <cellStyle name="Note 5 3 3 2 4" xfId="57180" xr:uid="{00000000-0005-0000-0000-0000F1E00000}"/>
    <cellStyle name="Note 5 3 3 2 4 2" xfId="57181" xr:uid="{00000000-0005-0000-0000-0000F2E00000}"/>
    <cellStyle name="Note 5 3 3 2 4 2 2" xfId="57182" xr:uid="{00000000-0005-0000-0000-0000F3E00000}"/>
    <cellStyle name="Note 5 3 3 2 4 2 3" xfId="57183" xr:uid="{00000000-0005-0000-0000-0000F4E00000}"/>
    <cellStyle name="Note 5 3 3 2 4 3" xfId="57184" xr:uid="{00000000-0005-0000-0000-0000F5E00000}"/>
    <cellStyle name="Note 5 3 3 2 4 3 2" xfId="57185" xr:uid="{00000000-0005-0000-0000-0000F6E00000}"/>
    <cellStyle name="Note 5 3 3 2 4 4" xfId="57186" xr:uid="{00000000-0005-0000-0000-0000F7E00000}"/>
    <cellStyle name="Note 5 3 3 2 4 5" xfId="57187" xr:uid="{00000000-0005-0000-0000-0000F8E00000}"/>
    <cellStyle name="Note 5 3 3 2 5" xfId="57188" xr:uid="{00000000-0005-0000-0000-0000F9E00000}"/>
    <cellStyle name="Note 5 3 3 2 5 2" xfId="57189" xr:uid="{00000000-0005-0000-0000-0000FAE00000}"/>
    <cellStyle name="Note 5 3 3 2 5 3" xfId="57190" xr:uid="{00000000-0005-0000-0000-0000FBE00000}"/>
    <cellStyle name="Note 5 3 3 2 6" xfId="57191" xr:uid="{00000000-0005-0000-0000-0000FCE00000}"/>
    <cellStyle name="Note 5 3 3 2 6 2" xfId="57192" xr:uid="{00000000-0005-0000-0000-0000FDE00000}"/>
    <cellStyle name="Note 5 3 3 2 6 3" xfId="57193" xr:uid="{00000000-0005-0000-0000-0000FEE00000}"/>
    <cellStyle name="Note 5 3 3 2 7" xfId="57194" xr:uid="{00000000-0005-0000-0000-0000FFE00000}"/>
    <cellStyle name="Note 5 3 3 2 7 2" xfId="57195" xr:uid="{00000000-0005-0000-0000-000000E10000}"/>
    <cellStyle name="Note 5 3 3 2 8" xfId="57196" xr:uid="{00000000-0005-0000-0000-000001E10000}"/>
    <cellStyle name="Note 5 3 3 2 9" xfId="57197" xr:uid="{00000000-0005-0000-0000-000002E10000}"/>
    <cellStyle name="Note 5 3 3 3" xfId="57198" xr:uid="{00000000-0005-0000-0000-000003E10000}"/>
    <cellStyle name="Note 5 3 3 3 2" xfId="57199" xr:uid="{00000000-0005-0000-0000-000004E10000}"/>
    <cellStyle name="Note 5 3 3 3 2 2" xfId="57200" xr:uid="{00000000-0005-0000-0000-000005E10000}"/>
    <cellStyle name="Note 5 3 3 3 2 3" xfId="57201" xr:uid="{00000000-0005-0000-0000-000006E10000}"/>
    <cellStyle name="Note 5 3 3 3 3" xfId="57202" xr:uid="{00000000-0005-0000-0000-000007E10000}"/>
    <cellStyle name="Note 5 3 3 3 3 2" xfId="57203" xr:uid="{00000000-0005-0000-0000-000008E10000}"/>
    <cellStyle name="Note 5 3 3 3 3 3" xfId="57204" xr:uid="{00000000-0005-0000-0000-000009E10000}"/>
    <cellStyle name="Note 5 3 3 3 4" xfId="57205" xr:uid="{00000000-0005-0000-0000-00000AE10000}"/>
    <cellStyle name="Note 5 3 3 3 4 2" xfId="57206" xr:uid="{00000000-0005-0000-0000-00000BE10000}"/>
    <cellStyle name="Note 5 3 3 3 5" xfId="57207" xr:uid="{00000000-0005-0000-0000-00000CE10000}"/>
    <cellStyle name="Note 5 3 3 3 6" xfId="57208" xr:uid="{00000000-0005-0000-0000-00000DE10000}"/>
    <cellStyle name="Note 5 3 3 4" xfId="57209" xr:uid="{00000000-0005-0000-0000-00000EE10000}"/>
    <cellStyle name="Note 5 3 3 4 2" xfId="57210" xr:uid="{00000000-0005-0000-0000-00000FE10000}"/>
    <cellStyle name="Note 5 3 3 4 2 2" xfId="57211" xr:uid="{00000000-0005-0000-0000-000010E10000}"/>
    <cellStyle name="Note 5 3 3 4 2 3" xfId="57212" xr:uid="{00000000-0005-0000-0000-000011E10000}"/>
    <cellStyle name="Note 5 3 3 4 3" xfId="57213" xr:uid="{00000000-0005-0000-0000-000012E10000}"/>
    <cellStyle name="Note 5 3 3 4 3 2" xfId="57214" xr:uid="{00000000-0005-0000-0000-000013E10000}"/>
    <cellStyle name="Note 5 3 3 4 3 3" xfId="57215" xr:uid="{00000000-0005-0000-0000-000014E10000}"/>
    <cellStyle name="Note 5 3 3 4 4" xfId="57216" xr:uid="{00000000-0005-0000-0000-000015E10000}"/>
    <cellStyle name="Note 5 3 3 4 4 2" xfId="57217" xr:uid="{00000000-0005-0000-0000-000016E10000}"/>
    <cellStyle name="Note 5 3 3 4 5" xfId="57218" xr:uid="{00000000-0005-0000-0000-000017E10000}"/>
    <cellStyle name="Note 5 3 3 4 6" xfId="57219" xr:uid="{00000000-0005-0000-0000-000018E10000}"/>
    <cellStyle name="Note 5 3 3 5" xfId="57220" xr:uid="{00000000-0005-0000-0000-000019E10000}"/>
    <cellStyle name="Note 5 3 3 5 2" xfId="57221" xr:uid="{00000000-0005-0000-0000-00001AE10000}"/>
    <cellStyle name="Note 5 3 3 5 2 2" xfId="57222" xr:uid="{00000000-0005-0000-0000-00001BE10000}"/>
    <cellStyle name="Note 5 3 3 5 2 3" xfId="57223" xr:uid="{00000000-0005-0000-0000-00001CE10000}"/>
    <cellStyle name="Note 5 3 3 5 3" xfId="57224" xr:uid="{00000000-0005-0000-0000-00001DE10000}"/>
    <cellStyle name="Note 5 3 3 5 3 2" xfId="57225" xr:uid="{00000000-0005-0000-0000-00001EE10000}"/>
    <cellStyle name="Note 5 3 3 5 4" xfId="57226" xr:uid="{00000000-0005-0000-0000-00001FE10000}"/>
    <cellStyle name="Note 5 3 3 5 5" xfId="57227" xr:uid="{00000000-0005-0000-0000-000020E10000}"/>
    <cellStyle name="Note 5 3 3 6" xfId="57228" xr:uid="{00000000-0005-0000-0000-000021E10000}"/>
    <cellStyle name="Note 5 3 3 6 2" xfId="57229" xr:uid="{00000000-0005-0000-0000-000022E10000}"/>
    <cellStyle name="Note 5 3 3 6 3" xfId="57230" xr:uid="{00000000-0005-0000-0000-000023E10000}"/>
    <cellStyle name="Note 5 3 3 7" xfId="57231" xr:uid="{00000000-0005-0000-0000-000024E10000}"/>
    <cellStyle name="Note 5 3 3 7 2" xfId="57232" xr:uid="{00000000-0005-0000-0000-000025E10000}"/>
    <cellStyle name="Note 5 3 3 7 3" xfId="57233" xr:uid="{00000000-0005-0000-0000-000026E10000}"/>
    <cellStyle name="Note 5 3 3 8" xfId="57234" xr:uid="{00000000-0005-0000-0000-000027E10000}"/>
    <cellStyle name="Note 5 3 3 8 2" xfId="57235" xr:uid="{00000000-0005-0000-0000-000028E10000}"/>
    <cellStyle name="Note 5 3 3 9" xfId="57236" xr:uid="{00000000-0005-0000-0000-000029E10000}"/>
    <cellStyle name="Note 5 3 4" xfId="9333" xr:uid="{00000000-0005-0000-0000-00002AE10000}"/>
    <cellStyle name="Note 5 3 4 2" xfId="57237" xr:uid="{00000000-0005-0000-0000-00002BE10000}"/>
    <cellStyle name="Note 5 3 4 2 2" xfId="57238" xr:uid="{00000000-0005-0000-0000-00002CE10000}"/>
    <cellStyle name="Note 5 3 4 2 2 2" xfId="57239" xr:uid="{00000000-0005-0000-0000-00002DE10000}"/>
    <cellStyle name="Note 5 3 4 2 2 3" xfId="57240" xr:uid="{00000000-0005-0000-0000-00002EE10000}"/>
    <cellStyle name="Note 5 3 4 2 3" xfId="57241" xr:uid="{00000000-0005-0000-0000-00002FE10000}"/>
    <cellStyle name="Note 5 3 4 2 3 2" xfId="57242" xr:uid="{00000000-0005-0000-0000-000030E10000}"/>
    <cellStyle name="Note 5 3 4 2 3 3" xfId="57243" xr:uid="{00000000-0005-0000-0000-000031E10000}"/>
    <cellStyle name="Note 5 3 4 2 4" xfId="57244" xr:uid="{00000000-0005-0000-0000-000032E10000}"/>
    <cellStyle name="Note 5 3 4 2 4 2" xfId="57245" xr:uid="{00000000-0005-0000-0000-000033E10000}"/>
    <cellStyle name="Note 5 3 4 2 5" xfId="57246" xr:uid="{00000000-0005-0000-0000-000034E10000}"/>
    <cellStyle name="Note 5 3 4 2 6" xfId="57247" xr:uid="{00000000-0005-0000-0000-000035E10000}"/>
    <cellStyle name="Note 5 3 4 3" xfId="57248" xr:uid="{00000000-0005-0000-0000-000036E10000}"/>
    <cellStyle name="Note 5 3 4 3 2" xfId="57249" xr:uid="{00000000-0005-0000-0000-000037E10000}"/>
    <cellStyle name="Note 5 3 4 3 2 2" xfId="57250" xr:uid="{00000000-0005-0000-0000-000038E10000}"/>
    <cellStyle name="Note 5 3 4 3 2 3" xfId="57251" xr:uid="{00000000-0005-0000-0000-000039E10000}"/>
    <cellStyle name="Note 5 3 4 3 3" xfId="57252" xr:uid="{00000000-0005-0000-0000-00003AE10000}"/>
    <cellStyle name="Note 5 3 4 3 3 2" xfId="57253" xr:uid="{00000000-0005-0000-0000-00003BE10000}"/>
    <cellStyle name="Note 5 3 4 3 3 3" xfId="57254" xr:uid="{00000000-0005-0000-0000-00003CE10000}"/>
    <cellStyle name="Note 5 3 4 3 4" xfId="57255" xr:uid="{00000000-0005-0000-0000-00003DE10000}"/>
    <cellStyle name="Note 5 3 4 3 4 2" xfId="57256" xr:uid="{00000000-0005-0000-0000-00003EE10000}"/>
    <cellStyle name="Note 5 3 4 3 5" xfId="57257" xr:uid="{00000000-0005-0000-0000-00003FE10000}"/>
    <cellStyle name="Note 5 3 4 3 6" xfId="57258" xr:uid="{00000000-0005-0000-0000-000040E10000}"/>
    <cellStyle name="Note 5 3 4 4" xfId="57259" xr:uid="{00000000-0005-0000-0000-000041E10000}"/>
    <cellStyle name="Note 5 3 4 4 2" xfId="57260" xr:uid="{00000000-0005-0000-0000-000042E10000}"/>
    <cellStyle name="Note 5 3 4 4 2 2" xfId="57261" xr:uid="{00000000-0005-0000-0000-000043E10000}"/>
    <cellStyle name="Note 5 3 4 4 2 3" xfId="57262" xr:uid="{00000000-0005-0000-0000-000044E10000}"/>
    <cellStyle name="Note 5 3 4 4 3" xfId="57263" xr:uid="{00000000-0005-0000-0000-000045E10000}"/>
    <cellStyle name="Note 5 3 4 4 3 2" xfId="57264" xr:uid="{00000000-0005-0000-0000-000046E10000}"/>
    <cellStyle name="Note 5 3 4 4 4" xfId="57265" xr:uid="{00000000-0005-0000-0000-000047E10000}"/>
    <cellStyle name="Note 5 3 4 4 5" xfId="57266" xr:uid="{00000000-0005-0000-0000-000048E10000}"/>
    <cellStyle name="Note 5 3 4 5" xfId="57267" xr:uid="{00000000-0005-0000-0000-000049E10000}"/>
    <cellStyle name="Note 5 3 4 5 2" xfId="57268" xr:uid="{00000000-0005-0000-0000-00004AE10000}"/>
    <cellStyle name="Note 5 3 4 5 3" xfId="57269" xr:uid="{00000000-0005-0000-0000-00004BE10000}"/>
    <cellStyle name="Note 5 3 4 6" xfId="57270" xr:uid="{00000000-0005-0000-0000-00004CE10000}"/>
    <cellStyle name="Note 5 3 4 6 2" xfId="57271" xr:uid="{00000000-0005-0000-0000-00004DE10000}"/>
    <cellStyle name="Note 5 3 4 6 3" xfId="57272" xr:uid="{00000000-0005-0000-0000-00004EE10000}"/>
    <cellStyle name="Note 5 3 4 7" xfId="57273" xr:uid="{00000000-0005-0000-0000-00004FE10000}"/>
    <cellStyle name="Note 5 3 4 7 2" xfId="57274" xr:uid="{00000000-0005-0000-0000-000050E10000}"/>
    <cellStyle name="Note 5 3 4 8" xfId="57275" xr:uid="{00000000-0005-0000-0000-000051E10000}"/>
    <cellStyle name="Note 5 3 4 9" xfId="57276" xr:uid="{00000000-0005-0000-0000-000052E10000}"/>
    <cellStyle name="Note 5 3 5" xfId="57277" xr:uid="{00000000-0005-0000-0000-000053E10000}"/>
    <cellStyle name="Note 5 3 5 2" xfId="57278" xr:uid="{00000000-0005-0000-0000-000054E10000}"/>
    <cellStyle name="Note 5 3 5 2 2" xfId="57279" xr:uid="{00000000-0005-0000-0000-000055E10000}"/>
    <cellStyle name="Note 5 3 5 2 2 2" xfId="57280" xr:uid="{00000000-0005-0000-0000-000056E10000}"/>
    <cellStyle name="Note 5 3 5 2 2 3" xfId="57281" xr:uid="{00000000-0005-0000-0000-000057E10000}"/>
    <cellStyle name="Note 5 3 5 2 3" xfId="57282" xr:uid="{00000000-0005-0000-0000-000058E10000}"/>
    <cellStyle name="Note 5 3 5 2 3 2" xfId="57283" xr:uid="{00000000-0005-0000-0000-000059E10000}"/>
    <cellStyle name="Note 5 3 5 2 3 3" xfId="57284" xr:uid="{00000000-0005-0000-0000-00005AE10000}"/>
    <cellStyle name="Note 5 3 5 2 4" xfId="57285" xr:uid="{00000000-0005-0000-0000-00005BE10000}"/>
    <cellStyle name="Note 5 3 5 2 4 2" xfId="57286" xr:uid="{00000000-0005-0000-0000-00005CE10000}"/>
    <cellStyle name="Note 5 3 5 2 5" xfId="57287" xr:uid="{00000000-0005-0000-0000-00005DE10000}"/>
    <cellStyle name="Note 5 3 5 2 6" xfId="57288" xr:uid="{00000000-0005-0000-0000-00005EE10000}"/>
    <cellStyle name="Note 5 3 5 3" xfId="57289" xr:uid="{00000000-0005-0000-0000-00005FE10000}"/>
    <cellStyle name="Note 5 3 5 3 2" xfId="57290" xr:uid="{00000000-0005-0000-0000-000060E10000}"/>
    <cellStyle name="Note 5 3 5 3 2 2" xfId="57291" xr:uid="{00000000-0005-0000-0000-000061E10000}"/>
    <cellStyle name="Note 5 3 5 3 2 3" xfId="57292" xr:uid="{00000000-0005-0000-0000-000062E10000}"/>
    <cellStyle name="Note 5 3 5 3 3" xfId="57293" xr:uid="{00000000-0005-0000-0000-000063E10000}"/>
    <cellStyle name="Note 5 3 5 3 3 2" xfId="57294" xr:uid="{00000000-0005-0000-0000-000064E10000}"/>
    <cellStyle name="Note 5 3 5 3 3 3" xfId="57295" xr:uid="{00000000-0005-0000-0000-000065E10000}"/>
    <cellStyle name="Note 5 3 5 3 4" xfId="57296" xr:uid="{00000000-0005-0000-0000-000066E10000}"/>
    <cellStyle name="Note 5 3 5 3 4 2" xfId="57297" xr:uid="{00000000-0005-0000-0000-000067E10000}"/>
    <cellStyle name="Note 5 3 5 3 5" xfId="57298" xr:uid="{00000000-0005-0000-0000-000068E10000}"/>
    <cellStyle name="Note 5 3 5 3 6" xfId="57299" xr:uid="{00000000-0005-0000-0000-000069E10000}"/>
    <cellStyle name="Note 5 3 5 4" xfId="57300" xr:uid="{00000000-0005-0000-0000-00006AE10000}"/>
    <cellStyle name="Note 5 3 5 4 2" xfId="57301" xr:uid="{00000000-0005-0000-0000-00006BE10000}"/>
    <cellStyle name="Note 5 3 5 4 2 2" xfId="57302" xr:uid="{00000000-0005-0000-0000-00006CE10000}"/>
    <cellStyle name="Note 5 3 5 4 2 3" xfId="57303" xr:uid="{00000000-0005-0000-0000-00006DE10000}"/>
    <cellStyle name="Note 5 3 5 4 3" xfId="57304" xr:uid="{00000000-0005-0000-0000-00006EE10000}"/>
    <cellStyle name="Note 5 3 5 4 3 2" xfId="57305" xr:uid="{00000000-0005-0000-0000-00006FE10000}"/>
    <cellStyle name="Note 5 3 5 4 4" xfId="57306" xr:uid="{00000000-0005-0000-0000-000070E10000}"/>
    <cellStyle name="Note 5 3 5 4 5" xfId="57307" xr:uid="{00000000-0005-0000-0000-000071E10000}"/>
    <cellStyle name="Note 5 3 5 5" xfId="57308" xr:uid="{00000000-0005-0000-0000-000072E10000}"/>
    <cellStyle name="Note 5 3 5 5 2" xfId="57309" xr:uid="{00000000-0005-0000-0000-000073E10000}"/>
    <cellStyle name="Note 5 3 5 5 3" xfId="57310" xr:uid="{00000000-0005-0000-0000-000074E10000}"/>
    <cellStyle name="Note 5 3 5 6" xfId="57311" xr:uid="{00000000-0005-0000-0000-000075E10000}"/>
    <cellStyle name="Note 5 3 5 6 2" xfId="57312" xr:uid="{00000000-0005-0000-0000-000076E10000}"/>
    <cellStyle name="Note 5 3 5 6 3" xfId="57313" xr:uid="{00000000-0005-0000-0000-000077E10000}"/>
    <cellStyle name="Note 5 3 5 7" xfId="57314" xr:uid="{00000000-0005-0000-0000-000078E10000}"/>
    <cellStyle name="Note 5 3 5 7 2" xfId="57315" xr:uid="{00000000-0005-0000-0000-000079E10000}"/>
    <cellStyle name="Note 5 3 5 8" xfId="57316" xr:uid="{00000000-0005-0000-0000-00007AE10000}"/>
    <cellStyle name="Note 5 3 5 9" xfId="57317" xr:uid="{00000000-0005-0000-0000-00007BE10000}"/>
    <cellStyle name="Note 5 3 6" xfId="57318" xr:uid="{00000000-0005-0000-0000-00007CE10000}"/>
    <cellStyle name="Note 5 3 6 2" xfId="57319" xr:uid="{00000000-0005-0000-0000-00007DE10000}"/>
    <cellStyle name="Note 5 3 6 2 2" xfId="57320" xr:uid="{00000000-0005-0000-0000-00007EE10000}"/>
    <cellStyle name="Note 5 3 6 2 3" xfId="57321" xr:uid="{00000000-0005-0000-0000-00007FE10000}"/>
    <cellStyle name="Note 5 3 6 3" xfId="57322" xr:uid="{00000000-0005-0000-0000-000080E10000}"/>
    <cellStyle name="Note 5 3 6 3 2" xfId="57323" xr:uid="{00000000-0005-0000-0000-000081E10000}"/>
    <cellStyle name="Note 5 3 6 3 3" xfId="57324" xr:uid="{00000000-0005-0000-0000-000082E10000}"/>
    <cellStyle name="Note 5 3 6 4" xfId="57325" xr:uid="{00000000-0005-0000-0000-000083E10000}"/>
    <cellStyle name="Note 5 3 6 4 2" xfId="57326" xr:uid="{00000000-0005-0000-0000-000084E10000}"/>
    <cellStyle name="Note 5 3 6 5" xfId="57327" xr:uid="{00000000-0005-0000-0000-000085E10000}"/>
    <cellStyle name="Note 5 3 6 6" xfId="57328" xr:uid="{00000000-0005-0000-0000-000086E10000}"/>
    <cellStyle name="Note 5 3 7" xfId="57329" xr:uid="{00000000-0005-0000-0000-000087E10000}"/>
    <cellStyle name="Note 5 3 7 2" xfId="57330" xr:uid="{00000000-0005-0000-0000-000088E10000}"/>
    <cellStyle name="Note 5 3 7 2 2" xfId="57331" xr:uid="{00000000-0005-0000-0000-000089E10000}"/>
    <cellStyle name="Note 5 3 7 2 3" xfId="57332" xr:uid="{00000000-0005-0000-0000-00008AE10000}"/>
    <cellStyle name="Note 5 3 7 3" xfId="57333" xr:uid="{00000000-0005-0000-0000-00008BE10000}"/>
    <cellStyle name="Note 5 3 7 3 2" xfId="57334" xr:uid="{00000000-0005-0000-0000-00008CE10000}"/>
    <cellStyle name="Note 5 3 7 3 3" xfId="57335" xr:uid="{00000000-0005-0000-0000-00008DE10000}"/>
    <cellStyle name="Note 5 3 7 4" xfId="57336" xr:uid="{00000000-0005-0000-0000-00008EE10000}"/>
    <cellStyle name="Note 5 3 7 4 2" xfId="57337" xr:uid="{00000000-0005-0000-0000-00008FE10000}"/>
    <cellStyle name="Note 5 3 7 5" xfId="57338" xr:uid="{00000000-0005-0000-0000-000090E10000}"/>
    <cellStyle name="Note 5 3 7 6" xfId="57339" xr:uid="{00000000-0005-0000-0000-000091E10000}"/>
    <cellStyle name="Note 5 3 8" xfId="57340" xr:uid="{00000000-0005-0000-0000-000092E10000}"/>
    <cellStyle name="Note 5 3 8 2" xfId="57341" xr:uid="{00000000-0005-0000-0000-000093E10000}"/>
    <cellStyle name="Note 5 3 8 2 2" xfId="57342" xr:uid="{00000000-0005-0000-0000-000094E10000}"/>
    <cellStyle name="Note 5 3 8 2 3" xfId="57343" xr:uid="{00000000-0005-0000-0000-000095E10000}"/>
    <cellStyle name="Note 5 3 8 3" xfId="57344" xr:uid="{00000000-0005-0000-0000-000096E10000}"/>
    <cellStyle name="Note 5 3 8 3 2" xfId="57345" xr:uid="{00000000-0005-0000-0000-000097E10000}"/>
    <cellStyle name="Note 5 3 8 4" xfId="57346" xr:uid="{00000000-0005-0000-0000-000098E10000}"/>
    <cellStyle name="Note 5 3 8 5" xfId="57347" xr:uid="{00000000-0005-0000-0000-000099E10000}"/>
    <cellStyle name="Note 5 3 9" xfId="57348" xr:uid="{00000000-0005-0000-0000-00009AE10000}"/>
    <cellStyle name="Note 5 3 9 2" xfId="57349" xr:uid="{00000000-0005-0000-0000-00009BE10000}"/>
    <cellStyle name="Note 5 3 9 3" xfId="57350" xr:uid="{00000000-0005-0000-0000-00009CE10000}"/>
    <cellStyle name="Note 5 4" xfId="6138" xr:uid="{00000000-0005-0000-0000-00009DE10000}"/>
    <cellStyle name="Note 5 4 10" xfId="57351" xr:uid="{00000000-0005-0000-0000-00009EE10000}"/>
    <cellStyle name="Note 5 4 10 2" xfId="57352" xr:uid="{00000000-0005-0000-0000-00009FE10000}"/>
    <cellStyle name="Note 5 4 11" xfId="57353" xr:uid="{00000000-0005-0000-0000-0000A0E10000}"/>
    <cellStyle name="Note 5 4 12" xfId="57354" xr:uid="{00000000-0005-0000-0000-0000A1E10000}"/>
    <cellStyle name="Note 5 4 2" xfId="6139" xr:uid="{00000000-0005-0000-0000-0000A2E10000}"/>
    <cellStyle name="Note 5 4 2 10" xfId="57355" xr:uid="{00000000-0005-0000-0000-0000A3E10000}"/>
    <cellStyle name="Note 5 4 2 2" xfId="57356" xr:uid="{00000000-0005-0000-0000-0000A4E10000}"/>
    <cellStyle name="Note 5 4 2 2 2" xfId="57357" xr:uid="{00000000-0005-0000-0000-0000A5E10000}"/>
    <cellStyle name="Note 5 4 2 2 2 2" xfId="57358" xr:uid="{00000000-0005-0000-0000-0000A6E10000}"/>
    <cellStyle name="Note 5 4 2 2 2 2 2" xfId="57359" xr:uid="{00000000-0005-0000-0000-0000A7E10000}"/>
    <cellStyle name="Note 5 4 2 2 2 2 3" xfId="57360" xr:uid="{00000000-0005-0000-0000-0000A8E10000}"/>
    <cellStyle name="Note 5 4 2 2 2 3" xfId="57361" xr:uid="{00000000-0005-0000-0000-0000A9E10000}"/>
    <cellStyle name="Note 5 4 2 2 2 3 2" xfId="57362" xr:uid="{00000000-0005-0000-0000-0000AAE10000}"/>
    <cellStyle name="Note 5 4 2 2 2 3 3" xfId="57363" xr:uid="{00000000-0005-0000-0000-0000ABE10000}"/>
    <cellStyle name="Note 5 4 2 2 2 4" xfId="57364" xr:uid="{00000000-0005-0000-0000-0000ACE10000}"/>
    <cellStyle name="Note 5 4 2 2 2 4 2" xfId="57365" xr:uid="{00000000-0005-0000-0000-0000ADE10000}"/>
    <cellStyle name="Note 5 4 2 2 2 5" xfId="57366" xr:uid="{00000000-0005-0000-0000-0000AEE10000}"/>
    <cellStyle name="Note 5 4 2 2 2 6" xfId="57367" xr:uid="{00000000-0005-0000-0000-0000AFE10000}"/>
    <cellStyle name="Note 5 4 2 2 3" xfId="57368" xr:uid="{00000000-0005-0000-0000-0000B0E10000}"/>
    <cellStyle name="Note 5 4 2 2 3 2" xfId="57369" xr:uid="{00000000-0005-0000-0000-0000B1E10000}"/>
    <cellStyle name="Note 5 4 2 2 3 2 2" xfId="57370" xr:uid="{00000000-0005-0000-0000-0000B2E10000}"/>
    <cellStyle name="Note 5 4 2 2 3 2 3" xfId="57371" xr:uid="{00000000-0005-0000-0000-0000B3E10000}"/>
    <cellStyle name="Note 5 4 2 2 3 3" xfId="57372" xr:uid="{00000000-0005-0000-0000-0000B4E10000}"/>
    <cellStyle name="Note 5 4 2 2 3 3 2" xfId="57373" xr:uid="{00000000-0005-0000-0000-0000B5E10000}"/>
    <cellStyle name="Note 5 4 2 2 3 3 3" xfId="57374" xr:uid="{00000000-0005-0000-0000-0000B6E10000}"/>
    <cellStyle name="Note 5 4 2 2 3 4" xfId="57375" xr:uid="{00000000-0005-0000-0000-0000B7E10000}"/>
    <cellStyle name="Note 5 4 2 2 3 4 2" xfId="57376" xr:uid="{00000000-0005-0000-0000-0000B8E10000}"/>
    <cellStyle name="Note 5 4 2 2 3 5" xfId="57377" xr:uid="{00000000-0005-0000-0000-0000B9E10000}"/>
    <cellStyle name="Note 5 4 2 2 3 6" xfId="57378" xr:uid="{00000000-0005-0000-0000-0000BAE10000}"/>
    <cellStyle name="Note 5 4 2 2 4" xfId="57379" xr:uid="{00000000-0005-0000-0000-0000BBE10000}"/>
    <cellStyle name="Note 5 4 2 2 4 2" xfId="57380" xr:uid="{00000000-0005-0000-0000-0000BCE10000}"/>
    <cellStyle name="Note 5 4 2 2 4 2 2" xfId="57381" xr:uid="{00000000-0005-0000-0000-0000BDE10000}"/>
    <cellStyle name="Note 5 4 2 2 4 2 3" xfId="57382" xr:uid="{00000000-0005-0000-0000-0000BEE10000}"/>
    <cellStyle name="Note 5 4 2 2 4 3" xfId="57383" xr:uid="{00000000-0005-0000-0000-0000BFE10000}"/>
    <cellStyle name="Note 5 4 2 2 4 3 2" xfId="57384" xr:uid="{00000000-0005-0000-0000-0000C0E10000}"/>
    <cellStyle name="Note 5 4 2 2 4 4" xfId="57385" xr:uid="{00000000-0005-0000-0000-0000C1E10000}"/>
    <cellStyle name="Note 5 4 2 2 4 5" xfId="57386" xr:uid="{00000000-0005-0000-0000-0000C2E10000}"/>
    <cellStyle name="Note 5 4 2 2 5" xfId="57387" xr:uid="{00000000-0005-0000-0000-0000C3E10000}"/>
    <cellStyle name="Note 5 4 2 2 5 2" xfId="57388" xr:uid="{00000000-0005-0000-0000-0000C4E10000}"/>
    <cellStyle name="Note 5 4 2 2 5 3" xfId="57389" xr:uid="{00000000-0005-0000-0000-0000C5E10000}"/>
    <cellStyle name="Note 5 4 2 2 6" xfId="57390" xr:uid="{00000000-0005-0000-0000-0000C6E10000}"/>
    <cellStyle name="Note 5 4 2 2 6 2" xfId="57391" xr:uid="{00000000-0005-0000-0000-0000C7E10000}"/>
    <cellStyle name="Note 5 4 2 2 6 3" xfId="57392" xr:uid="{00000000-0005-0000-0000-0000C8E10000}"/>
    <cellStyle name="Note 5 4 2 2 7" xfId="57393" xr:uid="{00000000-0005-0000-0000-0000C9E10000}"/>
    <cellStyle name="Note 5 4 2 2 7 2" xfId="57394" xr:uid="{00000000-0005-0000-0000-0000CAE10000}"/>
    <cellStyle name="Note 5 4 2 2 8" xfId="57395" xr:uid="{00000000-0005-0000-0000-0000CBE10000}"/>
    <cellStyle name="Note 5 4 2 2 9" xfId="57396" xr:uid="{00000000-0005-0000-0000-0000CCE10000}"/>
    <cellStyle name="Note 5 4 2 3" xfId="57397" xr:uid="{00000000-0005-0000-0000-0000CDE10000}"/>
    <cellStyle name="Note 5 4 2 3 2" xfId="57398" xr:uid="{00000000-0005-0000-0000-0000CEE10000}"/>
    <cellStyle name="Note 5 4 2 3 2 2" xfId="57399" xr:uid="{00000000-0005-0000-0000-0000CFE10000}"/>
    <cellStyle name="Note 5 4 2 3 2 3" xfId="57400" xr:uid="{00000000-0005-0000-0000-0000D0E10000}"/>
    <cellStyle name="Note 5 4 2 3 3" xfId="57401" xr:uid="{00000000-0005-0000-0000-0000D1E10000}"/>
    <cellStyle name="Note 5 4 2 3 3 2" xfId="57402" xr:uid="{00000000-0005-0000-0000-0000D2E10000}"/>
    <cellStyle name="Note 5 4 2 3 3 3" xfId="57403" xr:uid="{00000000-0005-0000-0000-0000D3E10000}"/>
    <cellStyle name="Note 5 4 2 3 4" xfId="57404" xr:uid="{00000000-0005-0000-0000-0000D4E10000}"/>
    <cellStyle name="Note 5 4 2 3 4 2" xfId="57405" xr:uid="{00000000-0005-0000-0000-0000D5E10000}"/>
    <cellStyle name="Note 5 4 2 3 5" xfId="57406" xr:uid="{00000000-0005-0000-0000-0000D6E10000}"/>
    <cellStyle name="Note 5 4 2 3 6" xfId="57407" xr:uid="{00000000-0005-0000-0000-0000D7E10000}"/>
    <cellStyle name="Note 5 4 2 4" xfId="57408" xr:uid="{00000000-0005-0000-0000-0000D8E10000}"/>
    <cellStyle name="Note 5 4 2 4 2" xfId="57409" xr:uid="{00000000-0005-0000-0000-0000D9E10000}"/>
    <cellStyle name="Note 5 4 2 4 2 2" xfId="57410" xr:uid="{00000000-0005-0000-0000-0000DAE10000}"/>
    <cellStyle name="Note 5 4 2 4 2 3" xfId="57411" xr:uid="{00000000-0005-0000-0000-0000DBE10000}"/>
    <cellStyle name="Note 5 4 2 4 3" xfId="57412" xr:uid="{00000000-0005-0000-0000-0000DCE10000}"/>
    <cellStyle name="Note 5 4 2 4 3 2" xfId="57413" xr:uid="{00000000-0005-0000-0000-0000DDE10000}"/>
    <cellStyle name="Note 5 4 2 4 3 3" xfId="57414" xr:uid="{00000000-0005-0000-0000-0000DEE10000}"/>
    <cellStyle name="Note 5 4 2 4 4" xfId="57415" xr:uid="{00000000-0005-0000-0000-0000DFE10000}"/>
    <cellStyle name="Note 5 4 2 4 4 2" xfId="57416" xr:uid="{00000000-0005-0000-0000-0000E0E10000}"/>
    <cellStyle name="Note 5 4 2 4 5" xfId="57417" xr:uid="{00000000-0005-0000-0000-0000E1E10000}"/>
    <cellStyle name="Note 5 4 2 4 6" xfId="57418" xr:uid="{00000000-0005-0000-0000-0000E2E10000}"/>
    <cellStyle name="Note 5 4 2 5" xfId="57419" xr:uid="{00000000-0005-0000-0000-0000E3E10000}"/>
    <cellStyle name="Note 5 4 2 5 2" xfId="57420" xr:uid="{00000000-0005-0000-0000-0000E4E10000}"/>
    <cellStyle name="Note 5 4 2 5 2 2" xfId="57421" xr:uid="{00000000-0005-0000-0000-0000E5E10000}"/>
    <cellStyle name="Note 5 4 2 5 2 3" xfId="57422" xr:uid="{00000000-0005-0000-0000-0000E6E10000}"/>
    <cellStyle name="Note 5 4 2 5 3" xfId="57423" xr:uid="{00000000-0005-0000-0000-0000E7E10000}"/>
    <cellStyle name="Note 5 4 2 5 3 2" xfId="57424" xr:uid="{00000000-0005-0000-0000-0000E8E10000}"/>
    <cellStyle name="Note 5 4 2 5 4" xfId="57425" xr:uid="{00000000-0005-0000-0000-0000E9E10000}"/>
    <cellStyle name="Note 5 4 2 5 5" xfId="57426" xr:uid="{00000000-0005-0000-0000-0000EAE10000}"/>
    <cellStyle name="Note 5 4 2 6" xfId="57427" xr:uid="{00000000-0005-0000-0000-0000EBE10000}"/>
    <cellStyle name="Note 5 4 2 6 2" xfId="57428" xr:uid="{00000000-0005-0000-0000-0000ECE10000}"/>
    <cellStyle name="Note 5 4 2 6 3" xfId="57429" xr:uid="{00000000-0005-0000-0000-0000EDE10000}"/>
    <cellStyle name="Note 5 4 2 7" xfId="57430" xr:uid="{00000000-0005-0000-0000-0000EEE10000}"/>
    <cellStyle name="Note 5 4 2 7 2" xfId="57431" xr:uid="{00000000-0005-0000-0000-0000EFE10000}"/>
    <cellStyle name="Note 5 4 2 7 3" xfId="57432" xr:uid="{00000000-0005-0000-0000-0000F0E10000}"/>
    <cellStyle name="Note 5 4 2 8" xfId="57433" xr:uid="{00000000-0005-0000-0000-0000F1E10000}"/>
    <cellStyle name="Note 5 4 2 8 2" xfId="57434" xr:uid="{00000000-0005-0000-0000-0000F2E10000}"/>
    <cellStyle name="Note 5 4 2 9" xfId="57435" xr:uid="{00000000-0005-0000-0000-0000F3E10000}"/>
    <cellStyle name="Note 5 4 3" xfId="9334" xr:uid="{00000000-0005-0000-0000-0000F4E10000}"/>
    <cellStyle name="Note 5 4 3 2" xfId="57436" xr:uid="{00000000-0005-0000-0000-0000F5E10000}"/>
    <cellStyle name="Note 5 4 3 2 2" xfId="57437" xr:uid="{00000000-0005-0000-0000-0000F6E10000}"/>
    <cellStyle name="Note 5 4 3 2 2 2" xfId="57438" xr:uid="{00000000-0005-0000-0000-0000F7E10000}"/>
    <cellStyle name="Note 5 4 3 2 2 3" xfId="57439" xr:uid="{00000000-0005-0000-0000-0000F8E10000}"/>
    <cellStyle name="Note 5 4 3 2 3" xfId="57440" xr:uid="{00000000-0005-0000-0000-0000F9E10000}"/>
    <cellStyle name="Note 5 4 3 2 3 2" xfId="57441" xr:uid="{00000000-0005-0000-0000-0000FAE10000}"/>
    <cellStyle name="Note 5 4 3 2 3 3" xfId="57442" xr:uid="{00000000-0005-0000-0000-0000FBE10000}"/>
    <cellStyle name="Note 5 4 3 2 4" xfId="57443" xr:uid="{00000000-0005-0000-0000-0000FCE10000}"/>
    <cellStyle name="Note 5 4 3 2 4 2" xfId="57444" xr:uid="{00000000-0005-0000-0000-0000FDE10000}"/>
    <cellStyle name="Note 5 4 3 2 5" xfId="57445" xr:uid="{00000000-0005-0000-0000-0000FEE10000}"/>
    <cellStyle name="Note 5 4 3 2 6" xfId="57446" xr:uid="{00000000-0005-0000-0000-0000FFE10000}"/>
    <cellStyle name="Note 5 4 3 3" xfId="57447" xr:uid="{00000000-0005-0000-0000-000000E20000}"/>
    <cellStyle name="Note 5 4 3 3 2" xfId="57448" xr:uid="{00000000-0005-0000-0000-000001E20000}"/>
    <cellStyle name="Note 5 4 3 3 2 2" xfId="57449" xr:uid="{00000000-0005-0000-0000-000002E20000}"/>
    <cellStyle name="Note 5 4 3 3 2 3" xfId="57450" xr:uid="{00000000-0005-0000-0000-000003E20000}"/>
    <cellStyle name="Note 5 4 3 3 3" xfId="57451" xr:uid="{00000000-0005-0000-0000-000004E20000}"/>
    <cellStyle name="Note 5 4 3 3 3 2" xfId="57452" xr:uid="{00000000-0005-0000-0000-000005E20000}"/>
    <cellStyle name="Note 5 4 3 3 3 3" xfId="57453" xr:uid="{00000000-0005-0000-0000-000006E20000}"/>
    <cellStyle name="Note 5 4 3 3 4" xfId="57454" xr:uid="{00000000-0005-0000-0000-000007E20000}"/>
    <cellStyle name="Note 5 4 3 3 4 2" xfId="57455" xr:uid="{00000000-0005-0000-0000-000008E20000}"/>
    <cellStyle name="Note 5 4 3 3 5" xfId="57456" xr:uid="{00000000-0005-0000-0000-000009E20000}"/>
    <cellStyle name="Note 5 4 3 3 6" xfId="57457" xr:uid="{00000000-0005-0000-0000-00000AE20000}"/>
    <cellStyle name="Note 5 4 3 4" xfId="57458" xr:uid="{00000000-0005-0000-0000-00000BE20000}"/>
    <cellStyle name="Note 5 4 3 4 2" xfId="57459" xr:uid="{00000000-0005-0000-0000-00000CE20000}"/>
    <cellStyle name="Note 5 4 3 4 2 2" xfId="57460" xr:uid="{00000000-0005-0000-0000-00000DE20000}"/>
    <cellStyle name="Note 5 4 3 4 2 3" xfId="57461" xr:uid="{00000000-0005-0000-0000-00000EE20000}"/>
    <cellStyle name="Note 5 4 3 4 3" xfId="57462" xr:uid="{00000000-0005-0000-0000-00000FE20000}"/>
    <cellStyle name="Note 5 4 3 4 3 2" xfId="57463" xr:uid="{00000000-0005-0000-0000-000010E20000}"/>
    <cellStyle name="Note 5 4 3 4 4" xfId="57464" xr:uid="{00000000-0005-0000-0000-000011E20000}"/>
    <cellStyle name="Note 5 4 3 4 5" xfId="57465" xr:uid="{00000000-0005-0000-0000-000012E20000}"/>
    <cellStyle name="Note 5 4 3 5" xfId="57466" xr:uid="{00000000-0005-0000-0000-000013E20000}"/>
    <cellStyle name="Note 5 4 3 5 2" xfId="57467" xr:uid="{00000000-0005-0000-0000-000014E20000}"/>
    <cellStyle name="Note 5 4 3 5 3" xfId="57468" xr:uid="{00000000-0005-0000-0000-000015E20000}"/>
    <cellStyle name="Note 5 4 3 6" xfId="57469" xr:uid="{00000000-0005-0000-0000-000016E20000}"/>
    <cellStyle name="Note 5 4 3 6 2" xfId="57470" xr:uid="{00000000-0005-0000-0000-000017E20000}"/>
    <cellStyle name="Note 5 4 3 6 3" xfId="57471" xr:uid="{00000000-0005-0000-0000-000018E20000}"/>
    <cellStyle name="Note 5 4 3 7" xfId="57472" xr:uid="{00000000-0005-0000-0000-000019E20000}"/>
    <cellStyle name="Note 5 4 3 7 2" xfId="57473" xr:uid="{00000000-0005-0000-0000-00001AE20000}"/>
    <cellStyle name="Note 5 4 3 8" xfId="57474" xr:uid="{00000000-0005-0000-0000-00001BE20000}"/>
    <cellStyle name="Note 5 4 3 9" xfId="57475" xr:uid="{00000000-0005-0000-0000-00001CE20000}"/>
    <cellStyle name="Note 5 4 4" xfId="57476" xr:uid="{00000000-0005-0000-0000-00001DE20000}"/>
    <cellStyle name="Note 5 4 4 2" xfId="57477" xr:uid="{00000000-0005-0000-0000-00001EE20000}"/>
    <cellStyle name="Note 5 4 4 2 2" xfId="57478" xr:uid="{00000000-0005-0000-0000-00001FE20000}"/>
    <cellStyle name="Note 5 4 4 2 2 2" xfId="57479" xr:uid="{00000000-0005-0000-0000-000020E20000}"/>
    <cellStyle name="Note 5 4 4 2 2 3" xfId="57480" xr:uid="{00000000-0005-0000-0000-000021E20000}"/>
    <cellStyle name="Note 5 4 4 2 3" xfId="57481" xr:uid="{00000000-0005-0000-0000-000022E20000}"/>
    <cellStyle name="Note 5 4 4 2 3 2" xfId="57482" xr:uid="{00000000-0005-0000-0000-000023E20000}"/>
    <cellStyle name="Note 5 4 4 2 3 3" xfId="57483" xr:uid="{00000000-0005-0000-0000-000024E20000}"/>
    <cellStyle name="Note 5 4 4 2 4" xfId="57484" xr:uid="{00000000-0005-0000-0000-000025E20000}"/>
    <cellStyle name="Note 5 4 4 2 4 2" xfId="57485" xr:uid="{00000000-0005-0000-0000-000026E20000}"/>
    <cellStyle name="Note 5 4 4 2 5" xfId="57486" xr:uid="{00000000-0005-0000-0000-000027E20000}"/>
    <cellStyle name="Note 5 4 4 2 6" xfId="57487" xr:uid="{00000000-0005-0000-0000-000028E20000}"/>
    <cellStyle name="Note 5 4 4 3" xfId="57488" xr:uid="{00000000-0005-0000-0000-000029E20000}"/>
    <cellStyle name="Note 5 4 4 3 2" xfId="57489" xr:uid="{00000000-0005-0000-0000-00002AE20000}"/>
    <cellStyle name="Note 5 4 4 3 2 2" xfId="57490" xr:uid="{00000000-0005-0000-0000-00002BE20000}"/>
    <cellStyle name="Note 5 4 4 3 2 3" xfId="57491" xr:uid="{00000000-0005-0000-0000-00002CE20000}"/>
    <cellStyle name="Note 5 4 4 3 3" xfId="57492" xr:uid="{00000000-0005-0000-0000-00002DE20000}"/>
    <cellStyle name="Note 5 4 4 3 3 2" xfId="57493" xr:uid="{00000000-0005-0000-0000-00002EE20000}"/>
    <cellStyle name="Note 5 4 4 3 3 3" xfId="57494" xr:uid="{00000000-0005-0000-0000-00002FE20000}"/>
    <cellStyle name="Note 5 4 4 3 4" xfId="57495" xr:uid="{00000000-0005-0000-0000-000030E20000}"/>
    <cellStyle name="Note 5 4 4 3 4 2" xfId="57496" xr:uid="{00000000-0005-0000-0000-000031E20000}"/>
    <cellStyle name="Note 5 4 4 3 5" xfId="57497" xr:uid="{00000000-0005-0000-0000-000032E20000}"/>
    <cellStyle name="Note 5 4 4 3 6" xfId="57498" xr:uid="{00000000-0005-0000-0000-000033E20000}"/>
    <cellStyle name="Note 5 4 4 4" xfId="57499" xr:uid="{00000000-0005-0000-0000-000034E20000}"/>
    <cellStyle name="Note 5 4 4 4 2" xfId="57500" xr:uid="{00000000-0005-0000-0000-000035E20000}"/>
    <cellStyle name="Note 5 4 4 4 2 2" xfId="57501" xr:uid="{00000000-0005-0000-0000-000036E20000}"/>
    <cellStyle name="Note 5 4 4 4 2 3" xfId="57502" xr:uid="{00000000-0005-0000-0000-000037E20000}"/>
    <cellStyle name="Note 5 4 4 4 3" xfId="57503" xr:uid="{00000000-0005-0000-0000-000038E20000}"/>
    <cellStyle name="Note 5 4 4 4 3 2" xfId="57504" xr:uid="{00000000-0005-0000-0000-000039E20000}"/>
    <cellStyle name="Note 5 4 4 4 4" xfId="57505" xr:uid="{00000000-0005-0000-0000-00003AE20000}"/>
    <cellStyle name="Note 5 4 4 4 5" xfId="57506" xr:uid="{00000000-0005-0000-0000-00003BE20000}"/>
    <cellStyle name="Note 5 4 4 5" xfId="57507" xr:uid="{00000000-0005-0000-0000-00003CE20000}"/>
    <cellStyle name="Note 5 4 4 5 2" xfId="57508" xr:uid="{00000000-0005-0000-0000-00003DE20000}"/>
    <cellStyle name="Note 5 4 4 5 3" xfId="57509" xr:uid="{00000000-0005-0000-0000-00003EE20000}"/>
    <cellStyle name="Note 5 4 4 6" xfId="57510" xr:uid="{00000000-0005-0000-0000-00003FE20000}"/>
    <cellStyle name="Note 5 4 4 6 2" xfId="57511" xr:uid="{00000000-0005-0000-0000-000040E20000}"/>
    <cellStyle name="Note 5 4 4 6 3" xfId="57512" xr:uid="{00000000-0005-0000-0000-000041E20000}"/>
    <cellStyle name="Note 5 4 4 7" xfId="57513" xr:uid="{00000000-0005-0000-0000-000042E20000}"/>
    <cellStyle name="Note 5 4 4 7 2" xfId="57514" xr:uid="{00000000-0005-0000-0000-000043E20000}"/>
    <cellStyle name="Note 5 4 4 8" xfId="57515" xr:uid="{00000000-0005-0000-0000-000044E20000}"/>
    <cellStyle name="Note 5 4 4 9" xfId="57516" xr:uid="{00000000-0005-0000-0000-000045E20000}"/>
    <cellStyle name="Note 5 4 5" xfId="57517" xr:uid="{00000000-0005-0000-0000-000046E20000}"/>
    <cellStyle name="Note 5 4 5 2" xfId="57518" xr:uid="{00000000-0005-0000-0000-000047E20000}"/>
    <cellStyle name="Note 5 4 5 2 2" xfId="57519" xr:uid="{00000000-0005-0000-0000-000048E20000}"/>
    <cellStyle name="Note 5 4 5 2 3" xfId="57520" xr:uid="{00000000-0005-0000-0000-000049E20000}"/>
    <cellStyle name="Note 5 4 5 3" xfId="57521" xr:uid="{00000000-0005-0000-0000-00004AE20000}"/>
    <cellStyle name="Note 5 4 5 3 2" xfId="57522" xr:uid="{00000000-0005-0000-0000-00004BE20000}"/>
    <cellStyle name="Note 5 4 5 3 3" xfId="57523" xr:uid="{00000000-0005-0000-0000-00004CE20000}"/>
    <cellStyle name="Note 5 4 5 4" xfId="57524" xr:uid="{00000000-0005-0000-0000-00004DE20000}"/>
    <cellStyle name="Note 5 4 5 4 2" xfId="57525" xr:uid="{00000000-0005-0000-0000-00004EE20000}"/>
    <cellStyle name="Note 5 4 5 5" xfId="57526" xr:uid="{00000000-0005-0000-0000-00004FE20000}"/>
    <cellStyle name="Note 5 4 5 6" xfId="57527" xr:uid="{00000000-0005-0000-0000-000050E20000}"/>
    <cellStyle name="Note 5 4 6" xfId="57528" xr:uid="{00000000-0005-0000-0000-000051E20000}"/>
    <cellStyle name="Note 5 4 6 2" xfId="57529" xr:uid="{00000000-0005-0000-0000-000052E20000}"/>
    <cellStyle name="Note 5 4 6 2 2" xfId="57530" xr:uid="{00000000-0005-0000-0000-000053E20000}"/>
    <cellStyle name="Note 5 4 6 2 3" xfId="57531" xr:uid="{00000000-0005-0000-0000-000054E20000}"/>
    <cellStyle name="Note 5 4 6 3" xfId="57532" xr:uid="{00000000-0005-0000-0000-000055E20000}"/>
    <cellStyle name="Note 5 4 6 3 2" xfId="57533" xr:uid="{00000000-0005-0000-0000-000056E20000}"/>
    <cellStyle name="Note 5 4 6 3 3" xfId="57534" xr:uid="{00000000-0005-0000-0000-000057E20000}"/>
    <cellStyle name="Note 5 4 6 4" xfId="57535" xr:uid="{00000000-0005-0000-0000-000058E20000}"/>
    <cellStyle name="Note 5 4 6 4 2" xfId="57536" xr:uid="{00000000-0005-0000-0000-000059E20000}"/>
    <cellStyle name="Note 5 4 6 5" xfId="57537" xr:uid="{00000000-0005-0000-0000-00005AE20000}"/>
    <cellStyle name="Note 5 4 6 6" xfId="57538" xr:uid="{00000000-0005-0000-0000-00005BE20000}"/>
    <cellStyle name="Note 5 4 7" xfId="57539" xr:uid="{00000000-0005-0000-0000-00005CE20000}"/>
    <cellStyle name="Note 5 4 7 2" xfId="57540" xr:uid="{00000000-0005-0000-0000-00005DE20000}"/>
    <cellStyle name="Note 5 4 7 2 2" xfId="57541" xr:uid="{00000000-0005-0000-0000-00005EE20000}"/>
    <cellStyle name="Note 5 4 7 2 3" xfId="57542" xr:uid="{00000000-0005-0000-0000-00005FE20000}"/>
    <cellStyle name="Note 5 4 7 3" xfId="57543" xr:uid="{00000000-0005-0000-0000-000060E20000}"/>
    <cellStyle name="Note 5 4 7 3 2" xfId="57544" xr:uid="{00000000-0005-0000-0000-000061E20000}"/>
    <cellStyle name="Note 5 4 7 4" xfId="57545" xr:uid="{00000000-0005-0000-0000-000062E20000}"/>
    <cellStyle name="Note 5 4 7 5" xfId="57546" xr:uid="{00000000-0005-0000-0000-000063E20000}"/>
    <cellStyle name="Note 5 4 8" xfId="57547" xr:uid="{00000000-0005-0000-0000-000064E20000}"/>
    <cellStyle name="Note 5 4 8 2" xfId="57548" xr:uid="{00000000-0005-0000-0000-000065E20000}"/>
    <cellStyle name="Note 5 4 8 3" xfId="57549" xr:uid="{00000000-0005-0000-0000-000066E20000}"/>
    <cellStyle name="Note 5 4 9" xfId="57550" xr:uid="{00000000-0005-0000-0000-000067E20000}"/>
    <cellStyle name="Note 5 4 9 2" xfId="57551" xr:uid="{00000000-0005-0000-0000-000068E20000}"/>
    <cellStyle name="Note 5 4 9 3" xfId="57552" xr:uid="{00000000-0005-0000-0000-000069E20000}"/>
    <cellStyle name="Note 5 5" xfId="6140" xr:uid="{00000000-0005-0000-0000-00006AE20000}"/>
    <cellStyle name="Note 5 5 10" xfId="57553" xr:uid="{00000000-0005-0000-0000-00006BE20000}"/>
    <cellStyle name="Note 5 5 2" xfId="57554" xr:uid="{00000000-0005-0000-0000-00006CE20000}"/>
    <cellStyle name="Note 5 5 2 2" xfId="57555" xr:uid="{00000000-0005-0000-0000-00006DE20000}"/>
    <cellStyle name="Note 5 5 2 2 2" xfId="57556" xr:uid="{00000000-0005-0000-0000-00006EE20000}"/>
    <cellStyle name="Note 5 5 2 2 2 2" xfId="57557" xr:uid="{00000000-0005-0000-0000-00006FE20000}"/>
    <cellStyle name="Note 5 5 2 2 2 3" xfId="57558" xr:uid="{00000000-0005-0000-0000-000070E20000}"/>
    <cellStyle name="Note 5 5 2 2 3" xfId="57559" xr:uid="{00000000-0005-0000-0000-000071E20000}"/>
    <cellStyle name="Note 5 5 2 2 3 2" xfId="57560" xr:uid="{00000000-0005-0000-0000-000072E20000}"/>
    <cellStyle name="Note 5 5 2 2 3 3" xfId="57561" xr:uid="{00000000-0005-0000-0000-000073E20000}"/>
    <cellStyle name="Note 5 5 2 2 4" xfId="57562" xr:uid="{00000000-0005-0000-0000-000074E20000}"/>
    <cellStyle name="Note 5 5 2 2 4 2" xfId="57563" xr:uid="{00000000-0005-0000-0000-000075E20000}"/>
    <cellStyle name="Note 5 5 2 2 5" xfId="57564" xr:uid="{00000000-0005-0000-0000-000076E20000}"/>
    <cellStyle name="Note 5 5 2 2 6" xfId="57565" xr:uid="{00000000-0005-0000-0000-000077E20000}"/>
    <cellStyle name="Note 5 5 2 3" xfId="57566" xr:uid="{00000000-0005-0000-0000-000078E20000}"/>
    <cellStyle name="Note 5 5 2 3 2" xfId="57567" xr:uid="{00000000-0005-0000-0000-000079E20000}"/>
    <cellStyle name="Note 5 5 2 3 2 2" xfId="57568" xr:uid="{00000000-0005-0000-0000-00007AE20000}"/>
    <cellStyle name="Note 5 5 2 3 2 3" xfId="57569" xr:uid="{00000000-0005-0000-0000-00007BE20000}"/>
    <cellStyle name="Note 5 5 2 3 3" xfId="57570" xr:uid="{00000000-0005-0000-0000-00007CE20000}"/>
    <cellStyle name="Note 5 5 2 3 3 2" xfId="57571" xr:uid="{00000000-0005-0000-0000-00007DE20000}"/>
    <cellStyle name="Note 5 5 2 3 3 3" xfId="57572" xr:uid="{00000000-0005-0000-0000-00007EE20000}"/>
    <cellStyle name="Note 5 5 2 3 4" xfId="57573" xr:uid="{00000000-0005-0000-0000-00007FE20000}"/>
    <cellStyle name="Note 5 5 2 3 4 2" xfId="57574" xr:uid="{00000000-0005-0000-0000-000080E20000}"/>
    <cellStyle name="Note 5 5 2 3 5" xfId="57575" xr:uid="{00000000-0005-0000-0000-000081E20000}"/>
    <cellStyle name="Note 5 5 2 3 6" xfId="57576" xr:uid="{00000000-0005-0000-0000-000082E20000}"/>
    <cellStyle name="Note 5 5 2 4" xfId="57577" xr:uid="{00000000-0005-0000-0000-000083E20000}"/>
    <cellStyle name="Note 5 5 2 4 2" xfId="57578" xr:uid="{00000000-0005-0000-0000-000084E20000}"/>
    <cellStyle name="Note 5 5 2 4 2 2" xfId="57579" xr:uid="{00000000-0005-0000-0000-000085E20000}"/>
    <cellStyle name="Note 5 5 2 4 2 3" xfId="57580" xr:uid="{00000000-0005-0000-0000-000086E20000}"/>
    <cellStyle name="Note 5 5 2 4 3" xfId="57581" xr:uid="{00000000-0005-0000-0000-000087E20000}"/>
    <cellStyle name="Note 5 5 2 4 3 2" xfId="57582" xr:uid="{00000000-0005-0000-0000-000088E20000}"/>
    <cellStyle name="Note 5 5 2 4 4" xfId="57583" xr:uid="{00000000-0005-0000-0000-000089E20000}"/>
    <cellStyle name="Note 5 5 2 4 5" xfId="57584" xr:uid="{00000000-0005-0000-0000-00008AE20000}"/>
    <cellStyle name="Note 5 5 2 5" xfId="57585" xr:uid="{00000000-0005-0000-0000-00008BE20000}"/>
    <cellStyle name="Note 5 5 2 5 2" xfId="57586" xr:uid="{00000000-0005-0000-0000-00008CE20000}"/>
    <cellStyle name="Note 5 5 2 5 3" xfId="57587" xr:uid="{00000000-0005-0000-0000-00008DE20000}"/>
    <cellStyle name="Note 5 5 2 6" xfId="57588" xr:uid="{00000000-0005-0000-0000-00008EE20000}"/>
    <cellStyle name="Note 5 5 2 6 2" xfId="57589" xr:uid="{00000000-0005-0000-0000-00008FE20000}"/>
    <cellStyle name="Note 5 5 2 6 3" xfId="57590" xr:uid="{00000000-0005-0000-0000-000090E20000}"/>
    <cellStyle name="Note 5 5 2 7" xfId="57591" xr:uid="{00000000-0005-0000-0000-000091E20000}"/>
    <cellStyle name="Note 5 5 2 7 2" xfId="57592" xr:uid="{00000000-0005-0000-0000-000092E20000}"/>
    <cellStyle name="Note 5 5 2 8" xfId="57593" xr:uid="{00000000-0005-0000-0000-000093E20000}"/>
    <cellStyle name="Note 5 5 2 9" xfId="57594" xr:uid="{00000000-0005-0000-0000-000094E20000}"/>
    <cellStyle name="Note 5 5 3" xfId="57595" xr:uid="{00000000-0005-0000-0000-000095E20000}"/>
    <cellStyle name="Note 5 5 3 2" xfId="57596" xr:uid="{00000000-0005-0000-0000-000096E20000}"/>
    <cellStyle name="Note 5 5 3 2 2" xfId="57597" xr:uid="{00000000-0005-0000-0000-000097E20000}"/>
    <cellStyle name="Note 5 5 3 2 3" xfId="57598" xr:uid="{00000000-0005-0000-0000-000098E20000}"/>
    <cellStyle name="Note 5 5 3 3" xfId="57599" xr:uid="{00000000-0005-0000-0000-000099E20000}"/>
    <cellStyle name="Note 5 5 3 3 2" xfId="57600" xr:uid="{00000000-0005-0000-0000-00009AE20000}"/>
    <cellStyle name="Note 5 5 3 3 3" xfId="57601" xr:uid="{00000000-0005-0000-0000-00009BE20000}"/>
    <cellStyle name="Note 5 5 3 4" xfId="57602" xr:uid="{00000000-0005-0000-0000-00009CE20000}"/>
    <cellStyle name="Note 5 5 3 4 2" xfId="57603" xr:uid="{00000000-0005-0000-0000-00009DE20000}"/>
    <cellStyle name="Note 5 5 3 5" xfId="57604" xr:uid="{00000000-0005-0000-0000-00009EE20000}"/>
    <cellStyle name="Note 5 5 3 6" xfId="57605" xr:uid="{00000000-0005-0000-0000-00009FE20000}"/>
    <cellStyle name="Note 5 5 4" xfId="57606" xr:uid="{00000000-0005-0000-0000-0000A0E20000}"/>
    <cellStyle name="Note 5 5 4 2" xfId="57607" xr:uid="{00000000-0005-0000-0000-0000A1E20000}"/>
    <cellStyle name="Note 5 5 4 2 2" xfId="57608" xr:uid="{00000000-0005-0000-0000-0000A2E20000}"/>
    <cellStyle name="Note 5 5 4 2 3" xfId="57609" xr:uid="{00000000-0005-0000-0000-0000A3E20000}"/>
    <cellStyle name="Note 5 5 4 3" xfId="57610" xr:uid="{00000000-0005-0000-0000-0000A4E20000}"/>
    <cellStyle name="Note 5 5 4 3 2" xfId="57611" xr:uid="{00000000-0005-0000-0000-0000A5E20000}"/>
    <cellStyle name="Note 5 5 4 3 3" xfId="57612" xr:uid="{00000000-0005-0000-0000-0000A6E20000}"/>
    <cellStyle name="Note 5 5 4 4" xfId="57613" xr:uid="{00000000-0005-0000-0000-0000A7E20000}"/>
    <cellStyle name="Note 5 5 4 4 2" xfId="57614" xr:uid="{00000000-0005-0000-0000-0000A8E20000}"/>
    <cellStyle name="Note 5 5 4 5" xfId="57615" xr:uid="{00000000-0005-0000-0000-0000A9E20000}"/>
    <cellStyle name="Note 5 5 4 6" xfId="57616" xr:uid="{00000000-0005-0000-0000-0000AAE20000}"/>
    <cellStyle name="Note 5 5 5" xfId="57617" xr:uid="{00000000-0005-0000-0000-0000ABE20000}"/>
    <cellStyle name="Note 5 5 5 2" xfId="57618" xr:uid="{00000000-0005-0000-0000-0000ACE20000}"/>
    <cellStyle name="Note 5 5 5 2 2" xfId="57619" xr:uid="{00000000-0005-0000-0000-0000ADE20000}"/>
    <cellStyle name="Note 5 5 5 2 3" xfId="57620" xr:uid="{00000000-0005-0000-0000-0000AEE20000}"/>
    <cellStyle name="Note 5 5 5 3" xfId="57621" xr:uid="{00000000-0005-0000-0000-0000AFE20000}"/>
    <cellStyle name="Note 5 5 5 3 2" xfId="57622" xr:uid="{00000000-0005-0000-0000-0000B0E20000}"/>
    <cellStyle name="Note 5 5 5 4" xfId="57623" xr:uid="{00000000-0005-0000-0000-0000B1E20000}"/>
    <cellStyle name="Note 5 5 5 5" xfId="57624" xr:uid="{00000000-0005-0000-0000-0000B2E20000}"/>
    <cellStyle name="Note 5 5 6" xfId="57625" xr:uid="{00000000-0005-0000-0000-0000B3E20000}"/>
    <cellStyle name="Note 5 5 6 2" xfId="57626" xr:uid="{00000000-0005-0000-0000-0000B4E20000}"/>
    <cellStyle name="Note 5 5 6 3" xfId="57627" xr:uid="{00000000-0005-0000-0000-0000B5E20000}"/>
    <cellStyle name="Note 5 5 7" xfId="57628" xr:uid="{00000000-0005-0000-0000-0000B6E20000}"/>
    <cellStyle name="Note 5 5 7 2" xfId="57629" xr:uid="{00000000-0005-0000-0000-0000B7E20000}"/>
    <cellStyle name="Note 5 5 7 3" xfId="57630" xr:uid="{00000000-0005-0000-0000-0000B8E20000}"/>
    <cellStyle name="Note 5 5 8" xfId="57631" xr:uid="{00000000-0005-0000-0000-0000B9E20000}"/>
    <cellStyle name="Note 5 5 8 2" xfId="57632" xr:uid="{00000000-0005-0000-0000-0000BAE20000}"/>
    <cellStyle name="Note 5 5 9" xfId="57633" xr:uid="{00000000-0005-0000-0000-0000BBE20000}"/>
    <cellStyle name="Note 5 6" xfId="6141" xr:uid="{00000000-0005-0000-0000-0000BCE20000}"/>
    <cellStyle name="Note 5 6 2" xfId="57634" xr:uid="{00000000-0005-0000-0000-0000BDE20000}"/>
    <cellStyle name="Note 5 6 2 2" xfId="57635" xr:uid="{00000000-0005-0000-0000-0000BEE20000}"/>
    <cellStyle name="Note 5 6 2 2 2" xfId="57636" xr:uid="{00000000-0005-0000-0000-0000BFE20000}"/>
    <cellStyle name="Note 5 6 2 2 3" xfId="57637" xr:uid="{00000000-0005-0000-0000-0000C0E20000}"/>
    <cellStyle name="Note 5 6 2 3" xfId="57638" xr:uid="{00000000-0005-0000-0000-0000C1E20000}"/>
    <cellStyle name="Note 5 6 2 3 2" xfId="57639" xr:uid="{00000000-0005-0000-0000-0000C2E20000}"/>
    <cellStyle name="Note 5 6 2 3 3" xfId="57640" xr:uid="{00000000-0005-0000-0000-0000C3E20000}"/>
    <cellStyle name="Note 5 6 2 4" xfId="57641" xr:uid="{00000000-0005-0000-0000-0000C4E20000}"/>
    <cellStyle name="Note 5 6 2 4 2" xfId="57642" xr:uid="{00000000-0005-0000-0000-0000C5E20000}"/>
    <cellStyle name="Note 5 6 2 5" xfId="57643" xr:uid="{00000000-0005-0000-0000-0000C6E20000}"/>
    <cellStyle name="Note 5 6 2 6" xfId="57644" xr:uid="{00000000-0005-0000-0000-0000C7E20000}"/>
    <cellStyle name="Note 5 6 3" xfId="57645" xr:uid="{00000000-0005-0000-0000-0000C8E20000}"/>
    <cellStyle name="Note 5 6 3 2" xfId="57646" xr:uid="{00000000-0005-0000-0000-0000C9E20000}"/>
    <cellStyle name="Note 5 6 3 2 2" xfId="57647" xr:uid="{00000000-0005-0000-0000-0000CAE20000}"/>
    <cellStyle name="Note 5 6 3 2 3" xfId="57648" xr:uid="{00000000-0005-0000-0000-0000CBE20000}"/>
    <cellStyle name="Note 5 6 3 3" xfId="57649" xr:uid="{00000000-0005-0000-0000-0000CCE20000}"/>
    <cellStyle name="Note 5 6 3 3 2" xfId="57650" xr:uid="{00000000-0005-0000-0000-0000CDE20000}"/>
    <cellStyle name="Note 5 6 3 3 3" xfId="57651" xr:uid="{00000000-0005-0000-0000-0000CEE20000}"/>
    <cellStyle name="Note 5 6 3 4" xfId="57652" xr:uid="{00000000-0005-0000-0000-0000CFE20000}"/>
    <cellStyle name="Note 5 6 3 4 2" xfId="57653" xr:uid="{00000000-0005-0000-0000-0000D0E20000}"/>
    <cellStyle name="Note 5 6 3 5" xfId="57654" xr:uid="{00000000-0005-0000-0000-0000D1E20000}"/>
    <cellStyle name="Note 5 6 3 6" xfId="57655" xr:uid="{00000000-0005-0000-0000-0000D2E20000}"/>
    <cellStyle name="Note 5 6 4" xfId="57656" xr:uid="{00000000-0005-0000-0000-0000D3E20000}"/>
    <cellStyle name="Note 5 6 4 2" xfId="57657" xr:uid="{00000000-0005-0000-0000-0000D4E20000}"/>
    <cellStyle name="Note 5 6 4 2 2" xfId="57658" xr:uid="{00000000-0005-0000-0000-0000D5E20000}"/>
    <cellStyle name="Note 5 6 4 2 3" xfId="57659" xr:uid="{00000000-0005-0000-0000-0000D6E20000}"/>
    <cellStyle name="Note 5 6 4 3" xfId="57660" xr:uid="{00000000-0005-0000-0000-0000D7E20000}"/>
    <cellStyle name="Note 5 6 4 3 2" xfId="57661" xr:uid="{00000000-0005-0000-0000-0000D8E20000}"/>
    <cellStyle name="Note 5 6 4 4" xfId="57662" xr:uid="{00000000-0005-0000-0000-0000D9E20000}"/>
    <cellStyle name="Note 5 6 4 5" xfId="57663" xr:uid="{00000000-0005-0000-0000-0000DAE20000}"/>
    <cellStyle name="Note 5 6 5" xfId="57664" xr:uid="{00000000-0005-0000-0000-0000DBE20000}"/>
    <cellStyle name="Note 5 6 5 2" xfId="57665" xr:uid="{00000000-0005-0000-0000-0000DCE20000}"/>
    <cellStyle name="Note 5 6 5 3" xfId="57666" xr:uid="{00000000-0005-0000-0000-0000DDE20000}"/>
    <cellStyle name="Note 5 6 6" xfId="57667" xr:uid="{00000000-0005-0000-0000-0000DEE20000}"/>
    <cellStyle name="Note 5 6 6 2" xfId="57668" xr:uid="{00000000-0005-0000-0000-0000DFE20000}"/>
    <cellStyle name="Note 5 6 6 3" xfId="57669" xr:uid="{00000000-0005-0000-0000-0000E0E20000}"/>
    <cellStyle name="Note 5 6 7" xfId="57670" xr:uid="{00000000-0005-0000-0000-0000E1E20000}"/>
    <cellStyle name="Note 5 6 7 2" xfId="57671" xr:uid="{00000000-0005-0000-0000-0000E2E20000}"/>
    <cellStyle name="Note 5 6 8" xfId="57672" xr:uid="{00000000-0005-0000-0000-0000E3E20000}"/>
    <cellStyle name="Note 5 6 9" xfId="57673" xr:uid="{00000000-0005-0000-0000-0000E4E20000}"/>
    <cellStyle name="Note 5 7" xfId="6142" xr:uid="{00000000-0005-0000-0000-0000E5E20000}"/>
    <cellStyle name="Note 5 7 2" xfId="57674" xr:uid="{00000000-0005-0000-0000-0000E6E20000}"/>
    <cellStyle name="Note 5 7 2 2" xfId="57675" xr:uid="{00000000-0005-0000-0000-0000E7E20000}"/>
    <cellStyle name="Note 5 7 2 2 2" xfId="57676" xr:uid="{00000000-0005-0000-0000-0000E8E20000}"/>
    <cellStyle name="Note 5 7 2 2 3" xfId="57677" xr:uid="{00000000-0005-0000-0000-0000E9E20000}"/>
    <cellStyle name="Note 5 7 2 3" xfId="57678" xr:uid="{00000000-0005-0000-0000-0000EAE20000}"/>
    <cellStyle name="Note 5 7 2 3 2" xfId="57679" xr:uid="{00000000-0005-0000-0000-0000EBE20000}"/>
    <cellStyle name="Note 5 7 2 3 3" xfId="57680" xr:uid="{00000000-0005-0000-0000-0000ECE20000}"/>
    <cellStyle name="Note 5 7 2 4" xfId="57681" xr:uid="{00000000-0005-0000-0000-0000EDE20000}"/>
    <cellStyle name="Note 5 7 2 4 2" xfId="57682" xr:uid="{00000000-0005-0000-0000-0000EEE20000}"/>
    <cellStyle name="Note 5 7 2 5" xfId="57683" xr:uid="{00000000-0005-0000-0000-0000EFE20000}"/>
    <cellStyle name="Note 5 7 2 6" xfId="57684" xr:uid="{00000000-0005-0000-0000-0000F0E20000}"/>
    <cellStyle name="Note 5 7 3" xfId="57685" xr:uid="{00000000-0005-0000-0000-0000F1E20000}"/>
    <cellStyle name="Note 5 7 3 2" xfId="57686" xr:uid="{00000000-0005-0000-0000-0000F2E20000}"/>
    <cellStyle name="Note 5 7 3 2 2" xfId="57687" xr:uid="{00000000-0005-0000-0000-0000F3E20000}"/>
    <cellStyle name="Note 5 7 3 2 3" xfId="57688" xr:uid="{00000000-0005-0000-0000-0000F4E20000}"/>
    <cellStyle name="Note 5 7 3 3" xfId="57689" xr:uid="{00000000-0005-0000-0000-0000F5E20000}"/>
    <cellStyle name="Note 5 7 3 3 2" xfId="57690" xr:uid="{00000000-0005-0000-0000-0000F6E20000}"/>
    <cellStyle name="Note 5 7 3 3 3" xfId="57691" xr:uid="{00000000-0005-0000-0000-0000F7E20000}"/>
    <cellStyle name="Note 5 7 3 4" xfId="57692" xr:uid="{00000000-0005-0000-0000-0000F8E20000}"/>
    <cellStyle name="Note 5 7 3 4 2" xfId="57693" xr:uid="{00000000-0005-0000-0000-0000F9E20000}"/>
    <cellStyle name="Note 5 7 3 5" xfId="57694" xr:uid="{00000000-0005-0000-0000-0000FAE20000}"/>
    <cellStyle name="Note 5 7 3 6" xfId="57695" xr:uid="{00000000-0005-0000-0000-0000FBE20000}"/>
    <cellStyle name="Note 5 7 4" xfId="57696" xr:uid="{00000000-0005-0000-0000-0000FCE20000}"/>
    <cellStyle name="Note 5 7 4 2" xfId="57697" xr:uid="{00000000-0005-0000-0000-0000FDE20000}"/>
    <cellStyle name="Note 5 7 4 2 2" xfId="57698" xr:uid="{00000000-0005-0000-0000-0000FEE20000}"/>
    <cellStyle name="Note 5 7 4 2 3" xfId="57699" xr:uid="{00000000-0005-0000-0000-0000FFE20000}"/>
    <cellStyle name="Note 5 7 4 3" xfId="57700" xr:uid="{00000000-0005-0000-0000-000000E30000}"/>
    <cellStyle name="Note 5 7 4 3 2" xfId="57701" xr:uid="{00000000-0005-0000-0000-000001E30000}"/>
    <cellStyle name="Note 5 7 4 4" xfId="57702" xr:uid="{00000000-0005-0000-0000-000002E30000}"/>
    <cellStyle name="Note 5 7 4 5" xfId="57703" xr:uid="{00000000-0005-0000-0000-000003E30000}"/>
    <cellStyle name="Note 5 7 5" xfId="57704" xr:uid="{00000000-0005-0000-0000-000004E30000}"/>
    <cellStyle name="Note 5 7 5 2" xfId="57705" xr:uid="{00000000-0005-0000-0000-000005E30000}"/>
    <cellStyle name="Note 5 7 5 3" xfId="57706" xr:uid="{00000000-0005-0000-0000-000006E30000}"/>
    <cellStyle name="Note 5 7 6" xfId="57707" xr:uid="{00000000-0005-0000-0000-000007E30000}"/>
    <cellStyle name="Note 5 7 6 2" xfId="57708" xr:uid="{00000000-0005-0000-0000-000008E30000}"/>
    <cellStyle name="Note 5 7 6 3" xfId="57709" xr:uid="{00000000-0005-0000-0000-000009E30000}"/>
    <cellStyle name="Note 5 7 7" xfId="57710" xr:uid="{00000000-0005-0000-0000-00000AE30000}"/>
    <cellStyle name="Note 5 7 7 2" xfId="57711" xr:uid="{00000000-0005-0000-0000-00000BE30000}"/>
    <cellStyle name="Note 5 7 8" xfId="57712" xr:uid="{00000000-0005-0000-0000-00000CE30000}"/>
    <cellStyle name="Note 5 7 9" xfId="57713" xr:uid="{00000000-0005-0000-0000-00000DE30000}"/>
    <cellStyle name="Note 5 8" xfId="6143" xr:uid="{00000000-0005-0000-0000-00000EE30000}"/>
    <cellStyle name="Note 5 8 2" xfId="57714" xr:uid="{00000000-0005-0000-0000-00000FE30000}"/>
    <cellStyle name="Note 5 8 2 2" xfId="57715" xr:uid="{00000000-0005-0000-0000-000010E30000}"/>
    <cellStyle name="Note 5 8 2 3" xfId="57716" xr:uid="{00000000-0005-0000-0000-000011E30000}"/>
    <cellStyle name="Note 5 8 3" xfId="57717" xr:uid="{00000000-0005-0000-0000-000012E30000}"/>
    <cellStyle name="Note 5 8 3 2" xfId="57718" xr:uid="{00000000-0005-0000-0000-000013E30000}"/>
    <cellStyle name="Note 5 8 3 3" xfId="57719" xr:uid="{00000000-0005-0000-0000-000014E30000}"/>
    <cellStyle name="Note 5 8 4" xfId="57720" xr:uid="{00000000-0005-0000-0000-000015E30000}"/>
    <cellStyle name="Note 5 8 4 2" xfId="57721" xr:uid="{00000000-0005-0000-0000-000016E30000}"/>
    <cellStyle name="Note 5 8 5" xfId="57722" xr:uid="{00000000-0005-0000-0000-000017E30000}"/>
    <cellStyle name="Note 5 8 6" xfId="57723" xr:uid="{00000000-0005-0000-0000-000018E30000}"/>
    <cellStyle name="Note 5 9" xfId="6144" xr:uid="{00000000-0005-0000-0000-000019E30000}"/>
    <cellStyle name="Note 5 9 2" xfId="57724" xr:uid="{00000000-0005-0000-0000-00001AE30000}"/>
    <cellStyle name="Note 5 9 2 2" xfId="57725" xr:uid="{00000000-0005-0000-0000-00001BE30000}"/>
    <cellStyle name="Note 5 9 2 3" xfId="57726" xr:uid="{00000000-0005-0000-0000-00001CE30000}"/>
    <cellStyle name="Note 5 9 3" xfId="57727" xr:uid="{00000000-0005-0000-0000-00001DE30000}"/>
    <cellStyle name="Note 5 9 3 2" xfId="57728" xr:uid="{00000000-0005-0000-0000-00001EE30000}"/>
    <cellStyle name="Note 5 9 3 3" xfId="57729" xr:uid="{00000000-0005-0000-0000-00001FE30000}"/>
    <cellStyle name="Note 5 9 4" xfId="57730" xr:uid="{00000000-0005-0000-0000-000020E30000}"/>
    <cellStyle name="Note 5 9 4 2" xfId="57731" xr:uid="{00000000-0005-0000-0000-000021E30000}"/>
    <cellStyle name="Note 5 9 5" xfId="57732" xr:uid="{00000000-0005-0000-0000-000022E30000}"/>
    <cellStyle name="Note 5 9 6" xfId="57733" xr:uid="{00000000-0005-0000-0000-000023E30000}"/>
    <cellStyle name="Note 6" xfId="6145" xr:uid="{00000000-0005-0000-0000-000024E30000}"/>
    <cellStyle name="Note 6 10" xfId="6146" xr:uid="{00000000-0005-0000-0000-000025E30000}"/>
    <cellStyle name="Note 6 10 2" xfId="60464" xr:uid="{00000000-0005-0000-0000-000026E30000}"/>
    <cellStyle name="Note 6 11" xfId="6147" xr:uid="{00000000-0005-0000-0000-000027E30000}"/>
    <cellStyle name="Note 6 12" xfId="6148" xr:uid="{00000000-0005-0000-0000-000028E30000}"/>
    <cellStyle name="Note 6 13" xfId="9335" xr:uid="{00000000-0005-0000-0000-000029E30000}"/>
    <cellStyle name="Note 6 2" xfId="6149" xr:uid="{00000000-0005-0000-0000-00002AE30000}"/>
    <cellStyle name="Note 6 2 10" xfId="6150" xr:uid="{00000000-0005-0000-0000-00002BE30000}"/>
    <cellStyle name="Note 6 2 11" xfId="6151" xr:uid="{00000000-0005-0000-0000-00002CE30000}"/>
    <cellStyle name="Note 6 2 12" xfId="9336" xr:uid="{00000000-0005-0000-0000-00002DE30000}"/>
    <cellStyle name="Note 6 2 2" xfId="6152" xr:uid="{00000000-0005-0000-0000-00002EE30000}"/>
    <cellStyle name="Note 6 2 2 2" xfId="6153" xr:uid="{00000000-0005-0000-0000-00002FE30000}"/>
    <cellStyle name="Note 6 2 2 3" xfId="6154" xr:uid="{00000000-0005-0000-0000-000030E30000}"/>
    <cellStyle name="Note 6 2 3" xfId="6155" xr:uid="{00000000-0005-0000-0000-000031E30000}"/>
    <cellStyle name="Note 6 2 3 2" xfId="6156" xr:uid="{00000000-0005-0000-0000-000032E30000}"/>
    <cellStyle name="Note 6 2 4" xfId="6157" xr:uid="{00000000-0005-0000-0000-000033E30000}"/>
    <cellStyle name="Note 6 2 4 2" xfId="60465" xr:uid="{00000000-0005-0000-0000-000034E30000}"/>
    <cellStyle name="Note 6 2 5" xfId="6158" xr:uid="{00000000-0005-0000-0000-000035E30000}"/>
    <cellStyle name="Note 6 2 5 2" xfId="60466" xr:uid="{00000000-0005-0000-0000-000036E30000}"/>
    <cellStyle name="Note 6 2 6" xfId="6159" xr:uid="{00000000-0005-0000-0000-000037E30000}"/>
    <cellStyle name="Note 6 2 6 2" xfId="60467" xr:uid="{00000000-0005-0000-0000-000038E30000}"/>
    <cellStyle name="Note 6 2 7" xfId="6160" xr:uid="{00000000-0005-0000-0000-000039E30000}"/>
    <cellStyle name="Note 6 2 7 2" xfId="60468" xr:uid="{00000000-0005-0000-0000-00003AE30000}"/>
    <cellStyle name="Note 6 2 8" xfId="6161" xr:uid="{00000000-0005-0000-0000-00003BE30000}"/>
    <cellStyle name="Note 6 2 8 2" xfId="60469" xr:uid="{00000000-0005-0000-0000-00003CE30000}"/>
    <cellStyle name="Note 6 2 9" xfId="6162" xr:uid="{00000000-0005-0000-0000-00003DE30000}"/>
    <cellStyle name="Note 6 2 9 2" xfId="60470" xr:uid="{00000000-0005-0000-0000-00003EE30000}"/>
    <cellStyle name="Note 6 3" xfId="6163" xr:uid="{00000000-0005-0000-0000-00003FE30000}"/>
    <cellStyle name="Note 6 3 2" xfId="6164" xr:uid="{00000000-0005-0000-0000-000040E30000}"/>
    <cellStyle name="Note 6 3 3" xfId="6165" xr:uid="{00000000-0005-0000-0000-000041E30000}"/>
    <cellStyle name="Note 6 3 4" xfId="60471" xr:uid="{00000000-0005-0000-0000-000042E30000}"/>
    <cellStyle name="Note 6 4" xfId="6166" xr:uid="{00000000-0005-0000-0000-000043E30000}"/>
    <cellStyle name="Note 6 4 2" xfId="6167" xr:uid="{00000000-0005-0000-0000-000044E30000}"/>
    <cellStyle name="Note 6 5" xfId="6168" xr:uid="{00000000-0005-0000-0000-000045E30000}"/>
    <cellStyle name="Note 6 5 2" xfId="60472" xr:uid="{00000000-0005-0000-0000-000046E30000}"/>
    <cellStyle name="Note 6 6" xfId="6169" xr:uid="{00000000-0005-0000-0000-000047E30000}"/>
    <cellStyle name="Note 6 6 2" xfId="60473" xr:uid="{00000000-0005-0000-0000-000048E30000}"/>
    <cellStyle name="Note 6 7" xfId="6170" xr:uid="{00000000-0005-0000-0000-000049E30000}"/>
    <cellStyle name="Note 6 7 2" xfId="60474" xr:uid="{00000000-0005-0000-0000-00004AE30000}"/>
    <cellStyle name="Note 6 8" xfId="6171" xr:uid="{00000000-0005-0000-0000-00004BE30000}"/>
    <cellStyle name="Note 6 8 2" xfId="60475" xr:uid="{00000000-0005-0000-0000-00004CE30000}"/>
    <cellStyle name="Note 6 9" xfId="6172" xr:uid="{00000000-0005-0000-0000-00004DE30000}"/>
    <cellStyle name="Note 6 9 2" xfId="60476" xr:uid="{00000000-0005-0000-0000-00004EE30000}"/>
    <cellStyle name="Note 7" xfId="6173" xr:uid="{00000000-0005-0000-0000-00004FE30000}"/>
    <cellStyle name="Note 7 10" xfId="6174" xr:uid="{00000000-0005-0000-0000-000050E30000}"/>
    <cellStyle name="Note 7 10 2" xfId="60477" xr:uid="{00000000-0005-0000-0000-000051E30000}"/>
    <cellStyle name="Note 7 11" xfId="6175" xr:uid="{00000000-0005-0000-0000-000052E30000}"/>
    <cellStyle name="Note 7 12" xfId="6176" xr:uid="{00000000-0005-0000-0000-000053E30000}"/>
    <cellStyle name="Note 7 13" xfId="9337" xr:uid="{00000000-0005-0000-0000-000054E30000}"/>
    <cellStyle name="Note 7 2" xfId="6177" xr:uid="{00000000-0005-0000-0000-000055E30000}"/>
    <cellStyle name="Note 7 2 10" xfId="6178" xr:uid="{00000000-0005-0000-0000-000056E30000}"/>
    <cellStyle name="Note 7 2 11" xfId="6179" xr:uid="{00000000-0005-0000-0000-000057E30000}"/>
    <cellStyle name="Note 7 2 12" xfId="60478" xr:uid="{00000000-0005-0000-0000-000058E30000}"/>
    <cellStyle name="Note 7 2 2" xfId="6180" xr:uid="{00000000-0005-0000-0000-000059E30000}"/>
    <cellStyle name="Note 7 2 2 2" xfId="6181" xr:uid="{00000000-0005-0000-0000-00005AE30000}"/>
    <cellStyle name="Note 7 2 3" xfId="6182" xr:uid="{00000000-0005-0000-0000-00005BE30000}"/>
    <cellStyle name="Note 7 2 3 2" xfId="60479" xr:uid="{00000000-0005-0000-0000-00005CE30000}"/>
    <cellStyle name="Note 7 2 4" xfId="6183" xr:uid="{00000000-0005-0000-0000-00005DE30000}"/>
    <cellStyle name="Note 7 2 4 2" xfId="60480" xr:uid="{00000000-0005-0000-0000-00005EE30000}"/>
    <cellStyle name="Note 7 2 5" xfId="6184" xr:uid="{00000000-0005-0000-0000-00005FE30000}"/>
    <cellStyle name="Note 7 2 5 2" xfId="60481" xr:uid="{00000000-0005-0000-0000-000060E30000}"/>
    <cellStyle name="Note 7 2 6" xfId="6185" xr:uid="{00000000-0005-0000-0000-000061E30000}"/>
    <cellStyle name="Note 7 2 6 2" xfId="60482" xr:uid="{00000000-0005-0000-0000-000062E30000}"/>
    <cellStyle name="Note 7 2 7" xfId="6186" xr:uid="{00000000-0005-0000-0000-000063E30000}"/>
    <cellStyle name="Note 7 2 7 2" xfId="60483" xr:uid="{00000000-0005-0000-0000-000064E30000}"/>
    <cellStyle name="Note 7 2 8" xfId="6187" xr:uid="{00000000-0005-0000-0000-000065E30000}"/>
    <cellStyle name="Note 7 2 8 2" xfId="60484" xr:uid="{00000000-0005-0000-0000-000066E30000}"/>
    <cellStyle name="Note 7 2 9" xfId="6188" xr:uid="{00000000-0005-0000-0000-000067E30000}"/>
    <cellStyle name="Note 7 2 9 2" xfId="60485" xr:uid="{00000000-0005-0000-0000-000068E30000}"/>
    <cellStyle name="Note 7 3" xfId="6189" xr:uid="{00000000-0005-0000-0000-000069E30000}"/>
    <cellStyle name="Note 7 3 2" xfId="6190" xr:uid="{00000000-0005-0000-0000-00006AE30000}"/>
    <cellStyle name="Note 7 3 3" xfId="60486" xr:uid="{00000000-0005-0000-0000-00006BE30000}"/>
    <cellStyle name="Note 7 4" xfId="6191" xr:uid="{00000000-0005-0000-0000-00006CE30000}"/>
    <cellStyle name="Note 7 4 2" xfId="60487" xr:uid="{00000000-0005-0000-0000-00006DE30000}"/>
    <cellStyle name="Note 7 5" xfId="6192" xr:uid="{00000000-0005-0000-0000-00006EE30000}"/>
    <cellStyle name="Note 7 5 2" xfId="60488" xr:uid="{00000000-0005-0000-0000-00006FE30000}"/>
    <cellStyle name="Note 7 6" xfId="6193" xr:uid="{00000000-0005-0000-0000-000070E30000}"/>
    <cellStyle name="Note 7 6 2" xfId="60489" xr:uid="{00000000-0005-0000-0000-000071E30000}"/>
    <cellStyle name="Note 7 7" xfId="6194" xr:uid="{00000000-0005-0000-0000-000072E30000}"/>
    <cellStyle name="Note 7 7 2" xfId="60490" xr:uid="{00000000-0005-0000-0000-000073E30000}"/>
    <cellStyle name="Note 7 8" xfId="6195" xr:uid="{00000000-0005-0000-0000-000074E30000}"/>
    <cellStyle name="Note 7 8 2" xfId="60491" xr:uid="{00000000-0005-0000-0000-000075E30000}"/>
    <cellStyle name="Note 7 9" xfId="6196" xr:uid="{00000000-0005-0000-0000-000076E30000}"/>
    <cellStyle name="Note 7 9 2" xfId="60492" xr:uid="{00000000-0005-0000-0000-000077E30000}"/>
    <cellStyle name="Note 8" xfId="6197" xr:uid="{00000000-0005-0000-0000-000078E30000}"/>
    <cellStyle name="Note 8 10" xfId="6198" xr:uid="{00000000-0005-0000-0000-000079E30000}"/>
    <cellStyle name="Note 8 10 2" xfId="60493" xr:uid="{00000000-0005-0000-0000-00007AE30000}"/>
    <cellStyle name="Note 8 11" xfId="6199" xr:uid="{00000000-0005-0000-0000-00007BE30000}"/>
    <cellStyle name="Note 8 12" xfId="6200" xr:uid="{00000000-0005-0000-0000-00007CE30000}"/>
    <cellStyle name="Note 8 13" xfId="9338" xr:uid="{00000000-0005-0000-0000-00007DE30000}"/>
    <cellStyle name="Note 8 2" xfId="6201" xr:uid="{00000000-0005-0000-0000-00007EE30000}"/>
    <cellStyle name="Note 8 2 10" xfId="6202" xr:uid="{00000000-0005-0000-0000-00007FE30000}"/>
    <cellStyle name="Note 8 2 11" xfId="6203" xr:uid="{00000000-0005-0000-0000-000080E30000}"/>
    <cellStyle name="Note 8 2 12" xfId="60494" xr:uid="{00000000-0005-0000-0000-000081E30000}"/>
    <cellStyle name="Note 8 2 2" xfId="6204" xr:uid="{00000000-0005-0000-0000-000082E30000}"/>
    <cellStyle name="Note 8 2 2 2" xfId="6205" xr:uid="{00000000-0005-0000-0000-000083E30000}"/>
    <cellStyle name="Note 8 2 3" xfId="6206" xr:uid="{00000000-0005-0000-0000-000084E30000}"/>
    <cellStyle name="Note 8 2 3 2" xfId="60495" xr:uid="{00000000-0005-0000-0000-000085E30000}"/>
    <cellStyle name="Note 8 2 4" xfId="6207" xr:uid="{00000000-0005-0000-0000-000086E30000}"/>
    <cellStyle name="Note 8 2 4 2" xfId="60496" xr:uid="{00000000-0005-0000-0000-000087E30000}"/>
    <cellStyle name="Note 8 2 5" xfId="6208" xr:uid="{00000000-0005-0000-0000-000088E30000}"/>
    <cellStyle name="Note 8 2 5 2" xfId="60497" xr:uid="{00000000-0005-0000-0000-000089E30000}"/>
    <cellStyle name="Note 8 2 6" xfId="6209" xr:uid="{00000000-0005-0000-0000-00008AE30000}"/>
    <cellStyle name="Note 8 2 6 2" xfId="60498" xr:uid="{00000000-0005-0000-0000-00008BE30000}"/>
    <cellStyle name="Note 8 2 7" xfId="6210" xr:uid="{00000000-0005-0000-0000-00008CE30000}"/>
    <cellStyle name="Note 8 2 7 2" xfId="60499" xr:uid="{00000000-0005-0000-0000-00008DE30000}"/>
    <cellStyle name="Note 8 2 8" xfId="6211" xr:uid="{00000000-0005-0000-0000-00008EE30000}"/>
    <cellStyle name="Note 8 2 8 2" xfId="60500" xr:uid="{00000000-0005-0000-0000-00008FE30000}"/>
    <cellStyle name="Note 8 2 9" xfId="6212" xr:uid="{00000000-0005-0000-0000-000090E30000}"/>
    <cellStyle name="Note 8 2 9 2" xfId="60501" xr:uid="{00000000-0005-0000-0000-000091E30000}"/>
    <cellStyle name="Note 8 3" xfId="6213" xr:uid="{00000000-0005-0000-0000-000092E30000}"/>
    <cellStyle name="Note 8 3 2" xfId="6214" xr:uid="{00000000-0005-0000-0000-000093E30000}"/>
    <cellStyle name="Note 8 3 3" xfId="60502" xr:uid="{00000000-0005-0000-0000-000094E30000}"/>
    <cellStyle name="Note 8 4" xfId="6215" xr:uid="{00000000-0005-0000-0000-000095E30000}"/>
    <cellStyle name="Note 8 4 2" xfId="60503" xr:uid="{00000000-0005-0000-0000-000096E30000}"/>
    <cellStyle name="Note 8 5" xfId="6216" xr:uid="{00000000-0005-0000-0000-000097E30000}"/>
    <cellStyle name="Note 8 5 2" xfId="60504" xr:uid="{00000000-0005-0000-0000-000098E30000}"/>
    <cellStyle name="Note 8 6" xfId="6217" xr:uid="{00000000-0005-0000-0000-000099E30000}"/>
    <cellStyle name="Note 8 6 2" xfId="60505" xr:uid="{00000000-0005-0000-0000-00009AE30000}"/>
    <cellStyle name="Note 8 7" xfId="6218" xr:uid="{00000000-0005-0000-0000-00009BE30000}"/>
    <cellStyle name="Note 8 7 2" xfId="60506" xr:uid="{00000000-0005-0000-0000-00009CE30000}"/>
    <cellStyle name="Note 8 8" xfId="6219" xr:uid="{00000000-0005-0000-0000-00009DE30000}"/>
    <cellStyle name="Note 8 8 2" xfId="60507" xr:uid="{00000000-0005-0000-0000-00009EE30000}"/>
    <cellStyle name="Note 8 9" xfId="6220" xr:uid="{00000000-0005-0000-0000-00009FE30000}"/>
    <cellStyle name="Note 8 9 2" xfId="60508" xr:uid="{00000000-0005-0000-0000-0000A0E30000}"/>
    <cellStyle name="Note 9" xfId="6221" xr:uid="{00000000-0005-0000-0000-0000A1E30000}"/>
    <cellStyle name="Note 9 10" xfId="6222" xr:uid="{00000000-0005-0000-0000-0000A2E30000}"/>
    <cellStyle name="Note 9 10 2" xfId="60509" xr:uid="{00000000-0005-0000-0000-0000A3E30000}"/>
    <cellStyle name="Note 9 11" xfId="6223" xr:uid="{00000000-0005-0000-0000-0000A4E30000}"/>
    <cellStyle name="Note 9 12" xfId="6224" xr:uid="{00000000-0005-0000-0000-0000A5E30000}"/>
    <cellStyle name="Note 9 13" xfId="60510" xr:uid="{00000000-0005-0000-0000-0000A6E30000}"/>
    <cellStyle name="Note 9 2" xfId="6225" xr:uid="{00000000-0005-0000-0000-0000A7E30000}"/>
    <cellStyle name="Note 9 2 10" xfId="6226" xr:uid="{00000000-0005-0000-0000-0000A8E30000}"/>
    <cellStyle name="Note 9 2 11" xfId="6227" xr:uid="{00000000-0005-0000-0000-0000A9E30000}"/>
    <cellStyle name="Note 9 2 2" xfId="6228" xr:uid="{00000000-0005-0000-0000-0000AAE30000}"/>
    <cellStyle name="Note 9 2 2 2" xfId="6229" xr:uid="{00000000-0005-0000-0000-0000ABE30000}"/>
    <cellStyle name="Note 9 2 3" xfId="6230" xr:uid="{00000000-0005-0000-0000-0000ACE30000}"/>
    <cellStyle name="Note 9 2 3 2" xfId="60511" xr:uid="{00000000-0005-0000-0000-0000ADE30000}"/>
    <cellStyle name="Note 9 2 4" xfId="6231" xr:uid="{00000000-0005-0000-0000-0000AEE30000}"/>
    <cellStyle name="Note 9 2 4 2" xfId="60512" xr:uid="{00000000-0005-0000-0000-0000AFE30000}"/>
    <cellStyle name="Note 9 2 5" xfId="6232" xr:uid="{00000000-0005-0000-0000-0000B0E30000}"/>
    <cellStyle name="Note 9 2 5 2" xfId="60513" xr:uid="{00000000-0005-0000-0000-0000B1E30000}"/>
    <cellStyle name="Note 9 2 6" xfId="6233" xr:uid="{00000000-0005-0000-0000-0000B2E30000}"/>
    <cellStyle name="Note 9 2 6 2" xfId="60514" xr:uid="{00000000-0005-0000-0000-0000B3E30000}"/>
    <cellStyle name="Note 9 2 7" xfId="6234" xr:uid="{00000000-0005-0000-0000-0000B4E30000}"/>
    <cellStyle name="Note 9 2 7 2" xfId="60515" xr:uid="{00000000-0005-0000-0000-0000B5E30000}"/>
    <cellStyle name="Note 9 2 8" xfId="6235" xr:uid="{00000000-0005-0000-0000-0000B6E30000}"/>
    <cellStyle name="Note 9 2 8 2" xfId="60516" xr:uid="{00000000-0005-0000-0000-0000B7E30000}"/>
    <cellStyle name="Note 9 2 9" xfId="6236" xr:uid="{00000000-0005-0000-0000-0000B8E30000}"/>
    <cellStyle name="Note 9 2 9 2" xfId="60517" xr:uid="{00000000-0005-0000-0000-0000B9E30000}"/>
    <cellStyle name="Note 9 3" xfId="6237" xr:uid="{00000000-0005-0000-0000-0000BAE30000}"/>
    <cellStyle name="Note 9 3 2" xfId="6238" xr:uid="{00000000-0005-0000-0000-0000BBE30000}"/>
    <cellStyle name="Note 9 4" xfId="6239" xr:uid="{00000000-0005-0000-0000-0000BCE30000}"/>
    <cellStyle name="Note 9 4 2" xfId="60518" xr:uid="{00000000-0005-0000-0000-0000BDE30000}"/>
    <cellStyle name="Note 9 5" xfId="6240" xr:uid="{00000000-0005-0000-0000-0000BEE30000}"/>
    <cellStyle name="Note 9 5 2" xfId="60519" xr:uid="{00000000-0005-0000-0000-0000BFE30000}"/>
    <cellStyle name="Note 9 6" xfId="6241" xr:uid="{00000000-0005-0000-0000-0000C0E30000}"/>
    <cellStyle name="Note 9 6 2" xfId="60520" xr:uid="{00000000-0005-0000-0000-0000C1E30000}"/>
    <cellStyle name="Note 9 7" xfId="6242" xr:uid="{00000000-0005-0000-0000-0000C2E30000}"/>
    <cellStyle name="Note 9 7 2" xfId="60521" xr:uid="{00000000-0005-0000-0000-0000C3E30000}"/>
    <cellStyle name="Note 9 8" xfId="6243" xr:uid="{00000000-0005-0000-0000-0000C4E30000}"/>
    <cellStyle name="Note 9 8 2" xfId="60522" xr:uid="{00000000-0005-0000-0000-0000C5E30000}"/>
    <cellStyle name="Note 9 9" xfId="6244" xr:uid="{00000000-0005-0000-0000-0000C6E30000}"/>
    <cellStyle name="Note 9 9 2" xfId="60523" xr:uid="{00000000-0005-0000-0000-0000C7E30000}"/>
    <cellStyle name="Output 10" xfId="9889" xr:uid="{00000000-0005-0000-0000-0000C8E30000}"/>
    <cellStyle name="Output 11" xfId="9890" xr:uid="{00000000-0005-0000-0000-0000C9E30000}"/>
    <cellStyle name="Output 12" xfId="9891" xr:uid="{00000000-0005-0000-0000-0000CAE30000}"/>
    <cellStyle name="Output 13" xfId="9892" xr:uid="{00000000-0005-0000-0000-0000CBE30000}"/>
    <cellStyle name="Output 14" xfId="9893" xr:uid="{00000000-0005-0000-0000-0000CCE30000}"/>
    <cellStyle name="Output 15" xfId="9894" xr:uid="{00000000-0005-0000-0000-0000CDE30000}"/>
    <cellStyle name="Output 16" xfId="9895" xr:uid="{00000000-0005-0000-0000-0000CEE30000}"/>
    <cellStyle name="Output 17" xfId="9896" xr:uid="{00000000-0005-0000-0000-0000CFE30000}"/>
    <cellStyle name="Output 17 2" xfId="60524" xr:uid="{00000000-0005-0000-0000-0000D0E30000}"/>
    <cellStyle name="Output 2" xfId="6245" xr:uid="{00000000-0005-0000-0000-0000D1E30000}"/>
    <cellStyle name="Output 2 2" xfId="6246" xr:uid="{00000000-0005-0000-0000-0000D2E30000}"/>
    <cellStyle name="Output 2 2 2" xfId="6247" xr:uid="{00000000-0005-0000-0000-0000D3E30000}"/>
    <cellStyle name="Output 2 2 3" xfId="60525" xr:uid="{00000000-0005-0000-0000-0000D4E30000}"/>
    <cellStyle name="Output 2 3" xfId="6248" xr:uid="{00000000-0005-0000-0000-0000D5E30000}"/>
    <cellStyle name="Output 2 3 2" xfId="60526" xr:uid="{00000000-0005-0000-0000-0000D6E30000}"/>
    <cellStyle name="Output 2 4" xfId="6249" xr:uid="{00000000-0005-0000-0000-0000D7E30000}"/>
    <cellStyle name="Output 2 4 2" xfId="60527" xr:uid="{00000000-0005-0000-0000-0000D8E30000}"/>
    <cellStyle name="Output 2 5" xfId="6250" xr:uid="{00000000-0005-0000-0000-0000D9E30000}"/>
    <cellStyle name="Output 2 5 2" xfId="60528" xr:uid="{00000000-0005-0000-0000-0000DAE30000}"/>
    <cellStyle name="Output 2 6" xfId="6251" xr:uid="{00000000-0005-0000-0000-0000DBE30000}"/>
    <cellStyle name="Output 2 6 2" xfId="60529" xr:uid="{00000000-0005-0000-0000-0000DCE30000}"/>
    <cellStyle name="Output 2 7" xfId="6252" xr:uid="{00000000-0005-0000-0000-0000DDE30000}"/>
    <cellStyle name="Output 2 8" xfId="6253" xr:uid="{00000000-0005-0000-0000-0000DEE30000}"/>
    <cellStyle name="Output 2 9" xfId="60530" xr:uid="{00000000-0005-0000-0000-0000DFE30000}"/>
    <cellStyle name="Output 3" xfId="6254" xr:uid="{00000000-0005-0000-0000-0000E0E30000}"/>
    <cellStyle name="Output 3 2" xfId="6255" xr:uid="{00000000-0005-0000-0000-0000E1E30000}"/>
    <cellStyle name="Output 3 3" xfId="9339" xr:uid="{00000000-0005-0000-0000-0000E2E30000}"/>
    <cellStyle name="Output 4" xfId="9340" xr:uid="{00000000-0005-0000-0000-0000E3E30000}"/>
    <cellStyle name="Output 4 2" xfId="57734" xr:uid="{00000000-0005-0000-0000-0000E4E30000}"/>
    <cellStyle name="Output 5" xfId="9897" xr:uid="{00000000-0005-0000-0000-0000E5E30000}"/>
    <cellStyle name="Output 5 2" xfId="57735" xr:uid="{00000000-0005-0000-0000-0000E6E30000}"/>
    <cellStyle name="Output 6" xfId="9898" xr:uid="{00000000-0005-0000-0000-0000E7E30000}"/>
    <cellStyle name="Output 6 2" xfId="57736" xr:uid="{00000000-0005-0000-0000-0000E8E30000}"/>
    <cellStyle name="Output 7" xfId="9899" xr:uid="{00000000-0005-0000-0000-0000E9E30000}"/>
    <cellStyle name="Output 7 2" xfId="57737" xr:uid="{00000000-0005-0000-0000-0000EAE30000}"/>
    <cellStyle name="Output 8" xfId="9900" xr:uid="{00000000-0005-0000-0000-0000EBE30000}"/>
    <cellStyle name="Output 9" xfId="9901" xr:uid="{00000000-0005-0000-0000-0000ECE30000}"/>
    <cellStyle name="OUTPUT AMOUNTS" xfId="6256" xr:uid="{00000000-0005-0000-0000-0000EDE30000}"/>
    <cellStyle name="OUTPUT AMOUNTS 10" xfId="60531" xr:uid="{00000000-0005-0000-0000-0000EEE30000}"/>
    <cellStyle name="Output Amounts 11" xfId="60532" xr:uid="{00000000-0005-0000-0000-0000EFE30000}"/>
    <cellStyle name="Output Amounts 2" xfId="6257" xr:uid="{00000000-0005-0000-0000-0000F0E30000}"/>
    <cellStyle name="Output Amounts 2 10" xfId="60533" xr:uid="{00000000-0005-0000-0000-0000F1E30000}"/>
    <cellStyle name="OUTPUT AMOUNTS 2 11" xfId="60534" xr:uid="{00000000-0005-0000-0000-0000F2E30000}"/>
    <cellStyle name="OUTPUT AMOUNTS 2 2" xfId="9902" xr:uid="{00000000-0005-0000-0000-0000F3E30000}"/>
    <cellStyle name="Output Amounts 2 3" xfId="9903" xr:uid="{00000000-0005-0000-0000-0000F4E30000}"/>
    <cellStyle name="Output Amounts 2 3 2" xfId="60535" xr:uid="{00000000-0005-0000-0000-0000F5E30000}"/>
    <cellStyle name="Output Amounts 2 4" xfId="60536" xr:uid="{00000000-0005-0000-0000-0000F6E30000}"/>
    <cellStyle name="Output Amounts 2 5" xfId="60537" xr:uid="{00000000-0005-0000-0000-0000F7E30000}"/>
    <cellStyle name="Output Amounts 2 6" xfId="60538" xr:uid="{00000000-0005-0000-0000-0000F8E30000}"/>
    <cellStyle name="Output Amounts 2 7" xfId="60539" xr:uid="{00000000-0005-0000-0000-0000F9E30000}"/>
    <cellStyle name="Output Amounts 2 8" xfId="60540" xr:uid="{00000000-0005-0000-0000-0000FAE30000}"/>
    <cellStyle name="Output Amounts 2 9" xfId="60541" xr:uid="{00000000-0005-0000-0000-0000FBE30000}"/>
    <cellStyle name="Output Amounts 3" xfId="6258" xr:uid="{00000000-0005-0000-0000-0000FCE30000}"/>
    <cellStyle name="Output Amounts 3 2" xfId="9341" xr:uid="{00000000-0005-0000-0000-0000FDE30000}"/>
    <cellStyle name="Output Amounts 3 3" xfId="60542" xr:uid="{00000000-0005-0000-0000-0000FEE30000}"/>
    <cellStyle name="Output Amounts 3 4" xfId="60543" xr:uid="{00000000-0005-0000-0000-0000FFE30000}"/>
    <cellStyle name="Output Amounts 3 5" xfId="60544" xr:uid="{00000000-0005-0000-0000-000000E40000}"/>
    <cellStyle name="Output Amounts 3 6" xfId="60545" xr:uid="{00000000-0005-0000-0000-000001E40000}"/>
    <cellStyle name="Output Amounts 3 7" xfId="60546" xr:uid="{00000000-0005-0000-0000-000002E40000}"/>
    <cellStyle name="Output Amounts 3 8" xfId="60547" xr:uid="{00000000-0005-0000-0000-000003E40000}"/>
    <cellStyle name="Output Amounts 3 9" xfId="60548" xr:uid="{00000000-0005-0000-0000-000004E40000}"/>
    <cellStyle name="Output Amounts 4" xfId="6259" xr:uid="{00000000-0005-0000-0000-000005E40000}"/>
    <cellStyle name="OUTPUT AMOUNTS 5" xfId="9342" xr:uid="{00000000-0005-0000-0000-000006E40000}"/>
    <cellStyle name="OUTPUT AMOUNTS 6" xfId="57738" xr:uid="{00000000-0005-0000-0000-000007E40000}"/>
    <cellStyle name="OUTPUT AMOUNTS 7" xfId="57739" xr:uid="{00000000-0005-0000-0000-000008E40000}"/>
    <cellStyle name="OUTPUT AMOUNTS 8" xfId="57740" xr:uid="{00000000-0005-0000-0000-000009E40000}"/>
    <cellStyle name="OUTPUT AMOUNTS 9" xfId="60549" xr:uid="{00000000-0005-0000-0000-00000AE40000}"/>
    <cellStyle name="Output Amounts_d1" xfId="6260" xr:uid="{00000000-0005-0000-0000-00000BE40000}"/>
    <cellStyle name="OUTPUT COLUMN HEADINGS" xfId="6261" xr:uid="{00000000-0005-0000-0000-00000CE40000}"/>
    <cellStyle name="Output Column Headings 10" xfId="57741" xr:uid="{00000000-0005-0000-0000-00000DE40000}"/>
    <cellStyle name="OUTPUT COLUMN HEADINGS 10 2" xfId="60550" xr:uid="{00000000-0005-0000-0000-00000EE40000}"/>
    <cellStyle name="OUTPUT COLUMN HEADINGS 10 3" xfId="60551" xr:uid="{00000000-0005-0000-0000-00000FE40000}"/>
    <cellStyle name="Output Column Headings 11" xfId="60552" xr:uid="{00000000-0005-0000-0000-000010E40000}"/>
    <cellStyle name="Output Column Headings 2" xfId="6262" xr:uid="{00000000-0005-0000-0000-000011E40000}"/>
    <cellStyle name="Output Column Headings 2 2" xfId="6263" xr:uid="{00000000-0005-0000-0000-000012E40000}"/>
    <cellStyle name="OUTPUT COLUMN HEADINGS 2 2 2" xfId="60553" xr:uid="{00000000-0005-0000-0000-000013E40000}"/>
    <cellStyle name="Output Column Headings 2 2 3" xfId="60554" xr:uid="{00000000-0005-0000-0000-000014E40000}"/>
    <cellStyle name="Output Column Headings 2 2 4" xfId="60555" xr:uid="{00000000-0005-0000-0000-000015E40000}"/>
    <cellStyle name="Output Column Headings 2 2 5" xfId="60556" xr:uid="{00000000-0005-0000-0000-000016E40000}"/>
    <cellStyle name="Output Column Headings 2 2 6" xfId="60557" xr:uid="{00000000-0005-0000-0000-000017E40000}"/>
    <cellStyle name="Output Column Headings 2 2 7" xfId="60558" xr:uid="{00000000-0005-0000-0000-000018E40000}"/>
    <cellStyle name="OUTPUT COLUMN HEADINGS 2 3" xfId="9904" xr:uid="{00000000-0005-0000-0000-000019E40000}"/>
    <cellStyle name="OUTPUT COLUMN HEADINGS 2 3 2" xfId="60559" xr:uid="{00000000-0005-0000-0000-00001AE40000}"/>
    <cellStyle name="Output Column Headings 2 4" xfId="60560" xr:uid="{00000000-0005-0000-0000-00001BE40000}"/>
    <cellStyle name="Output Column Headings 2 5" xfId="60561" xr:uid="{00000000-0005-0000-0000-00001CE40000}"/>
    <cellStyle name="Output Column Headings 2 6" xfId="60562" xr:uid="{00000000-0005-0000-0000-00001DE40000}"/>
    <cellStyle name="Output Column Headings 3" xfId="6264" xr:uid="{00000000-0005-0000-0000-00001EE40000}"/>
    <cellStyle name="Output Column Headings 3 2" xfId="9343" xr:uid="{00000000-0005-0000-0000-00001FE40000}"/>
    <cellStyle name="Output Column Headings 4" xfId="6265" xr:uid="{00000000-0005-0000-0000-000020E40000}"/>
    <cellStyle name="Output Column Headings 4 2" xfId="60563" xr:uid="{00000000-0005-0000-0000-000021E40000}"/>
    <cellStyle name="OUTPUT COLUMN HEADINGS 5" xfId="9344" xr:uid="{00000000-0005-0000-0000-000022E40000}"/>
    <cellStyle name="Output Column Headings 6" xfId="9905" xr:uid="{00000000-0005-0000-0000-000023E40000}"/>
    <cellStyle name="Output Column Headings 7" xfId="9906" xr:uid="{00000000-0005-0000-0000-000024E40000}"/>
    <cellStyle name="Output Column Headings 8" xfId="9907" xr:uid="{00000000-0005-0000-0000-000025E40000}"/>
    <cellStyle name="Output Column Headings 9" xfId="9908" xr:uid="{00000000-0005-0000-0000-000026E40000}"/>
    <cellStyle name="Output Column Headings_d1" xfId="6266" xr:uid="{00000000-0005-0000-0000-000027E40000}"/>
    <cellStyle name="OUTPUT LINE ITEMS" xfId="6267" xr:uid="{00000000-0005-0000-0000-000028E40000}"/>
    <cellStyle name="Output Line Items 10" xfId="57742" xr:uid="{00000000-0005-0000-0000-000029E40000}"/>
    <cellStyle name="OUTPUT LINE ITEMS 10 2" xfId="60564" xr:uid="{00000000-0005-0000-0000-00002AE40000}"/>
    <cellStyle name="OUTPUT LINE ITEMS 10 3" xfId="60565" xr:uid="{00000000-0005-0000-0000-00002BE40000}"/>
    <cellStyle name="Output Line Items 11" xfId="60566" xr:uid="{00000000-0005-0000-0000-00002CE40000}"/>
    <cellStyle name="Output Line Items 2" xfId="6268" xr:uid="{00000000-0005-0000-0000-00002DE40000}"/>
    <cellStyle name="Output Line Items 2 2" xfId="6269" xr:uid="{00000000-0005-0000-0000-00002EE40000}"/>
    <cellStyle name="Output Line Items 2 2 2" xfId="57743" xr:uid="{00000000-0005-0000-0000-00002FE40000}"/>
    <cellStyle name="Output Line Items 2 2 3" xfId="60567" xr:uid="{00000000-0005-0000-0000-000030E40000}"/>
    <cellStyle name="Output Line Items 2 3" xfId="6270" xr:uid="{00000000-0005-0000-0000-000031E40000}"/>
    <cellStyle name="OUTPUT LINE ITEMS 2 3 2" xfId="60568" xr:uid="{00000000-0005-0000-0000-000032E40000}"/>
    <cellStyle name="Output Line Items 2 3 3" xfId="60569" xr:uid="{00000000-0005-0000-0000-000033E40000}"/>
    <cellStyle name="Output Line Items 2 3 4" xfId="60570" xr:uid="{00000000-0005-0000-0000-000034E40000}"/>
    <cellStyle name="Output Line Items 2 3 5" xfId="60571" xr:uid="{00000000-0005-0000-0000-000035E40000}"/>
    <cellStyle name="Output Line Items 2 3 6" xfId="60572" xr:uid="{00000000-0005-0000-0000-000036E40000}"/>
    <cellStyle name="Output Line Items 2 3 7" xfId="60573" xr:uid="{00000000-0005-0000-0000-000037E40000}"/>
    <cellStyle name="OUTPUT LINE ITEMS 2 4" xfId="9909" xr:uid="{00000000-0005-0000-0000-000038E40000}"/>
    <cellStyle name="Output Line Items 2 5" xfId="60574" xr:uid="{00000000-0005-0000-0000-000039E40000}"/>
    <cellStyle name="Output Line Items 2 6" xfId="60575" xr:uid="{00000000-0005-0000-0000-00003AE40000}"/>
    <cellStyle name="Output Line Items 2 7" xfId="60576" xr:uid="{00000000-0005-0000-0000-00003BE40000}"/>
    <cellStyle name="Output Line Items 3" xfId="6271" xr:uid="{00000000-0005-0000-0000-00003CE40000}"/>
    <cellStyle name="Output Line Items 3 2" xfId="9345" xr:uid="{00000000-0005-0000-0000-00003DE40000}"/>
    <cellStyle name="Output Line Items 4" xfId="6272" xr:uid="{00000000-0005-0000-0000-00003EE40000}"/>
    <cellStyle name="Output Line Items 4 2" xfId="57744" xr:uid="{00000000-0005-0000-0000-00003FE40000}"/>
    <cellStyle name="OUTPUT LINE ITEMS 5" xfId="9346" xr:uid="{00000000-0005-0000-0000-000040E40000}"/>
    <cellStyle name="Output Line Items 6" xfId="9910" xr:uid="{00000000-0005-0000-0000-000041E40000}"/>
    <cellStyle name="Output Line Items 7" xfId="9911" xr:uid="{00000000-0005-0000-0000-000042E40000}"/>
    <cellStyle name="Output Line Items 8" xfId="9912" xr:uid="{00000000-0005-0000-0000-000043E40000}"/>
    <cellStyle name="Output Line Items 9" xfId="9913" xr:uid="{00000000-0005-0000-0000-000044E40000}"/>
    <cellStyle name="Output Line Items_d1" xfId="6273" xr:uid="{00000000-0005-0000-0000-000045E40000}"/>
    <cellStyle name="OUTPUT REPORT HEADING" xfId="6274" xr:uid="{00000000-0005-0000-0000-000046E40000}"/>
    <cellStyle name="Output Report Heading 10" xfId="57745" xr:uid="{00000000-0005-0000-0000-000047E40000}"/>
    <cellStyle name="OUTPUT REPORT HEADING 10 2" xfId="60577" xr:uid="{00000000-0005-0000-0000-000048E40000}"/>
    <cellStyle name="OUTPUT REPORT HEADING 10 3" xfId="60578" xr:uid="{00000000-0005-0000-0000-000049E40000}"/>
    <cellStyle name="Output Report Heading 11" xfId="60579" xr:uid="{00000000-0005-0000-0000-00004AE40000}"/>
    <cellStyle name="Output Report Heading 2" xfId="6275" xr:uid="{00000000-0005-0000-0000-00004BE40000}"/>
    <cellStyle name="Output Report Heading 2 2" xfId="6276" xr:uid="{00000000-0005-0000-0000-00004CE40000}"/>
    <cellStyle name="OUTPUT REPORT HEADING 2 2 2" xfId="60580" xr:uid="{00000000-0005-0000-0000-00004DE40000}"/>
    <cellStyle name="Output Report Heading 2 2 3" xfId="60581" xr:uid="{00000000-0005-0000-0000-00004EE40000}"/>
    <cellStyle name="Output Report Heading 2 2 4" xfId="60582" xr:uid="{00000000-0005-0000-0000-00004FE40000}"/>
    <cellStyle name="Output Report Heading 2 2 5" xfId="60583" xr:uid="{00000000-0005-0000-0000-000050E40000}"/>
    <cellStyle name="Output Report Heading 2 2 6" xfId="60584" xr:uid="{00000000-0005-0000-0000-000051E40000}"/>
    <cellStyle name="Output Report Heading 2 2 7" xfId="60585" xr:uid="{00000000-0005-0000-0000-000052E40000}"/>
    <cellStyle name="OUTPUT REPORT HEADING 2 3" xfId="9914" xr:uid="{00000000-0005-0000-0000-000053E40000}"/>
    <cellStyle name="OUTPUT REPORT HEADING 2 3 2" xfId="60586" xr:uid="{00000000-0005-0000-0000-000054E40000}"/>
    <cellStyle name="Output Report Heading 2 4" xfId="60587" xr:uid="{00000000-0005-0000-0000-000055E40000}"/>
    <cellStyle name="Output Report Heading 2 5" xfId="60588" xr:uid="{00000000-0005-0000-0000-000056E40000}"/>
    <cellStyle name="Output Report Heading 2 6" xfId="60589" xr:uid="{00000000-0005-0000-0000-000057E40000}"/>
    <cellStyle name="Output Report Heading 3" xfId="6277" xr:uid="{00000000-0005-0000-0000-000058E40000}"/>
    <cellStyle name="Output Report Heading 3 2" xfId="9347" xr:uid="{00000000-0005-0000-0000-000059E40000}"/>
    <cellStyle name="Output Report Heading 4" xfId="6278" xr:uid="{00000000-0005-0000-0000-00005AE40000}"/>
    <cellStyle name="Output Report Heading 4 2" xfId="60590" xr:uid="{00000000-0005-0000-0000-00005BE40000}"/>
    <cellStyle name="OUTPUT REPORT HEADING 5" xfId="9348" xr:uid="{00000000-0005-0000-0000-00005CE40000}"/>
    <cellStyle name="Output Report Heading 6" xfId="9915" xr:uid="{00000000-0005-0000-0000-00005DE40000}"/>
    <cellStyle name="Output Report Heading 7" xfId="9916" xr:uid="{00000000-0005-0000-0000-00005EE40000}"/>
    <cellStyle name="Output Report Heading 8" xfId="9917" xr:uid="{00000000-0005-0000-0000-00005FE40000}"/>
    <cellStyle name="Output Report Heading 9" xfId="9918" xr:uid="{00000000-0005-0000-0000-000060E40000}"/>
    <cellStyle name="Output Report Heading_d1" xfId="6279" xr:uid="{00000000-0005-0000-0000-000061E40000}"/>
    <cellStyle name="OUTPUT REPORT TITLE" xfId="6280" xr:uid="{00000000-0005-0000-0000-000062E40000}"/>
    <cellStyle name="Output Report Title 10" xfId="57746" xr:uid="{00000000-0005-0000-0000-000063E40000}"/>
    <cellStyle name="OUTPUT REPORT TITLE 10 2" xfId="60591" xr:uid="{00000000-0005-0000-0000-000064E40000}"/>
    <cellStyle name="OUTPUT REPORT TITLE 10 3" xfId="60592" xr:uid="{00000000-0005-0000-0000-000065E40000}"/>
    <cellStyle name="OUTPUT REPORT TITLE 11" xfId="60593" xr:uid="{00000000-0005-0000-0000-000066E40000}"/>
    <cellStyle name="Output Report Title 12" xfId="60594" xr:uid="{00000000-0005-0000-0000-000067E40000}"/>
    <cellStyle name="Output Report Title 2" xfId="6281" xr:uid="{00000000-0005-0000-0000-000068E40000}"/>
    <cellStyle name="Output Report Title 2 2" xfId="6282" xr:uid="{00000000-0005-0000-0000-000069E40000}"/>
    <cellStyle name="OUTPUT REPORT TITLE 2 2 2" xfId="60595" xr:uid="{00000000-0005-0000-0000-00006AE40000}"/>
    <cellStyle name="Output Report Title 2 2 3" xfId="60596" xr:uid="{00000000-0005-0000-0000-00006BE40000}"/>
    <cellStyle name="Output Report Title 2 2 4" xfId="60597" xr:uid="{00000000-0005-0000-0000-00006CE40000}"/>
    <cellStyle name="Output Report Title 2 2 5" xfId="60598" xr:uid="{00000000-0005-0000-0000-00006DE40000}"/>
    <cellStyle name="Output Report Title 2 2 6" xfId="60599" xr:uid="{00000000-0005-0000-0000-00006EE40000}"/>
    <cellStyle name="Output Report Title 2 2 7" xfId="60600" xr:uid="{00000000-0005-0000-0000-00006FE40000}"/>
    <cellStyle name="OUTPUT REPORT TITLE 2 3" xfId="9919" xr:uid="{00000000-0005-0000-0000-000070E40000}"/>
    <cellStyle name="OUTPUT REPORT TITLE 2 3 2" xfId="60601" xr:uid="{00000000-0005-0000-0000-000071E40000}"/>
    <cellStyle name="Output Report Title 2 4" xfId="60602" xr:uid="{00000000-0005-0000-0000-000072E40000}"/>
    <cellStyle name="Output Report Title 2 5" xfId="60603" xr:uid="{00000000-0005-0000-0000-000073E40000}"/>
    <cellStyle name="Output Report Title 2 6" xfId="60604" xr:uid="{00000000-0005-0000-0000-000074E40000}"/>
    <cellStyle name="Output Report Title 3" xfId="6283" xr:uid="{00000000-0005-0000-0000-000075E40000}"/>
    <cellStyle name="Output Report Title 3 2" xfId="9349" xr:uid="{00000000-0005-0000-0000-000076E40000}"/>
    <cellStyle name="Output Report Title 4" xfId="6284" xr:uid="{00000000-0005-0000-0000-000077E40000}"/>
    <cellStyle name="Output Report Title 4 2" xfId="60605" xr:uid="{00000000-0005-0000-0000-000078E40000}"/>
    <cellStyle name="OUTPUT REPORT TITLE 5" xfId="9350" xr:uid="{00000000-0005-0000-0000-000079E40000}"/>
    <cellStyle name="Output Report Title 6" xfId="9920" xr:uid="{00000000-0005-0000-0000-00007AE40000}"/>
    <cellStyle name="Output Report Title 7" xfId="9921" xr:uid="{00000000-0005-0000-0000-00007BE40000}"/>
    <cellStyle name="Output Report Title 8" xfId="9922" xr:uid="{00000000-0005-0000-0000-00007CE40000}"/>
    <cellStyle name="Output Report Title 9" xfId="9923" xr:uid="{00000000-0005-0000-0000-00007DE40000}"/>
    <cellStyle name="Output Report Title_d1" xfId="6285" xr:uid="{00000000-0005-0000-0000-00007EE40000}"/>
    <cellStyle name="Percent" xfId="8669" builtinId="5"/>
    <cellStyle name="Percent 10" xfId="6286" xr:uid="{00000000-0005-0000-0000-000080E40000}"/>
    <cellStyle name="Percent 10 2" xfId="6287" xr:uid="{00000000-0005-0000-0000-000081E40000}"/>
    <cellStyle name="Percent 10 2 2" xfId="60606" xr:uid="{00000000-0005-0000-0000-000082E40000}"/>
    <cellStyle name="Percent 10 2 3" xfId="60607" xr:uid="{00000000-0005-0000-0000-000083E40000}"/>
    <cellStyle name="Percent 10 3" xfId="60608" xr:uid="{00000000-0005-0000-0000-000084E40000}"/>
    <cellStyle name="Percent 10 3 2" xfId="60609" xr:uid="{00000000-0005-0000-0000-000085E40000}"/>
    <cellStyle name="Percent 10 4" xfId="60610" xr:uid="{00000000-0005-0000-0000-000086E40000}"/>
    <cellStyle name="Percent 10 5" xfId="60611" xr:uid="{00000000-0005-0000-0000-000087E40000}"/>
    <cellStyle name="Percent 10 6" xfId="60612" xr:uid="{00000000-0005-0000-0000-000088E40000}"/>
    <cellStyle name="Percent 11" xfId="6288" xr:uid="{00000000-0005-0000-0000-000089E40000}"/>
    <cellStyle name="Percent 11 2" xfId="6289" xr:uid="{00000000-0005-0000-0000-00008AE40000}"/>
    <cellStyle name="Percent 11 3" xfId="6290" xr:uid="{00000000-0005-0000-0000-00008BE40000}"/>
    <cellStyle name="Percent 12" xfId="8779" xr:uid="{00000000-0005-0000-0000-00008CE40000}"/>
    <cellStyle name="Percent 13" xfId="57814" xr:uid="{00000000-0005-0000-0000-00008DE40000}"/>
    <cellStyle name="Percent 13 2" xfId="60613" xr:uid="{00000000-0005-0000-0000-00008EE40000}"/>
    <cellStyle name="Percent 14" xfId="60614" xr:uid="{00000000-0005-0000-0000-00008FE40000}"/>
    <cellStyle name="Percent 15" xfId="10005" xr:uid="{00000000-0005-0000-0000-000090E40000}"/>
    <cellStyle name="Percent 16" xfId="57747" xr:uid="{00000000-0005-0000-0000-000091E40000}"/>
    <cellStyle name="Percent 17" xfId="60615" xr:uid="{00000000-0005-0000-0000-000092E40000}"/>
    <cellStyle name="Percent 19" xfId="61984" xr:uid="{00000000-0005-0000-0000-000093E40000}"/>
    <cellStyle name="Percent 2" xfId="6291" xr:uid="{00000000-0005-0000-0000-000094E40000}"/>
    <cellStyle name="Percent 2 2" xfId="6292" xr:uid="{00000000-0005-0000-0000-000095E40000}"/>
    <cellStyle name="Percent 2 2 2" xfId="6293" xr:uid="{00000000-0005-0000-0000-000096E40000}"/>
    <cellStyle name="Percent 2 2 2 2" xfId="6294" xr:uid="{00000000-0005-0000-0000-000097E40000}"/>
    <cellStyle name="Percent 2 2 2 2 2" xfId="6295" xr:uid="{00000000-0005-0000-0000-000098E40000}"/>
    <cellStyle name="Percent 2 2 2 2 2 2" xfId="6296" xr:uid="{00000000-0005-0000-0000-000099E40000}"/>
    <cellStyle name="Percent 2 2 2 2 2 2 2" xfId="6297" xr:uid="{00000000-0005-0000-0000-00009AE40000}"/>
    <cellStyle name="Percent 2 2 2 2 2 3" xfId="6298" xr:uid="{00000000-0005-0000-0000-00009BE40000}"/>
    <cellStyle name="Percent 2 2 2 2 3" xfId="6299" xr:uid="{00000000-0005-0000-0000-00009CE40000}"/>
    <cellStyle name="Percent 2 2 2 2 3 2" xfId="6300" xr:uid="{00000000-0005-0000-0000-00009DE40000}"/>
    <cellStyle name="Percent 2 2 2 2 4" xfId="6301" xr:uid="{00000000-0005-0000-0000-00009EE40000}"/>
    <cellStyle name="Percent 2 2 2 3" xfId="6302" xr:uid="{00000000-0005-0000-0000-00009FE40000}"/>
    <cellStyle name="Percent 2 2 2 3 2" xfId="6303" xr:uid="{00000000-0005-0000-0000-0000A0E40000}"/>
    <cellStyle name="Percent 2 2 2 3 2 2" xfId="6304" xr:uid="{00000000-0005-0000-0000-0000A1E40000}"/>
    <cellStyle name="Percent 2 2 2 3 3" xfId="6305" xr:uid="{00000000-0005-0000-0000-0000A2E40000}"/>
    <cellStyle name="Percent 2 2 2 4" xfId="6306" xr:uid="{00000000-0005-0000-0000-0000A3E40000}"/>
    <cellStyle name="Percent 2 2 2 4 2" xfId="6307" xr:uid="{00000000-0005-0000-0000-0000A4E40000}"/>
    <cellStyle name="Percent 2 2 2 5" xfId="6308" xr:uid="{00000000-0005-0000-0000-0000A5E40000}"/>
    <cellStyle name="Percent 2 2 3" xfId="6309" xr:uid="{00000000-0005-0000-0000-0000A6E40000}"/>
    <cellStyle name="Percent 2 2 3 2" xfId="6310" xr:uid="{00000000-0005-0000-0000-0000A7E40000}"/>
    <cellStyle name="Percent 2 2 3 2 2" xfId="6311" xr:uid="{00000000-0005-0000-0000-0000A8E40000}"/>
    <cellStyle name="Percent 2 2 3 2 2 2" xfId="6312" xr:uid="{00000000-0005-0000-0000-0000A9E40000}"/>
    <cellStyle name="Percent 2 2 3 2 3" xfId="6313" xr:uid="{00000000-0005-0000-0000-0000AAE40000}"/>
    <cellStyle name="Percent 2 2 3 3" xfId="6314" xr:uid="{00000000-0005-0000-0000-0000ABE40000}"/>
    <cellStyle name="Percent 2 2 3 3 2" xfId="6315" xr:uid="{00000000-0005-0000-0000-0000ACE40000}"/>
    <cellStyle name="Percent 2 2 3 4" xfId="6316" xr:uid="{00000000-0005-0000-0000-0000ADE40000}"/>
    <cellStyle name="Percent 2 2 4" xfId="6317" xr:uid="{00000000-0005-0000-0000-0000AEE40000}"/>
    <cellStyle name="Percent 2 2 4 2" xfId="6318" xr:uid="{00000000-0005-0000-0000-0000AFE40000}"/>
    <cellStyle name="Percent 2 2 4 2 2" xfId="6319" xr:uid="{00000000-0005-0000-0000-0000B0E40000}"/>
    <cellStyle name="Percent 2 2 4 3" xfId="6320" xr:uid="{00000000-0005-0000-0000-0000B1E40000}"/>
    <cellStyle name="Percent 2 2 5" xfId="6321" xr:uid="{00000000-0005-0000-0000-0000B2E40000}"/>
    <cellStyle name="Percent 2 2 5 2" xfId="6322" xr:uid="{00000000-0005-0000-0000-0000B3E40000}"/>
    <cellStyle name="Percent 2 2 6" xfId="6323" xr:uid="{00000000-0005-0000-0000-0000B4E40000}"/>
    <cellStyle name="Percent 2 2 7" xfId="6324" xr:uid="{00000000-0005-0000-0000-0000B5E40000}"/>
    <cellStyle name="Percent 2 3" xfId="6325" xr:uid="{00000000-0005-0000-0000-0000B6E40000}"/>
    <cellStyle name="Percent 2 3 2" xfId="6326" xr:uid="{00000000-0005-0000-0000-0000B7E40000}"/>
    <cellStyle name="Percent 2 3 2 2" xfId="6327" xr:uid="{00000000-0005-0000-0000-0000B8E40000}"/>
    <cellStyle name="Percent 2 3 2 2 2" xfId="6328" xr:uid="{00000000-0005-0000-0000-0000B9E40000}"/>
    <cellStyle name="Percent 2 3 2 3" xfId="6329" xr:uid="{00000000-0005-0000-0000-0000BAE40000}"/>
    <cellStyle name="Percent 2 3 2 4" xfId="60616" xr:uid="{00000000-0005-0000-0000-0000BBE40000}"/>
    <cellStyle name="Percent 2 3 3" xfId="6330" xr:uid="{00000000-0005-0000-0000-0000BCE40000}"/>
    <cellStyle name="Percent 2 3 3 2" xfId="6331" xr:uid="{00000000-0005-0000-0000-0000BDE40000}"/>
    <cellStyle name="Percent 2 3 4" xfId="6332" xr:uid="{00000000-0005-0000-0000-0000BEE40000}"/>
    <cellStyle name="Percent 2 3 5" xfId="6333" xr:uid="{00000000-0005-0000-0000-0000BFE40000}"/>
    <cellStyle name="Percent 2 4" xfId="6334" xr:uid="{00000000-0005-0000-0000-0000C0E40000}"/>
    <cellStyle name="Percent 2 4 2" xfId="57748" xr:uid="{00000000-0005-0000-0000-0000C1E40000}"/>
    <cellStyle name="Percent 2 4 2 2" xfId="57749" xr:uid="{00000000-0005-0000-0000-0000C2E40000}"/>
    <cellStyle name="Percent 2 4 3" xfId="57750" xr:uid="{00000000-0005-0000-0000-0000C3E40000}"/>
    <cellStyle name="Percent 2 5" xfId="57751" xr:uid="{00000000-0005-0000-0000-0000C4E40000}"/>
    <cellStyle name="Percent 2 5 2" xfId="57752" xr:uid="{00000000-0005-0000-0000-0000C5E40000}"/>
    <cellStyle name="Percent 2 6" xfId="57753" xr:uid="{00000000-0005-0000-0000-0000C6E40000}"/>
    <cellStyle name="Percent 2 7" xfId="61977" xr:uid="{00000000-0005-0000-0000-0000C7E40000}"/>
    <cellStyle name="Percent 3" xfId="6335" xr:uid="{00000000-0005-0000-0000-0000C8E40000}"/>
    <cellStyle name="Percent 3 10" xfId="6336" xr:uid="{00000000-0005-0000-0000-0000C9E40000}"/>
    <cellStyle name="Percent 3 2" xfId="6337" xr:uid="{00000000-0005-0000-0000-0000CAE40000}"/>
    <cellStyle name="Percent 3 2 2" xfId="6338" xr:uid="{00000000-0005-0000-0000-0000CBE40000}"/>
    <cellStyle name="Percent 3 2 2 2" xfId="6339" xr:uid="{00000000-0005-0000-0000-0000CCE40000}"/>
    <cellStyle name="Percent 3 2 2 2 2" xfId="6340" xr:uid="{00000000-0005-0000-0000-0000CDE40000}"/>
    <cellStyle name="Percent 3 2 2 2 2 2" xfId="6341" xr:uid="{00000000-0005-0000-0000-0000CEE40000}"/>
    <cellStyle name="Percent 3 2 2 2 2 2 2" xfId="6342" xr:uid="{00000000-0005-0000-0000-0000CFE40000}"/>
    <cellStyle name="Percent 3 2 2 2 2 2 2 2" xfId="6343" xr:uid="{00000000-0005-0000-0000-0000D0E40000}"/>
    <cellStyle name="Percent 3 2 2 2 2 2 3" xfId="6344" xr:uid="{00000000-0005-0000-0000-0000D1E40000}"/>
    <cellStyle name="Percent 3 2 2 2 2 3" xfId="6345" xr:uid="{00000000-0005-0000-0000-0000D2E40000}"/>
    <cellStyle name="Percent 3 2 2 2 2 3 2" xfId="6346" xr:uid="{00000000-0005-0000-0000-0000D3E40000}"/>
    <cellStyle name="Percent 3 2 2 2 2 4" xfId="6347" xr:uid="{00000000-0005-0000-0000-0000D4E40000}"/>
    <cellStyle name="Percent 3 2 2 2 3" xfId="6348" xr:uid="{00000000-0005-0000-0000-0000D5E40000}"/>
    <cellStyle name="Percent 3 2 2 2 3 2" xfId="6349" xr:uid="{00000000-0005-0000-0000-0000D6E40000}"/>
    <cellStyle name="Percent 3 2 2 2 3 2 2" xfId="6350" xr:uid="{00000000-0005-0000-0000-0000D7E40000}"/>
    <cellStyle name="Percent 3 2 2 2 3 3" xfId="6351" xr:uid="{00000000-0005-0000-0000-0000D8E40000}"/>
    <cellStyle name="Percent 3 2 2 2 4" xfId="6352" xr:uid="{00000000-0005-0000-0000-0000D9E40000}"/>
    <cellStyle name="Percent 3 2 2 2 4 2" xfId="6353" xr:uid="{00000000-0005-0000-0000-0000DAE40000}"/>
    <cellStyle name="Percent 3 2 2 2 5" xfId="6354" xr:uid="{00000000-0005-0000-0000-0000DBE40000}"/>
    <cellStyle name="Percent 3 2 2 2 6" xfId="60617" xr:uid="{00000000-0005-0000-0000-0000DCE40000}"/>
    <cellStyle name="Percent 3 2 2 3" xfId="6355" xr:uid="{00000000-0005-0000-0000-0000DDE40000}"/>
    <cellStyle name="Percent 3 2 2 3 2" xfId="6356" xr:uid="{00000000-0005-0000-0000-0000DEE40000}"/>
    <cellStyle name="Percent 3 2 2 3 2 2" xfId="6357" xr:uid="{00000000-0005-0000-0000-0000DFE40000}"/>
    <cellStyle name="Percent 3 2 2 3 2 2 2" xfId="6358" xr:uid="{00000000-0005-0000-0000-0000E0E40000}"/>
    <cellStyle name="Percent 3 2 2 3 2 3" xfId="6359" xr:uid="{00000000-0005-0000-0000-0000E1E40000}"/>
    <cellStyle name="Percent 3 2 2 3 3" xfId="6360" xr:uid="{00000000-0005-0000-0000-0000E2E40000}"/>
    <cellStyle name="Percent 3 2 2 3 3 2" xfId="6361" xr:uid="{00000000-0005-0000-0000-0000E3E40000}"/>
    <cellStyle name="Percent 3 2 2 3 4" xfId="6362" xr:uid="{00000000-0005-0000-0000-0000E4E40000}"/>
    <cellStyle name="Percent 3 2 2 4" xfId="6363" xr:uid="{00000000-0005-0000-0000-0000E5E40000}"/>
    <cellStyle name="Percent 3 2 2 4 2" xfId="6364" xr:uid="{00000000-0005-0000-0000-0000E6E40000}"/>
    <cellStyle name="Percent 3 2 2 4 2 2" xfId="6365" xr:uid="{00000000-0005-0000-0000-0000E7E40000}"/>
    <cellStyle name="Percent 3 2 2 4 3" xfId="6366" xr:uid="{00000000-0005-0000-0000-0000E8E40000}"/>
    <cellStyle name="Percent 3 2 2 5" xfId="6367" xr:uid="{00000000-0005-0000-0000-0000E9E40000}"/>
    <cellStyle name="Percent 3 2 2 5 2" xfId="6368" xr:uid="{00000000-0005-0000-0000-0000EAE40000}"/>
    <cellStyle name="Percent 3 2 2 6" xfId="6369" xr:uid="{00000000-0005-0000-0000-0000EBE40000}"/>
    <cellStyle name="Percent 3 2 2 7" xfId="60618" xr:uid="{00000000-0005-0000-0000-0000ECE40000}"/>
    <cellStyle name="Percent 3 2 3" xfId="6370" xr:uid="{00000000-0005-0000-0000-0000EDE40000}"/>
    <cellStyle name="Percent 3 2 3 2" xfId="6371" xr:uid="{00000000-0005-0000-0000-0000EEE40000}"/>
    <cellStyle name="Percent 3 2 3 2 2" xfId="6372" xr:uid="{00000000-0005-0000-0000-0000EFE40000}"/>
    <cellStyle name="Percent 3 2 3 2 2 2" xfId="6373" xr:uid="{00000000-0005-0000-0000-0000F0E40000}"/>
    <cellStyle name="Percent 3 2 3 2 2 2 2" xfId="6374" xr:uid="{00000000-0005-0000-0000-0000F1E40000}"/>
    <cellStyle name="Percent 3 2 3 2 2 3" xfId="6375" xr:uid="{00000000-0005-0000-0000-0000F2E40000}"/>
    <cellStyle name="Percent 3 2 3 2 3" xfId="6376" xr:uid="{00000000-0005-0000-0000-0000F3E40000}"/>
    <cellStyle name="Percent 3 2 3 2 3 2" xfId="6377" xr:uid="{00000000-0005-0000-0000-0000F4E40000}"/>
    <cellStyle name="Percent 3 2 3 2 4" xfId="6378" xr:uid="{00000000-0005-0000-0000-0000F5E40000}"/>
    <cellStyle name="Percent 3 2 3 3" xfId="6379" xr:uid="{00000000-0005-0000-0000-0000F6E40000}"/>
    <cellStyle name="Percent 3 2 3 3 2" xfId="6380" xr:uid="{00000000-0005-0000-0000-0000F7E40000}"/>
    <cellStyle name="Percent 3 2 3 3 2 2" xfId="6381" xr:uid="{00000000-0005-0000-0000-0000F8E40000}"/>
    <cellStyle name="Percent 3 2 3 3 3" xfId="6382" xr:uid="{00000000-0005-0000-0000-0000F9E40000}"/>
    <cellStyle name="Percent 3 2 3 4" xfId="6383" xr:uid="{00000000-0005-0000-0000-0000FAE40000}"/>
    <cellStyle name="Percent 3 2 3 4 2" xfId="6384" xr:uid="{00000000-0005-0000-0000-0000FBE40000}"/>
    <cellStyle name="Percent 3 2 3 5" xfId="6385" xr:uid="{00000000-0005-0000-0000-0000FCE40000}"/>
    <cellStyle name="Percent 3 2 3 6" xfId="60619" xr:uid="{00000000-0005-0000-0000-0000FDE40000}"/>
    <cellStyle name="Percent 3 2 4" xfId="6386" xr:uid="{00000000-0005-0000-0000-0000FEE40000}"/>
    <cellStyle name="Percent 3 2 4 2" xfId="6387" xr:uid="{00000000-0005-0000-0000-0000FFE40000}"/>
    <cellStyle name="Percent 3 2 4 2 2" xfId="6388" xr:uid="{00000000-0005-0000-0000-000000E50000}"/>
    <cellStyle name="Percent 3 2 4 2 2 2" xfId="6389" xr:uid="{00000000-0005-0000-0000-000001E50000}"/>
    <cellStyle name="Percent 3 2 4 2 2 2 2" xfId="6390" xr:uid="{00000000-0005-0000-0000-000002E50000}"/>
    <cellStyle name="Percent 3 2 4 2 2 3" xfId="6391" xr:uid="{00000000-0005-0000-0000-000003E50000}"/>
    <cellStyle name="Percent 3 2 4 2 3" xfId="6392" xr:uid="{00000000-0005-0000-0000-000004E50000}"/>
    <cellStyle name="Percent 3 2 4 2 3 2" xfId="6393" xr:uid="{00000000-0005-0000-0000-000005E50000}"/>
    <cellStyle name="Percent 3 2 4 2 4" xfId="6394" xr:uid="{00000000-0005-0000-0000-000006E50000}"/>
    <cellStyle name="Percent 3 2 4 3" xfId="6395" xr:uid="{00000000-0005-0000-0000-000007E50000}"/>
    <cellStyle name="Percent 3 2 4 3 2" xfId="6396" xr:uid="{00000000-0005-0000-0000-000008E50000}"/>
    <cellStyle name="Percent 3 2 4 3 2 2" xfId="6397" xr:uid="{00000000-0005-0000-0000-000009E50000}"/>
    <cellStyle name="Percent 3 2 4 3 3" xfId="6398" xr:uid="{00000000-0005-0000-0000-00000AE50000}"/>
    <cellStyle name="Percent 3 2 4 4" xfId="6399" xr:uid="{00000000-0005-0000-0000-00000BE50000}"/>
    <cellStyle name="Percent 3 2 4 4 2" xfId="6400" xr:uid="{00000000-0005-0000-0000-00000CE50000}"/>
    <cellStyle name="Percent 3 2 4 5" xfId="6401" xr:uid="{00000000-0005-0000-0000-00000DE50000}"/>
    <cellStyle name="Percent 3 2 5" xfId="6402" xr:uid="{00000000-0005-0000-0000-00000EE50000}"/>
    <cellStyle name="Percent 3 2 5 2" xfId="6403" xr:uid="{00000000-0005-0000-0000-00000FE50000}"/>
    <cellStyle name="Percent 3 2 5 2 2" xfId="6404" xr:uid="{00000000-0005-0000-0000-000010E50000}"/>
    <cellStyle name="Percent 3 2 5 2 2 2" xfId="6405" xr:uid="{00000000-0005-0000-0000-000011E50000}"/>
    <cellStyle name="Percent 3 2 5 2 3" xfId="6406" xr:uid="{00000000-0005-0000-0000-000012E50000}"/>
    <cellStyle name="Percent 3 2 5 3" xfId="6407" xr:uid="{00000000-0005-0000-0000-000013E50000}"/>
    <cellStyle name="Percent 3 2 5 3 2" xfId="6408" xr:uid="{00000000-0005-0000-0000-000014E50000}"/>
    <cellStyle name="Percent 3 2 5 4" xfId="6409" xr:uid="{00000000-0005-0000-0000-000015E50000}"/>
    <cellStyle name="Percent 3 2 6" xfId="6410" xr:uid="{00000000-0005-0000-0000-000016E50000}"/>
    <cellStyle name="Percent 3 2 6 2" xfId="6411" xr:uid="{00000000-0005-0000-0000-000017E50000}"/>
    <cellStyle name="Percent 3 2 6 2 2" xfId="6412" xr:uid="{00000000-0005-0000-0000-000018E50000}"/>
    <cellStyle name="Percent 3 2 6 3" xfId="6413" xr:uid="{00000000-0005-0000-0000-000019E50000}"/>
    <cellStyle name="Percent 3 2 7" xfId="6414" xr:uid="{00000000-0005-0000-0000-00001AE50000}"/>
    <cellStyle name="Percent 3 2 7 2" xfId="6415" xr:uid="{00000000-0005-0000-0000-00001BE50000}"/>
    <cellStyle name="Percent 3 2 8" xfId="6416" xr:uid="{00000000-0005-0000-0000-00001CE50000}"/>
    <cellStyle name="Percent 3 2 9" xfId="60620" xr:uid="{00000000-0005-0000-0000-00001DE50000}"/>
    <cellStyle name="Percent 3 3" xfId="6417" xr:uid="{00000000-0005-0000-0000-00001EE50000}"/>
    <cellStyle name="Percent 3 3 2" xfId="6418" xr:uid="{00000000-0005-0000-0000-00001FE50000}"/>
    <cellStyle name="Percent 3 3 2 2" xfId="6419" xr:uid="{00000000-0005-0000-0000-000020E50000}"/>
    <cellStyle name="Percent 3 3 2 2 2" xfId="6420" xr:uid="{00000000-0005-0000-0000-000021E50000}"/>
    <cellStyle name="Percent 3 3 2 2 2 2" xfId="6421" xr:uid="{00000000-0005-0000-0000-000022E50000}"/>
    <cellStyle name="Percent 3 3 2 2 2 2 2" xfId="6422" xr:uid="{00000000-0005-0000-0000-000023E50000}"/>
    <cellStyle name="Percent 3 3 2 2 2 3" xfId="6423" xr:uid="{00000000-0005-0000-0000-000024E50000}"/>
    <cellStyle name="Percent 3 3 2 2 3" xfId="6424" xr:uid="{00000000-0005-0000-0000-000025E50000}"/>
    <cellStyle name="Percent 3 3 2 2 3 2" xfId="6425" xr:uid="{00000000-0005-0000-0000-000026E50000}"/>
    <cellStyle name="Percent 3 3 2 2 4" xfId="6426" xr:uid="{00000000-0005-0000-0000-000027E50000}"/>
    <cellStyle name="Percent 3 3 2 3" xfId="6427" xr:uid="{00000000-0005-0000-0000-000028E50000}"/>
    <cellStyle name="Percent 3 3 2 3 2" xfId="6428" xr:uid="{00000000-0005-0000-0000-000029E50000}"/>
    <cellStyle name="Percent 3 3 2 3 2 2" xfId="6429" xr:uid="{00000000-0005-0000-0000-00002AE50000}"/>
    <cellStyle name="Percent 3 3 2 3 3" xfId="6430" xr:uid="{00000000-0005-0000-0000-00002BE50000}"/>
    <cellStyle name="Percent 3 3 2 4" xfId="6431" xr:uid="{00000000-0005-0000-0000-00002CE50000}"/>
    <cellStyle name="Percent 3 3 2 4 2" xfId="6432" xr:uid="{00000000-0005-0000-0000-00002DE50000}"/>
    <cellStyle name="Percent 3 3 2 5" xfId="6433" xr:uid="{00000000-0005-0000-0000-00002EE50000}"/>
    <cellStyle name="Percent 3 3 3" xfId="6434" xr:uid="{00000000-0005-0000-0000-00002FE50000}"/>
    <cellStyle name="Percent 3 3 3 2" xfId="6435" xr:uid="{00000000-0005-0000-0000-000030E50000}"/>
    <cellStyle name="Percent 3 3 3 2 2" xfId="6436" xr:uid="{00000000-0005-0000-0000-000031E50000}"/>
    <cellStyle name="Percent 3 3 3 2 2 2" xfId="6437" xr:uid="{00000000-0005-0000-0000-000032E50000}"/>
    <cellStyle name="Percent 3 3 3 2 3" xfId="6438" xr:uid="{00000000-0005-0000-0000-000033E50000}"/>
    <cellStyle name="Percent 3 3 3 3" xfId="6439" xr:uid="{00000000-0005-0000-0000-000034E50000}"/>
    <cellStyle name="Percent 3 3 3 3 2" xfId="6440" xr:uid="{00000000-0005-0000-0000-000035E50000}"/>
    <cellStyle name="Percent 3 3 3 4" xfId="6441" xr:uid="{00000000-0005-0000-0000-000036E50000}"/>
    <cellStyle name="Percent 3 3 4" xfId="6442" xr:uid="{00000000-0005-0000-0000-000037E50000}"/>
    <cellStyle name="Percent 3 3 4 2" xfId="6443" xr:uid="{00000000-0005-0000-0000-000038E50000}"/>
    <cellStyle name="Percent 3 3 4 2 2" xfId="6444" xr:uid="{00000000-0005-0000-0000-000039E50000}"/>
    <cellStyle name="Percent 3 3 4 3" xfId="6445" xr:uid="{00000000-0005-0000-0000-00003AE50000}"/>
    <cellStyle name="Percent 3 3 5" xfId="6446" xr:uid="{00000000-0005-0000-0000-00003BE50000}"/>
    <cellStyle name="Percent 3 3 5 2" xfId="6447" xr:uid="{00000000-0005-0000-0000-00003CE50000}"/>
    <cellStyle name="Percent 3 3 6" xfId="6448" xr:uid="{00000000-0005-0000-0000-00003DE50000}"/>
    <cellStyle name="Percent 3 3 7" xfId="60621" xr:uid="{00000000-0005-0000-0000-00003EE50000}"/>
    <cellStyle name="Percent 3 4" xfId="6449" xr:uid="{00000000-0005-0000-0000-00003FE50000}"/>
    <cellStyle name="Percent 3 4 2" xfId="6450" xr:uid="{00000000-0005-0000-0000-000040E50000}"/>
    <cellStyle name="Percent 3 4 2 2" xfId="6451" xr:uid="{00000000-0005-0000-0000-000041E50000}"/>
    <cellStyle name="Percent 3 4 2 2 2" xfId="6452" xr:uid="{00000000-0005-0000-0000-000042E50000}"/>
    <cellStyle name="Percent 3 4 2 2 2 2" xfId="6453" xr:uid="{00000000-0005-0000-0000-000043E50000}"/>
    <cellStyle name="Percent 3 4 2 2 3" xfId="6454" xr:uid="{00000000-0005-0000-0000-000044E50000}"/>
    <cellStyle name="Percent 3 4 2 3" xfId="6455" xr:uid="{00000000-0005-0000-0000-000045E50000}"/>
    <cellStyle name="Percent 3 4 2 3 2" xfId="6456" xr:uid="{00000000-0005-0000-0000-000046E50000}"/>
    <cellStyle name="Percent 3 4 2 4" xfId="6457" xr:uid="{00000000-0005-0000-0000-000047E50000}"/>
    <cellStyle name="Percent 3 4 2 5" xfId="60622" xr:uid="{00000000-0005-0000-0000-000048E50000}"/>
    <cellStyle name="Percent 3 4 3" xfId="6458" xr:uid="{00000000-0005-0000-0000-000049E50000}"/>
    <cellStyle name="Percent 3 4 3 2" xfId="6459" xr:uid="{00000000-0005-0000-0000-00004AE50000}"/>
    <cellStyle name="Percent 3 4 3 2 2" xfId="6460" xr:uid="{00000000-0005-0000-0000-00004BE50000}"/>
    <cellStyle name="Percent 3 4 3 3" xfId="6461" xr:uid="{00000000-0005-0000-0000-00004CE50000}"/>
    <cellStyle name="Percent 3 4 4" xfId="6462" xr:uid="{00000000-0005-0000-0000-00004DE50000}"/>
    <cellStyle name="Percent 3 4 4 2" xfId="6463" xr:uid="{00000000-0005-0000-0000-00004EE50000}"/>
    <cellStyle name="Percent 3 4 5" xfId="6464" xr:uid="{00000000-0005-0000-0000-00004FE50000}"/>
    <cellStyle name="Percent 3 4 6" xfId="60623" xr:uid="{00000000-0005-0000-0000-000050E50000}"/>
    <cellStyle name="Percent 3 5" xfId="6465" xr:uid="{00000000-0005-0000-0000-000051E50000}"/>
    <cellStyle name="Percent 3 5 2" xfId="6466" xr:uid="{00000000-0005-0000-0000-000052E50000}"/>
    <cellStyle name="Percent 3 5 2 2" xfId="6467" xr:uid="{00000000-0005-0000-0000-000053E50000}"/>
    <cellStyle name="Percent 3 5 2 2 2" xfId="6468" xr:uid="{00000000-0005-0000-0000-000054E50000}"/>
    <cellStyle name="Percent 3 5 2 2 2 2" xfId="6469" xr:uid="{00000000-0005-0000-0000-000055E50000}"/>
    <cellStyle name="Percent 3 5 2 2 3" xfId="6470" xr:uid="{00000000-0005-0000-0000-000056E50000}"/>
    <cellStyle name="Percent 3 5 2 3" xfId="6471" xr:uid="{00000000-0005-0000-0000-000057E50000}"/>
    <cellStyle name="Percent 3 5 2 3 2" xfId="6472" xr:uid="{00000000-0005-0000-0000-000058E50000}"/>
    <cellStyle name="Percent 3 5 2 4" xfId="6473" xr:uid="{00000000-0005-0000-0000-000059E50000}"/>
    <cellStyle name="Percent 3 5 2 5" xfId="57754" xr:uid="{00000000-0005-0000-0000-00005AE50000}"/>
    <cellStyle name="Percent 3 5 3" xfId="6474" xr:uid="{00000000-0005-0000-0000-00005BE50000}"/>
    <cellStyle name="Percent 3 5 3 2" xfId="6475" xr:uid="{00000000-0005-0000-0000-00005CE50000}"/>
    <cellStyle name="Percent 3 5 3 2 2" xfId="6476" xr:uid="{00000000-0005-0000-0000-00005DE50000}"/>
    <cellStyle name="Percent 3 5 3 3" xfId="6477" xr:uid="{00000000-0005-0000-0000-00005EE50000}"/>
    <cellStyle name="Percent 3 5 3 3 2" xfId="57755" xr:uid="{00000000-0005-0000-0000-00005FE50000}"/>
    <cellStyle name="Percent 3 5 3 4" xfId="57756" xr:uid="{00000000-0005-0000-0000-000060E50000}"/>
    <cellStyle name="Percent 3 5 3 5" xfId="57757" xr:uid="{00000000-0005-0000-0000-000061E50000}"/>
    <cellStyle name="Percent 3 5 4" xfId="6478" xr:uid="{00000000-0005-0000-0000-000062E50000}"/>
    <cellStyle name="Percent 3 5 4 2" xfId="6479" xr:uid="{00000000-0005-0000-0000-000063E50000}"/>
    <cellStyle name="Percent 3 5 4 2 2" xfId="57758" xr:uid="{00000000-0005-0000-0000-000064E50000}"/>
    <cellStyle name="Percent 3 5 4 2 2 2" xfId="57759" xr:uid="{00000000-0005-0000-0000-000065E50000}"/>
    <cellStyle name="Percent 3 5 4 2 2 2 2" xfId="57760" xr:uid="{00000000-0005-0000-0000-000066E50000}"/>
    <cellStyle name="Percent 3 5 4 2 2 2 3" xfId="57761" xr:uid="{00000000-0005-0000-0000-000067E50000}"/>
    <cellStyle name="Percent 3 5 4 2 2 2 4" xfId="57762" xr:uid="{00000000-0005-0000-0000-000068E50000}"/>
    <cellStyle name="Percent 3 5 4 2 2 3" xfId="57763" xr:uid="{00000000-0005-0000-0000-000069E50000}"/>
    <cellStyle name="Percent 3 5 4 2 2 3 2" xfId="57764" xr:uid="{00000000-0005-0000-0000-00006AE50000}"/>
    <cellStyle name="Percent 3 5 4 2 2 3 3" xfId="57765" xr:uid="{00000000-0005-0000-0000-00006BE50000}"/>
    <cellStyle name="Percent 3 5 4 2 2 4" xfId="57766" xr:uid="{00000000-0005-0000-0000-00006CE50000}"/>
    <cellStyle name="Percent 3 5 4 2 2 4 2" xfId="57767" xr:uid="{00000000-0005-0000-0000-00006DE50000}"/>
    <cellStyle name="Percent 3 5 4 2 2 5" xfId="57768" xr:uid="{00000000-0005-0000-0000-00006EE50000}"/>
    <cellStyle name="Percent 3 5 4 2 2 6" xfId="57769" xr:uid="{00000000-0005-0000-0000-00006FE50000}"/>
    <cellStyle name="Percent 3 5 4 2 3" xfId="57770" xr:uid="{00000000-0005-0000-0000-000070E50000}"/>
    <cellStyle name="Percent 3 5 4 2 3 2" xfId="57771" xr:uid="{00000000-0005-0000-0000-000071E50000}"/>
    <cellStyle name="Percent 3 5 4 2 4" xfId="57772" xr:uid="{00000000-0005-0000-0000-000072E50000}"/>
    <cellStyle name="Percent 3 5 4 2 5" xfId="57773" xr:uid="{00000000-0005-0000-0000-000073E50000}"/>
    <cellStyle name="Percent 3 5 4 3" xfId="57774" xr:uid="{00000000-0005-0000-0000-000074E50000}"/>
    <cellStyle name="Percent 3 5 4 3 2" xfId="57775" xr:uid="{00000000-0005-0000-0000-000075E50000}"/>
    <cellStyle name="Percent 3 5 4 4" xfId="57776" xr:uid="{00000000-0005-0000-0000-000076E50000}"/>
    <cellStyle name="Percent 3 5 4 4 2" xfId="57777" xr:uid="{00000000-0005-0000-0000-000077E50000}"/>
    <cellStyle name="Percent 3 5 4 5" xfId="57778" xr:uid="{00000000-0005-0000-0000-000078E50000}"/>
    <cellStyle name="Percent 3 5 4 6" xfId="57779" xr:uid="{00000000-0005-0000-0000-000079E50000}"/>
    <cellStyle name="Percent 3 5 5" xfId="6480" xr:uid="{00000000-0005-0000-0000-00007AE50000}"/>
    <cellStyle name="Percent 3 5 5 2" xfId="57780" xr:uid="{00000000-0005-0000-0000-00007BE50000}"/>
    <cellStyle name="Percent 3 5 6" xfId="57781" xr:uid="{00000000-0005-0000-0000-00007CE50000}"/>
    <cellStyle name="Percent 3 5 6 2" xfId="57782" xr:uid="{00000000-0005-0000-0000-00007DE50000}"/>
    <cellStyle name="Percent 3 5 7" xfId="57783" xr:uid="{00000000-0005-0000-0000-00007EE50000}"/>
    <cellStyle name="Percent 3 5 8" xfId="57784" xr:uid="{00000000-0005-0000-0000-00007FE50000}"/>
    <cellStyle name="Percent 3 6" xfId="6481" xr:uid="{00000000-0005-0000-0000-000080E50000}"/>
    <cellStyle name="Percent 3 6 2" xfId="6482" xr:uid="{00000000-0005-0000-0000-000081E50000}"/>
    <cellStyle name="Percent 3 6 2 2" xfId="6483" xr:uid="{00000000-0005-0000-0000-000082E50000}"/>
    <cellStyle name="Percent 3 6 2 2 2" xfId="6484" xr:uid="{00000000-0005-0000-0000-000083E50000}"/>
    <cellStyle name="Percent 3 6 2 3" xfId="6485" xr:uid="{00000000-0005-0000-0000-000084E50000}"/>
    <cellStyle name="Percent 3 6 3" xfId="6486" xr:uid="{00000000-0005-0000-0000-000085E50000}"/>
    <cellStyle name="Percent 3 6 3 2" xfId="6487" xr:uid="{00000000-0005-0000-0000-000086E50000}"/>
    <cellStyle name="Percent 3 6 4" xfId="6488" xr:uid="{00000000-0005-0000-0000-000087E50000}"/>
    <cellStyle name="Percent 3 7" xfId="6489" xr:uid="{00000000-0005-0000-0000-000088E50000}"/>
    <cellStyle name="Percent 3 7 2" xfId="6490" xr:uid="{00000000-0005-0000-0000-000089E50000}"/>
    <cellStyle name="Percent 3 7 2 2" xfId="6491" xr:uid="{00000000-0005-0000-0000-00008AE50000}"/>
    <cellStyle name="Percent 3 7 3" xfId="6492" xr:uid="{00000000-0005-0000-0000-00008BE50000}"/>
    <cellStyle name="Percent 3 8" xfId="6493" xr:uid="{00000000-0005-0000-0000-00008CE50000}"/>
    <cellStyle name="Percent 3 8 2" xfId="6494" xr:uid="{00000000-0005-0000-0000-00008DE50000}"/>
    <cellStyle name="Percent 3 9" xfId="6495" xr:uid="{00000000-0005-0000-0000-00008EE50000}"/>
    <cellStyle name="Percent 4" xfId="6496" xr:uid="{00000000-0005-0000-0000-00008FE50000}"/>
    <cellStyle name="Percent 4 2" xfId="6497" xr:uid="{00000000-0005-0000-0000-000090E50000}"/>
    <cellStyle name="Percent 4 2 2" xfId="6498" xr:uid="{00000000-0005-0000-0000-000091E50000}"/>
    <cellStyle name="Percent 4 2 2 2" xfId="6499" xr:uid="{00000000-0005-0000-0000-000092E50000}"/>
    <cellStyle name="Percent 4 2 2 2 2" xfId="6500" xr:uid="{00000000-0005-0000-0000-000093E50000}"/>
    <cellStyle name="Percent 4 2 2 2 2 2" xfId="6501" xr:uid="{00000000-0005-0000-0000-000094E50000}"/>
    <cellStyle name="Percent 4 2 2 2 3" xfId="6502" xr:uid="{00000000-0005-0000-0000-000095E50000}"/>
    <cellStyle name="Percent 4 2 2 2 4" xfId="60624" xr:uid="{00000000-0005-0000-0000-000096E50000}"/>
    <cellStyle name="Percent 4 2 2 3" xfId="6503" xr:uid="{00000000-0005-0000-0000-000097E50000}"/>
    <cellStyle name="Percent 4 2 2 3 2" xfId="6504" xr:uid="{00000000-0005-0000-0000-000098E50000}"/>
    <cellStyle name="Percent 4 2 2 4" xfId="6505" xr:uid="{00000000-0005-0000-0000-000099E50000}"/>
    <cellStyle name="Percent 4 2 2 5" xfId="60625" xr:uid="{00000000-0005-0000-0000-00009AE50000}"/>
    <cellStyle name="Percent 4 2 3" xfId="6506" xr:uid="{00000000-0005-0000-0000-00009BE50000}"/>
    <cellStyle name="Percent 4 2 3 2" xfId="6507" xr:uid="{00000000-0005-0000-0000-00009CE50000}"/>
    <cellStyle name="Percent 4 2 3 2 2" xfId="6508" xr:uid="{00000000-0005-0000-0000-00009DE50000}"/>
    <cellStyle name="Percent 4 2 3 3" xfId="6509" xr:uid="{00000000-0005-0000-0000-00009EE50000}"/>
    <cellStyle name="Percent 4 2 3 4" xfId="60626" xr:uid="{00000000-0005-0000-0000-00009FE50000}"/>
    <cellStyle name="Percent 4 2 4" xfId="6510" xr:uid="{00000000-0005-0000-0000-0000A0E50000}"/>
    <cellStyle name="Percent 4 2 4 2" xfId="6511" xr:uid="{00000000-0005-0000-0000-0000A1E50000}"/>
    <cellStyle name="Percent 4 2 5" xfId="6512" xr:uid="{00000000-0005-0000-0000-0000A2E50000}"/>
    <cellStyle name="Percent 4 2 6" xfId="60627" xr:uid="{00000000-0005-0000-0000-0000A3E50000}"/>
    <cellStyle name="Percent 4 3" xfId="6513" xr:uid="{00000000-0005-0000-0000-0000A4E50000}"/>
    <cellStyle name="Percent 4 3 2" xfId="6514" xr:uid="{00000000-0005-0000-0000-0000A5E50000}"/>
    <cellStyle name="Percent 4 3 2 2" xfId="6515" xr:uid="{00000000-0005-0000-0000-0000A6E50000}"/>
    <cellStyle name="Percent 4 3 2 2 2" xfId="6516" xr:uid="{00000000-0005-0000-0000-0000A7E50000}"/>
    <cellStyle name="Percent 4 3 2 3" xfId="6517" xr:uid="{00000000-0005-0000-0000-0000A8E50000}"/>
    <cellStyle name="Percent 4 3 3" xfId="6518" xr:uid="{00000000-0005-0000-0000-0000A9E50000}"/>
    <cellStyle name="Percent 4 3 3 2" xfId="6519" xr:uid="{00000000-0005-0000-0000-0000AAE50000}"/>
    <cellStyle name="Percent 4 3 4" xfId="6520" xr:uid="{00000000-0005-0000-0000-0000ABE50000}"/>
    <cellStyle name="Percent 4 3 5" xfId="60628" xr:uid="{00000000-0005-0000-0000-0000ACE50000}"/>
    <cellStyle name="Percent 4 4" xfId="6521" xr:uid="{00000000-0005-0000-0000-0000ADE50000}"/>
    <cellStyle name="Percent 4 4 2" xfId="6522" xr:uid="{00000000-0005-0000-0000-0000AEE50000}"/>
    <cellStyle name="Percent 4 4 2 2" xfId="6523" xr:uid="{00000000-0005-0000-0000-0000AFE50000}"/>
    <cellStyle name="Percent 4 4 3" xfId="6524" xr:uid="{00000000-0005-0000-0000-0000B0E50000}"/>
    <cellStyle name="Percent 4 5" xfId="6525" xr:uid="{00000000-0005-0000-0000-0000B1E50000}"/>
    <cellStyle name="Percent 4 5 2" xfId="6526" xr:uid="{00000000-0005-0000-0000-0000B2E50000}"/>
    <cellStyle name="Percent 4 6" xfId="6527" xr:uid="{00000000-0005-0000-0000-0000B3E50000}"/>
    <cellStyle name="Percent 4 7" xfId="6528" xr:uid="{00000000-0005-0000-0000-0000B4E50000}"/>
    <cellStyle name="Percent 4 8" xfId="60629" xr:uid="{00000000-0005-0000-0000-0000B5E50000}"/>
    <cellStyle name="Percent 5" xfId="6529" xr:uid="{00000000-0005-0000-0000-0000B6E50000}"/>
    <cellStyle name="Percent 5 2" xfId="6530" xr:uid="{00000000-0005-0000-0000-0000B7E50000}"/>
    <cellStyle name="Percent 5 2 2" xfId="57785" xr:uid="{00000000-0005-0000-0000-0000B8E50000}"/>
    <cellStyle name="Percent 5 3" xfId="57786" xr:uid="{00000000-0005-0000-0000-0000B9E50000}"/>
    <cellStyle name="Percent 5 3 2" xfId="57787" xr:uid="{00000000-0005-0000-0000-0000BAE50000}"/>
    <cellStyle name="Percent 5 4" xfId="57788" xr:uid="{00000000-0005-0000-0000-0000BBE50000}"/>
    <cellStyle name="Percent 5 5" xfId="57789" xr:uid="{00000000-0005-0000-0000-0000BCE50000}"/>
    <cellStyle name="Percent 6" xfId="6531" xr:uid="{00000000-0005-0000-0000-0000BDE50000}"/>
    <cellStyle name="Percent 6 2" xfId="6532" xr:uid="{00000000-0005-0000-0000-0000BEE50000}"/>
    <cellStyle name="Percent 6 2 2" xfId="57790" xr:uid="{00000000-0005-0000-0000-0000BFE50000}"/>
    <cellStyle name="Percent 6 3" xfId="57791" xr:uid="{00000000-0005-0000-0000-0000C0E50000}"/>
    <cellStyle name="Percent 6 3 2" xfId="57792" xr:uid="{00000000-0005-0000-0000-0000C1E50000}"/>
    <cellStyle name="Percent 6 4" xfId="57793" xr:uid="{00000000-0005-0000-0000-0000C2E50000}"/>
    <cellStyle name="Percent 7" xfId="6533" xr:uid="{00000000-0005-0000-0000-0000C3E50000}"/>
    <cellStyle name="Percent 7 2" xfId="6534" xr:uid="{00000000-0005-0000-0000-0000C4E50000}"/>
    <cellStyle name="Percent 7 2 2" xfId="6535" xr:uid="{00000000-0005-0000-0000-0000C5E50000}"/>
    <cellStyle name="Percent 7 2 2 2" xfId="6536" xr:uid="{00000000-0005-0000-0000-0000C6E50000}"/>
    <cellStyle name="Percent 7 2 2 3" xfId="60630" xr:uid="{00000000-0005-0000-0000-0000C7E50000}"/>
    <cellStyle name="Percent 7 2 3" xfId="6537" xr:uid="{00000000-0005-0000-0000-0000C8E50000}"/>
    <cellStyle name="Percent 7 2 4" xfId="60631" xr:uid="{00000000-0005-0000-0000-0000C9E50000}"/>
    <cellStyle name="Percent 7 3" xfId="6538" xr:uid="{00000000-0005-0000-0000-0000CAE50000}"/>
    <cellStyle name="Percent 7 3 2" xfId="6539" xr:uid="{00000000-0005-0000-0000-0000CBE50000}"/>
    <cellStyle name="Percent 7 3 3" xfId="60632" xr:uid="{00000000-0005-0000-0000-0000CCE50000}"/>
    <cellStyle name="Percent 7 4" xfId="6540" xr:uid="{00000000-0005-0000-0000-0000CDE50000}"/>
    <cellStyle name="Percent 7 5" xfId="60633" xr:uid="{00000000-0005-0000-0000-0000CEE50000}"/>
    <cellStyle name="Percent 7 6" xfId="60634" xr:uid="{00000000-0005-0000-0000-0000CFE50000}"/>
    <cellStyle name="Percent 8" xfId="6541" xr:uid="{00000000-0005-0000-0000-0000D0E50000}"/>
    <cellStyle name="Percent 8 2" xfId="6542" xr:uid="{00000000-0005-0000-0000-0000D1E50000}"/>
    <cellStyle name="Percent 8 2 2" xfId="6543" xr:uid="{00000000-0005-0000-0000-0000D2E50000}"/>
    <cellStyle name="Percent 8 2 2 2" xfId="60635" xr:uid="{00000000-0005-0000-0000-0000D3E50000}"/>
    <cellStyle name="Percent 8 2 3" xfId="60636" xr:uid="{00000000-0005-0000-0000-0000D4E50000}"/>
    <cellStyle name="Percent 8 3" xfId="6544" xr:uid="{00000000-0005-0000-0000-0000D5E50000}"/>
    <cellStyle name="Percent 8 3 2" xfId="60637" xr:uid="{00000000-0005-0000-0000-0000D6E50000}"/>
    <cellStyle name="Percent 8 4" xfId="60638" xr:uid="{00000000-0005-0000-0000-0000D7E50000}"/>
    <cellStyle name="Percent 8 5" xfId="60639" xr:uid="{00000000-0005-0000-0000-0000D8E50000}"/>
    <cellStyle name="Percent 8 6" xfId="60640" xr:uid="{00000000-0005-0000-0000-0000D9E50000}"/>
    <cellStyle name="Percent 9" xfId="6545" xr:uid="{00000000-0005-0000-0000-0000DAE50000}"/>
    <cellStyle name="Percent 9 2" xfId="6546" xr:uid="{00000000-0005-0000-0000-0000DBE50000}"/>
    <cellStyle name="Percent 9 2 2" xfId="6547" xr:uid="{00000000-0005-0000-0000-0000DCE50000}"/>
    <cellStyle name="Percent 9 2 3" xfId="60641" xr:uid="{00000000-0005-0000-0000-0000DDE50000}"/>
    <cellStyle name="Percent 9 3" xfId="6548" xr:uid="{00000000-0005-0000-0000-0000DEE50000}"/>
    <cellStyle name="Percent 9 3 2" xfId="60642" xr:uid="{00000000-0005-0000-0000-0000DFE50000}"/>
    <cellStyle name="Percent 9 4" xfId="60643" xr:uid="{00000000-0005-0000-0000-0000E0E50000}"/>
    <cellStyle name="Percent 9 5" xfId="60644" xr:uid="{00000000-0005-0000-0000-0000E1E50000}"/>
    <cellStyle name="Percent 9 6" xfId="60645" xr:uid="{00000000-0005-0000-0000-0000E2E50000}"/>
    <cellStyle name="Project Overview Data Entry" xfId="6549" xr:uid="{00000000-0005-0000-0000-0000E3E50000}"/>
    <cellStyle name="Project Overview Data Entry 2" xfId="60646" xr:uid="{00000000-0005-0000-0000-0000E4E50000}"/>
    <cellStyle name="PSChar" xfId="6550" xr:uid="{00000000-0005-0000-0000-0000E5E50000}"/>
    <cellStyle name="PSChar 2" xfId="9351" xr:uid="{00000000-0005-0000-0000-0000E6E50000}"/>
    <cellStyle name="PSDate" xfId="6551" xr:uid="{00000000-0005-0000-0000-0000E7E50000}"/>
    <cellStyle name="PSDec" xfId="6552" xr:uid="{00000000-0005-0000-0000-0000E8E50000}"/>
    <cellStyle name="PSHeading" xfId="6553" xr:uid="{00000000-0005-0000-0000-0000E9E50000}"/>
    <cellStyle name="PSHeading 2" xfId="57794" xr:uid="{00000000-0005-0000-0000-0000EAE50000}"/>
    <cellStyle name="PSInt" xfId="6554" xr:uid="{00000000-0005-0000-0000-0000EBE50000}"/>
    <cellStyle name="PSSpacer" xfId="6555" xr:uid="{00000000-0005-0000-0000-0000ECE50000}"/>
    <cellStyle name="PSSpacer 2" xfId="57795" xr:uid="{00000000-0005-0000-0000-0000EDE50000}"/>
    <cellStyle name="R00A" xfId="8734" xr:uid="{00000000-0005-0000-0000-0000EEE50000}"/>
    <cellStyle name="R00B" xfId="8735" xr:uid="{00000000-0005-0000-0000-0000EFE50000}"/>
    <cellStyle name="R00L" xfId="8736" xr:uid="{00000000-0005-0000-0000-0000F0E50000}"/>
    <cellStyle name="R01A" xfId="8737" xr:uid="{00000000-0005-0000-0000-0000F1E50000}"/>
    <cellStyle name="R01B" xfId="8738" xr:uid="{00000000-0005-0000-0000-0000F2E50000}"/>
    <cellStyle name="R01H" xfId="8739" xr:uid="{00000000-0005-0000-0000-0000F3E50000}"/>
    <cellStyle name="R01L" xfId="8740" xr:uid="{00000000-0005-0000-0000-0000F4E50000}"/>
    <cellStyle name="R02A" xfId="8741" xr:uid="{00000000-0005-0000-0000-0000F5E50000}"/>
    <cellStyle name="R02B" xfId="8742" xr:uid="{00000000-0005-0000-0000-0000F6E50000}"/>
    <cellStyle name="R02H" xfId="8743" xr:uid="{00000000-0005-0000-0000-0000F7E50000}"/>
    <cellStyle name="R02L" xfId="8744" xr:uid="{00000000-0005-0000-0000-0000F8E50000}"/>
    <cellStyle name="R03A" xfId="8745" xr:uid="{00000000-0005-0000-0000-0000F9E50000}"/>
    <cellStyle name="R03B" xfId="8746" xr:uid="{00000000-0005-0000-0000-0000FAE50000}"/>
    <cellStyle name="R03H" xfId="8747" xr:uid="{00000000-0005-0000-0000-0000FBE50000}"/>
    <cellStyle name="R03L" xfId="8748" xr:uid="{00000000-0005-0000-0000-0000FCE50000}"/>
    <cellStyle name="R04A" xfId="8749" xr:uid="{00000000-0005-0000-0000-0000FDE50000}"/>
    <cellStyle name="R04B" xfId="8750" xr:uid="{00000000-0005-0000-0000-0000FEE50000}"/>
    <cellStyle name="R04H" xfId="8751" xr:uid="{00000000-0005-0000-0000-0000FFE50000}"/>
    <cellStyle name="R04L" xfId="8752" xr:uid="{00000000-0005-0000-0000-000000E60000}"/>
    <cellStyle name="R05A" xfId="8753" xr:uid="{00000000-0005-0000-0000-000001E60000}"/>
    <cellStyle name="R05B" xfId="8754" xr:uid="{00000000-0005-0000-0000-000002E60000}"/>
    <cellStyle name="R05H" xfId="8755" xr:uid="{00000000-0005-0000-0000-000003E60000}"/>
    <cellStyle name="R05L" xfId="8756" xr:uid="{00000000-0005-0000-0000-000004E60000}"/>
    <cellStyle name="R06A" xfId="8757" xr:uid="{00000000-0005-0000-0000-000005E60000}"/>
    <cellStyle name="R06B" xfId="8758" xr:uid="{00000000-0005-0000-0000-000006E60000}"/>
    <cellStyle name="R06H" xfId="8759" xr:uid="{00000000-0005-0000-0000-000007E60000}"/>
    <cellStyle name="R06L" xfId="8760" xr:uid="{00000000-0005-0000-0000-000008E60000}"/>
    <cellStyle name="R07A" xfId="8761" xr:uid="{00000000-0005-0000-0000-000009E60000}"/>
    <cellStyle name="R07B" xfId="8762" xr:uid="{00000000-0005-0000-0000-00000AE60000}"/>
    <cellStyle name="R07H" xfId="8763" xr:uid="{00000000-0005-0000-0000-00000BE60000}"/>
    <cellStyle name="R07L" xfId="8764" xr:uid="{00000000-0005-0000-0000-00000CE60000}"/>
    <cellStyle name="ReportTitlePrompt" xfId="6556" xr:uid="{00000000-0005-0000-0000-00000DE60000}"/>
    <cellStyle name="ReportTitlePrompt 2" xfId="6557" xr:uid="{00000000-0005-0000-0000-00000EE60000}"/>
    <cellStyle name="ReportTitlePrompt 2 2" xfId="9924" xr:uid="{00000000-0005-0000-0000-00000FE60000}"/>
    <cellStyle name="ReportTitlePrompt 2 3" xfId="9925" xr:uid="{00000000-0005-0000-0000-000010E60000}"/>
    <cellStyle name="ReportTitlePrompt 3" xfId="6558" xr:uid="{00000000-0005-0000-0000-000011E60000}"/>
    <cellStyle name="ReportTitlePrompt 4" xfId="6559" xr:uid="{00000000-0005-0000-0000-000012E60000}"/>
    <cellStyle name="ReportTitlePrompt 5" xfId="9352" xr:uid="{00000000-0005-0000-0000-000013E60000}"/>
    <cellStyle name="ReportTitleValue" xfId="6560" xr:uid="{00000000-0005-0000-0000-000014E60000}"/>
    <cellStyle name="ReportTitleValue 2" xfId="6561" xr:uid="{00000000-0005-0000-0000-000015E60000}"/>
    <cellStyle name="ReportTitleValue 2 2" xfId="9926" xr:uid="{00000000-0005-0000-0000-000016E60000}"/>
    <cellStyle name="Reset  - Style4" xfId="60647" xr:uid="{00000000-0005-0000-0000-000017E60000}"/>
    <cellStyle name="RowAcctAbovePrompt" xfId="6562" xr:uid="{00000000-0005-0000-0000-000018E60000}"/>
    <cellStyle name="RowAcctAbovePrompt 2" xfId="6563" xr:uid="{00000000-0005-0000-0000-000019E60000}"/>
    <cellStyle name="RowAcctAbovePrompt 2 2" xfId="9927" xr:uid="{00000000-0005-0000-0000-00001AE60000}"/>
    <cellStyle name="RowAcctAbovePrompt 2 3" xfId="9928" xr:uid="{00000000-0005-0000-0000-00001BE60000}"/>
    <cellStyle name="RowAcctAbovePrompt 3" xfId="6564" xr:uid="{00000000-0005-0000-0000-00001CE60000}"/>
    <cellStyle name="RowAcctAbovePrompt 4" xfId="9353" xr:uid="{00000000-0005-0000-0000-00001DE60000}"/>
    <cellStyle name="RowAcctSOBAbovePrompt" xfId="6565" xr:uid="{00000000-0005-0000-0000-00001EE60000}"/>
    <cellStyle name="RowAcctSOBAbovePrompt 2" xfId="6566" xr:uid="{00000000-0005-0000-0000-00001FE60000}"/>
    <cellStyle name="RowAcctSOBAbovePrompt 2 2" xfId="9929" xr:uid="{00000000-0005-0000-0000-000020E60000}"/>
    <cellStyle name="RowAcctSOBAbovePrompt 2 3" xfId="9930" xr:uid="{00000000-0005-0000-0000-000021E60000}"/>
    <cellStyle name="RowAcctSOBAbovePrompt 3" xfId="6567" xr:uid="{00000000-0005-0000-0000-000022E60000}"/>
    <cellStyle name="RowAcctSOBAbovePrompt 4" xfId="9354" xr:uid="{00000000-0005-0000-0000-000023E60000}"/>
    <cellStyle name="RowAcctSOBValue" xfId="6568" xr:uid="{00000000-0005-0000-0000-000024E60000}"/>
    <cellStyle name="RowAcctSOBValue 2" xfId="6569" xr:uid="{00000000-0005-0000-0000-000025E60000}"/>
    <cellStyle name="RowAcctSOBValue 2 2" xfId="9931" xr:uid="{00000000-0005-0000-0000-000026E60000}"/>
    <cellStyle name="RowAcctSOBValue 2 3" xfId="9932" xr:uid="{00000000-0005-0000-0000-000027E60000}"/>
    <cellStyle name="RowAcctSOBValue 3" xfId="6570" xr:uid="{00000000-0005-0000-0000-000028E60000}"/>
    <cellStyle name="RowAcctSOBValue 4" xfId="9355" xr:uid="{00000000-0005-0000-0000-000029E60000}"/>
    <cellStyle name="RowAcctValue" xfId="6571" xr:uid="{00000000-0005-0000-0000-00002AE60000}"/>
    <cellStyle name="RowAcctValue 2" xfId="6572" xr:uid="{00000000-0005-0000-0000-00002BE60000}"/>
    <cellStyle name="RowAcctValue 2 2" xfId="9933" xr:uid="{00000000-0005-0000-0000-00002CE60000}"/>
    <cellStyle name="RowAttrAbovePrompt" xfId="6573" xr:uid="{00000000-0005-0000-0000-00002DE60000}"/>
    <cellStyle name="RowAttrAbovePrompt 2" xfId="6574" xr:uid="{00000000-0005-0000-0000-00002EE60000}"/>
    <cellStyle name="RowAttrAbovePrompt 2 2" xfId="9934" xr:uid="{00000000-0005-0000-0000-00002FE60000}"/>
    <cellStyle name="RowAttrAbovePrompt 2 3" xfId="9935" xr:uid="{00000000-0005-0000-0000-000030E60000}"/>
    <cellStyle name="RowAttrAbovePrompt 3" xfId="6575" xr:uid="{00000000-0005-0000-0000-000031E60000}"/>
    <cellStyle name="RowAttrAbovePrompt 4" xfId="9356" xr:uid="{00000000-0005-0000-0000-000032E60000}"/>
    <cellStyle name="RowAttrValue" xfId="6576" xr:uid="{00000000-0005-0000-0000-000033E60000}"/>
    <cellStyle name="RowAttrValue 2" xfId="6577" xr:uid="{00000000-0005-0000-0000-000034E60000}"/>
    <cellStyle name="RowAttrValue 2 2" xfId="9936" xr:uid="{00000000-0005-0000-0000-000035E60000}"/>
    <cellStyle name="RowColSetAbovePrompt" xfId="6578" xr:uid="{00000000-0005-0000-0000-000036E60000}"/>
    <cellStyle name="RowColSetAbovePrompt 2" xfId="6579" xr:uid="{00000000-0005-0000-0000-000037E60000}"/>
    <cellStyle name="RowColSetAbovePrompt 2 2" xfId="9937" xr:uid="{00000000-0005-0000-0000-000038E60000}"/>
    <cellStyle name="RowColSetAbovePrompt 2 3" xfId="9938" xr:uid="{00000000-0005-0000-0000-000039E60000}"/>
    <cellStyle name="RowColSetAbovePrompt 3" xfId="6580" xr:uid="{00000000-0005-0000-0000-00003AE60000}"/>
    <cellStyle name="RowColSetAbovePrompt 4" xfId="9357" xr:uid="{00000000-0005-0000-0000-00003BE60000}"/>
    <cellStyle name="RowColSetLeftPrompt" xfId="6581" xr:uid="{00000000-0005-0000-0000-00003CE60000}"/>
    <cellStyle name="RowColSetLeftPrompt 2" xfId="6582" xr:uid="{00000000-0005-0000-0000-00003DE60000}"/>
    <cellStyle name="RowColSetLeftPrompt 2 2" xfId="9939" xr:uid="{00000000-0005-0000-0000-00003EE60000}"/>
    <cellStyle name="RowColSetLeftPrompt 2 3" xfId="9940" xr:uid="{00000000-0005-0000-0000-00003FE60000}"/>
    <cellStyle name="RowColSetLeftPrompt 3" xfId="6583" xr:uid="{00000000-0005-0000-0000-000040E60000}"/>
    <cellStyle name="RowColSetLeftPrompt 4" xfId="9358" xr:uid="{00000000-0005-0000-0000-000041E60000}"/>
    <cellStyle name="RowColSetValue" xfId="6584" xr:uid="{00000000-0005-0000-0000-000042E60000}"/>
    <cellStyle name="RowColSetValue 2" xfId="6585" xr:uid="{00000000-0005-0000-0000-000043E60000}"/>
    <cellStyle name="RowColSetValue 2 2" xfId="9941" xr:uid="{00000000-0005-0000-0000-000044E60000}"/>
    <cellStyle name="RowColSetValue 3" xfId="6586" xr:uid="{00000000-0005-0000-0000-000045E60000}"/>
    <cellStyle name="RowLeftPrompt" xfId="6587" xr:uid="{00000000-0005-0000-0000-000046E60000}"/>
    <cellStyle name="RowLeftPrompt 2" xfId="6588" xr:uid="{00000000-0005-0000-0000-000047E60000}"/>
    <cellStyle name="RowLeftPrompt 2 2" xfId="9942" xr:uid="{00000000-0005-0000-0000-000048E60000}"/>
    <cellStyle name="RowLeftPrompt 2 3" xfId="9943" xr:uid="{00000000-0005-0000-0000-000049E60000}"/>
    <cellStyle name="RowLeftPrompt 3" xfId="6589" xr:uid="{00000000-0005-0000-0000-00004AE60000}"/>
    <cellStyle name="RowLeftPrompt 4" xfId="9359" xr:uid="{00000000-0005-0000-0000-00004BE60000}"/>
    <cellStyle name="SampleUsingFormatMask" xfId="6590" xr:uid="{00000000-0005-0000-0000-00004CE60000}"/>
    <cellStyle name="SampleUsingFormatMask 2" xfId="6591" xr:uid="{00000000-0005-0000-0000-00004DE60000}"/>
    <cellStyle name="SampleUsingFormatMask 2 2" xfId="9944" xr:uid="{00000000-0005-0000-0000-00004EE60000}"/>
    <cellStyle name="SampleUsingFormatMask 2 3" xfId="9945" xr:uid="{00000000-0005-0000-0000-00004FE60000}"/>
    <cellStyle name="SampleUsingFormatMask 3" xfId="6592" xr:uid="{00000000-0005-0000-0000-000050E60000}"/>
    <cellStyle name="SampleUsingFormatMask 4" xfId="9360" xr:uid="{00000000-0005-0000-0000-000051E60000}"/>
    <cellStyle name="SampleWithNoFormatMask" xfId="6593" xr:uid="{00000000-0005-0000-0000-000052E60000}"/>
    <cellStyle name="SampleWithNoFormatMask 2" xfId="6594" xr:uid="{00000000-0005-0000-0000-000053E60000}"/>
    <cellStyle name="SampleWithNoFormatMask 2 2" xfId="9946" xr:uid="{00000000-0005-0000-0000-000054E60000}"/>
    <cellStyle name="SampleWithNoFormatMask 2 3" xfId="9947" xr:uid="{00000000-0005-0000-0000-000055E60000}"/>
    <cellStyle name="SampleWithNoFormatMask 3" xfId="6595" xr:uid="{00000000-0005-0000-0000-000056E60000}"/>
    <cellStyle name="SampleWithNoFormatMask 4" xfId="9361" xr:uid="{00000000-0005-0000-0000-000057E60000}"/>
    <cellStyle name="SAPBEXaggData" xfId="6596" xr:uid="{00000000-0005-0000-0000-000058E60000}"/>
    <cellStyle name="SAPBEXaggData 10" xfId="6597" xr:uid="{00000000-0005-0000-0000-000059E60000}"/>
    <cellStyle name="SAPBEXaggData 10 2" xfId="60648" xr:uid="{00000000-0005-0000-0000-00005AE60000}"/>
    <cellStyle name="SAPBEXaggData 11" xfId="6598" xr:uid="{00000000-0005-0000-0000-00005BE60000}"/>
    <cellStyle name="SAPBEXaggData 11 2" xfId="60649" xr:uid="{00000000-0005-0000-0000-00005CE60000}"/>
    <cellStyle name="SAPBEXaggData 12" xfId="6599" xr:uid="{00000000-0005-0000-0000-00005DE60000}"/>
    <cellStyle name="SAPBEXaggData 2" xfId="6600" xr:uid="{00000000-0005-0000-0000-00005EE60000}"/>
    <cellStyle name="SAPBEXaggData 2 10" xfId="6601" xr:uid="{00000000-0005-0000-0000-00005FE60000}"/>
    <cellStyle name="SAPBEXaggData 2 10 2" xfId="60650" xr:uid="{00000000-0005-0000-0000-000060E60000}"/>
    <cellStyle name="SAPBEXaggData 2 11" xfId="6602" xr:uid="{00000000-0005-0000-0000-000061E60000}"/>
    <cellStyle name="SAPBEXaggData 2 2" xfId="6603" xr:uid="{00000000-0005-0000-0000-000062E60000}"/>
    <cellStyle name="SAPBEXaggData 2 2 2" xfId="60651" xr:uid="{00000000-0005-0000-0000-000063E60000}"/>
    <cellStyle name="SAPBEXaggData 2 3" xfId="6604" xr:uid="{00000000-0005-0000-0000-000064E60000}"/>
    <cellStyle name="SAPBEXaggData 2 3 2" xfId="60652" xr:uid="{00000000-0005-0000-0000-000065E60000}"/>
    <cellStyle name="SAPBEXaggData 2 4" xfId="6605" xr:uid="{00000000-0005-0000-0000-000066E60000}"/>
    <cellStyle name="SAPBEXaggData 2 4 2" xfId="60653" xr:uid="{00000000-0005-0000-0000-000067E60000}"/>
    <cellStyle name="SAPBEXaggData 2 5" xfId="6606" xr:uid="{00000000-0005-0000-0000-000068E60000}"/>
    <cellStyle name="SAPBEXaggData 2 5 2" xfId="60654" xr:uid="{00000000-0005-0000-0000-000069E60000}"/>
    <cellStyle name="SAPBEXaggData 2 6" xfId="6607" xr:uid="{00000000-0005-0000-0000-00006AE60000}"/>
    <cellStyle name="SAPBEXaggData 2 6 2" xfId="60655" xr:uid="{00000000-0005-0000-0000-00006BE60000}"/>
    <cellStyle name="SAPBEXaggData 2 7" xfId="6608" xr:uid="{00000000-0005-0000-0000-00006CE60000}"/>
    <cellStyle name="SAPBEXaggData 2 7 2" xfId="60656" xr:uid="{00000000-0005-0000-0000-00006DE60000}"/>
    <cellStyle name="SAPBEXaggData 2 8" xfId="6609" xr:uid="{00000000-0005-0000-0000-00006EE60000}"/>
    <cellStyle name="SAPBEXaggData 2 8 2" xfId="60657" xr:uid="{00000000-0005-0000-0000-00006FE60000}"/>
    <cellStyle name="SAPBEXaggData 2 9" xfId="6610" xr:uid="{00000000-0005-0000-0000-000070E60000}"/>
    <cellStyle name="SAPBEXaggData 2 9 2" xfId="60658" xr:uid="{00000000-0005-0000-0000-000071E60000}"/>
    <cellStyle name="SAPBEXaggData 3" xfId="6611" xr:uid="{00000000-0005-0000-0000-000072E60000}"/>
    <cellStyle name="SAPBEXaggData 3 2" xfId="60659" xr:uid="{00000000-0005-0000-0000-000073E60000}"/>
    <cellStyle name="SAPBEXaggData 4" xfId="6612" xr:uid="{00000000-0005-0000-0000-000074E60000}"/>
    <cellStyle name="SAPBEXaggData 4 2" xfId="60660" xr:uid="{00000000-0005-0000-0000-000075E60000}"/>
    <cellStyle name="SAPBEXaggData 5" xfId="6613" xr:uid="{00000000-0005-0000-0000-000076E60000}"/>
    <cellStyle name="SAPBEXaggData 5 2" xfId="60661" xr:uid="{00000000-0005-0000-0000-000077E60000}"/>
    <cellStyle name="SAPBEXaggData 6" xfId="6614" xr:uid="{00000000-0005-0000-0000-000078E60000}"/>
    <cellStyle name="SAPBEXaggData 6 2" xfId="60662" xr:uid="{00000000-0005-0000-0000-000079E60000}"/>
    <cellStyle name="SAPBEXaggData 7" xfId="6615" xr:uid="{00000000-0005-0000-0000-00007AE60000}"/>
    <cellStyle name="SAPBEXaggData 7 2" xfId="60663" xr:uid="{00000000-0005-0000-0000-00007BE60000}"/>
    <cellStyle name="SAPBEXaggData 8" xfId="6616" xr:uid="{00000000-0005-0000-0000-00007CE60000}"/>
    <cellStyle name="SAPBEXaggData 8 2" xfId="60664" xr:uid="{00000000-0005-0000-0000-00007DE60000}"/>
    <cellStyle name="SAPBEXaggData 9" xfId="6617" xr:uid="{00000000-0005-0000-0000-00007EE60000}"/>
    <cellStyle name="SAPBEXaggData 9 2" xfId="60665" xr:uid="{00000000-0005-0000-0000-00007FE60000}"/>
    <cellStyle name="SAPBEXaggDataEmph" xfId="6618" xr:uid="{00000000-0005-0000-0000-000080E60000}"/>
    <cellStyle name="SAPBEXaggDataEmph 10" xfId="6619" xr:uid="{00000000-0005-0000-0000-000081E60000}"/>
    <cellStyle name="SAPBEXaggDataEmph 10 2" xfId="60666" xr:uid="{00000000-0005-0000-0000-000082E60000}"/>
    <cellStyle name="SAPBEXaggDataEmph 11" xfId="6620" xr:uid="{00000000-0005-0000-0000-000083E60000}"/>
    <cellStyle name="SAPBEXaggDataEmph 2" xfId="6621" xr:uid="{00000000-0005-0000-0000-000084E60000}"/>
    <cellStyle name="SAPBEXaggDataEmph 2 2" xfId="60667" xr:uid="{00000000-0005-0000-0000-000085E60000}"/>
    <cellStyle name="SAPBEXaggDataEmph 3" xfId="6622" xr:uid="{00000000-0005-0000-0000-000086E60000}"/>
    <cellStyle name="SAPBEXaggDataEmph 3 2" xfId="60668" xr:uid="{00000000-0005-0000-0000-000087E60000}"/>
    <cellStyle name="SAPBEXaggDataEmph 4" xfId="6623" xr:uid="{00000000-0005-0000-0000-000088E60000}"/>
    <cellStyle name="SAPBEXaggDataEmph 4 2" xfId="60669" xr:uid="{00000000-0005-0000-0000-000089E60000}"/>
    <cellStyle name="SAPBEXaggDataEmph 5" xfId="6624" xr:uid="{00000000-0005-0000-0000-00008AE60000}"/>
    <cellStyle name="SAPBEXaggDataEmph 5 2" xfId="60670" xr:uid="{00000000-0005-0000-0000-00008BE60000}"/>
    <cellStyle name="SAPBEXaggDataEmph 6" xfId="6625" xr:uid="{00000000-0005-0000-0000-00008CE60000}"/>
    <cellStyle name="SAPBEXaggDataEmph 6 2" xfId="60671" xr:uid="{00000000-0005-0000-0000-00008DE60000}"/>
    <cellStyle name="SAPBEXaggDataEmph 7" xfId="6626" xr:uid="{00000000-0005-0000-0000-00008EE60000}"/>
    <cellStyle name="SAPBEXaggDataEmph 7 2" xfId="60672" xr:uid="{00000000-0005-0000-0000-00008FE60000}"/>
    <cellStyle name="SAPBEXaggDataEmph 8" xfId="6627" xr:uid="{00000000-0005-0000-0000-000090E60000}"/>
    <cellStyle name="SAPBEXaggDataEmph 8 2" xfId="60673" xr:uid="{00000000-0005-0000-0000-000091E60000}"/>
    <cellStyle name="SAPBEXaggDataEmph 9" xfId="6628" xr:uid="{00000000-0005-0000-0000-000092E60000}"/>
    <cellStyle name="SAPBEXaggDataEmph 9 2" xfId="60674" xr:uid="{00000000-0005-0000-0000-000093E60000}"/>
    <cellStyle name="SAPBEXaggItem" xfId="6629" xr:uid="{00000000-0005-0000-0000-000094E60000}"/>
    <cellStyle name="SAPBEXaggItem 10" xfId="6630" xr:uid="{00000000-0005-0000-0000-000095E60000}"/>
    <cellStyle name="SAPBEXaggItem 10 2" xfId="60675" xr:uid="{00000000-0005-0000-0000-000096E60000}"/>
    <cellStyle name="SAPBEXaggItem 11" xfId="6631" xr:uid="{00000000-0005-0000-0000-000097E60000}"/>
    <cellStyle name="SAPBEXaggItem 11 2" xfId="60676" xr:uid="{00000000-0005-0000-0000-000098E60000}"/>
    <cellStyle name="SAPBEXaggItem 12" xfId="6632" xr:uid="{00000000-0005-0000-0000-000099E60000}"/>
    <cellStyle name="SAPBEXaggItem 2" xfId="6633" xr:uid="{00000000-0005-0000-0000-00009AE60000}"/>
    <cellStyle name="SAPBEXaggItem 2 10" xfId="6634" xr:uid="{00000000-0005-0000-0000-00009BE60000}"/>
    <cellStyle name="SAPBEXaggItem 2 10 2" xfId="60677" xr:uid="{00000000-0005-0000-0000-00009CE60000}"/>
    <cellStyle name="SAPBEXaggItem 2 11" xfId="6635" xr:uid="{00000000-0005-0000-0000-00009DE60000}"/>
    <cellStyle name="SAPBEXaggItem 2 2" xfId="6636" xr:uid="{00000000-0005-0000-0000-00009EE60000}"/>
    <cellStyle name="SAPBEXaggItem 2 2 2" xfId="60678" xr:uid="{00000000-0005-0000-0000-00009FE60000}"/>
    <cellStyle name="SAPBEXaggItem 2 3" xfId="6637" xr:uid="{00000000-0005-0000-0000-0000A0E60000}"/>
    <cellStyle name="SAPBEXaggItem 2 3 2" xfId="60679" xr:uid="{00000000-0005-0000-0000-0000A1E60000}"/>
    <cellStyle name="SAPBEXaggItem 2 4" xfId="6638" xr:uid="{00000000-0005-0000-0000-0000A2E60000}"/>
    <cellStyle name="SAPBEXaggItem 2 4 2" xfId="60680" xr:uid="{00000000-0005-0000-0000-0000A3E60000}"/>
    <cellStyle name="SAPBEXaggItem 2 5" xfId="6639" xr:uid="{00000000-0005-0000-0000-0000A4E60000}"/>
    <cellStyle name="SAPBEXaggItem 2 5 2" xfId="60681" xr:uid="{00000000-0005-0000-0000-0000A5E60000}"/>
    <cellStyle name="SAPBEXaggItem 2 6" xfId="6640" xr:uid="{00000000-0005-0000-0000-0000A6E60000}"/>
    <cellStyle name="SAPBEXaggItem 2 6 2" xfId="60682" xr:uid="{00000000-0005-0000-0000-0000A7E60000}"/>
    <cellStyle name="SAPBEXaggItem 2 7" xfId="6641" xr:uid="{00000000-0005-0000-0000-0000A8E60000}"/>
    <cellStyle name="SAPBEXaggItem 2 7 2" xfId="60683" xr:uid="{00000000-0005-0000-0000-0000A9E60000}"/>
    <cellStyle name="SAPBEXaggItem 2 8" xfId="6642" xr:uid="{00000000-0005-0000-0000-0000AAE60000}"/>
    <cellStyle name="SAPBEXaggItem 2 8 2" xfId="60684" xr:uid="{00000000-0005-0000-0000-0000ABE60000}"/>
    <cellStyle name="SAPBEXaggItem 2 9" xfId="6643" xr:uid="{00000000-0005-0000-0000-0000ACE60000}"/>
    <cellStyle name="SAPBEXaggItem 2 9 2" xfId="60685" xr:uid="{00000000-0005-0000-0000-0000ADE60000}"/>
    <cellStyle name="SAPBEXaggItem 3" xfId="6644" xr:uid="{00000000-0005-0000-0000-0000AEE60000}"/>
    <cellStyle name="SAPBEXaggItem 3 2" xfId="60686" xr:uid="{00000000-0005-0000-0000-0000AFE60000}"/>
    <cellStyle name="SAPBEXaggItem 4" xfId="6645" xr:uid="{00000000-0005-0000-0000-0000B0E60000}"/>
    <cellStyle name="SAPBEXaggItem 4 2" xfId="60687" xr:uid="{00000000-0005-0000-0000-0000B1E60000}"/>
    <cellStyle name="SAPBEXaggItem 5" xfId="6646" xr:uid="{00000000-0005-0000-0000-0000B2E60000}"/>
    <cellStyle name="SAPBEXaggItem 5 2" xfId="60688" xr:uid="{00000000-0005-0000-0000-0000B3E60000}"/>
    <cellStyle name="SAPBEXaggItem 6" xfId="6647" xr:uid="{00000000-0005-0000-0000-0000B4E60000}"/>
    <cellStyle name="SAPBEXaggItem 6 2" xfId="60689" xr:uid="{00000000-0005-0000-0000-0000B5E60000}"/>
    <cellStyle name="SAPBEXaggItem 7" xfId="6648" xr:uid="{00000000-0005-0000-0000-0000B6E60000}"/>
    <cellStyle name="SAPBEXaggItem 7 2" xfId="60690" xr:uid="{00000000-0005-0000-0000-0000B7E60000}"/>
    <cellStyle name="SAPBEXaggItem 8" xfId="6649" xr:uid="{00000000-0005-0000-0000-0000B8E60000}"/>
    <cellStyle name="SAPBEXaggItem 8 2" xfId="60691" xr:uid="{00000000-0005-0000-0000-0000B9E60000}"/>
    <cellStyle name="SAPBEXaggItem 9" xfId="6650" xr:uid="{00000000-0005-0000-0000-0000BAE60000}"/>
    <cellStyle name="SAPBEXaggItem 9 2" xfId="60692" xr:uid="{00000000-0005-0000-0000-0000BBE60000}"/>
    <cellStyle name="SAPBEXaggItemX" xfId="6651" xr:uid="{00000000-0005-0000-0000-0000BCE60000}"/>
    <cellStyle name="SAPBEXaggItemX 10" xfId="6652" xr:uid="{00000000-0005-0000-0000-0000BDE60000}"/>
    <cellStyle name="SAPBEXaggItemX 10 2" xfId="60693" xr:uid="{00000000-0005-0000-0000-0000BEE60000}"/>
    <cellStyle name="SAPBEXaggItemX 11" xfId="6653" xr:uid="{00000000-0005-0000-0000-0000BFE60000}"/>
    <cellStyle name="SAPBEXaggItemX 11 2" xfId="60694" xr:uid="{00000000-0005-0000-0000-0000C0E60000}"/>
    <cellStyle name="SAPBEXaggItemX 12" xfId="6654" xr:uid="{00000000-0005-0000-0000-0000C1E60000}"/>
    <cellStyle name="SAPBEXaggItemX 2" xfId="6655" xr:uid="{00000000-0005-0000-0000-0000C2E60000}"/>
    <cellStyle name="SAPBEXaggItemX 2 10" xfId="6656" xr:uid="{00000000-0005-0000-0000-0000C3E60000}"/>
    <cellStyle name="SAPBEXaggItemX 2 10 2" xfId="60695" xr:uid="{00000000-0005-0000-0000-0000C4E60000}"/>
    <cellStyle name="SAPBEXaggItemX 2 11" xfId="6657" xr:uid="{00000000-0005-0000-0000-0000C5E60000}"/>
    <cellStyle name="SAPBEXaggItemX 2 2" xfId="6658" xr:uid="{00000000-0005-0000-0000-0000C6E60000}"/>
    <cellStyle name="SAPBEXaggItemX 2 2 2" xfId="60696" xr:uid="{00000000-0005-0000-0000-0000C7E60000}"/>
    <cellStyle name="SAPBEXaggItemX 2 3" xfId="6659" xr:uid="{00000000-0005-0000-0000-0000C8E60000}"/>
    <cellStyle name="SAPBEXaggItemX 2 3 2" xfId="60697" xr:uid="{00000000-0005-0000-0000-0000C9E60000}"/>
    <cellStyle name="SAPBEXaggItemX 2 4" xfId="6660" xr:uid="{00000000-0005-0000-0000-0000CAE60000}"/>
    <cellStyle name="SAPBEXaggItemX 2 4 2" xfId="60698" xr:uid="{00000000-0005-0000-0000-0000CBE60000}"/>
    <cellStyle name="SAPBEXaggItemX 2 5" xfId="6661" xr:uid="{00000000-0005-0000-0000-0000CCE60000}"/>
    <cellStyle name="SAPBEXaggItemX 2 5 2" xfId="60699" xr:uid="{00000000-0005-0000-0000-0000CDE60000}"/>
    <cellStyle name="SAPBEXaggItemX 2 6" xfId="6662" xr:uid="{00000000-0005-0000-0000-0000CEE60000}"/>
    <cellStyle name="SAPBEXaggItemX 2 6 2" xfId="60700" xr:uid="{00000000-0005-0000-0000-0000CFE60000}"/>
    <cellStyle name="SAPBEXaggItemX 2 7" xfId="6663" xr:uid="{00000000-0005-0000-0000-0000D0E60000}"/>
    <cellStyle name="SAPBEXaggItemX 2 7 2" xfId="60701" xr:uid="{00000000-0005-0000-0000-0000D1E60000}"/>
    <cellStyle name="SAPBEXaggItemX 2 8" xfId="6664" xr:uid="{00000000-0005-0000-0000-0000D2E60000}"/>
    <cellStyle name="SAPBEXaggItemX 2 8 2" xfId="60702" xr:uid="{00000000-0005-0000-0000-0000D3E60000}"/>
    <cellStyle name="SAPBEXaggItemX 2 9" xfId="6665" xr:uid="{00000000-0005-0000-0000-0000D4E60000}"/>
    <cellStyle name="SAPBEXaggItemX 2 9 2" xfId="60703" xr:uid="{00000000-0005-0000-0000-0000D5E60000}"/>
    <cellStyle name="SAPBEXaggItemX 3" xfId="6666" xr:uid="{00000000-0005-0000-0000-0000D6E60000}"/>
    <cellStyle name="SAPBEXaggItemX 3 2" xfId="60704" xr:uid="{00000000-0005-0000-0000-0000D7E60000}"/>
    <cellStyle name="SAPBEXaggItemX 4" xfId="6667" xr:uid="{00000000-0005-0000-0000-0000D8E60000}"/>
    <cellStyle name="SAPBEXaggItemX 4 2" xfId="60705" xr:uid="{00000000-0005-0000-0000-0000D9E60000}"/>
    <cellStyle name="SAPBEXaggItemX 5" xfId="6668" xr:uid="{00000000-0005-0000-0000-0000DAE60000}"/>
    <cellStyle name="SAPBEXaggItemX 5 2" xfId="60706" xr:uid="{00000000-0005-0000-0000-0000DBE60000}"/>
    <cellStyle name="SAPBEXaggItemX 6" xfId="6669" xr:uid="{00000000-0005-0000-0000-0000DCE60000}"/>
    <cellStyle name="SAPBEXaggItemX 6 2" xfId="60707" xr:uid="{00000000-0005-0000-0000-0000DDE60000}"/>
    <cellStyle name="SAPBEXaggItemX 7" xfId="6670" xr:uid="{00000000-0005-0000-0000-0000DEE60000}"/>
    <cellStyle name="SAPBEXaggItemX 7 2" xfId="60708" xr:uid="{00000000-0005-0000-0000-0000DFE60000}"/>
    <cellStyle name="SAPBEXaggItemX 8" xfId="6671" xr:uid="{00000000-0005-0000-0000-0000E0E60000}"/>
    <cellStyle name="SAPBEXaggItemX 8 2" xfId="60709" xr:uid="{00000000-0005-0000-0000-0000E1E60000}"/>
    <cellStyle name="SAPBEXaggItemX 9" xfId="6672" xr:uid="{00000000-0005-0000-0000-0000E2E60000}"/>
    <cellStyle name="SAPBEXaggItemX 9 2" xfId="60710" xr:uid="{00000000-0005-0000-0000-0000E3E60000}"/>
    <cellStyle name="SAPBEXchaText" xfId="6673" xr:uid="{00000000-0005-0000-0000-0000E4E60000}"/>
    <cellStyle name="SAPBEXchaText 2" xfId="6674" xr:uid="{00000000-0005-0000-0000-0000E5E60000}"/>
    <cellStyle name="SAPBEXexcBad7" xfId="6675" xr:uid="{00000000-0005-0000-0000-0000E6E60000}"/>
    <cellStyle name="SAPBEXexcBad7 10" xfId="6676" xr:uid="{00000000-0005-0000-0000-0000E7E60000}"/>
    <cellStyle name="SAPBEXexcBad7 10 2" xfId="60711" xr:uid="{00000000-0005-0000-0000-0000E8E60000}"/>
    <cellStyle name="SAPBEXexcBad7 11" xfId="6677" xr:uid="{00000000-0005-0000-0000-0000E9E60000}"/>
    <cellStyle name="SAPBEXexcBad7 11 2" xfId="60712" xr:uid="{00000000-0005-0000-0000-0000EAE60000}"/>
    <cellStyle name="SAPBEXexcBad7 12" xfId="6678" xr:uid="{00000000-0005-0000-0000-0000EBE60000}"/>
    <cellStyle name="SAPBEXexcBad7 2" xfId="6679" xr:uid="{00000000-0005-0000-0000-0000ECE60000}"/>
    <cellStyle name="SAPBEXexcBad7 2 10" xfId="6680" xr:uid="{00000000-0005-0000-0000-0000EDE60000}"/>
    <cellStyle name="SAPBEXexcBad7 2 10 2" xfId="60713" xr:uid="{00000000-0005-0000-0000-0000EEE60000}"/>
    <cellStyle name="SAPBEXexcBad7 2 11" xfId="6681" xr:uid="{00000000-0005-0000-0000-0000EFE60000}"/>
    <cellStyle name="SAPBEXexcBad7 2 2" xfId="6682" xr:uid="{00000000-0005-0000-0000-0000F0E60000}"/>
    <cellStyle name="SAPBEXexcBad7 2 2 2" xfId="60714" xr:uid="{00000000-0005-0000-0000-0000F1E60000}"/>
    <cellStyle name="SAPBEXexcBad7 2 3" xfId="6683" xr:uid="{00000000-0005-0000-0000-0000F2E60000}"/>
    <cellStyle name="SAPBEXexcBad7 2 3 2" xfId="60715" xr:uid="{00000000-0005-0000-0000-0000F3E60000}"/>
    <cellStyle name="SAPBEXexcBad7 2 4" xfId="6684" xr:uid="{00000000-0005-0000-0000-0000F4E60000}"/>
    <cellStyle name="SAPBEXexcBad7 2 4 2" xfId="60716" xr:uid="{00000000-0005-0000-0000-0000F5E60000}"/>
    <cellStyle name="SAPBEXexcBad7 2 5" xfId="6685" xr:uid="{00000000-0005-0000-0000-0000F6E60000}"/>
    <cellStyle name="SAPBEXexcBad7 2 5 2" xfId="60717" xr:uid="{00000000-0005-0000-0000-0000F7E60000}"/>
    <cellStyle name="SAPBEXexcBad7 2 6" xfId="6686" xr:uid="{00000000-0005-0000-0000-0000F8E60000}"/>
    <cellStyle name="SAPBEXexcBad7 2 6 2" xfId="60718" xr:uid="{00000000-0005-0000-0000-0000F9E60000}"/>
    <cellStyle name="SAPBEXexcBad7 2 7" xfId="6687" xr:uid="{00000000-0005-0000-0000-0000FAE60000}"/>
    <cellStyle name="SAPBEXexcBad7 2 7 2" xfId="60719" xr:uid="{00000000-0005-0000-0000-0000FBE60000}"/>
    <cellStyle name="SAPBEXexcBad7 2 8" xfId="6688" xr:uid="{00000000-0005-0000-0000-0000FCE60000}"/>
    <cellStyle name="SAPBEXexcBad7 2 8 2" xfId="60720" xr:uid="{00000000-0005-0000-0000-0000FDE60000}"/>
    <cellStyle name="SAPBEXexcBad7 2 9" xfId="6689" xr:uid="{00000000-0005-0000-0000-0000FEE60000}"/>
    <cellStyle name="SAPBEXexcBad7 2 9 2" xfId="60721" xr:uid="{00000000-0005-0000-0000-0000FFE60000}"/>
    <cellStyle name="SAPBEXexcBad7 3" xfId="6690" xr:uid="{00000000-0005-0000-0000-000000E70000}"/>
    <cellStyle name="SAPBEXexcBad7 3 2" xfId="60722" xr:uid="{00000000-0005-0000-0000-000001E70000}"/>
    <cellStyle name="SAPBEXexcBad7 4" xfId="6691" xr:uid="{00000000-0005-0000-0000-000002E70000}"/>
    <cellStyle name="SAPBEXexcBad7 4 2" xfId="60723" xr:uid="{00000000-0005-0000-0000-000003E70000}"/>
    <cellStyle name="SAPBEXexcBad7 5" xfId="6692" xr:uid="{00000000-0005-0000-0000-000004E70000}"/>
    <cellStyle name="SAPBEXexcBad7 5 2" xfId="60724" xr:uid="{00000000-0005-0000-0000-000005E70000}"/>
    <cellStyle name="SAPBEXexcBad7 6" xfId="6693" xr:uid="{00000000-0005-0000-0000-000006E70000}"/>
    <cellStyle name="SAPBEXexcBad7 6 2" xfId="60725" xr:uid="{00000000-0005-0000-0000-000007E70000}"/>
    <cellStyle name="SAPBEXexcBad7 7" xfId="6694" xr:uid="{00000000-0005-0000-0000-000008E70000}"/>
    <cellStyle name="SAPBEXexcBad7 7 2" xfId="60726" xr:uid="{00000000-0005-0000-0000-000009E70000}"/>
    <cellStyle name="SAPBEXexcBad7 8" xfId="6695" xr:uid="{00000000-0005-0000-0000-00000AE70000}"/>
    <cellStyle name="SAPBEXexcBad7 8 2" xfId="60727" xr:uid="{00000000-0005-0000-0000-00000BE70000}"/>
    <cellStyle name="SAPBEXexcBad7 9" xfId="6696" xr:uid="{00000000-0005-0000-0000-00000CE70000}"/>
    <cellStyle name="SAPBEXexcBad7 9 2" xfId="60728" xr:uid="{00000000-0005-0000-0000-00000DE70000}"/>
    <cellStyle name="SAPBEXexcBad8" xfId="6697" xr:uid="{00000000-0005-0000-0000-00000EE70000}"/>
    <cellStyle name="SAPBEXexcBad8 10" xfId="6698" xr:uid="{00000000-0005-0000-0000-00000FE70000}"/>
    <cellStyle name="SAPBEXexcBad8 10 2" xfId="60729" xr:uid="{00000000-0005-0000-0000-000010E70000}"/>
    <cellStyle name="SAPBEXexcBad8 11" xfId="6699" xr:uid="{00000000-0005-0000-0000-000011E70000}"/>
    <cellStyle name="SAPBEXexcBad8 2" xfId="6700" xr:uid="{00000000-0005-0000-0000-000012E70000}"/>
    <cellStyle name="SAPBEXexcBad8 2 2" xfId="60730" xr:uid="{00000000-0005-0000-0000-000013E70000}"/>
    <cellStyle name="SAPBEXexcBad8 3" xfId="6701" xr:uid="{00000000-0005-0000-0000-000014E70000}"/>
    <cellStyle name="SAPBEXexcBad8 3 2" xfId="60731" xr:uid="{00000000-0005-0000-0000-000015E70000}"/>
    <cellStyle name="SAPBEXexcBad8 4" xfId="6702" xr:uid="{00000000-0005-0000-0000-000016E70000}"/>
    <cellStyle name="SAPBEXexcBad8 4 2" xfId="60732" xr:uid="{00000000-0005-0000-0000-000017E70000}"/>
    <cellStyle name="SAPBEXexcBad8 5" xfId="6703" xr:uid="{00000000-0005-0000-0000-000018E70000}"/>
    <cellStyle name="SAPBEXexcBad8 5 2" xfId="60733" xr:uid="{00000000-0005-0000-0000-000019E70000}"/>
    <cellStyle name="SAPBEXexcBad8 6" xfId="6704" xr:uid="{00000000-0005-0000-0000-00001AE70000}"/>
    <cellStyle name="SAPBEXexcBad8 6 2" xfId="60734" xr:uid="{00000000-0005-0000-0000-00001BE70000}"/>
    <cellStyle name="SAPBEXexcBad8 7" xfId="6705" xr:uid="{00000000-0005-0000-0000-00001CE70000}"/>
    <cellStyle name="SAPBEXexcBad8 7 2" xfId="60735" xr:uid="{00000000-0005-0000-0000-00001DE70000}"/>
    <cellStyle name="SAPBEXexcBad8 8" xfId="6706" xr:uid="{00000000-0005-0000-0000-00001EE70000}"/>
    <cellStyle name="SAPBEXexcBad8 8 2" xfId="60736" xr:uid="{00000000-0005-0000-0000-00001FE70000}"/>
    <cellStyle name="SAPBEXexcBad8 9" xfId="6707" xr:uid="{00000000-0005-0000-0000-000020E70000}"/>
    <cellStyle name="SAPBEXexcBad8 9 2" xfId="60737" xr:uid="{00000000-0005-0000-0000-000021E70000}"/>
    <cellStyle name="SAPBEXexcBad9" xfId="6708" xr:uid="{00000000-0005-0000-0000-000022E70000}"/>
    <cellStyle name="SAPBEXexcBad9 10" xfId="6709" xr:uid="{00000000-0005-0000-0000-000023E70000}"/>
    <cellStyle name="SAPBEXexcBad9 10 2" xfId="60738" xr:uid="{00000000-0005-0000-0000-000024E70000}"/>
    <cellStyle name="SAPBEXexcBad9 11" xfId="6710" xr:uid="{00000000-0005-0000-0000-000025E70000}"/>
    <cellStyle name="SAPBEXexcBad9 2" xfId="6711" xr:uid="{00000000-0005-0000-0000-000026E70000}"/>
    <cellStyle name="SAPBEXexcBad9 2 2" xfId="60739" xr:uid="{00000000-0005-0000-0000-000027E70000}"/>
    <cellStyle name="SAPBEXexcBad9 3" xfId="6712" xr:uid="{00000000-0005-0000-0000-000028E70000}"/>
    <cellStyle name="SAPBEXexcBad9 3 2" xfId="60740" xr:uid="{00000000-0005-0000-0000-000029E70000}"/>
    <cellStyle name="SAPBEXexcBad9 4" xfId="6713" xr:uid="{00000000-0005-0000-0000-00002AE70000}"/>
    <cellStyle name="SAPBEXexcBad9 4 2" xfId="60741" xr:uid="{00000000-0005-0000-0000-00002BE70000}"/>
    <cellStyle name="SAPBEXexcBad9 5" xfId="6714" xr:uid="{00000000-0005-0000-0000-00002CE70000}"/>
    <cellStyle name="SAPBEXexcBad9 5 2" xfId="60742" xr:uid="{00000000-0005-0000-0000-00002DE70000}"/>
    <cellStyle name="SAPBEXexcBad9 6" xfId="6715" xr:uid="{00000000-0005-0000-0000-00002EE70000}"/>
    <cellStyle name="SAPBEXexcBad9 6 2" xfId="60743" xr:uid="{00000000-0005-0000-0000-00002FE70000}"/>
    <cellStyle name="SAPBEXexcBad9 7" xfId="6716" xr:uid="{00000000-0005-0000-0000-000030E70000}"/>
    <cellStyle name="SAPBEXexcBad9 7 2" xfId="60744" xr:uid="{00000000-0005-0000-0000-000031E70000}"/>
    <cellStyle name="SAPBEXexcBad9 8" xfId="6717" xr:uid="{00000000-0005-0000-0000-000032E70000}"/>
    <cellStyle name="SAPBEXexcBad9 8 2" xfId="60745" xr:uid="{00000000-0005-0000-0000-000033E70000}"/>
    <cellStyle name="SAPBEXexcBad9 9" xfId="6718" xr:uid="{00000000-0005-0000-0000-000034E70000}"/>
    <cellStyle name="SAPBEXexcBad9 9 2" xfId="60746" xr:uid="{00000000-0005-0000-0000-000035E70000}"/>
    <cellStyle name="SAPBEXexcCritical4" xfId="6719" xr:uid="{00000000-0005-0000-0000-000036E70000}"/>
    <cellStyle name="SAPBEXexcCritical4 10" xfId="6720" xr:uid="{00000000-0005-0000-0000-000037E70000}"/>
    <cellStyle name="SAPBEXexcCritical4 10 2" xfId="60747" xr:uid="{00000000-0005-0000-0000-000038E70000}"/>
    <cellStyle name="SAPBEXexcCritical4 11" xfId="6721" xr:uid="{00000000-0005-0000-0000-000039E70000}"/>
    <cellStyle name="SAPBEXexcCritical4 11 2" xfId="60748" xr:uid="{00000000-0005-0000-0000-00003AE70000}"/>
    <cellStyle name="SAPBEXexcCritical4 12" xfId="6722" xr:uid="{00000000-0005-0000-0000-00003BE70000}"/>
    <cellStyle name="SAPBEXexcCritical4 2" xfId="6723" xr:uid="{00000000-0005-0000-0000-00003CE70000}"/>
    <cellStyle name="SAPBEXexcCritical4 2 10" xfId="6724" xr:uid="{00000000-0005-0000-0000-00003DE70000}"/>
    <cellStyle name="SAPBEXexcCritical4 2 10 2" xfId="60749" xr:uid="{00000000-0005-0000-0000-00003EE70000}"/>
    <cellStyle name="SAPBEXexcCritical4 2 11" xfId="6725" xr:uid="{00000000-0005-0000-0000-00003FE70000}"/>
    <cellStyle name="SAPBEXexcCritical4 2 2" xfId="6726" xr:uid="{00000000-0005-0000-0000-000040E70000}"/>
    <cellStyle name="SAPBEXexcCritical4 2 2 2" xfId="60750" xr:uid="{00000000-0005-0000-0000-000041E70000}"/>
    <cellStyle name="SAPBEXexcCritical4 2 3" xfId="6727" xr:uid="{00000000-0005-0000-0000-000042E70000}"/>
    <cellStyle name="SAPBEXexcCritical4 2 3 2" xfId="60751" xr:uid="{00000000-0005-0000-0000-000043E70000}"/>
    <cellStyle name="SAPBEXexcCritical4 2 4" xfId="6728" xr:uid="{00000000-0005-0000-0000-000044E70000}"/>
    <cellStyle name="SAPBEXexcCritical4 2 4 2" xfId="60752" xr:uid="{00000000-0005-0000-0000-000045E70000}"/>
    <cellStyle name="SAPBEXexcCritical4 2 5" xfId="6729" xr:uid="{00000000-0005-0000-0000-000046E70000}"/>
    <cellStyle name="SAPBEXexcCritical4 2 5 2" xfId="60753" xr:uid="{00000000-0005-0000-0000-000047E70000}"/>
    <cellStyle name="SAPBEXexcCritical4 2 6" xfId="6730" xr:uid="{00000000-0005-0000-0000-000048E70000}"/>
    <cellStyle name="SAPBEXexcCritical4 2 6 2" xfId="60754" xr:uid="{00000000-0005-0000-0000-000049E70000}"/>
    <cellStyle name="SAPBEXexcCritical4 2 7" xfId="6731" xr:uid="{00000000-0005-0000-0000-00004AE70000}"/>
    <cellStyle name="SAPBEXexcCritical4 2 7 2" xfId="60755" xr:uid="{00000000-0005-0000-0000-00004BE70000}"/>
    <cellStyle name="SAPBEXexcCritical4 2 8" xfId="6732" xr:uid="{00000000-0005-0000-0000-00004CE70000}"/>
    <cellStyle name="SAPBEXexcCritical4 2 8 2" xfId="60756" xr:uid="{00000000-0005-0000-0000-00004DE70000}"/>
    <cellStyle name="SAPBEXexcCritical4 2 9" xfId="6733" xr:uid="{00000000-0005-0000-0000-00004EE70000}"/>
    <cellStyle name="SAPBEXexcCritical4 2 9 2" xfId="60757" xr:uid="{00000000-0005-0000-0000-00004FE70000}"/>
    <cellStyle name="SAPBEXexcCritical4 3" xfId="6734" xr:uid="{00000000-0005-0000-0000-000050E70000}"/>
    <cellStyle name="SAPBEXexcCritical4 3 2" xfId="60758" xr:uid="{00000000-0005-0000-0000-000051E70000}"/>
    <cellStyle name="SAPBEXexcCritical4 4" xfId="6735" xr:uid="{00000000-0005-0000-0000-000052E70000}"/>
    <cellStyle name="SAPBEXexcCritical4 4 2" xfId="60759" xr:uid="{00000000-0005-0000-0000-000053E70000}"/>
    <cellStyle name="SAPBEXexcCritical4 5" xfId="6736" xr:uid="{00000000-0005-0000-0000-000054E70000}"/>
    <cellStyle name="SAPBEXexcCritical4 5 2" xfId="60760" xr:uid="{00000000-0005-0000-0000-000055E70000}"/>
    <cellStyle name="SAPBEXexcCritical4 6" xfId="6737" xr:uid="{00000000-0005-0000-0000-000056E70000}"/>
    <cellStyle name="SAPBEXexcCritical4 6 2" xfId="60761" xr:uid="{00000000-0005-0000-0000-000057E70000}"/>
    <cellStyle name="SAPBEXexcCritical4 7" xfId="6738" xr:uid="{00000000-0005-0000-0000-000058E70000}"/>
    <cellStyle name="SAPBEXexcCritical4 7 2" xfId="60762" xr:uid="{00000000-0005-0000-0000-000059E70000}"/>
    <cellStyle name="SAPBEXexcCritical4 8" xfId="6739" xr:uid="{00000000-0005-0000-0000-00005AE70000}"/>
    <cellStyle name="SAPBEXexcCritical4 8 2" xfId="60763" xr:uid="{00000000-0005-0000-0000-00005BE70000}"/>
    <cellStyle name="SAPBEXexcCritical4 9" xfId="6740" xr:uid="{00000000-0005-0000-0000-00005CE70000}"/>
    <cellStyle name="SAPBEXexcCritical4 9 2" xfId="60764" xr:uid="{00000000-0005-0000-0000-00005DE70000}"/>
    <cellStyle name="SAPBEXexcCritical5" xfId="6741" xr:uid="{00000000-0005-0000-0000-00005EE70000}"/>
    <cellStyle name="SAPBEXexcCritical5 10" xfId="6742" xr:uid="{00000000-0005-0000-0000-00005FE70000}"/>
    <cellStyle name="SAPBEXexcCritical5 10 2" xfId="60765" xr:uid="{00000000-0005-0000-0000-000060E70000}"/>
    <cellStyle name="SAPBEXexcCritical5 11" xfId="6743" xr:uid="{00000000-0005-0000-0000-000061E70000}"/>
    <cellStyle name="SAPBEXexcCritical5 11 2" xfId="60766" xr:uid="{00000000-0005-0000-0000-000062E70000}"/>
    <cellStyle name="SAPBEXexcCritical5 12" xfId="6744" xr:uid="{00000000-0005-0000-0000-000063E70000}"/>
    <cellStyle name="SAPBEXexcCritical5 2" xfId="6745" xr:uid="{00000000-0005-0000-0000-000064E70000}"/>
    <cellStyle name="SAPBEXexcCritical5 2 10" xfId="6746" xr:uid="{00000000-0005-0000-0000-000065E70000}"/>
    <cellStyle name="SAPBEXexcCritical5 2 10 2" xfId="60767" xr:uid="{00000000-0005-0000-0000-000066E70000}"/>
    <cellStyle name="SAPBEXexcCritical5 2 11" xfId="6747" xr:uid="{00000000-0005-0000-0000-000067E70000}"/>
    <cellStyle name="SAPBEXexcCritical5 2 2" xfId="6748" xr:uid="{00000000-0005-0000-0000-000068E70000}"/>
    <cellStyle name="SAPBEXexcCritical5 2 2 2" xfId="60768" xr:uid="{00000000-0005-0000-0000-000069E70000}"/>
    <cellStyle name="SAPBEXexcCritical5 2 3" xfId="6749" xr:uid="{00000000-0005-0000-0000-00006AE70000}"/>
    <cellStyle name="SAPBEXexcCritical5 2 3 2" xfId="60769" xr:uid="{00000000-0005-0000-0000-00006BE70000}"/>
    <cellStyle name="SAPBEXexcCritical5 2 4" xfId="6750" xr:uid="{00000000-0005-0000-0000-00006CE70000}"/>
    <cellStyle name="SAPBEXexcCritical5 2 4 2" xfId="60770" xr:uid="{00000000-0005-0000-0000-00006DE70000}"/>
    <cellStyle name="SAPBEXexcCritical5 2 5" xfId="6751" xr:uid="{00000000-0005-0000-0000-00006EE70000}"/>
    <cellStyle name="SAPBEXexcCritical5 2 5 2" xfId="60771" xr:uid="{00000000-0005-0000-0000-00006FE70000}"/>
    <cellStyle name="SAPBEXexcCritical5 2 6" xfId="6752" xr:uid="{00000000-0005-0000-0000-000070E70000}"/>
    <cellStyle name="SAPBEXexcCritical5 2 6 2" xfId="60772" xr:uid="{00000000-0005-0000-0000-000071E70000}"/>
    <cellStyle name="SAPBEXexcCritical5 2 7" xfId="6753" xr:uid="{00000000-0005-0000-0000-000072E70000}"/>
    <cellStyle name="SAPBEXexcCritical5 2 7 2" xfId="60773" xr:uid="{00000000-0005-0000-0000-000073E70000}"/>
    <cellStyle name="SAPBEXexcCritical5 2 8" xfId="6754" xr:uid="{00000000-0005-0000-0000-000074E70000}"/>
    <cellStyle name="SAPBEXexcCritical5 2 8 2" xfId="60774" xr:uid="{00000000-0005-0000-0000-000075E70000}"/>
    <cellStyle name="SAPBEXexcCritical5 2 9" xfId="6755" xr:uid="{00000000-0005-0000-0000-000076E70000}"/>
    <cellStyle name="SAPBEXexcCritical5 2 9 2" xfId="60775" xr:uid="{00000000-0005-0000-0000-000077E70000}"/>
    <cellStyle name="SAPBEXexcCritical5 3" xfId="6756" xr:uid="{00000000-0005-0000-0000-000078E70000}"/>
    <cellStyle name="SAPBEXexcCritical5 3 2" xfId="60776" xr:uid="{00000000-0005-0000-0000-000079E70000}"/>
    <cellStyle name="SAPBEXexcCritical5 4" xfId="6757" xr:uid="{00000000-0005-0000-0000-00007AE70000}"/>
    <cellStyle name="SAPBEXexcCritical5 4 2" xfId="60777" xr:uid="{00000000-0005-0000-0000-00007BE70000}"/>
    <cellStyle name="SAPBEXexcCritical5 5" xfId="6758" xr:uid="{00000000-0005-0000-0000-00007CE70000}"/>
    <cellStyle name="SAPBEXexcCritical5 5 2" xfId="60778" xr:uid="{00000000-0005-0000-0000-00007DE70000}"/>
    <cellStyle name="SAPBEXexcCritical5 6" xfId="6759" xr:uid="{00000000-0005-0000-0000-00007EE70000}"/>
    <cellStyle name="SAPBEXexcCritical5 6 2" xfId="60779" xr:uid="{00000000-0005-0000-0000-00007FE70000}"/>
    <cellStyle name="SAPBEXexcCritical5 7" xfId="6760" xr:uid="{00000000-0005-0000-0000-000080E70000}"/>
    <cellStyle name="SAPBEXexcCritical5 7 2" xfId="60780" xr:uid="{00000000-0005-0000-0000-000081E70000}"/>
    <cellStyle name="SAPBEXexcCritical5 8" xfId="6761" xr:uid="{00000000-0005-0000-0000-000082E70000}"/>
    <cellStyle name="SAPBEXexcCritical5 8 2" xfId="60781" xr:uid="{00000000-0005-0000-0000-000083E70000}"/>
    <cellStyle name="SAPBEXexcCritical5 9" xfId="6762" xr:uid="{00000000-0005-0000-0000-000084E70000}"/>
    <cellStyle name="SAPBEXexcCritical5 9 2" xfId="60782" xr:uid="{00000000-0005-0000-0000-000085E70000}"/>
    <cellStyle name="SAPBEXexcCritical6" xfId="6763" xr:uid="{00000000-0005-0000-0000-000086E70000}"/>
    <cellStyle name="SAPBEXexcCritical6 10" xfId="6764" xr:uid="{00000000-0005-0000-0000-000087E70000}"/>
    <cellStyle name="SAPBEXexcCritical6 10 2" xfId="60783" xr:uid="{00000000-0005-0000-0000-000088E70000}"/>
    <cellStyle name="SAPBEXexcCritical6 11" xfId="6765" xr:uid="{00000000-0005-0000-0000-000089E70000}"/>
    <cellStyle name="SAPBEXexcCritical6 11 2" xfId="60784" xr:uid="{00000000-0005-0000-0000-00008AE70000}"/>
    <cellStyle name="SAPBEXexcCritical6 12" xfId="6766" xr:uid="{00000000-0005-0000-0000-00008BE70000}"/>
    <cellStyle name="SAPBEXexcCritical6 2" xfId="6767" xr:uid="{00000000-0005-0000-0000-00008CE70000}"/>
    <cellStyle name="SAPBEXexcCritical6 2 10" xfId="6768" xr:uid="{00000000-0005-0000-0000-00008DE70000}"/>
    <cellStyle name="SAPBEXexcCritical6 2 10 2" xfId="60785" xr:uid="{00000000-0005-0000-0000-00008EE70000}"/>
    <cellStyle name="SAPBEXexcCritical6 2 11" xfId="6769" xr:uid="{00000000-0005-0000-0000-00008FE70000}"/>
    <cellStyle name="SAPBEXexcCritical6 2 2" xfId="6770" xr:uid="{00000000-0005-0000-0000-000090E70000}"/>
    <cellStyle name="SAPBEXexcCritical6 2 2 2" xfId="60786" xr:uid="{00000000-0005-0000-0000-000091E70000}"/>
    <cellStyle name="SAPBEXexcCritical6 2 3" xfId="6771" xr:uid="{00000000-0005-0000-0000-000092E70000}"/>
    <cellStyle name="SAPBEXexcCritical6 2 3 2" xfId="60787" xr:uid="{00000000-0005-0000-0000-000093E70000}"/>
    <cellStyle name="SAPBEXexcCritical6 2 4" xfId="6772" xr:uid="{00000000-0005-0000-0000-000094E70000}"/>
    <cellStyle name="SAPBEXexcCritical6 2 4 2" xfId="60788" xr:uid="{00000000-0005-0000-0000-000095E70000}"/>
    <cellStyle name="SAPBEXexcCritical6 2 5" xfId="6773" xr:uid="{00000000-0005-0000-0000-000096E70000}"/>
    <cellStyle name="SAPBEXexcCritical6 2 5 2" xfId="60789" xr:uid="{00000000-0005-0000-0000-000097E70000}"/>
    <cellStyle name="SAPBEXexcCritical6 2 6" xfId="6774" xr:uid="{00000000-0005-0000-0000-000098E70000}"/>
    <cellStyle name="SAPBEXexcCritical6 2 6 2" xfId="60790" xr:uid="{00000000-0005-0000-0000-000099E70000}"/>
    <cellStyle name="SAPBEXexcCritical6 2 7" xfId="6775" xr:uid="{00000000-0005-0000-0000-00009AE70000}"/>
    <cellStyle name="SAPBEXexcCritical6 2 7 2" xfId="60791" xr:uid="{00000000-0005-0000-0000-00009BE70000}"/>
    <cellStyle name="SAPBEXexcCritical6 2 8" xfId="6776" xr:uid="{00000000-0005-0000-0000-00009CE70000}"/>
    <cellStyle name="SAPBEXexcCritical6 2 8 2" xfId="60792" xr:uid="{00000000-0005-0000-0000-00009DE70000}"/>
    <cellStyle name="SAPBEXexcCritical6 2 9" xfId="6777" xr:uid="{00000000-0005-0000-0000-00009EE70000}"/>
    <cellStyle name="SAPBEXexcCritical6 2 9 2" xfId="60793" xr:uid="{00000000-0005-0000-0000-00009FE70000}"/>
    <cellStyle name="SAPBEXexcCritical6 3" xfId="6778" xr:uid="{00000000-0005-0000-0000-0000A0E70000}"/>
    <cellStyle name="SAPBEXexcCritical6 3 2" xfId="60794" xr:uid="{00000000-0005-0000-0000-0000A1E70000}"/>
    <cellStyle name="SAPBEXexcCritical6 4" xfId="6779" xr:uid="{00000000-0005-0000-0000-0000A2E70000}"/>
    <cellStyle name="SAPBEXexcCritical6 4 2" xfId="60795" xr:uid="{00000000-0005-0000-0000-0000A3E70000}"/>
    <cellStyle name="SAPBEXexcCritical6 5" xfId="6780" xr:uid="{00000000-0005-0000-0000-0000A4E70000}"/>
    <cellStyle name="SAPBEXexcCritical6 5 2" xfId="60796" xr:uid="{00000000-0005-0000-0000-0000A5E70000}"/>
    <cellStyle name="SAPBEXexcCritical6 6" xfId="6781" xr:uid="{00000000-0005-0000-0000-0000A6E70000}"/>
    <cellStyle name="SAPBEXexcCritical6 6 2" xfId="60797" xr:uid="{00000000-0005-0000-0000-0000A7E70000}"/>
    <cellStyle name="SAPBEXexcCritical6 7" xfId="6782" xr:uid="{00000000-0005-0000-0000-0000A8E70000}"/>
    <cellStyle name="SAPBEXexcCritical6 7 2" xfId="60798" xr:uid="{00000000-0005-0000-0000-0000A9E70000}"/>
    <cellStyle name="SAPBEXexcCritical6 8" xfId="6783" xr:uid="{00000000-0005-0000-0000-0000AAE70000}"/>
    <cellStyle name="SAPBEXexcCritical6 8 2" xfId="60799" xr:uid="{00000000-0005-0000-0000-0000ABE70000}"/>
    <cellStyle name="SAPBEXexcCritical6 9" xfId="6784" xr:uid="{00000000-0005-0000-0000-0000ACE70000}"/>
    <cellStyle name="SAPBEXexcCritical6 9 2" xfId="60800" xr:uid="{00000000-0005-0000-0000-0000ADE70000}"/>
    <cellStyle name="SAPBEXexcGood1" xfId="6785" xr:uid="{00000000-0005-0000-0000-0000AEE70000}"/>
    <cellStyle name="SAPBEXexcGood1 10" xfId="6786" xr:uid="{00000000-0005-0000-0000-0000AFE70000}"/>
    <cellStyle name="SAPBEXexcGood1 10 2" xfId="60801" xr:uid="{00000000-0005-0000-0000-0000B0E70000}"/>
    <cellStyle name="SAPBEXexcGood1 11" xfId="6787" xr:uid="{00000000-0005-0000-0000-0000B1E70000}"/>
    <cellStyle name="SAPBEXexcGood1 2" xfId="6788" xr:uid="{00000000-0005-0000-0000-0000B2E70000}"/>
    <cellStyle name="SAPBEXexcGood1 2 2" xfId="60802" xr:uid="{00000000-0005-0000-0000-0000B3E70000}"/>
    <cellStyle name="SAPBEXexcGood1 3" xfId="6789" xr:uid="{00000000-0005-0000-0000-0000B4E70000}"/>
    <cellStyle name="SAPBEXexcGood1 3 2" xfId="60803" xr:uid="{00000000-0005-0000-0000-0000B5E70000}"/>
    <cellStyle name="SAPBEXexcGood1 4" xfId="6790" xr:uid="{00000000-0005-0000-0000-0000B6E70000}"/>
    <cellStyle name="SAPBEXexcGood1 4 2" xfId="60804" xr:uid="{00000000-0005-0000-0000-0000B7E70000}"/>
    <cellStyle name="SAPBEXexcGood1 5" xfId="6791" xr:uid="{00000000-0005-0000-0000-0000B8E70000}"/>
    <cellStyle name="SAPBEXexcGood1 5 2" xfId="60805" xr:uid="{00000000-0005-0000-0000-0000B9E70000}"/>
    <cellStyle name="SAPBEXexcGood1 6" xfId="6792" xr:uid="{00000000-0005-0000-0000-0000BAE70000}"/>
    <cellStyle name="SAPBEXexcGood1 6 2" xfId="60806" xr:uid="{00000000-0005-0000-0000-0000BBE70000}"/>
    <cellStyle name="SAPBEXexcGood1 7" xfId="6793" xr:uid="{00000000-0005-0000-0000-0000BCE70000}"/>
    <cellStyle name="SAPBEXexcGood1 7 2" xfId="60807" xr:uid="{00000000-0005-0000-0000-0000BDE70000}"/>
    <cellStyle name="SAPBEXexcGood1 8" xfId="6794" xr:uid="{00000000-0005-0000-0000-0000BEE70000}"/>
    <cellStyle name="SAPBEXexcGood1 8 2" xfId="60808" xr:uid="{00000000-0005-0000-0000-0000BFE70000}"/>
    <cellStyle name="SAPBEXexcGood1 9" xfId="6795" xr:uid="{00000000-0005-0000-0000-0000C0E70000}"/>
    <cellStyle name="SAPBEXexcGood1 9 2" xfId="60809" xr:uid="{00000000-0005-0000-0000-0000C1E70000}"/>
    <cellStyle name="SAPBEXexcGood2" xfId="6796" xr:uid="{00000000-0005-0000-0000-0000C2E70000}"/>
    <cellStyle name="SAPBEXexcGood2 10" xfId="6797" xr:uid="{00000000-0005-0000-0000-0000C3E70000}"/>
    <cellStyle name="SAPBEXexcGood2 10 2" xfId="60810" xr:uid="{00000000-0005-0000-0000-0000C4E70000}"/>
    <cellStyle name="SAPBEXexcGood2 11" xfId="6798" xr:uid="{00000000-0005-0000-0000-0000C5E70000}"/>
    <cellStyle name="SAPBEXexcGood2 2" xfId="6799" xr:uid="{00000000-0005-0000-0000-0000C6E70000}"/>
    <cellStyle name="SAPBEXexcGood2 2 2" xfId="60811" xr:uid="{00000000-0005-0000-0000-0000C7E70000}"/>
    <cellStyle name="SAPBEXexcGood2 3" xfId="6800" xr:uid="{00000000-0005-0000-0000-0000C8E70000}"/>
    <cellStyle name="SAPBEXexcGood2 3 2" xfId="60812" xr:uid="{00000000-0005-0000-0000-0000C9E70000}"/>
    <cellStyle name="SAPBEXexcGood2 4" xfId="6801" xr:uid="{00000000-0005-0000-0000-0000CAE70000}"/>
    <cellStyle name="SAPBEXexcGood2 4 2" xfId="60813" xr:uid="{00000000-0005-0000-0000-0000CBE70000}"/>
    <cellStyle name="SAPBEXexcGood2 5" xfId="6802" xr:uid="{00000000-0005-0000-0000-0000CCE70000}"/>
    <cellStyle name="SAPBEXexcGood2 5 2" xfId="60814" xr:uid="{00000000-0005-0000-0000-0000CDE70000}"/>
    <cellStyle name="SAPBEXexcGood2 6" xfId="6803" xr:uid="{00000000-0005-0000-0000-0000CEE70000}"/>
    <cellStyle name="SAPBEXexcGood2 6 2" xfId="60815" xr:uid="{00000000-0005-0000-0000-0000CFE70000}"/>
    <cellStyle name="SAPBEXexcGood2 7" xfId="6804" xr:uid="{00000000-0005-0000-0000-0000D0E70000}"/>
    <cellStyle name="SAPBEXexcGood2 7 2" xfId="60816" xr:uid="{00000000-0005-0000-0000-0000D1E70000}"/>
    <cellStyle name="SAPBEXexcGood2 8" xfId="6805" xr:uid="{00000000-0005-0000-0000-0000D2E70000}"/>
    <cellStyle name="SAPBEXexcGood2 8 2" xfId="60817" xr:uid="{00000000-0005-0000-0000-0000D3E70000}"/>
    <cellStyle name="SAPBEXexcGood2 9" xfId="6806" xr:uid="{00000000-0005-0000-0000-0000D4E70000}"/>
    <cellStyle name="SAPBEXexcGood2 9 2" xfId="60818" xr:uid="{00000000-0005-0000-0000-0000D5E70000}"/>
    <cellStyle name="SAPBEXexcGood3" xfId="6807" xr:uid="{00000000-0005-0000-0000-0000D6E70000}"/>
    <cellStyle name="SAPBEXexcGood3 10" xfId="6808" xr:uid="{00000000-0005-0000-0000-0000D7E70000}"/>
    <cellStyle name="SAPBEXexcGood3 10 2" xfId="60819" xr:uid="{00000000-0005-0000-0000-0000D8E70000}"/>
    <cellStyle name="SAPBEXexcGood3 11" xfId="6809" xr:uid="{00000000-0005-0000-0000-0000D9E70000}"/>
    <cellStyle name="SAPBEXexcGood3 11 2" xfId="60820" xr:uid="{00000000-0005-0000-0000-0000DAE70000}"/>
    <cellStyle name="SAPBEXexcGood3 12" xfId="6810" xr:uid="{00000000-0005-0000-0000-0000DBE70000}"/>
    <cellStyle name="SAPBEXexcGood3 2" xfId="6811" xr:uid="{00000000-0005-0000-0000-0000DCE70000}"/>
    <cellStyle name="SAPBEXexcGood3 2 10" xfId="6812" xr:uid="{00000000-0005-0000-0000-0000DDE70000}"/>
    <cellStyle name="SAPBEXexcGood3 2 10 2" xfId="60821" xr:uid="{00000000-0005-0000-0000-0000DEE70000}"/>
    <cellStyle name="SAPBEXexcGood3 2 11" xfId="6813" xr:uid="{00000000-0005-0000-0000-0000DFE70000}"/>
    <cellStyle name="SAPBEXexcGood3 2 2" xfId="6814" xr:uid="{00000000-0005-0000-0000-0000E0E70000}"/>
    <cellStyle name="SAPBEXexcGood3 2 2 2" xfId="60822" xr:uid="{00000000-0005-0000-0000-0000E1E70000}"/>
    <cellStyle name="SAPBEXexcGood3 2 3" xfId="6815" xr:uid="{00000000-0005-0000-0000-0000E2E70000}"/>
    <cellStyle name="SAPBEXexcGood3 2 3 2" xfId="60823" xr:uid="{00000000-0005-0000-0000-0000E3E70000}"/>
    <cellStyle name="SAPBEXexcGood3 2 4" xfId="6816" xr:uid="{00000000-0005-0000-0000-0000E4E70000}"/>
    <cellStyle name="SAPBEXexcGood3 2 4 2" xfId="60824" xr:uid="{00000000-0005-0000-0000-0000E5E70000}"/>
    <cellStyle name="SAPBEXexcGood3 2 5" xfId="6817" xr:uid="{00000000-0005-0000-0000-0000E6E70000}"/>
    <cellStyle name="SAPBEXexcGood3 2 5 2" xfId="60825" xr:uid="{00000000-0005-0000-0000-0000E7E70000}"/>
    <cellStyle name="SAPBEXexcGood3 2 6" xfId="6818" xr:uid="{00000000-0005-0000-0000-0000E8E70000}"/>
    <cellStyle name="SAPBEXexcGood3 2 6 2" xfId="60826" xr:uid="{00000000-0005-0000-0000-0000E9E70000}"/>
    <cellStyle name="SAPBEXexcGood3 2 7" xfId="6819" xr:uid="{00000000-0005-0000-0000-0000EAE70000}"/>
    <cellStyle name="SAPBEXexcGood3 2 7 2" xfId="60827" xr:uid="{00000000-0005-0000-0000-0000EBE70000}"/>
    <cellStyle name="SAPBEXexcGood3 2 8" xfId="6820" xr:uid="{00000000-0005-0000-0000-0000ECE70000}"/>
    <cellStyle name="SAPBEXexcGood3 2 8 2" xfId="60828" xr:uid="{00000000-0005-0000-0000-0000EDE70000}"/>
    <cellStyle name="SAPBEXexcGood3 2 9" xfId="6821" xr:uid="{00000000-0005-0000-0000-0000EEE70000}"/>
    <cellStyle name="SAPBEXexcGood3 2 9 2" xfId="60829" xr:uid="{00000000-0005-0000-0000-0000EFE70000}"/>
    <cellStyle name="SAPBEXexcGood3 3" xfId="6822" xr:uid="{00000000-0005-0000-0000-0000F0E70000}"/>
    <cellStyle name="SAPBEXexcGood3 3 2" xfId="60830" xr:uid="{00000000-0005-0000-0000-0000F1E70000}"/>
    <cellStyle name="SAPBEXexcGood3 4" xfId="6823" xr:uid="{00000000-0005-0000-0000-0000F2E70000}"/>
    <cellStyle name="SAPBEXexcGood3 4 2" xfId="60831" xr:uid="{00000000-0005-0000-0000-0000F3E70000}"/>
    <cellStyle name="SAPBEXexcGood3 5" xfId="6824" xr:uid="{00000000-0005-0000-0000-0000F4E70000}"/>
    <cellStyle name="SAPBEXexcGood3 5 2" xfId="60832" xr:uid="{00000000-0005-0000-0000-0000F5E70000}"/>
    <cellStyle name="SAPBEXexcGood3 6" xfId="6825" xr:uid="{00000000-0005-0000-0000-0000F6E70000}"/>
    <cellStyle name="SAPBEXexcGood3 6 2" xfId="60833" xr:uid="{00000000-0005-0000-0000-0000F7E70000}"/>
    <cellStyle name="SAPBEXexcGood3 7" xfId="6826" xr:uid="{00000000-0005-0000-0000-0000F8E70000}"/>
    <cellStyle name="SAPBEXexcGood3 7 2" xfId="60834" xr:uid="{00000000-0005-0000-0000-0000F9E70000}"/>
    <cellStyle name="SAPBEXexcGood3 8" xfId="6827" xr:uid="{00000000-0005-0000-0000-0000FAE70000}"/>
    <cellStyle name="SAPBEXexcGood3 8 2" xfId="60835" xr:uid="{00000000-0005-0000-0000-0000FBE70000}"/>
    <cellStyle name="SAPBEXexcGood3 9" xfId="6828" xr:uid="{00000000-0005-0000-0000-0000FCE70000}"/>
    <cellStyle name="SAPBEXexcGood3 9 2" xfId="60836" xr:uid="{00000000-0005-0000-0000-0000FDE70000}"/>
    <cellStyle name="SAPBEXfilterDrill" xfId="6829" xr:uid="{00000000-0005-0000-0000-0000FEE70000}"/>
    <cellStyle name="SAPBEXfilterDrill 2" xfId="6830" xr:uid="{00000000-0005-0000-0000-0000FFE70000}"/>
    <cellStyle name="SAPBEXfilterItem" xfId="6831" xr:uid="{00000000-0005-0000-0000-000000E80000}"/>
    <cellStyle name="SAPBEXfilterItem 2" xfId="6832" xr:uid="{00000000-0005-0000-0000-000001E80000}"/>
    <cellStyle name="SAPBEXfilterText" xfId="6833" xr:uid="{00000000-0005-0000-0000-000002E80000}"/>
    <cellStyle name="SAPBEXfilterText 2" xfId="6834" xr:uid="{00000000-0005-0000-0000-000003E80000}"/>
    <cellStyle name="SAPBEXformats" xfId="6835" xr:uid="{00000000-0005-0000-0000-000004E80000}"/>
    <cellStyle name="SAPBEXformats 10" xfId="6836" xr:uid="{00000000-0005-0000-0000-000005E80000}"/>
    <cellStyle name="SAPBEXformats 10 2" xfId="60837" xr:uid="{00000000-0005-0000-0000-000006E80000}"/>
    <cellStyle name="SAPBEXformats 11" xfId="6837" xr:uid="{00000000-0005-0000-0000-000007E80000}"/>
    <cellStyle name="SAPBEXformats 11 2" xfId="60838" xr:uid="{00000000-0005-0000-0000-000008E80000}"/>
    <cellStyle name="SAPBEXformats 12" xfId="6838" xr:uid="{00000000-0005-0000-0000-000009E80000}"/>
    <cellStyle name="SAPBEXformats 2" xfId="6839" xr:uid="{00000000-0005-0000-0000-00000AE80000}"/>
    <cellStyle name="SAPBEXformats 2 10" xfId="6840" xr:uid="{00000000-0005-0000-0000-00000BE80000}"/>
    <cellStyle name="SAPBEXformats 2 10 2" xfId="60839" xr:uid="{00000000-0005-0000-0000-00000CE80000}"/>
    <cellStyle name="SAPBEXformats 2 11" xfId="6841" xr:uid="{00000000-0005-0000-0000-00000DE80000}"/>
    <cellStyle name="SAPBEXformats 2 2" xfId="6842" xr:uid="{00000000-0005-0000-0000-00000EE80000}"/>
    <cellStyle name="SAPBEXformats 2 2 2" xfId="60840" xr:uid="{00000000-0005-0000-0000-00000FE80000}"/>
    <cellStyle name="SAPBEXformats 2 3" xfId="6843" xr:uid="{00000000-0005-0000-0000-000010E80000}"/>
    <cellStyle name="SAPBEXformats 2 3 2" xfId="60841" xr:uid="{00000000-0005-0000-0000-000011E80000}"/>
    <cellStyle name="SAPBEXformats 2 4" xfId="6844" xr:uid="{00000000-0005-0000-0000-000012E80000}"/>
    <cellStyle name="SAPBEXformats 2 4 2" xfId="60842" xr:uid="{00000000-0005-0000-0000-000013E80000}"/>
    <cellStyle name="SAPBEXformats 2 5" xfId="6845" xr:uid="{00000000-0005-0000-0000-000014E80000}"/>
    <cellStyle name="SAPBEXformats 2 5 2" xfId="60843" xr:uid="{00000000-0005-0000-0000-000015E80000}"/>
    <cellStyle name="SAPBEXformats 2 6" xfId="6846" xr:uid="{00000000-0005-0000-0000-000016E80000}"/>
    <cellStyle name="SAPBEXformats 2 6 2" xfId="60844" xr:uid="{00000000-0005-0000-0000-000017E80000}"/>
    <cellStyle name="SAPBEXformats 2 7" xfId="6847" xr:uid="{00000000-0005-0000-0000-000018E80000}"/>
    <cellStyle name="SAPBEXformats 2 7 2" xfId="60845" xr:uid="{00000000-0005-0000-0000-000019E80000}"/>
    <cellStyle name="SAPBEXformats 2 8" xfId="6848" xr:uid="{00000000-0005-0000-0000-00001AE80000}"/>
    <cellStyle name="SAPBEXformats 2 8 2" xfId="60846" xr:uid="{00000000-0005-0000-0000-00001BE80000}"/>
    <cellStyle name="SAPBEXformats 2 9" xfId="6849" xr:uid="{00000000-0005-0000-0000-00001CE80000}"/>
    <cellStyle name="SAPBEXformats 2 9 2" xfId="60847" xr:uid="{00000000-0005-0000-0000-00001DE80000}"/>
    <cellStyle name="SAPBEXformats 3" xfId="6850" xr:uid="{00000000-0005-0000-0000-00001EE80000}"/>
    <cellStyle name="SAPBEXformats 3 2" xfId="60848" xr:uid="{00000000-0005-0000-0000-00001FE80000}"/>
    <cellStyle name="SAPBEXformats 4" xfId="6851" xr:uid="{00000000-0005-0000-0000-000020E80000}"/>
    <cellStyle name="SAPBEXformats 4 2" xfId="60849" xr:uid="{00000000-0005-0000-0000-000021E80000}"/>
    <cellStyle name="SAPBEXformats 5" xfId="6852" xr:uid="{00000000-0005-0000-0000-000022E80000}"/>
    <cellStyle name="SAPBEXformats 5 2" xfId="60850" xr:uid="{00000000-0005-0000-0000-000023E80000}"/>
    <cellStyle name="SAPBEXformats 6" xfId="6853" xr:uid="{00000000-0005-0000-0000-000024E80000}"/>
    <cellStyle name="SAPBEXformats 6 2" xfId="60851" xr:uid="{00000000-0005-0000-0000-000025E80000}"/>
    <cellStyle name="SAPBEXformats 7" xfId="6854" xr:uid="{00000000-0005-0000-0000-000026E80000}"/>
    <cellStyle name="SAPBEXformats 7 2" xfId="60852" xr:uid="{00000000-0005-0000-0000-000027E80000}"/>
    <cellStyle name="SAPBEXformats 8" xfId="6855" xr:uid="{00000000-0005-0000-0000-000028E80000}"/>
    <cellStyle name="SAPBEXformats 8 2" xfId="60853" xr:uid="{00000000-0005-0000-0000-000029E80000}"/>
    <cellStyle name="SAPBEXformats 9" xfId="6856" xr:uid="{00000000-0005-0000-0000-00002AE80000}"/>
    <cellStyle name="SAPBEXformats 9 2" xfId="60854" xr:uid="{00000000-0005-0000-0000-00002BE80000}"/>
    <cellStyle name="SAPBEXheaderItem" xfId="6857" xr:uid="{00000000-0005-0000-0000-00002CE80000}"/>
    <cellStyle name="SAPBEXheaderItem 2" xfId="6858" xr:uid="{00000000-0005-0000-0000-00002DE80000}"/>
    <cellStyle name="SAPBEXheaderText" xfId="6859" xr:uid="{00000000-0005-0000-0000-00002EE80000}"/>
    <cellStyle name="SAPBEXheaderText 2" xfId="6860" xr:uid="{00000000-0005-0000-0000-00002FE80000}"/>
    <cellStyle name="SAPBEXHLevel0" xfId="6861" xr:uid="{00000000-0005-0000-0000-000030E80000}"/>
    <cellStyle name="SAPBEXHLevel0 10" xfId="6862" xr:uid="{00000000-0005-0000-0000-000031E80000}"/>
    <cellStyle name="SAPBEXHLevel0 10 2" xfId="60855" xr:uid="{00000000-0005-0000-0000-000032E80000}"/>
    <cellStyle name="SAPBEXHLevel0 11" xfId="6863" xr:uid="{00000000-0005-0000-0000-000033E80000}"/>
    <cellStyle name="SAPBEXHLevel0 11 2" xfId="60856" xr:uid="{00000000-0005-0000-0000-000034E80000}"/>
    <cellStyle name="SAPBEXHLevel0 12" xfId="6864" xr:uid="{00000000-0005-0000-0000-000035E80000}"/>
    <cellStyle name="SAPBEXHLevel0 2" xfId="6865" xr:uid="{00000000-0005-0000-0000-000036E80000}"/>
    <cellStyle name="SAPBEXHLevel0 2 10" xfId="6866" xr:uid="{00000000-0005-0000-0000-000037E80000}"/>
    <cellStyle name="SAPBEXHLevel0 2 10 2" xfId="60857" xr:uid="{00000000-0005-0000-0000-000038E80000}"/>
    <cellStyle name="SAPBEXHLevel0 2 11" xfId="6867" xr:uid="{00000000-0005-0000-0000-000039E80000}"/>
    <cellStyle name="SAPBEXHLevel0 2 2" xfId="6868" xr:uid="{00000000-0005-0000-0000-00003AE80000}"/>
    <cellStyle name="SAPBEXHLevel0 2 2 2" xfId="60858" xr:uid="{00000000-0005-0000-0000-00003BE80000}"/>
    <cellStyle name="SAPBEXHLevel0 2 3" xfId="6869" xr:uid="{00000000-0005-0000-0000-00003CE80000}"/>
    <cellStyle name="SAPBEXHLevel0 2 3 2" xfId="60859" xr:uid="{00000000-0005-0000-0000-00003DE80000}"/>
    <cellStyle name="SAPBEXHLevel0 2 4" xfId="6870" xr:uid="{00000000-0005-0000-0000-00003EE80000}"/>
    <cellStyle name="SAPBEXHLevel0 2 4 2" xfId="60860" xr:uid="{00000000-0005-0000-0000-00003FE80000}"/>
    <cellStyle name="SAPBEXHLevel0 2 5" xfId="6871" xr:uid="{00000000-0005-0000-0000-000040E80000}"/>
    <cellStyle name="SAPBEXHLevel0 2 5 2" xfId="60861" xr:uid="{00000000-0005-0000-0000-000041E80000}"/>
    <cellStyle name="SAPBEXHLevel0 2 6" xfId="6872" xr:uid="{00000000-0005-0000-0000-000042E80000}"/>
    <cellStyle name="SAPBEXHLevel0 2 6 2" xfId="60862" xr:uid="{00000000-0005-0000-0000-000043E80000}"/>
    <cellStyle name="SAPBEXHLevel0 2 7" xfId="6873" xr:uid="{00000000-0005-0000-0000-000044E80000}"/>
    <cellStyle name="SAPBEXHLevel0 2 7 2" xfId="60863" xr:uid="{00000000-0005-0000-0000-000045E80000}"/>
    <cellStyle name="SAPBEXHLevel0 2 8" xfId="6874" xr:uid="{00000000-0005-0000-0000-000046E80000}"/>
    <cellStyle name="SAPBEXHLevel0 2 8 2" xfId="60864" xr:uid="{00000000-0005-0000-0000-000047E80000}"/>
    <cellStyle name="SAPBEXHLevel0 2 9" xfId="6875" xr:uid="{00000000-0005-0000-0000-000048E80000}"/>
    <cellStyle name="SAPBEXHLevel0 2 9 2" xfId="60865" xr:uid="{00000000-0005-0000-0000-000049E80000}"/>
    <cellStyle name="SAPBEXHLevel0 3" xfId="6876" xr:uid="{00000000-0005-0000-0000-00004AE80000}"/>
    <cellStyle name="SAPBEXHLevel0 3 2" xfId="60866" xr:uid="{00000000-0005-0000-0000-00004BE80000}"/>
    <cellStyle name="SAPBEXHLevel0 4" xfId="6877" xr:uid="{00000000-0005-0000-0000-00004CE80000}"/>
    <cellStyle name="SAPBEXHLevel0 4 2" xfId="60867" xr:uid="{00000000-0005-0000-0000-00004DE80000}"/>
    <cellStyle name="SAPBEXHLevel0 5" xfId="6878" xr:uid="{00000000-0005-0000-0000-00004EE80000}"/>
    <cellStyle name="SAPBEXHLevel0 5 2" xfId="60868" xr:uid="{00000000-0005-0000-0000-00004FE80000}"/>
    <cellStyle name="SAPBEXHLevel0 6" xfId="6879" xr:uid="{00000000-0005-0000-0000-000050E80000}"/>
    <cellStyle name="SAPBEXHLevel0 6 2" xfId="60869" xr:uid="{00000000-0005-0000-0000-000051E80000}"/>
    <cellStyle name="SAPBEXHLevel0 7" xfId="6880" xr:uid="{00000000-0005-0000-0000-000052E80000}"/>
    <cellStyle name="SAPBEXHLevel0 7 2" xfId="60870" xr:uid="{00000000-0005-0000-0000-000053E80000}"/>
    <cellStyle name="SAPBEXHLevel0 8" xfId="6881" xr:uid="{00000000-0005-0000-0000-000054E80000}"/>
    <cellStyle name="SAPBEXHLevel0 8 2" xfId="60871" xr:uid="{00000000-0005-0000-0000-000055E80000}"/>
    <cellStyle name="SAPBEXHLevel0 9" xfId="6882" xr:uid="{00000000-0005-0000-0000-000056E80000}"/>
    <cellStyle name="SAPBEXHLevel0 9 2" xfId="60872" xr:uid="{00000000-0005-0000-0000-000057E80000}"/>
    <cellStyle name="SAPBEXHLevel0X" xfId="6883" xr:uid="{00000000-0005-0000-0000-000058E80000}"/>
    <cellStyle name="SAPBEXHLevel0X 10" xfId="6884" xr:uid="{00000000-0005-0000-0000-000059E80000}"/>
    <cellStyle name="SAPBEXHLevel0X 10 2" xfId="60873" xr:uid="{00000000-0005-0000-0000-00005AE80000}"/>
    <cellStyle name="SAPBEXHLevel0X 11" xfId="6885" xr:uid="{00000000-0005-0000-0000-00005BE80000}"/>
    <cellStyle name="SAPBEXHLevel0X 11 2" xfId="60874" xr:uid="{00000000-0005-0000-0000-00005CE80000}"/>
    <cellStyle name="SAPBEXHLevel0X 12" xfId="6886" xr:uid="{00000000-0005-0000-0000-00005DE80000}"/>
    <cellStyle name="SAPBEXHLevel0X 2" xfId="6887" xr:uid="{00000000-0005-0000-0000-00005EE80000}"/>
    <cellStyle name="SAPBEXHLevel0X 2 10" xfId="6888" xr:uid="{00000000-0005-0000-0000-00005FE80000}"/>
    <cellStyle name="SAPBEXHLevel0X 2 10 2" xfId="60875" xr:uid="{00000000-0005-0000-0000-000060E80000}"/>
    <cellStyle name="SAPBEXHLevel0X 2 11" xfId="6889" xr:uid="{00000000-0005-0000-0000-000061E80000}"/>
    <cellStyle name="SAPBEXHLevel0X 2 2" xfId="6890" xr:uid="{00000000-0005-0000-0000-000062E80000}"/>
    <cellStyle name="SAPBEXHLevel0X 2 2 2" xfId="60876" xr:uid="{00000000-0005-0000-0000-000063E80000}"/>
    <cellStyle name="SAPBEXHLevel0X 2 3" xfId="6891" xr:uid="{00000000-0005-0000-0000-000064E80000}"/>
    <cellStyle name="SAPBEXHLevel0X 2 3 2" xfId="60877" xr:uid="{00000000-0005-0000-0000-000065E80000}"/>
    <cellStyle name="SAPBEXHLevel0X 2 4" xfId="6892" xr:uid="{00000000-0005-0000-0000-000066E80000}"/>
    <cellStyle name="SAPBEXHLevel0X 2 4 2" xfId="60878" xr:uid="{00000000-0005-0000-0000-000067E80000}"/>
    <cellStyle name="SAPBEXHLevel0X 2 5" xfId="6893" xr:uid="{00000000-0005-0000-0000-000068E80000}"/>
    <cellStyle name="SAPBEXHLevel0X 2 5 2" xfId="60879" xr:uid="{00000000-0005-0000-0000-000069E80000}"/>
    <cellStyle name="SAPBEXHLevel0X 2 6" xfId="6894" xr:uid="{00000000-0005-0000-0000-00006AE80000}"/>
    <cellStyle name="SAPBEXHLevel0X 2 6 2" xfId="60880" xr:uid="{00000000-0005-0000-0000-00006BE80000}"/>
    <cellStyle name="SAPBEXHLevel0X 2 7" xfId="6895" xr:uid="{00000000-0005-0000-0000-00006CE80000}"/>
    <cellStyle name="SAPBEXHLevel0X 2 7 2" xfId="60881" xr:uid="{00000000-0005-0000-0000-00006DE80000}"/>
    <cellStyle name="SAPBEXHLevel0X 2 8" xfId="6896" xr:uid="{00000000-0005-0000-0000-00006EE80000}"/>
    <cellStyle name="SAPBEXHLevel0X 2 8 2" xfId="60882" xr:uid="{00000000-0005-0000-0000-00006FE80000}"/>
    <cellStyle name="SAPBEXHLevel0X 2 9" xfId="6897" xr:uid="{00000000-0005-0000-0000-000070E80000}"/>
    <cellStyle name="SAPBEXHLevel0X 2 9 2" xfId="60883" xr:uid="{00000000-0005-0000-0000-000071E80000}"/>
    <cellStyle name="SAPBEXHLevel0X 3" xfId="6898" xr:uid="{00000000-0005-0000-0000-000072E80000}"/>
    <cellStyle name="SAPBEXHLevel0X 3 2" xfId="60884" xr:uid="{00000000-0005-0000-0000-000073E80000}"/>
    <cellStyle name="SAPBEXHLevel0X 4" xfId="6899" xr:uid="{00000000-0005-0000-0000-000074E80000}"/>
    <cellStyle name="SAPBEXHLevel0X 4 2" xfId="60885" xr:uid="{00000000-0005-0000-0000-000075E80000}"/>
    <cellStyle name="SAPBEXHLevel0X 5" xfId="6900" xr:uid="{00000000-0005-0000-0000-000076E80000}"/>
    <cellStyle name="SAPBEXHLevel0X 5 2" xfId="60886" xr:uid="{00000000-0005-0000-0000-000077E80000}"/>
    <cellStyle name="SAPBEXHLevel0X 6" xfId="6901" xr:uid="{00000000-0005-0000-0000-000078E80000}"/>
    <cellStyle name="SAPBEXHLevel0X 6 2" xfId="60887" xr:uid="{00000000-0005-0000-0000-000079E80000}"/>
    <cellStyle name="SAPBEXHLevel0X 7" xfId="6902" xr:uid="{00000000-0005-0000-0000-00007AE80000}"/>
    <cellStyle name="SAPBEXHLevel0X 7 2" xfId="60888" xr:uid="{00000000-0005-0000-0000-00007BE80000}"/>
    <cellStyle name="SAPBEXHLevel0X 8" xfId="6903" xr:uid="{00000000-0005-0000-0000-00007CE80000}"/>
    <cellStyle name="SAPBEXHLevel0X 8 2" xfId="60889" xr:uid="{00000000-0005-0000-0000-00007DE80000}"/>
    <cellStyle name="SAPBEXHLevel0X 9" xfId="6904" xr:uid="{00000000-0005-0000-0000-00007EE80000}"/>
    <cellStyle name="SAPBEXHLevel0X 9 2" xfId="60890" xr:uid="{00000000-0005-0000-0000-00007FE80000}"/>
    <cellStyle name="SAPBEXHLevel1" xfId="6905" xr:uid="{00000000-0005-0000-0000-000080E80000}"/>
    <cellStyle name="SAPBEXHLevel1 10" xfId="6906" xr:uid="{00000000-0005-0000-0000-000081E80000}"/>
    <cellStyle name="SAPBEXHLevel1 10 2" xfId="60891" xr:uid="{00000000-0005-0000-0000-000082E80000}"/>
    <cellStyle name="SAPBEXHLevel1 11" xfId="6907" xr:uid="{00000000-0005-0000-0000-000083E80000}"/>
    <cellStyle name="SAPBEXHLevel1 11 2" xfId="60892" xr:uid="{00000000-0005-0000-0000-000084E80000}"/>
    <cellStyle name="SAPBEXHLevel1 12" xfId="6908" xr:uid="{00000000-0005-0000-0000-000085E80000}"/>
    <cellStyle name="SAPBEXHLevel1 2" xfId="6909" xr:uid="{00000000-0005-0000-0000-000086E80000}"/>
    <cellStyle name="SAPBEXHLevel1 2 10" xfId="6910" xr:uid="{00000000-0005-0000-0000-000087E80000}"/>
    <cellStyle name="SAPBEXHLevel1 2 10 2" xfId="60893" xr:uid="{00000000-0005-0000-0000-000088E80000}"/>
    <cellStyle name="SAPBEXHLevel1 2 11" xfId="6911" xr:uid="{00000000-0005-0000-0000-000089E80000}"/>
    <cellStyle name="SAPBEXHLevel1 2 2" xfId="6912" xr:uid="{00000000-0005-0000-0000-00008AE80000}"/>
    <cellStyle name="SAPBEXHLevel1 2 2 2" xfId="60894" xr:uid="{00000000-0005-0000-0000-00008BE80000}"/>
    <cellStyle name="SAPBEXHLevel1 2 3" xfId="6913" xr:uid="{00000000-0005-0000-0000-00008CE80000}"/>
    <cellStyle name="SAPBEXHLevel1 2 3 2" xfId="60895" xr:uid="{00000000-0005-0000-0000-00008DE80000}"/>
    <cellStyle name="SAPBEXHLevel1 2 4" xfId="6914" xr:uid="{00000000-0005-0000-0000-00008EE80000}"/>
    <cellStyle name="SAPBEXHLevel1 2 4 2" xfId="60896" xr:uid="{00000000-0005-0000-0000-00008FE80000}"/>
    <cellStyle name="SAPBEXHLevel1 2 5" xfId="6915" xr:uid="{00000000-0005-0000-0000-000090E80000}"/>
    <cellStyle name="SAPBEXHLevel1 2 5 2" xfId="60897" xr:uid="{00000000-0005-0000-0000-000091E80000}"/>
    <cellStyle name="SAPBEXHLevel1 2 6" xfId="6916" xr:uid="{00000000-0005-0000-0000-000092E80000}"/>
    <cellStyle name="SAPBEXHLevel1 2 6 2" xfId="60898" xr:uid="{00000000-0005-0000-0000-000093E80000}"/>
    <cellStyle name="SAPBEXHLevel1 2 7" xfId="6917" xr:uid="{00000000-0005-0000-0000-000094E80000}"/>
    <cellStyle name="SAPBEXHLevel1 2 7 2" xfId="60899" xr:uid="{00000000-0005-0000-0000-000095E80000}"/>
    <cellStyle name="SAPBEXHLevel1 2 8" xfId="6918" xr:uid="{00000000-0005-0000-0000-000096E80000}"/>
    <cellStyle name="SAPBEXHLevel1 2 8 2" xfId="60900" xr:uid="{00000000-0005-0000-0000-000097E80000}"/>
    <cellStyle name="SAPBEXHLevel1 2 9" xfId="6919" xr:uid="{00000000-0005-0000-0000-000098E80000}"/>
    <cellStyle name="SAPBEXHLevel1 2 9 2" xfId="60901" xr:uid="{00000000-0005-0000-0000-000099E80000}"/>
    <cellStyle name="SAPBEXHLevel1 3" xfId="6920" xr:uid="{00000000-0005-0000-0000-00009AE80000}"/>
    <cellStyle name="SAPBEXHLevel1 3 2" xfId="60902" xr:uid="{00000000-0005-0000-0000-00009BE80000}"/>
    <cellStyle name="SAPBEXHLevel1 4" xfId="6921" xr:uid="{00000000-0005-0000-0000-00009CE80000}"/>
    <cellStyle name="SAPBEXHLevel1 4 2" xfId="60903" xr:uid="{00000000-0005-0000-0000-00009DE80000}"/>
    <cellStyle name="SAPBEXHLevel1 5" xfId="6922" xr:uid="{00000000-0005-0000-0000-00009EE80000}"/>
    <cellStyle name="SAPBEXHLevel1 5 2" xfId="60904" xr:uid="{00000000-0005-0000-0000-00009FE80000}"/>
    <cellStyle name="SAPBEXHLevel1 6" xfId="6923" xr:uid="{00000000-0005-0000-0000-0000A0E80000}"/>
    <cellStyle name="SAPBEXHLevel1 6 2" xfId="60905" xr:uid="{00000000-0005-0000-0000-0000A1E80000}"/>
    <cellStyle name="SAPBEXHLevel1 7" xfId="6924" xr:uid="{00000000-0005-0000-0000-0000A2E80000}"/>
    <cellStyle name="SAPBEXHLevel1 7 2" xfId="60906" xr:uid="{00000000-0005-0000-0000-0000A3E80000}"/>
    <cellStyle name="SAPBEXHLevel1 8" xfId="6925" xr:uid="{00000000-0005-0000-0000-0000A4E80000}"/>
    <cellStyle name="SAPBEXHLevel1 8 2" xfId="60907" xr:uid="{00000000-0005-0000-0000-0000A5E80000}"/>
    <cellStyle name="SAPBEXHLevel1 9" xfId="6926" xr:uid="{00000000-0005-0000-0000-0000A6E80000}"/>
    <cellStyle name="SAPBEXHLevel1 9 2" xfId="60908" xr:uid="{00000000-0005-0000-0000-0000A7E80000}"/>
    <cellStyle name="SAPBEXHLevel1X" xfId="6927" xr:uid="{00000000-0005-0000-0000-0000A8E80000}"/>
    <cellStyle name="SAPBEXHLevel1X 10" xfId="6928" xr:uid="{00000000-0005-0000-0000-0000A9E80000}"/>
    <cellStyle name="SAPBEXHLevel1X 10 2" xfId="60909" xr:uid="{00000000-0005-0000-0000-0000AAE80000}"/>
    <cellStyle name="SAPBEXHLevel1X 11" xfId="6929" xr:uid="{00000000-0005-0000-0000-0000ABE80000}"/>
    <cellStyle name="SAPBEXHLevel1X 11 2" xfId="60910" xr:uid="{00000000-0005-0000-0000-0000ACE80000}"/>
    <cellStyle name="SAPBEXHLevel1X 12" xfId="6930" xr:uid="{00000000-0005-0000-0000-0000ADE80000}"/>
    <cellStyle name="SAPBEXHLevel1X 2" xfId="6931" xr:uid="{00000000-0005-0000-0000-0000AEE80000}"/>
    <cellStyle name="SAPBEXHLevel1X 2 10" xfId="6932" xr:uid="{00000000-0005-0000-0000-0000AFE80000}"/>
    <cellStyle name="SAPBEXHLevel1X 2 10 2" xfId="60911" xr:uid="{00000000-0005-0000-0000-0000B0E80000}"/>
    <cellStyle name="SAPBEXHLevel1X 2 11" xfId="6933" xr:uid="{00000000-0005-0000-0000-0000B1E80000}"/>
    <cellStyle name="SAPBEXHLevel1X 2 2" xfId="6934" xr:uid="{00000000-0005-0000-0000-0000B2E80000}"/>
    <cellStyle name="SAPBEXHLevel1X 2 2 2" xfId="60912" xr:uid="{00000000-0005-0000-0000-0000B3E80000}"/>
    <cellStyle name="SAPBEXHLevel1X 2 3" xfId="6935" xr:uid="{00000000-0005-0000-0000-0000B4E80000}"/>
    <cellStyle name="SAPBEXHLevel1X 2 3 2" xfId="60913" xr:uid="{00000000-0005-0000-0000-0000B5E80000}"/>
    <cellStyle name="SAPBEXHLevel1X 2 4" xfId="6936" xr:uid="{00000000-0005-0000-0000-0000B6E80000}"/>
    <cellStyle name="SAPBEXHLevel1X 2 4 2" xfId="60914" xr:uid="{00000000-0005-0000-0000-0000B7E80000}"/>
    <cellStyle name="SAPBEXHLevel1X 2 5" xfId="6937" xr:uid="{00000000-0005-0000-0000-0000B8E80000}"/>
    <cellStyle name="SAPBEXHLevel1X 2 5 2" xfId="60915" xr:uid="{00000000-0005-0000-0000-0000B9E80000}"/>
    <cellStyle name="SAPBEXHLevel1X 2 6" xfId="6938" xr:uid="{00000000-0005-0000-0000-0000BAE80000}"/>
    <cellStyle name="SAPBEXHLevel1X 2 6 2" xfId="60916" xr:uid="{00000000-0005-0000-0000-0000BBE80000}"/>
    <cellStyle name="SAPBEXHLevel1X 2 7" xfId="6939" xr:uid="{00000000-0005-0000-0000-0000BCE80000}"/>
    <cellStyle name="SAPBEXHLevel1X 2 7 2" xfId="60917" xr:uid="{00000000-0005-0000-0000-0000BDE80000}"/>
    <cellStyle name="SAPBEXHLevel1X 2 8" xfId="6940" xr:uid="{00000000-0005-0000-0000-0000BEE80000}"/>
    <cellStyle name="SAPBEXHLevel1X 2 8 2" xfId="60918" xr:uid="{00000000-0005-0000-0000-0000BFE80000}"/>
    <cellStyle name="SAPBEXHLevel1X 2 9" xfId="6941" xr:uid="{00000000-0005-0000-0000-0000C0E80000}"/>
    <cellStyle name="SAPBEXHLevel1X 2 9 2" xfId="60919" xr:uid="{00000000-0005-0000-0000-0000C1E80000}"/>
    <cellStyle name="SAPBEXHLevel1X 3" xfId="6942" xr:uid="{00000000-0005-0000-0000-0000C2E80000}"/>
    <cellStyle name="SAPBEXHLevel1X 3 2" xfId="60920" xr:uid="{00000000-0005-0000-0000-0000C3E80000}"/>
    <cellStyle name="SAPBEXHLevel1X 4" xfId="6943" xr:uid="{00000000-0005-0000-0000-0000C4E80000}"/>
    <cellStyle name="SAPBEXHLevel1X 4 2" xfId="60921" xr:uid="{00000000-0005-0000-0000-0000C5E80000}"/>
    <cellStyle name="SAPBEXHLevel1X 5" xfId="6944" xr:uid="{00000000-0005-0000-0000-0000C6E80000}"/>
    <cellStyle name="SAPBEXHLevel1X 5 2" xfId="60922" xr:uid="{00000000-0005-0000-0000-0000C7E80000}"/>
    <cellStyle name="SAPBEXHLevel1X 6" xfId="6945" xr:uid="{00000000-0005-0000-0000-0000C8E80000}"/>
    <cellStyle name="SAPBEXHLevel1X 6 2" xfId="60923" xr:uid="{00000000-0005-0000-0000-0000C9E80000}"/>
    <cellStyle name="SAPBEXHLevel1X 7" xfId="6946" xr:uid="{00000000-0005-0000-0000-0000CAE80000}"/>
    <cellStyle name="SAPBEXHLevel1X 7 2" xfId="60924" xr:uid="{00000000-0005-0000-0000-0000CBE80000}"/>
    <cellStyle name="SAPBEXHLevel1X 8" xfId="6947" xr:uid="{00000000-0005-0000-0000-0000CCE80000}"/>
    <cellStyle name="SAPBEXHLevel1X 8 2" xfId="60925" xr:uid="{00000000-0005-0000-0000-0000CDE80000}"/>
    <cellStyle name="SAPBEXHLevel1X 9" xfId="6948" xr:uid="{00000000-0005-0000-0000-0000CEE80000}"/>
    <cellStyle name="SAPBEXHLevel1X 9 2" xfId="60926" xr:uid="{00000000-0005-0000-0000-0000CFE80000}"/>
    <cellStyle name="SAPBEXHLevel2" xfId="6949" xr:uid="{00000000-0005-0000-0000-0000D0E80000}"/>
    <cellStyle name="SAPBEXHLevel2 10" xfId="6950" xr:uid="{00000000-0005-0000-0000-0000D1E80000}"/>
    <cellStyle name="SAPBEXHLevel2 10 2" xfId="60927" xr:uid="{00000000-0005-0000-0000-0000D2E80000}"/>
    <cellStyle name="SAPBEXHLevel2 11" xfId="6951" xr:uid="{00000000-0005-0000-0000-0000D3E80000}"/>
    <cellStyle name="SAPBEXHLevel2 11 2" xfId="60928" xr:uid="{00000000-0005-0000-0000-0000D4E80000}"/>
    <cellStyle name="SAPBEXHLevel2 12" xfId="6952" xr:uid="{00000000-0005-0000-0000-0000D5E80000}"/>
    <cellStyle name="SAPBEXHLevel2 2" xfId="6953" xr:uid="{00000000-0005-0000-0000-0000D6E80000}"/>
    <cellStyle name="SAPBEXHLevel2 2 10" xfId="6954" xr:uid="{00000000-0005-0000-0000-0000D7E80000}"/>
    <cellStyle name="SAPBEXHLevel2 2 10 2" xfId="60929" xr:uid="{00000000-0005-0000-0000-0000D8E80000}"/>
    <cellStyle name="SAPBEXHLevel2 2 11" xfId="6955" xr:uid="{00000000-0005-0000-0000-0000D9E80000}"/>
    <cellStyle name="SAPBEXHLevel2 2 2" xfId="6956" xr:uid="{00000000-0005-0000-0000-0000DAE80000}"/>
    <cellStyle name="SAPBEXHLevel2 2 2 2" xfId="60930" xr:uid="{00000000-0005-0000-0000-0000DBE80000}"/>
    <cellStyle name="SAPBEXHLevel2 2 3" xfId="6957" xr:uid="{00000000-0005-0000-0000-0000DCE80000}"/>
    <cellStyle name="SAPBEXHLevel2 2 3 2" xfId="60931" xr:uid="{00000000-0005-0000-0000-0000DDE80000}"/>
    <cellStyle name="SAPBEXHLevel2 2 4" xfId="6958" xr:uid="{00000000-0005-0000-0000-0000DEE80000}"/>
    <cellStyle name="SAPBEXHLevel2 2 4 2" xfId="60932" xr:uid="{00000000-0005-0000-0000-0000DFE80000}"/>
    <cellStyle name="SAPBEXHLevel2 2 5" xfId="6959" xr:uid="{00000000-0005-0000-0000-0000E0E80000}"/>
    <cellStyle name="SAPBEXHLevel2 2 5 2" xfId="60933" xr:uid="{00000000-0005-0000-0000-0000E1E80000}"/>
    <cellStyle name="SAPBEXHLevel2 2 6" xfId="6960" xr:uid="{00000000-0005-0000-0000-0000E2E80000}"/>
    <cellStyle name="SAPBEXHLevel2 2 6 2" xfId="60934" xr:uid="{00000000-0005-0000-0000-0000E3E80000}"/>
    <cellStyle name="SAPBEXHLevel2 2 7" xfId="6961" xr:uid="{00000000-0005-0000-0000-0000E4E80000}"/>
    <cellStyle name="SAPBEXHLevel2 2 7 2" xfId="60935" xr:uid="{00000000-0005-0000-0000-0000E5E80000}"/>
    <cellStyle name="SAPBEXHLevel2 2 8" xfId="6962" xr:uid="{00000000-0005-0000-0000-0000E6E80000}"/>
    <cellStyle name="SAPBEXHLevel2 2 8 2" xfId="60936" xr:uid="{00000000-0005-0000-0000-0000E7E80000}"/>
    <cellStyle name="SAPBEXHLevel2 2 9" xfId="6963" xr:uid="{00000000-0005-0000-0000-0000E8E80000}"/>
    <cellStyle name="SAPBEXHLevel2 2 9 2" xfId="60937" xr:uid="{00000000-0005-0000-0000-0000E9E80000}"/>
    <cellStyle name="SAPBEXHLevel2 3" xfId="6964" xr:uid="{00000000-0005-0000-0000-0000EAE80000}"/>
    <cellStyle name="SAPBEXHLevel2 3 2" xfId="60938" xr:uid="{00000000-0005-0000-0000-0000EBE80000}"/>
    <cellStyle name="SAPBEXHLevel2 4" xfId="6965" xr:uid="{00000000-0005-0000-0000-0000ECE80000}"/>
    <cellStyle name="SAPBEXHLevel2 4 2" xfId="60939" xr:uid="{00000000-0005-0000-0000-0000EDE80000}"/>
    <cellStyle name="SAPBEXHLevel2 5" xfId="6966" xr:uid="{00000000-0005-0000-0000-0000EEE80000}"/>
    <cellStyle name="SAPBEXHLevel2 5 2" xfId="60940" xr:uid="{00000000-0005-0000-0000-0000EFE80000}"/>
    <cellStyle name="SAPBEXHLevel2 6" xfId="6967" xr:uid="{00000000-0005-0000-0000-0000F0E80000}"/>
    <cellStyle name="SAPBEXHLevel2 6 2" xfId="60941" xr:uid="{00000000-0005-0000-0000-0000F1E80000}"/>
    <cellStyle name="SAPBEXHLevel2 7" xfId="6968" xr:uid="{00000000-0005-0000-0000-0000F2E80000}"/>
    <cellStyle name="SAPBEXHLevel2 7 2" xfId="60942" xr:uid="{00000000-0005-0000-0000-0000F3E80000}"/>
    <cellStyle name="SAPBEXHLevel2 8" xfId="6969" xr:uid="{00000000-0005-0000-0000-0000F4E80000}"/>
    <cellStyle name="SAPBEXHLevel2 8 2" xfId="60943" xr:uid="{00000000-0005-0000-0000-0000F5E80000}"/>
    <cellStyle name="SAPBEXHLevel2 9" xfId="6970" xr:uid="{00000000-0005-0000-0000-0000F6E80000}"/>
    <cellStyle name="SAPBEXHLevel2 9 2" xfId="60944" xr:uid="{00000000-0005-0000-0000-0000F7E80000}"/>
    <cellStyle name="SAPBEXHLevel2X" xfId="6971" xr:uid="{00000000-0005-0000-0000-0000F8E80000}"/>
    <cellStyle name="SAPBEXHLevel2X 10" xfId="6972" xr:uid="{00000000-0005-0000-0000-0000F9E80000}"/>
    <cellStyle name="SAPBEXHLevel2X 10 2" xfId="60945" xr:uid="{00000000-0005-0000-0000-0000FAE80000}"/>
    <cellStyle name="SAPBEXHLevel2X 11" xfId="6973" xr:uid="{00000000-0005-0000-0000-0000FBE80000}"/>
    <cellStyle name="SAPBEXHLevel2X 11 2" xfId="60946" xr:uid="{00000000-0005-0000-0000-0000FCE80000}"/>
    <cellStyle name="SAPBEXHLevel2X 12" xfId="6974" xr:uid="{00000000-0005-0000-0000-0000FDE80000}"/>
    <cellStyle name="SAPBEXHLevel2X 2" xfId="6975" xr:uid="{00000000-0005-0000-0000-0000FEE80000}"/>
    <cellStyle name="SAPBEXHLevel2X 2 10" xfId="6976" xr:uid="{00000000-0005-0000-0000-0000FFE80000}"/>
    <cellStyle name="SAPBEXHLevel2X 2 10 2" xfId="60947" xr:uid="{00000000-0005-0000-0000-000000E90000}"/>
    <cellStyle name="SAPBEXHLevel2X 2 11" xfId="6977" xr:uid="{00000000-0005-0000-0000-000001E90000}"/>
    <cellStyle name="SAPBEXHLevel2X 2 2" xfId="6978" xr:uid="{00000000-0005-0000-0000-000002E90000}"/>
    <cellStyle name="SAPBEXHLevel2X 2 2 2" xfId="60948" xr:uid="{00000000-0005-0000-0000-000003E90000}"/>
    <cellStyle name="SAPBEXHLevel2X 2 3" xfId="6979" xr:uid="{00000000-0005-0000-0000-000004E90000}"/>
    <cellStyle name="SAPBEXHLevel2X 2 3 2" xfId="60949" xr:uid="{00000000-0005-0000-0000-000005E90000}"/>
    <cellStyle name="SAPBEXHLevel2X 2 4" xfId="6980" xr:uid="{00000000-0005-0000-0000-000006E90000}"/>
    <cellStyle name="SAPBEXHLevel2X 2 4 2" xfId="60950" xr:uid="{00000000-0005-0000-0000-000007E90000}"/>
    <cellStyle name="SAPBEXHLevel2X 2 5" xfId="6981" xr:uid="{00000000-0005-0000-0000-000008E90000}"/>
    <cellStyle name="SAPBEXHLevel2X 2 5 2" xfId="60951" xr:uid="{00000000-0005-0000-0000-000009E90000}"/>
    <cellStyle name="SAPBEXHLevel2X 2 6" xfId="6982" xr:uid="{00000000-0005-0000-0000-00000AE90000}"/>
    <cellStyle name="SAPBEXHLevel2X 2 6 2" xfId="60952" xr:uid="{00000000-0005-0000-0000-00000BE90000}"/>
    <cellStyle name="SAPBEXHLevel2X 2 7" xfId="6983" xr:uid="{00000000-0005-0000-0000-00000CE90000}"/>
    <cellStyle name="SAPBEXHLevel2X 2 7 2" xfId="60953" xr:uid="{00000000-0005-0000-0000-00000DE90000}"/>
    <cellStyle name="SAPBEXHLevel2X 2 8" xfId="6984" xr:uid="{00000000-0005-0000-0000-00000EE90000}"/>
    <cellStyle name="SAPBEXHLevel2X 2 8 2" xfId="60954" xr:uid="{00000000-0005-0000-0000-00000FE90000}"/>
    <cellStyle name="SAPBEXHLevel2X 2 9" xfId="6985" xr:uid="{00000000-0005-0000-0000-000010E90000}"/>
    <cellStyle name="SAPBEXHLevel2X 2 9 2" xfId="60955" xr:uid="{00000000-0005-0000-0000-000011E90000}"/>
    <cellStyle name="SAPBEXHLevel2X 3" xfId="6986" xr:uid="{00000000-0005-0000-0000-000012E90000}"/>
    <cellStyle name="SAPBEXHLevel2X 3 2" xfId="60956" xr:uid="{00000000-0005-0000-0000-000013E90000}"/>
    <cellStyle name="SAPBEXHLevel2X 4" xfId="6987" xr:uid="{00000000-0005-0000-0000-000014E90000}"/>
    <cellStyle name="SAPBEXHLevel2X 4 2" xfId="60957" xr:uid="{00000000-0005-0000-0000-000015E90000}"/>
    <cellStyle name="SAPBEXHLevel2X 5" xfId="6988" xr:uid="{00000000-0005-0000-0000-000016E90000}"/>
    <cellStyle name="SAPBEXHLevel2X 5 2" xfId="60958" xr:uid="{00000000-0005-0000-0000-000017E90000}"/>
    <cellStyle name="SAPBEXHLevel2X 6" xfId="6989" xr:uid="{00000000-0005-0000-0000-000018E90000}"/>
    <cellStyle name="SAPBEXHLevel2X 6 2" xfId="60959" xr:uid="{00000000-0005-0000-0000-000019E90000}"/>
    <cellStyle name="SAPBEXHLevel2X 7" xfId="6990" xr:uid="{00000000-0005-0000-0000-00001AE90000}"/>
    <cellStyle name="SAPBEXHLevel2X 7 2" xfId="60960" xr:uid="{00000000-0005-0000-0000-00001BE90000}"/>
    <cellStyle name="SAPBEXHLevel2X 8" xfId="6991" xr:uid="{00000000-0005-0000-0000-00001CE90000}"/>
    <cellStyle name="SAPBEXHLevel2X 8 2" xfId="60961" xr:uid="{00000000-0005-0000-0000-00001DE90000}"/>
    <cellStyle name="SAPBEXHLevel2X 9" xfId="6992" xr:uid="{00000000-0005-0000-0000-00001EE90000}"/>
    <cellStyle name="SAPBEXHLevel2X 9 2" xfId="60962" xr:uid="{00000000-0005-0000-0000-00001FE90000}"/>
    <cellStyle name="SAPBEXHLevel3" xfId="6993" xr:uid="{00000000-0005-0000-0000-000020E90000}"/>
    <cellStyle name="SAPBEXHLevel3 10" xfId="6994" xr:uid="{00000000-0005-0000-0000-000021E90000}"/>
    <cellStyle name="SAPBEXHLevel3 10 2" xfId="60963" xr:uid="{00000000-0005-0000-0000-000022E90000}"/>
    <cellStyle name="SAPBEXHLevel3 11" xfId="6995" xr:uid="{00000000-0005-0000-0000-000023E90000}"/>
    <cellStyle name="SAPBEXHLevel3 11 2" xfId="60964" xr:uid="{00000000-0005-0000-0000-000024E90000}"/>
    <cellStyle name="SAPBEXHLevel3 12" xfId="6996" xr:uid="{00000000-0005-0000-0000-000025E90000}"/>
    <cellStyle name="SAPBEXHLevel3 2" xfId="6997" xr:uid="{00000000-0005-0000-0000-000026E90000}"/>
    <cellStyle name="SAPBEXHLevel3 2 10" xfId="6998" xr:uid="{00000000-0005-0000-0000-000027E90000}"/>
    <cellStyle name="SAPBEXHLevel3 2 10 2" xfId="60965" xr:uid="{00000000-0005-0000-0000-000028E90000}"/>
    <cellStyle name="SAPBEXHLevel3 2 11" xfId="6999" xr:uid="{00000000-0005-0000-0000-000029E90000}"/>
    <cellStyle name="SAPBEXHLevel3 2 2" xfId="7000" xr:uid="{00000000-0005-0000-0000-00002AE90000}"/>
    <cellStyle name="SAPBEXHLevel3 2 2 2" xfId="60966" xr:uid="{00000000-0005-0000-0000-00002BE90000}"/>
    <cellStyle name="SAPBEXHLevel3 2 3" xfId="7001" xr:uid="{00000000-0005-0000-0000-00002CE90000}"/>
    <cellStyle name="SAPBEXHLevel3 2 3 2" xfId="60967" xr:uid="{00000000-0005-0000-0000-00002DE90000}"/>
    <cellStyle name="SAPBEXHLevel3 2 4" xfId="7002" xr:uid="{00000000-0005-0000-0000-00002EE90000}"/>
    <cellStyle name="SAPBEXHLevel3 2 4 2" xfId="60968" xr:uid="{00000000-0005-0000-0000-00002FE90000}"/>
    <cellStyle name="SAPBEXHLevel3 2 5" xfId="7003" xr:uid="{00000000-0005-0000-0000-000030E90000}"/>
    <cellStyle name="SAPBEXHLevel3 2 5 2" xfId="60969" xr:uid="{00000000-0005-0000-0000-000031E90000}"/>
    <cellStyle name="SAPBEXHLevel3 2 6" xfId="7004" xr:uid="{00000000-0005-0000-0000-000032E90000}"/>
    <cellStyle name="SAPBEXHLevel3 2 6 2" xfId="60970" xr:uid="{00000000-0005-0000-0000-000033E90000}"/>
    <cellStyle name="SAPBEXHLevel3 2 7" xfId="7005" xr:uid="{00000000-0005-0000-0000-000034E90000}"/>
    <cellStyle name="SAPBEXHLevel3 2 7 2" xfId="60971" xr:uid="{00000000-0005-0000-0000-000035E90000}"/>
    <cellStyle name="SAPBEXHLevel3 2 8" xfId="7006" xr:uid="{00000000-0005-0000-0000-000036E90000}"/>
    <cellStyle name="SAPBEXHLevel3 2 8 2" xfId="60972" xr:uid="{00000000-0005-0000-0000-000037E90000}"/>
    <cellStyle name="SAPBEXHLevel3 2 9" xfId="7007" xr:uid="{00000000-0005-0000-0000-000038E90000}"/>
    <cellStyle name="SAPBEXHLevel3 2 9 2" xfId="60973" xr:uid="{00000000-0005-0000-0000-000039E90000}"/>
    <cellStyle name="SAPBEXHLevel3 3" xfId="7008" xr:uid="{00000000-0005-0000-0000-00003AE90000}"/>
    <cellStyle name="SAPBEXHLevel3 3 2" xfId="60974" xr:uid="{00000000-0005-0000-0000-00003BE90000}"/>
    <cellStyle name="SAPBEXHLevel3 4" xfId="7009" xr:uid="{00000000-0005-0000-0000-00003CE90000}"/>
    <cellStyle name="SAPBEXHLevel3 4 2" xfId="60975" xr:uid="{00000000-0005-0000-0000-00003DE90000}"/>
    <cellStyle name="SAPBEXHLevel3 5" xfId="7010" xr:uid="{00000000-0005-0000-0000-00003EE90000}"/>
    <cellStyle name="SAPBEXHLevel3 5 2" xfId="60976" xr:uid="{00000000-0005-0000-0000-00003FE90000}"/>
    <cellStyle name="SAPBEXHLevel3 6" xfId="7011" xr:uid="{00000000-0005-0000-0000-000040E90000}"/>
    <cellStyle name="SAPBEXHLevel3 6 2" xfId="60977" xr:uid="{00000000-0005-0000-0000-000041E90000}"/>
    <cellStyle name="SAPBEXHLevel3 7" xfId="7012" xr:uid="{00000000-0005-0000-0000-000042E90000}"/>
    <cellStyle name="SAPBEXHLevel3 7 2" xfId="60978" xr:uid="{00000000-0005-0000-0000-000043E90000}"/>
    <cellStyle name="SAPBEXHLevel3 8" xfId="7013" xr:uid="{00000000-0005-0000-0000-000044E90000}"/>
    <cellStyle name="SAPBEXHLevel3 8 2" xfId="60979" xr:uid="{00000000-0005-0000-0000-000045E90000}"/>
    <cellStyle name="SAPBEXHLevel3 9" xfId="7014" xr:uid="{00000000-0005-0000-0000-000046E90000}"/>
    <cellStyle name="SAPBEXHLevel3 9 2" xfId="60980" xr:uid="{00000000-0005-0000-0000-000047E90000}"/>
    <cellStyle name="SAPBEXHLevel3X" xfId="7015" xr:uid="{00000000-0005-0000-0000-000048E90000}"/>
    <cellStyle name="SAPBEXHLevel3X 10" xfId="7016" xr:uid="{00000000-0005-0000-0000-000049E90000}"/>
    <cellStyle name="SAPBEXHLevel3X 10 2" xfId="60981" xr:uid="{00000000-0005-0000-0000-00004AE90000}"/>
    <cellStyle name="SAPBEXHLevel3X 11" xfId="7017" xr:uid="{00000000-0005-0000-0000-00004BE90000}"/>
    <cellStyle name="SAPBEXHLevel3X 11 2" xfId="60982" xr:uid="{00000000-0005-0000-0000-00004CE90000}"/>
    <cellStyle name="SAPBEXHLevel3X 12" xfId="7018" xr:uid="{00000000-0005-0000-0000-00004DE90000}"/>
    <cellStyle name="SAPBEXHLevel3X 2" xfId="7019" xr:uid="{00000000-0005-0000-0000-00004EE90000}"/>
    <cellStyle name="SAPBEXHLevel3X 2 10" xfId="7020" xr:uid="{00000000-0005-0000-0000-00004FE90000}"/>
    <cellStyle name="SAPBEXHLevel3X 2 10 2" xfId="60983" xr:uid="{00000000-0005-0000-0000-000050E90000}"/>
    <cellStyle name="SAPBEXHLevel3X 2 11" xfId="7021" xr:uid="{00000000-0005-0000-0000-000051E90000}"/>
    <cellStyle name="SAPBEXHLevel3X 2 2" xfId="7022" xr:uid="{00000000-0005-0000-0000-000052E90000}"/>
    <cellStyle name="SAPBEXHLevel3X 2 2 2" xfId="60984" xr:uid="{00000000-0005-0000-0000-000053E90000}"/>
    <cellStyle name="SAPBEXHLevel3X 2 3" xfId="7023" xr:uid="{00000000-0005-0000-0000-000054E90000}"/>
    <cellStyle name="SAPBEXHLevel3X 2 3 2" xfId="60985" xr:uid="{00000000-0005-0000-0000-000055E90000}"/>
    <cellStyle name="SAPBEXHLevel3X 2 4" xfId="7024" xr:uid="{00000000-0005-0000-0000-000056E90000}"/>
    <cellStyle name="SAPBEXHLevel3X 2 4 2" xfId="60986" xr:uid="{00000000-0005-0000-0000-000057E90000}"/>
    <cellStyle name="SAPBEXHLevel3X 2 5" xfId="7025" xr:uid="{00000000-0005-0000-0000-000058E90000}"/>
    <cellStyle name="SAPBEXHLevel3X 2 5 2" xfId="60987" xr:uid="{00000000-0005-0000-0000-000059E90000}"/>
    <cellStyle name="SAPBEXHLevel3X 2 6" xfId="7026" xr:uid="{00000000-0005-0000-0000-00005AE90000}"/>
    <cellStyle name="SAPBEXHLevel3X 2 6 2" xfId="60988" xr:uid="{00000000-0005-0000-0000-00005BE90000}"/>
    <cellStyle name="SAPBEXHLevel3X 2 7" xfId="7027" xr:uid="{00000000-0005-0000-0000-00005CE90000}"/>
    <cellStyle name="SAPBEXHLevel3X 2 7 2" xfId="60989" xr:uid="{00000000-0005-0000-0000-00005DE90000}"/>
    <cellStyle name="SAPBEXHLevel3X 2 8" xfId="7028" xr:uid="{00000000-0005-0000-0000-00005EE90000}"/>
    <cellStyle name="SAPBEXHLevel3X 2 8 2" xfId="60990" xr:uid="{00000000-0005-0000-0000-00005FE90000}"/>
    <cellStyle name="SAPBEXHLevel3X 2 9" xfId="7029" xr:uid="{00000000-0005-0000-0000-000060E90000}"/>
    <cellStyle name="SAPBEXHLevel3X 2 9 2" xfId="60991" xr:uid="{00000000-0005-0000-0000-000061E90000}"/>
    <cellStyle name="SAPBEXHLevel3X 3" xfId="7030" xr:uid="{00000000-0005-0000-0000-000062E90000}"/>
    <cellStyle name="SAPBEXHLevel3X 3 2" xfId="60992" xr:uid="{00000000-0005-0000-0000-000063E90000}"/>
    <cellStyle name="SAPBEXHLevel3X 4" xfId="7031" xr:uid="{00000000-0005-0000-0000-000064E90000}"/>
    <cellStyle name="SAPBEXHLevel3X 4 2" xfId="60993" xr:uid="{00000000-0005-0000-0000-000065E90000}"/>
    <cellStyle name="SAPBEXHLevel3X 5" xfId="7032" xr:uid="{00000000-0005-0000-0000-000066E90000}"/>
    <cellStyle name="SAPBEXHLevel3X 5 2" xfId="60994" xr:uid="{00000000-0005-0000-0000-000067E90000}"/>
    <cellStyle name="SAPBEXHLevel3X 6" xfId="7033" xr:uid="{00000000-0005-0000-0000-000068E90000}"/>
    <cellStyle name="SAPBEXHLevel3X 6 2" xfId="60995" xr:uid="{00000000-0005-0000-0000-000069E90000}"/>
    <cellStyle name="SAPBEXHLevel3X 7" xfId="7034" xr:uid="{00000000-0005-0000-0000-00006AE90000}"/>
    <cellStyle name="SAPBEXHLevel3X 7 2" xfId="60996" xr:uid="{00000000-0005-0000-0000-00006BE90000}"/>
    <cellStyle name="SAPBEXHLevel3X 8" xfId="7035" xr:uid="{00000000-0005-0000-0000-00006CE90000}"/>
    <cellStyle name="SAPBEXHLevel3X 8 2" xfId="60997" xr:uid="{00000000-0005-0000-0000-00006DE90000}"/>
    <cellStyle name="SAPBEXHLevel3X 9" xfId="7036" xr:uid="{00000000-0005-0000-0000-00006EE90000}"/>
    <cellStyle name="SAPBEXHLevel3X 9 2" xfId="60998" xr:uid="{00000000-0005-0000-0000-00006FE90000}"/>
    <cellStyle name="SAPBEXresData" xfId="7037" xr:uid="{00000000-0005-0000-0000-000070E90000}"/>
    <cellStyle name="SAPBEXresData 10" xfId="7038" xr:uid="{00000000-0005-0000-0000-000071E90000}"/>
    <cellStyle name="SAPBEXresData 10 2" xfId="60999" xr:uid="{00000000-0005-0000-0000-000072E90000}"/>
    <cellStyle name="SAPBEXresData 11" xfId="7039" xr:uid="{00000000-0005-0000-0000-000073E90000}"/>
    <cellStyle name="SAPBEXresData 2" xfId="7040" xr:uid="{00000000-0005-0000-0000-000074E90000}"/>
    <cellStyle name="SAPBEXresData 2 2" xfId="61000" xr:uid="{00000000-0005-0000-0000-000075E90000}"/>
    <cellStyle name="SAPBEXresData 3" xfId="7041" xr:uid="{00000000-0005-0000-0000-000076E90000}"/>
    <cellStyle name="SAPBEXresData 3 2" xfId="61001" xr:uid="{00000000-0005-0000-0000-000077E90000}"/>
    <cellStyle name="SAPBEXresData 4" xfId="7042" xr:uid="{00000000-0005-0000-0000-000078E90000}"/>
    <cellStyle name="SAPBEXresData 4 2" xfId="61002" xr:uid="{00000000-0005-0000-0000-000079E90000}"/>
    <cellStyle name="SAPBEXresData 5" xfId="7043" xr:uid="{00000000-0005-0000-0000-00007AE90000}"/>
    <cellStyle name="SAPBEXresData 5 2" xfId="61003" xr:uid="{00000000-0005-0000-0000-00007BE90000}"/>
    <cellStyle name="SAPBEXresData 6" xfId="7044" xr:uid="{00000000-0005-0000-0000-00007CE90000}"/>
    <cellStyle name="SAPBEXresData 6 2" xfId="61004" xr:uid="{00000000-0005-0000-0000-00007DE90000}"/>
    <cellStyle name="SAPBEXresData 7" xfId="7045" xr:uid="{00000000-0005-0000-0000-00007EE90000}"/>
    <cellStyle name="SAPBEXresData 7 2" xfId="61005" xr:uid="{00000000-0005-0000-0000-00007FE90000}"/>
    <cellStyle name="SAPBEXresData 8" xfId="7046" xr:uid="{00000000-0005-0000-0000-000080E90000}"/>
    <cellStyle name="SAPBEXresData 8 2" xfId="61006" xr:uid="{00000000-0005-0000-0000-000081E90000}"/>
    <cellStyle name="SAPBEXresData 9" xfId="7047" xr:uid="{00000000-0005-0000-0000-000082E90000}"/>
    <cellStyle name="SAPBEXresData 9 2" xfId="61007" xr:uid="{00000000-0005-0000-0000-000083E90000}"/>
    <cellStyle name="SAPBEXresDataEmph" xfId="7048" xr:uid="{00000000-0005-0000-0000-000084E90000}"/>
    <cellStyle name="SAPBEXresDataEmph 10" xfId="7049" xr:uid="{00000000-0005-0000-0000-000085E90000}"/>
    <cellStyle name="SAPBEXresDataEmph 10 2" xfId="61008" xr:uid="{00000000-0005-0000-0000-000086E90000}"/>
    <cellStyle name="SAPBEXresDataEmph 11" xfId="7050" xr:uid="{00000000-0005-0000-0000-000087E90000}"/>
    <cellStyle name="SAPBEXresDataEmph 2" xfId="7051" xr:uid="{00000000-0005-0000-0000-000088E90000}"/>
    <cellStyle name="SAPBEXresDataEmph 2 2" xfId="61009" xr:uid="{00000000-0005-0000-0000-000089E90000}"/>
    <cellStyle name="SAPBEXresDataEmph 3" xfId="7052" xr:uid="{00000000-0005-0000-0000-00008AE90000}"/>
    <cellStyle name="SAPBEXresDataEmph 3 2" xfId="61010" xr:uid="{00000000-0005-0000-0000-00008BE90000}"/>
    <cellStyle name="SAPBEXresDataEmph 4" xfId="7053" xr:uid="{00000000-0005-0000-0000-00008CE90000}"/>
    <cellStyle name="SAPBEXresDataEmph 4 2" xfId="61011" xr:uid="{00000000-0005-0000-0000-00008DE90000}"/>
    <cellStyle name="SAPBEXresDataEmph 5" xfId="7054" xr:uid="{00000000-0005-0000-0000-00008EE90000}"/>
    <cellStyle name="SAPBEXresDataEmph 5 2" xfId="61012" xr:uid="{00000000-0005-0000-0000-00008FE90000}"/>
    <cellStyle name="SAPBEXresDataEmph 6" xfId="7055" xr:uid="{00000000-0005-0000-0000-000090E90000}"/>
    <cellStyle name="SAPBEXresDataEmph 6 2" xfId="61013" xr:uid="{00000000-0005-0000-0000-000091E90000}"/>
    <cellStyle name="SAPBEXresDataEmph 7" xfId="7056" xr:uid="{00000000-0005-0000-0000-000092E90000}"/>
    <cellStyle name="SAPBEXresDataEmph 7 2" xfId="61014" xr:uid="{00000000-0005-0000-0000-000093E90000}"/>
    <cellStyle name="SAPBEXresDataEmph 8" xfId="7057" xr:uid="{00000000-0005-0000-0000-000094E90000}"/>
    <cellStyle name="SAPBEXresDataEmph 8 2" xfId="61015" xr:uid="{00000000-0005-0000-0000-000095E90000}"/>
    <cellStyle name="SAPBEXresDataEmph 9" xfId="7058" xr:uid="{00000000-0005-0000-0000-000096E90000}"/>
    <cellStyle name="SAPBEXresDataEmph 9 2" xfId="61016" xr:uid="{00000000-0005-0000-0000-000097E90000}"/>
    <cellStyle name="SAPBEXresItem" xfId="7059" xr:uid="{00000000-0005-0000-0000-000098E90000}"/>
    <cellStyle name="SAPBEXresItem 10" xfId="7060" xr:uid="{00000000-0005-0000-0000-000099E90000}"/>
    <cellStyle name="SAPBEXresItem 10 2" xfId="61017" xr:uid="{00000000-0005-0000-0000-00009AE90000}"/>
    <cellStyle name="SAPBEXresItem 11" xfId="7061" xr:uid="{00000000-0005-0000-0000-00009BE90000}"/>
    <cellStyle name="SAPBEXresItem 11 2" xfId="61018" xr:uid="{00000000-0005-0000-0000-00009CE90000}"/>
    <cellStyle name="SAPBEXresItem 12" xfId="7062" xr:uid="{00000000-0005-0000-0000-00009DE90000}"/>
    <cellStyle name="SAPBEXresItem 2" xfId="7063" xr:uid="{00000000-0005-0000-0000-00009EE90000}"/>
    <cellStyle name="SAPBEXresItem 2 10" xfId="7064" xr:uid="{00000000-0005-0000-0000-00009FE90000}"/>
    <cellStyle name="SAPBEXresItem 2 10 2" xfId="61019" xr:uid="{00000000-0005-0000-0000-0000A0E90000}"/>
    <cellStyle name="SAPBEXresItem 2 11" xfId="7065" xr:uid="{00000000-0005-0000-0000-0000A1E90000}"/>
    <cellStyle name="SAPBEXresItem 2 2" xfId="7066" xr:uid="{00000000-0005-0000-0000-0000A2E90000}"/>
    <cellStyle name="SAPBEXresItem 2 2 2" xfId="61020" xr:uid="{00000000-0005-0000-0000-0000A3E90000}"/>
    <cellStyle name="SAPBEXresItem 2 3" xfId="7067" xr:uid="{00000000-0005-0000-0000-0000A4E90000}"/>
    <cellStyle name="SAPBEXresItem 2 3 2" xfId="61021" xr:uid="{00000000-0005-0000-0000-0000A5E90000}"/>
    <cellStyle name="SAPBEXresItem 2 4" xfId="7068" xr:uid="{00000000-0005-0000-0000-0000A6E90000}"/>
    <cellStyle name="SAPBEXresItem 2 4 2" xfId="61022" xr:uid="{00000000-0005-0000-0000-0000A7E90000}"/>
    <cellStyle name="SAPBEXresItem 2 5" xfId="7069" xr:uid="{00000000-0005-0000-0000-0000A8E90000}"/>
    <cellStyle name="SAPBEXresItem 2 5 2" xfId="61023" xr:uid="{00000000-0005-0000-0000-0000A9E90000}"/>
    <cellStyle name="SAPBEXresItem 2 6" xfId="7070" xr:uid="{00000000-0005-0000-0000-0000AAE90000}"/>
    <cellStyle name="SAPBEXresItem 2 6 2" xfId="61024" xr:uid="{00000000-0005-0000-0000-0000ABE90000}"/>
    <cellStyle name="SAPBEXresItem 2 7" xfId="7071" xr:uid="{00000000-0005-0000-0000-0000ACE90000}"/>
    <cellStyle name="SAPBEXresItem 2 7 2" xfId="61025" xr:uid="{00000000-0005-0000-0000-0000ADE90000}"/>
    <cellStyle name="SAPBEXresItem 2 8" xfId="7072" xr:uid="{00000000-0005-0000-0000-0000AEE90000}"/>
    <cellStyle name="SAPBEXresItem 2 8 2" xfId="61026" xr:uid="{00000000-0005-0000-0000-0000AFE90000}"/>
    <cellStyle name="SAPBEXresItem 2 9" xfId="7073" xr:uid="{00000000-0005-0000-0000-0000B0E90000}"/>
    <cellStyle name="SAPBEXresItem 2 9 2" xfId="61027" xr:uid="{00000000-0005-0000-0000-0000B1E90000}"/>
    <cellStyle name="SAPBEXresItem 3" xfId="7074" xr:uid="{00000000-0005-0000-0000-0000B2E90000}"/>
    <cellStyle name="SAPBEXresItem 3 2" xfId="61028" xr:uid="{00000000-0005-0000-0000-0000B3E90000}"/>
    <cellStyle name="SAPBEXresItem 4" xfId="7075" xr:uid="{00000000-0005-0000-0000-0000B4E90000}"/>
    <cellStyle name="SAPBEXresItem 4 2" xfId="61029" xr:uid="{00000000-0005-0000-0000-0000B5E90000}"/>
    <cellStyle name="SAPBEXresItem 5" xfId="7076" xr:uid="{00000000-0005-0000-0000-0000B6E90000}"/>
    <cellStyle name="SAPBEXresItem 5 2" xfId="61030" xr:uid="{00000000-0005-0000-0000-0000B7E90000}"/>
    <cellStyle name="SAPBEXresItem 6" xfId="7077" xr:uid="{00000000-0005-0000-0000-0000B8E90000}"/>
    <cellStyle name="SAPBEXresItem 6 2" xfId="61031" xr:uid="{00000000-0005-0000-0000-0000B9E90000}"/>
    <cellStyle name="SAPBEXresItem 7" xfId="7078" xr:uid="{00000000-0005-0000-0000-0000BAE90000}"/>
    <cellStyle name="SAPBEXresItem 7 2" xfId="61032" xr:uid="{00000000-0005-0000-0000-0000BBE90000}"/>
    <cellStyle name="SAPBEXresItem 8" xfId="7079" xr:uid="{00000000-0005-0000-0000-0000BCE90000}"/>
    <cellStyle name="SAPBEXresItem 8 2" xfId="61033" xr:uid="{00000000-0005-0000-0000-0000BDE90000}"/>
    <cellStyle name="SAPBEXresItem 9" xfId="7080" xr:uid="{00000000-0005-0000-0000-0000BEE90000}"/>
    <cellStyle name="SAPBEXresItem 9 2" xfId="61034" xr:uid="{00000000-0005-0000-0000-0000BFE90000}"/>
    <cellStyle name="SAPBEXresItemX" xfId="7081" xr:uid="{00000000-0005-0000-0000-0000C0E90000}"/>
    <cellStyle name="SAPBEXresItemX 10" xfId="7082" xr:uid="{00000000-0005-0000-0000-0000C1E90000}"/>
    <cellStyle name="SAPBEXresItemX 10 2" xfId="61035" xr:uid="{00000000-0005-0000-0000-0000C2E90000}"/>
    <cellStyle name="SAPBEXresItemX 11" xfId="7083" xr:uid="{00000000-0005-0000-0000-0000C3E90000}"/>
    <cellStyle name="SAPBEXresItemX 11 2" xfId="61036" xr:uid="{00000000-0005-0000-0000-0000C4E90000}"/>
    <cellStyle name="SAPBEXresItemX 12" xfId="7084" xr:uid="{00000000-0005-0000-0000-0000C5E90000}"/>
    <cellStyle name="SAPBEXresItemX 2" xfId="7085" xr:uid="{00000000-0005-0000-0000-0000C6E90000}"/>
    <cellStyle name="SAPBEXresItemX 2 10" xfId="7086" xr:uid="{00000000-0005-0000-0000-0000C7E90000}"/>
    <cellStyle name="SAPBEXresItemX 2 10 2" xfId="61037" xr:uid="{00000000-0005-0000-0000-0000C8E90000}"/>
    <cellStyle name="SAPBEXresItemX 2 11" xfId="7087" xr:uid="{00000000-0005-0000-0000-0000C9E90000}"/>
    <cellStyle name="SAPBEXresItemX 2 2" xfId="7088" xr:uid="{00000000-0005-0000-0000-0000CAE90000}"/>
    <cellStyle name="SAPBEXresItemX 2 2 2" xfId="61038" xr:uid="{00000000-0005-0000-0000-0000CBE90000}"/>
    <cellStyle name="SAPBEXresItemX 2 3" xfId="7089" xr:uid="{00000000-0005-0000-0000-0000CCE90000}"/>
    <cellStyle name="SAPBEXresItemX 2 3 2" xfId="61039" xr:uid="{00000000-0005-0000-0000-0000CDE90000}"/>
    <cellStyle name="SAPBEXresItemX 2 4" xfId="7090" xr:uid="{00000000-0005-0000-0000-0000CEE90000}"/>
    <cellStyle name="SAPBEXresItemX 2 4 2" xfId="61040" xr:uid="{00000000-0005-0000-0000-0000CFE90000}"/>
    <cellStyle name="SAPBEXresItemX 2 5" xfId="7091" xr:uid="{00000000-0005-0000-0000-0000D0E90000}"/>
    <cellStyle name="SAPBEXresItemX 2 5 2" xfId="61041" xr:uid="{00000000-0005-0000-0000-0000D1E90000}"/>
    <cellStyle name="SAPBEXresItemX 2 6" xfId="7092" xr:uid="{00000000-0005-0000-0000-0000D2E90000}"/>
    <cellStyle name="SAPBEXresItemX 2 6 2" xfId="61042" xr:uid="{00000000-0005-0000-0000-0000D3E90000}"/>
    <cellStyle name="SAPBEXresItemX 2 7" xfId="7093" xr:uid="{00000000-0005-0000-0000-0000D4E90000}"/>
    <cellStyle name="SAPBEXresItemX 2 7 2" xfId="61043" xr:uid="{00000000-0005-0000-0000-0000D5E90000}"/>
    <cellStyle name="SAPBEXresItemX 2 8" xfId="7094" xr:uid="{00000000-0005-0000-0000-0000D6E90000}"/>
    <cellStyle name="SAPBEXresItemX 2 8 2" xfId="61044" xr:uid="{00000000-0005-0000-0000-0000D7E90000}"/>
    <cellStyle name="SAPBEXresItemX 2 9" xfId="7095" xr:uid="{00000000-0005-0000-0000-0000D8E90000}"/>
    <cellStyle name="SAPBEXresItemX 2 9 2" xfId="61045" xr:uid="{00000000-0005-0000-0000-0000D9E90000}"/>
    <cellStyle name="SAPBEXresItemX 3" xfId="7096" xr:uid="{00000000-0005-0000-0000-0000DAE90000}"/>
    <cellStyle name="SAPBEXresItemX 3 2" xfId="61046" xr:uid="{00000000-0005-0000-0000-0000DBE90000}"/>
    <cellStyle name="SAPBEXresItemX 4" xfId="7097" xr:uid="{00000000-0005-0000-0000-0000DCE90000}"/>
    <cellStyle name="SAPBEXresItemX 4 2" xfId="61047" xr:uid="{00000000-0005-0000-0000-0000DDE90000}"/>
    <cellStyle name="SAPBEXresItemX 5" xfId="7098" xr:uid="{00000000-0005-0000-0000-0000DEE90000}"/>
    <cellStyle name="SAPBEXresItemX 5 2" xfId="61048" xr:uid="{00000000-0005-0000-0000-0000DFE90000}"/>
    <cellStyle name="SAPBEXresItemX 6" xfId="7099" xr:uid="{00000000-0005-0000-0000-0000E0E90000}"/>
    <cellStyle name="SAPBEXresItemX 6 2" xfId="61049" xr:uid="{00000000-0005-0000-0000-0000E1E90000}"/>
    <cellStyle name="SAPBEXresItemX 7" xfId="7100" xr:uid="{00000000-0005-0000-0000-0000E2E90000}"/>
    <cellStyle name="SAPBEXresItemX 7 2" xfId="61050" xr:uid="{00000000-0005-0000-0000-0000E3E90000}"/>
    <cellStyle name="SAPBEXresItemX 8" xfId="7101" xr:uid="{00000000-0005-0000-0000-0000E4E90000}"/>
    <cellStyle name="SAPBEXresItemX 8 2" xfId="61051" xr:uid="{00000000-0005-0000-0000-0000E5E90000}"/>
    <cellStyle name="SAPBEXresItemX 9" xfId="7102" xr:uid="{00000000-0005-0000-0000-0000E6E90000}"/>
    <cellStyle name="SAPBEXresItemX 9 2" xfId="61052" xr:uid="{00000000-0005-0000-0000-0000E7E90000}"/>
    <cellStyle name="SAPBEXstdData" xfId="7103" xr:uid="{00000000-0005-0000-0000-0000E8E90000}"/>
    <cellStyle name="SAPBEXstdData 10" xfId="7104" xr:uid="{00000000-0005-0000-0000-0000E9E90000}"/>
    <cellStyle name="SAPBEXstdData 10 2" xfId="61053" xr:uid="{00000000-0005-0000-0000-0000EAE90000}"/>
    <cellStyle name="SAPBEXstdData 11" xfId="7105" xr:uid="{00000000-0005-0000-0000-0000EBE90000}"/>
    <cellStyle name="SAPBEXstdData 11 2" xfId="61054" xr:uid="{00000000-0005-0000-0000-0000ECE90000}"/>
    <cellStyle name="SAPBEXstdData 12" xfId="7106" xr:uid="{00000000-0005-0000-0000-0000EDE90000}"/>
    <cellStyle name="SAPBEXstdData 2" xfId="7107" xr:uid="{00000000-0005-0000-0000-0000EEE90000}"/>
    <cellStyle name="SAPBEXstdData 2 10" xfId="7108" xr:uid="{00000000-0005-0000-0000-0000EFE90000}"/>
    <cellStyle name="SAPBEXstdData 2 10 2" xfId="61055" xr:uid="{00000000-0005-0000-0000-0000F0E90000}"/>
    <cellStyle name="SAPBEXstdData 2 11" xfId="7109" xr:uid="{00000000-0005-0000-0000-0000F1E90000}"/>
    <cellStyle name="SAPBEXstdData 2 2" xfId="7110" xr:uid="{00000000-0005-0000-0000-0000F2E90000}"/>
    <cellStyle name="SAPBEXstdData 2 2 2" xfId="61056" xr:uid="{00000000-0005-0000-0000-0000F3E90000}"/>
    <cellStyle name="SAPBEXstdData 2 3" xfId="7111" xr:uid="{00000000-0005-0000-0000-0000F4E90000}"/>
    <cellStyle name="SAPBEXstdData 2 3 2" xfId="61057" xr:uid="{00000000-0005-0000-0000-0000F5E90000}"/>
    <cellStyle name="SAPBEXstdData 2 4" xfId="7112" xr:uid="{00000000-0005-0000-0000-0000F6E90000}"/>
    <cellStyle name="SAPBEXstdData 2 4 2" xfId="61058" xr:uid="{00000000-0005-0000-0000-0000F7E90000}"/>
    <cellStyle name="SAPBEXstdData 2 5" xfId="7113" xr:uid="{00000000-0005-0000-0000-0000F8E90000}"/>
    <cellStyle name="SAPBEXstdData 2 5 2" xfId="61059" xr:uid="{00000000-0005-0000-0000-0000F9E90000}"/>
    <cellStyle name="SAPBEXstdData 2 6" xfId="7114" xr:uid="{00000000-0005-0000-0000-0000FAE90000}"/>
    <cellStyle name="SAPBEXstdData 2 6 2" xfId="61060" xr:uid="{00000000-0005-0000-0000-0000FBE90000}"/>
    <cellStyle name="SAPBEXstdData 2 7" xfId="7115" xr:uid="{00000000-0005-0000-0000-0000FCE90000}"/>
    <cellStyle name="SAPBEXstdData 2 7 2" xfId="61061" xr:uid="{00000000-0005-0000-0000-0000FDE90000}"/>
    <cellStyle name="SAPBEXstdData 2 8" xfId="7116" xr:uid="{00000000-0005-0000-0000-0000FEE90000}"/>
    <cellStyle name="SAPBEXstdData 2 8 2" xfId="61062" xr:uid="{00000000-0005-0000-0000-0000FFE90000}"/>
    <cellStyle name="SAPBEXstdData 2 9" xfId="7117" xr:uid="{00000000-0005-0000-0000-000000EA0000}"/>
    <cellStyle name="SAPBEXstdData 2 9 2" xfId="61063" xr:uid="{00000000-0005-0000-0000-000001EA0000}"/>
    <cellStyle name="SAPBEXstdData 3" xfId="7118" xr:uid="{00000000-0005-0000-0000-000002EA0000}"/>
    <cellStyle name="SAPBEXstdData 3 2" xfId="61064" xr:uid="{00000000-0005-0000-0000-000003EA0000}"/>
    <cellStyle name="SAPBEXstdData 4" xfId="7119" xr:uid="{00000000-0005-0000-0000-000004EA0000}"/>
    <cellStyle name="SAPBEXstdData 4 2" xfId="61065" xr:uid="{00000000-0005-0000-0000-000005EA0000}"/>
    <cellStyle name="SAPBEXstdData 5" xfId="7120" xr:uid="{00000000-0005-0000-0000-000006EA0000}"/>
    <cellStyle name="SAPBEXstdData 5 2" xfId="61066" xr:uid="{00000000-0005-0000-0000-000007EA0000}"/>
    <cellStyle name="SAPBEXstdData 6" xfId="7121" xr:uid="{00000000-0005-0000-0000-000008EA0000}"/>
    <cellStyle name="SAPBEXstdData 6 2" xfId="61067" xr:uid="{00000000-0005-0000-0000-000009EA0000}"/>
    <cellStyle name="SAPBEXstdData 7" xfId="7122" xr:uid="{00000000-0005-0000-0000-00000AEA0000}"/>
    <cellStyle name="SAPBEXstdData 7 2" xfId="61068" xr:uid="{00000000-0005-0000-0000-00000BEA0000}"/>
    <cellStyle name="SAPBEXstdData 8" xfId="7123" xr:uid="{00000000-0005-0000-0000-00000CEA0000}"/>
    <cellStyle name="SAPBEXstdData 8 2" xfId="61069" xr:uid="{00000000-0005-0000-0000-00000DEA0000}"/>
    <cellStyle name="SAPBEXstdData 9" xfId="7124" xr:uid="{00000000-0005-0000-0000-00000EEA0000}"/>
    <cellStyle name="SAPBEXstdData 9 2" xfId="61070" xr:uid="{00000000-0005-0000-0000-00000FEA0000}"/>
    <cellStyle name="SAPBEXstdDataEmph" xfId="7125" xr:uid="{00000000-0005-0000-0000-000010EA0000}"/>
    <cellStyle name="SAPBEXstdDataEmph 10" xfId="7126" xr:uid="{00000000-0005-0000-0000-000011EA0000}"/>
    <cellStyle name="SAPBEXstdDataEmph 10 2" xfId="61071" xr:uid="{00000000-0005-0000-0000-000012EA0000}"/>
    <cellStyle name="SAPBEXstdDataEmph 11" xfId="7127" xr:uid="{00000000-0005-0000-0000-000013EA0000}"/>
    <cellStyle name="SAPBEXstdDataEmph 11 2" xfId="61072" xr:uid="{00000000-0005-0000-0000-000014EA0000}"/>
    <cellStyle name="SAPBEXstdDataEmph 12" xfId="7128" xr:uid="{00000000-0005-0000-0000-000015EA0000}"/>
    <cellStyle name="SAPBEXstdDataEmph 2" xfId="7129" xr:uid="{00000000-0005-0000-0000-000016EA0000}"/>
    <cellStyle name="SAPBEXstdDataEmph 2 10" xfId="7130" xr:uid="{00000000-0005-0000-0000-000017EA0000}"/>
    <cellStyle name="SAPBEXstdDataEmph 2 10 2" xfId="61073" xr:uid="{00000000-0005-0000-0000-000018EA0000}"/>
    <cellStyle name="SAPBEXstdDataEmph 2 11" xfId="7131" xr:uid="{00000000-0005-0000-0000-000019EA0000}"/>
    <cellStyle name="SAPBEXstdDataEmph 2 2" xfId="7132" xr:uid="{00000000-0005-0000-0000-00001AEA0000}"/>
    <cellStyle name="SAPBEXstdDataEmph 2 2 2" xfId="61074" xr:uid="{00000000-0005-0000-0000-00001BEA0000}"/>
    <cellStyle name="SAPBEXstdDataEmph 2 3" xfId="7133" xr:uid="{00000000-0005-0000-0000-00001CEA0000}"/>
    <cellStyle name="SAPBEXstdDataEmph 2 3 2" xfId="61075" xr:uid="{00000000-0005-0000-0000-00001DEA0000}"/>
    <cellStyle name="SAPBEXstdDataEmph 2 4" xfId="7134" xr:uid="{00000000-0005-0000-0000-00001EEA0000}"/>
    <cellStyle name="SAPBEXstdDataEmph 2 4 2" xfId="61076" xr:uid="{00000000-0005-0000-0000-00001FEA0000}"/>
    <cellStyle name="SAPBEXstdDataEmph 2 5" xfId="7135" xr:uid="{00000000-0005-0000-0000-000020EA0000}"/>
    <cellStyle name="SAPBEXstdDataEmph 2 5 2" xfId="61077" xr:uid="{00000000-0005-0000-0000-000021EA0000}"/>
    <cellStyle name="SAPBEXstdDataEmph 2 6" xfId="7136" xr:uid="{00000000-0005-0000-0000-000022EA0000}"/>
    <cellStyle name="SAPBEXstdDataEmph 2 6 2" xfId="61078" xr:uid="{00000000-0005-0000-0000-000023EA0000}"/>
    <cellStyle name="SAPBEXstdDataEmph 2 7" xfId="7137" xr:uid="{00000000-0005-0000-0000-000024EA0000}"/>
    <cellStyle name="SAPBEXstdDataEmph 2 7 2" xfId="61079" xr:uid="{00000000-0005-0000-0000-000025EA0000}"/>
    <cellStyle name="SAPBEXstdDataEmph 2 8" xfId="7138" xr:uid="{00000000-0005-0000-0000-000026EA0000}"/>
    <cellStyle name="SAPBEXstdDataEmph 2 8 2" xfId="61080" xr:uid="{00000000-0005-0000-0000-000027EA0000}"/>
    <cellStyle name="SAPBEXstdDataEmph 2 9" xfId="7139" xr:uid="{00000000-0005-0000-0000-000028EA0000}"/>
    <cellStyle name="SAPBEXstdDataEmph 2 9 2" xfId="61081" xr:uid="{00000000-0005-0000-0000-000029EA0000}"/>
    <cellStyle name="SAPBEXstdDataEmph 3" xfId="7140" xr:uid="{00000000-0005-0000-0000-00002AEA0000}"/>
    <cellStyle name="SAPBEXstdDataEmph 3 2" xfId="61082" xr:uid="{00000000-0005-0000-0000-00002BEA0000}"/>
    <cellStyle name="SAPBEXstdDataEmph 4" xfId="7141" xr:uid="{00000000-0005-0000-0000-00002CEA0000}"/>
    <cellStyle name="SAPBEXstdDataEmph 4 2" xfId="61083" xr:uid="{00000000-0005-0000-0000-00002DEA0000}"/>
    <cellStyle name="SAPBEXstdDataEmph 5" xfId="7142" xr:uid="{00000000-0005-0000-0000-00002EEA0000}"/>
    <cellStyle name="SAPBEXstdDataEmph 5 2" xfId="61084" xr:uid="{00000000-0005-0000-0000-00002FEA0000}"/>
    <cellStyle name="SAPBEXstdDataEmph 6" xfId="7143" xr:uid="{00000000-0005-0000-0000-000030EA0000}"/>
    <cellStyle name="SAPBEXstdDataEmph 6 2" xfId="61085" xr:uid="{00000000-0005-0000-0000-000031EA0000}"/>
    <cellStyle name="SAPBEXstdDataEmph 7" xfId="7144" xr:uid="{00000000-0005-0000-0000-000032EA0000}"/>
    <cellStyle name="SAPBEXstdDataEmph 7 2" xfId="61086" xr:uid="{00000000-0005-0000-0000-000033EA0000}"/>
    <cellStyle name="SAPBEXstdDataEmph 8" xfId="7145" xr:uid="{00000000-0005-0000-0000-000034EA0000}"/>
    <cellStyle name="SAPBEXstdDataEmph 8 2" xfId="61087" xr:uid="{00000000-0005-0000-0000-000035EA0000}"/>
    <cellStyle name="SAPBEXstdDataEmph 9" xfId="7146" xr:uid="{00000000-0005-0000-0000-000036EA0000}"/>
    <cellStyle name="SAPBEXstdDataEmph 9 2" xfId="61088" xr:uid="{00000000-0005-0000-0000-000037EA0000}"/>
    <cellStyle name="SAPBEXstdItem" xfId="7147" xr:uid="{00000000-0005-0000-0000-000038EA0000}"/>
    <cellStyle name="SAPBEXstdItem 10" xfId="7148" xr:uid="{00000000-0005-0000-0000-000039EA0000}"/>
    <cellStyle name="SAPBEXstdItem 10 2" xfId="61089" xr:uid="{00000000-0005-0000-0000-00003AEA0000}"/>
    <cellStyle name="SAPBEXstdItem 11" xfId="7149" xr:uid="{00000000-0005-0000-0000-00003BEA0000}"/>
    <cellStyle name="SAPBEXstdItem 11 2" xfId="61090" xr:uid="{00000000-0005-0000-0000-00003CEA0000}"/>
    <cellStyle name="SAPBEXstdItem 12" xfId="7150" xr:uid="{00000000-0005-0000-0000-00003DEA0000}"/>
    <cellStyle name="SAPBEXstdItem 2" xfId="7151" xr:uid="{00000000-0005-0000-0000-00003EEA0000}"/>
    <cellStyle name="SAPBEXstdItem 2 10" xfId="7152" xr:uid="{00000000-0005-0000-0000-00003FEA0000}"/>
    <cellStyle name="SAPBEXstdItem 2 10 2" xfId="61091" xr:uid="{00000000-0005-0000-0000-000040EA0000}"/>
    <cellStyle name="SAPBEXstdItem 2 11" xfId="7153" xr:uid="{00000000-0005-0000-0000-000041EA0000}"/>
    <cellStyle name="SAPBEXstdItem 2 2" xfId="7154" xr:uid="{00000000-0005-0000-0000-000042EA0000}"/>
    <cellStyle name="SAPBEXstdItem 2 2 2" xfId="61092" xr:uid="{00000000-0005-0000-0000-000043EA0000}"/>
    <cellStyle name="SAPBEXstdItem 2 3" xfId="7155" xr:uid="{00000000-0005-0000-0000-000044EA0000}"/>
    <cellStyle name="SAPBEXstdItem 2 3 2" xfId="61093" xr:uid="{00000000-0005-0000-0000-000045EA0000}"/>
    <cellStyle name="SAPBEXstdItem 2 4" xfId="7156" xr:uid="{00000000-0005-0000-0000-000046EA0000}"/>
    <cellStyle name="SAPBEXstdItem 2 4 2" xfId="61094" xr:uid="{00000000-0005-0000-0000-000047EA0000}"/>
    <cellStyle name="SAPBEXstdItem 2 5" xfId="7157" xr:uid="{00000000-0005-0000-0000-000048EA0000}"/>
    <cellStyle name="SAPBEXstdItem 2 5 2" xfId="61095" xr:uid="{00000000-0005-0000-0000-000049EA0000}"/>
    <cellStyle name="SAPBEXstdItem 2 6" xfId="7158" xr:uid="{00000000-0005-0000-0000-00004AEA0000}"/>
    <cellStyle name="SAPBEXstdItem 2 6 2" xfId="61096" xr:uid="{00000000-0005-0000-0000-00004BEA0000}"/>
    <cellStyle name="SAPBEXstdItem 2 7" xfId="7159" xr:uid="{00000000-0005-0000-0000-00004CEA0000}"/>
    <cellStyle name="SAPBEXstdItem 2 7 2" xfId="61097" xr:uid="{00000000-0005-0000-0000-00004DEA0000}"/>
    <cellStyle name="SAPBEXstdItem 2 8" xfId="7160" xr:uid="{00000000-0005-0000-0000-00004EEA0000}"/>
    <cellStyle name="SAPBEXstdItem 2 8 2" xfId="61098" xr:uid="{00000000-0005-0000-0000-00004FEA0000}"/>
    <cellStyle name="SAPBEXstdItem 2 9" xfId="7161" xr:uid="{00000000-0005-0000-0000-000050EA0000}"/>
    <cellStyle name="SAPBEXstdItem 2 9 2" xfId="61099" xr:uid="{00000000-0005-0000-0000-000051EA0000}"/>
    <cellStyle name="SAPBEXstdItem 3" xfId="7162" xr:uid="{00000000-0005-0000-0000-000052EA0000}"/>
    <cellStyle name="SAPBEXstdItem 3 2" xfId="61100" xr:uid="{00000000-0005-0000-0000-000053EA0000}"/>
    <cellStyle name="SAPBEXstdItem 4" xfId="7163" xr:uid="{00000000-0005-0000-0000-000054EA0000}"/>
    <cellStyle name="SAPBEXstdItem 4 2" xfId="61101" xr:uid="{00000000-0005-0000-0000-000055EA0000}"/>
    <cellStyle name="SAPBEXstdItem 5" xfId="7164" xr:uid="{00000000-0005-0000-0000-000056EA0000}"/>
    <cellStyle name="SAPBEXstdItem 5 2" xfId="61102" xr:uid="{00000000-0005-0000-0000-000057EA0000}"/>
    <cellStyle name="SAPBEXstdItem 6" xfId="7165" xr:uid="{00000000-0005-0000-0000-000058EA0000}"/>
    <cellStyle name="SAPBEXstdItem 6 2" xfId="61103" xr:uid="{00000000-0005-0000-0000-000059EA0000}"/>
    <cellStyle name="SAPBEXstdItem 7" xfId="7166" xr:uid="{00000000-0005-0000-0000-00005AEA0000}"/>
    <cellStyle name="SAPBEXstdItem 7 2" xfId="61104" xr:uid="{00000000-0005-0000-0000-00005BEA0000}"/>
    <cellStyle name="SAPBEXstdItem 8" xfId="7167" xr:uid="{00000000-0005-0000-0000-00005CEA0000}"/>
    <cellStyle name="SAPBEXstdItem 8 2" xfId="61105" xr:uid="{00000000-0005-0000-0000-00005DEA0000}"/>
    <cellStyle name="SAPBEXstdItem 9" xfId="7168" xr:uid="{00000000-0005-0000-0000-00005EEA0000}"/>
    <cellStyle name="SAPBEXstdItem 9 2" xfId="61106" xr:uid="{00000000-0005-0000-0000-00005FEA0000}"/>
    <cellStyle name="SAPBEXstdItemX" xfId="7169" xr:uid="{00000000-0005-0000-0000-000060EA0000}"/>
    <cellStyle name="SAPBEXstdItemX 10" xfId="7170" xr:uid="{00000000-0005-0000-0000-000061EA0000}"/>
    <cellStyle name="SAPBEXstdItemX 10 2" xfId="61107" xr:uid="{00000000-0005-0000-0000-000062EA0000}"/>
    <cellStyle name="SAPBEXstdItemX 11" xfId="7171" xr:uid="{00000000-0005-0000-0000-000063EA0000}"/>
    <cellStyle name="SAPBEXstdItemX 11 2" xfId="61108" xr:uid="{00000000-0005-0000-0000-000064EA0000}"/>
    <cellStyle name="SAPBEXstdItemX 12" xfId="7172" xr:uid="{00000000-0005-0000-0000-000065EA0000}"/>
    <cellStyle name="SAPBEXstdItemX 2" xfId="7173" xr:uid="{00000000-0005-0000-0000-000066EA0000}"/>
    <cellStyle name="SAPBEXstdItemX 2 10" xfId="7174" xr:uid="{00000000-0005-0000-0000-000067EA0000}"/>
    <cellStyle name="SAPBEXstdItemX 2 10 2" xfId="61109" xr:uid="{00000000-0005-0000-0000-000068EA0000}"/>
    <cellStyle name="SAPBEXstdItemX 2 11" xfId="7175" xr:uid="{00000000-0005-0000-0000-000069EA0000}"/>
    <cellStyle name="SAPBEXstdItemX 2 2" xfId="7176" xr:uid="{00000000-0005-0000-0000-00006AEA0000}"/>
    <cellStyle name="SAPBEXstdItemX 2 2 2" xfId="61110" xr:uid="{00000000-0005-0000-0000-00006BEA0000}"/>
    <cellStyle name="SAPBEXstdItemX 2 3" xfId="7177" xr:uid="{00000000-0005-0000-0000-00006CEA0000}"/>
    <cellStyle name="SAPBEXstdItemX 2 3 2" xfId="61111" xr:uid="{00000000-0005-0000-0000-00006DEA0000}"/>
    <cellStyle name="SAPBEXstdItemX 2 4" xfId="7178" xr:uid="{00000000-0005-0000-0000-00006EEA0000}"/>
    <cellStyle name="SAPBEXstdItemX 2 4 2" xfId="61112" xr:uid="{00000000-0005-0000-0000-00006FEA0000}"/>
    <cellStyle name="SAPBEXstdItemX 2 5" xfId="7179" xr:uid="{00000000-0005-0000-0000-000070EA0000}"/>
    <cellStyle name="SAPBEXstdItemX 2 5 2" xfId="61113" xr:uid="{00000000-0005-0000-0000-000071EA0000}"/>
    <cellStyle name="SAPBEXstdItemX 2 6" xfId="7180" xr:uid="{00000000-0005-0000-0000-000072EA0000}"/>
    <cellStyle name="SAPBEXstdItemX 2 6 2" xfId="61114" xr:uid="{00000000-0005-0000-0000-000073EA0000}"/>
    <cellStyle name="SAPBEXstdItemX 2 7" xfId="7181" xr:uid="{00000000-0005-0000-0000-000074EA0000}"/>
    <cellStyle name="SAPBEXstdItemX 2 7 2" xfId="61115" xr:uid="{00000000-0005-0000-0000-000075EA0000}"/>
    <cellStyle name="SAPBEXstdItemX 2 8" xfId="7182" xr:uid="{00000000-0005-0000-0000-000076EA0000}"/>
    <cellStyle name="SAPBEXstdItemX 2 8 2" xfId="61116" xr:uid="{00000000-0005-0000-0000-000077EA0000}"/>
    <cellStyle name="SAPBEXstdItemX 2 9" xfId="7183" xr:uid="{00000000-0005-0000-0000-000078EA0000}"/>
    <cellStyle name="SAPBEXstdItemX 2 9 2" xfId="61117" xr:uid="{00000000-0005-0000-0000-000079EA0000}"/>
    <cellStyle name="SAPBEXstdItemX 3" xfId="7184" xr:uid="{00000000-0005-0000-0000-00007AEA0000}"/>
    <cellStyle name="SAPBEXstdItemX 3 2" xfId="61118" xr:uid="{00000000-0005-0000-0000-00007BEA0000}"/>
    <cellStyle name="SAPBEXstdItemX 4" xfId="7185" xr:uid="{00000000-0005-0000-0000-00007CEA0000}"/>
    <cellStyle name="SAPBEXstdItemX 4 2" xfId="61119" xr:uid="{00000000-0005-0000-0000-00007DEA0000}"/>
    <cellStyle name="SAPBEXstdItemX 5" xfId="7186" xr:uid="{00000000-0005-0000-0000-00007EEA0000}"/>
    <cellStyle name="SAPBEXstdItemX 5 2" xfId="61120" xr:uid="{00000000-0005-0000-0000-00007FEA0000}"/>
    <cellStyle name="SAPBEXstdItemX 6" xfId="7187" xr:uid="{00000000-0005-0000-0000-000080EA0000}"/>
    <cellStyle name="SAPBEXstdItemX 6 2" xfId="61121" xr:uid="{00000000-0005-0000-0000-000081EA0000}"/>
    <cellStyle name="SAPBEXstdItemX 7" xfId="7188" xr:uid="{00000000-0005-0000-0000-000082EA0000}"/>
    <cellStyle name="SAPBEXstdItemX 7 2" xfId="61122" xr:uid="{00000000-0005-0000-0000-000083EA0000}"/>
    <cellStyle name="SAPBEXstdItemX 8" xfId="7189" xr:uid="{00000000-0005-0000-0000-000084EA0000}"/>
    <cellStyle name="SAPBEXstdItemX 8 2" xfId="61123" xr:uid="{00000000-0005-0000-0000-000085EA0000}"/>
    <cellStyle name="SAPBEXstdItemX 9" xfId="7190" xr:uid="{00000000-0005-0000-0000-000086EA0000}"/>
    <cellStyle name="SAPBEXstdItemX 9 2" xfId="61124" xr:uid="{00000000-0005-0000-0000-000087EA0000}"/>
    <cellStyle name="SAPBEXtitle" xfId="7191" xr:uid="{00000000-0005-0000-0000-000088EA0000}"/>
    <cellStyle name="SAPBEXundefined" xfId="7192" xr:uid="{00000000-0005-0000-0000-000089EA0000}"/>
    <cellStyle name="SAPBEXundefined 10" xfId="7193" xr:uid="{00000000-0005-0000-0000-00008AEA0000}"/>
    <cellStyle name="SAPBEXundefined 10 2" xfId="61125" xr:uid="{00000000-0005-0000-0000-00008BEA0000}"/>
    <cellStyle name="SAPBEXundefined 11" xfId="7194" xr:uid="{00000000-0005-0000-0000-00008CEA0000}"/>
    <cellStyle name="SAPBEXundefined 11 2" xfId="61126" xr:uid="{00000000-0005-0000-0000-00008DEA0000}"/>
    <cellStyle name="SAPBEXundefined 12" xfId="7195" xr:uid="{00000000-0005-0000-0000-00008EEA0000}"/>
    <cellStyle name="SAPBEXundefined 2" xfId="7196" xr:uid="{00000000-0005-0000-0000-00008FEA0000}"/>
    <cellStyle name="SAPBEXundefined 2 10" xfId="7197" xr:uid="{00000000-0005-0000-0000-000090EA0000}"/>
    <cellStyle name="SAPBEXundefined 2 10 2" xfId="61127" xr:uid="{00000000-0005-0000-0000-000091EA0000}"/>
    <cellStyle name="SAPBEXundefined 2 11" xfId="7198" xr:uid="{00000000-0005-0000-0000-000092EA0000}"/>
    <cellStyle name="SAPBEXundefined 2 2" xfId="7199" xr:uid="{00000000-0005-0000-0000-000093EA0000}"/>
    <cellStyle name="SAPBEXundefined 2 2 2" xfId="61128" xr:uid="{00000000-0005-0000-0000-000094EA0000}"/>
    <cellStyle name="SAPBEXundefined 2 3" xfId="7200" xr:uid="{00000000-0005-0000-0000-000095EA0000}"/>
    <cellStyle name="SAPBEXundefined 2 3 2" xfId="61129" xr:uid="{00000000-0005-0000-0000-000096EA0000}"/>
    <cellStyle name="SAPBEXundefined 2 4" xfId="7201" xr:uid="{00000000-0005-0000-0000-000097EA0000}"/>
    <cellStyle name="SAPBEXundefined 2 4 2" xfId="61130" xr:uid="{00000000-0005-0000-0000-000098EA0000}"/>
    <cellStyle name="SAPBEXundefined 2 5" xfId="7202" xr:uid="{00000000-0005-0000-0000-000099EA0000}"/>
    <cellStyle name="SAPBEXundefined 2 5 2" xfId="61131" xr:uid="{00000000-0005-0000-0000-00009AEA0000}"/>
    <cellStyle name="SAPBEXundefined 2 6" xfId="7203" xr:uid="{00000000-0005-0000-0000-00009BEA0000}"/>
    <cellStyle name="SAPBEXundefined 2 6 2" xfId="61132" xr:uid="{00000000-0005-0000-0000-00009CEA0000}"/>
    <cellStyle name="SAPBEXundefined 2 7" xfId="7204" xr:uid="{00000000-0005-0000-0000-00009DEA0000}"/>
    <cellStyle name="SAPBEXundefined 2 7 2" xfId="61133" xr:uid="{00000000-0005-0000-0000-00009EEA0000}"/>
    <cellStyle name="SAPBEXundefined 2 8" xfId="7205" xr:uid="{00000000-0005-0000-0000-00009FEA0000}"/>
    <cellStyle name="SAPBEXundefined 2 8 2" xfId="61134" xr:uid="{00000000-0005-0000-0000-0000A0EA0000}"/>
    <cellStyle name="SAPBEXundefined 2 9" xfId="7206" xr:uid="{00000000-0005-0000-0000-0000A1EA0000}"/>
    <cellStyle name="SAPBEXundefined 2 9 2" xfId="61135" xr:uid="{00000000-0005-0000-0000-0000A2EA0000}"/>
    <cellStyle name="SAPBEXundefined 3" xfId="7207" xr:uid="{00000000-0005-0000-0000-0000A3EA0000}"/>
    <cellStyle name="SAPBEXundefined 3 2" xfId="61136" xr:uid="{00000000-0005-0000-0000-0000A4EA0000}"/>
    <cellStyle name="SAPBEXundefined 4" xfId="7208" xr:uid="{00000000-0005-0000-0000-0000A5EA0000}"/>
    <cellStyle name="SAPBEXundefined 4 2" xfId="61137" xr:uid="{00000000-0005-0000-0000-0000A6EA0000}"/>
    <cellStyle name="SAPBEXundefined 5" xfId="7209" xr:uid="{00000000-0005-0000-0000-0000A7EA0000}"/>
    <cellStyle name="SAPBEXundefined 5 2" xfId="61138" xr:uid="{00000000-0005-0000-0000-0000A8EA0000}"/>
    <cellStyle name="SAPBEXundefined 6" xfId="7210" xr:uid="{00000000-0005-0000-0000-0000A9EA0000}"/>
    <cellStyle name="SAPBEXundefined 6 2" xfId="61139" xr:uid="{00000000-0005-0000-0000-0000AAEA0000}"/>
    <cellStyle name="SAPBEXundefined 7" xfId="7211" xr:uid="{00000000-0005-0000-0000-0000ABEA0000}"/>
    <cellStyle name="SAPBEXundefined 7 2" xfId="61140" xr:uid="{00000000-0005-0000-0000-0000ACEA0000}"/>
    <cellStyle name="SAPBEXundefined 8" xfId="7212" xr:uid="{00000000-0005-0000-0000-0000ADEA0000}"/>
    <cellStyle name="SAPBEXundefined 8 2" xfId="61141" xr:uid="{00000000-0005-0000-0000-0000AEEA0000}"/>
    <cellStyle name="SAPBEXundefined 9" xfId="7213" xr:uid="{00000000-0005-0000-0000-0000AFEA0000}"/>
    <cellStyle name="SAPBEXundefined 9 2" xfId="61142" xr:uid="{00000000-0005-0000-0000-0000B0EA0000}"/>
    <cellStyle name="SAPDataCell" xfId="61143" xr:uid="{00000000-0005-0000-0000-0000B1EA0000}"/>
    <cellStyle name="SAPDataTotalCell" xfId="61144" xr:uid="{00000000-0005-0000-0000-0000B2EA0000}"/>
    <cellStyle name="SAPDimensionCell" xfId="61145" xr:uid="{00000000-0005-0000-0000-0000B3EA0000}"/>
    <cellStyle name="SAPEmphasized" xfId="61146" xr:uid="{00000000-0005-0000-0000-0000B4EA0000}"/>
    <cellStyle name="SAPHierarchyCell0" xfId="61147" xr:uid="{00000000-0005-0000-0000-0000B5EA0000}"/>
    <cellStyle name="SAPHierarchyCell1" xfId="61148" xr:uid="{00000000-0005-0000-0000-0000B6EA0000}"/>
    <cellStyle name="SAPHierarchyCell2" xfId="61149" xr:uid="{00000000-0005-0000-0000-0000B7EA0000}"/>
    <cellStyle name="SAPHierarchyCell3" xfId="61150" xr:uid="{00000000-0005-0000-0000-0000B8EA0000}"/>
    <cellStyle name="SAPHierarchyCell4" xfId="61151" xr:uid="{00000000-0005-0000-0000-0000B9EA0000}"/>
    <cellStyle name="SAPLocked" xfId="7214" xr:uid="{00000000-0005-0000-0000-0000BAEA0000}"/>
    <cellStyle name="SAPLocked 10" xfId="7215" xr:uid="{00000000-0005-0000-0000-0000BBEA0000}"/>
    <cellStyle name="SAPLocked 10 10" xfId="7216" xr:uid="{00000000-0005-0000-0000-0000BCEA0000}"/>
    <cellStyle name="SAPLocked 10 10 2" xfId="61152" xr:uid="{00000000-0005-0000-0000-0000BDEA0000}"/>
    <cellStyle name="SAPLocked 10 11" xfId="7217" xr:uid="{00000000-0005-0000-0000-0000BEEA0000}"/>
    <cellStyle name="SAPLocked 10 11 2" xfId="61153" xr:uid="{00000000-0005-0000-0000-0000BFEA0000}"/>
    <cellStyle name="SAPLocked 10 12" xfId="7218" xr:uid="{00000000-0005-0000-0000-0000C0EA0000}"/>
    <cellStyle name="SAPLocked 10 12 2" xfId="61154" xr:uid="{00000000-0005-0000-0000-0000C1EA0000}"/>
    <cellStyle name="SAPLocked 10 13" xfId="7219" xr:uid="{00000000-0005-0000-0000-0000C2EA0000}"/>
    <cellStyle name="SAPLocked 10 2" xfId="7220" xr:uid="{00000000-0005-0000-0000-0000C3EA0000}"/>
    <cellStyle name="SAPLocked 10 2 10" xfId="7221" xr:uid="{00000000-0005-0000-0000-0000C4EA0000}"/>
    <cellStyle name="SAPLocked 10 2 10 2" xfId="61155" xr:uid="{00000000-0005-0000-0000-0000C5EA0000}"/>
    <cellStyle name="SAPLocked 10 2 11" xfId="7222" xr:uid="{00000000-0005-0000-0000-0000C6EA0000}"/>
    <cellStyle name="SAPLocked 10 2 11 2" xfId="61156" xr:uid="{00000000-0005-0000-0000-0000C7EA0000}"/>
    <cellStyle name="SAPLocked 10 2 12" xfId="7223" xr:uid="{00000000-0005-0000-0000-0000C8EA0000}"/>
    <cellStyle name="SAPLocked 10 2 2" xfId="7224" xr:uid="{00000000-0005-0000-0000-0000C9EA0000}"/>
    <cellStyle name="SAPLocked 10 2 2 2" xfId="61157" xr:uid="{00000000-0005-0000-0000-0000CAEA0000}"/>
    <cellStyle name="SAPLocked 10 2 3" xfId="7225" xr:uid="{00000000-0005-0000-0000-0000CBEA0000}"/>
    <cellStyle name="SAPLocked 10 2 3 2" xfId="61158" xr:uid="{00000000-0005-0000-0000-0000CCEA0000}"/>
    <cellStyle name="SAPLocked 10 2 4" xfId="7226" xr:uid="{00000000-0005-0000-0000-0000CDEA0000}"/>
    <cellStyle name="SAPLocked 10 2 4 2" xfId="61159" xr:uid="{00000000-0005-0000-0000-0000CEEA0000}"/>
    <cellStyle name="SAPLocked 10 2 5" xfId="7227" xr:uid="{00000000-0005-0000-0000-0000CFEA0000}"/>
    <cellStyle name="SAPLocked 10 2 5 2" xfId="61160" xr:uid="{00000000-0005-0000-0000-0000D0EA0000}"/>
    <cellStyle name="SAPLocked 10 2 6" xfId="7228" xr:uid="{00000000-0005-0000-0000-0000D1EA0000}"/>
    <cellStyle name="SAPLocked 10 2 6 2" xfId="61161" xr:uid="{00000000-0005-0000-0000-0000D2EA0000}"/>
    <cellStyle name="SAPLocked 10 2 7" xfId="7229" xr:uid="{00000000-0005-0000-0000-0000D3EA0000}"/>
    <cellStyle name="SAPLocked 10 2 7 2" xfId="61162" xr:uid="{00000000-0005-0000-0000-0000D4EA0000}"/>
    <cellStyle name="SAPLocked 10 2 8" xfId="7230" xr:uid="{00000000-0005-0000-0000-0000D5EA0000}"/>
    <cellStyle name="SAPLocked 10 2 8 2" xfId="61163" xr:uid="{00000000-0005-0000-0000-0000D6EA0000}"/>
    <cellStyle name="SAPLocked 10 2 9" xfId="7231" xr:uid="{00000000-0005-0000-0000-0000D7EA0000}"/>
    <cellStyle name="SAPLocked 10 2 9 2" xfId="61164" xr:uid="{00000000-0005-0000-0000-0000D8EA0000}"/>
    <cellStyle name="SAPLocked 10 3" xfId="7232" xr:uid="{00000000-0005-0000-0000-0000D9EA0000}"/>
    <cellStyle name="SAPLocked 10 3 2" xfId="61165" xr:uid="{00000000-0005-0000-0000-0000DAEA0000}"/>
    <cellStyle name="SAPLocked 10 4" xfId="7233" xr:uid="{00000000-0005-0000-0000-0000DBEA0000}"/>
    <cellStyle name="SAPLocked 10 4 2" xfId="61166" xr:uid="{00000000-0005-0000-0000-0000DCEA0000}"/>
    <cellStyle name="SAPLocked 10 5" xfId="7234" xr:uid="{00000000-0005-0000-0000-0000DDEA0000}"/>
    <cellStyle name="SAPLocked 10 5 2" xfId="61167" xr:uid="{00000000-0005-0000-0000-0000DEEA0000}"/>
    <cellStyle name="SAPLocked 10 6" xfId="7235" xr:uid="{00000000-0005-0000-0000-0000DFEA0000}"/>
    <cellStyle name="SAPLocked 10 6 2" xfId="61168" xr:uid="{00000000-0005-0000-0000-0000E0EA0000}"/>
    <cellStyle name="SAPLocked 10 7" xfId="7236" xr:uid="{00000000-0005-0000-0000-0000E1EA0000}"/>
    <cellStyle name="SAPLocked 10 7 2" xfId="61169" xr:uid="{00000000-0005-0000-0000-0000E2EA0000}"/>
    <cellStyle name="SAPLocked 10 8" xfId="7237" xr:uid="{00000000-0005-0000-0000-0000E3EA0000}"/>
    <cellStyle name="SAPLocked 10 8 2" xfId="61170" xr:uid="{00000000-0005-0000-0000-0000E4EA0000}"/>
    <cellStyle name="SAPLocked 10 9" xfId="7238" xr:uid="{00000000-0005-0000-0000-0000E5EA0000}"/>
    <cellStyle name="SAPLocked 10 9 2" xfId="61171" xr:uid="{00000000-0005-0000-0000-0000E6EA0000}"/>
    <cellStyle name="SAPLocked 11" xfId="7239" xr:uid="{00000000-0005-0000-0000-0000E7EA0000}"/>
    <cellStyle name="SAPLocked 11 10" xfId="7240" xr:uid="{00000000-0005-0000-0000-0000E8EA0000}"/>
    <cellStyle name="SAPLocked 11 10 2" xfId="61172" xr:uid="{00000000-0005-0000-0000-0000E9EA0000}"/>
    <cellStyle name="SAPLocked 11 11" xfId="7241" xr:uid="{00000000-0005-0000-0000-0000EAEA0000}"/>
    <cellStyle name="SAPLocked 11 11 2" xfId="61173" xr:uid="{00000000-0005-0000-0000-0000EBEA0000}"/>
    <cellStyle name="SAPLocked 11 12" xfId="7242" xr:uid="{00000000-0005-0000-0000-0000ECEA0000}"/>
    <cellStyle name="SAPLocked 11 12 2" xfId="61174" xr:uid="{00000000-0005-0000-0000-0000EDEA0000}"/>
    <cellStyle name="SAPLocked 11 13" xfId="7243" xr:uid="{00000000-0005-0000-0000-0000EEEA0000}"/>
    <cellStyle name="SAPLocked 11 2" xfId="7244" xr:uid="{00000000-0005-0000-0000-0000EFEA0000}"/>
    <cellStyle name="SAPLocked 11 2 10" xfId="7245" xr:uid="{00000000-0005-0000-0000-0000F0EA0000}"/>
    <cellStyle name="SAPLocked 11 2 10 2" xfId="61175" xr:uid="{00000000-0005-0000-0000-0000F1EA0000}"/>
    <cellStyle name="SAPLocked 11 2 11" xfId="7246" xr:uid="{00000000-0005-0000-0000-0000F2EA0000}"/>
    <cellStyle name="SAPLocked 11 2 11 2" xfId="61176" xr:uid="{00000000-0005-0000-0000-0000F3EA0000}"/>
    <cellStyle name="SAPLocked 11 2 12" xfId="7247" xr:uid="{00000000-0005-0000-0000-0000F4EA0000}"/>
    <cellStyle name="SAPLocked 11 2 2" xfId="7248" xr:uid="{00000000-0005-0000-0000-0000F5EA0000}"/>
    <cellStyle name="SAPLocked 11 2 2 2" xfId="61177" xr:uid="{00000000-0005-0000-0000-0000F6EA0000}"/>
    <cellStyle name="SAPLocked 11 2 3" xfId="7249" xr:uid="{00000000-0005-0000-0000-0000F7EA0000}"/>
    <cellStyle name="SAPLocked 11 2 3 2" xfId="61178" xr:uid="{00000000-0005-0000-0000-0000F8EA0000}"/>
    <cellStyle name="SAPLocked 11 2 4" xfId="7250" xr:uid="{00000000-0005-0000-0000-0000F9EA0000}"/>
    <cellStyle name="SAPLocked 11 2 4 2" xfId="61179" xr:uid="{00000000-0005-0000-0000-0000FAEA0000}"/>
    <cellStyle name="SAPLocked 11 2 5" xfId="7251" xr:uid="{00000000-0005-0000-0000-0000FBEA0000}"/>
    <cellStyle name="SAPLocked 11 2 5 2" xfId="61180" xr:uid="{00000000-0005-0000-0000-0000FCEA0000}"/>
    <cellStyle name="SAPLocked 11 2 6" xfId="7252" xr:uid="{00000000-0005-0000-0000-0000FDEA0000}"/>
    <cellStyle name="SAPLocked 11 2 6 2" xfId="61181" xr:uid="{00000000-0005-0000-0000-0000FEEA0000}"/>
    <cellStyle name="SAPLocked 11 2 7" xfId="7253" xr:uid="{00000000-0005-0000-0000-0000FFEA0000}"/>
    <cellStyle name="SAPLocked 11 2 7 2" xfId="61182" xr:uid="{00000000-0005-0000-0000-000000EB0000}"/>
    <cellStyle name="SAPLocked 11 2 8" xfId="7254" xr:uid="{00000000-0005-0000-0000-000001EB0000}"/>
    <cellStyle name="SAPLocked 11 2 8 2" xfId="61183" xr:uid="{00000000-0005-0000-0000-000002EB0000}"/>
    <cellStyle name="SAPLocked 11 2 9" xfId="7255" xr:uid="{00000000-0005-0000-0000-000003EB0000}"/>
    <cellStyle name="SAPLocked 11 2 9 2" xfId="61184" xr:uid="{00000000-0005-0000-0000-000004EB0000}"/>
    <cellStyle name="SAPLocked 11 3" xfId="7256" xr:uid="{00000000-0005-0000-0000-000005EB0000}"/>
    <cellStyle name="SAPLocked 11 3 2" xfId="61185" xr:uid="{00000000-0005-0000-0000-000006EB0000}"/>
    <cellStyle name="SAPLocked 11 4" xfId="7257" xr:uid="{00000000-0005-0000-0000-000007EB0000}"/>
    <cellStyle name="SAPLocked 11 4 2" xfId="61186" xr:uid="{00000000-0005-0000-0000-000008EB0000}"/>
    <cellStyle name="SAPLocked 11 5" xfId="7258" xr:uid="{00000000-0005-0000-0000-000009EB0000}"/>
    <cellStyle name="SAPLocked 11 5 2" xfId="61187" xr:uid="{00000000-0005-0000-0000-00000AEB0000}"/>
    <cellStyle name="SAPLocked 11 6" xfId="7259" xr:uid="{00000000-0005-0000-0000-00000BEB0000}"/>
    <cellStyle name="SAPLocked 11 6 2" xfId="61188" xr:uid="{00000000-0005-0000-0000-00000CEB0000}"/>
    <cellStyle name="SAPLocked 11 7" xfId="7260" xr:uid="{00000000-0005-0000-0000-00000DEB0000}"/>
    <cellStyle name="SAPLocked 11 7 2" xfId="61189" xr:uid="{00000000-0005-0000-0000-00000EEB0000}"/>
    <cellStyle name="SAPLocked 11 8" xfId="7261" xr:uid="{00000000-0005-0000-0000-00000FEB0000}"/>
    <cellStyle name="SAPLocked 11 8 2" xfId="61190" xr:uid="{00000000-0005-0000-0000-000010EB0000}"/>
    <cellStyle name="SAPLocked 11 9" xfId="7262" xr:uid="{00000000-0005-0000-0000-000011EB0000}"/>
    <cellStyle name="SAPLocked 11 9 2" xfId="61191" xr:uid="{00000000-0005-0000-0000-000012EB0000}"/>
    <cellStyle name="SAPLocked 12" xfId="7263" xr:uid="{00000000-0005-0000-0000-000013EB0000}"/>
    <cellStyle name="SAPLocked 12 10" xfId="7264" xr:uid="{00000000-0005-0000-0000-000014EB0000}"/>
    <cellStyle name="SAPLocked 12 10 2" xfId="61192" xr:uid="{00000000-0005-0000-0000-000015EB0000}"/>
    <cellStyle name="SAPLocked 12 11" xfId="7265" xr:uid="{00000000-0005-0000-0000-000016EB0000}"/>
    <cellStyle name="SAPLocked 12 11 2" xfId="61193" xr:uid="{00000000-0005-0000-0000-000017EB0000}"/>
    <cellStyle name="SAPLocked 12 12" xfId="7266" xr:uid="{00000000-0005-0000-0000-000018EB0000}"/>
    <cellStyle name="SAPLocked 12 12 2" xfId="61194" xr:uid="{00000000-0005-0000-0000-000019EB0000}"/>
    <cellStyle name="SAPLocked 12 13" xfId="7267" xr:uid="{00000000-0005-0000-0000-00001AEB0000}"/>
    <cellStyle name="SAPLocked 12 2" xfId="7268" xr:uid="{00000000-0005-0000-0000-00001BEB0000}"/>
    <cellStyle name="SAPLocked 12 2 10" xfId="7269" xr:uid="{00000000-0005-0000-0000-00001CEB0000}"/>
    <cellStyle name="SAPLocked 12 2 10 2" xfId="61195" xr:uid="{00000000-0005-0000-0000-00001DEB0000}"/>
    <cellStyle name="SAPLocked 12 2 11" xfId="7270" xr:uid="{00000000-0005-0000-0000-00001EEB0000}"/>
    <cellStyle name="SAPLocked 12 2 11 2" xfId="61196" xr:uid="{00000000-0005-0000-0000-00001FEB0000}"/>
    <cellStyle name="SAPLocked 12 2 12" xfId="7271" xr:uid="{00000000-0005-0000-0000-000020EB0000}"/>
    <cellStyle name="SAPLocked 12 2 2" xfId="7272" xr:uid="{00000000-0005-0000-0000-000021EB0000}"/>
    <cellStyle name="SAPLocked 12 2 2 2" xfId="61197" xr:uid="{00000000-0005-0000-0000-000022EB0000}"/>
    <cellStyle name="SAPLocked 12 2 3" xfId="7273" xr:uid="{00000000-0005-0000-0000-000023EB0000}"/>
    <cellStyle name="SAPLocked 12 2 3 2" xfId="61198" xr:uid="{00000000-0005-0000-0000-000024EB0000}"/>
    <cellStyle name="SAPLocked 12 2 4" xfId="7274" xr:uid="{00000000-0005-0000-0000-000025EB0000}"/>
    <cellStyle name="SAPLocked 12 2 4 2" xfId="61199" xr:uid="{00000000-0005-0000-0000-000026EB0000}"/>
    <cellStyle name="SAPLocked 12 2 5" xfId="7275" xr:uid="{00000000-0005-0000-0000-000027EB0000}"/>
    <cellStyle name="SAPLocked 12 2 5 2" xfId="61200" xr:uid="{00000000-0005-0000-0000-000028EB0000}"/>
    <cellStyle name="SAPLocked 12 2 6" xfId="7276" xr:uid="{00000000-0005-0000-0000-000029EB0000}"/>
    <cellStyle name="SAPLocked 12 2 6 2" xfId="61201" xr:uid="{00000000-0005-0000-0000-00002AEB0000}"/>
    <cellStyle name="SAPLocked 12 2 7" xfId="7277" xr:uid="{00000000-0005-0000-0000-00002BEB0000}"/>
    <cellStyle name="SAPLocked 12 2 7 2" xfId="61202" xr:uid="{00000000-0005-0000-0000-00002CEB0000}"/>
    <cellStyle name="SAPLocked 12 2 8" xfId="7278" xr:uid="{00000000-0005-0000-0000-00002DEB0000}"/>
    <cellStyle name="SAPLocked 12 2 8 2" xfId="61203" xr:uid="{00000000-0005-0000-0000-00002EEB0000}"/>
    <cellStyle name="SAPLocked 12 2 9" xfId="7279" xr:uid="{00000000-0005-0000-0000-00002FEB0000}"/>
    <cellStyle name="SAPLocked 12 2 9 2" xfId="61204" xr:uid="{00000000-0005-0000-0000-000030EB0000}"/>
    <cellStyle name="SAPLocked 12 3" xfId="7280" xr:uid="{00000000-0005-0000-0000-000031EB0000}"/>
    <cellStyle name="SAPLocked 12 3 2" xfId="61205" xr:uid="{00000000-0005-0000-0000-000032EB0000}"/>
    <cellStyle name="SAPLocked 12 4" xfId="7281" xr:uid="{00000000-0005-0000-0000-000033EB0000}"/>
    <cellStyle name="SAPLocked 12 4 2" xfId="61206" xr:uid="{00000000-0005-0000-0000-000034EB0000}"/>
    <cellStyle name="SAPLocked 12 5" xfId="7282" xr:uid="{00000000-0005-0000-0000-000035EB0000}"/>
    <cellStyle name="SAPLocked 12 5 2" xfId="61207" xr:uid="{00000000-0005-0000-0000-000036EB0000}"/>
    <cellStyle name="SAPLocked 12 6" xfId="7283" xr:uid="{00000000-0005-0000-0000-000037EB0000}"/>
    <cellStyle name="SAPLocked 12 6 2" xfId="61208" xr:uid="{00000000-0005-0000-0000-000038EB0000}"/>
    <cellStyle name="SAPLocked 12 7" xfId="7284" xr:uid="{00000000-0005-0000-0000-000039EB0000}"/>
    <cellStyle name="SAPLocked 12 7 2" xfId="61209" xr:uid="{00000000-0005-0000-0000-00003AEB0000}"/>
    <cellStyle name="SAPLocked 12 8" xfId="7285" xr:uid="{00000000-0005-0000-0000-00003BEB0000}"/>
    <cellStyle name="SAPLocked 12 8 2" xfId="61210" xr:uid="{00000000-0005-0000-0000-00003CEB0000}"/>
    <cellStyle name="SAPLocked 12 9" xfId="7286" xr:uid="{00000000-0005-0000-0000-00003DEB0000}"/>
    <cellStyle name="SAPLocked 12 9 2" xfId="61211" xr:uid="{00000000-0005-0000-0000-00003EEB0000}"/>
    <cellStyle name="SAPLocked 13" xfId="7287" xr:uid="{00000000-0005-0000-0000-00003FEB0000}"/>
    <cellStyle name="SAPLocked 13 10" xfId="7288" xr:uid="{00000000-0005-0000-0000-000040EB0000}"/>
    <cellStyle name="SAPLocked 13 10 2" xfId="61212" xr:uid="{00000000-0005-0000-0000-000041EB0000}"/>
    <cellStyle name="SAPLocked 13 11" xfId="7289" xr:uid="{00000000-0005-0000-0000-000042EB0000}"/>
    <cellStyle name="SAPLocked 13 11 2" xfId="61213" xr:uid="{00000000-0005-0000-0000-000043EB0000}"/>
    <cellStyle name="SAPLocked 13 12" xfId="7290" xr:uid="{00000000-0005-0000-0000-000044EB0000}"/>
    <cellStyle name="SAPLocked 13 12 2" xfId="61214" xr:uid="{00000000-0005-0000-0000-000045EB0000}"/>
    <cellStyle name="SAPLocked 13 13" xfId="7291" xr:uid="{00000000-0005-0000-0000-000046EB0000}"/>
    <cellStyle name="SAPLocked 13 2" xfId="7292" xr:uid="{00000000-0005-0000-0000-000047EB0000}"/>
    <cellStyle name="SAPLocked 13 2 10" xfId="7293" xr:uid="{00000000-0005-0000-0000-000048EB0000}"/>
    <cellStyle name="SAPLocked 13 2 10 2" xfId="61215" xr:uid="{00000000-0005-0000-0000-000049EB0000}"/>
    <cellStyle name="SAPLocked 13 2 11" xfId="7294" xr:uid="{00000000-0005-0000-0000-00004AEB0000}"/>
    <cellStyle name="SAPLocked 13 2 11 2" xfId="61216" xr:uid="{00000000-0005-0000-0000-00004BEB0000}"/>
    <cellStyle name="SAPLocked 13 2 12" xfId="7295" xr:uid="{00000000-0005-0000-0000-00004CEB0000}"/>
    <cellStyle name="SAPLocked 13 2 2" xfId="7296" xr:uid="{00000000-0005-0000-0000-00004DEB0000}"/>
    <cellStyle name="SAPLocked 13 2 2 2" xfId="61217" xr:uid="{00000000-0005-0000-0000-00004EEB0000}"/>
    <cellStyle name="SAPLocked 13 2 3" xfId="7297" xr:uid="{00000000-0005-0000-0000-00004FEB0000}"/>
    <cellStyle name="SAPLocked 13 2 3 2" xfId="61218" xr:uid="{00000000-0005-0000-0000-000050EB0000}"/>
    <cellStyle name="SAPLocked 13 2 4" xfId="7298" xr:uid="{00000000-0005-0000-0000-000051EB0000}"/>
    <cellStyle name="SAPLocked 13 2 4 2" xfId="61219" xr:uid="{00000000-0005-0000-0000-000052EB0000}"/>
    <cellStyle name="SAPLocked 13 2 5" xfId="7299" xr:uid="{00000000-0005-0000-0000-000053EB0000}"/>
    <cellStyle name="SAPLocked 13 2 5 2" xfId="61220" xr:uid="{00000000-0005-0000-0000-000054EB0000}"/>
    <cellStyle name="SAPLocked 13 2 6" xfId="7300" xr:uid="{00000000-0005-0000-0000-000055EB0000}"/>
    <cellStyle name="SAPLocked 13 2 6 2" xfId="61221" xr:uid="{00000000-0005-0000-0000-000056EB0000}"/>
    <cellStyle name="SAPLocked 13 2 7" xfId="7301" xr:uid="{00000000-0005-0000-0000-000057EB0000}"/>
    <cellStyle name="SAPLocked 13 2 7 2" xfId="61222" xr:uid="{00000000-0005-0000-0000-000058EB0000}"/>
    <cellStyle name="SAPLocked 13 2 8" xfId="7302" xr:uid="{00000000-0005-0000-0000-000059EB0000}"/>
    <cellStyle name="SAPLocked 13 2 8 2" xfId="61223" xr:uid="{00000000-0005-0000-0000-00005AEB0000}"/>
    <cellStyle name="SAPLocked 13 2 9" xfId="7303" xr:uid="{00000000-0005-0000-0000-00005BEB0000}"/>
    <cellStyle name="SAPLocked 13 2 9 2" xfId="61224" xr:uid="{00000000-0005-0000-0000-00005CEB0000}"/>
    <cellStyle name="SAPLocked 13 3" xfId="7304" xr:uid="{00000000-0005-0000-0000-00005DEB0000}"/>
    <cellStyle name="SAPLocked 13 3 2" xfId="61225" xr:uid="{00000000-0005-0000-0000-00005EEB0000}"/>
    <cellStyle name="SAPLocked 13 4" xfId="7305" xr:uid="{00000000-0005-0000-0000-00005FEB0000}"/>
    <cellStyle name="SAPLocked 13 4 2" xfId="61226" xr:uid="{00000000-0005-0000-0000-000060EB0000}"/>
    <cellStyle name="SAPLocked 13 5" xfId="7306" xr:uid="{00000000-0005-0000-0000-000061EB0000}"/>
    <cellStyle name="SAPLocked 13 5 2" xfId="61227" xr:uid="{00000000-0005-0000-0000-000062EB0000}"/>
    <cellStyle name="SAPLocked 13 6" xfId="7307" xr:uid="{00000000-0005-0000-0000-000063EB0000}"/>
    <cellStyle name="SAPLocked 13 6 2" xfId="61228" xr:uid="{00000000-0005-0000-0000-000064EB0000}"/>
    <cellStyle name="SAPLocked 13 7" xfId="7308" xr:uid="{00000000-0005-0000-0000-000065EB0000}"/>
    <cellStyle name="SAPLocked 13 7 2" xfId="61229" xr:uid="{00000000-0005-0000-0000-000066EB0000}"/>
    <cellStyle name="SAPLocked 13 8" xfId="7309" xr:uid="{00000000-0005-0000-0000-000067EB0000}"/>
    <cellStyle name="SAPLocked 13 8 2" xfId="61230" xr:uid="{00000000-0005-0000-0000-000068EB0000}"/>
    <cellStyle name="SAPLocked 13 9" xfId="7310" xr:uid="{00000000-0005-0000-0000-000069EB0000}"/>
    <cellStyle name="SAPLocked 13 9 2" xfId="61231" xr:uid="{00000000-0005-0000-0000-00006AEB0000}"/>
    <cellStyle name="SAPLocked 14" xfId="7311" xr:uid="{00000000-0005-0000-0000-00006BEB0000}"/>
    <cellStyle name="SAPLocked 14 10" xfId="7312" xr:uid="{00000000-0005-0000-0000-00006CEB0000}"/>
    <cellStyle name="SAPLocked 14 10 2" xfId="61232" xr:uid="{00000000-0005-0000-0000-00006DEB0000}"/>
    <cellStyle name="SAPLocked 14 11" xfId="7313" xr:uid="{00000000-0005-0000-0000-00006EEB0000}"/>
    <cellStyle name="SAPLocked 14 11 2" xfId="61233" xr:uid="{00000000-0005-0000-0000-00006FEB0000}"/>
    <cellStyle name="SAPLocked 14 12" xfId="7314" xr:uid="{00000000-0005-0000-0000-000070EB0000}"/>
    <cellStyle name="SAPLocked 14 12 2" xfId="61234" xr:uid="{00000000-0005-0000-0000-000071EB0000}"/>
    <cellStyle name="SAPLocked 14 13" xfId="7315" xr:uid="{00000000-0005-0000-0000-000072EB0000}"/>
    <cellStyle name="SAPLocked 14 2" xfId="7316" xr:uid="{00000000-0005-0000-0000-000073EB0000}"/>
    <cellStyle name="SAPLocked 14 2 10" xfId="7317" xr:uid="{00000000-0005-0000-0000-000074EB0000}"/>
    <cellStyle name="SAPLocked 14 2 10 2" xfId="61235" xr:uid="{00000000-0005-0000-0000-000075EB0000}"/>
    <cellStyle name="SAPLocked 14 2 11" xfId="7318" xr:uid="{00000000-0005-0000-0000-000076EB0000}"/>
    <cellStyle name="SAPLocked 14 2 11 2" xfId="61236" xr:uid="{00000000-0005-0000-0000-000077EB0000}"/>
    <cellStyle name="SAPLocked 14 2 12" xfId="7319" xr:uid="{00000000-0005-0000-0000-000078EB0000}"/>
    <cellStyle name="SAPLocked 14 2 2" xfId="7320" xr:uid="{00000000-0005-0000-0000-000079EB0000}"/>
    <cellStyle name="SAPLocked 14 2 2 2" xfId="61237" xr:uid="{00000000-0005-0000-0000-00007AEB0000}"/>
    <cellStyle name="SAPLocked 14 2 3" xfId="7321" xr:uid="{00000000-0005-0000-0000-00007BEB0000}"/>
    <cellStyle name="SAPLocked 14 2 3 2" xfId="61238" xr:uid="{00000000-0005-0000-0000-00007CEB0000}"/>
    <cellStyle name="SAPLocked 14 2 4" xfId="7322" xr:uid="{00000000-0005-0000-0000-00007DEB0000}"/>
    <cellStyle name="SAPLocked 14 2 4 2" xfId="61239" xr:uid="{00000000-0005-0000-0000-00007EEB0000}"/>
    <cellStyle name="SAPLocked 14 2 5" xfId="7323" xr:uid="{00000000-0005-0000-0000-00007FEB0000}"/>
    <cellStyle name="SAPLocked 14 2 5 2" xfId="61240" xr:uid="{00000000-0005-0000-0000-000080EB0000}"/>
    <cellStyle name="SAPLocked 14 2 6" xfId="7324" xr:uid="{00000000-0005-0000-0000-000081EB0000}"/>
    <cellStyle name="SAPLocked 14 2 6 2" xfId="61241" xr:uid="{00000000-0005-0000-0000-000082EB0000}"/>
    <cellStyle name="SAPLocked 14 2 7" xfId="7325" xr:uid="{00000000-0005-0000-0000-000083EB0000}"/>
    <cellStyle name="SAPLocked 14 2 7 2" xfId="61242" xr:uid="{00000000-0005-0000-0000-000084EB0000}"/>
    <cellStyle name="SAPLocked 14 2 8" xfId="7326" xr:uid="{00000000-0005-0000-0000-000085EB0000}"/>
    <cellStyle name="SAPLocked 14 2 8 2" xfId="61243" xr:uid="{00000000-0005-0000-0000-000086EB0000}"/>
    <cellStyle name="SAPLocked 14 2 9" xfId="7327" xr:uid="{00000000-0005-0000-0000-000087EB0000}"/>
    <cellStyle name="SAPLocked 14 2 9 2" xfId="61244" xr:uid="{00000000-0005-0000-0000-000088EB0000}"/>
    <cellStyle name="SAPLocked 14 3" xfId="7328" xr:uid="{00000000-0005-0000-0000-000089EB0000}"/>
    <cellStyle name="SAPLocked 14 3 2" xfId="61245" xr:uid="{00000000-0005-0000-0000-00008AEB0000}"/>
    <cellStyle name="SAPLocked 14 4" xfId="7329" xr:uid="{00000000-0005-0000-0000-00008BEB0000}"/>
    <cellStyle name="SAPLocked 14 4 2" xfId="61246" xr:uid="{00000000-0005-0000-0000-00008CEB0000}"/>
    <cellStyle name="SAPLocked 14 5" xfId="7330" xr:uid="{00000000-0005-0000-0000-00008DEB0000}"/>
    <cellStyle name="SAPLocked 14 5 2" xfId="61247" xr:uid="{00000000-0005-0000-0000-00008EEB0000}"/>
    <cellStyle name="SAPLocked 14 6" xfId="7331" xr:uid="{00000000-0005-0000-0000-00008FEB0000}"/>
    <cellStyle name="SAPLocked 14 6 2" xfId="61248" xr:uid="{00000000-0005-0000-0000-000090EB0000}"/>
    <cellStyle name="SAPLocked 14 7" xfId="7332" xr:uid="{00000000-0005-0000-0000-000091EB0000}"/>
    <cellStyle name="SAPLocked 14 7 2" xfId="61249" xr:uid="{00000000-0005-0000-0000-000092EB0000}"/>
    <cellStyle name="SAPLocked 14 8" xfId="7333" xr:uid="{00000000-0005-0000-0000-000093EB0000}"/>
    <cellStyle name="SAPLocked 14 8 2" xfId="61250" xr:uid="{00000000-0005-0000-0000-000094EB0000}"/>
    <cellStyle name="SAPLocked 14 9" xfId="7334" xr:uid="{00000000-0005-0000-0000-000095EB0000}"/>
    <cellStyle name="SAPLocked 14 9 2" xfId="61251" xr:uid="{00000000-0005-0000-0000-000096EB0000}"/>
    <cellStyle name="SAPLocked 15" xfId="7335" xr:uid="{00000000-0005-0000-0000-000097EB0000}"/>
    <cellStyle name="SAPLocked 15 10" xfId="7336" xr:uid="{00000000-0005-0000-0000-000098EB0000}"/>
    <cellStyle name="SAPLocked 15 10 2" xfId="61252" xr:uid="{00000000-0005-0000-0000-000099EB0000}"/>
    <cellStyle name="SAPLocked 15 11" xfId="7337" xr:uid="{00000000-0005-0000-0000-00009AEB0000}"/>
    <cellStyle name="SAPLocked 15 11 2" xfId="61253" xr:uid="{00000000-0005-0000-0000-00009BEB0000}"/>
    <cellStyle name="SAPLocked 15 12" xfId="7338" xr:uid="{00000000-0005-0000-0000-00009CEB0000}"/>
    <cellStyle name="SAPLocked 15 12 2" xfId="61254" xr:uid="{00000000-0005-0000-0000-00009DEB0000}"/>
    <cellStyle name="SAPLocked 15 13" xfId="7339" xr:uid="{00000000-0005-0000-0000-00009EEB0000}"/>
    <cellStyle name="SAPLocked 15 2" xfId="7340" xr:uid="{00000000-0005-0000-0000-00009FEB0000}"/>
    <cellStyle name="SAPLocked 15 2 10" xfId="7341" xr:uid="{00000000-0005-0000-0000-0000A0EB0000}"/>
    <cellStyle name="SAPLocked 15 2 10 2" xfId="61255" xr:uid="{00000000-0005-0000-0000-0000A1EB0000}"/>
    <cellStyle name="SAPLocked 15 2 11" xfId="7342" xr:uid="{00000000-0005-0000-0000-0000A2EB0000}"/>
    <cellStyle name="SAPLocked 15 2 11 2" xfId="61256" xr:uid="{00000000-0005-0000-0000-0000A3EB0000}"/>
    <cellStyle name="SAPLocked 15 2 12" xfId="7343" xr:uid="{00000000-0005-0000-0000-0000A4EB0000}"/>
    <cellStyle name="SAPLocked 15 2 2" xfId="7344" xr:uid="{00000000-0005-0000-0000-0000A5EB0000}"/>
    <cellStyle name="SAPLocked 15 2 2 2" xfId="61257" xr:uid="{00000000-0005-0000-0000-0000A6EB0000}"/>
    <cellStyle name="SAPLocked 15 2 3" xfId="7345" xr:uid="{00000000-0005-0000-0000-0000A7EB0000}"/>
    <cellStyle name="SAPLocked 15 2 3 2" xfId="61258" xr:uid="{00000000-0005-0000-0000-0000A8EB0000}"/>
    <cellStyle name="SAPLocked 15 2 4" xfId="7346" xr:uid="{00000000-0005-0000-0000-0000A9EB0000}"/>
    <cellStyle name="SAPLocked 15 2 4 2" xfId="61259" xr:uid="{00000000-0005-0000-0000-0000AAEB0000}"/>
    <cellStyle name="SAPLocked 15 2 5" xfId="7347" xr:uid="{00000000-0005-0000-0000-0000ABEB0000}"/>
    <cellStyle name="SAPLocked 15 2 5 2" xfId="61260" xr:uid="{00000000-0005-0000-0000-0000ACEB0000}"/>
    <cellStyle name="SAPLocked 15 2 6" xfId="7348" xr:uid="{00000000-0005-0000-0000-0000ADEB0000}"/>
    <cellStyle name="SAPLocked 15 2 6 2" xfId="61261" xr:uid="{00000000-0005-0000-0000-0000AEEB0000}"/>
    <cellStyle name="SAPLocked 15 2 7" xfId="7349" xr:uid="{00000000-0005-0000-0000-0000AFEB0000}"/>
    <cellStyle name="SAPLocked 15 2 7 2" xfId="61262" xr:uid="{00000000-0005-0000-0000-0000B0EB0000}"/>
    <cellStyle name="SAPLocked 15 2 8" xfId="7350" xr:uid="{00000000-0005-0000-0000-0000B1EB0000}"/>
    <cellStyle name="SAPLocked 15 2 8 2" xfId="61263" xr:uid="{00000000-0005-0000-0000-0000B2EB0000}"/>
    <cellStyle name="SAPLocked 15 2 9" xfId="7351" xr:uid="{00000000-0005-0000-0000-0000B3EB0000}"/>
    <cellStyle name="SAPLocked 15 2 9 2" xfId="61264" xr:uid="{00000000-0005-0000-0000-0000B4EB0000}"/>
    <cellStyle name="SAPLocked 15 3" xfId="7352" xr:uid="{00000000-0005-0000-0000-0000B5EB0000}"/>
    <cellStyle name="SAPLocked 15 3 2" xfId="61265" xr:uid="{00000000-0005-0000-0000-0000B6EB0000}"/>
    <cellStyle name="SAPLocked 15 4" xfId="7353" xr:uid="{00000000-0005-0000-0000-0000B7EB0000}"/>
    <cellStyle name="SAPLocked 15 4 2" xfId="61266" xr:uid="{00000000-0005-0000-0000-0000B8EB0000}"/>
    <cellStyle name="SAPLocked 15 5" xfId="7354" xr:uid="{00000000-0005-0000-0000-0000B9EB0000}"/>
    <cellStyle name="SAPLocked 15 5 2" xfId="61267" xr:uid="{00000000-0005-0000-0000-0000BAEB0000}"/>
    <cellStyle name="SAPLocked 15 6" xfId="7355" xr:uid="{00000000-0005-0000-0000-0000BBEB0000}"/>
    <cellStyle name="SAPLocked 15 6 2" xfId="61268" xr:uid="{00000000-0005-0000-0000-0000BCEB0000}"/>
    <cellStyle name="SAPLocked 15 7" xfId="7356" xr:uid="{00000000-0005-0000-0000-0000BDEB0000}"/>
    <cellStyle name="SAPLocked 15 7 2" xfId="61269" xr:uid="{00000000-0005-0000-0000-0000BEEB0000}"/>
    <cellStyle name="SAPLocked 15 8" xfId="7357" xr:uid="{00000000-0005-0000-0000-0000BFEB0000}"/>
    <cellStyle name="SAPLocked 15 8 2" xfId="61270" xr:uid="{00000000-0005-0000-0000-0000C0EB0000}"/>
    <cellStyle name="SAPLocked 15 9" xfId="7358" xr:uid="{00000000-0005-0000-0000-0000C1EB0000}"/>
    <cellStyle name="SAPLocked 15 9 2" xfId="61271" xr:uid="{00000000-0005-0000-0000-0000C2EB0000}"/>
    <cellStyle name="SAPLocked 16" xfId="7359" xr:uid="{00000000-0005-0000-0000-0000C3EB0000}"/>
    <cellStyle name="SAPLocked 16 10" xfId="7360" xr:uid="{00000000-0005-0000-0000-0000C4EB0000}"/>
    <cellStyle name="SAPLocked 16 10 2" xfId="61272" xr:uid="{00000000-0005-0000-0000-0000C5EB0000}"/>
    <cellStyle name="SAPLocked 16 11" xfId="7361" xr:uid="{00000000-0005-0000-0000-0000C6EB0000}"/>
    <cellStyle name="SAPLocked 16 11 2" xfId="61273" xr:uid="{00000000-0005-0000-0000-0000C7EB0000}"/>
    <cellStyle name="SAPLocked 16 12" xfId="7362" xr:uid="{00000000-0005-0000-0000-0000C8EB0000}"/>
    <cellStyle name="SAPLocked 16 12 2" xfId="61274" xr:uid="{00000000-0005-0000-0000-0000C9EB0000}"/>
    <cellStyle name="SAPLocked 16 13" xfId="7363" xr:uid="{00000000-0005-0000-0000-0000CAEB0000}"/>
    <cellStyle name="SAPLocked 16 2" xfId="7364" xr:uid="{00000000-0005-0000-0000-0000CBEB0000}"/>
    <cellStyle name="SAPLocked 16 2 10" xfId="7365" xr:uid="{00000000-0005-0000-0000-0000CCEB0000}"/>
    <cellStyle name="SAPLocked 16 2 10 2" xfId="61275" xr:uid="{00000000-0005-0000-0000-0000CDEB0000}"/>
    <cellStyle name="SAPLocked 16 2 11" xfId="7366" xr:uid="{00000000-0005-0000-0000-0000CEEB0000}"/>
    <cellStyle name="SAPLocked 16 2 11 2" xfId="61276" xr:uid="{00000000-0005-0000-0000-0000CFEB0000}"/>
    <cellStyle name="SAPLocked 16 2 12" xfId="7367" xr:uid="{00000000-0005-0000-0000-0000D0EB0000}"/>
    <cellStyle name="SAPLocked 16 2 2" xfId="7368" xr:uid="{00000000-0005-0000-0000-0000D1EB0000}"/>
    <cellStyle name="SAPLocked 16 2 2 2" xfId="61277" xr:uid="{00000000-0005-0000-0000-0000D2EB0000}"/>
    <cellStyle name="SAPLocked 16 2 3" xfId="7369" xr:uid="{00000000-0005-0000-0000-0000D3EB0000}"/>
    <cellStyle name="SAPLocked 16 2 3 2" xfId="61278" xr:uid="{00000000-0005-0000-0000-0000D4EB0000}"/>
    <cellStyle name="SAPLocked 16 2 4" xfId="7370" xr:uid="{00000000-0005-0000-0000-0000D5EB0000}"/>
    <cellStyle name="SAPLocked 16 2 4 2" xfId="61279" xr:uid="{00000000-0005-0000-0000-0000D6EB0000}"/>
    <cellStyle name="SAPLocked 16 2 5" xfId="7371" xr:uid="{00000000-0005-0000-0000-0000D7EB0000}"/>
    <cellStyle name="SAPLocked 16 2 5 2" xfId="61280" xr:uid="{00000000-0005-0000-0000-0000D8EB0000}"/>
    <cellStyle name="SAPLocked 16 2 6" xfId="7372" xr:uid="{00000000-0005-0000-0000-0000D9EB0000}"/>
    <cellStyle name="SAPLocked 16 2 6 2" xfId="61281" xr:uid="{00000000-0005-0000-0000-0000DAEB0000}"/>
    <cellStyle name="SAPLocked 16 2 7" xfId="7373" xr:uid="{00000000-0005-0000-0000-0000DBEB0000}"/>
    <cellStyle name="SAPLocked 16 2 7 2" xfId="61282" xr:uid="{00000000-0005-0000-0000-0000DCEB0000}"/>
    <cellStyle name="SAPLocked 16 2 8" xfId="7374" xr:uid="{00000000-0005-0000-0000-0000DDEB0000}"/>
    <cellStyle name="SAPLocked 16 2 8 2" xfId="61283" xr:uid="{00000000-0005-0000-0000-0000DEEB0000}"/>
    <cellStyle name="SAPLocked 16 2 9" xfId="7375" xr:uid="{00000000-0005-0000-0000-0000DFEB0000}"/>
    <cellStyle name="SAPLocked 16 2 9 2" xfId="61284" xr:uid="{00000000-0005-0000-0000-0000E0EB0000}"/>
    <cellStyle name="SAPLocked 16 3" xfId="7376" xr:uid="{00000000-0005-0000-0000-0000E1EB0000}"/>
    <cellStyle name="SAPLocked 16 3 2" xfId="61285" xr:uid="{00000000-0005-0000-0000-0000E2EB0000}"/>
    <cellStyle name="SAPLocked 16 4" xfId="7377" xr:uid="{00000000-0005-0000-0000-0000E3EB0000}"/>
    <cellStyle name="SAPLocked 16 4 2" xfId="61286" xr:uid="{00000000-0005-0000-0000-0000E4EB0000}"/>
    <cellStyle name="SAPLocked 16 5" xfId="7378" xr:uid="{00000000-0005-0000-0000-0000E5EB0000}"/>
    <cellStyle name="SAPLocked 16 5 2" xfId="61287" xr:uid="{00000000-0005-0000-0000-0000E6EB0000}"/>
    <cellStyle name="SAPLocked 16 6" xfId="7379" xr:uid="{00000000-0005-0000-0000-0000E7EB0000}"/>
    <cellStyle name="SAPLocked 16 6 2" xfId="61288" xr:uid="{00000000-0005-0000-0000-0000E8EB0000}"/>
    <cellStyle name="SAPLocked 16 7" xfId="7380" xr:uid="{00000000-0005-0000-0000-0000E9EB0000}"/>
    <cellStyle name="SAPLocked 16 7 2" xfId="61289" xr:uid="{00000000-0005-0000-0000-0000EAEB0000}"/>
    <cellStyle name="SAPLocked 16 8" xfId="7381" xr:uid="{00000000-0005-0000-0000-0000EBEB0000}"/>
    <cellStyle name="SAPLocked 16 8 2" xfId="61290" xr:uid="{00000000-0005-0000-0000-0000ECEB0000}"/>
    <cellStyle name="SAPLocked 16 9" xfId="7382" xr:uid="{00000000-0005-0000-0000-0000EDEB0000}"/>
    <cellStyle name="SAPLocked 16 9 2" xfId="61291" xr:uid="{00000000-0005-0000-0000-0000EEEB0000}"/>
    <cellStyle name="SAPLocked 17" xfId="7383" xr:uid="{00000000-0005-0000-0000-0000EFEB0000}"/>
    <cellStyle name="SAPLocked 17 10" xfId="7384" xr:uid="{00000000-0005-0000-0000-0000F0EB0000}"/>
    <cellStyle name="SAPLocked 17 10 2" xfId="61292" xr:uid="{00000000-0005-0000-0000-0000F1EB0000}"/>
    <cellStyle name="SAPLocked 17 11" xfId="7385" xr:uid="{00000000-0005-0000-0000-0000F2EB0000}"/>
    <cellStyle name="SAPLocked 17 11 2" xfId="61293" xr:uid="{00000000-0005-0000-0000-0000F3EB0000}"/>
    <cellStyle name="SAPLocked 17 12" xfId="7386" xr:uid="{00000000-0005-0000-0000-0000F4EB0000}"/>
    <cellStyle name="SAPLocked 17 12 2" xfId="61294" xr:uid="{00000000-0005-0000-0000-0000F5EB0000}"/>
    <cellStyle name="SAPLocked 17 13" xfId="7387" xr:uid="{00000000-0005-0000-0000-0000F6EB0000}"/>
    <cellStyle name="SAPLocked 17 2" xfId="7388" xr:uid="{00000000-0005-0000-0000-0000F7EB0000}"/>
    <cellStyle name="SAPLocked 17 2 10" xfId="7389" xr:uid="{00000000-0005-0000-0000-0000F8EB0000}"/>
    <cellStyle name="SAPLocked 17 2 10 2" xfId="61295" xr:uid="{00000000-0005-0000-0000-0000F9EB0000}"/>
    <cellStyle name="SAPLocked 17 2 11" xfId="7390" xr:uid="{00000000-0005-0000-0000-0000FAEB0000}"/>
    <cellStyle name="SAPLocked 17 2 11 2" xfId="61296" xr:uid="{00000000-0005-0000-0000-0000FBEB0000}"/>
    <cellStyle name="SAPLocked 17 2 12" xfId="7391" xr:uid="{00000000-0005-0000-0000-0000FCEB0000}"/>
    <cellStyle name="SAPLocked 17 2 2" xfId="7392" xr:uid="{00000000-0005-0000-0000-0000FDEB0000}"/>
    <cellStyle name="SAPLocked 17 2 2 2" xfId="61297" xr:uid="{00000000-0005-0000-0000-0000FEEB0000}"/>
    <cellStyle name="SAPLocked 17 2 3" xfId="7393" xr:uid="{00000000-0005-0000-0000-0000FFEB0000}"/>
    <cellStyle name="SAPLocked 17 2 3 2" xfId="61298" xr:uid="{00000000-0005-0000-0000-000000EC0000}"/>
    <cellStyle name="SAPLocked 17 2 4" xfId="7394" xr:uid="{00000000-0005-0000-0000-000001EC0000}"/>
    <cellStyle name="SAPLocked 17 2 4 2" xfId="61299" xr:uid="{00000000-0005-0000-0000-000002EC0000}"/>
    <cellStyle name="SAPLocked 17 2 5" xfId="7395" xr:uid="{00000000-0005-0000-0000-000003EC0000}"/>
    <cellStyle name="SAPLocked 17 2 5 2" xfId="61300" xr:uid="{00000000-0005-0000-0000-000004EC0000}"/>
    <cellStyle name="SAPLocked 17 2 6" xfId="7396" xr:uid="{00000000-0005-0000-0000-000005EC0000}"/>
    <cellStyle name="SAPLocked 17 2 6 2" xfId="61301" xr:uid="{00000000-0005-0000-0000-000006EC0000}"/>
    <cellStyle name="SAPLocked 17 2 7" xfId="7397" xr:uid="{00000000-0005-0000-0000-000007EC0000}"/>
    <cellStyle name="SAPLocked 17 2 7 2" xfId="61302" xr:uid="{00000000-0005-0000-0000-000008EC0000}"/>
    <cellStyle name="SAPLocked 17 2 8" xfId="7398" xr:uid="{00000000-0005-0000-0000-000009EC0000}"/>
    <cellStyle name="SAPLocked 17 2 8 2" xfId="61303" xr:uid="{00000000-0005-0000-0000-00000AEC0000}"/>
    <cellStyle name="SAPLocked 17 2 9" xfId="7399" xr:uid="{00000000-0005-0000-0000-00000BEC0000}"/>
    <cellStyle name="SAPLocked 17 2 9 2" xfId="61304" xr:uid="{00000000-0005-0000-0000-00000CEC0000}"/>
    <cellStyle name="SAPLocked 17 3" xfId="7400" xr:uid="{00000000-0005-0000-0000-00000DEC0000}"/>
    <cellStyle name="SAPLocked 17 3 2" xfId="61305" xr:uid="{00000000-0005-0000-0000-00000EEC0000}"/>
    <cellStyle name="SAPLocked 17 4" xfId="7401" xr:uid="{00000000-0005-0000-0000-00000FEC0000}"/>
    <cellStyle name="SAPLocked 17 4 2" xfId="61306" xr:uid="{00000000-0005-0000-0000-000010EC0000}"/>
    <cellStyle name="SAPLocked 17 5" xfId="7402" xr:uid="{00000000-0005-0000-0000-000011EC0000}"/>
    <cellStyle name="SAPLocked 17 5 2" xfId="61307" xr:uid="{00000000-0005-0000-0000-000012EC0000}"/>
    <cellStyle name="SAPLocked 17 6" xfId="7403" xr:uid="{00000000-0005-0000-0000-000013EC0000}"/>
    <cellStyle name="SAPLocked 17 6 2" xfId="61308" xr:uid="{00000000-0005-0000-0000-000014EC0000}"/>
    <cellStyle name="SAPLocked 17 7" xfId="7404" xr:uid="{00000000-0005-0000-0000-000015EC0000}"/>
    <cellStyle name="SAPLocked 17 7 2" xfId="61309" xr:uid="{00000000-0005-0000-0000-000016EC0000}"/>
    <cellStyle name="SAPLocked 17 8" xfId="7405" xr:uid="{00000000-0005-0000-0000-000017EC0000}"/>
    <cellStyle name="SAPLocked 17 8 2" xfId="61310" xr:uid="{00000000-0005-0000-0000-000018EC0000}"/>
    <cellStyle name="SAPLocked 17 9" xfId="7406" xr:uid="{00000000-0005-0000-0000-000019EC0000}"/>
    <cellStyle name="SAPLocked 17 9 2" xfId="61311" xr:uid="{00000000-0005-0000-0000-00001AEC0000}"/>
    <cellStyle name="SAPLocked 18" xfId="7407" xr:uid="{00000000-0005-0000-0000-00001BEC0000}"/>
    <cellStyle name="SAPLocked 18 10" xfId="7408" xr:uid="{00000000-0005-0000-0000-00001CEC0000}"/>
    <cellStyle name="SAPLocked 18 10 2" xfId="61312" xr:uid="{00000000-0005-0000-0000-00001DEC0000}"/>
    <cellStyle name="SAPLocked 18 11" xfId="7409" xr:uid="{00000000-0005-0000-0000-00001EEC0000}"/>
    <cellStyle name="SAPLocked 18 11 2" xfId="61313" xr:uid="{00000000-0005-0000-0000-00001FEC0000}"/>
    <cellStyle name="SAPLocked 18 12" xfId="7410" xr:uid="{00000000-0005-0000-0000-000020EC0000}"/>
    <cellStyle name="SAPLocked 18 12 2" xfId="61314" xr:uid="{00000000-0005-0000-0000-000021EC0000}"/>
    <cellStyle name="SAPLocked 18 13" xfId="7411" xr:uid="{00000000-0005-0000-0000-000022EC0000}"/>
    <cellStyle name="SAPLocked 18 2" xfId="7412" xr:uid="{00000000-0005-0000-0000-000023EC0000}"/>
    <cellStyle name="SAPLocked 18 2 10" xfId="7413" xr:uid="{00000000-0005-0000-0000-000024EC0000}"/>
    <cellStyle name="SAPLocked 18 2 10 2" xfId="61315" xr:uid="{00000000-0005-0000-0000-000025EC0000}"/>
    <cellStyle name="SAPLocked 18 2 11" xfId="7414" xr:uid="{00000000-0005-0000-0000-000026EC0000}"/>
    <cellStyle name="SAPLocked 18 2 11 2" xfId="61316" xr:uid="{00000000-0005-0000-0000-000027EC0000}"/>
    <cellStyle name="SAPLocked 18 2 12" xfId="7415" xr:uid="{00000000-0005-0000-0000-000028EC0000}"/>
    <cellStyle name="SAPLocked 18 2 2" xfId="7416" xr:uid="{00000000-0005-0000-0000-000029EC0000}"/>
    <cellStyle name="SAPLocked 18 2 2 2" xfId="61317" xr:uid="{00000000-0005-0000-0000-00002AEC0000}"/>
    <cellStyle name="SAPLocked 18 2 3" xfId="7417" xr:uid="{00000000-0005-0000-0000-00002BEC0000}"/>
    <cellStyle name="SAPLocked 18 2 3 2" xfId="61318" xr:uid="{00000000-0005-0000-0000-00002CEC0000}"/>
    <cellStyle name="SAPLocked 18 2 4" xfId="7418" xr:uid="{00000000-0005-0000-0000-00002DEC0000}"/>
    <cellStyle name="SAPLocked 18 2 4 2" xfId="61319" xr:uid="{00000000-0005-0000-0000-00002EEC0000}"/>
    <cellStyle name="SAPLocked 18 2 5" xfId="7419" xr:uid="{00000000-0005-0000-0000-00002FEC0000}"/>
    <cellStyle name="SAPLocked 18 2 5 2" xfId="61320" xr:uid="{00000000-0005-0000-0000-000030EC0000}"/>
    <cellStyle name="SAPLocked 18 2 6" xfId="7420" xr:uid="{00000000-0005-0000-0000-000031EC0000}"/>
    <cellStyle name="SAPLocked 18 2 6 2" xfId="61321" xr:uid="{00000000-0005-0000-0000-000032EC0000}"/>
    <cellStyle name="SAPLocked 18 2 7" xfId="7421" xr:uid="{00000000-0005-0000-0000-000033EC0000}"/>
    <cellStyle name="SAPLocked 18 2 7 2" xfId="61322" xr:uid="{00000000-0005-0000-0000-000034EC0000}"/>
    <cellStyle name="SAPLocked 18 2 8" xfId="7422" xr:uid="{00000000-0005-0000-0000-000035EC0000}"/>
    <cellStyle name="SAPLocked 18 2 8 2" xfId="61323" xr:uid="{00000000-0005-0000-0000-000036EC0000}"/>
    <cellStyle name="SAPLocked 18 2 9" xfId="7423" xr:uid="{00000000-0005-0000-0000-000037EC0000}"/>
    <cellStyle name="SAPLocked 18 2 9 2" xfId="61324" xr:uid="{00000000-0005-0000-0000-000038EC0000}"/>
    <cellStyle name="SAPLocked 18 3" xfId="7424" xr:uid="{00000000-0005-0000-0000-000039EC0000}"/>
    <cellStyle name="SAPLocked 18 3 2" xfId="61325" xr:uid="{00000000-0005-0000-0000-00003AEC0000}"/>
    <cellStyle name="SAPLocked 18 4" xfId="7425" xr:uid="{00000000-0005-0000-0000-00003BEC0000}"/>
    <cellStyle name="SAPLocked 18 4 2" xfId="61326" xr:uid="{00000000-0005-0000-0000-00003CEC0000}"/>
    <cellStyle name="SAPLocked 18 5" xfId="7426" xr:uid="{00000000-0005-0000-0000-00003DEC0000}"/>
    <cellStyle name="SAPLocked 18 5 2" xfId="61327" xr:uid="{00000000-0005-0000-0000-00003EEC0000}"/>
    <cellStyle name="SAPLocked 18 6" xfId="7427" xr:uid="{00000000-0005-0000-0000-00003FEC0000}"/>
    <cellStyle name="SAPLocked 18 6 2" xfId="61328" xr:uid="{00000000-0005-0000-0000-000040EC0000}"/>
    <cellStyle name="SAPLocked 18 7" xfId="7428" xr:uid="{00000000-0005-0000-0000-000041EC0000}"/>
    <cellStyle name="SAPLocked 18 7 2" xfId="61329" xr:uid="{00000000-0005-0000-0000-000042EC0000}"/>
    <cellStyle name="SAPLocked 18 8" xfId="7429" xr:uid="{00000000-0005-0000-0000-000043EC0000}"/>
    <cellStyle name="SAPLocked 18 8 2" xfId="61330" xr:uid="{00000000-0005-0000-0000-000044EC0000}"/>
    <cellStyle name="SAPLocked 18 9" xfId="7430" xr:uid="{00000000-0005-0000-0000-000045EC0000}"/>
    <cellStyle name="SAPLocked 18 9 2" xfId="61331" xr:uid="{00000000-0005-0000-0000-000046EC0000}"/>
    <cellStyle name="SAPLocked 19" xfId="7431" xr:uid="{00000000-0005-0000-0000-000047EC0000}"/>
    <cellStyle name="SAPLocked 19 10" xfId="7432" xr:uid="{00000000-0005-0000-0000-000048EC0000}"/>
    <cellStyle name="SAPLocked 19 10 2" xfId="61332" xr:uid="{00000000-0005-0000-0000-000049EC0000}"/>
    <cellStyle name="SAPLocked 19 11" xfId="7433" xr:uid="{00000000-0005-0000-0000-00004AEC0000}"/>
    <cellStyle name="SAPLocked 19 11 2" xfId="61333" xr:uid="{00000000-0005-0000-0000-00004BEC0000}"/>
    <cellStyle name="SAPLocked 19 12" xfId="7434" xr:uid="{00000000-0005-0000-0000-00004CEC0000}"/>
    <cellStyle name="SAPLocked 19 12 2" xfId="61334" xr:uid="{00000000-0005-0000-0000-00004DEC0000}"/>
    <cellStyle name="SAPLocked 19 13" xfId="7435" xr:uid="{00000000-0005-0000-0000-00004EEC0000}"/>
    <cellStyle name="SAPLocked 19 2" xfId="7436" xr:uid="{00000000-0005-0000-0000-00004FEC0000}"/>
    <cellStyle name="SAPLocked 19 2 10" xfId="7437" xr:uid="{00000000-0005-0000-0000-000050EC0000}"/>
    <cellStyle name="SAPLocked 19 2 10 2" xfId="61335" xr:uid="{00000000-0005-0000-0000-000051EC0000}"/>
    <cellStyle name="SAPLocked 19 2 11" xfId="7438" xr:uid="{00000000-0005-0000-0000-000052EC0000}"/>
    <cellStyle name="SAPLocked 19 2 11 2" xfId="61336" xr:uid="{00000000-0005-0000-0000-000053EC0000}"/>
    <cellStyle name="SAPLocked 19 2 12" xfId="7439" xr:uid="{00000000-0005-0000-0000-000054EC0000}"/>
    <cellStyle name="SAPLocked 19 2 2" xfId="7440" xr:uid="{00000000-0005-0000-0000-000055EC0000}"/>
    <cellStyle name="SAPLocked 19 2 2 2" xfId="61337" xr:uid="{00000000-0005-0000-0000-000056EC0000}"/>
    <cellStyle name="SAPLocked 19 2 3" xfId="7441" xr:uid="{00000000-0005-0000-0000-000057EC0000}"/>
    <cellStyle name="SAPLocked 19 2 3 2" xfId="61338" xr:uid="{00000000-0005-0000-0000-000058EC0000}"/>
    <cellStyle name="SAPLocked 19 2 4" xfId="7442" xr:uid="{00000000-0005-0000-0000-000059EC0000}"/>
    <cellStyle name="SAPLocked 19 2 4 2" xfId="61339" xr:uid="{00000000-0005-0000-0000-00005AEC0000}"/>
    <cellStyle name="SAPLocked 19 2 5" xfId="7443" xr:uid="{00000000-0005-0000-0000-00005BEC0000}"/>
    <cellStyle name="SAPLocked 19 2 5 2" xfId="61340" xr:uid="{00000000-0005-0000-0000-00005CEC0000}"/>
    <cellStyle name="SAPLocked 19 2 6" xfId="7444" xr:uid="{00000000-0005-0000-0000-00005DEC0000}"/>
    <cellStyle name="SAPLocked 19 2 6 2" xfId="61341" xr:uid="{00000000-0005-0000-0000-00005EEC0000}"/>
    <cellStyle name="SAPLocked 19 2 7" xfId="7445" xr:uid="{00000000-0005-0000-0000-00005FEC0000}"/>
    <cellStyle name="SAPLocked 19 2 7 2" xfId="61342" xr:uid="{00000000-0005-0000-0000-000060EC0000}"/>
    <cellStyle name="SAPLocked 19 2 8" xfId="7446" xr:uid="{00000000-0005-0000-0000-000061EC0000}"/>
    <cellStyle name="SAPLocked 19 2 8 2" xfId="61343" xr:uid="{00000000-0005-0000-0000-000062EC0000}"/>
    <cellStyle name="SAPLocked 19 2 9" xfId="7447" xr:uid="{00000000-0005-0000-0000-000063EC0000}"/>
    <cellStyle name="SAPLocked 19 2 9 2" xfId="61344" xr:uid="{00000000-0005-0000-0000-000064EC0000}"/>
    <cellStyle name="SAPLocked 19 3" xfId="7448" xr:uid="{00000000-0005-0000-0000-000065EC0000}"/>
    <cellStyle name="SAPLocked 19 3 2" xfId="61345" xr:uid="{00000000-0005-0000-0000-000066EC0000}"/>
    <cellStyle name="SAPLocked 19 4" xfId="7449" xr:uid="{00000000-0005-0000-0000-000067EC0000}"/>
    <cellStyle name="SAPLocked 19 4 2" xfId="61346" xr:uid="{00000000-0005-0000-0000-000068EC0000}"/>
    <cellStyle name="SAPLocked 19 5" xfId="7450" xr:uid="{00000000-0005-0000-0000-000069EC0000}"/>
    <cellStyle name="SAPLocked 19 5 2" xfId="61347" xr:uid="{00000000-0005-0000-0000-00006AEC0000}"/>
    <cellStyle name="SAPLocked 19 6" xfId="7451" xr:uid="{00000000-0005-0000-0000-00006BEC0000}"/>
    <cellStyle name="SAPLocked 19 6 2" xfId="61348" xr:uid="{00000000-0005-0000-0000-00006CEC0000}"/>
    <cellStyle name="SAPLocked 19 7" xfId="7452" xr:uid="{00000000-0005-0000-0000-00006DEC0000}"/>
    <cellStyle name="SAPLocked 19 7 2" xfId="61349" xr:uid="{00000000-0005-0000-0000-00006EEC0000}"/>
    <cellStyle name="SAPLocked 19 8" xfId="7453" xr:uid="{00000000-0005-0000-0000-00006FEC0000}"/>
    <cellStyle name="SAPLocked 19 8 2" xfId="61350" xr:uid="{00000000-0005-0000-0000-000070EC0000}"/>
    <cellStyle name="SAPLocked 19 9" xfId="7454" xr:uid="{00000000-0005-0000-0000-000071EC0000}"/>
    <cellStyle name="SAPLocked 19 9 2" xfId="61351" xr:uid="{00000000-0005-0000-0000-000072EC0000}"/>
    <cellStyle name="SAPLocked 2" xfId="7455" xr:uid="{00000000-0005-0000-0000-000073EC0000}"/>
    <cellStyle name="SAPLocked 2 10" xfId="7456" xr:uid="{00000000-0005-0000-0000-000074EC0000}"/>
    <cellStyle name="SAPLocked 2 10 10" xfId="7457" xr:uid="{00000000-0005-0000-0000-000075EC0000}"/>
    <cellStyle name="SAPLocked 2 10 10 2" xfId="61352" xr:uid="{00000000-0005-0000-0000-000076EC0000}"/>
    <cellStyle name="SAPLocked 2 10 11" xfId="7458" xr:uid="{00000000-0005-0000-0000-000077EC0000}"/>
    <cellStyle name="SAPLocked 2 10 11 2" xfId="61353" xr:uid="{00000000-0005-0000-0000-000078EC0000}"/>
    <cellStyle name="SAPLocked 2 10 12" xfId="7459" xr:uid="{00000000-0005-0000-0000-000079EC0000}"/>
    <cellStyle name="SAPLocked 2 10 12 2" xfId="61354" xr:uid="{00000000-0005-0000-0000-00007AEC0000}"/>
    <cellStyle name="SAPLocked 2 10 13" xfId="7460" xr:uid="{00000000-0005-0000-0000-00007BEC0000}"/>
    <cellStyle name="SAPLocked 2 10 2" xfId="7461" xr:uid="{00000000-0005-0000-0000-00007CEC0000}"/>
    <cellStyle name="SAPLocked 2 10 2 10" xfId="7462" xr:uid="{00000000-0005-0000-0000-00007DEC0000}"/>
    <cellStyle name="SAPLocked 2 10 2 10 2" xfId="61355" xr:uid="{00000000-0005-0000-0000-00007EEC0000}"/>
    <cellStyle name="SAPLocked 2 10 2 11" xfId="7463" xr:uid="{00000000-0005-0000-0000-00007FEC0000}"/>
    <cellStyle name="SAPLocked 2 10 2 11 2" xfId="61356" xr:uid="{00000000-0005-0000-0000-000080EC0000}"/>
    <cellStyle name="SAPLocked 2 10 2 12" xfId="7464" xr:uid="{00000000-0005-0000-0000-000081EC0000}"/>
    <cellStyle name="SAPLocked 2 10 2 2" xfId="7465" xr:uid="{00000000-0005-0000-0000-000082EC0000}"/>
    <cellStyle name="SAPLocked 2 10 2 2 2" xfId="61357" xr:uid="{00000000-0005-0000-0000-000083EC0000}"/>
    <cellStyle name="SAPLocked 2 10 2 3" xfId="7466" xr:uid="{00000000-0005-0000-0000-000084EC0000}"/>
    <cellStyle name="SAPLocked 2 10 2 3 2" xfId="61358" xr:uid="{00000000-0005-0000-0000-000085EC0000}"/>
    <cellStyle name="SAPLocked 2 10 2 4" xfId="7467" xr:uid="{00000000-0005-0000-0000-000086EC0000}"/>
    <cellStyle name="SAPLocked 2 10 2 4 2" xfId="61359" xr:uid="{00000000-0005-0000-0000-000087EC0000}"/>
    <cellStyle name="SAPLocked 2 10 2 5" xfId="7468" xr:uid="{00000000-0005-0000-0000-000088EC0000}"/>
    <cellStyle name="SAPLocked 2 10 2 5 2" xfId="61360" xr:uid="{00000000-0005-0000-0000-000089EC0000}"/>
    <cellStyle name="SAPLocked 2 10 2 6" xfId="7469" xr:uid="{00000000-0005-0000-0000-00008AEC0000}"/>
    <cellStyle name="SAPLocked 2 10 2 6 2" xfId="61361" xr:uid="{00000000-0005-0000-0000-00008BEC0000}"/>
    <cellStyle name="SAPLocked 2 10 2 7" xfId="7470" xr:uid="{00000000-0005-0000-0000-00008CEC0000}"/>
    <cellStyle name="SAPLocked 2 10 2 7 2" xfId="61362" xr:uid="{00000000-0005-0000-0000-00008DEC0000}"/>
    <cellStyle name="SAPLocked 2 10 2 8" xfId="7471" xr:uid="{00000000-0005-0000-0000-00008EEC0000}"/>
    <cellStyle name="SAPLocked 2 10 2 8 2" xfId="61363" xr:uid="{00000000-0005-0000-0000-00008FEC0000}"/>
    <cellStyle name="SAPLocked 2 10 2 9" xfId="7472" xr:uid="{00000000-0005-0000-0000-000090EC0000}"/>
    <cellStyle name="SAPLocked 2 10 2 9 2" xfId="61364" xr:uid="{00000000-0005-0000-0000-000091EC0000}"/>
    <cellStyle name="SAPLocked 2 10 3" xfId="7473" xr:uid="{00000000-0005-0000-0000-000092EC0000}"/>
    <cellStyle name="SAPLocked 2 10 3 2" xfId="61365" xr:uid="{00000000-0005-0000-0000-000093EC0000}"/>
    <cellStyle name="SAPLocked 2 10 4" xfId="7474" xr:uid="{00000000-0005-0000-0000-000094EC0000}"/>
    <cellStyle name="SAPLocked 2 10 4 2" xfId="61366" xr:uid="{00000000-0005-0000-0000-000095EC0000}"/>
    <cellStyle name="SAPLocked 2 10 5" xfId="7475" xr:uid="{00000000-0005-0000-0000-000096EC0000}"/>
    <cellStyle name="SAPLocked 2 10 5 2" xfId="61367" xr:uid="{00000000-0005-0000-0000-000097EC0000}"/>
    <cellStyle name="SAPLocked 2 10 6" xfId="7476" xr:uid="{00000000-0005-0000-0000-000098EC0000}"/>
    <cellStyle name="SAPLocked 2 10 6 2" xfId="61368" xr:uid="{00000000-0005-0000-0000-000099EC0000}"/>
    <cellStyle name="SAPLocked 2 10 7" xfId="7477" xr:uid="{00000000-0005-0000-0000-00009AEC0000}"/>
    <cellStyle name="SAPLocked 2 10 7 2" xfId="61369" xr:uid="{00000000-0005-0000-0000-00009BEC0000}"/>
    <cellStyle name="SAPLocked 2 10 8" xfId="7478" xr:uid="{00000000-0005-0000-0000-00009CEC0000}"/>
    <cellStyle name="SAPLocked 2 10 8 2" xfId="61370" xr:uid="{00000000-0005-0000-0000-00009DEC0000}"/>
    <cellStyle name="SAPLocked 2 10 9" xfId="7479" xr:uid="{00000000-0005-0000-0000-00009EEC0000}"/>
    <cellStyle name="SAPLocked 2 10 9 2" xfId="61371" xr:uid="{00000000-0005-0000-0000-00009FEC0000}"/>
    <cellStyle name="SAPLocked 2 11" xfId="7480" xr:uid="{00000000-0005-0000-0000-0000A0EC0000}"/>
    <cellStyle name="SAPLocked 2 11 10" xfId="7481" xr:uid="{00000000-0005-0000-0000-0000A1EC0000}"/>
    <cellStyle name="SAPLocked 2 11 10 2" xfId="61372" xr:uid="{00000000-0005-0000-0000-0000A2EC0000}"/>
    <cellStyle name="SAPLocked 2 11 11" xfId="7482" xr:uid="{00000000-0005-0000-0000-0000A3EC0000}"/>
    <cellStyle name="SAPLocked 2 11 11 2" xfId="61373" xr:uid="{00000000-0005-0000-0000-0000A4EC0000}"/>
    <cellStyle name="SAPLocked 2 11 12" xfId="7483" xr:uid="{00000000-0005-0000-0000-0000A5EC0000}"/>
    <cellStyle name="SAPLocked 2 11 12 2" xfId="61374" xr:uid="{00000000-0005-0000-0000-0000A6EC0000}"/>
    <cellStyle name="SAPLocked 2 11 13" xfId="7484" xr:uid="{00000000-0005-0000-0000-0000A7EC0000}"/>
    <cellStyle name="SAPLocked 2 11 2" xfId="7485" xr:uid="{00000000-0005-0000-0000-0000A8EC0000}"/>
    <cellStyle name="SAPLocked 2 11 2 10" xfId="7486" xr:uid="{00000000-0005-0000-0000-0000A9EC0000}"/>
    <cellStyle name="SAPLocked 2 11 2 10 2" xfId="61375" xr:uid="{00000000-0005-0000-0000-0000AAEC0000}"/>
    <cellStyle name="SAPLocked 2 11 2 11" xfId="7487" xr:uid="{00000000-0005-0000-0000-0000ABEC0000}"/>
    <cellStyle name="SAPLocked 2 11 2 11 2" xfId="61376" xr:uid="{00000000-0005-0000-0000-0000ACEC0000}"/>
    <cellStyle name="SAPLocked 2 11 2 12" xfId="7488" xr:uid="{00000000-0005-0000-0000-0000ADEC0000}"/>
    <cellStyle name="SAPLocked 2 11 2 2" xfId="7489" xr:uid="{00000000-0005-0000-0000-0000AEEC0000}"/>
    <cellStyle name="SAPLocked 2 11 2 2 2" xfId="61377" xr:uid="{00000000-0005-0000-0000-0000AFEC0000}"/>
    <cellStyle name="SAPLocked 2 11 2 3" xfId="7490" xr:uid="{00000000-0005-0000-0000-0000B0EC0000}"/>
    <cellStyle name="SAPLocked 2 11 2 3 2" xfId="61378" xr:uid="{00000000-0005-0000-0000-0000B1EC0000}"/>
    <cellStyle name="SAPLocked 2 11 2 4" xfId="7491" xr:uid="{00000000-0005-0000-0000-0000B2EC0000}"/>
    <cellStyle name="SAPLocked 2 11 2 4 2" xfId="61379" xr:uid="{00000000-0005-0000-0000-0000B3EC0000}"/>
    <cellStyle name="SAPLocked 2 11 2 5" xfId="7492" xr:uid="{00000000-0005-0000-0000-0000B4EC0000}"/>
    <cellStyle name="SAPLocked 2 11 2 5 2" xfId="61380" xr:uid="{00000000-0005-0000-0000-0000B5EC0000}"/>
    <cellStyle name="SAPLocked 2 11 2 6" xfId="7493" xr:uid="{00000000-0005-0000-0000-0000B6EC0000}"/>
    <cellStyle name="SAPLocked 2 11 2 6 2" xfId="61381" xr:uid="{00000000-0005-0000-0000-0000B7EC0000}"/>
    <cellStyle name="SAPLocked 2 11 2 7" xfId="7494" xr:uid="{00000000-0005-0000-0000-0000B8EC0000}"/>
    <cellStyle name="SAPLocked 2 11 2 7 2" xfId="61382" xr:uid="{00000000-0005-0000-0000-0000B9EC0000}"/>
    <cellStyle name="SAPLocked 2 11 2 8" xfId="7495" xr:uid="{00000000-0005-0000-0000-0000BAEC0000}"/>
    <cellStyle name="SAPLocked 2 11 2 8 2" xfId="61383" xr:uid="{00000000-0005-0000-0000-0000BBEC0000}"/>
    <cellStyle name="SAPLocked 2 11 2 9" xfId="7496" xr:uid="{00000000-0005-0000-0000-0000BCEC0000}"/>
    <cellStyle name="SAPLocked 2 11 2 9 2" xfId="61384" xr:uid="{00000000-0005-0000-0000-0000BDEC0000}"/>
    <cellStyle name="SAPLocked 2 11 3" xfId="7497" xr:uid="{00000000-0005-0000-0000-0000BEEC0000}"/>
    <cellStyle name="SAPLocked 2 11 3 2" xfId="61385" xr:uid="{00000000-0005-0000-0000-0000BFEC0000}"/>
    <cellStyle name="SAPLocked 2 11 4" xfId="7498" xr:uid="{00000000-0005-0000-0000-0000C0EC0000}"/>
    <cellStyle name="SAPLocked 2 11 4 2" xfId="61386" xr:uid="{00000000-0005-0000-0000-0000C1EC0000}"/>
    <cellStyle name="SAPLocked 2 11 5" xfId="7499" xr:uid="{00000000-0005-0000-0000-0000C2EC0000}"/>
    <cellStyle name="SAPLocked 2 11 5 2" xfId="61387" xr:uid="{00000000-0005-0000-0000-0000C3EC0000}"/>
    <cellStyle name="SAPLocked 2 11 6" xfId="7500" xr:uid="{00000000-0005-0000-0000-0000C4EC0000}"/>
    <cellStyle name="SAPLocked 2 11 6 2" xfId="61388" xr:uid="{00000000-0005-0000-0000-0000C5EC0000}"/>
    <cellStyle name="SAPLocked 2 11 7" xfId="7501" xr:uid="{00000000-0005-0000-0000-0000C6EC0000}"/>
    <cellStyle name="SAPLocked 2 11 7 2" xfId="61389" xr:uid="{00000000-0005-0000-0000-0000C7EC0000}"/>
    <cellStyle name="SAPLocked 2 11 8" xfId="7502" xr:uid="{00000000-0005-0000-0000-0000C8EC0000}"/>
    <cellStyle name="SAPLocked 2 11 8 2" xfId="61390" xr:uid="{00000000-0005-0000-0000-0000C9EC0000}"/>
    <cellStyle name="SAPLocked 2 11 9" xfId="7503" xr:uid="{00000000-0005-0000-0000-0000CAEC0000}"/>
    <cellStyle name="SAPLocked 2 11 9 2" xfId="61391" xr:uid="{00000000-0005-0000-0000-0000CBEC0000}"/>
    <cellStyle name="SAPLocked 2 12" xfId="7504" xr:uid="{00000000-0005-0000-0000-0000CCEC0000}"/>
    <cellStyle name="SAPLocked 2 12 10" xfId="7505" xr:uid="{00000000-0005-0000-0000-0000CDEC0000}"/>
    <cellStyle name="SAPLocked 2 12 10 2" xfId="61392" xr:uid="{00000000-0005-0000-0000-0000CEEC0000}"/>
    <cellStyle name="SAPLocked 2 12 11" xfId="7506" xr:uid="{00000000-0005-0000-0000-0000CFEC0000}"/>
    <cellStyle name="SAPLocked 2 12 11 2" xfId="61393" xr:uid="{00000000-0005-0000-0000-0000D0EC0000}"/>
    <cellStyle name="SAPLocked 2 12 12" xfId="7507" xr:uid="{00000000-0005-0000-0000-0000D1EC0000}"/>
    <cellStyle name="SAPLocked 2 12 12 2" xfId="61394" xr:uid="{00000000-0005-0000-0000-0000D2EC0000}"/>
    <cellStyle name="SAPLocked 2 12 13" xfId="7508" xr:uid="{00000000-0005-0000-0000-0000D3EC0000}"/>
    <cellStyle name="SAPLocked 2 12 2" xfId="7509" xr:uid="{00000000-0005-0000-0000-0000D4EC0000}"/>
    <cellStyle name="SAPLocked 2 12 2 10" xfId="7510" xr:uid="{00000000-0005-0000-0000-0000D5EC0000}"/>
    <cellStyle name="SAPLocked 2 12 2 10 2" xfId="61395" xr:uid="{00000000-0005-0000-0000-0000D6EC0000}"/>
    <cellStyle name="SAPLocked 2 12 2 11" xfId="7511" xr:uid="{00000000-0005-0000-0000-0000D7EC0000}"/>
    <cellStyle name="SAPLocked 2 12 2 11 2" xfId="61396" xr:uid="{00000000-0005-0000-0000-0000D8EC0000}"/>
    <cellStyle name="SAPLocked 2 12 2 12" xfId="7512" xr:uid="{00000000-0005-0000-0000-0000D9EC0000}"/>
    <cellStyle name="SAPLocked 2 12 2 2" xfId="7513" xr:uid="{00000000-0005-0000-0000-0000DAEC0000}"/>
    <cellStyle name="SAPLocked 2 12 2 2 2" xfId="61397" xr:uid="{00000000-0005-0000-0000-0000DBEC0000}"/>
    <cellStyle name="SAPLocked 2 12 2 3" xfId="7514" xr:uid="{00000000-0005-0000-0000-0000DCEC0000}"/>
    <cellStyle name="SAPLocked 2 12 2 3 2" xfId="61398" xr:uid="{00000000-0005-0000-0000-0000DDEC0000}"/>
    <cellStyle name="SAPLocked 2 12 2 4" xfId="7515" xr:uid="{00000000-0005-0000-0000-0000DEEC0000}"/>
    <cellStyle name="SAPLocked 2 12 2 4 2" xfId="61399" xr:uid="{00000000-0005-0000-0000-0000DFEC0000}"/>
    <cellStyle name="SAPLocked 2 12 2 5" xfId="7516" xr:uid="{00000000-0005-0000-0000-0000E0EC0000}"/>
    <cellStyle name="SAPLocked 2 12 2 5 2" xfId="61400" xr:uid="{00000000-0005-0000-0000-0000E1EC0000}"/>
    <cellStyle name="SAPLocked 2 12 2 6" xfId="7517" xr:uid="{00000000-0005-0000-0000-0000E2EC0000}"/>
    <cellStyle name="SAPLocked 2 12 2 6 2" xfId="61401" xr:uid="{00000000-0005-0000-0000-0000E3EC0000}"/>
    <cellStyle name="SAPLocked 2 12 2 7" xfId="7518" xr:uid="{00000000-0005-0000-0000-0000E4EC0000}"/>
    <cellStyle name="SAPLocked 2 12 2 7 2" xfId="61402" xr:uid="{00000000-0005-0000-0000-0000E5EC0000}"/>
    <cellStyle name="SAPLocked 2 12 2 8" xfId="7519" xr:uid="{00000000-0005-0000-0000-0000E6EC0000}"/>
    <cellStyle name="SAPLocked 2 12 2 8 2" xfId="61403" xr:uid="{00000000-0005-0000-0000-0000E7EC0000}"/>
    <cellStyle name="SAPLocked 2 12 2 9" xfId="7520" xr:uid="{00000000-0005-0000-0000-0000E8EC0000}"/>
    <cellStyle name="SAPLocked 2 12 2 9 2" xfId="61404" xr:uid="{00000000-0005-0000-0000-0000E9EC0000}"/>
    <cellStyle name="SAPLocked 2 12 3" xfId="7521" xr:uid="{00000000-0005-0000-0000-0000EAEC0000}"/>
    <cellStyle name="SAPLocked 2 12 3 2" xfId="61405" xr:uid="{00000000-0005-0000-0000-0000EBEC0000}"/>
    <cellStyle name="SAPLocked 2 12 4" xfId="7522" xr:uid="{00000000-0005-0000-0000-0000ECEC0000}"/>
    <cellStyle name="SAPLocked 2 12 4 2" xfId="61406" xr:uid="{00000000-0005-0000-0000-0000EDEC0000}"/>
    <cellStyle name="SAPLocked 2 12 5" xfId="7523" xr:uid="{00000000-0005-0000-0000-0000EEEC0000}"/>
    <cellStyle name="SAPLocked 2 12 5 2" xfId="61407" xr:uid="{00000000-0005-0000-0000-0000EFEC0000}"/>
    <cellStyle name="SAPLocked 2 12 6" xfId="7524" xr:uid="{00000000-0005-0000-0000-0000F0EC0000}"/>
    <cellStyle name="SAPLocked 2 12 6 2" xfId="61408" xr:uid="{00000000-0005-0000-0000-0000F1EC0000}"/>
    <cellStyle name="SAPLocked 2 12 7" xfId="7525" xr:uid="{00000000-0005-0000-0000-0000F2EC0000}"/>
    <cellStyle name="SAPLocked 2 12 7 2" xfId="61409" xr:uid="{00000000-0005-0000-0000-0000F3EC0000}"/>
    <cellStyle name="SAPLocked 2 12 8" xfId="7526" xr:uid="{00000000-0005-0000-0000-0000F4EC0000}"/>
    <cellStyle name="SAPLocked 2 12 8 2" xfId="61410" xr:uid="{00000000-0005-0000-0000-0000F5EC0000}"/>
    <cellStyle name="SAPLocked 2 12 9" xfId="7527" xr:uid="{00000000-0005-0000-0000-0000F6EC0000}"/>
    <cellStyle name="SAPLocked 2 12 9 2" xfId="61411" xr:uid="{00000000-0005-0000-0000-0000F7EC0000}"/>
    <cellStyle name="SAPLocked 2 13" xfId="7528" xr:uid="{00000000-0005-0000-0000-0000F8EC0000}"/>
    <cellStyle name="SAPLocked 2 13 10" xfId="7529" xr:uid="{00000000-0005-0000-0000-0000F9EC0000}"/>
    <cellStyle name="SAPLocked 2 13 10 2" xfId="61412" xr:uid="{00000000-0005-0000-0000-0000FAEC0000}"/>
    <cellStyle name="SAPLocked 2 13 11" xfId="7530" xr:uid="{00000000-0005-0000-0000-0000FBEC0000}"/>
    <cellStyle name="SAPLocked 2 13 11 2" xfId="61413" xr:uid="{00000000-0005-0000-0000-0000FCEC0000}"/>
    <cellStyle name="SAPLocked 2 13 12" xfId="7531" xr:uid="{00000000-0005-0000-0000-0000FDEC0000}"/>
    <cellStyle name="SAPLocked 2 13 12 2" xfId="61414" xr:uid="{00000000-0005-0000-0000-0000FEEC0000}"/>
    <cellStyle name="SAPLocked 2 13 13" xfId="7532" xr:uid="{00000000-0005-0000-0000-0000FFEC0000}"/>
    <cellStyle name="SAPLocked 2 13 2" xfId="7533" xr:uid="{00000000-0005-0000-0000-000000ED0000}"/>
    <cellStyle name="SAPLocked 2 13 2 10" xfId="7534" xr:uid="{00000000-0005-0000-0000-000001ED0000}"/>
    <cellStyle name="SAPLocked 2 13 2 10 2" xfId="61415" xr:uid="{00000000-0005-0000-0000-000002ED0000}"/>
    <cellStyle name="SAPLocked 2 13 2 11" xfId="7535" xr:uid="{00000000-0005-0000-0000-000003ED0000}"/>
    <cellStyle name="SAPLocked 2 13 2 11 2" xfId="61416" xr:uid="{00000000-0005-0000-0000-000004ED0000}"/>
    <cellStyle name="SAPLocked 2 13 2 12" xfId="7536" xr:uid="{00000000-0005-0000-0000-000005ED0000}"/>
    <cellStyle name="SAPLocked 2 13 2 2" xfId="7537" xr:uid="{00000000-0005-0000-0000-000006ED0000}"/>
    <cellStyle name="SAPLocked 2 13 2 2 2" xfId="61417" xr:uid="{00000000-0005-0000-0000-000007ED0000}"/>
    <cellStyle name="SAPLocked 2 13 2 3" xfId="7538" xr:uid="{00000000-0005-0000-0000-000008ED0000}"/>
    <cellStyle name="SAPLocked 2 13 2 3 2" xfId="61418" xr:uid="{00000000-0005-0000-0000-000009ED0000}"/>
    <cellStyle name="SAPLocked 2 13 2 4" xfId="7539" xr:uid="{00000000-0005-0000-0000-00000AED0000}"/>
    <cellStyle name="SAPLocked 2 13 2 4 2" xfId="61419" xr:uid="{00000000-0005-0000-0000-00000BED0000}"/>
    <cellStyle name="SAPLocked 2 13 2 5" xfId="7540" xr:uid="{00000000-0005-0000-0000-00000CED0000}"/>
    <cellStyle name="SAPLocked 2 13 2 5 2" xfId="61420" xr:uid="{00000000-0005-0000-0000-00000DED0000}"/>
    <cellStyle name="SAPLocked 2 13 2 6" xfId="7541" xr:uid="{00000000-0005-0000-0000-00000EED0000}"/>
    <cellStyle name="SAPLocked 2 13 2 6 2" xfId="61421" xr:uid="{00000000-0005-0000-0000-00000FED0000}"/>
    <cellStyle name="SAPLocked 2 13 2 7" xfId="7542" xr:uid="{00000000-0005-0000-0000-000010ED0000}"/>
    <cellStyle name="SAPLocked 2 13 2 7 2" xfId="61422" xr:uid="{00000000-0005-0000-0000-000011ED0000}"/>
    <cellStyle name="SAPLocked 2 13 2 8" xfId="7543" xr:uid="{00000000-0005-0000-0000-000012ED0000}"/>
    <cellStyle name="SAPLocked 2 13 2 8 2" xfId="61423" xr:uid="{00000000-0005-0000-0000-000013ED0000}"/>
    <cellStyle name="SAPLocked 2 13 2 9" xfId="7544" xr:uid="{00000000-0005-0000-0000-000014ED0000}"/>
    <cellStyle name="SAPLocked 2 13 2 9 2" xfId="61424" xr:uid="{00000000-0005-0000-0000-000015ED0000}"/>
    <cellStyle name="SAPLocked 2 13 3" xfId="7545" xr:uid="{00000000-0005-0000-0000-000016ED0000}"/>
    <cellStyle name="SAPLocked 2 13 3 2" xfId="61425" xr:uid="{00000000-0005-0000-0000-000017ED0000}"/>
    <cellStyle name="SAPLocked 2 13 4" xfId="7546" xr:uid="{00000000-0005-0000-0000-000018ED0000}"/>
    <cellStyle name="SAPLocked 2 13 4 2" xfId="61426" xr:uid="{00000000-0005-0000-0000-000019ED0000}"/>
    <cellStyle name="SAPLocked 2 13 5" xfId="7547" xr:uid="{00000000-0005-0000-0000-00001AED0000}"/>
    <cellStyle name="SAPLocked 2 13 5 2" xfId="61427" xr:uid="{00000000-0005-0000-0000-00001BED0000}"/>
    <cellStyle name="SAPLocked 2 13 6" xfId="7548" xr:uid="{00000000-0005-0000-0000-00001CED0000}"/>
    <cellStyle name="SAPLocked 2 13 6 2" xfId="61428" xr:uid="{00000000-0005-0000-0000-00001DED0000}"/>
    <cellStyle name="SAPLocked 2 13 7" xfId="7549" xr:uid="{00000000-0005-0000-0000-00001EED0000}"/>
    <cellStyle name="SAPLocked 2 13 7 2" xfId="61429" xr:uid="{00000000-0005-0000-0000-00001FED0000}"/>
    <cellStyle name="SAPLocked 2 13 8" xfId="7550" xr:uid="{00000000-0005-0000-0000-000020ED0000}"/>
    <cellStyle name="SAPLocked 2 13 8 2" xfId="61430" xr:uid="{00000000-0005-0000-0000-000021ED0000}"/>
    <cellStyle name="SAPLocked 2 13 9" xfId="7551" xr:uid="{00000000-0005-0000-0000-000022ED0000}"/>
    <cellStyle name="SAPLocked 2 13 9 2" xfId="61431" xr:uid="{00000000-0005-0000-0000-000023ED0000}"/>
    <cellStyle name="SAPLocked 2 14" xfId="7552" xr:uid="{00000000-0005-0000-0000-000024ED0000}"/>
    <cellStyle name="SAPLocked 2 14 10" xfId="7553" xr:uid="{00000000-0005-0000-0000-000025ED0000}"/>
    <cellStyle name="SAPLocked 2 14 10 2" xfId="61432" xr:uid="{00000000-0005-0000-0000-000026ED0000}"/>
    <cellStyle name="SAPLocked 2 14 11" xfId="7554" xr:uid="{00000000-0005-0000-0000-000027ED0000}"/>
    <cellStyle name="SAPLocked 2 14 11 2" xfId="61433" xr:uid="{00000000-0005-0000-0000-000028ED0000}"/>
    <cellStyle name="SAPLocked 2 14 12" xfId="7555" xr:uid="{00000000-0005-0000-0000-000029ED0000}"/>
    <cellStyle name="SAPLocked 2 14 12 2" xfId="61434" xr:uid="{00000000-0005-0000-0000-00002AED0000}"/>
    <cellStyle name="SAPLocked 2 14 13" xfId="7556" xr:uid="{00000000-0005-0000-0000-00002BED0000}"/>
    <cellStyle name="SAPLocked 2 14 2" xfId="7557" xr:uid="{00000000-0005-0000-0000-00002CED0000}"/>
    <cellStyle name="SAPLocked 2 14 2 10" xfId="7558" xr:uid="{00000000-0005-0000-0000-00002DED0000}"/>
    <cellStyle name="SAPLocked 2 14 2 10 2" xfId="61435" xr:uid="{00000000-0005-0000-0000-00002EED0000}"/>
    <cellStyle name="SAPLocked 2 14 2 11" xfId="7559" xr:uid="{00000000-0005-0000-0000-00002FED0000}"/>
    <cellStyle name="SAPLocked 2 14 2 11 2" xfId="61436" xr:uid="{00000000-0005-0000-0000-000030ED0000}"/>
    <cellStyle name="SAPLocked 2 14 2 12" xfId="7560" xr:uid="{00000000-0005-0000-0000-000031ED0000}"/>
    <cellStyle name="SAPLocked 2 14 2 2" xfId="7561" xr:uid="{00000000-0005-0000-0000-000032ED0000}"/>
    <cellStyle name="SAPLocked 2 14 2 2 2" xfId="61437" xr:uid="{00000000-0005-0000-0000-000033ED0000}"/>
    <cellStyle name="SAPLocked 2 14 2 3" xfId="7562" xr:uid="{00000000-0005-0000-0000-000034ED0000}"/>
    <cellStyle name="SAPLocked 2 14 2 3 2" xfId="61438" xr:uid="{00000000-0005-0000-0000-000035ED0000}"/>
    <cellStyle name="SAPLocked 2 14 2 4" xfId="7563" xr:uid="{00000000-0005-0000-0000-000036ED0000}"/>
    <cellStyle name="SAPLocked 2 14 2 4 2" xfId="61439" xr:uid="{00000000-0005-0000-0000-000037ED0000}"/>
    <cellStyle name="SAPLocked 2 14 2 5" xfId="7564" xr:uid="{00000000-0005-0000-0000-000038ED0000}"/>
    <cellStyle name="SAPLocked 2 14 2 5 2" xfId="61440" xr:uid="{00000000-0005-0000-0000-000039ED0000}"/>
    <cellStyle name="SAPLocked 2 14 2 6" xfId="7565" xr:uid="{00000000-0005-0000-0000-00003AED0000}"/>
    <cellStyle name="SAPLocked 2 14 2 6 2" xfId="61441" xr:uid="{00000000-0005-0000-0000-00003BED0000}"/>
    <cellStyle name="SAPLocked 2 14 2 7" xfId="7566" xr:uid="{00000000-0005-0000-0000-00003CED0000}"/>
    <cellStyle name="SAPLocked 2 14 2 7 2" xfId="61442" xr:uid="{00000000-0005-0000-0000-00003DED0000}"/>
    <cellStyle name="SAPLocked 2 14 2 8" xfId="7567" xr:uid="{00000000-0005-0000-0000-00003EED0000}"/>
    <cellStyle name="SAPLocked 2 14 2 8 2" xfId="61443" xr:uid="{00000000-0005-0000-0000-00003FED0000}"/>
    <cellStyle name="SAPLocked 2 14 2 9" xfId="7568" xr:uid="{00000000-0005-0000-0000-000040ED0000}"/>
    <cellStyle name="SAPLocked 2 14 2 9 2" xfId="61444" xr:uid="{00000000-0005-0000-0000-000041ED0000}"/>
    <cellStyle name="SAPLocked 2 14 3" xfId="7569" xr:uid="{00000000-0005-0000-0000-000042ED0000}"/>
    <cellStyle name="SAPLocked 2 14 3 2" xfId="61445" xr:uid="{00000000-0005-0000-0000-000043ED0000}"/>
    <cellStyle name="SAPLocked 2 14 4" xfId="7570" xr:uid="{00000000-0005-0000-0000-000044ED0000}"/>
    <cellStyle name="SAPLocked 2 14 4 2" xfId="61446" xr:uid="{00000000-0005-0000-0000-000045ED0000}"/>
    <cellStyle name="SAPLocked 2 14 5" xfId="7571" xr:uid="{00000000-0005-0000-0000-000046ED0000}"/>
    <cellStyle name="SAPLocked 2 14 5 2" xfId="61447" xr:uid="{00000000-0005-0000-0000-000047ED0000}"/>
    <cellStyle name="SAPLocked 2 14 6" xfId="7572" xr:uid="{00000000-0005-0000-0000-000048ED0000}"/>
    <cellStyle name="SAPLocked 2 14 6 2" xfId="61448" xr:uid="{00000000-0005-0000-0000-000049ED0000}"/>
    <cellStyle name="SAPLocked 2 14 7" xfId="7573" xr:uid="{00000000-0005-0000-0000-00004AED0000}"/>
    <cellStyle name="SAPLocked 2 14 7 2" xfId="61449" xr:uid="{00000000-0005-0000-0000-00004BED0000}"/>
    <cellStyle name="SAPLocked 2 14 8" xfId="7574" xr:uid="{00000000-0005-0000-0000-00004CED0000}"/>
    <cellStyle name="SAPLocked 2 14 8 2" xfId="61450" xr:uid="{00000000-0005-0000-0000-00004DED0000}"/>
    <cellStyle name="SAPLocked 2 14 9" xfId="7575" xr:uid="{00000000-0005-0000-0000-00004EED0000}"/>
    <cellStyle name="SAPLocked 2 14 9 2" xfId="61451" xr:uid="{00000000-0005-0000-0000-00004FED0000}"/>
    <cellStyle name="SAPLocked 2 15" xfId="7576" xr:uid="{00000000-0005-0000-0000-000050ED0000}"/>
    <cellStyle name="SAPLocked 2 15 10" xfId="7577" xr:uid="{00000000-0005-0000-0000-000051ED0000}"/>
    <cellStyle name="SAPLocked 2 15 10 2" xfId="61452" xr:uid="{00000000-0005-0000-0000-000052ED0000}"/>
    <cellStyle name="SAPLocked 2 15 11" xfId="7578" xr:uid="{00000000-0005-0000-0000-000053ED0000}"/>
    <cellStyle name="SAPLocked 2 15 11 2" xfId="61453" xr:uid="{00000000-0005-0000-0000-000054ED0000}"/>
    <cellStyle name="SAPLocked 2 15 12" xfId="7579" xr:uid="{00000000-0005-0000-0000-000055ED0000}"/>
    <cellStyle name="SAPLocked 2 15 12 2" xfId="61454" xr:uid="{00000000-0005-0000-0000-000056ED0000}"/>
    <cellStyle name="SAPLocked 2 15 13" xfId="7580" xr:uid="{00000000-0005-0000-0000-000057ED0000}"/>
    <cellStyle name="SAPLocked 2 15 2" xfId="7581" xr:uid="{00000000-0005-0000-0000-000058ED0000}"/>
    <cellStyle name="SAPLocked 2 15 2 10" xfId="7582" xr:uid="{00000000-0005-0000-0000-000059ED0000}"/>
    <cellStyle name="SAPLocked 2 15 2 10 2" xfId="61455" xr:uid="{00000000-0005-0000-0000-00005AED0000}"/>
    <cellStyle name="SAPLocked 2 15 2 11" xfId="7583" xr:uid="{00000000-0005-0000-0000-00005BED0000}"/>
    <cellStyle name="SAPLocked 2 15 2 11 2" xfId="61456" xr:uid="{00000000-0005-0000-0000-00005CED0000}"/>
    <cellStyle name="SAPLocked 2 15 2 12" xfId="7584" xr:uid="{00000000-0005-0000-0000-00005DED0000}"/>
    <cellStyle name="SAPLocked 2 15 2 2" xfId="7585" xr:uid="{00000000-0005-0000-0000-00005EED0000}"/>
    <cellStyle name="SAPLocked 2 15 2 2 2" xfId="61457" xr:uid="{00000000-0005-0000-0000-00005FED0000}"/>
    <cellStyle name="SAPLocked 2 15 2 3" xfId="7586" xr:uid="{00000000-0005-0000-0000-000060ED0000}"/>
    <cellStyle name="SAPLocked 2 15 2 3 2" xfId="61458" xr:uid="{00000000-0005-0000-0000-000061ED0000}"/>
    <cellStyle name="SAPLocked 2 15 2 4" xfId="7587" xr:uid="{00000000-0005-0000-0000-000062ED0000}"/>
    <cellStyle name="SAPLocked 2 15 2 4 2" xfId="61459" xr:uid="{00000000-0005-0000-0000-000063ED0000}"/>
    <cellStyle name="SAPLocked 2 15 2 5" xfId="7588" xr:uid="{00000000-0005-0000-0000-000064ED0000}"/>
    <cellStyle name="SAPLocked 2 15 2 5 2" xfId="61460" xr:uid="{00000000-0005-0000-0000-000065ED0000}"/>
    <cellStyle name="SAPLocked 2 15 2 6" xfId="7589" xr:uid="{00000000-0005-0000-0000-000066ED0000}"/>
    <cellStyle name="SAPLocked 2 15 2 6 2" xfId="61461" xr:uid="{00000000-0005-0000-0000-000067ED0000}"/>
    <cellStyle name="SAPLocked 2 15 2 7" xfId="7590" xr:uid="{00000000-0005-0000-0000-000068ED0000}"/>
    <cellStyle name="SAPLocked 2 15 2 7 2" xfId="61462" xr:uid="{00000000-0005-0000-0000-000069ED0000}"/>
    <cellStyle name="SAPLocked 2 15 2 8" xfId="7591" xr:uid="{00000000-0005-0000-0000-00006AED0000}"/>
    <cellStyle name="SAPLocked 2 15 2 8 2" xfId="61463" xr:uid="{00000000-0005-0000-0000-00006BED0000}"/>
    <cellStyle name="SAPLocked 2 15 2 9" xfId="7592" xr:uid="{00000000-0005-0000-0000-00006CED0000}"/>
    <cellStyle name="SAPLocked 2 15 2 9 2" xfId="61464" xr:uid="{00000000-0005-0000-0000-00006DED0000}"/>
    <cellStyle name="SAPLocked 2 15 3" xfId="7593" xr:uid="{00000000-0005-0000-0000-00006EED0000}"/>
    <cellStyle name="SAPLocked 2 15 3 2" xfId="61465" xr:uid="{00000000-0005-0000-0000-00006FED0000}"/>
    <cellStyle name="SAPLocked 2 15 4" xfId="7594" xr:uid="{00000000-0005-0000-0000-000070ED0000}"/>
    <cellStyle name="SAPLocked 2 15 4 2" xfId="61466" xr:uid="{00000000-0005-0000-0000-000071ED0000}"/>
    <cellStyle name="SAPLocked 2 15 5" xfId="7595" xr:uid="{00000000-0005-0000-0000-000072ED0000}"/>
    <cellStyle name="SAPLocked 2 15 5 2" xfId="61467" xr:uid="{00000000-0005-0000-0000-000073ED0000}"/>
    <cellStyle name="SAPLocked 2 15 6" xfId="7596" xr:uid="{00000000-0005-0000-0000-000074ED0000}"/>
    <cellStyle name="SAPLocked 2 15 6 2" xfId="61468" xr:uid="{00000000-0005-0000-0000-000075ED0000}"/>
    <cellStyle name="SAPLocked 2 15 7" xfId="7597" xr:uid="{00000000-0005-0000-0000-000076ED0000}"/>
    <cellStyle name="SAPLocked 2 15 7 2" xfId="61469" xr:uid="{00000000-0005-0000-0000-000077ED0000}"/>
    <cellStyle name="SAPLocked 2 15 8" xfId="7598" xr:uid="{00000000-0005-0000-0000-000078ED0000}"/>
    <cellStyle name="SAPLocked 2 15 8 2" xfId="61470" xr:uid="{00000000-0005-0000-0000-000079ED0000}"/>
    <cellStyle name="SAPLocked 2 15 9" xfId="7599" xr:uid="{00000000-0005-0000-0000-00007AED0000}"/>
    <cellStyle name="SAPLocked 2 15 9 2" xfId="61471" xr:uid="{00000000-0005-0000-0000-00007BED0000}"/>
    <cellStyle name="SAPLocked 2 16" xfId="7600" xr:uid="{00000000-0005-0000-0000-00007CED0000}"/>
    <cellStyle name="SAPLocked 2 16 10" xfId="7601" xr:uid="{00000000-0005-0000-0000-00007DED0000}"/>
    <cellStyle name="SAPLocked 2 16 10 2" xfId="61472" xr:uid="{00000000-0005-0000-0000-00007EED0000}"/>
    <cellStyle name="SAPLocked 2 16 11" xfId="7602" xr:uid="{00000000-0005-0000-0000-00007FED0000}"/>
    <cellStyle name="SAPLocked 2 16 11 2" xfId="61473" xr:uid="{00000000-0005-0000-0000-000080ED0000}"/>
    <cellStyle name="SAPLocked 2 16 12" xfId="7603" xr:uid="{00000000-0005-0000-0000-000081ED0000}"/>
    <cellStyle name="SAPLocked 2 16 12 2" xfId="61474" xr:uid="{00000000-0005-0000-0000-000082ED0000}"/>
    <cellStyle name="SAPLocked 2 16 13" xfId="7604" xr:uid="{00000000-0005-0000-0000-000083ED0000}"/>
    <cellStyle name="SAPLocked 2 16 2" xfId="7605" xr:uid="{00000000-0005-0000-0000-000084ED0000}"/>
    <cellStyle name="SAPLocked 2 16 2 10" xfId="7606" xr:uid="{00000000-0005-0000-0000-000085ED0000}"/>
    <cellStyle name="SAPLocked 2 16 2 10 2" xfId="61475" xr:uid="{00000000-0005-0000-0000-000086ED0000}"/>
    <cellStyle name="SAPLocked 2 16 2 11" xfId="7607" xr:uid="{00000000-0005-0000-0000-000087ED0000}"/>
    <cellStyle name="SAPLocked 2 16 2 11 2" xfId="61476" xr:uid="{00000000-0005-0000-0000-000088ED0000}"/>
    <cellStyle name="SAPLocked 2 16 2 12" xfId="7608" xr:uid="{00000000-0005-0000-0000-000089ED0000}"/>
    <cellStyle name="SAPLocked 2 16 2 2" xfId="7609" xr:uid="{00000000-0005-0000-0000-00008AED0000}"/>
    <cellStyle name="SAPLocked 2 16 2 2 2" xfId="61477" xr:uid="{00000000-0005-0000-0000-00008BED0000}"/>
    <cellStyle name="SAPLocked 2 16 2 3" xfId="7610" xr:uid="{00000000-0005-0000-0000-00008CED0000}"/>
    <cellStyle name="SAPLocked 2 16 2 3 2" xfId="61478" xr:uid="{00000000-0005-0000-0000-00008DED0000}"/>
    <cellStyle name="SAPLocked 2 16 2 4" xfId="7611" xr:uid="{00000000-0005-0000-0000-00008EED0000}"/>
    <cellStyle name="SAPLocked 2 16 2 4 2" xfId="61479" xr:uid="{00000000-0005-0000-0000-00008FED0000}"/>
    <cellStyle name="SAPLocked 2 16 2 5" xfId="7612" xr:uid="{00000000-0005-0000-0000-000090ED0000}"/>
    <cellStyle name="SAPLocked 2 16 2 5 2" xfId="61480" xr:uid="{00000000-0005-0000-0000-000091ED0000}"/>
    <cellStyle name="SAPLocked 2 16 2 6" xfId="7613" xr:uid="{00000000-0005-0000-0000-000092ED0000}"/>
    <cellStyle name="SAPLocked 2 16 2 6 2" xfId="61481" xr:uid="{00000000-0005-0000-0000-000093ED0000}"/>
    <cellStyle name="SAPLocked 2 16 2 7" xfId="7614" xr:uid="{00000000-0005-0000-0000-000094ED0000}"/>
    <cellStyle name="SAPLocked 2 16 2 7 2" xfId="61482" xr:uid="{00000000-0005-0000-0000-000095ED0000}"/>
    <cellStyle name="SAPLocked 2 16 2 8" xfId="7615" xr:uid="{00000000-0005-0000-0000-000096ED0000}"/>
    <cellStyle name="SAPLocked 2 16 2 8 2" xfId="61483" xr:uid="{00000000-0005-0000-0000-000097ED0000}"/>
    <cellStyle name="SAPLocked 2 16 2 9" xfId="7616" xr:uid="{00000000-0005-0000-0000-000098ED0000}"/>
    <cellStyle name="SAPLocked 2 16 2 9 2" xfId="61484" xr:uid="{00000000-0005-0000-0000-000099ED0000}"/>
    <cellStyle name="SAPLocked 2 16 3" xfId="7617" xr:uid="{00000000-0005-0000-0000-00009AED0000}"/>
    <cellStyle name="SAPLocked 2 16 3 2" xfId="61485" xr:uid="{00000000-0005-0000-0000-00009BED0000}"/>
    <cellStyle name="SAPLocked 2 16 4" xfId="7618" xr:uid="{00000000-0005-0000-0000-00009CED0000}"/>
    <cellStyle name="SAPLocked 2 16 4 2" xfId="61486" xr:uid="{00000000-0005-0000-0000-00009DED0000}"/>
    <cellStyle name="SAPLocked 2 16 5" xfId="7619" xr:uid="{00000000-0005-0000-0000-00009EED0000}"/>
    <cellStyle name="SAPLocked 2 16 5 2" xfId="61487" xr:uid="{00000000-0005-0000-0000-00009FED0000}"/>
    <cellStyle name="SAPLocked 2 16 6" xfId="7620" xr:uid="{00000000-0005-0000-0000-0000A0ED0000}"/>
    <cellStyle name="SAPLocked 2 16 6 2" xfId="61488" xr:uid="{00000000-0005-0000-0000-0000A1ED0000}"/>
    <cellStyle name="SAPLocked 2 16 7" xfId="7621" xr:uid="{00000000-0005-0000-0000-0000A2ED0000}"/>
    <cellStyle name="SAPLocked 2 16 7 2" xfId="61489" xr:uid="{00000000-0005-0000-0000-0000A3ED0000}"/>
    <cellStyle name="SAPLocked 2 16 8" xfId="7622" xr:uid="{00000000-0005-0000-0000-0000A4ED0000}"/>
    <cellStyle name="SAPLocked 2 16 8 2" xfId="61490" xr:uid="{00000000-0005-0000-0000-0000A5ED0000}"/>
    <cellStyle name="SAPLocked 2 16 9" xfId="7623" xr:uid="{00000000-0005-0000-0000-0000A6ED0000}"/>
    <cellStyle name="SAPLocked 2 16 9 2" xfId="61491" xr:uid="{00000000-0005-0000-0000-0000A7ED0000}"/>
    <cellStyle name="SAPLocked 2 17" xfId="7624" xr:uid="{00000000-0005-0000-0000-0000A8ED0000}"/>
    <cellStyle name="SAPLocked 2 17 10" xfId="7625" xr:uid="{00000000-0005-0000-0000-0000A9ED0000}"/>
    <cellStyle name="SAPLocked 2 17 10 2" xfId="61492" xr:uid="{00000000-0005-0000-0000-0000AAED0000}"/>
    <cellStyle name="SAPLocked 2 17 11" xfId="7626" xr:uid="{00000000-0005-0000-0000-0000ABED0000}"/>
    <cellStyle name="SAPLocked 2 17 11 2" xfId="61493" xr:uid="{00000000-0005-0000-0000-0000ACED0000}"/>
    <cellStyle name="SAPLocked 2 17 12" xfId="7627" xr:uid="{00000000-0005-0000-0000-0000ADED0000}"/>
    <cellStyle name="SAPLocked 2 17 12 2" xfId="61494" xr:uid="{00000000-0005-0000-0000-0000AEED0000}"/>
    <cellStyle name="SAPLocked 2 17 13" xfId="7628" xr:uid="{00000000-0005-0000-0000-0000AFED0000}"/>
    <cellStyle name="SAPLocked 2 17 2" xfId="7629" xr:uid="{00000000-0005-0000-0000-0000B0ED0000}"/>
    <cellStyle name="SAPLocked 2 17 2 10" xfId="7630" xr:uid="{00000000-0005-0000-0000-0000B1ED0000}"/>
    <cellStyle name="SAPLocked 2 17 2 10 2" xfId="61495" xr:uid="{00000000-0005-0000-0000-0000B2ED0000}"/>
    <cellStyle name="SAPLocked 2 17 2 11" xfId="7631" xr:uid="{00000000-0005-0000-0000-0000B3ED0000}"/>
    <cellStyle name="SAPLocked 2 17 2 11 2" xfId="61496" xr:uid="{00000000-0005-0000-0000-0000B4ED0000}"/>
    <cellStyle name="SAPLocked 2 17 2 12" xfId="7632" xr:uid="{00000000-0005-0000-0000-0000B5ED0000}"/>
    <cellStyle name="SAPLocked 2 17 2 2" xfId="7633" xr:uid="{00000000-0005-0000-0000-0000B6ED0000}"/>
    <cellStyle name="SAPLocked 2 17 2 2 2" xfId="61497" xr:uid="{00000000-0005-0000-0000-0000B7ED0000}"/>
    <cellStyle name="SAPLocked 2 17 2 3" xfId="7634" xr:uid="{00000000-0005-0000-0000-0000B8ED0000}"/>
    <cellStyle name="SAPLocked 2 17 2 3 2" xfId="61498" xr:uid="{00000000-0005-0000-0000-0000B9ED0000}"/>
    <cellStyle name="SAPLocked 2 17 2 4" xfId="7635" xr:uid="{00000000-0005-0000-0000-0000BAED0000}"/>
    <cellStyle name="SAPLocked 2 17 2 4 2" xfId="61499" xr:uid="{00000000-0005-0000-0000-0000BBED0000}"/>
    <cellStyle name="SAPLocked 2 17 2 5" xfId="7636" xr:uid="{00000000-0005-0000-0000-0000BCED0000}"/>
    <cellStyle name="SAPLocked 2 17 2 5 2" xfId="61500" xr:uid="{00000000-0005-0000-0000-0000BDED0000}"/>
    <cellStyle name="SAPLocked 2 17 2 6" xfId="7637" xr:uid="{00000000-0005-0000-0000-0000BEED0000}"/>
    <cellStyle name="SAPLocked 2 17 2 6 2" xfId="61501" xr:uid="{00000000-0005-0000-0000-0000BFED0000}"/>
    <cellStyle name="SAPLocked 2 17 2 7" xfId="7638" xr:uid="{00000000-0005-0000-0000-0000C0ED0000}"/>
    <cellStyle name="SAPLocked 2 17 2 7 2" xfId="61502" xr:uid="{00000000-0005-0000-0000-0000C1ED0000}"/>
    <cellStyle name="SAPLocked 2 17 2 8" xfId="7639" xr:uid="{00000000-0005-0000-0000-0000C2ED0000}"/>
    <cellStyle name="SAPLocked 2 17 2 8 2" xfId="61503" xr:uid="{00000000-0005-0000-0000-0000C3ED0000}"/>
    <cellStyle name="SAPLocked 2 17 2 9" xfId="7640" xr:uid="{00000000-0005-0000-0000-0000C4ED0000}"/>
    <cellStyle name="SAPLocked 2 17 2 9 2" xfId="61504" xr:uid="{00000000-0005-0000-0000-0000C5ED0000}"/>
    <cellStyle name="SAPLocked 2 17 3" xfId="7641" xr:uid="{00000000-0005-0000-0000-0000C6ED0000}"/>
    <cellStyle name="SAPLocked 2 17 3 2" xfId="61505" xr:uid="{00000000-0005-0000-0000-0000C7ED0000}"/>
    <cellStyle name="SAPLocked 2 17 4" xfId="7642" xr:uid="{00000000-0005-0000-0000-0000C8ED0000}"/>
    <cellStyle name="SAPLocked 2 17 4 2" xfId="61506" xr:uid="{00000000-0005-0000-0000-0000C9ED0000}"/>
    <cellStyle name="SAPLocked 2 17 5" xfId="7643" xr:uid="{00000000-0005-0000-0000-0000CAED0000}"/>
    <cellStyle name="SAPLocked 2 17 5 2" xfId="61507" xr:uid="{00000000-0005-0000-0000-0000CBED0000}"/>
    <cellStyle name="SAPLocked 2 17 6" xfId="7644" xr:uid="{00000000-0005-0000-0000-0000CCED0000}"/>
    <cellStyle name="SAPLocked 2 17 6 2" xfId="61508" xr:uid="{00000000-0005-0000-0000-0000CDED0000}"/>
    <cellStyle name="SAPLocked 2 17 7" xfId="7645" xr:uid="{00000000-0005-0000-0000-0000CEED0000}"/>
    <cellStyle name="SAPLocked 2 17 7 2" xfId="61509" xr:uid="{00000000-0005-0000-0000-0000CFED0000}"/>
    <cellStyle name="SAPLocked 2 17 8" xfId="7646" xr:uid="{00000000-0005-0000-0000-0000D0ED0000}"/>
    <cellStyle name="SAPLocked 2 17 8 2" xfId="61510" xr:uid="{00000000-0005-0000-0000-0000D1ED0000}"/>
    <cellStyle name="SAPLocked 2 17 9" xfId="7647" xr:uid="{00000000-0005-0000-0000-0000D2ED0000}"/>
    <cellStyle name="SAPLocked 2 17 9 2" xfId="61511" xr:uid="{00000000-0005-0000-0000-0000D3ED0000}"/>
    <cellStyle name="SAPLocked 2 18" xfId="7648" xr:uid="{00000000-0005-0000-0000-0000D4ED0000}"/>
    <cellStyle name="SAPLocked 2 18 10" xfId="7649" xr:uid="{00000000-0005-0000-0000-0000D5ED0000}"/>
    <cellStyle name="SAPLocked 2 18 10 2" xfId="61512" xr:uid="{00000000-0005-0000-0000-0000D6ED0000}"/>
    <cellStyle name="SAPLocked 2 18 11" xfId="7650" xr:uid="{00000000-0005-0000-0000-0000D7ED0000}"/>
    <cellStyle name="SAPLocked 2 18 11 2" xfId="61513" xr:uid="{00000000-0005-0000-0000-0000D8ED0000}"/>
    <cellStyle name="SAPLocked 2 18 12" xfId="7651" xr:uid="{00000000-0005-0000-0000-0000D9ED0000}"/>
    <cellStyle name="SAPLocked 2 18 12 2" xfId="61514" xr:uid="{00000000-0005-0000-0000-0000DAED0000}"/>
    <cellStyle name="SAPLocked 2 18 13" xfId="7652" xr:uid="{00000000-0005-0000-0000-0000DBED0000}"/>
    <cellStyle name="SAPLocked 2 18 2" xfId="7653" xr:uid="{00000000-0005-0000-0000-0000DCED0000}"/>
    <cellStyle name="SAPLocked 2 18 2 10" xfId="7654" xr:uid="{00000000-0005-0000-0000-0000DDED0000}"/>
    <cellStyle name="SAPLocked 2 18 2 10 2" xfId="61515" xr:uid="{00000000-0005-0000-0000-0000DEED0000}"/>
    <cellStyle name="SAPLocked 2 18 2 11" xfId="7655" xr:uid="{00000000-0005-0000-0000-0000DFED0000}"/>
    <cellStyle name="SAPLocked 2 18 2 11 2" xfId="61516" xr:uid="{00000000-0005-0000-0000-0000E0ED0000}"/>
    <cellStyle name="SAPLocked 2 18 2 12" xfId="7656" xr:uid="{00000000-0005-0000-0000-0000E1ED0000}"/>
    <cellStyle name="SAPLocked 2 18 2 2" xfId="7657" xr:uid="{00000000-0005-0000-0000-0000E2ED0000}"/>
    <cellStyle name="SAPLocked 2 18 2 2 2" xfId="61517" xr:uid="{00000000-0005-0000-0000-0000E3ED0000}"/>
    <cellStyle name="SAPLocked 2 18 2 3" xfId="7658" xr:uid="{00000000-0005-0000-0000-0000E4ED0000}"/>
    <cellStyle name="SAPLocked 2 18 2 3 2" xfId="61518" xr:uid="{00000000-0005-0000-0000-0000E5ED0000}"/>
    <cellStyle name="SAPLocked 2 18 2 4" xfId="7659" xr:uid="{00000000-0005-0000-0000-0000E6ED0000}"/>
    <cellStyle name="SAPLocked 2 18 2 4 2" xfId="61519" xr:uid="{00000000-0005-0000-0000-0000E7ED0000}"/>
    <cellStyle name="SAPLocked 2 18 2 5" xfId="7660" xr:uid="{00000000-0005-0000-0000-0000E8ED0000}"/>
    <cellStyle name="SAPLocked 2 18 2 5 2" xfId="61520" xr:uid="{00000000-0005-0000-0000-0000E9ED0000}"/>
    <cellStyle name="SAPLocked 2 18 2 6" xfId="7661" xr:uid="{00000000-0005-0000-0000-0000EAED0000}"/>
    <cellStyle name="SAPLocked 2 18 2 6 2" xfId="61521" xr:uid="{00000000-0005-0000-0000-0000EBED0000}"/>
    <cellStyle name="SAPLocked 2 18 2 7" xfId="7662" xr:uid="{00000000-0005-0000-0000-0000ECED0000}"/>
    <cellStyle name="SAPLocked 2 18 2 7 2" xfId="61522" xr:uid="{00000000-0005-0000-0000-0000EDED0000}"/>
    <cellStyle name="SAPLocked 2 18 2 8" xfId="7663" xr:uid="{00000000-0005-0000-0000-0000EEED0000}"/>
    <cellStyle name="SAPLocked 2 18 2 8 2" xfId="61523" xr:uid="{00000000-0005-0000-0000-0000EFED0000}"/>
    <cellStyle name="SAPLocked 2 18 2 9" xfId="7664" xr:uid="{00000000-0005-0000-0000-0000F0ED0000}"/>
    <cellStyle name="SAPLocked 2 18 2 9 2" xfId="61524" xr:uid="{00000000-0005-0000-0000-0000F1ED0000}"/>
    <cellStyle name="SAPLocked 2 18 3" xfId="7665" xr:uid="{00000000-0005-0000-0000-0000F2ED0000}"/>
    <cellStyle name="SAPLocked 2 18 3 2" xfId="61525" xr:uid="{00000000-0005-0000-0000-0000F3ED0000}"/>
    <cellStyle name="SAPLocked 2 18 4" xfId="7666" xr:uid="{00000000-0005-0000-0000-0000F4ED0000}"/>
    <cellStyle name="SAPLocked 2 18 4 2" xfId="61526" xr:uid="{00000000-0005-0000-0000-0000F5ED0000}"/>
    <cellStyle name="SAPLocked 2 18 5" xfId="7667" xr:uid="{00000000-0005-0000-0000-0000F6ED0000}"/>
    <cellStyle name="SAPLocked 2 18 5 2" xfId="61527" xr:uid="{00000000-0005-0000-0000-0000F7ED0000}"/>
    <cellStyle name="SAPLocked 2 18 6" xfId="7668" xr:uid="{00000000-0005-0000-0000-0000F8ED0000}"/>
    <cellStyle name="SAPLocked 2 18 6 2" xfId="61528" xr:uid="{00000000-0005-0000-0000-0000F9ED0000}"/>
    <cellStyle name="SAPLocked 2 18 7" xfId="7669" xr:uid="{00000000-0005-0000-0000-0000FAED0000}"/>
    <cellStyle name="SAPLocked 2 18 7 2" xfId="61529" xr:uid="{00000000-0005-0000-0000-0000FBED0000}"/>
    <cellStyle name="SAPLocked 2 18 8" xfId="7670" xr:uid="{00000000-0005-0000-0000-0000FCED0000}"/>
    <cellStyle name="SAPLocked 2 18 8 2" xfId="61530" xr:uid="{00000000-0005-0000-0000-0000FDED0000}"/>
    <cellStyle name="SAPLocked 2 18 9" xfId="7671" xr:uid="{00000000-0005-0000-0000-0000FEED0000}"/>
    <cellStyle name="SAPLocked 2 18 9 2" xfId="61531" xr:uid="{00000000-0005-0000-0000-0000FFED0000}"/>
    <cellStyle name="SAPLocked 2 19" xfId="7672" xr:uid="{00000000-0005-0000-0000-000000EE0000}"/>
    <cellStyle name="SAPLocked 2 19 10" xfId="7673" xr:uid="{00000000-0005-0000-0000-000001EE0000}"/>
    <cellStyle name="SAPLocked 2 19 10 2" xfId="61532" xr:uid="{00000000-0005-0000-0000-000002EE0000}"/>
    <cellStyle name="SAPLocked 2 19 11" xfId="7674" xr:uid="{00000000-0005-0000-0000-000003EE0000}"/>
    <cellStyle name="SAPLocked 2 19 11 2" xfId="61533" xr:uid="{00000000-0005-0000-0000-000004EE0000}"/>
    <cellStyle name="SAPLocked 2 19 12" xfId="7675" xr:uid="{00000000-0005-0000-0000-000005EE0000}"/>
    <cellStyle name="SAPLocked 2 19 12 2" xfId="61534" xr:uid="{00000000-0005-0000-0000-000006EE0000}"/>
    <cellStyle name="SAPLocked 2 19 13" xfId="7676" xr:uid="{00000000-0005-0000-0000-000007EE0000}"/>
    <cellStyle name="SAPLocked 2 19 2" xfId="7677" xr:uid="{00000000-0005-0000-0000-000008EE0000}"/>
    <cellStyle name="SAPLocked 2 19 2 10" xfId="7678" xr:uid="{00000000-0005-0000-0000-000009EE0000}"/>
    <cellStyle name="SAPLocked 2 19 2 10 2" xfId="61535" xr:uid="{00000000-0005-0000-0000-00000AEE0000}"/>
    <cellStyle name="SAPLocked 2 19 2 11" xfId="7679" xr:uid="{00000000-0005-0000-0000-00000BEE0000}"/>
    <cellStyle name="SAPLocked 2 19 2 11 2" xfId="61536" xr:uid="{00000000-0005-0000-0000-00000CEE0000}"/>
    <cellStyle name="SAPLocked 2 19 2 12" xfId="7680" xr:uid="{00000000-0005-0000-0000-00000DEE0000}"/>
    <cellStyle name="SAPLocked 2 19 2 2" xfId="7681" xr:uid="{00000000-0005-0000-0000-00000EEE0000}"/>
    <cellStyle name="SAPLocked 2 19 2 2 2" xfId="61537" xr:uid="{00000000-0005-0000-0000-00000FEE0000}"/>
    <cellStyle name="SAPLocked 2 19 2 3" xfId="7682" xr:uid="{00000000-0005-0000-0000-000010EE0000}"/>
    <cellStyle name="SAPLocked 2 19 2 3 2" xfId="61538" xr:uid="{00000000-0005-0000-0000-000011EE0000}"/>
    <cellStyle name="SAPLocked 2 19 2 4" xfId="7683" xr:uid="{00000000-0005-0000-0000-000012EE0000}"/>
    <cellStyle name="SAPLocked 2 19 2 4 2" xfId="61539" xr:uid="{00000000-0005-0000-0000-000013EE0000}"/>
    <cellStyle name="SAPLocked 2 19 2 5" xfId="7684" xr:uid="{00000000-0005-0000-0000-000014EE0000}"/>
    <cellStyle name="SAPLocked 2 19 2 5 2" xfId="61540" xr:uid="{00000000-0005-0000-0000-000015EE0000}"/>
    <cellStyle name="SAPLocked 2 19 2 6" xfId="7685" xr:uid="{00000000-0005-0000-0000-000016EE0000}"/>
    <cellStyle name="SAPLocked 2 19 2 6 2" xfId="61541" xr:uid="{00000000-0005-0000-0000-000017EE0000}"/>
    <cellStyle name="SAPLocked 2 19 2 7" xfId="7686" xr:uid="{00000000-0005-0000-0000-000018EE0000}"/>
    <cellStyle name="SAPLocked 2 19 2 7 2" xfId="61542" xr:uid="{00000000-0005-0000-0000-000019EE0000}"/>
    <cellStyle name="SAPLocked 2 19 2 8" xfId="7687" xr:uid="{00000000-0005-0000-0000-00001AEE0000}"/>
    <cellStyle name="SAPLocked 2 19 2 8 2" xfId="61543" xr:uid="{00000000-0005-0000-0000-00001BEE0000}"/>
    <cellStyle name="SAPLocked 2 19 2 9" xfId="7688" xr:uid="{00000000-0005-0000-0000-00001CEE0000}"/>
    <cellStyle name="SAPLocked 2 19 2 9 2" xfId="61544" xr:uid="{00000000-0005-0000-0000-00001DEE0000}"/>
    <cellStyle name="SAPLocked 2 19 3" xfId="7689" xr:uid="{00000000-0005-0000-0000-00001EEE0000}"/>
    <cellStyle name="SAPLocked 2 19 3 2" xfId="61545" xr:uid="{00000000-0005-0000-0000-00001FEE0000}"/>
    <cellStyle name="SAPLocked 2 19 4" xfId="7690" xr:uid="{00000000-0005-0000-0000-000020EE0000}"/>
    <cellStyle name="SAPLocked 2 19 4 2" xfId="61546" xr:uid="{00000000-0005-0000-0000-000021EE0000}"/>
    <cellStyle name="SAPLocked 2 19 5" xfId="7691" xr:uid="{00000000-0005-0000-0000-000022EE0000}"/>
    <cellStyle name="SAPLocked 2 19 5 2" xfId="61547" xr:uid="{00000000-0005-0000-0000-000023EE0000}"/>
    <cellStyle name="SAPLocked 2 19 6" xfId="7692" xr:uid="{00000000-0005-0000-0000-000024EE0000}"/>
    <cellStyle name="SAPLocked 2 19 6 2" xfId="61548" xr:uid="{00000000-0005-0000-0000-000025EE0000}"/>
    <cellStyle name="SAPLocked 2 19 7" xfId="7693" xr:uid="{00000000-0005-0000-0000-000026EE0000}"/>
    <cellStyle name="SAPLocked 2 19 7 2" xfId="61549" xr:uid="{00000000-0005-0000-0000-000027EE0000}"/>
    <cellStyle name="SAPLocked 2 19 8" xfId="7694" xr:uid="{00000000-0005-0000-0000-000028EE0000}"/>
    <cellStyle name="SAPLocked 2 19 8 2" xfId="61550" xr:uid="{00000000-0005-0000-0000-000029EE0000}"/>
    <cellStyle name="SAPLocked 2 19 9" xfId="7695" xr:uid="{00000000-0005-0000-0000-00002AEE0000}"/>
    <cellStyle name="SAPLocked 2 19 9 2" xfId="61551" xr:uid="{00000000-0005-0000-0000-00002BEE0000}"/>
    <cellStyle name="SAPLocked 2 2" xfId="7696" xr:uid="{00000000-0005-0000-0000-00002CEE0000}"/>
    <cellStyle name="SAPLocked 2 2 10" xfId="7697" xr:uid="{00000000-0005-0000-0000-00002DEE0000}"/>
    <cellStyle name="SAPLocked 2 2 10 2" xfId="61552" xr:uid="{00000000-0005-0000-0000-00002EEE0000}"/>
    <cellStyle name="SAPLocked 2 2 11" xfId="7698" xr:uid="{00000000-0005-0000-0000-00002FEE0000}"/>
    <cellStyle name="SAPLocked 2 2 11 2" xfId="61553" xr:uid="{00000000-0005-0000-0000-000030EE0000}"/>
    <cellStyle name="SAPLocked 2 2 12" xfId="7699" xr:uid="{00000000-0005-0000-0000-000031EE0000}"/>
    <cellStyle name="SAPLocked 2 2 12 2" xfId="61554" xr:uid="{00000000-0005-0000-0000-000032EE0000}"/>
    <cellStyle name="SAPLocked 2 2 13" xfId="7700" xr:uid="{00000000-0005-0000-0000-000033EE0000}"/>
    <cellStyle name="SAPLocked 2 2 2" xfId="7701" xr:uid="{00000000-0005-0000-0000-000034EE0000}"/>
    <cellStyle name="SAPLocked 2 2 2 10" xfId="7702" xr:uid="{00000000-0005-0000-0000-000035EE0000}"/>
    <cellStyle name="SAPLocked 2 2 2 10 2" xfId="61555" xr:uid="{00000000-0005-0000-0000-000036EE0000}"/>
    <cellStyle name="SAPLocked 2 2 2 11" xfId="7703" xr:uid="{00000000-0005-0000-0000-000037EE0000}"/>
    <cellStyle name="SAPLocked 2 2 2 11 2" xfId="61556" xr:uid="{00000000-0005-0000-0000-000038EE0000}"/>
    <cellStyle name="SAPLocked 2 2 2 12" xfId="7704" xr:uid="{00000000-0005-0000-0000-000039EE0000}"/>
    <cellStyle name="SAPLocked 2 2 2 2" xfId="7705" xr:uid="{00000000-0005-0000-0000-00003AEE0000}"/>
    <cellStyle name="SAPLocked 2 2 2 2 2" xfId="61557" xr:uid="{00000000-0005-0000-0000-00003BEE0000}"/>
    <cellStyle name="SAPLocked 2 2 2 3" xfId="7706" xr:uid="{00000000-0005-0000-0000-00003CEE0000}"/>
    <cellStyle name="SAPLocked 2 2 2 3 2" xfId="61558" xr:uid="{00000000-0005-0000-0000-00003DEE0000}"/>
    <cellStyle name="SAPLocked 2 2 2 4" xfId="7707" xr:uid="{00000000-0005-0000-0000-00003EEE0000}"/>
    <cellStyle name="SAPLocked 2 2 2 4 2" xfId="61559" xr:uid="{00000000-0005-0000-0000-00003FEE0000}"/>
    <cellStyle name="SAPLocked 2 2 2 5" xfId="7708" xr:uid="{00000000-0005-0000-0000-000040EE0000}"/>
    <cellStyle name="SAPLocked 2 2 2 5 2" xfId="61560" xr:uid="{00000000-0005-0000-0000-000041EE0000}"/>
    <cellStyle name="SAPLocked 2 2 2 6" xfId="7709" xr:uid="{00000000-0005-0000-0000-000042EE0000}"/>
    <cellStyle name="SAPLocked 2 2 2 6 2" xfId="61561" xr:uid="{00000000-0005-0000-0000-000043EE0000}"/>
    <cellStyle name="SAPLocked 2 2 2 7" xfId="7710" xr:uid="{00000000-0005-0000-0000-000044EE0000}"/>
    <cellStyle name="SAPLocked 2 2 2 7 2" xfId="61562" xr:uid="{00000000-0005-0000-0000-000045EE0000}"/>
    <cellStyle name="SAPLocked 2 2 2 8" xfId="7711" xr:uid="{00000000-0005-0000-0000-000046EE0000}"/>
    <cellStyle name="SAPLocked 2 2 2 8 2" xfId="61563" xr:uid="{00000000-0005-0000-0000-000047EE0000}"/>
    <cellStyle name="SAPLocked 2 2 2 9" xfId="7712" xr:uid="{00000000-0005-0000-0000-000048EE0000}"/>
    <cellStyle name="SAPLocked 2 2 2 9 2" xfId="61564" xr:uid="{00000000-0005-0000-0000-000049EE0000}"/>
    <cellStyle name="SAPLocked 2 2 3" xfId="7713" xr:uid="{00000000-0005-0000-0000-00004AEE0000}"/>
    <cellStyle name="SAPLocked 2 2 3 2" xfId="61565" xr:uid="{00000000-0005-0000-0000-00004BEE0000}"/>
    <cellStyle name="SAPLocked 2 2 4" xfId="7714" xr:uid="{00000000-0005-0000-0000-00004CEE0000}"/>
    <cellStyle name="SAPLocked 2 2 4 2" xfId="61566" xr:uid="{00000000-0005-0000-0000-00004DEE0000}"/>
    <cellStyle name="SAPLocked 2 2 5" xfId="7715" xr:uid="{00000000-0005-0000-0000-00004EEE0000}"/>
    <cellStyle name="SAPLocked 2 2 5 2" xfId="61567" xr:uid="{00000000-0005-0000-0000-00004FEE0000}"/>
    <cellStyle name="SAPLocked 2 2 6" xfId="7716" xr:uid="{00000000-0005-0000-0000-000050EE0000}"/>
    <cellStyle name="SAPLocked 2 2 6 2" xfId="61568" xr:uid="{00000000-0005-0000-0000-000051EE0000}"/>
    <cellStyle name="SAPLocked 2 2 7" xfId="7717" xr:uid="{00000000-0005-0000-0000-000052EE0000}"/>
    <cellStyle name="SAPLocked 2 2 7 2" xfId="61569" xr:uid="{00000000-0005-0000-0000-000053EE0000}"/>
    <cellStyle name="SAPLocked 2 2 8" xfId="7718" xr:uid="{00000000-0005-0000-0000-000054EE0000}"/>
    <cellStyle name="SAPLocked 2 2 8 2" xfId="61570" xr:uid="{00000000-0005-0000-0000-000055EE0000}"/>
    <cellStyle name="SAPLocked 2 2 9" xfId="7719" xr:uid="{00000000-0005-0000-0000-000056EE0000}"/>
    <cellStyle name="SAPLocked 2 2 9 2" xfId="61571" xr:uid="{00000000-0005-0000-0000-000057EE0000}"/>
    <cellStyle name="SAPLocked 2 20" xfId="7720" xr:uid="{00000000-0005-0000-0000-000058EE0000}"/>
    <cellStyle name="SAPLocked 2 20 10" xfId="7721" xr:uid="{00000000-0005-0000-0000-000059EE0000}"/>
    <cellStyle name="SAPLocked 2 20 10 2" xfId="61572" xr:uid="{00000000-0005-0000-0000-00005AEE0000}"/>
    <cellStyle name="SAPLocked 2 20 11" xfId="7722" xr:uid="{00000000-0005-0000-0000-00005BEE0000}"/>
    <cellStyle name="SAPLocked 2 20 11 2" xfId="61573" xr:uid="{00000000-0005-0000-0000-00005CEE0000}"/>
    <cellStyle name="SAPLocked 2 20 12" xfId="7723" xr:uid="{00000000-0005-0000-0000-00005DEE0000}"/>
    <cellStyle name="SAPLocked 2 20 12 2" xfId="61574" xr:uid="{00000000-0005-0000-0000-00005EEE0000}"/>
    <cellStyle name="SAPLocked 2 20 13" xfId="7724" xr:uid="{00000000-0005-0000-0000-00005FEE0000}"/>
    <cellStyle name="SAPLocked 2 20 2" xfId="7725" xr:uid="{00000000-0005-0000-0000-000060EE0000}"/>
    <cellStyle name="SAPLocked 2 20 2 10" xfId="7726" xr:uid="{00000000-0005-0000-0000-000061EE0000}"/>
    <cellStyle name="SAPLocked 2 20 2 10 2" xfId="61575" xr:uid="{00000000-0005-0000-0000-000062EE0000}"/>
    <cellStyle name="SAPLocked 2 20 2 11" xfId="7727" xr:uid="{00000000-0005-0000-0000-000063EE0000}"/>
    <cellStyle name="SAPLocked 2 20 2 11 2" xfId="61576" xr:uid="{00000000-0005-0000-0000-000064EE0000}"/>
    <cellStyle name="SAPLocked 2 20 2 12" xfId="7728" xr:uid="{00000000-0005-0000-0000-000065EE0000}"/>
    <cellStyle name="SAPLocked 2 20 2 2" xfId="7729" xr:uid="{00000000-0005-0000-0000-000066EE0000}"/>
    <cellStyle name="SAPLocked 2 20 2 2 2" xfId="61577" xr:uid="{00000000-0005-0000-0000-000067EE0000}"/>
    <cellStyle name="SAPLocked 2 20 2 3" xfId="7730" xr:uid="{00000000-0005-0000-0000-000068EE0000}"/>
    <cellStyle name="SAPLocked 2 20 2 3 2" xfId="61578" xr:uid="{00000000-0005-0000-0000-000069EE0000}"/>
    <cellStyle name="SAPLocked 2 20 2 4" xfId="7731" xr:uid="{00000000-0005-0000-0000-00006AEE0000}"/>
    <cellStyle name="SAPLocked 2 20 2 4 2" xfId="61579" xr:uid="{00000000-0005-0000-0000-00006BEE0000}"/>
    <cellStyle name="SAPLocked 2 20 2 5" xfId="7732" xr:uid="{00000000-0005-0000-0000-00006CEE0000}"/>
    <cellStyle name="SAPLocked 2 20 2 5 2" xfId="61580" xr:uid="{00000000-0005-0000-0000-00006DEE0000}"/>
    <cellStyle name="SAPLocked 2 20 2 6" xfId="7733" xr:uid="{00000000-0005-0000-0000-00006EEE0000}"/>
    <cellStyle name="SAPLocked 2 20 2 6 2" xfId="61581" xr:uid="{00000000-0005-0000-0000-00006FEE0000}"/>
    <cellStyle name="SAPLocked 2 20 2 7" xfId="7734" xr:uid="{00000000-0005-0000-0000-000070EE0000}"/>
    <cellStyle name="SAPLocked 2 20 2 7 2" xfId="61582" xr:uid="{00000000-0005-0000-0000-000071EE0000}"/>
    <cellStyle name="SAPLocked 2 20 2 8" xfId="7735" xr:uid="{00000000-0005-0000-0000-000072EE0000}"/>
    <cellStyle name="SAPLocked 2 20 2 8 2" xfId="61583" xr:uid="{00000000-0005-0000-0000-000073EE0000}"/>
    <cellStyle name="SAPLocked 2 20 2 9" xfId="7736" xr:uid="{00000000-0005-0000-0000-000074EE0000}"/>
    <cellStyle name="SAPLocked 2 20 2 9 2" xfId="61584" xr:uid="{00000000-0005-0000-0000-000075EE0000}"/>
    <cellStyle name="SAPLocked 2 20 3" xfId="7737" xr:uid="{00000000-0005-0000-0000-000076EE0000}"/>
    <cellStyle name="SAPLocked 2 20 3 2" xfId="61585" xr:uid="{00000000-0005-0000-0000-000077EE0000}"/>
    <cellStyle name="SAPLocked 2 20 4" xfId="7738" xr:uid="{00000000-0005-0000-0000-000078EE0000}"/>
    <cellStyle name="SAPLocked 2 20 4 2" xfId="61586" xr:uid="{00000000-0005-0000-0000-000079EE0000}"/>
    <cellStyle name="SAPLocked 2 20 5" xfId="7739" xr:uid="{00000000-0005-0000-0000-00007AEE0000}"/>
    <cellStyle name="SAPLocked 2 20 5 2" xfId="61587" xr:uid="{00000000-0005-0000-0000-00007BEE0000}"/>
    <cellStyle name="SAPLocked 2 20 6" xfId="7740" xr:uid="{00000000-0005-0000-0000-00007CEE0000}"/>
    <cellStyle name="SAPLocked 2 20 6 2" xfId="61588" xr:uid="{00000000-0005-0000-0000-00007DEE0000}"/>
    <cellStyle name="SAPLocked 2 20 7" xfId="7741" xr:uid="{00000000-0005-0000-0000-00007EEE0000}"/>
    <cellStyle name="SAPLocked 2 20 7 2" xfId="61589" xr:uid="{00000000-0005-0000-0000-00007FEE0000}"/>
    <cellStyle name="SAPLocked 2 20 8" xfId="7742" xr:uid="{00000000-0005-0000-0000-000080EE0000}"/>
    <cellStyle name="SAPLocked 2 20 8 2" xfId="61590" xr:uid="{00000000-0005-0000-0000-000081EE0000}"/>
    <cellStyle name="SAPLocked 2 20 9" xfId="7743" xr:uid="{00000000-0005-0000-0000-000082EE0000}"/>
    <cellStyle name="SAPLocked 2 20 9 2" xfId="61591" xr:uid="{00000000-0005-0000-0000-000083EE0000}"/>
    <cellStyle name="SAPLocked 2 21" xfId="7744" xr:uid="{00000000-0005-0000-0000-000084EE0000}"/>
    <cellStyle name="SAPLocked 2 21 10" xfId="7745" xr:uid="{00000000-0005-0000-0000-000085EE0000}"/>
    <cellStyle name="SAPLocked 2 21 10 2" xfId="61592" xr:uid="{00000000-0005-0000-0000-000086EE0000}"/>
    <cellStyle name="SAPLocked 2 21 11" xfId="7746" xr:uid="{00000000-0005-0000-0000-000087EE0000}"/>
    <cellStyle name="SAPLocked 2 21 11 2" xfId="61593" xr:uid="{00000000-0005-0000-0000-000088EE0000}"/>
    <cellStyle name="SAPLocked 2 21 12" xfId="7747" xr:uid="{00000000-0005-0000-0000-000089EE0000}"/>
    <cellStyle name="SAPLocked 2 21 2" xfId="7748" xr:uid="{00000000-0005-0000-0000-00008AEE0000}"/>
    <cellStyle name="SAPLocked 2 21 2 2" xfId="61594" xr:uid="{00000000-0005-0000-0000-00008BEE0000}"/>
    <cellStyle name="SAPLocked 2 21 3" xfId="7749" xr:uid="{00000000-0005-0000-0000-00008CEE0000}"/>
    <cellStyle name="SAPLocked 2 21 3 2" xfId="61595" xr:uid="{00000000-0005-0000-0000-00008DEE0000}"/>
    <cellStyle name="SAPLocked 2 21 4" xfId="7750" xr:uid="{00000000-0005-0000-0000-00008EEE0000}"/>
    <cellStyle name="SAPLocked 2 21 4 2" xfId="61596" xr:uid="{00000000-0005-0000-0000-00008FEE0000}"/>
    <cellStyle name="SAPLocked 2 21 5" xfId="7751" xr:uid="{00000000-0005-0000-0000-000090EE0000}"/>
    <cellStyle name="SAPLocked 2 21 5 2" xfId="61597" xr:uid="{00000000-0005-0000-0000-000091EE0000}"/>
    <cellStyle name="SAPLocked 2 21 6" xfId="7752" xr:uid="{00000000-0005-0000-0000-000092EE0000}"/>
    <cellStyle name="SAPLocked 2 21 6 2" xfId="61598" xr:uid="{00000000-0005-0000-0000-000093EE0000}"/>
    <cellStyle name="SAPLocked 2 21 7" xfId="7753" xr:uid="{00000000-0005-0000-0000-000094EE0000}"/>
    <cellStyle name="SAPLocked 2 21 7 2" xfId="61599" xr:uid="{00000000-0005-0000-0000-000095EE0000}"/>
    <cellStyle name="SAPLocked 2 21 8" xfId="7754" xr:uid="{00000000-0005-0000-0000-000096EE0000}"/>
    <cellStyle name="SAPLocked 2 21 8 2" xfId="61600" xr:uid="{00000000-0005-0000-0000-000097EE0000}"/>
    <cellStyle name="SAPLocked 2 21 9" xfId="7755" xr:uid="{00000000-0005-0000-0000-000098EE0000}"/>
    <cellStyle name="SAPLocked 2 21 9 2" xfId="61601" xr:uid="{00000000-0005-0000-0000-000099EE0000}"/>
    <cellStyle name="SAPLocked 2 22" xfId="7756" xr:uid="{00000000-0005-0000-0000-00009AEE0000}"/>
    <cellStyle name="SAPLocked 2 22 2" xfId="61602" xr:uid="{00000000-0005-0000-0000-00009BEE0000}"/>
    <cellStyle name="SAPLocked 2 23" xfId="7757" xr:uid="{00000000-0005-0000-0000-00009CEE0000}"/>
    <cellStyle name="SAPLocked 2 23 2" xfId="61603" xr:uid="{00000000-0005-0000-0000-00009DEE0000}"/>
    <cellStyle name="SAPLocked 2 24" xfId="7758" xr:uid="{00000000-0005-0000-0000-00009EEE0000}"/>
    <cellStyle name="SAPLocked 2 24 2" xfId="61604" xr:uid="{00000000-0005-0000-0000-00009FEE0000}"/>
    <cellStyle name="SAPLocked 2 25" xfId="7759" xr:uid="{00000000-0005-0000-0000-0000A0EE0000}"/>
    <cellStyle name="SAPLocked 2 25 2" xfId="61605" xr:uid="{00000000-0005-0000-0000-0000A1EE0000}"/>
    <cellStyle name="SAPLocked 2 26" xfId="7760" xr:uid="{00000000-0005-0000-0000-0000A2EE0000}"/>
    <cellStyle name="SAPLocked 2 26 2" xfId="61606" xr:uid="{00000000-0005-0000-0000-0000A3EE0000}"/>
    <cellStyle name="SAPLocked 2 27" xfId="7761" xr:uid="{00000000-0005-0000-0000-0000A4EE0000}"/>
    <cellStyle name="SAPLocked 2 27 2" xfId="61607" xr:uid="{00000000-0005-0000-0000-0000A5EE0000}"/>
    <cellStyle name="SAPLocked 2 28" xfId="7762" xr:uid="{00000000-0005-0000-0000-0000A6EE0000}"/>
    <cellStyle name="SAPLocked 2 28 2" xfId="61608" xr:uid="{00000000-0005-0000-0000-0000A7EE0000}"/>
    <cellStyle name="SAPLocked 2 29" xfId="7763" xr:uid="{00000000-0005-0000-0000-0000A8EE0000}"/>
    <cellStyle name="SAPLocked 2 29 2" xfId="61609" xr:uid="{00000000-0005-0000-0000-0000A9EE0000}"/>
    <cellStyle name="SAPLocked 2 3" xfId="7764" xr:uid="{00000000-0005-0000-0000-0000AAEE0000}"/>
    <cellStyle name="SAPLocked 2 3 10" xfId="7765" xr:uid="{00000000-0005-0000-0000-0000ABEE0000}"/>
    <cellStyle name="SAPLocked 2 3 10 2" xfId="61610" xr:uid="{00000000-0005-0000-0000-0000ACEE0000}"/>
    <cellStyle name="SAPLocked 2 3 11" xfId="7766" xr:uid="{00000000-0005-0000-0000-0000ADEE0000}"/>
    <cellStyle name="SAPLocked 2 3 11 2" xfId="61611" xr:uid="{00000000-0005-0000-0000-0000AEEE0000}"/>
    <cellStyle name="SAPLocked 2 3 12" xfId="7767" xr:uid="{00000000-0005-0000-0000-0000AFEE0000}"/>
    <cellStyle name="SAPLocked 2 3 12 2" xfId="61612" xr:uid="{00000000-0005-0000-0000-0000B0EE0000}"/>
    <cellStyle name="SAPLocked 2 3 13" xfId="7768" xr:uid="{00000000-0005-0000-0000-0000B1EE0000}"/>
    <cellStyle name="SAPLocked 2 3 2" xfId="7769" xr:uid="{00000000-0005-0000-0000-0000B2EE0000}"/>
    <cellStyle name="SAPLocked 2 3 2 10" xfId="7770" xr:uid="{00000000-0005-0000-0000-0000B3EE0000}"/>
    <cellStyle name="SAPLocked 2 3 2 10 2" xfId="61613" xr:uid="{00000000-0005-0000-0000-0000B4EE0000}"/>
    <cellStyle name="SAPLocked 2 3 2 11" xfId="7771" xr:uid="{00000000-0005-0000-0000-0000B5EE0000}"/>
    <cellStyle name="SAPLocked 2 3 2 11 2" xfId="61614" xr:uid="{00000000-0005-0000-0000-0000B6EE0000}"/>
    <cellStyle name="SAPLocked 2 3 2 12" xfId="7772" xr:uid="{00000000-0005-0000-0000-0000B7EE0000}"/>
    <cellStyle name="SAPLocked 2 3 2 2" xfId="7773" xr:uid="{00000000-0005-0000-0000-0000B8EE0000}"/>
    <cellStyle name="SAPLocked 2 3 2 2 2" xfId="61615" xr:uid="{00000000-0005-0000-0000-0000B9EE0000}"/>
    <cellStyle name="SAPLocked 2 3 2 3" xfId="7774" xr:uid="{00000000-0005-0000-0000-0000BAEE0000}"/>
    <cellStyle name="SAPLocked 2 3 2 3 2" xfId="61616" xr:uid="{00000000-0005-0000-0000-0000BBEE0000}"/>
    <cellStyle name="SAPLocked 2 3 2 4" xfId="7775" xr:uid="{00000000-0005-0000-0000-0000BCEE0000}"/>
    <cellStyle name="SAPLocked 2 3 2 4 2" xfId="61617" xr:uid="{00000000-0005-0000-0000-0000BDEE0000}"/>
    <cellStyle name="SAPLocked 2 3 2 5" xfId="7776" xr:uid="{00000000-0005-0000-0000-0000BEEE0000}"/>
    <cellStyle name="SAPLocked 2 3 2 5 2" xfId="61618" xr:uid="{00000000-0005-0000-0000-0000BFEE0000}"/>
    <cellStyle name="SAPLocked 2 3 2 6" xfId="7777" xr:uid="{00000000-0005-0000-0000-0000C0EE0000}"/>
    <cellStyle name="SAPLocked 2 3 2 6 2" xfId="61619" xr:uid="{00000000-0005-0000-0000-0000C1EE0000}"/>
    <cellStyle name="SAPLocked 2 3 2 7" xfId="7778" xr:uid="{00000000-0005-0000-0000-0000C2EE0000}"/>
    <cellStyle name="SAPLocked 2 3 2 7 2" xfId="61620" xr:uid="{00000000-0005-0000-0000-0000C3EE0000}"/>
    <cellStyle name="SAPLocked 2 3 2 8" xfId="7779" xr:uid="{00000000-0005-0000-0000-0000C4EE0000}"/>
    <cellStyle name="SAPLocked 2 3 2 8 2" xfId="61621" xr:uid="{00000000-0005-0000-0000-0000C5EE0000}"/>
    <cellStyle name="SAPLocked 2 3 2 9" xfId="7780" xr:uid="{00000000-0005-0000-0000-0000C6EE0000}"/>
    <cellStyle name="SAPLocked 2 3 2 9 2" xfId="61622" xr:uid="{00000000-0005-0000-0000-0000C7EE0000}"/>
    <cellStyle name="SAPLocked 2 3 3" xfId="7781" xr:uid="{00000000-0005-0000-0000-0000C8EE0000}"/>
    <cellStyle name="SAPLocked 2 3 3 2" xfId="61623" xr:uid="{00000000-0005-0000-0000-0000C9EE0000}"/>
    <cellStyle name="SAPLocked 2 3 4" xfId="7782" xr:uid="{00000000-0005-0000-0000-0000CAEE0000}"/>
    <cellStyle name="SAPLocked 2 3 4 2" xfId="61624" xr:uid="{00000000-0005-0000-0000-0000CBEE0000}"/>
    <cellStyle name="SAPLocked 2 3 5" xfId="7783" xr:uid="{00000000-0005-0000-0000-0000CCEE0000}"/>
    <cellStyle name="SAPLocked 2 3 5 2" xfId="61625" xr:uid="{00000000-0005-0000-0000-0000CDEE0000}"/>
    <cellStyle name="SAPLocked 2 3 6" xfId="7784" xr:uid="{00000000-0005-0000-0000-0000CEEE0000}"/>
    <cellStyle name="SAPLocked 2 3 6 2" xfId="61626" xr:uid="{00000000-0005-0000-0000-0000CFEE0000}"/>
    <cellStyle name="SAPLocked 2 3 7" xfId="7785" xr:uid="{00000000-0005-0000-0000-0000D0EE0000}"/>
    <cellStyle name="SAPLocked 2 3 7 2" xfId="61627" xr:uid="{00000000-0005-0000-0000-0000D1EE0000}"/>
    <cellStyle name="SAPLocked 2 3 8" xfId="7786" xr:uid="{00000000-0005-0000-0000-0000D2EE0000}"/>
    <cellStyle name="SAPLocked 2 3 8 2" xfId="61628" xr:uid="{00000000-0005-0000-0000-0000D3EE0000}"/>
    <cellStyle name="SAPLocked 2 3 9" xfId="7787" xr:uid="{00000000-0005-0000-0000-0000D4EE0000}"/>
    <cellStyle name="SAPLocked 2 3 9 2" xfId="61629" xr:uid="{00000000-0005-0000-0000-0000D5EE0000}"/>
    <cellStyle name="SAPLocked 2 30" xfId="7788" xr:uid="{00000000-0005-0000-0000-0000D6EE0000}"/>
    <cellStyle name="SAPLocked 2 4" xfId="7789" xr:uid="{00000000-0005-0000-0000-0000D7EE0000}"/>
    <cellStyle name="SAPLocked 2 4 10" xfId="7790" xr:uid="{00000000-0005-0000-0000-0000D8EE0000}"/>
    <cellStyle name="SAPLocked 2 4 10 2" xfId="61630" xr:uid="{00000000-0005-0000-0000-0000D9EE0000}"/>
    <cellStyle name="SAPLocked 2 4 11" xfId="7791" xr:uid="{00000000-0005-0000-0000-0000DAEE0000}"/>
    <cellStyle name="SAPLocked 2 4 11 2" xfId="61631" xr:uid="{00000000-0005-0000-0000-0000DBEE0000}"/>
    <cellStyle name="SAPLocked 2 4 12" xfId="7792" xr:uid="{00000000-0005-0000-0000-0000DCEE0000}"/>
    <cellStyle name="SAPLocked 2 4 12 2" xfId="61632" xr:uid="{00000000-0005-0000-0000-0000DDEE0000}"/>
    <cellStyle name="SAPLocked 2 4 13" xfId="7793" xr:uid="{00000000-0005-0000-0000-0000DEEE0000}"/>
    <cellStyle name="SAPLocked 2 4 2" xfId="7794" xr:uid="{00000000-0005-0000-0000-0000DFEE0000}"/>
    <cellStyle name="SAPLocked 2 4 2 10" xfId="7795" xr:uid="{00000000-0005-0000-0000-0000E0EE0000}"/>
    <cellStyle name="SAPLocked 2 4 2 10 2" xfId="61633" xr:uid="{00000000-0005-0000-0000-0000E1EE0000}"/>
    <cellStyle name="SAPLocked 2 4 2 11" xfId="7796" xr:uid="{00000000-0005-0000-0000-0000E2EE0000}"/>
    <cellStyle name="SAPLocked 2 4 2 11 2" xfId="61634" xr:uid="{00000000-0005-0000-0000-0000E3EE0000}"/>
    <cellStyle name="SAPLocked 2 4 2 12" xfId="7797" xr:uid="{00000000-0005-0000-0000-0000E4EE0000}"/>
    <cellStyle name="SAPLocked 2 4 2 2" xfId="7798" xr:uid="{00000000-0005-0000-0000-0000E5EE0000}"/>
    <cellStyle name="SAPLocked 2 4 2 2 2" xfId="61635" xr:uid="{00000000-0005-0000-0000-0000E6EE0000}"/>
    <cellStyle name="SAPLocked 2 4 2 3" xfId="7799" xr:uid="{00000000-0005-0000-0000-0000E7EE0000}"/>
    <cellStyle name="SAPLocked 2 4 2 3 2" xfId="61636" xr:uid="{00000000-0005-0000-0000-0000E8EE0000}"/>
    <cellStyle name="SAPLocked 2 4 2 4" xfId="7800" xr:uid="{00000000-0005-0000-0000-0000E9EE0000}"/>
    <cellStyle name="SAPLocked 2 4 2 4 2" xfId="61637" xr:uid="{00000000-0005-0000-0000-0000EAEE0000}"/>
    <cellStyle name="SAPLocked 2 4 2 5" xfId="7801" xr:uid="{00000000-0005-0000-0000-0000EBEE0000}"/>
    <cellStyle name="SAPLocked 2 4 2 5 2" xfId="61638" xr:uid="{00000000-0005-0000-0000-0000ECEE0000}"/>
    <cellStyle name="SAPLocked 2 4 2 6" xfId="7802" xr:uid="{00000000-0005-0000-0000-0000EDEE0000}"/>
    <cellStyle name="SAPLocked 2 4 2 6 2" xfId="61639" xr:uid="{00000000-0005-0000-0000-0000EEEE0000}"/>
    <cellStyle name="SAPLocked 2 4 2 7" xfId="7803" xr:uid="{00000000-0005-0000-0000-0000EFEE0000}"/>
    <cellStyle name="SAPLocked 2 4 2 7 2" xfId="61640" xr:uid="{00000000-0005-0000-0000-0000F0EE0000}"/>
    <cellStyle name="SAPLocked 2 4 2 8" xfId="7804" xr:uid="{00000000-0005-0000-0000-0000F1EE0000}"/>
    <cellStyle name="SAPLocked 2 4 2 8 2" xfId="61641" xr:uid="{00000000-0005-0000-0000-0000F2EE0000}"/>
    <cellStyle name="SAPLocked 2 4 2 9" xfId="7805" xr:uid="{00000000-0005-0000-0000-0000F3EE0000}"/>
    <cellStyle name="SAPLocked 2 4 2 9 2" xfId="61642" xr:uid="{00000000-0005-0000-0000-0000F4EE0000}"/>
    <cellStyle name="SAPLocked 2 4 3" xfId="7806" xr:uid="{00000000-0005-0000-0000-0000F5EE0000}"/>
    <cellStyle name="SAPLocked 2 4 3 2" xfId="61643" xr:uid="{00000000-0005-0000-0000-0000F6EE0000}"/>
    <cellStyle name="SAPLocked 2 4 4" xfId="7807" xr:uid="{00000000-0005-0000-0000-0000F7EE0000}"/>
    <cellStyle name="SAPLocked 2 4 4 2" xfId="61644" xr:uid="{00000000-0005-0000-0000-0000F8EE0000}"/>
    <cellStyle name="SAPLocked 2 4 5" xfId="7808" xr:uid="{00000000-0005-0000-0000-0000F9EE0000}"/>
    <cellStyle name="SAPLocked 2 4 5 2" xfId="61645" xr:uid="{00000000-0005-0000-0000-0000FAEE0000}"/>
    <cellStyle name="SAPLocked 2 4 6" xfId="7809" xr:uid="{00000000-0005-0000-0000-0000FBEE0000}"/>
    <cellStyle name="SAPLocked 2 4 6 2" xfId="61646" xr:uid="{00000000-0005-0000-0000-0000FCEE0000}"/>
    <cellStyle name="SAPLocked 2 4 7" xfId="7810" xr:uid="{00000000-0005-0000-0000-0000FDEE0000}"/>
    <cellStyle name="SAPLocked 2 4 7 2" xfId="61647" xr:uid="{00000000-0005-0000-0000-0000FEEE0000}"/>
    <cellStyle name="SAPLocked 2 4 8" xfId="7811" xr:uid="{00000000-0005-0000-0000-0000FFEE0000}"/>
    <cellStyle name="SAPLocked 2 4 8 2" xfId="61648" xr:uid="{00000000-0005-0000-0000-000000EF0000}"/>
    <cellStyle name="SAPLocked 2 4 9" xfId="7812" xr:uid="{00000000-0005-0000-0000-000001EF0000}"/>
    <cellStyle name="SAPLocked 2 4 9 2" xfId="61649" xr:uid="{00000000-0005-0000-0000-000002EF0000}"/>
    <cellStyle name="SAPLocked 2 5" xfId="7813" xr:uid="{00000000-0005-0000-0000-000003EF0000}"/>
    <cellStyle name="SAPLocked 2 5 10" xfId="7814" xr:uid="{00000000-0005-0000-0000-000004EF0000}"/>
    <cellStyle name="SAPLocked 2 5 10 2" xfId="61650" xr:uid="{00000000-0005-0000-0000-000005EF0000}"/>
    <cellStyle name="SAPLocked 2 5 11" xfId="7815" xr:uid="{00000000-0005-0000-0000-000006EF0000}"/>
    <cellStyle name="SAPLocked 2 5 11 2" xfId="61651" xr:uid="{00000000-0005-0000-0000-000007EF0000}"/>
    <cellStyle name="SAPLocked 2 5 12" xfId="7816" xr:uid="{00000000-0005-0000-0000-000008EF0000}"/>
    <cellStyle name="SAPLocked 2 5 12 2" xfId="61652" xr:uid="{00000000-0005-0000-0000-000009EF0000}"/>
    <cellStyle name="SAPLocked 2 5 13" xfId="7817" xr:uid="{00000000-0005-0000-0000-00000AEF0000}"/>
    <cellStyle name="SAPLocked 2 5 2" xfId="7818" xr:uid="{00000000-0005-0000-0000-00000BEF0000}"/>
    <cellStyle name="SAPLocked 2 5 2 10" xfId="7819" xr:uid="{00000000-0005-0000-0000-00000CEF0000}"/>
    <cellStyle name="SAPLocked 2 5 2 10 2" xfId="61653" xr:uid="{00000000-0005-0000-0000-00000DEF0000}"/>
    <cellStyle name="SAPLocked 2 5 2 11" xfId="7820" xr:uid="{00000000-0005-0000-0000-00000EEF0000}"/>
    <cellStyle name="SAPLocked 2 5 2 11 2" xfId="61654" xr:uid="{00000000-0005-0000-0000-00000FEF0000}"/>
    <cellStyle name="SAPLocked 2 5 2 12" xfId="7821" xr:uid="{00000000-0005-0000-0000-000010EF0000}"/>
    <cellStyle name="SAPLocked 2 5 2 2" xfId="7822" xr:uid="{00000000-0005-0000-0000-000011EF0000}"/>
    <cellStyle name="SAPLocked 2 5 2 2 2" xfId="61655" xr:uid="{00000000-0005-0000-0000-000012EF0000}"/>
    <cellStyle name="SAPLocked 2 5 2 3" xfId="7823" xr:uid="{00000000-0005-0000-0000-000013EF0000}"/>
    <cellStyle name="SAPLocked 2 5 2 3 2" xfId="61656" xr:uid="{00000000-0005-0000-0000-000014EF0000}"/>
    <cellStyle name="SAPLocked 2 5 2 4" xfId="7824" xr:uid="{00000000-0005-0000-0000-000015EF0000}"/>
    <cellStyle name="SAPLocked 2 5 2 4 2" xfId="61657" xr:uid="{00000000-0005-0000-0000-000016EF0000}"/>
    <cellStyle name="SAPLocked 2 5 2 5" xfId="7825" xr:uid="{00000000-0005-0000-0000-000017EF0000}"/>
    <cellStyle name="SAPLocked 2 5 2 5 2" xfId="61658" xr:uid="{00000000-0005-0000-0000-000018EF0000}"/>
    <cellStyle name="SAPLocked 2 5 2 6" xfId="7826" xr:uid="{00000000-0005-0000-0000-000019EF0000}"/>
    <cellStyle name="SAPLocked 2 5 2 6 2" xfId="61659" xr:uid="{00000000-0005-0000-0000-00001AEF0000}"/>
    <cellStyle name="SAPLocked 2 5 2 7" xfId="7827" xr:uid="{00000000-0005-0000-0000-00001BEF0000}"/>
    <cellStyle name="SAPLocked 2 5 2 7 2" xfId="61660" xr:uid="{00000000-0005-0000-0000-00001CEF0000}"/>
    <cellStyle name="SAPLocked 2 5 2 8" xfId="7828" xr:uid="{00000000-0005-0000-0000-00001DEF0000}"/>
    <cellStyle name="SAPLocked 2 5 2 8 2" xfId="61661" xr:uid="{00000000-0005-0000-0000-00001EEF0000}"/>
    <cellStyle name="SAPLocked 2 5 2 9" xfId="7829" xr:uid="{00000000-0005-0000-0000-00001FEF0000}"/>
    <cellStyle name="SAPLocked 2 5 2 9 2" xfId="61662" xr:uid="{00000000-0005-0000-0000-000020EF0000}"/>
    <cellStyle name="SAPLocked 2 5 3" xfId="7830" xr:uid="{00000000-0005-0000-0000-000021EF0000}"/>
    <cellStyle name="SAPLocked 2 5 3 2" xfId="61663" xr:uid="{00000000-0005-0000-0000-000022EF0000}"/>
    <cellStyle name="SAPLocked 2 5 4" xfId="7831" xr:uid="{00000000-0005-0000-0000-000023EF0000}"/>
    <cellStyle name="SAPLocked 2 5 4 2" xfId="61664" xr:uid="{00000000-0005-0000-0000-000024EF0000}"/>
    <cellStyle name="SAPLocked 2 5 5" xfId="7832" xr:uid="{00000000-0005-0000-0000-000025EF0000}"/>
    <cellStyle name="SAPLocked 2 5 5 2" xfId="61665" xr:uid="{00000000-0005-0000-0000-000026EF0000}"/>
    <cellStyle name="SAPLocked 2 5 6" xfId="7833" xr:uid="{00000000-0005-0000-0000-000027EF0000}"/>
    <cellStyle name="SAPLocked 2 5 6 2" xfId="61666" xr:uid="{00000000-0005-0000-0000-000028EF0000}"/>
    <cellStyle name="SAPLocked 2 5 7" xfId="7834" xr:uid="{00000000-0005-0000-0000-000029EF0000}"/>
    <cellStyle name="SAPLocked 2 5 7 2" xfId="61667" xr:uid="{00000000-0005-0000-0000-00002AEF0000}"/>
    <cellStyle name="SAPLocked 2 5 8" xfId="7835" xr:uid="{00000000-0005-0000-0000-00002BEF0000}"/>
    <cellStyle name="SAPLocked 2 5 8 2" xfId="61668" xr:uid="{00000000-0005-0000-0000-00002CEF0000}"/>
    <cellStyle name="SAPLocked 2 5 9" xfId="7836" xr:uid="{00000000-0005-0000-0000-00002DEF0000}"/>
    <cellStyle name="SAPLocked 2 5 9 2" xfId="61669" xr:uid="{00000000-0005-0000-0000-00002EEF0000}"/>
    <cellStyle name="SAPLocked 2 6" xfId="7837" xr:uid="{00000000-0005-0000-0000-00002FEF0000}"/>
    <cellStyle name="SAPLocked 2 6 10" xfId="7838" xr:uid="{00000000-0005-0000-0000-000030EF0000}"/>
    <cellStyle name="SAPLocked 2 6 10 2" xfId="61670" xr:uid="{00000000-0005-0000-0000-000031EF0000}"/>
    <cellStyle name="SAPLocked 2 6 11" xfId="7839" xr:uid="{00000000-0005-0000-0000-000032EF0000}"/>
    <cellStyle name="SAPLocked 2 6 11 2" xfId="61671" xr:uid="{00000000-0005-0000-0000-000033EF0000}"/>
    <cellStyle name="SAPLocked 2 6 12" xfId="7840" xr:uid="{00000000-0005-0000-0000-000034EF0000}"/>
    <cellStyle name="SAPLocked 2 6 12 2" xfId="61672" xr:uid="{00000000-0005-0000-0000-000035EF0000}"/>
    <cellStyle name="SAPLocked 2 6 13" xfId="7841" xr:uid="{00000000-0005-0000-0000-000036EF0000}"/>
    <cellStyle name="SAPLocked 2 6 2" xfId="7842" xr:uid="{00000000-0005-0000-0000-000037EF0000}"/>
    <cellStyle name="SAPLocked 2 6 2 10" xfId="7843" xr:uid="{00000000-0005-0000-0000-000038EF0000}"/>
    <cellStyle name="SAPLocked 2 6 2 10 2" xfId="61673" xr:uid="{00000000-0005-0000-0000-000039EF0000}"/>
    <cellStyle name="SAPLocked 2 6 2 11" xfId="7844" xr:uid="{00000000-0005-0000-0000-00003AEF0000}"/>
    <cellStyle name="SAPLocked 2 6 2 11 2" xfId="61674" xr:uid="{00000000-0005-0000-0000-00003BEF0000}"/>
    <cellStyle name="SAPLocked 2 6 2 12" xfId="7845" xr:uid="{00000000-0005-0000-0000-00003CEF0000}"/>
    <cellStyle name="SAPLocked 2 6 2 2" xfId="7846" xr:uid="{00000000-0005-0000-0000-00003DEF0000}"/>
    <cellStyle name="SAPLocked 2 6 2 2 2" xfId="61675" xr:uid="{00000000-0005-0000-0000-00003EEF0000}"/>
    <cellStyle name="SAPLocked 2 6 2 3" xfId="7847" xr:uid="{00000000-0005-0000-0000-00003FEF0000}"/>
    <cellStyle name="SAPLocked 2 6 2 3 2" xfId="61676" xr:uid="{00000000-0005-0000-0000-000040EF0000}"/>
    <cellStyle name="SAPLocked 2 6 2 4" xfId="7848" xr:uid="{00000000-0005-0000-0000-000041EF0000}"/>
    <cellStyle name="SAPLocked 2 6 2 4 2" xfId="61677" xr:uid="{00000000-0005-0000-0000-000042EF0000}"/>
    <cellStyle name="SAPLocked 2 6 2 5" xfId="7849" xr:uid="{00000000-0005-0000-0000-000043EF0000}"/>
    <cellStyle name="SAPLocked 2 6 2 5 2" xfId="61678" xr:uid="{00000000-0005-0000-0000-000044EF0000}"/>
    <cellStyle name="SAPLocked 2 6 2 6" xfId="7850" xr:uid="{00000000-0005-0000-0000-000045EF0000}"/>
    <cellStyle name="SAPLocked 2 6 2 6 2" xfId="61679" xr:uid="{00000000-0005-0000-0000-000046EF0000}"/>
    <cellStyle name="SAPLocked 2 6 2 7" xfId="7851" xr:uid="{00000000-0005-0000-0000-000047EF0000}"/>
    <cellStyle name="SAPLocked 2 6 2 7 2" xfId="61680" xr:uid="{00000000-0005-0000-0000-000048EF0000}"/>
    <cellStyle name="SAPLocked 2 6 2 8" xfId="7852" xr:uid="{00000000-0005-0000-0000-000049EF0000}"/>
    <cellStyle name="SAPLocked 2 6 2 8 2" xfId="61681" xr:uid="{00000000-0005-0000-0000-00004AEF0000}"/>
    <cellStyle name="SAPLocked 2 6 2 9" xfId="7853" xr:uid="{00000000-0005-0000-0000-00004BEF0000}"/>
    <cellStyle name="SAPLocked 2 6 2 9 2" xfId="61682" xr:uid="{00000000-0005-0000-0000-00004CEF0000}"/>
    <cellStyle name="SAPLocked 2 6 3" xfId="7854" xr:uid="{00000000-0005-0000-0000-00004DEF0000}"/>
    <cellStyle name="SAPLocked 2 6 3 2" xfId="61683" xr:uid="{00000000-0005-0000-0000-00004EEF0000}"/>
    <cellStyle name="SAPLocked 2 6 4" xfId="7855" xr:uid="{00000000-0005-0000-0000-00004FEF0000}"/>
    <cellStyle name="SAPLocked 2 6 4 2" xfId="61684" xr:uid="{00000000-0005-0000-0000-000050EF0000}"/>
    <cellStyle name="SAPLocked 2 6 5" xfId="7856" xr:uid="{00000000-0005-0000-0000-000051EF0000}"/>
    <cellStyle name="SAPLocked 2 6 5 2" xfId="61685" xr:uid="{00000000-0005-0000-0000-000052EF0000}"/>
    <cellStyle name="SAPLocked 2 6 6" xfId="7857" xr:uid="{00000000-0005-0000-0000-000053EF0000}"/>
    <cellStyle name="SAPLocked 2 6 6 2" xfId="61686" xr:uid="{00000000-0005-0000-0000-000054EF0000}"/>
    <cellStyle name="SAPLocked 2 6 7" xfId="7858" xr:uid="{00000000-0005-0000-0000-000055EF0000}"/>
    <cellStyle name="SAPLocked 2 6 7 2" xfId="61687" xr:uid="{00000000-0005-0000-0000-000056EF0000}"/>
    <cellStyle name="SAPLocked 2 6 8" xfId="7859" xr:uid="{00000000-0005-0000-0000-000057EF0000}"/>
    <cellStyle name="SAPLocked 2 6 8 2" xfId="61688" xr:uid="{00000000-0005-0000-0000-000058EF0000}"/>
    <cellStyle name="SAPLocked 2 6 9" xfId="7860" xr:uid="{00000000-0005-0000-0000-000059EF0000}"/>
    <cellStyle name="SAPLocked 2 6 9 2" xfId="61689" xr:uid="{00000000-0005-0000-0000-00005AEF0000}"/>
    <cellStyle name="SAPLocked 2 7" xfId="7861" xr:uid="{00000000-0005-0000-0000-00005BEF0000}"/>
    <cellStyle name="SAPLocked 2 7 10" xfId="7862" xr:uid="{00000000-0005-0000-0000-00005CEF0000}"/>
    <cellStyle name="SAPLocked 2 7 10 2" xfId="61690" xr:uid="{00000000-0005-0000-0000-00005DEF0000}"/>
    <cellStyle name="SAPLocked 2 7 11" xfId="7863" xr:uid="{00000000-0005-0000-0000-00005EEF0000}"/>
    <cellStyle name="SAPLocked 2 7 11 2" xfId="61691" xr:uid="{00000000-0005-0000-0000-00005FEF0000}"/>
    <cellStyle name="SAPLocked 2 7 12" xfId="7864" xr:uid="{00000000-0005-0000-0000-000060EF0000}"/>
    <cellStyle name="SAPLocked 2 7 12 2" xfId="61692" xr:uid="{00000000-0005-0000-0000-000061EF0000}"/>
    <cellStyle name="SAPLocked 2 7 13" xfId="7865" xr:uid="{00000000-0005-0000-0000-000062EF0000}"/>
    <cellStyle name="SAPLocked 2 7 2" xfId="7866" xr:uid="{00000000-0005-0000-0000-000063EF0000}"/>
    <cellStyle name="SAPLocked 2 7 2 10" xfId="7867" xr:uid="{00000000-0005-0000-0000-000064EF0000}"/>
    <cellStyle name="SAPLocked 2 7 2 10 2" xfId="61693" xr:uid="{00000000-0005-0000-0000-000065EF0000}"/>
    <cellStyle name="SAPLocked 2 7 2 11" xfId="7868" xr:uid="{00000000-0005-0000-0000-000066EF0000}"/>
    <cellStyle name="SAPLocked 2 7 2 11 2" xfId="61694" xr:uid="{00000000-0005-0000-0000-000067EF0000}"/>
    <cellStyle name="SAPLocked 2 7 2 12" xfId="7869" xr:uid="{00000000-0005-0000-0000-000068EF0000}"/>
    <cellStyle name="SAPLocked 2 7 2 2" xfId="7870" xr:uid="{00000000-0005-0000-0000-000069EF0000}"/>
    <cellStyle name="SAPLocked 2 7 2 2 2" xfId="61695" xr:uid="{00000000-0005-0000-0000-00006AEF0000}"/>
    <cellStyle name="SAPLocked 2 7 2 3" xfId="7871" xr:uid="{00000000-0005-0000-0000-00006BEF0000}"/>
    <cellStyle name="SAPLocked 2 7 2 3 2" xfId="61696" xr:uid="{00000000-0005-0000-0000-00006CEF0000}"/>
    <cellStyle name="SAPLocked 2 7 2 4" xfId="7872" xr:uid="{00000000-0005-0000-0000-00006DEF0000}"/>
    <cellStyle name="SAPLocked 2 7 2 4 2" xfId="61697" xr:uid="{00000000-0005-0000-0000-00006EEF0000}"/>
    <cellStyle name="SAPLocked 2 7 2 5" xfId="7873" xr:uid="{00000000-0005-0000-0000-00006FEF0000}"/>
    <cellStyle name="SAPLocked 2 7 2 5 2" xfId="61698" xr:uid="{00000000-0005-0000-0000-000070EF0000}"/>
    <cellStyle name="SAPLocked 2 7 2 6" xfId="7874" xr:uid="{00000000-0005-0000-0000-000071EF0000}"/>
    <cellStyle name="SAPLocked 2 7 2 6 2" xfId="61699" xr:uid="{00000000-0005-0000-0000-000072EF0000}"/>
    <cellStyle name="SAPLocked 2 7 2 7" xfId="7875" xr:uid="{00000000-0005-0000-0000-000073EF0000}"/>
    <cellStyle name="SAPLocked 2 7 2 7 2" xfId="61700" xr:uid="{00000000-0005-0000-0000-000074EF0000}"/>
    <cellStyle name="SAPLocked 2 7 2 8" xfId="7876" xr:uid="{00000000-0005-0000-0000-000075EF0000}"/>
    <cellStyle name="SAPLocked 2 7 2 8 2" xfId="61701" xr:uid="{00000000-0005-0000-0000-000076EF0000}"/>
    <cellStyle name="SAPLocked 2 7 2 9" xfId="7877" xr:uid="{00000000-0005-0000-0000-000077EF0000}"/>
    <cellStyle name="SAPLocked 2 7 2 9 2" xfId="61702" xr:uid="{00000000-0005-0000-0000-000078EF0000}"/>
    <cellStyle name="SAPLocked 2 7 3" xfId="7878" xr:uid="{00000000-0005-0000-0000-000079EF0000}"/>
    <cellStyle name="SAPLocked 2 7 3 2" xfId="61703" xr:uid="{00000000-0005-0000-0000-00007AEF0000}"/>
    <cellStyle name="SAPLocked 2 7 4" xfId="7879" xr:uid="{00000000-0005-0000-0000-00007BEF0000}"/>
    <cellStyle name="SAPLocked 2 7 4 2" xfId="61704" xr:uid="{00000000-0005-0000-0000-00007CEF0000}"/>
    <cellStyle name="SAPLocked 2 7 5" xfId="7880" xr:uid="{00000000-0005-0000-0000-00007DEF0000}"/>
    <cellStyle name="SAPLocked 2 7 5 2" xfId="61705" xr:uid="{00000000-0005-0000-0000-00007EEF0000}"/>
    <cellStyle name="SAPLocked 2 7 6" xfId="7881" xr:uid="{00000000-0005-0000-0000-00007FEF0000}"/>
    <cellStyle name="SAPLocked 2 7 6 2" xfId="61706" xr:uid="{00000000-0005-0000-0000-000080EF0000}"/>
    <cellStyle name="SAPLocked 2 7 7" xfId="7882" xr:uid="{00000000-0005-0000-0000-000081EF0000}"/>
    <cellStyle name="SAPLocked 2 7 7 2" xfId="61707" xr:uid="{00000000-0005-0000-0000-000082EF0000}"/>
    <cellStyle name="SAPLocked 2 7 8" xfId="7883" xr:uid="{00000000-0005-0000-0000-000083EF0000}"/>
    <cellStyle name="SAPLocked 2 7 8 2" xfId="61708" xr:uid="{00000000-0005-0000-0000-000084EF0000}"/>
    <cellStyle name="SAPLocked 2 7 9" xfId="7884" xr:uid="{00000000-0005-0000-0000-000085EF0000}"/>
    <cellStyle name="SAPLocked 2 7 9 2" xfId="61709" xr:uid="{00000000-0005-0000-0000-000086EF0000}"/>
    <cellStyle name="SAPLocked 2 8" xfId="7885" xr:uid="{00000000-0005-0000-0000-000087EF0000}"/>
    <cellStyle name="SAPLocked 2 8 10" xfId="7886" xr:uid="{00000000-0005-0000-0000-000088EF0000}"/>
    <cellStyle name="SAPLocked 2 8 10 2" xfId="61710" xr:uid="{00000000-0005-0000-0000-000089EF0000}"/>
    <cellStyle name="SAPLocked 2 8 11" xfId="7887" xr:uid="{00000000-0005-0000-0000-00008AEF0000}"/>
    <cellStyle name="SAPLocked 2 8 11 2" xfId="61711" xr:uid="{00000000-0005-0000-0000-00008BEF0000}"/>
    <cellStyle name="SAPLocked 2 8 12" xfId="7888" xr:uid="{00000000-0005-0000-0000-00008CEF0000}"/>
    <cellStyle name="SAPLocked 2 8 12 2" xfId="61712" xr:uid="{00000000-0005-0000-0000-00008DEF0000}"/>
    <cellStyle name="SAPLocked 2 8 13" xfId="7889" xr:uid="{00000000-0005-0000-0000-00008EEF0000}"/>
    <cellStyle name="SAPLocked 2 8 2" xfId="7890" xr:uid="{00000000-0005-0000-0000-00008FEF0000}"/>
    <cellStyle name="SAPLocked 2 8 2 10" xfId="7891" xr:uid="{00000000-0005-0000-0000-000090EF0000}"/>
    <cellStyle name="SAPLocked 2 8 2 10 2" xfId="61713" xr:uid="{00000000-0005-0000-0000-000091EF0000}"/>
    <cellStyle name="SAPLocked 2 8 2 11" xfId="7892" xr:uid="{00000000-0005-0000-0000-000092EF0000}"/>
    <cellStyle name="SAPLocked 2 8 2 11 2" xfId="61714" xr:uid="{00000000-0005-0000-0000-000093EF0000}"/>
    <cellStyle name="SAPLocked 2 8 2 12" xfId="7893" xr:uid="{00000000-0005-0000-0000-000094EF0000}"/>
    <cellStyle name="SAPLocked 2 8 2 2" xfId="7894" xr:uid="{00000000-0005-0000-0000-000095EF0000}"/>
    <cellStyle name="SAPLocked 2 8 2 2 2" xfId="61715" xr:uid="{00000000-0005-0000-0000-000096EF0000}"/>
    <cellStyle name="SAPLocked 2 8 2 3" xfId="7895" xr:uid="{00000000-0005-0000-0000-000097EF0000}"/>
    <cellStyle name="SAPLocked 2 8 2 3 2" xfId="61716" xr:uid="{00000000-0005-0000-0000-000098EF0000}"/>
    <cellStyle name="SAPLocked 2 8 2 4" xfId="7896" xr:uid="{00000000-0005-0000-0000-000099EF0000}"/>
    <cellStyle name="SAPLocked 2 8 2 4 2" xfId="61717" xr:uid="{00000000-0005-0000-0000-00009AEF0000}"/>
    <cellStyle name="SAPLocked 2 8 2 5" xfId="7897" xr:uid="{00000000-0005-0000-0000-00009BEF0000}"/>
    <cellStyle name="SAPLocked 2 8 2 5 2" xfId="61718" xr:uid="{00000000-0005-0000-0000-00009CEF0000}"/>
    <cellStyle name="SAPLocked 2 8 2 6" xfId="7898" xr:uid="{00000000-0005-0000-0000-00009DEF0000}"/>
    <cellStyle name="SAPLocked 2 8 2 6 2" xfId="61719" xr:uid="{00000000-0005-0000-0000-00009EEF0000}"/>
    <cellStyle name="SAPLocked 2 8 2 7" xfId="7899" xr:uid="{00000000-0005-0000-0000-00009FEF0000}"/>
    <cellStyle name="SAPLocked 2 8 2 7 2" xfId="61720" xr:uid="{00000000-0005-0000-0000-0000A0EF0000}"/>
    <cellStyle name="SAPLocked 2 8 2 8" xfId="7900" xr:uid="{00000000-0005-0000-0000-0000A1EF0000}"/>
    <cellStyle name="SAPLocked 2 8 2 8 2" xfId="61721" xr:uid="{00000000-0005-0000-0000-0000A2EF0000}"/>
    <cellStyle name="SAPLocked 2 8 2 9" xfId="7901" xr:uid="{00000000-0005-0000-0000-0000A3EF0000}"/>
    <cellStyle name="SAPLocked 2 8 2 9 2" xfId="61722" xr:uid="{00000000-0005-0000-0000-0000A4EF0000}"/>
    <cellStyle name="SAPLocked 2 8 3" xfId="7902" xr:uid="{00000000-0005-0000-0000-0000A5EF0000}"/>
    <cellStyle name="SAPLocked 2 8 3 2" xfId="61723" xr:uid="{00000000-0005-0000-0000-0000A6EF0000}"/>
    <cellStyle name="SAPLocked 2 8 4" xfId="7903" xr:uid="{00000000-0005-0000-0000-0000A7EF0000}"/>
    <cellStyle name="SAPLocked 2 8 4 2" xfId="61724" xr:uid="{00000000-0005-0000-0000-0000A8EF0000}"/>
    <cellStyle name="SAPLocked 2 8 5" xfId="7904" xr:uid="{00000000-0005-0000-0000-0000A9EF0000}"/>
    <cellStyle name="SAPLocked 2 8 5 2" xfId="61725" xr:uid="{00000000-0005-0000-0000-0000AAEF0000}"/>
    <cellStyle name="SAPLocked 2 8 6" xfId="7905" xr:uid="{00000000-0005-0000-0000-0000ABEF0000}"/>
    <cellStyle name="SAPLocked 2 8 6 2" xfId="61726" xr:uid="{00000000-0005-0000-0000-0000ACEF0000}"/>
    <cellStyle name="SAPLocked 2 8 7" xfId="7906" xr:uid="{00000000-0005-0000-0000-0000ADEF0000}"/>
    <cellStyle name="SAPLocked 2 8 7 2" xfId="61727" xr:uid="{00000000-0005-0000-0000-0000AEEF0000}"/>
    <cellStyle name="SAPLocked 2 8 8" xfId="7907" xr:uid="{00000000-0005-0000-0000-0000AFEF0000}"/>
    <cellStyle name="SAPLocked 2 8 8 2" xfId="61728" xr:uid="{00000000-0005-0000-0000-0000B0EF0000}"/>
    <cellStyle name="SAPLocked 2 8 9" xfId="7908" xr:uid="{00000000-0005-0000-0000-0000B1EF0000}"/>
    <cellStyle name="SAPLocked 2 8 9 2" xfId="61729" xr:uid="{00000000-0005-0000-0000-0000B2EF0000}"/>
    <cellStyle name="SAPLocked 2 9" xfId="7909" xr:uid="{00000000-0005-0000-0000-0000B3EF0000}"/>
    <cellStyle name="SAPLocked 2 9 10" xfId="7910" xr:uid="{00000000-0005-0000-0000-0000B4EF0000}"/>
    <cellStyle name="SAPLocked 2 9 10 2" xfId="61730" xr:uid="{00000000-0005-0000-0000-0000B5EF0000}"/>
    <cellStyle name="SAPLocked 2 9 11" xfId="7911" xr:uid="{00000000-0005-0000-0000-0000B6EF0000}"/>
    <cellStyle name="SAPLocked 2 9 11 2" xfId="61731" xr:uid="{00000000-0005-0000-0000-0000B7EF0000}"/>
    <cellStyle name="SAPLocked 2 9 12" xfId="7912" xr:uid="{00000000-0005-0000-0000-0000B8EF0000}"/>
    <cellStyle name="SAPLocked 2 9 12 2" xfId="61732" xr:uid="{00000000-0005-0000-0000-0000B9EF0000}"/>
    <cellStyle name="SAPLocked 2 9 13" xfId="7913" xr:uid="{00000000-0005-0000-0000-0000BAEF0000}"/>
    <cellStyle name="SAPLocked 2 9 2" xfId="7914" xr:uid="{00000000-0005-0000-0000-0000BBEF0000}"/>
    <cellStyle name="SAPLocked 2 9 2 10" xfId="7915" xr:uid="{00000000-0005-0000-0000-0000BCEF0000}"/>
    <cellStyle name="SAPLocked 2 9 2 10 2" xfId="61733" xr:uid="{00000000-0005-0000-0000-0000BDEF0000}"/>
    <cellStyle name="SAPLocked 2 9 2 11" xfId="7916" xr:uid="{00000000-0005-0000-0000-0000BEEF0000}"/>
    <cellStyle name="SAPLocked 2 9 2 11 2" xfId="61734" xr:uid="{00000000-0005-0000-0000-0000BFEF0000}"/>
    <cellStyle name="SAPLocked 2 9 2 12" xfId="7917" xr:uid="{00000000-0005-0000-0000-0000C0EF0000}"/>
    <cellStyle name="SAPLocked 2 9 2 2" xfId="7918" xr:uid="{00000000-0005-0000-0000-0000C1EF0000}"/>
    <cellStyle name="SAPLocked 2 9 2 2 2" xfId="61735" xr:uid="{00000000-0005-0000-0000-0000C2EF0000}"/>
    <cellStyle name="SAPLocked 2 9 2 3" xfId="7919" xr:uid="{00000000-0005-0000-0000-0000C3EF0000}"/>
    <cellStyle name="SAPLocked 2 9 2 3 2" xfId="61736" xr:uid="{00000000-0005-0000-0000-0000C4EF0000}"/>
    <cellStyle name="SAPLocked 2 9 2 4" xfId="7920" xr:uid="{00000000-0005-0000-0000-0000C5EF0000}"/>
    <cellStyle name="SAPLocked 2 9 2 4 2" xfId="61737" xr:uid="{00000000-0005-0000-0000-0000C6EF0000}"/>
    <cellStyle name="SAPLocked 2 9 2 5" xfId="7921" xr:uid="{00000000-0005-0000-0000-0000C7EF0000}"/>
    <cellStyle name="SAPLocked 2 9 2 5 2" xfId="61738" xr:uid="{00000000-0005-0000-0000-0000C8EF0000}"/>
    <cellStyle name="SAPLocked 2 9 2 6" xfId="7922" xr:uid="{00000000-0005-0000-0000-0000C9EF0000}"/>
    <cellStyle name="SAPLocked 2 9 2 6 2" xfId="61739" xr:uid="{00000000-0005-0000-0000-0000CAEF0000}"/>
    <cellStyle name="SAPLocked 2 9 2 7" xfId="7923" xr:uid="{00000000-0005-0000-0000-0000CBEF0000}"/>
    <cellStyle name="SAPLocked 2 9 2 7 2" xfId="61740" xr:uid="{00000000-0005-0000-0000-0000CCEF0000}"/>
    <cellStyle name="SAPLocked 2 9 2 8" xfId="7924" xr:uid="{00000000-0005-0000-0000-0000CDEF0000}"/>
    <cellStyle name="SAPLocked 2 9 2 8 2" xfId="61741" xr:uid="{00000000-0005-0000-0000-0000CEEF0000}"/>
    <cellStyle name="SAPLocked 2 9 2 9" xfId="7925" xr:uid="{00000000-0005-0000-0000-0000CFEF0000}"/>
    <cellStyle name="SAPLocked 2 9 2 9 2" xfId="61742" xr:uid="{00000000-0005-0000-0000-0000D0EF0000}"/>
    <cellStyle name="SAPLocked 2 9 3" xfId="7926" xr:uid="{00000000-0005-0000-0000-0000D1EF0000}"/>
    <cellStyle name="SAPLocked 2 9 3 2" xfId="61743" xr:uid="{00000000-0005-0000-0000-0000D2EF0000}"/>
    <cellStyle name="SAPLocked 2 9 4" xfId="7927" xr:uid="{00000000-0005-0000-0000-0000D3EF0000}"/>
    <cellStyle name="SAPLocked 2 9 4 2" xfId="61744" xr:uid="{00000000-0005-0000-0000-0000D4EF0000}"/>
    <cellStyle name="SAPLocked 2 9 5" xfId="7928" xr:uid="{00000000-0005-0000-0000-0000D5EF0000}"/>
    <cellStyle name="SAPLocked 2 9 5 2" xfId="61745" xr:uid="{00000000-0005-0000-0000-0000D6EF0000}"/>
    <cellStyle name="SAPLocked 2 9 6" xfId="7929" xr:uid="{00000000-0005-0000-0000-0000D7EF0000}"/>
    <cellStyle name="SAPLocked 2 9 6 2" xfId="61746" xr:uid="{00000000-0005-0000-0000-0000D8EF0000}"/>
    <cellStyle name="SAPLocked 2 9 7" xfId="7930" xr:uid="{00000000-0005-0000-0000-0000D9EF0000}"/>
    <cellStyle name="SAPLocked 2 9 7 2" xfId="61747" xr:uid="{00000000-0005-0000-0000-0000DAEF0000}"/>
    <cellStyle name="SAPLocked 2 9 8" xfId="7931" xr:uid="{00000000-0005-0000-0000-0000DBEF0000}"/>
    <cellStyle name="SAPLocked 2 9 8 2" xfId="61748" xr:uid="{00000000-0005-0000-0000-0000DCEF0000}"/>
    <cellStyle name="SAPLocked 2 9 9" xfId="7932" xr:uid="{00000000-0005-0000-0000-0000DDEF0000}"/>
    <cellStyle name="SAPLocked 2 9 9 2" xfId="61749" xr:uid="{00000000-0005-0000-0000-0000DEEF0000}"/>
    <cellStyle name="SAPLocked 20" xfId="7933" xr:uid="{00000000-0005-0000-0000-0000DFEF0000}"/>
    <cellStyle name="SAPLocked 20 10" xfId="7934" xr:uid="{00000000-0005-0000-0000-0000E0EF0000}"/>
    <cellStyle name="SAPLocked 20 10 2" xfId="61750" xr:uid="{00000000-0005-0000-0000-0000E1EF0000}"/>
    <cellStyle name="SAPLocked 20 11" xfId="7935" xr:uid="{00000000-0005-0000-0000-0000E2EF0000}"/>
    <cellStyle name="SAPLocked 20 11 2" xfId="61751" xr:uid="{00000000-0005-0000-0000-0000E3EF0000}"/>
    <cellStyle name="SAPLocked 20 12" xfId="7936" xr:uid="{00000000-0005-0000-0000-0000E4EF0000}"/>
    <cellStyle name="SAPLocked 20 12 2" xfId="61752" xr:uid="{00000000-0005-0000-0000-0000E5EF0000}"/>
    <cellStyle name="SAPLocked 20 13" xfId="7937" xr:uid="{00000000-0005-0000-0000-0000E6EF0000}"/>
    <cellStyle name="SAPLocked 20 2" xfId="7938" xr:uid="{00000000-0005-0000-0000-0000E7EF0000}"/>
    <cellStyle name="SAPLocked 20 2 10" xfId="7939" xr:uid="{00000000-0005-0000-0000-0000E8EF0000}"/>
    <cellStyle name="SAPLocked 20 2 10 2" xfId="61753" xr:uid="{00000000-0005-0000-0000-0000E9EF0000}"/>
    <cellStyle name="SAPLocked 20 2 11" xfId="7940" xr:uid="{00000000-0005-0000-0000-0000EAEF0000}"/>
    <cellStyle name="SAPLocked 20 2 11 2" xfId="61754" xr:uid="{00000000-0005-0000-0000-0000EBEF0000}"/>
    <cellStyle name="SAPLocked 20 2 12" xfId="7941" xr:uid="{00000000-0005-0000-0000-0000ECEF0000}"/>
    <cellStyle name="SAPLocked 20 2 2" xfId="7942" xr:uid="{00000000-0005-0000-0000-0000EDEF0000}"/>
    <cellStyle name="SAPLocked 20 2 2 2" xfId="61755" xr:uid="{00000000-0005-0000-0000-0000EEEF0000}"/>
    <cellStyle name="SAPLocked 20 2 3" xfId="7943" xr:uid="{00000000-0005-0000-0000-0000EFEF0000}"/>
    <cellStyle name="SAPLocked 20 2 3 2" xfId="61756" xr:uid="{00000000-0005-0000-0000-0000F0EF0000}"/>
    <cellStyle name="SAPLocked 20 2 4" xfId="7944" xr:uid="{00000000-0005-0000-0000-0000F1EF0000}"/>
    <cellStyle name="SAPLocked 20 2 4 2" xfId="61757" xr:uid="{00000000-0005-0000-0000-0000F2EF0000}"/>
    <cellStyle name="SAPLocked 20 2 5" xfId="7945" xr:uid="{00000000-0005-0000-0000-0000F3EF0000}"/>
    <cellStyle name="SAPLocked 20 2 5 2" xfId="61758" xr:uid="{00000000-0005-0000-0000-0000F4EF0000}"/>
    <cellStyle name="SAPLocked 20 2 6" xfId="7946" xr:uid="{00000000-0005-0000-0000-0000F5EF0000}"/>
    <cellStyle name="SAPLocked 20 2 6 2" xfId="61759" xr:uid="{00000000-0005-0000-0000-0000F6EF0000}"/>
    <cellStyle name="SAPLocked 20 2 7" xfId="7947" xr:uid="{00000000-0005-0000-0000-0000F7EF0000}"/>
    <cellStyle name="SAPLocked 20 2 7 2" xfId="61760" xr:uid="{00000000-0005-0000-0000-0000F8EF0000}"/>
    <cellStyle name="SAPLocked 20 2 8" xfId="7948" xr:uid="{00000000-0005-0000-0000-0000F9EF0000}"/>
    <cellStyle name="SAPLocked 20 2 8 2" xfId="61761" xr:uid="{00000000-0005-0000-0000-0000FAEF0000}"/>
    <cellStyle name="SAPLocked 20 2 9" xfId="7949" xr:uid="{00000000-0005-0000-0000-0000FBEF0000}"/>
    <cellStyle name="SAPLocked 20 2 9 2" xfId="61762" xr:uid="{00000000-0005-0000-0000-0000FCEF0000}"/>
    <cellStyle name="SAPLocked 20 3" xfId="7950" xr:uid="{00000000-0005-0000-0000-0000FDEF0000}"/>
    <cellStyle name="SAPLocked 20 3 2" xfId="61763" xr:uid="{00000000-0005-0000-0000-0000FEEF0000}"/>
    <cellStyle name="SAPLocked 20 4" xfId="7951" xr:uid="{00000000-0005-0000-0000-0000FFEF0000}"/>
    <cellStyle name="SAPLocked 20 4 2" xfId="61764" xr:uid="{00000000-0005-0000-0000-000000F00000}"/>
    <cellStyle name="SAPLocked 20 5" xfId="7952" xr:uid="{00000000-0005-0000-0000-000001F00000}"/>
    <cellStyle name="SAPLocked 20 5 2" xfId="61765" xr:uid="{00000000-0005-0000-0000-000002F00000}"/>
    <cellStyle name="SAPLocked 20 6" xfId="7953" xr:uid="{00000000-0005-0000-0000-000003F00000}"/>
    <cellStyle name="SAPLocked 20 6 2" xfId="61766" xr:uid="{00000000-0005-0000-0000-000004F00000}"/>
    <cellStyle name="SAPLocked 20 7" xfId="7954" xr:uid="{00000000-0005-0000-0000-000005F00000}"/>
    <cellStyle name="SAPLocked 20 7 2" xfId="61767" xr:uid="{00000000-0005-0000-0000-000006F00000}"/>
    <cellStyle name="SAPLocked 20 8" xfId="7955" xr:uid="{00000000-0005-0000-0000-000007F00000}"/>
    <cellStyle name="SAPLocked 20 8 2" xfId="61768" xr:uid="{00000000-0005-0000-0000-000008F00000}"/>
    <cellStyle name="SAPLocked 20 9" xfId="7956" xr:uid="{00000000-0005-0000-0000-000009F00000}"/>
    <cellStyle name="SAPLocked 20 9 2" xfId="61769" xr:uid="{00000000-0005-0000-0000-00000AF00000}"/>
    <cellStyle name="SAPLocked 21" xfId="7957" xr:uid="{00000000-0005-0000-0000-00000BF00000}"/>
    <cellStyle name="SAPLocked 21 10" xfId="7958" xr:uid="{00000000-0005-0000-0000-00000CF00000}"/>
    <cellStyle name="SAPLocked 21 10 2" xfId="61770" xr:uid="{00000000-0005-0000-0000-00000DF00000}"/>
    <cellStyle name="SAPLocked 21 11" xfId="7959" xr:uid="{00000000-0005-0000-0000-00000EF00000}"/>
    <cellStyle name="SAPLocked 21 11 2" xfId="61771" xr:uid="{00000000-0005-0000-0000-00000FF00000}"/>
    <cellStyle name="SAPLocked 21 12" xfId="7960" xr:uid="{00000000-0005-0000-0000-000010F00000}"/>
    <cellStyle name="SAPLocked 21 12 2" xfId="61772" xr:uid="{00000000-0005-0000-0000-000011F00000}"/>
    <cellStyle name="SAPLocked 21 13" xfId="7961" xr:uid="{00000000-0005-0000-0000-000012F00000}"/>
    <cellStyle name="SAPLocked 21 2" xfId="7962" xr:uid="{00000000-0005-0000-0000-000013F00000}"/>
    <cellStyle name="SAPLocked 21 2 10" xfId="7963" xr:uid="{00000000-0005-0000-0000-000014F00000}"/>
    <cellStyle name="SAPLocked 21 2 10 2" xfId="61773" xr:uid="{00000000-0005-0000-0000-000015F00000}"/>
    <cellStyle name="SAPLocked 21 2 11" xfId="7964" xr:uid="{00000000-0005-0000-0000-000016F00000}"/>
    <cellStyle name="SAPLocked 21 2 11 2" xfId="61774" xr:uid="{00000000-0005-0000-0000-000017F00000}"/>
    <cellStyle name="SAPLocked 21 2 12" xfId="7965" xr:uid="{00000000-0005-0000-0000-000018F00000}"/>
    <cellStyle name="SAPLocked 21 2 2" xfId="7966" xr:uid="{00000000-0005-0000-0000-000019F00000}"/>
    <cellStyle name="SAPLocked 21 2 2 2" xfId="61775" xr:uid="{00000000-0005-0000-0000-00001AF00000}"/>
    <cellStyle name="SAPLocked 21 2 3" xfId="7967" xr:uid="{00000000-0005-0000-0000-00001BF00000}"/>
    <cellStyle name="SAPLocked 21 2 3 2" xfId="61776" xr:uid="{00000000-0005-0000-0000-00001CF00000}"/>
    <cellStyle name="SAPLocked 21 2 4" xfId="7968" xr:uid="{00000000-0005-0000-0000-00001DF00000}"/>
    <cellStyle name="SAPLocked 21 2 4 2" xfId="61777" xr:uid="{00000000-0005-0000-0000-00001EF00000}"/>
    <cellStyle name="SAPLocked 21 2 5" xfId="7969" xr:uid="{00000000-0005-0000-0000-00001FF00000}"/>
    <cellStyle name="SAPLocked 21 2 5 2" xfId="61778" xr:uid="{00000000-0005-0000-0000-000020F00000}"/>
    <cellStyle name="SAPLocked 21 2 6" xfId="7970" xr:uid="{00000000-0005-0000-0000-000021F00000}"/>
    <cellStyle name="SAPLocked 21 2 6 2" xfId="61779" xr:uid="{00000000-0005-0000-0000-000022F00000}"/>
    <cellStyle name="SAPLocked 21 2 7" xfId="7971" xr:uid="{00000000-0005-0000-0000-000023F00000}"/>
    <cellStyle name="SAPLocked 21 2 7 2" xfId="61780" xr:uid="{00000000-0005-0000-0000-000024F00000}"/>
    <cellStyle name="SAPLocked 21 2 8" xfId="7972" xr:uid="{00000000-0005-0000-0000-000025F00000}"/>
    <cellStyle name="SAPLocked 21 2 8 2" xfId="61781" xr:uid="{00000000-0005-0000-0000-000026F00000}"/>
    <cellStyle name="SAPLocked 21 2 9" xfId="7973" xr:uid="{00000000-0005-0000-0000-000027F00000}"/>
    <cellStyle name="SAPLocked 21 2 9 2" xfId="61782" xr:uid="{00000000-0005-0000-0000-000028F00000}"/>
    <cellStyle name="SAPLocked 21 3" xfId="7974" xr:uid="{00000000-0005-0000-0000-000029F00000}"/>
    <cellStyle name="SAPLocked 21 3 2" xfId="61783" xr:uid="{00000000-0005-0000-0000-00002AF00000}"/>
    <cellStyle name="SAPLocked 21 4" xfId="7975" xr:uid="{00000000-0005-0000-0000-00002BF00000}"/>
    <cellStyle name="SAPLocked 21 4 2" xfId="61784" xr:uid="{00000000-0005-0000-0000-00002CF00000}"/>
    <cellStyle name="SAPLocked 21 5" xfId="7976" xr:uid="{00000000-0005-0000-0000-00002DF00000}"/>
    <cellStyle name="SAPLocked 21 5 2" xfId="61785" xr:uid="{00000000-0005-0000-0000-00002EF00000}"/>
    <cellStyle name="SAPLocked 21 6" xfId="7977" xr:uid="{00000000-0005-0000-0000-00002FF00000}"/>
    <cellStyle name="SAPLocked 21 6 2" xfId="61786" xr:uid="{00000000-0005-0000-0000-000030F00000}"/>
    <cellStyle name="SAPLocked 21 7" xfId="7978" xr:uid="{00000000-0005-0000-0000-000031F00000}"/>
    <cellStyle name="SAPLocked 21 7 2" xfId="61787" xr:uid="{00000000-0005-0000-0000-000032F00000}"/>
    <cellStyle name="SAPLocked 21 8" xfId="7979" xr:uid="{00000000-0005-0000-0000-000033F00000}"/>
    <cellStyle name="SAPLocked 21 8 2" xfId="61788" xr:uid="{00000000-0005-0000-0000-000034F00000}"/>
    <cellStyle name="SAPLocked 21 9" xfId="7980" xr:uid="{00000000-0005-0000-0000-000035F00000}"/>
    <cellStyle name="SAPLocked 21 9 2" xfId="61789" xr:uid="{00000000-0005-0000-0000-000036F00000}"/>
    <cellStyle name="SAPLocked 22" xfId="7981" xr:uid="{00000000-0005-0000-0000-000037F00000}"/>
    <cellStyle name="SAPLocked 22 10" xfId="7982" xr:uid="{00000000-0005-0000-0000-000038F00000}"/>
    <cellStyle name="SAPLocked 22 10 2" xfId="61790" xr:uid="{00000000-0005-0000-0000-000039F00000}"/>
    <cellStyle name="SAPLocked 22 11" xfId="7983" xr:uid="{00000000-0005-0000-0000-00003AF00000}"/>
    <cellStyle name="SAPLocked 22 11 2" xfId="61791" xr:uid="{00000000-0005-0000-0000-00003BF00000}"/>
    <cellStyle name="SAPLocked 22 12" xfId="7984" xr:uid="{00000000-0005-0000-0000-00003CF00000}"/>
    <cellStyle name="SAPLocked 22 2" xfId="7985" xr:uid="{00000000-0005-0000-0000-00003DF00000}"/>
    <cellStyle name="SAPLocked 22 2 2" xfId="61792" xr:uid="{00000000-0005-0000-0000-00003EF00000}"/>
    <cellStyle name="SAPLocked 22 3" xfId="7986" xr:uid="{00000000-0005-0000-0000-00003FF00000}"/>
    <cellStyle name="SAPLocked 22 3 2" xfId="61793" xr:uid="{00000000-0005-0000-0000-000040F00000}"/>
    <cellStyle name="SAPLocked 22 4" xfId="7987" xr:uid="{00000000-0005-0000-0000-000041F00000}"/>
    <cellStyle name="SAPLocked 22 4 2" xfId="61794" xr:uid="{00000000-0005-0000-0000-000042F00000}"/>
    <cellStyle name="SAPLocked 22 5" xfId="7988" xr:uid="{00000000-0005-0000-0000-000043F00000}"/>
    <cellStyle name="SAPLocked 22 5 2" xfId="61795" xr:uid="{00000000-0005-0000-0000-000044F00000}"/>
    <cellStyle name="SAPLocked 22 6" xfId="7989" xr:uid="{00000000-0005-0000-0000-000045F00000}"/>
    <cellStyle name="SAPLocked 22 6 2" xfId="61796" xr:uid="{00000000-0005-0000-0000-000046F00000}"/>
    <cellStyle name="SAPLocked 22 7" xfId="7990" xr:uid="{00000000-0005-0000-0000-000047F00000}"/>
    <cellStyle name="SAPLocked 22 7 2" xfId="61797" xr:uid="{00000000-0005-0000-0000-000048F00000}"/>
    <cellStyle name="SAPLocked 22 8" xfId="7991" xr:uid="{00000000-0005-0000-0000-000049F00000}"/>
    <cellStyle name="SAPLocked 22 8 2" xfId="61798" xr:uid="{00000000-0005-0000-0000-00004AF00000}"/>
    <cellStyle name="SAPLocked 22 9" xfId="7992" xr:uid="{00000000-0005-0000-0000-00004BF00000}"/>
    <cellStyle name="SAPLocked 22 9 2" xfId="61799" xr:uid="{00000000-0005-0000-0000-00004CF00000}"/>
    <cellStyle name="SAPLocked 23" xfId="7993" xr:uid="{00000000-0005-0000-0000-00004DF00000}"/>
    <cellStyle name="SAPLocked 23 2" xfId="61800" xr:uid="{00000000-0005-0000-0000-00004EF00000}"/>
    <cellStyle name="SAPLocked 24" xfId="7994" xr:uid="{00000000-0005-0000-0000-00004FF00000}"/>
    <cellStyle name="SAPLocked 24 2" xfId="61801" xr:uid="{00000000-0005-0000-0000-000050F00000}"/>
    <cellStyle name="SAPLocked 25" xfId="7995" xr:uid="{00000000-0005-0000-0000-000051F00000}"/>
    <cellStyle name="SAPLocked 25 2" xfId="61802" xr:uid="{00000000-0005-0000-0000-000052F00000}"/>
    <cellStyle name="SAPLocked 26" xfId="7996" xr:uid="{00000000-0005-0000-0000-000053F00000}"/>
    <cellStyle name="SAPLocked 26 2" xfId="61803" xr:uid="{00000000-0005-0000-0000-000054F00000}"/>
    <cellStyle name="SAPLocked 27" xfId="7997" xr:uid="{00000000-0005-0000-0000-000055F00000}"/>
    <cellStyle name="SAPLocked 27 2" xfId="61804" xr:uid="{00000000-0005-0000-0000-000056F00000}"/>
    <cellStyle name="SAPLocked 28" xfId="7998" xr:uid="{00000000-0005-0000-0000-000057F00000}"/>
    <cellStyle name="SAPLocked 28 2" xfId="61805" xr:uid="{00000000-0005-0000-0000-000058F00000}"/>
    <cellStyle name="SAPLocked 29" xfId="7999" xr:uid="{00000000-0005-0000-0000-000059F00000}"/>
    <cellStyle name="SAPLocked 29 2" xfId="61806" xr:uid="{00000000-0005-0000-0000-00005AF00000}"/>
    <cellStyle name="SAPLocked 3" xfId="8000" xr:uid="{00000000-0005-0000-0000-00005BF00000}"/>
    <cellStyle name="SAPLocked 3 10" xfId="8001" xr:uid="{00000000-0005-0000-0000-00005CF00000}"/>
    <cellStyle name="SAPLocked 3 10 2" xfId="61807" xr:uid="{00000000-0005-0000-0000-00005DF00000}"/>
    <cellStyle name="SAPLocked 3 11" xfId="8002" xr:uid="{00000000-0005-0000-0000-00005EF00000}"/>
    <cellStyle name="SAPLocked 3 11 2" xfId="61808" xr:uid="{00000000-0005-0000-0000-00005FF00000}"/>
    <cellStyle name="SAPLocked 3 12" xfId="8003" xr:uid="{00000000-0005-0000-0000-000060F00000}"/>
    <cellStyle name="SAPLocked 3 12 2" xfId="61809" xr:uid="{00000000-0005-0000-0000-000061F00000}"/>
    <cellStyle name="SAPLocked 3 13" xfId="8004" xr:uid="{00000000-0005-0000-0000-000062F00000}"/>
    <cellStyle name="SAPLocked 3 2" xfId="8005" xr:uid="{00000000-0005-0000-0000-000063F00000}"/>
    <cellStyle name="SAPLocked 3 2 10" xfId="8006" xr:uid="{00000000-0005-0000-0000-000064F00000}"/>
    <cellStyle name="SAPLocked 3 2 10 2" xfId="61810" xr:uid="{00000000-0005-0000-0000-000065F00000}"/>
    <cellStyle name="SAPLocked 3 2 11" xfId="8007" xr:uid="{00000000-0005-0000-0000-000066F00000}"/>
    <cellStyle name="SAPLocked 3 2 11 2" xfId="61811" xr:uid="{00000000-0005-0000-0000-000067F00000}"/>
    <cellStyle name="SAPLocked 3 2 12" xfId="8008" xr:uid="{00000000-0005-0000-0000-000068F00000}"/>
    <cellStyle name="SAPLocked 3 2 2" xfId="8009" xr:uid="{00000000-0005-0000-0000-000069F00000}"/>
    <cellStyle name="SAPLocked 3 2 2 2" xfId="61812" xr:uid="{00000000-0005-0000-0000-00006AF00000}"/>
    <cellStyle name="SAPLocked 3 2 3" xfId="8010" xr:uid="{00000000-0005-0000-0000-00006BF00000}"/>
    <cellStyle name="SAPLocked 3 2 3 2" xfId="61813" xr:uid="{00000000-0005-0000-0000-00006CF00000}"/>
    <cellStyle name="SAPLocked 3 2 4" xfId="8011" xr:uid="{00000000-0005-0000-0000-00006DF00000}"/>
    <cellStyle name="SAPLocked 3 2 4 2" xfId="61814" xr:uid="{00000000-0005-0000-0000-00006EF00000}"/>
    <cellStyle name="SAPLocked 3 2 5" xfId="8012" xr:uid="{00000000-0005-0000-0000-00006FF00000}"/>
    <cellStyle name="SAPLocked 3 2 5 2" xfId="61815" xr:uid="{00000000-0005-0000-0000-000070F00000}"/>
    <cellStyle name="SAPLocked 3 2 6" xfId="8013" xr:uid="{00000000-0005-0000-0000-000071F00000}"/>
    <cellStyle name="SAPLocked 3 2 6 2" xfId="61816" xr:uid="{00000000-0005-0000-0000-000072F00000}"/>
    <cellStyle name="SAPLocked 3 2 7" xfId="8014" xr:uid="{00000000-0005-0000-0000-000073F00000}"/>
    <cellStyle name="SAPLocked 3 2 7 2" xfId="61817" xr:uid="{00000000-0005-0000-0000-000074F00000}"/>
    <cellStyle name="SAPLocked 3 2 8" xfId="8015" xr:uid="{00000000-0005-0000-0000-000075F00000}"/>
    <cellStyle name="SAPLocked 3 2 8 2" xfId="61818" xr:uid="{00000000-0005-0000-0000-000076F00000}"/>
    <cellStyle name="SAPLocked 3 2 9" xfId="8016" xr:uid="{00000000-0005-0000-0000-000077F00000}"/>
    <cellStyle name="SAPLocked 3 2 9 2" xfId="61819" xr:uid="{00000000-0005-0000-0000-000078F00000}"/>
    <cellStyle name="SAPLocked 3 3" xfId="8017" xr:uid="{00000000-0005-0000-0000-000079F00000}"/>
    <cellStyle name="SAPLocked 3 3 2" xfId="61820" xr:uid="{00000000-0005-0000-0000-00007AF00000}"/>
    <cellStyle name="SAPLocked 3 4" xfId="8018" xr:uid="{00000000-0005-0000-0000-00007BF00000}"/>
    <cellStyle name="SAPLocked 3 4 2" xfId="61821" xr:uid="{00000000-0005-0000-0000-00007CF00000}"/>
    <cellStyle name="SAPLocked 3 5" xfId="8019" xr:uid="{00000000-0005-0000-0000-00007DF00000}"/>
    <cellStyle name="SAPLocked 3 5 2" xfId="61822" xr:uid="{00000000-0005-0000-0000-00007EF00000}"/>
    <cellStyle name="SAPLocked 3 6" xfId="8020" xr:uid="{00000000-0005-0000-0000-00007FF00000}"/>
    <cellStyle name="SAPLocked 3 6 2" xfId="61823" xr:uid="{00000000-0005-0000-0000-000080F00000}"/>
    <cellStyle name="SAPLocked 3 7" xfId="8021" xr:uid="{00000000-0005-0000-0000-000081F00000}"/>
    <cellStyle name="SAPLocked 3 7 2" xfId="61824" xr:uid="{00000000-0005-0000-0000-000082F00000}"/>
    <cellStyle name="SAPLocked 3 8" xfId="8022" xr:uid="{00000000-0005-0000-0000-000083F00000}"/>
    <cellStyle name="SAPLocked 3 8 2" xfId="61825" xr:uid="{00000000-0005-0000-0000-000084F00000}"/>
    <cellStyle name="SAPLocked 3 9" xfId="8023" xr:uid="{00000000-0005-0000-0000-000085F00000}"/>
    <cellStyle name="SAPLocked 3 9 2" xfId="61826" xr:uid="{00000000-0005-0000-0000-000086F00000}"/>
    <cellStyle name="SAPLocked 30" xfId="8024" xr:uid="{00000000-0005-0000-0000-000087F00000}"/>
    <cellStyle name="SAPLocked 30 2" xfId="61827" xr:uid="{00000000-0005-0000-0000-000088F00000}"/>
    <cellStyle name="SAPLocked 31" xfId="8025" xr:uid="{00000000-0005-0000-0000-000089F00000}"/>
    <cellStyle name="SAPLocked 4" xfId="8026" xr:uid="{00000000-0005-0000-0000-00008AF00000}"/>
    <cellStyle name="SAPLocked 4 10" xfId="8027" xr:uid="{00000000-0005-0000-0000-00008BF00000}"/>
    <cellStyle name="SAPLocked 4 10 2" xfId="61828" xr:uid="{00000000-0005-0000-0000-00008CF00000}"/>
    <cellStyle name="SAPLocked 4 11" xfId="8028" xr:uid="{00000000-0005-0000-0000-00008DF00000}"/>
    <cellStyle name="SAPLocked 4 11 2" xfId="61829" xr:uid="{00000000-0005-0000-0000-00008EF00000}"/>
    <cellStyle name="SAPLocked 4 12" xfId="8029" xr:uid="{00000000-0005-0000-0000-00008FF00000}"/>
    <cellStyle name="SAPLocked 4 12 2" xfId="61830" xr:uid="{00000000-0005-0000-0000-000090F00000}"/>
    <cellStyle name="SAPLocked 4 13" xfId="8030" xr:uid="{00000000-0005-0000-0000-000091F00000}"/>
    <cellStyle name="SAPLocked 4 2" xfId="8031" xr:uid="{00000000-0005-0000-0000-000092F00000}"/>
    <cellStyle name="SAPLocked 4 2 10" xfId="8032" xr:uid="{00000000-0005-0000-0000-000093F00000}"/>
    <cellStyle name="SAPLocked 4 2 10 2" xfId="61831" xr:uid="{00000000-0005-0000-0000-000094F00000}"/>
    <cellStyle name="SAPLocked 4 2 11" xfId="8033" xr:uid="{00000000-0005-0000-0000-000095F00000}"/>
    <cellStyle name="SAPLocked 4 2 11 2" xfId="61832" xr:uid="{00000000-0005-0000-0000-000096F00000}"/>
    <cellStyle name="SAPLocked 4 2 12" xfId="8034" xr:uid="{00000000-0005-0000-0000-000097F00000}"/>
    <cellStyle name="SAPLocked 4 2 2" xfId="8035" xr:uid="{00000000-0005-0000-0000-000098F00000}"/>
    <cellStyle name="SAPLocked 4 2 2 2" xfId="61833" xr:uid="{00000000-0005-0000-0000-000099F00000}"/>
    <cellStyle name="SAPLocked 4 2 3" xfId="8036" xr:uid="{00000000-0005-0000-0000-00009AF00000}"/>
    <cellStyle name="SAPLocked 4 2 3 2" xfId="61834" xr:uid="{00000000-0005-0000-0000-00009BF00000}"/>
    <cellStyle name="SAPLocked 4 2 4" xfId="8037" xr:uid="{00000000-0005-0000-0000-00009CF00000}"/>
    <cellStyle name="SAPLocked 4 2 4 2" xfId="61835" xr:uid="{00000000-0005-0000-0000-00009DF00000}"/>
    <cellStyle name="SAPLocked 4 2 5" xfId="8038" xr:uid="{00000000-0005-0000-0000-00009EF00000}"/>
    <cellStyle name="SAPLocked 4 2 5 2" xfId="61836" xr:uid="{00000000-0005-0000-0000-00009FF00000}"/>
    <cellStyle name="SAPLocked 4 2 6" xfId="8039" xr:uid="{00000000-0005-0000-0000-0000A0F00000}"/>
    <cellStyle name="SAPLocked 4 2 6 2" xfId="61837" xr:uid="{00000000-0005-0000-0000-0000A1F00000}"/>
    <cellStyle name="SAPLocked 4 2 7" xfId="8040" xr:uid="{00000000-0005-0000-0000-0000A2F00000}"/>
    <cellStyle name="SAPLocked 4 2 7 2" xfId="61838" xr:uid="{00000000-0005-0000-0000-0000A3F00000}"/>
    <cellStyle name="SAPLocked 4 2 8" xfId="8041" xr:uid="{00000000-0005-0000-0000-0000A4F00000}"/>
    <cellStyle name="SAPLocked 4 2 8 2" xfId="61839" xr:uid="{00000000-0005-0000-0000-0000A5F00000}"/>
    <cellStyle name="SAPLocked 4 2 9" xfId="8042" xr:uid="{00000000-0005-0000-0000-0000A6F00000}"/>
    <cellStyle name="SAPLocked 4 2 9 2" xfId="61840" xr:uid="{00000000-0005-0000-0000-0000A7F00000}"/>
    <cellStyle name="SAPLocked 4 3" xfId="8043" xr:uid="{00000000-0005-0000-0000-0000A8F00000}"/>
    <cellStyle name="SAPLocked 4 3 2" xfId="61841" xr:uid="{00000000-0005-0000-0000-0000A9F00000}"/>
    <cellStyle name="SAPLocked 4 4" xfId="8044" xr:uid="{00000000-0005-0000-0000-0000AAF00000}"/>
    <cellStyle name="SAPLocked 4 4 2" xfId="61842" xr:uid="{00000000-0005-0000-0000-0000ABF00000}"/>
    <cellStyle name="SAPLocked 4 5" xfId="8045" xr:uid="{00000000-0005-0000-0000-0000ACF00000}"/>
    <cellStyle name="SAPLocked 4 5 2" xfId="61843" xr:uid="{00000000-0005-0000-0000-0000ADF00000}"/>
    <cellStyle name="SAPLocked 4 6" xfId="8046" xr:uid="{00000000-0005-0000-0000-0000AEF00000}"/>
    <cellStyle name="SAPLocked 4 6 2" xfId="61844" xr:uid="{00000000-0005-0000-0000-0000AFF00000}"/>
    <cellStyle name="SAPLocked 4 7" xfId="8047" xr:uid="{00000000-0005-0000-0000-0000B0F00000}"/>
    <cellStyle name="SAPLocked 4 7 2" xfId="61845" xr:uid="{00000000-0005-0000-0000-0000B1F00000}"/>
    <cellStyle name="SAPLocked 4 8" xfId="8048" xr:uid="{00000000-0005-0000-0000-0000B2F00000}"/>
    <cellStyle name="SAPLocked 4 8 2" xfId="61846" xr:uid="{00000000-0005-0000-0000-0000B3F00000}"/>
    <cellStyle name="SAPLocked 4 9" xfId="8049" xr:uid="{00000000-0005-0000-0000-0000B4F00000}"/>
    <cellStyle name="SAPLocked 4 9 2" xfId="61847" xr:uid="{00000000-0005-0000-0000-0000B5F00000}"/>
    <cellStyle name="SAPLocked 5" xfId="8050" xr:uid="{00000000-0005-0000-0000-0000B6F00000}"/>
    <cellStyle name="SAPLocked 5 10" xfId="8051" xr:uid="{00000000-0005-0000-0000-0000B7F00000}"/>
    <cellStyle name="SAPLocked 5 10 2" xfId="61848" xr:uid="{00000000-0005-0000-0000-0000B8F00000}"/>
    <cellStyle name="SAPLocked 5 11" xfId="8052" xr:uid="{00000000-0005-0000-0000-0000B9F00000}"/>
    <cellStyle name="SAPLocked 5 11 2" xfId="61849" xr:uid="{00000000-0005-0000-0000-0000BAF00000}"/>
    <cellStyle name="SAPLocked 5 12" xfId="8053" xr:uid="{00000000-0005-0000-0000-0000BBF00000}"/>
    <cellStyle name="SAPLocked 5 12 2" xfId="61850" xr:uid="{00000000-0005-0000-0000-0000BCF00000}"/>
    <cellStyle name="SAPLocked 5 13" xfId="8054" xr:uid="{00000000-0005-0000-0000-0000BDF00000}"/>
    <cellStyle name="SAPLocked 5 2" xfId="8055" xr:uid="{00000000-0005-0000-0000-0000BEF00000}"/>
    <cellStyle name="SAPLocked 5 2 10" xfId="8056" xr:uid="{00000000-0005-0000-0000-0000BFF00000}"/>
    <cellStyle name="SAPLocked 5 2 10 2" xfId="61851" xr:uid="{00000000-0005-0000-0000-0000C0F00000}"/>
    <cellStyle name="SAPLocked 5 2 11" xfId="8057" xr:uid="{00000000-0005-0000-0000-0000C1F00000}"/>
    <cellStyle name="SAPLocked 5 2 11 2" xfId="61852" xr:uid="{00000000-0005-0000-0000-0000C2F00000}"/>
    <cellStyle name="SAPLocked 5 2 12" xfId="8058" xr:uid="{00000000-0005-0000-0000-0000C3F00000}"/>
    <cellStyle name="SAPLocked 5 2 2" xfId="8059" xr:uid="{00000000-0005-0000-0000-0000C4F00000}"/>
    <cellStyle name="SAPLocked 5 2 2 2" xfId="61853" xr:uid="{00000000-0005-0000-0000-0000C5F00000}"/>
    <cellStyle name="SAPLocked 5 2 3" xfId="8060" xr:uid="{00000000-0005-0000-0000-0000C6F00000}"/>
    <cellStyle name="SAPLocked 5 2 3 2" xfId="61854" xr:uid="{00000000-0005-0000-0000-0000C7F00000}"/>
    <cellStyle name="SAPLocked 5 2 4" xfId="8061" xr:uid="{00000000-0005-0000-0000-0000C8F00000}"/>
    <cellStyle name="SAPLocked 5 2 4 2" xfId="61855" xr:uid="{00000000-0005-0000-0000-0000C9F00000}"/>
    <cellStyle name="SAPLocked 5 2 5" xfId="8062" xr:uid="{00000000-0005-0000-0000-0000CAF00000}"/>
    <cellStyle name="SAPLocked 5 2 5 2" xfId="61856" xr:uid="{00000000-0005-0000-0000-0000CBF00000}"/>
    <cellStyle name="SAPLocked 5 2 6" xfId="8063" xr:uid="{00000000-0005-0000-0000-0000CCF00000}"/>
    <cellStyle name="SAPLocked 5 2 6 2" xfId="61857" xr:uid="{00000000-0005-0000-0000-0000CDF00000}"/>
    <cellStyle name="SAPLocked 5 2 7" xfId="8064" xr:uid="{00000000-0005-0000-0000-0000CEF00000}"/>
    <cellStyle name="SAPLocked 5 2 7 2" xfId="61858" xr:uid="{00000000-0005-0000-0000-0000CFF00000}"/>
    <cellStyle name="SAPLocked 5 2 8" xfId="8065" xr:uid="{00000000-0005-0000-0000-0000D0F00000}"/>
    <cellStyle name="SAPLocked 5 2 8 2" xfId="61859" xr:uid="{00000000-0005-0000-0000-0000D1F00000}"/>
    <cellStyle name="SAPLocked 5 2 9" xfId="8066" xr:uid="{00000000-0005-0000-0000-0000D2F00000}"/>
    <cellStyle name="SAPLocked 5 2 9 2" xfId="61860" xr:uid="{00000000-0005-0000-0000-0000D3F00000}"/>
    <cellStyle name="SAPLocked 5 3" xfId="8067" xr:uid="{00000000-0005-0000-0000-0000D4F00000}"/>
    <cellStyle name="SAPLocked 5 3 2" xfId="61861" xr:uid="{00000000-0005-0000-0000-0000D5F00000}"/>
    <cellStyle name="SAPLocked 5 4" xfId="8068" xr:uid="{00000000-0005-0000-0000-0000D6F00000}"/>
    <cellStyle name="SAPLocked 5 4 2" xfId="61862" xr:uid="{00000000-0005-0000-0000-0000D7F00000}"/>
    <cellStyle name="SAPLocked 5 5" xfId="8069" xr:uid="{00000000-0005-0000-0000-0000D8F00000}"/>
    <cellStyle name="SAPLocked 5 5 2" xfId="61863" xr:uid="{00000000-0005-0000-0000-0000D9F00000}"/>
    <cellStyle name="SAPLocked 5 6" xfId="8070" xr:uid="{00000000-0005-0000-0000-0000DAF00000}"/>
    <cellStyle name="SAPLocked 5 6 2" xfId="61864" xr:uid="{00000000-0005-0000-0000-0000DBF00000}"/>
    <cellStyle name="SAPLocked 5 7" xfId="8071" xr:uid="{00000000-0005-0000-0000-0000DCF00000}"/>
    <cellStyle name="SAPLocked 5 7 2" xfId="61865" xr:uid="{00000000-0005-0000-0000-0000DDF00000}"/>
    <cellStyle name="SAPLocked 5 8" xfId="8072" xr:uid="{00000000-0005-0000-0000-0000DEF00000}"/>
    <cellStyle name="SAPLocked 5 8 2" xfId="61866" xr:uid="{00000000-0005-0000-0000-0000DFF00000}"/>
    <cellStyle name="SAPLocked 5 9" xfId="8073" xr:uid="{00000000-0005-0000-0000-0000E0F00000}"/>
    <cellStyle name="SAPLocked 5 9 2" xfId="61867" xr:uid="{00000000-0005-0000-0000-0000E1F00000}"/>
    <cellStyle name="SAPLocked 6" xfId="8074" xr:uid="{00000000-0005-0000-0000-0000E2F00000}"/>
    <cellStyle name="SAPLocked 6 10" xfId="8075" xr:uid="{00000000-0005-0000-0000-0000E3F00000}"/>
    <cellStyle name="SAPLocked 6 10 2" xfId="61868" xr:uid="{00000000-0005-0000-0000-0000E4F00000}"/>
    <cellStyle name="SAPLocked 6 11" xfId="8076" xr:uid="{00000000-0005-0000-0000-0000E5F00000}"/>
    <cellStyle name="SAPLocked 6 11 2" xfId="61869" xr:uid="{00000000-0005-0000-0000-0000E6F00000}"/>
    <cellStyle name="SAPLocked 6 12" xfId="8077" xr:uid="{00000000-0005-0000-0000-0000E7F00000}"/>
    <cellStyle name="SAPLocked 6 12 2" xfId="61870" xr:uid="{00000000-0005-0000-0000-0000E8F00000}"/>
    <cellStyle name="SAPLocked 6 13" xfId="8078" xr:uid="{00000000-0005-0000-0000-0000E9F00000}"/>
    <cellStyle name="SAPLocked 6 2" xfId="8079" xr:uid="{00000000-0005-0000-0000-0000EAF00000}"/>
    <cellStyle name="SAPLocked 6 2 10" xfId="8080" xr:uid="{00000000-0005-0000-0000-0000EBF00000}"/>
    <cellStyle name="SAPLocked 6 2 10 2" xfId="61871" xr:uid="{00000000-0005-0000-0000-0000ECF00000}"/>
    <cellStyle name="SAPLocked 6 2 11" xfId="8081" xr:uid="{00000000-0005-0000-0000-0000EDF00000}"/>
    <cellStyle name="SAPLocked 6 2 11 2" xfId="61872" xr:uid="{00000000-0005-0000-0000-0000EEF00000}"/>
    <cellStyle name="SAPLocked 6 2 12" xfId="8082" xr:uid="{00000000-0005-0000-0000-0000EFF00000}"/>
    <cellStyle name="SAPLocked 6 2 2" xfId="8083" xr:uid="{00000000-0005-0000-0000-0000F0F00000}"/>
    <cellStyle name="SAPLocked 6 2 2 2" xfId="61873" xr:uid="{00000000-0005-0000-0000-0000F1F00000}"/>
    <cellStyle name="SAPLocked 6 2 3" xfId="8084" xr:uid="{00000000-0005-0000-0000-0000F2F00000}"/>
    <cellStyle name="SAPLocked 6 2 3 2" xfId="61874" xr:uid="{00000000-0005-0000-0000-0000F3F00000}"/>
    <cellStyle name="SAPLocked 6 2 4" xfId="8085" xr:uid="{00000000-0005-0000-0000-0000F4F00000}"/>
    <cellStyle name="SAPLocked 6 2 4 2" xfId="61875" xr:uid="{00000000-0005-0000-0000-0000F5F00000}"/>
    <cellStyle name="SAPLocked 6 2 5" xfId="8086" xr:uid="{00000000-0005-0000-0000-0000F6F00000}"/>
    <cellStyle name="SAPLocked 6 2 5 2" xfId="61876" xr:uid="{00000000-0005-0000-0000-0000F7F00000}"/>
    <cellStyle name="SAPLocked 6 2 6" xfId="8087" xr:uid="{00000000-0005-0000-0000-0000F8F00000}"/>
    <cellStyle name="SAPLocked 6 2 6 2" xfId="61877" xr:uid="{00000000-0005-0000-0000-0000F9F00000}"/>
    <cellStyle name="SAPLocked 6 2 7" xfId="8088" xr:uid="{00000000-0005-0000-0000-0000FAF00000}"/>
    <cellStyle name="SAPLocked 6 2 7 2" xfId="61878" xr:uid="{00000000-0005-0000-0000-0000FBF00000}"/>
    <cellStyle name="SAPLocked 6 2 8" xfId="8089" xr:uid="{00000000-0005-0000-0000-0000FCF00000}"/>
    <cellStyle name="SAPLocked 6 2 8 2" xfId="61879" xr:uid="{00000000-0005-0000-0000-0000FDF00000}"/>
    <cellStyle name="SAPLocked 6 2 9" xfId="8090" xr:uid="{00000000-0005-0000-0000-0000FEF00000}"/>
    <cellStyle name="SAPLocked 6 2 9 2" xfId="61880" xr:uid="{00000000-0005-0000-0000-0000FFF00000}"/>
    <cellStyle name="SAPLocked 6 3" xfId="8091" xr:uid="{00000000-0005-0000-0000-000000F10000}"/>
    <cellStyle name="SAPLocked 6 3 2" xfId="61881" xr:uid="{00000000-0005-0000-0000-000001F10000}"/>
    <cellStyle name="SAPLocked 6 4" xfId="8092" xr:uid="{00000000-0005-0000-0000-000002F10000}"/>
    <cellStyle name="SAPLocked 6 4 2" xfId="61882" xr:uid="{00000000-0005-0000-0000-000003F10000}"/>
    <cellStyle name="SAPLocked 6 5" xfId="8093" xr:uid="{00000000-0005-0000-0000-000004F10000}"/>
    <cellStyle name="SAPLocked 6 5 2" xfId="61883" xr:uid="{00000000-0005-0000-0000-000005F10000}"/>
    <cellStyle name="SAPLocked 6 6" xfId="8094" xr:uid="{00000000-0005-0000-0000-000006F10000}"/>
    <cellStyle name="SAPLocked 6 6 2" xfId="61884" xr:uid="{00000000-0005-0000-0000-000007F10000}"/>
    <cellStyle name="SAPLocked 6 7" xfId="8095" xr:uid="{00000000-0005-0000-0000-000008F10000}"/>
    <cellStyle name="SAPLocked 6 7 2" xfId="61885" xr:uid="{00000000-0005-0000-0000-000009F10000}"/>
    <cellStyle name="SAPLocked 6 8" xfId="8096" xr:uid="{00000000-0005-0000-0000-00000AF10000}"/>
    <cellStyle name="SAPLocked 6 8 2" xfId="61886" xr:uid="{00000000-0005-0000-0000-00000BF10000}"/>
    <cellStyle name="SAPLocked 6 9" xfId="8097" xr:uid="{00000000-0005-0000-0000-00000CF10000}"/>
    <cellStyle name="SAPLocked 6 9 2" xfId="61887" xr:uid="{00000000-0005-0000-0000-00000DF10000}"/>
    <cellStyle name="SAPLocked 7" xfId="8098" xr:uid="{00000000-0005-0000-0000-00000EF10000}"/>
    <cellStyle name="SAPLocked 7 10" xfId="8099" xr:uid="{00000000-0005-0000-0000-00000FF10000}"/>
    <cellStyle name="SAPLocked 7 10 2" xfId="61888" xr:uid="{00000000-0005-0000-0000-000010F10000}"/>
    <cellStyle name="SAPLocked 7 11" xfId="8100" xr:uid="{00000000-0005-0000-0000-000011F10000}"/>
    <cellStyle name="SAPLocked 7 11 2" xfId="61889" xr:uid="{00000000-0005-0000-0000-000012F10000}"/>
    <cellStyle name="SAPLocked 7 12" xfId="8101" xr:uid="{00000000-0005-0000-0000-000013F10000}"/>
    <cellStyle name="SAPLocked 7 12 2" xfId="61890" xr:uid="{00000000-0005-0000-0000-000014F10000}"/>
    <cellStyle name="SAPLocked 7 13" xfId="8102" xr:uid="{00000000-0005-0000-0000-000015F10000}"/>
    <cellStyle name="SAPLocked 7 2" xfId="8103" xr:uid="{00000000-0005-0000-0000-000016F10000}"/>
    <cellStyle name="SAPLocked 7 2 10" xfId="8104" xr:uid="{00000000-0005-0000-0000-000017F10000}"/>
    <cellStyle name="SAPLocked 7 2 10 2" xfId="61891" xr:uid="{00000000-0005-0000-0000-000018F10000}"/>
    <cellStyle name="SAPLocked 7 2 11" xfId="8105" xr:uid="{00000000-0005-0000-0000-000019F10000}"/>
    <cellStyle name="SAPLocked 7 2 11 2" xfId="61892" xr:uid="{00000000-0005-0000-0000-00001AF10000}"/>
    <cellStyle name="SAPLocked 7 2 12" xfId="8106" xr:uid="{00000000-0005-0000-0000-00001BF10000}"/>
    <cellStyle name="SAPLocked 7 2 2" xfId="8107" xr:uid="{00000000-0005-0000-0000-00001CF10000}"/>
    <cellStyle name="SAPLocked 7 2 2 2" xfId="61893" xr:uid="{00000000-0005-0000-0000-00001DF10000}"/>
    <cellStyle name="SAPLocked 7 2 3" xfId="8108" xr:uid="{00000000-0005-0000-0000-00001EF10000}"/>
    <cellStyle name="SAPLocked 7 2 3 2" xfId="61894" xr:uid="{00000000-0005-0000-0000-00001FF10000}"/>
    <cellStyle name="SAPLocked 7 2 4" xfId="8109" xr:uid="{00000000-0005-0000-0000-000020F10000}"/>
    <cellStyle name="SAPLocked 7 2 4 2" xfId="61895" xr:uid="{00000000-0005-0000-0000-000021F10000}"/>
    <cellStyle name="SAPLocked 7 2 5" xfId="8110" xr:uid="{00000000-0005-0000-0000-000022F10000}"/>
    <cellStyle name="SAPLocked 7 2 5 2" xfId="61896" xr:uid="{00000000-0005-0000-0000-000023F10000}"/>
    <cellStyle name="SAPLocked 7 2 6" xfId="8111" xr:uid="{00000000-0005-0000-0000-000024F10000}"/>
    <cellStyle name="SAPLocked 7 2 6 2" xfId="61897" xr:uid="{00000000-0005-0000-0000-000025F10000}"/>
    <cellStyle name="SAPLocked 7 2 7" xfId="8112" xr:uid="{00000000-0005-0000-0000-000026F10000}"/>
    <cellStyle name="SAPLocked 7 2 7 2" xfId="61898" xr:uid="{00000000-0005-0000-0000-000027F10000}"/>
    <cellStyle name="SAPLocked 7 2 8" xfId="8113" xr:uid="{00000000-0005-0000-0000-000028F10000}"/>
    <cellStyle name="SAPLocked 7 2 8 2" xfId="61899" xr:uid="{00000000-0005-0000-0000-000029F10000}"/>
    <cellStyle name="SAPLocked 7 2 9" xfId="8114" xr:uid="{00000000-0005-0000-0000-00002AF10000}"/>
    <cellStyle name="SAPLocked 7 2 9 2" xfId="61900" xr:uid="{00000000-0005-0000-0000-00002BF10000}"/>
    <cellStyle name="SAPLocked 7 3" xfId="8115" xr:uid="{00000000-0005-0000-0000-00002CF10000}"/>
    <cellStyle name="SAPLocked 7 3 2" xfId="61901" xr:uid="{00000000-0005-0000-0000-00002DF10000}"/>
    <cellStyle name="SAPLocked 7 4" xfId="8116" xr:uid="{00000000-0005-0000-0000-00002EF10000}"/>
    <cellStyle name="SAPLocked 7 4 2" xfId="61902" xr:uid="{00000000-0005-0000-0000-00002FF10000}"/>
    <cellStyle name="SAPLocked 7 5" xfId="8117" xr:uid="{00000000-0005-0000-0000-000030F10000}"/>
    <cellStyle name="SAPLocked 7 5 2" xfId="61903" xr:uid="{00000000-0005-0000-0000-000031F10000}"/>
    <cellStyle name="SAPLocked 7 6" xfId="8118" xr:uid="{00000000-0005-0000-0000-000032F10000}"/>
    <cellStyle name="SAPLocked 7 6 2" xfId="61904" xr:uid="{00000000-0005-0000-0000-000033F10000}"/>
    <cellStyle name="SAPLocked 7 7" xfId="8119" xr:uid="{00000000-0005-0000-0000-000034F10000}"/>
    <cellStyle name="SAPLocked 7 7 2" xfId="61905" xr:uid="{00000000-0005-0000-0000-000035F10000}"/>
    <cellStyle name="SAPLocked 7 8" xfId="8120" xr:uid="{00000000-0005-0000-0000-000036F10000}"/>
    <cellStyle name="SAPLocked 7 8 2" xfId="61906" xr:uid="{00000000-0005-0000-0000-000037F10000}"/>
    <cellStyle name="SAPLocked 7 9" xfId="8121" xr:uid="{00000000-0005-0000-0000-000038F10000}"/>
    <cellStyle name="SAPLocked 7 9 2" xfId="61907" xr:uid="{00000000-0005-0000-0000-000039F10000}"/>
    <cellStyle name="SAPLocked 8" xfId="8122" xr:uid="{00000000-0005-0000-0000-00003AF10000}"/>
    <cellStyle name="SAPLocked 8 10" xfId="8123" xr:uid="{00000000-0005-0000-0000-00003BF10000}"/>
    <cellStyle name="SAPLocked 8 10 2" xfId="61908" xr:uid="{00000000-0005-0000-0000-00003CF10000}"/>
    <cellStyle name="SAPLocked 8 11" xfId="8124" xr:uid="{00000000-0005-0000-0000-00003DF10000}"/>
    <cellStyle name="SAPLocked 8 11 2" xfId="61909" xr:uid="{00000000-0005-0000-0000-00003EF10000}"/>
    <cellStyle name="SAPLocked 8 12" xfId="8125" xr:uid="{00000000-0005-0000-0000-00003FF10000}"/>
    <cellStyle name="SAPLocked 8 12 2" xfId="61910" xr:uid="{00000000-0005-0000-0000-000040F10000}"/>
    <cellStyle name="SAPLocked 8 13" xfId="8126" xr:uid="{00000000-0005-0000-0000-000041F10000}"/>
    <cellStyle name="SAPLocked 8 2" xfId="8127" xr:uid="{00000000-0005-0000-0000-000042F10000}"/>
    <cellStyle name="SAPLocked 8 2 10" xfId="8128" xr:uid="{00000000-0005-0000-0000-000043F10000}"/>
    <cellStyle name="SAPLocked 8 2 10 2" xfId="61911" xr:uid="{00000000-0005-0000-0000-000044F10000}"/>
    <cellStyle name="SAPLocked 8 2 11" xfId="8129" xr:uid="{00000000-0005-0000-0000-000045F10000}"/>
    <cellStyle name="SAPLocked 8 2 11 2" xfId="61912" xr:uid="{00000000-0005-0000-0000-000046F10000}"/>
    <cellStyle name="SAPLocked 8 2 12" xfId="8130" xr:uid="{00000000-0005-0000-0000-000047F10000}"/>
    <cellStyle name="SAPLocked 8 2 2" xfId="8131" xr:uid="{00000000-0005-0000-0000-000048F10000}"/>
    <cellStyle name="SAPLocked 8 2 2 2" xfId="61913" xr:uid="{00000000-0005-0000-0000-000049F10000}"/>
    <cellStyle name="SAPLocked 8 2 3" xfId="8132" xr:uid="{00000000-0005-0000-0000-00004AF10000}"/>
    <cellStyle name="SAPLocked 8 2 3 2" xfId="61914" xr:uid="{00000000-0005-0000-0000-00004BF10000}"/>
    <cellStyle name="SAPLocked 8 2 4" xfId="8133" xr:uid="{00000000-0005-0000-0000-00004CF10000}"/>
    <cellStyle name="SAPLocked 8 2 4 2" xfId="61915" xr:uid="{00000000-0005-0000-0000-00004DF10000}"/>
    <cellStyle name="SAPLocked 8 2 5" xfId="8134" xr:uid="{00000000-0005-0000-0000-00004EF10000}"/>
    <cellStyle name="SAPLocked 8 2 5 2" xfId="61916" xr:uid="{00000000-0005-0000-0000-00004FF10000}"/>
    <cellStyle name="SAPLocked 8 2 6" xfId="8135" xr:uid="{00000000-0005-0000-0000-000050F10000}"/>
    <cellStyle name="SAPLocked 8 2 6 2" xfId="61917" xr:uid="{00000000-0005-0000-0000-000051F10000}"/>
    <cellStyle name="SAPLocked 8 2 7" xfId="8136" xr:uid="{00000000-0005-0000-0000-000052F10000}"/>
    <cellStyle name="SAPLocked 8 2 7 2" xfId="61918" xr:uid="{00000000-0005-0000-0000-000053F10000}"/>
    <cellStyle name="SAPLocked 8 2 8" xfId="8137" xr:uid="{00000000-0005-0000-0000-000054F10000}"/>
    <cellStyle name="SAPLocked 8 2 8 2" xfId="61919" xr:uid="{00000000-0005-0000-0000-000055F10000}"/>
    <cellStyle name="SAPLocked 8 2 9" xfId="8138" xr:uid="{00000000-0005-0000-0000-000056F10000}"/>
    <cellStyle name="SAPLocked 8 2 9 2" xfId="61920" xr:uid="{00000000-0005-0000-0000-000057F10000}"/>
    <cellStyle name="SAPLocked 8 3" xfId="8139" xr:uid="{00000000-0005-0000-0000-000058F10000}"/>
    <cellStyle name="SAPLocked 8 3 2" xfId="61921" xr:uid="{00000000-0005-0000-0000-000059F10000}"/>
    <cellStyle name="SAPLocked 8 4" xfId="8140" xr:uid="{00000000-0005-0000-0000-00005AF10000}"/>
    <cellStyle name="SAPLocked 8 4 2" xfId="61922" xr:uid="{00000000-0005-0000-0000-00005BF10000}"/>
    <cellStyle name="SAPLocked 8 5" xfId="8141" xr:uid="{00000000-0005-0000-0000-00005CF10000}"/>
    <cellStyle name="SAPLocked 8 5 2" xfId="61923" xr:uid="{00000000-0005-0000-0000-00005DF10000}"/>
    <cellStyle name="SAPLocked 8 6" xfId="8142" xr:uid="{00000000-0005-0000-0000-00005EF10000}"/>
    <cellStyle name="SAPLocked 8 6 2" xfId="61924" xr:uid="{00000000-0005-0000-0000-00005FF10000}"/>
    <cellStyle name="SAPLocked 8 7" xfId="8143" xr:uid="{00000000-0005-0000-0000-000060F10000}"/>
    <cellStyle name="SAPLocked 8 7 2" xfId="61925" xr:uid="{00000000-0005-0000-0000-000061F10000}"/>
    <cellStyle name="SAPLocked 8 8" xfId="8144" xr:uid="{00000000-0005-0000-0000-000062F10000}"/>
    <cellStyle name="SAPLocked 8 8 2" xfId="61926" xr:uid="{00000000-0005-0000-0000-000063F10000}"/>
    <cellStyle name="SAPLocked 8 9" xfId="8145" xr:uid="{00000000-0005-0000-0000-000064F10000}"/>
    <cellStyle name="SAPLocked 8 9 2" xfId="61927" xr:uid="{00000000-0005-0000-0000-000065F10000}"/>
    <cellStyle name="SAPLocked 9" xfId="8146" xr:uid="{00000000-0005-0000-0000-000066F10000}"/>
    <cellStyle name="SAPLocked 9 10" xfId="8147" xr:uid="{00000000-0005-0000-0000-000067F10000}"/>
    <cellStyle name="SAPLocked 9 10 2" xfId="61928" xr:uid="{00000000-0005-0000-0000-000068F10000}"/>
    <cellStyle name="SAPLocked 9 11" xfId="8148" xr:uid="{00000000-0005-0000-0000-000069F10000}"/>
    <cellStyle name="SAPLocked 9 11 2" xfId="61929" xr:uid="{00000000-0005-0000-0000-00006AF10000}"/>
    <cellStyle name="SAPLocked 9 12" xfId="8149" xr:uid="{00000000-0005-0000-0000-00006BF10000}"/>
    <cellStyle name="SAPLocked 9 12 2" xfId="61930" xr:uid="{00000000-0005-0000-0000-00006CF10000}"/>
    <cellStyle name="SAPLocked 9 13" xfId="8150" xr:uid="{00000000-0005-0000-0000-00006DF10000}"/>
    <cellStyle name="SAPLocked 9 2" xfId="8151" xr:uid="{00000000-0005-0000-0000-00006EF10000}"/>
    <cellStyle name="SAPLocked 9 2 10" xfId="8152" xr:uid="{00000000-0005-0000-0000-00006FF10000}"/>
    <cellStyle name="SAPLocked 9 2 10 2" xfId="61931" xr:uid="{00000000-0005-0000-0000-000070F10000}"/>
    <cellStyle name="SAPLocked 9 2 11" xfId="8153" xr:uid="{00000000-0005-0000-0000-000071F10000}"/>
    <cellStyle name="SAPLocked 9 2 11 2" xfId="61932" xr:uid="{00000000-0005-0000-0000-000072F10000}"/>
    <cellStyle name="SAPLocked 9 2 12" xfId="8154" xr:uid="{00000000-0005-0000-0000-000073F10000}"/>
    <cellStyle name="SAPLocked 9 2 2" xfId="8155" xr:uid="{00000000-0005-0000-0000-000074F10000}"/>
    <cellStyle name="SAPLocked 9 2 2 2" xfId="61933" xr:uid="{00000000-0005-0000-0000-000075F10000}"/>
    <cellStyle name="SAPLocked 9 2 3" xfId="8156" xr:uid="{00000000-0005-0000-0000-000076F10000}"/>
    <cellStyle name="SAPLocked 9 2 3 2" xfId="61934" xr:uid="{00000000-0005-0000-0000-000077F10000}"/>
    <cellStyle name="SAPLocked 9 2 4" xfId="8157" xr:uid="{00000000-0005-0000-0000-000078F10000}"/>
    <cellStyle name="SAPLocked 9 2 4 2" xfId="61935" xr:uid="{00000000-0005-0000-0000-000079F10000}"/>
    <cellStyle name="SAPLocked 9 2 5" xfId="8158" xr:uid="{00000000-0005-0000-0000-00007AF10000}"/>
    <cellStyle name="SAPLocked 9 2 5 2" xfId="61936" xr:uid="{00000000-0005-0000-0000-00007BF10000}"/>
    <cellStyle name="SAPLocked 9 2 6" xfId="8159" xr:uid="{00000000-0005-0000-0000-00007CF10000}"/>
    <cellStyle name="SAPLocked 9 2 6 2" xfId="61937" xr:uid="{00000000-0005-0000-0000-00007DF10000}"/>
    <cellStyle name="SAPLocked 9 2 7" xfId="8160" xr:uid="{00000000-0005-0000-0000-00007EF10000}"/>
    <cellStyle name="SAPLocked 9 2 7 2" xfId="61938" xr:uid="{00000000-0005-0000-0000-00007FF10000}"/>
    <cellStyle name="SAPLocked 9 2 8" xfId="8161" xr:uid="{00000000-0005-0000-0000-000080F10000}"/>
    <cellStyle name="SAPLocked 9 2 8 2" xfId="61939" xr:uid="{00000000-0005-0000-0000-000081F10000}"/>
    <cellStyle name="SAPLocked 9 2 9" xfId="8162" xr:uid="{00000000-0005-0000-0000-000082F10000}"/>
    <cellStyle name="SAPLocked 9 2 9 2" xfId="61940" xr:uid="{00000000-0005-0000-0000-000083F10000}"/>
    <cellStyle name="SAPLocked 9 3" xfId="8163" xr:uid="{00000000-0005-0000-0000-000084F10000}"/>
    <cellStyle name="SAPLocked 9 3 2" xfId="61941" xr:uid="{00000000-0005-0000-0000-000085F10000}"/>
    <cellStyle name="SAPLocked 9 4" xfId="8164" xr:uid="{00000000-0005-0000-0000-000086F10000}"/>
    <cellStyle name="SAPLocked 9 4 2" xfId="61942" xr:uid="{00000000-0005-0000-0000-000087F10000}"/>
    <cellStyle name="SAPLocked 9 5" xfId="8165" xr:uid="{00000000-0005-0000-0000-000088F10000}"/>
    <cellStyle name="SAPLocked 9 5 2" xfId="61943" xr:uid="{00000000-0005-0000-0000-000089F10000}"/>
    <cellStyle name="SAPLocked 9 6" xfId="8166" xr:uid="{00000000-0005-0000-0000-00008AF10000}"/>
    <cellStyle name="SAPLocked 9 6 2" xfId="61944" xr:uid="{00000000-0005-0000-0000-00008BF10000}"/>
    <cellStyle name="SAPLocked 9 7" xfId="8167" xr:uid="{00000000-0005-0000-0000-00008CF10000}"/>
    <cellStyle name="SAPLocked 9 7 2" xfId="61945" xr:uid="{00000000-0005-0000-0000-00008DF10000}"/>
    <cellStyle name="SAPLocked 9 8" xfId="8168" xr:uid="{00000000-0005-0000-0000-00008EF10000}"/>
    <cellStyle name="SAPLocked 9 8 2" xfId="61946" xr:uid="{00000000-0005-0000-0000-00008FF10000}"/>
    <cellStyle name="SAPLocked 9 9" xfId="8169" xr:uid="{00000000-0005-0000-0000-000090F10000}"/>
    <cellStyle name="SAPLocked 9 9 2" xfId="61947" xr:uid="{00000000-0005-0000-0000-000091F10000}"/>
    <cellStyle name="SAPMemberCell" xfId="61948" xr:uid="{00000000-0005-0000-0000-000092F10000}"/>
    <cellStyle name="SAPMemberTotalCell" xfId="61949" xr:uid="{00000000-0005-0000-0000-000093F10000}"/>
    <cellStyle name="Shade" xfId="9362" xr:uid="{00000000-0005-0000-0000-000094F10000}"/>
    <cellStyle name="Standard_CORE_20040805_Movement types_Sets_V0.1_e" xfId="8170" xr:uid="{00000000-0005-0000-0000-000095F10000}"/>
    <cellStyle name="STYL5 - Style5" xfId="8171" xr:uid="{00000000-0005-0000-0000-000096F10000}"/>
    <cellStyle name="STYL5 - Style5 2" xfId="8172" xr:uid="{00000000-0005-0000-0000-000097F10000}"/>
    <cellStyle name="STYL5 - Style5 2 2" xfId="9948" xr:uid="{00000000-0005-0000-0000-000098F10000}"/>
    <cellStyle name="STYL5 - Style5 3" xfId="9949" xr:uid="{00000000-0005-0000-0000-000099F10000}"/>
    <cellStyle name="STYL5 - Style5 3 2" xfId="9950" xr:uid="{00000000-0005-0000-0000-00009AF10000}"/>
    <cellStyle name="STYL6 - Style6" xfId="8173" xr:uid="{00000000-0005-0000-0000-00009BF10000}"/>
    <cellStyle name="STYL6 - Style6 2" xfId="8174" xr:uid="{00000000-0005-0000-0000-00009CF10000}"/>
    <cellStyle name="STYL6 - Style6 2 2" xfId="9951" xr:uid="{00000000-0005-0000-0000-00009DF10000}"/>
    <cellStyle name="STYL6 - Style6 3" xfId="9952" xr:uid="{00000000-0005-0000-0000-00009EF10000}"/>
    <cellStyle name="STYL6 - Style6 3 2" xfId="9953" xr:uid="{00000000-0005-0000-0000-00009FF10000}"/>
    <cellStyle name="Style 1" xfId="8765" xr:uid="{00000000-0005-0000-0000-0000A0F10000}"/>
    <cellStyle name="STYLE1 - Style1" xfId="8175" xr:uid="{00000000-0005-0000-0000-0000A1F10000}"/>
    <cellStyle name="STYLE1 - Style1 2" xfId="8176" xr:uid="{00000000-0005-0000-0000-0000A2F10000}"/>
    <cellStyle name="STYLE1 - Style1 2 2" xfId="9954" xr:uid="{00000000-0005-0000-0000-0000A3F10000}"/>
    <cellStyle name="STYLE1 - Style1 3" xfId="9955" xr:uid="{00000000-0005-0000-0000-0000A4F10000}"/>
    <cellStyle name="STYLE1 - Style1 3 2" xfId="9956" xr:uid="{00000000-0005-0000-0000-0000A5F10000}"/>
    <cellStyle name="STYLE2 - Style2" xfId="8177" xr:uid="{00000000-0005-0000-0000-0000A6F10000}"/>
    <cellStyle name="STYLE2 - Style2 2" xfId="8178" xr:uid="{00000000-0005-0000-0000-0000A7F10000}"/>
    <cellStyle name="STYLE2 - Style2 2 2" xfId="9957" xr:uid="{00000000-0005-0000-0000-0000A8F10000}"/>
    <cellStyle name="STYLE2 - Style2 3" xfId="9958" xr:uid="{00000000-0005-0000-0000-0000A9F10000}"/>
    <cellStyle name="STYLE2 - Style2 3 2" xfId="9959" xr:uid="{00000000-0005-0000-0000-0000AAF10000}"/>
    <cellStyle name="STYLE3 - Style3" xfId="8179" xr:uid="{00000000-0005-0000-0000-0000ABF10000}"/>
    <cellStyle name="STYLE3 - Style3 2" xfId="8180" xr:uid="{00000000-0005-0000-0000-0000ACF10000}"/>
    <cellStyle name="STYLE3 - Style3 2 2" xfId="9960" xr:uid="{00000000-0005-0000-0000-0000ADF10000}"/>
    <cellStyle name="STYLE3 - Style3 3" xfId="9961" xr:uid="{00000000-0005-0000-0000-0000AEF10000}"/>
    <cellStyle name="STYLE3 - Style3 3 2" xfId="9962" xr:uid="{00000000-0005-0000-0000-0000AFF10000}"/>
    <cellStyle name="STYLE4 - Style4" xfId="8181" xr:uid="{00000000-0005-0000-0000-0000B0F10000}"/>
    <cellStyle name="STYLE4 - Style4 2" xfId="8182" xr:uid="{00000000-0005-0000-0000-0000B1F10000}"/>
    <cellStyle name="STYLE4 - Style4 2 2" xfId="9963" xr:uid="{00000000-0005-0000-0000-0000B2F10000}"/>
    <cellStyle name="STYLE4 - Style4 3" xfId="9964" xr:uid="{00000000-0005-0000-0000-0000B3F10000}"/>
    <cellStyle name="STYLE4 - Style4 3 2" xfId="9965" xr:uid="{00000000-0005-0000-0000-0000B4F10000}"/>
    <cellStyle name="Table  - Style5" xfId="61950" xr:uid="{00000000-0005-0000-0000-0000B5F10000}"/>
    <cellStyle name="Text" xfId="57796" xr:uid="{00000000-0005-0000-0000-0000B6F10000}"/>
    <cellStyle name="Title  - Style6" xfId="61951" xr:uid="{00000000-0005-0000-0000-0000B7F10000}"/>
    <cellStyle name="Title 10" xfId="9966" xr:uid="{00000000-0005-0000-0000-0000B8F10000}"/>
    <cellStyle name="Title 11" xfId="9967" xr:uid="{00000000-0005-0000-0000-0000B9F10000}"/>
    <cellStyle name="Title 12" xfId="9968" xr:uid="{00000000-0005-0000-0000-0000BAF10000}"/>
    <cellStyle name="Title 13" xfId="9969" xr:uid="{00000000-0005-0000-0000-0000BBF10000}"/>
    <cellStyle name="Title 14" xfId="9970" xr:uid="{00000000-0005-0000-0000-0000BCF10000}"/>
    <cellStyle name="Title 15" xfId="9971" xr:uid="{00000000-0005-0000-0000-0000BDF10000}"/>
    <cellStyle name="Title 16" xfId="9972" xr:uid="{00000000-0005-0000-0000-0000BEF10000}"/>
    <cellStyle name="Title 17" xfId="9973" xr:uid="{00000000-0005-0000-0000-0000BFF10000}"/>
    <cellStyle name="Title 17 2" xfId="61952" xr:uid="{00000000-0005-0000-0000-0000C0F10000}"/>
    <cellStyle name="Title 18" xfId="61953" xr:uid="{00000000-0005-0000-0000-0000C1F10000}"/>
    <cellStyle name="Title 19" xfId="61954" xr:uid="{00000000-0005-0000-0000-0000C2F10000}"/>
    <cellStyle name="Title 2" xfId="8183" xr:uid="{00000000-0005-0000-0000-0000C3F10000}"/>
    <cellStyle name="Title 2 2" xfId="8184" xr:uid="{00000000-0005-0000-0000-0000C4F10000}"/>
    <cellStyle name="Title 2 2 2" xfId="57797" xr:uid="{00000000-0005-0000-0000-0000C5F10000}"/>
    <cellStyle name="Title 2 3" xfId="57798" xr:uid="{00000000-0005-0000-0000-0000C6F10000}"/>
    <cellStyle name="Title 20" xfId="61955" xr:uid="{00000000-0005-0000-0000-0000C7F10000}"/>
    <cellStyle name="Title 3" xfId="8185" xr:uid="{00000000-0005-0000-0000-0000C8F10000}"/>
    <cellStyle name="Title 3 2" xfId="9363" xr:uid="{00000000-0005-0000-0000-0000C9F10000}"/>
    <cellStyle name="Title 4" xfId="9974" xr:uid="{00000000-0005-0000-0000-0000CAF10000}"/>
    <cellStyle name="Title 5" xfId="9975" xr:uid="{00000000-0005-0000-0000-0000CBF10000}"/>
    <cellStyle name="Title 6" xfId="9976" xr:uid="{00000000-0005-0000-0000-0000CCF10000}"/>
    <cellStyle name="Title 7" xfId="9977" xr:uid="{00000000-0005-0000-0000-0000CDF10000}"/>
    <cellStyle name="Title 8" xfId="9978" xr:uid="{00000000-0005-0000-0000-0000CEF10000}"/>
    <cellStyle name="Title 9" xfId="9979" xr:uid="{00000000-0005-0000-0000-0000CFF10000}"/>
    <cellStyle name="Total 10" xfId="9980" xr:uid="{00000000-0005-0000-0000-0000D0F10000}"/>
    <cellStyle name="Total 11" xfId="9981" xr:uid="{00000000-0005-0000-0000-0000D1F10000}"/>
    <cellStyle name="Total 12" xfId="9982" xr:uid="{00000000-0005-0000-0000-0000D2F10000}"/>
    <cellStyle name="Total 13" xfId="9983" xr:uid="{00000000-0005-0000-0000-0000D3F10000}"/>
    <cellStyle name="Total 14" xfId="9984" xr:uid="{00000000-0005-0000-0000-0000D4F10000}"/>
    <cellStyle name="Total 15" xfId="9985" xr:uid="{00000000-0005-0000-0000-0000D5F10000}"/>
    <cellStyle name="Total 16" xfId="9986" xr:uid="{00000000-0005-0000-0000-0000D6F10000}"/>
    <cellStyle name="Total 17" xfId="9987" xr:uid="{00000000-0005-0000-0000-0000D7F10000}"/>
    <cellStyle name="Total 17 2" xfId="61956" xr:uid="{00000000-0005-0000-0000-0000D8F10000}"/>
    <cellStyle name="Total 17 3" xfId="61957" xr:uid="{00000000-0005-0000-0000-0000D9F10000}"/>
    <cellStyle name="Total 17 4" xfId="61958" xr:uid="{00000000-0005-0000-0000-0000DAF10000}"/>
    <cellStyle name="Total 18" xfId="61959" xr:uid="{00000000-0005-0000-0000-0000DBF10000}"/>
    <cellStyle name="Total 2" xfId="8186" xr:uid="{00000000-0005-0000-0000-0000DCF10000}"/>
    <cellStyle name="Total 2 2" xfId="8187" xr:uid="{00000000-0005-0000-0000-0000DDF10000}"/>
    <cellStyle name="Total 2 2 2" xfId="8188" xr:uid="{00000000-0005-0000-0000-0000DEF10000}"/>
    <cellStyle name="Total 2 2 3" xfId="61960" xr:uid="{00000000-0005-0000-0000-0000DFF10000}"/>
    <cellStyle name="Total 2 3" xfId="8189" xr:uid="{00000000-0005-0000-0000-0000E0F10000}"/>
    <cellStyle name="Total 2 3 2" xfId="61961" xr:uid="{00000000-0005-0000-0000-0000E1F10000}"/>
    <cellStyle name="Total 2 4" xfId="8190" xr:uid="{00000000-0005-0000-0000-0000E2F10000}"/>
    <cellStyle name="Total 2 4 2" xfId="61962" xr:uid="{00000000-0005-0000-0000-0000E3F10000}"/>
    <cellStyle name="Total 2 5" xfId="8191" xr:uid="{00000000-0005-0000-0000-0000E4F10000}"/>
    <cellStyle name="Total 2 5 2" xfId="61963" xr:uid="{00000000-0005-0000-0000-0000E5F10000}"/>
    <cellStyle name="Total 2 6" xfId="8192" xr:uid="{00000000-0005-0000-0000-0000E6F10000}"/>
    <cellStyle name="Total 2 6 2" xfId="61964" xr:uid="{00000000-0005-0000-0000-0000E7F10000}"/>
    <cellStyle name="Total 2 7" xfId="8193" xr:uid="{00000000-0005-0000-0000-0000E8F10000}"/>
    <cellStyle name="Total 2 7 2" xfId="61965" xr:uid="{00000000-0005-0000-0000-0000E9F10000}"/>
    <cellStyle name="Total 2 8" xfId="8194" xr:uid="{00000000-0005-0000-0000-0000EAF10000}"/>
    <cellStyle name="Total 2 9" xfId="8195" xr:uid="{00000000-0005-0000-0000-0000EBF10000}"/>
    <cellStyle name="Total 3" xfId="8196" xr:uid="{00000000-0005-0000-0000-0000ECF10000}"/>
    <cellStyle name="Total 3 2" xfId="8197" xr:uid="{00000000-0005-0000-0000-0000EDF10000}"/>
    <cellStyle name="Total 3 2 2" xfId="61966" xr:uid="{00000000-0005-0000-0000-0000EEF10000}"/>
    <cellStyle name="Total 3 3" xfId="8198" xr:uid="{00000000-0005-0000-0000-0000EFF10000}"/>
    <cellStyle name="Total 4" xfId="9364" xr:uid="{00000000-0005-0000-0000-0000F0F10000}"/>
    <cellStyle name="Total 4 2" xfId="57799" xr:uid="{00000000-0005-0000-0000-0000F1F10000}"/>
    <cellStyle name="Total 5" xfId="9365" xr:uid="{00000000-0005-0000-0000-0000F2F10000}"/>
    <cellStyle name="Total 5 2" xfId="57800" xr:uid="{00000000-0005-0000-0000-0000F3F10000}"/>
    <cellStyle name="Total 6" xfId="9988" xr:uid="{00000000-0005-0000-0000-0000F4F10000}"/>
    <cellStyle name="Total 6 2" xfId="57801" xr:uid="{00000000-0005-0000-0000-0000F5F10000}"/>
    <cellStyle name="Total 7" xfId="9989" xr:uid="{00000000-0005-0000-0000-0000F6F10000}"/>
    <cellStyle name="Total 7 2" xfId="57802" xr:uid="{00000000-0005-0000-0000-0000F7F10000}"/>
    <cellStyle name="Total 8" xfId="9990" xr:uid="{00000000-0005-0000-0000-0000F8F10000}"/>
    <cellStyle name="Total 9" xfId="9991" xr:uid="{00000000-0005-0000-0000-0000F9F10000}"/>
    <cellStyle name="TotCol - Style7" xfId="61967" xr:uid="{00000000-0005-0000-0000-0000FAF10000}"/>
    <cellStyle name="TotRow - Style8" xfId="61968" xr:uid="{00000000-0005-0000-0000-0000FBF10000}"/>
    <cellStyle name="Undefiniert" xfId="8199" xr:uid="{00000000-0005-0000-0000-0000FCF10000}"/>
    <cellStyle name="Undefiniert 2" xfId="9992" xr:uid="{00000000-0005-0000-0000-0000FDF10000}"/>
    <cellStyle name="UploadThisRowValue" xfId="8200" xr:uid="{00000000-0005-0000-0000-0000FEF10000}"/>
    <cellStyle name="UploadThisRowValue 2" xfId="8201" xr:uid="{00000000-0005-0000-0000-0000FFF10000}"/>
    <cellStyle name="UploadThisRowValue 2 2" xfId="57803" xr:uid="{00000000-0005-0000-0000-000000F20000}"/>
    <cellStyle name="UploadThisRowValue 3" xfId="8202" xr:uid="{00000000-0005-0000-0000-000001F20000}"/>
    <cellStyle name="UploadThisRowValue 4" xfId="9366" xr:uid="{00000000-0005-0000-0000-000002F20000}"/>
    <cellStyle name="Währung_KURSE3Q" xfId="9367" xr:uid="{00000000-0005-0000-0000-000003F20000}"/>
    <cellStyle name="Warning Text 10" xfId="9993" xr:uid="{00000000-0005-0000-0000-000004F20000}"/>
    <cellStyle name="Warning Text 11" xfId="9994" xr:uid="{00000000-0005-0000-0000-000005F20000}"/>
    <cellStyle name="Warning Text 12" xfId="9995" xr:uid="{00000000-0005-0000-0000-000006F20000}"/>
    <cellStyle name="Warning Text 13" xfId="9996" xr:uid="{00000000-0005-0000-0000-000007F20000}"/>
    <cellStyle name="Warning Text 14" xfId="9997" xr:uid="{00000000-0005-0000-0000-000008F20000}"/>
    <cellStyle name="Warning Text 15" xfId="9998" xr:uid="{00000000-0005-0000-0000-000009F20000}"/>
    <cellStyle name="Warning Text 16" xfId="9999" xr:uid="{00000000-0005-0000-0000-00000AF20000}"/>
    <cellStyle name="Warning Text 17" xfId="10000" xr:uid="{00000000-0005-0000-0000-00000BF20000}"/>
    <cellStyle name="Warning Text 2" xfId="8203" xr:uid="{00000000-0005-0000-0000-00000CF20000}"/>
    <cellStyle name="Warning Text 2 2" xfId="8204" xr:uid="{00000000-0005-0000-0000-00000DF20000}"/>
    <cellStyle name="Warning Text 2 2 2" xfId="61969" xr:uid="{00000000-0005-0000-0000-00000EF20000}"/>
    <cellStyle name="Warning Text 2 3" xfId="57804" xr:uid="{00000000-0005-0000-0000-00000FF20000}"/>
    <cellStyle name="Warning Text 2 4" xfId="57805" xr:uid="{00000000-0005-0000-0000-000010F20000}"/>
    <cellStyle name="Warning Text 2 5" xfId="57806" xr:uid="{00000000-0005-0000-0000-000011F20000}"/>
    <cellStyle name="Warning Text 2 6" xfId="57807" xr:uid="{00000000-0005-0000-0000-000012F20000}"/>
    <cellStyle name="Warning Text 3" xfId="8205" xr:uid="{00000000-0005-0000-0000-000013F20000}"/>
    <cellStyle name="Warning Text 3 2" xfId="9368" xr:uid="{00000000-0005-0000-0000-000014F20000}"/>
    <cellStyle name="Warning Text 3 3" xfId="57808" xr:uid="{00000000-0005-0000-0000-000015F20000}"/>
    <cellStyle name="Warning Text 4" xfId="8206" xr:uid="{00000000-0005-0000-0000-000016F20000}"/>
    <cellStyle name="Warning Text 4 2" xfId="57809" xr:uid="{00000000-0005-0000-0000-000017F20000}"/>
    <cellStyle name="Warning Text 5" xfId="9369" xr:uid="{00000000-0005-0000-0000-000018F20000}"/>
    <cellStyle name="Warning Text 5 2" xfId="57810" xr:uid="{00000000-0005-0000-0000-000019F20000}"/>
    <cellStyle name="Warning Text 6" xfId="10001" xr:uid="{00000000-0005-0000-0000-00001AF20000}"/>
    <cellStyle name="Warning Text 6 2" xfId="57811" xr:uid="{00000000-0005-0000-0000-00001BF20000}"/>
    <cellStyle name="Warning Text 7" xfId="10002" xr:uid="{00000000-0005-0000-0000-00001CF20000}"/>
    <cellStyle name="Warning Text 7 2" xfId="57812" xr:uid="{00000000-0005-0000-0000-00001DF20000}"/>
    <cellStyle name="Warning Text 8" xfId="10003" xr:uid="{00000000-0005-0000-0000-00001EF20000}"/>
    <cellStyle name="Warning Text 8 2" xfId="57813" xr:uid="{00000000-0005-0000-0000-00001FF20000}"/>
    <cellStyle name="Warning Text 9" xfId="10004" xr:uid="{00000000-0005-0000-0000-000020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7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75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V53"/>
  <sheetViews>
    <sheetView showGridLines="0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133</v>
      </c>
      <c r="R1" s="366" t="s">
        <v>2049</v>
      </c>
    </row>
    <row r="2" spans="1:22">
      <c r="B2" s="370" t="str">
        <f>'Rate Case Constants'!C29</f>
        <v>TYPE OF FILING: __X__ ORIGINAL  _____ UPDATED  _____ REVISED</v>
      </c>
      <c r="R2" s="367" t="str">
        <f>'Rate Case Constants'!C38</f>
        <v>WITNESS:   C. M. GARRETT</v>
      </c>
      <c r="T2" s="303"/>
    </row>
    <row r="3" spans="1:22">
      <c r="R3" s="368" t="s">
        <v>176</v>
      </c>
    </row>
    <row r="5" spans="1:22">
      <c r="A5" s="803" t="str">
        <f>'Rate Case Constants'!C9</f>
        <v>KENTUCKY UTILITIES COMPANY</v>
      </c>
      <c r="B5" s="803"/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</row>
    <row r="7" spans="1:22">
      <c r="A7" s="803" t="str">
        <f>"Net Original Cost Kentucky Jurisdictional Rate Base as of "&amp;TEXT('Rate Case Constants'!C11,"MMMM D, YYYY")</f>
        <v>Net Original Cost Kentucky Jurisdictional Rate Base as of February 28, 2021</v>
      </c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</row>
    <row r="8" spans="1:22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</row>
    <row r="9" spans="1:22">
      <c r="A9" s="805"/>
      <c r="B9" s="805"/>
      <c r="C9" s="805"/>
      <c r="D9" s="805"/>
      <c r="E9" s="805"/>
      <c r="F9" s="805"/>
      <c r="G9" s="805"/>
      <c r="H9" s="805"/>
      <c r="I9" s="805"/>
      <c r="J9" s="805"/>
      <c r="K9" s="805"/>
      <c r="L9" s="805"/>
      <c r="M9" s="805"/>
      <c r="N9" s="805"/>
      <c r="O9" s="805"/>
      <c r="P9" s="805"/>
      <c r="Q9" s="805"/>
      <c r="R9" s="805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 t="s">
        <v>2011</v>
      </c>
      <c r="N12" s="311" t="s">
        <v>2011</v>
      </c>
    </row>
    <row r="13" spans="1:22">
      <c r="A13" s="305"/>
      <c r="B13" s="306"/>
      <c r="C13" s="307"/>
      <c r="D13" s="310" t="s">
        <v>2011</v>
      </c>
      <c r="E13" s="307"/>
      <c r="F13" s="310" t="s">
        <v>2011</v>
      </c>
      <c r="G13" s="307"/>
      <c r="H13" s="311" t="s">
        <v>2011</v>
      </c>
      <c r="I13" s="307"/>
      <c r="J13" s="311" t="s">
        <v>2011</v>
      </c>
      <c r="K13" s="307"/>
      <c r="L13" s="311" t="s">
        <v>2014</v>
      </c>
      <c r="M13" s="307"/>
      <c r="N13" s="311" t="s">
        <v>2014</v>
      </c>
      <c r="O13" s="307"/>
      <c r="P13" s="310" t="s">
        <v>2012</v>
      </c>
      <c r="Q13" s="307"/>
      <c r="R13" s="310" t="s">
        <v>2013</v>
      </c>
    </row>
    <row r="14" spans="1:22">
      <c r="A14" s="305"/>
      <c r="B14" s="306"/>
      <c r="C14" s="307"/>
      <c r="D14" s="310" t="s">
        <v>2014</v>
      </c>
      <c r="E14" s="307"/>
      <c r="F14" s="310" t="s">
        <v>2014</v>
      </c>
      <c r="G14" s="307"/>
      <c r="H14" s="311" t="s">
        <v>2014</v>
      </c>
      <c r="I14" s="307"/>
      <c r="J14" s="311" t="s">
        <v>2014</v>
      </c>
      <c r="K14" s="307"/>
      <c r="L14" s="312" t="s">
        <v>2044</v>
      </c>
      <c r="M14" s="307"/>
      <c r="N14" s="312" t="s">
        <v>2044</v>
      </c>
      <c r="O14" s="307"/>
      <c r="P14" s="310" t="s">
        <v>2014</v>
      </c>
      <c r="Q14" s="307"/>
      <c r="R14" s="310" t="s">
        <v>2015</v>
      </c>
    </row>
    <row r="15" spans="1:22">
      <c r="A15" s="305"/>
      <c r="B15" s="306" t="s">
        <v>2016</v>
      </c>
      <c r="C15" s="307"/>
      <c r="D15" s="312" t="s">
        <v>2017</v>
      </c>
      <c r="E15" s="307"/>
      <c r="F15" s="312" t="s">
        <v>2018</v>
      </c>
      <c r="G15" s="307"/>
      <c r="H15" s="312" t="s">
        <v>2042</v>
      </c>
      <c r="I15" s="307"/>
      <c r="J15" s="312" t="s">
        <v>2043</v>
      </c>
      <c r="K15" s="307"/>
      <c r="L15" s="312" t="s">
        <v>9</v>
      </c>
      <c r="M15" s="307"/>
      <c r="N15" s="312" t="s">
        <v>2019</v>
      </c>
      <c r="O15" s="307"/>
      <c r="P15" s="312" t="s">
        <v>2020</v>
      </c>
      <c r="Q15" s="307"/>
      <c r="R15" s="312" t="s">
        <v>2020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313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306"/>
      <c r="M17" s="307"/>
      <c r="N17" s="312" t="s">
        <v>2046</v>
      </c>
      <c r="O17" s="307"/>
      <c r="P17" s="306"/>
      <c r="Q17" s="307"/>
      <c r="R17" s="306" t="s">
        <v>2045</v>
      </c>
      <c r="T17" s="302"/>
      <c r="U17" s="302"/>
      <c r="V17" s="302"/>
    </row>
    <row r="18" spans="1:22" ht="21" customHeight="1">
      <c r="A18" s="316">
        <f>1</f>
        <v>1</v>
      </c>
      <c r="B18" s="317" t="s">
        <v>2021</v>
      </c>
      <c r="C18" s="318"/>
      <c r="D18" s="320">
        <f>'SCH B-2'!E27+SUM('SCH B-2.6'!G13:G17)+'SCH B-4'!H22</f>
        <v>10064156758.353426</v>
      </c>
      <c r="E18" s="319"/>
      <c r="F18" s="320">
        <f>SUM('SCH B-2.2'!F12:F16,'SCH B-2.2'!F21:F24,'SCH B-2.2'!F27,'SCH B-4.1'!E12)*-1</f>
        <v>1683599488.1034899</v>
      </c>
      <c r="G18" s="319"/>
      <c r="H18" s="320">
        <f>SUM('SCH B-2.2'!F25,'SCH B-2.2'!F28)*-1</f>
        <v>10587856.109999999</v>
      </c>
      <c r="I18" s="319"/>
      <c r="J18" s="320">
        <f>SUM('SCH B-2.2'!F17:F20,'SCH B-2.2'!F26)*-1</f>
        <v>160552674.27565137</v>
      </c>
      <c r="K18" s="319"/>
      <c r="L18" s="320">
        <v>0</v>
      </c>
      <c r="M18" s="319"/>
      <c r="N18" s="320">
        <f>D18-SUM(F18:L18)</f>
        <v>8209416739.8642845</v>
      </c>
      <c r="O18" s="319"/>
      <c r="P18" s="320">
        <f>R18-D18</f>
        <v>709813182.2413063</v>
      </c>
      <c r="Q18" s="319"/>
      <c r="R18" s="320">
        <f>SUM('SCH B-2'!C27+SUM('SCH B-2.6'!D13:D17)+'SCH B-4'!F22)</f>
        <v>10773969940.594732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2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2022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2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2023</v>
      </c>
      <c r="C21" s="318"/>
      <c r="D21" s="322">
        <f>-'SCH B-3 B'!G116</f>
        <v>3418757611.7465558</v>
      </c>
      <c r="E21" s="319"/>
      <c r="F21" s="322">
        <f>SUM('SCH B-3.1'!F12:F15,'SCH B-3.1'!F20:F23,'SCH B-3.1'!F26)</f>
        <v>227034533.93825161</v>
      </c>
      <c r="G21" s="319"/>
      <c r="H21" s="322">
        <f>SUM('SCH B-3.1'!F27,'SCH B-3.1'!F24)</f>
        <v>5542797.9651999986</v>
      </c>
      <c r="I21" s="319"/>
      <c r="J21" s="322">
        <f>SUM('SCH B-3.1'!F16:F19,'SCH B-3.1'!F25)</f>
        <v>107776840.31252137</v>
      </c>
      <c r="K21" s="319"/>
      <c r="L21" s="322">
        <v>0</v>
      </c>
      <c r="M21" s="319"/>
      <c r="N21" s="322">
        <f>D21-SUM(F21:L21)</f>
        <v>3078403439.5305829</v>
      </c>
      <c r="O21" s="319"/>
      <c r="P21" s="322">
        <f>R21-D21</f>
        <v>259794388.1769619</v>
      </c>
      <c r="Q21" s="319"/>
      <c r="R21" s="322">
        <f>-'SCH B-3 B'!E116</f>
        <v>3678551999.9235177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2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1498</v>
      </c>
      <c r="C23" s="318"/>
      <c r="D23" s="323">
        <f>D18-D21</f>
        <v>6645399146.6068707</v>
      </c>
      <c r="E23" s="319"/>
      <c r="F23" s="323">
        <f>+F18-F21</f>
        <v>1456564954.1652384</v>
      </c>
      <c r="G23" s="319"/>
      <c r="H23" s="323">
        <f>+H18-H21</f>
        <v>5045058.1448000008</v>
      </c>
      <c r="I23" s="319"/>
      <c r="J23" s="323">
        <f>+J18-J21</f>
        <v>52775833.963129997</v>
      </c>
      <c r="K23" s="319"/>
      <c r="L23" s="323">
        <f>+L18-L21</f>
        <v>0</v>
      </c>
      <c r="M23" s="319"/>
      <c r="N23" s="323">
        <f>+N18-N21</f>
        <v>5131013300.3337021</v>
      </c>
      <c r="O23" s="319"/>
      <c r="P23" s="323">
        <f>P18-P21</f>
        <v>450018794.06434441</v>
      </c>
      <c r="Q23" s="319"/>
      <c r="R23" s="323">
        <f>+R18-R21</f>
        <v>7095417940.6712151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2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2022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2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2024</v>
      </c>
      <c r="C26" s="318"/>
      <c r="D26" s="322">
        <f>'SCH B-6'!F12</f>
        <v>1712215.5636785864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2">
        <v>0</v>
      </c>
      <c r="M26" s="319"/>
      <c r="N26" s="322">
        <f t="shared" ref="N26:N28" si="0">D26-SUM(F26:L26)</f>
        <v>1712215.5636785864</v>
      </c>
      <c r="O26" s="319"/>
      <c r="P26" s="322">
        <f t="shared" ref="P26:P28" si="1">R26-D26</f>
        <v>7556.0263214134611</v>
      </c>
      <c r="Q26" s="319"/>
      <c r="R26" s="322">
        <f>'SCH B-6'!D12</f>
        <v>1719771.5899999999</v>
      </c>
      <c r="T26" s="325"/>
    </row>
    <row r="27" spans="1:22" ht="21" customHeight="1">
      <c r="A27" s="316">
        <f>1+A26</f>
        <v>7</v>
      </c>
      <c r="B27" s="317" t="s">
        <v>2025</v>
      </c>
      <c r="C27" s="318"/>
      <c r="D27" s="322">
        <f>'SCH B-6'!F16</f>
        <v>1353653196.222369</v>
      </c>
      <c r="E27" s="326"/>
      <c r="F27" s="327">
        <f>-'ECR DEFTAX'!M4</f>
        <v>339986428.82987475</v>
      </c>
      <c r="G27" s="326"/>
      <c r="H27" s="327">
        <f>-'DSM DEFTAX'!M2</f>
        <v>1393241.23012799</v>
      </c>
      <c r="I27" s="326"/>
      <c r="J27" s="327">
        <v>0</v>
      </c>
      <c r="K27" s="326"/>
      <c r="L27" s="327">
        <v>0</v>
      </c>
      <c r="M27" s="326"/>
      <c r="N27" s="327">
        <f t="shared" si="0"/>
        <v>1012273526.1623662</v>
      </c>
      <c r="O27" s="326"/>
      <c r="P27" s="322">
        <f t="shared" si="1"/>
        <v>89948569.163872957</v>
      </c>
      <c r="Q27" s="326"/>
      <c r="R27" s="322">
        <f>'SCH B-6'!D16</f>
        <v>1443601765.3862419</v>
      </c>
    </row>
    <row r="28" spans="1:22" ht="21" customHeight="1">
      <c r="A28" s="316">
        <f>A27+1</f>
        <v>8</v>
      </c>
      <c r="B28" s="330" t="s">
        <v>2026</v>
      </c>
      <c r="C28" s="318"/>
      <c r="D28" s="322">
        <f>'SCH B-6'!F14</f>
        <v>82288493.059952542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19">
        <v>0</v>
      </c>
      <c r="M28" s="319"/>
      <c r="N28" s="319">
        <f t="shared" si="0"/>
        <v>82288493.059952542</v>
      </c>
      <c r="O28" s="319"/>
      <c r="P28" s="322">
        <f t="shared" si="1"/>
        <v>5621494.8100474477</v>
      </c>
      <c r="Q28" s="319"/>
      <c r="R28" s="322">
        <f>'SCH B-6'!D14</f>
        <v>87909987.86999999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2027</v>
      </c>
      <c r="C30" s="318"/>
      <c r="D30" s="323">
        <f>SUM(D26:D29)</f>
        <v>1437653904.846</v>
      </c>
      <c r="E30" s="319"/>
      <c r="F30" s="323">
        <f>SUM(F26:F29)</f>
        <v>339986428.82987475</v>
      </c>
      <c r="G30" s="319"/>
      <c r="H30" s="323">
        <f>SUM(H26:H29)</f>
        <v>1393241.23012799</v>
      </c>
      <c r="I30" s="319"/>
      <c r="J30" s="323">
        <f>SUM(J26:J29)</f>
        <v>0</v>
      </c>
      <c r="K30" s="319"/>
      <c r="L30" s="323">
        <f>SUM(L26:L29)</f>
        <v>0</v>
      </c>
      <c r="M30" s="319"/>
      <c r="N30" s="323">
        <f>SUM(N26:N29)</f>
        <v>1096274234.7859974</v>
      </c>
      <c r="O30" s="319"/>
      <c r="P30" s="323">
        <f>SUM(P26:P29)</f>
        <v>95577620.000241816</v>
      </c>
      <c r="Q30" s="319"/>
      <c r="R30" s="323">
        <f>SUM(R26:R29)</f>
        <v>1533231524.8462417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2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2028</v>
      </c>
      <c r="C32" s="318"/>
      <c r="D32" s="323">
        <f>D23-D30</f>
        <v>5207745241.7608709</v>
      </c>
      <c r="E32" s="319"/>
      <c r="F32" s="323">
        <f>+F23-F30</f>
        <v>1116578525.3353636</v>
      </c>
      <c r="G32" s="319"/>
      <c r="H32" s="323">
        <f>+H23-H30</f>
        <v>3651816.9146720106</v>
      </c>
      <c r="I32" s="319"/>
      <c r="J32" s="323">
        <f>+J23-J30</f>
        <v>52775833.963129997</v>
      </c>
      <c r="K32" s="319"/>
      <c r="L32" s="323">
        <f>+L23-L30</f>
        <v>0</v>
      </c>
      <c r="M32" s="319"/>
      <c r="N32" s="323">
        <f>+N23-N30</f>
        <v>4034739065.5477047</v>
      </c>
      <c r="O32" s="319"/>
      <c r="P32" s="323">
        <f>P23-P30</f>
        <v>354441174.06410259</v>
      </c>
      <c r="Q32" s="319"/>
      <c r="R32" s="323">
        <f>+R23-R30</f>
        <v>5562186415.8249731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2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2029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2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2030</v>
      </c>
      <c r="C35" s="318"/>
      <c r="D35" s="327">
        <f>'SCH B-5'!G13+'SCH B-5'!G15</f>
        <v>114442803.8418889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2">
        <v>0</v>
      </c>
      <c r="M35" s="319"/>
      <c r="N35" s="322">
        <f t="shared" ref="N35:N37" si="2">D35-SUM(F35:L35)</f>
        <v>114442803.8418889</v>
      </c>
      <c r="O35" s="319"/>
      <c r="P35" s="327">
        <f t="shared" ref="P35:P38" si="3">R35-D35</f>
        <v>7866716.1581110954</v>
      </c>
      <c r="Q35" s="319"/>
      <c r="R35" s="327">
        <f>'SCH B-5'!E13+'SCH B-5'!E15</f>
        <v>122309520</v>
      </c>
    </row>
    <row r="36" spans="1:19" ht="21" customHeight="1">
      <c r="A36" s="316">
        <f>1+A35</f>
        <v>13</v>
      </c>
      <c r="B36" s="331" t="s">
        <v>2031</v>
      </c>
      <c r="C36" s="318"/>
      <c r="D36" s="327">
        <f>'SCH B-5'!G17</f>
        <v>18918053.267428812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2">
        <v>0</v>
      </c>
      <c r="M36" s="319"/>
      <c r="N36" s="322">
        <f t="shared" si="2"/>
        <v>18918053.267428812</v>
      </c>
      <c r="O36" s="319"/>
      <c r="P36" s="327">
        <f t="shared" si="3"/>
        <v>268349.38333283365</v>
      </c>
      <c r="Q36" s="319"/>
      <c r="R36" s="327">
        <f>'SCH B-5'!E17</f>
        <v>19186402.650761645</v>
      </c>
    </row>
    <row r="37" spans="1:19" ht="21" customHeight="1">
      <c r="A37" s="316">
        <f>1+A36</f>
        <v>14</v>
      </c>
      <c r="B37" s="317" t="s">
        <v>2032</v>
      </c>
      <c r="C37" s="318"/>
      <c r="D37" s="327">
        <f>'SCH B-5'!G19+F37</f>
        <v>116890.55466144321</v>
      </c>
      <c r="E37" s="319"/>
      <c r="F37" s="327">
        <f>'ECR ALLOW'!O7*1000</f>
        <v>116890.55466144321</v>
      </c>
      <c r="G37" s="319"/>
      <c r="H37" s="322">
        <v>0</v>
      </c>
      <c r="I37" s="319"/>
      <c r="J37" s="322">
        <v>0</v>
      </c>
      <c r="K37" s="319"/>
      <c r="L37" s="322">
        <v>0</v>
      </c>
      <c r="M37" s="319"/>
      <c r="N37" s="322">
        <f t="shared" si="2"/>
        <v>0</v>
      </c>
      <c r="O37" s="319"/>
      <c r="P37" s="327">
        <f t="shared" si="3"/>
        <v>7711.4453385567904</v>
      </c>
      <c r="Q37" s="319"/>
      <c r="R37" s="327">
        <f>'JURISSEP B'!$E$30</f>
        <v>124602</v>
      </c>
      <c r="S37" s="329"/>
    </row>
    <row r="38" spans="1:19" ht="21" customHeight="1">
      <c r="A38" s="316">
        <f>1+A37</f>
        <v>15</v>
      </c>
      <c r="B38" s="317" t="s">
        <v>2526</v>
      </c>
      <c r="C38" s="318"/>
      <c r="D38" s="319">
        <f>'SCH B-5.2 B (1)'!$Q78</f>
        <v>115879043.470186</v>
      </c>
      <c r="E38" s="319"/>
      <c r="F38" s="319">
        <f ca="1">'SCH B-5.2 B (1)'!$Q80</f>
        <v>2268874.1713541653</v>
      </c>
      <c r="G38" s="319"/>
      <c r="H38" s="319">
        <v>0</v>
      </c>
      <c r="I38" s="319"/>
      <c r="J38" s="319">
        <v>0</v>
      </c>
      <c r="K38" s="319"/>
      <c r="L38" s="319">
        <v>0</v>
      </c>
      <c r="M38" s="319"/>
      <c r="N38" s="319">
        <f ca="1">D38-SUM(F38:L38)</f>
        <v>113610169.29883184</v>
      </c>
      <c r="O38" s="319"/>
      <c r="P38" s="319">
        <f t="shared" si="3"/>
        <v>10010234.213772118</v>
      </c>
      <c r="Q38" s="319"/>
      <c r="R38" s="319">
        <f>'JURISSEP B'!$E$29</f>
        <v>125889277.68395811</v>
      </c>
    </row>
    <row r="39" spans="1:19" ht="21" customHeight="1">
      <c r="A39" s="316">
        <f t="shared" ref="A39" si="4">A38+1</f>
        <v>16</v>
      </c>
      <c r="B39" s="462" t="s">
        <v>2248</v>
      </c>
      <c r="C39" s="344"/>
      <c r="D39" s="344">
        <f>-'SCH B-6'!F18</f>
        <v>150450452</v>
      </c>
      <c r="E39" s="344"/>
      <c r="F39" s="344">
        <f>'SCH B-6'!G18</f>
        <v>150450452</v>
      </c>
      <c r="G39" s="344"/>
      <c r="H39" s="322">
        <v>0</v>
      </c>
      <c r="I39" s="319"/>
      <c r="J39" s="322">
        <v>0</v>
      </c>
      <c r="K39" s="319"/>
      <c r="L39" s="322">
        <v>0</v>
      </c>
      <c r="M39" s="319"/>
      <c r="N39" s="322">
        <f t="shared" ref="N39" si="5">D39-SUM(F39:L39)</f>
        <v>0</v>
      </c>
      <c r="O39" s="319"/>
      <c r="P39" s="327">
        <f t="shared" ref="P39" si="6">R39-D39</f>
        <v>6829163.093906045</v>
      </c>
      <c r="Q39" s="319"/>
      <c r="R39" s="322">
        <f>-'SCH B-6'!D18</f>
        <v>157279615.09390604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2033</v>
      </c>
      <c r="C41" s="318"/>
      <c r="D41" s="323">
        <f>SUM(D35:D39)</f>
        <v>399807243.13416517</v>
      </c>
      <c r="E41" s="319"/>
      <c r="F41" s="323">
        <f ca="1">SUM(F35:F39)</f>
        <v>152836216.7260156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323">
        <f>SUM(L35:L39)</f>
        <v>0</v>
      </c>
      <c r="M41" s="319"/>
      <c r="N41" s="323">
        <f ca="1">SUM(N35:N39)</f>
        <v>246971026.40814954</v>
      </c>
      <c r="O41" s="319"/>
      <c r="P41" s="323">
        <f>SUM(P35:P39)</f>
        <v>24982174.294460647</v>
      </c>
      <c r="Q41" s="319"/>
      <c r="R41" s="323">
        <f>SUM(R35:R39)</f>
        <v>424789417.42862582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2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2034</v>
      </c>
      <c r="C43" s="318"/>
      <c r="D43" s="332">
        <f>+D32+D41</f>
        <v>5607552484.8950357</v>
      </c>
      <c r="E43" s="333"/>
      <c r="F43" s="332">
        <f ca="1">+F32+F41</f>
        <v>1269414742.0613792</v>
      </c>
      <c r="G43" s="333"/>
      <c r="H43" s="332">
        <f>+H32+H41</f>
        <v>3651816.9146720106</v>
      </c>
      <c r="I43" s="333"/>
      <c r="J43" s="332">
        <f>+J32+J41</f>
        <v>52775833.963129997</v>
      </c>
      <c r="K43" s="333"/>
      <c r="L43" s="332">
        <f>+L32+L41</f>
        <v>0</v>
      </c>
      <c r="M43" s="333"/>
      <c r="N43" s="332">
        <f ca="1">+N32+N41</f>
        <v>4281710091.9558544</v>
      </c>
      <c r="O43" s="333"/>
      <c r="P43" s="332">
        <f>+P32+P41</f>
        <v>379423348.35856324</v>
      </c>
      <c r="Q43" s="333"/>
      <c r="R43" s="332">
        <f>+R32+R41</f>
        <v>5986975833.2535992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2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2047</v>
      </c>
      <c r="C45" s="318"/>
      <c r="D45" s="327"/>
      <c r="E45" s="319"/>
      <c r="F45" s="322"/>
      <c r="G45" s="319"/>
      <c r="H45" s="322"/>
      <c r="I45" s="319"/>
      <c r="J45" s="322">
        <f>-J43</f>
        <v>-52775833.963129997</v>
      </c>
      <c r="K45" s="319"/>
      <c r="L45" s="322">
        <v>0</v>
      </c>
      <c r="M45" s="319"/>
      <c r="N45" s="322">
        <f t="shared" ref="N45" si="7">D45-SUM(F45:L45)</f>
        <v>52775833.963129997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2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2048</v>
      </c>
      <c r="C47" s="318"/>
      <c r="D47" s="332">
        <f>D43+D45</f>
        <v>5607552484.8950357</v>
      </c>
      <c r="E47" s="333"/>
      <c r="F47" s="332">
        <f ca="1">F43+F45</f>
        <v>1269414742.0613792</v>
      </c>
      <c r="G47" s="333"/>
      <c r="H47" s="332">
        <f>H43+H45</f>
        <v>3651816.9146720106</v>
      </c>
      <c r="I47" s="333"/>
      <c r="J47" s="332">
        <f>J43+J45</f>
        <v>0</v>
      </c>
      <c r="K47" s="333"/>
      <c r="L47" s="332">
        <f>L43+L45</f>
        <v>0</v>
      </c>
      <c r="M47" s="333"/>
      <c r="N47" s="332">
        <f ca="1">N43+N45</f>
        <v>4334485925.9189844</v>
      </c>
      <c r="O47" s="333"/>
      <c r="P47" s="332">
        <f>P43+P45</f>
        <v>379423348.35856324</v>
      </c>
      <c r="Q47" s="333"/>
      <c r="R47" s="332">
        <f>R43+R45</f>
        <v>5986975833.2535992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2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2035</v>
      </c>
      <c r="C49" s="301"/>
      <c r="D49" s="335">
        <f>ROUND(D47/$R47,4)</f>
        <v>0.93659999999999999</v>
      </c>
      <c r="E49" s="301"/>
      <c r="F49" s="335">
        <f ca="1">ROUND(F47/$R47,4)</f>
        <v>0.21199999999999999</v>
      </c>
      <c r="G49" s="301"/>
      <c r="H49" s="335">
        <f>ROUND(H47/$R47,4)</f>
        <v>5.9999999999999995E-4</v>
      </c>
      <c r="I49" s="301"/>
      <c r="J49" s="335">
        <f>ROUND(J47/$R47,4)</f>
        <v>0</v>
      </c>
      <c r="K49" s="301"/>
      <c r="L49" s="335">
        <f>ROUND(L47/$R47,4)</f>
        <v>0</v>
      </c>
      <c r="M49" s="301"/>
      <c r="N49" s="335">
        <f ca="1">ROUND(N47/$R47,4)</f>
        <v>0.72399999999999998</v>
      </c>
      <c r="O49" s="301"/>
      <c r="P49" s="335">
        <f>ROUND(P47/$R47,4)</f>
        <v>6.3399999999999998E-2</v>
      </c>
      <c r="Q49" s="301"/>
      <c r="R49" s="335">
        <f>ROUND(R47/$R47,4)</f>
        <v>1</v>
      </c>
    </row>
    <row r="50" spans="1:21" ht="18.95" customHeight="1" thickTop="1">
      <c r="A50" s="301"/>
      <c r="C50" s="301"/>
      <c r="E50" s="301"/>
      <c r="F50" s="336"/>
      <c r="G50" s="301"/>
      <c r="I50" s="301"/>
      <c r="K50" s="301"/>
      <c r="M50" s="301"/>
      <c r="N50" s="337"/>
      <c r="O50" s="301"/>
      <c r="Q50" s="301"/>
    </row>
    <row r="51" spans="1:21" ht="18.95" customHeight="1">
      <c r="A51" s="338" t="s">
        <v>2036</v>
      </c>
      <c r="B51" s="330" t="s">
        <v>2037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2038</v>
      </c>
      <c r="B52" s="340" t="s">
        <v>2039</v>
      </c>
      <c r="C52" s="301"/>
      <c r="E52" s="301"/>
      <c r="F52" s="341"/>
      <c r="G52" s="301"/>
      <c r="I52" s="301"/>
      <c r="K52" s="301"/>
      <c r="M52" s="301"/>
      <c r="O52" s="301"/>
      <c r="Q52" s="301"/>
    </row>
    <row r="53" spans="1:21" ht="18.95" customHeight="1">
      <c r="A53" s="339" t="s">
        <v>2040</v>
      </c>
      <c r="B53" s="301" t="s">
        <v>2041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5:R5"/>
    <mergeCell ref="A7:R7"/>
    <mergeCell ref="A8:R8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K69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6" width="15.75" style="69" customWidth="1"/>
    <col min="7" max="7" width="15.375" style="69" customWidth="1"/>
    <col min="8" max="8" width="33" style="69" customWidth="1"/>
    <col min="9" max="9" width="1.625" style="69" customWidth="1"/>
    <col min="10" max="10" width="9" style="69"/>
    <col min="11" max="11" width="18" style="69" customWidth="1"/>
    <col min="12" max="16384" width="9" style="69"/>
  </cols>
  <sheetData>
    <row r="1" spans="1:11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11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11" s="68" customFormat="1" ht="20.100000000000001" customHeight="1">
      <c r="A3" s="809" t="s">
        <v>214</v>
      </c>
      <c r="B3" s="809"/>
      <c r="C3" s="809"/>
      <c r="D3" s="809"/>
      <c r="E3" s="809"/>
      <c r="F3" s="809"/>
      <c r="G3" s="809"/>
      <c r="H3" s="809"/>
    </row>
    <row r="4" spans="1:11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</row>
    <row r="5" spans="1:11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1" s="68" customFormat="1" ht="20.100000000000001" customHeight="1">
      <c r="A6" s="67" t="s">
        <v>133</v>
      </c>
      <c r="B6" s="67"/>
      <c r="G6" s="74"/>
      <c r="H6" s="74" t="s">
        <v>213</v>
      </c>
    </row>
    <row r="7" spans="1:11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176</v>
      </c>
    </row>
    <row r="8" spans="1:11" s="68" customFormat="1" ht="20.100000000000001" customHeight="1">
      <c r="A8" s="67" t="s">
        <v>1195</v>
      </c>
      <c r="B8" s="67"/>
      <c r="F8" s="67"/>
      <c r="G8" s="75"/>
      <c r="H8" s="75" t="str">
        <f>'Rate Case Constants'!C36</f>
        <v>WITNESS:   C. M. GARRETT</v>
      </c>
    </row>
    <row r="9" spans="1:11" s="68" customFormat="1" ht="20.100000000000001" customHeight="1"/>
    <row r="10" spans="1:11" ht="58.5" customHeight="1">
      <c r="A10" s="76" t="s">
        <v>131</v>
      </c>
      <c r="B10" s="76" t="s">
        <v>134</v>
      </c>
      <c r="C10" s="79" t="s">
        <v>135</v>
      </c>
      <c r="D10" s="76" t="s">
        <v>215</v>
      </c>
      <c r="E10" s="76" t="s">
        <v>216</v>
      </c>
      <c r="F10" s="76" t="s">
        <v>217</v>
      </c>
      <c r="G10" s="76" t="s">
        <v>218</v>
      </c>
      <c r="H10" s="76" t="s">
        <v>219</v>
      </c>
      <c r="K10" s="491" t="s">
        <v>2171</v>
      </c>
    </row>
    <row r="11" spans="1:11" ht="23.1" customHeight="1">
      <c r="A11" s="80"/>
      <c r="B11" s="80"/>
      <c r="C11" s="81"/>
      <c r="D11" s="82" t="s">
        <v>142</v>
      </c>
      <c r="E11" s="349"/>
      <c r="F11" s="82" t="s">
        <v>142</v>
      </c>
      <c r="G11" s="82"/>
      <c r="H11" s="82"/>
      <c r="K11" s="418" t="s">
        <v>2168</v>
      </c>
    </row>
    <row r="12" spans="1:11" ht="18.95" customHeight="1">
      <c r="A12" s="281">
        <v>1</v>
      </c>
      <c r="B12" s="389">
        <v>310</v>
      </c>
      <c r="C12" s="67" t="s">
        <v>154</v>
      </c>
      <c r="D12" s="395">
        <f>SUMIFS('FCPIS B'!$T$6:$T$721,'FCPIS B'!$G$6:$G$721,$J12,'FCPIS B'!$B$6:$B$721,"KY",'FCPIS B'!$D$6:$D$721,"P",'FCPIS B'!$E$6:$E$721,$B12)*-1000</f>
        <v>-13560951.419999901</v>
      </c>
      <c r="E12" s="137">
        <f>'SCH B-2.1 B'!E19</f>
        <v>0.93811298816770405</v>
      </c>
      <c r="F12" s="395">
        <f t="shared" ref="F12:F15" si="0">D12*E12</f>
        <v>-12721704.659013176</v>
      </c>
      <c r="H12" s="68" t="s">
        <v>1990</v>
      </c>
      <c r="J12" s="68" t="s">
        <v>2168</v>
      </c>
      <c r="K12" s="395">
        <f>SUMIFS('FCPIS B'!$T$6:$T$721,'FCPIS B'!$G$6:$G$721,$K11,'FCPIS B'!$B$6:$B$721,"KY",'FCPIS B'!$D$6:$D$721,"P")*-1000</f>
        <v>-1708121864.3599985</v>
      </c>
    </row>
    <row r="13" spans="1:11" ht="18.95" customHeight="1">
      <c r="A13" s="281">
        <f>A12+1</f>
        <v>2</v>
      </c>
      <c r="B13" s="389">
        <v>311</v>
      </c>
      <c r="C13" s="67" t="s">
        <v>148</v>
      </c>
      <c r="D13" s="395">
        <f>SUMIFS('FCPIS B'!$T$6:$T$721,'FCPIS B'!$G$6:$G$721,$J13,'FCPIS B'!$B$6:$B$721,"KY",'FCPIS B'!$D$6:$D$721,"P",'FCPIS B'!$E$6:$E$721,$B13)*-1000</f>
        <v>-24907592.949999999</v>
      </c>
      <c r="E13" s="137">
        <f>'SCH B-2.1 B'!E20</f>
        <v>0.93481136250084318</v>
      </c>
      <c r="F13" s="395">
        <f t="shared" si="0"/>
        <v>-23283900.902205896</v>
      </c>
      <c r="H13" s="68" t="s">
        <v>1990</v>
      </c>
      <c r="J13" s="68" t="s">
        <v>2168</v>
      </c>
      <c r="K13" s="88">
        <f>SUM(D12:D16,D21:D24,D27)-'ECR Exclusion'!$G$6</f>
        <v>-1708121864.3599987</v>
      </c>
    </row>
    <row r="14" spans="1:11" ht="18.95" customHeight="1">
      <c r="A14" s="281">
        <f>A13+1</f>
        <v>3</v>
      </c>
      <c r="B14" s="389">
        <v>312</v>
      </c>
      <c r="C14" s="67" t="s">
        <v>1624</v>
      </c>
      <c r="D14" s="395">
        <f>SUMIFS('FCPIS B'!$T$6:$T$721,'FCPIS B'!$G$6:$G$721,$J14,'FCPIS B'!$B$6:$B$721,"KY",'FCPIS B'!$D$6:$D$721,"P",'FCPIS B'!$E$6:$E$721,$B14)*-1000+'ECR Exclusion'!$G$6</f>
        <v>-1620989789.78</v>
      </c>
      <c r="E14" s="137">
        <f>'SCH B-2.1 B'!E21</f>
        <v>0.93601532244933572</v>
      </c>
      <c r="F14" s="395">
        <f t="shared" si="0"/>
        <v>-1517271280.7680075</v>
      </c>
      <c r="H14" s="68" t="s">
        <v>1990</v>
      </c>
      <c r="J14" s="68" t="s">
        <v>2168</v>
      </c>
      <c r="K14" s="88">
        <f>K12-K13</f>
        <v>0</v>
      </c>
    </row>
    <row r="15" spans="1:11" ht="18.95" customHeight="1">
      <c r="A15" s="281">
        <f>A14+1</f>
        <v>4</v>
      </c>
      <c r="B15" s="389">
        <v>315</v>
      </c>
      <c r="C15" s="67" t="s">
        <v>1628</v>
      </c>
      <c r="D15" s="395">
        <f>SUMIFS('FCPIS B'!$T$6:$T$721,'FCPIS B'!$G$6:$G$721,$J15,'FCPIS B'!$B$6:$B$721,"KY",'FCPIS B'!$D$6:$D$721,"P",'FCPIS B'!$E$6:$E$721,$B15)*-1000</f>
        <v>-37609058.7299999</v>
      </c>
      <c r="E15" s="137">
        <f>'SCH B-2.1 B'!E24</f>
        <v>0.93410723317018329</v>
      </c>
      <c r="F15" s="395">
        <f t="shared" si="0"/>
        <v>-35130893.792415135</v>
      </c>
      <c r="H15" s="68" t="s">
        <v>1990</v>
      </c>
      <c r="J15" s="68" t="s">
        <v>2168</v>
      </c>
    </row>
    <row r="16" spans="1:11" ht="18.95" customHeight="1">
      <c r="A16" s="421">
        <f t="shared" ref="A16:A28" si="1">A15+1</f>
        <v>5</v>
      </c>
      <c r="B16" s="420">
        <v>316</v>
      </c>
      <c r="C16" s="78" t="s">
        <v>1630</v>
      </c>
      <c r="D16" s="395">
        <f>SUMIFS('FCPIS B'!$T$6:$T$721,'FCPIS B'!$G$6:$G$721,$J16,'FCPIS B'!$B$6:$B$721,"KY",'FCPIS B'!$D$6:$D$721,"P",'FCPIS B'!$E$6:$E$721,$B16)*-1000</f>
        <v>-558116.44000000006</v>
      </c>
      <c r="E16" s="137">
        <f>'SCH B-2.1 B'!E25</f>
        <v>0.93592381345569686</v>
      </c>
      <c r="F16" s="395">
        <f t="shared" ref="F16" si="2">D16*E16</f>
        <v>-522354.46687711769</v>
      </c>
      <c r="H16" s="68" t="s">
        <v>1990</v>
      </c>
      <c r="J16" s="68" t="s">
        <v>2168</v>
      </c>
      <c r="K16" s="418" t="s">
        <v>2169</v>
      </c>
    </row>
    <row r="17" spans="1:11" ht="18.95" customHeight="1">
      <c r="A17" s="421">
        <f t="shared" si="1"/>
        <v>6</v>
      </c>
      <c r="B17" s="389" t="str">
        <f>'SCH B-2.1 B'!B$26</f>
        <v>317</v>
      </c>
      <c r="C17" s="67" t="str">
        <f>'SCH B-2.1 B'!C$26</f>
        <v>ARO Cost Steam Production</v>
      </c>
      <c r="D17" s="395">
        <f>SUMIFS('FCPIS B'!$T$6:$T$721,'FCPIS B'!$G$6:$G$721,$J17,'FCPIS B'!$B$6:$B$721,"KY",'FCPIS B'!$D$6:$D$721,"P",'FCPIS B'!$E$6:$E$721,$B17)*-1000</f>
        <v>-169288108.68000001</v>
      </c>
      <c r="E17" s="137">
        <f>'SCH B-2.1 B'!E$26</f>
        <v>0.93811298816770394</v>
      </c>
      <c r="F17" s="395">
        <f>D17*E17</f>
        <v>-158811373.49505383</v>
      </c>
      <c r="H17" s="68" t="s">
        <v>1413</v>
      </c>
      <c r="J17" s="68" t="s">
        <v>2169</v>
      </c>
      <c r="K17" s="395">
        <f>SUMIFS('FCPIS B'!$T$6:$T$721,'FCPIS B'!$G$6:$G$721,$K16,'FCPIS B'!$B$6:$B$721,"KY",'FCPIS B'!$D$6:$D$721,"P")*-1000</f>
        <v>-171105581.29999998</v>
      </c>
    </row>
    <row r="18" spans="1:11" ht="18.95" customHeight="1">
      <c r="A18" s="421">
        <f t="shared" si="1"/>
        <v>7</v>
      </c>
      <c r="B18" s="389" t="str">
        <f>'SCH B-2.1 B'!B$37</f>
        <v>337</v>
      </c>
      <c r="C18" s="67" t="str">
        <f>'SCH B-2.1 B'!C$37</f>
        <v>ARO Cost Hydro Production</v>
      </c>
      <c r="D18" s="395">
        <f>SUMIFS('FCPIS B'!$T$6:$T$721,'FCPIS B'!$G$6:$G$721,$J18,'FCPIS B'!$B$6:$B$721,"KY",'FCPIS B'!$D$6:$D$721,"P",'FCPIS B'!$E$6:$E$721,$B18)*-1000</f>
        <v>-645787.99</v>
      </c>
      <c r="E18" s="137">
        <f>'SCH B-2.1 B'!E$37</f>
        <v>0.93811298816770394</v>
      </c>
      <c r="F18" s="395">
        <f>D18*E18</f>
        <v>-605822.10102171532</v>
      </c>
      <c r="H18" s="68" t="s">
        <v>1413</v>
      </c>
      <c r="J18" s="68" t="s">
        <v>2169</v>
      </c>
      <c r="K18" s="88">
        <f>SUM(D17:D20,D26)</f>
        <v>-171105581.30000001</v>
      </c>
    </row>
    <row r="19" spans="1:11" ht="18.95" customHeight="1">
      <c r="A19" s="421">
        <f t="shared" si="1"/>
        <v>8</v>
      </c>
      <c r="B19" s="420" t="str">
        <f>'SCH B-2.1 B'!B$59</f>
        <v>347</v>
      </c>
      <c r="C19" s="67" t="str">
        <f>'SCH B-2.1 B'!C$59</f>
        <v>ARO Cost Other Production</v>
      </c>
      <c r="D19" s="395">
        <f>SUMIFS('FCPIS B'!$T$6:$T$721,'FCPIS B'!$G$6:$G$721,$J19,'FCPIS B'!$B$6:$B$721,"KY",'FCPIS B'!$D$6:$D$721,"P",'FCPIS B'!$E$6:$E$721,$B19)*-1000</f>
        <v>-406991.12</v>
      </c>
      <c r="E19" s="137">
        <f>'SCH B-2.1 B'!E$59</f>
        <v>0.93811298816770394</v>
      </c>
      <c r="F19" s="395">
        <f>D19*E19</f>
        <v>-381803.65574092057</v>
      </c>
      <c r="H19" s="68" t="s">
        <v>1413</v>
      </c>
      <c r="J19" s="68" t="s">
        <v>2169</v>
      </c>
      <c r="K19" s="88">
        <f>K17-K18</f>
        <v>0</v>
      </c>
    </row>
    <row r="20" spans="1:11" ht="18.95" customHeight="1">
      <c r="A20" s="421">
        <f t="shared" si="1"/>
        <v>9</v>
      </c>
      <c r="B20" s="389" t="str">
        <f>'SCH B-2.1 B'!B$71</f>
        <v>359</v>
      </c>
      <c r="C20" s="67" t="str">
        <f>'SCH B-2.1 B'!C$71</f>
        <v>ARO Cost Elec Transmission</v>
      </c>
      <c r="D20" s="395">
        <f>SUMIFS('FCPIS B'!$T$6:$T$721,'FCPIS B'!$G$6:$G$721,$J20,'FCPIS B'!$B$6:$B$721,"KY",'FCPIS B'!$D$6:$D$721,"P",'FCPIS B'!$E$6:$E$721,$B20)*-1000</f>
        <v>-254317.41</v>
      </c>
      <c r="E20" s="137">
        <f>'SCH B-2.1 B'!E71</f>
        <v>0.956674275012947</v>
      </c>
      <c r="F20" s="395">
        <f>D20*E20</f>
        <v>-243298.9238349204</v>
      </c>
      <c r="H20" s="68" t="s">
        <v>1413</v>
      </c>
      <c r="J20" s="68" t="s">
        <v>2169</v>
      </c>
    </row>
    <row r="21" spans="1:11" ht="18.95" customHeight="1">
      <c r="A21" s="421">
        <f t="shared" si="1"/>
        <v>10</v>
      </c>
      <c r="B21" s="420">
        <v>364</v>
      </c>
      <c r="C21" s="78" t="s">
        <v>1676</v>
      </c>
      <c r="D21" s="395">
        <f>SUMIFS('FCPIS B'!$T$6:$T$721,'FCPIS B'!$G$6:$G$721,$J21,'FCPIS B'!$B$6:$B$721,"KY",'FCPIS B'!$D$6:$D$721,"P",'FCPIS B'!$E$6:$E$721,$B21)*-1000</f>
        <v>-103641.14</v>
      </c>
      <c r="E21" s="137">
        <f>'SCH B-2.1 B'!E78</f>
        <v>0.92944101785722499</v>
      </c>
      <c r="F21" s="395">
        <f t="shared" ref="F21:F25" si="3">D21*E21</f>
        <v>-96328.326653483149</v>
      </c>
      <c r="H21" s="68" t="s">
        <v>1990</v>
      </c>
      <c r="J21" s="68" t="s">
        <v>2168</v>
      </c>
      <c r="K21" s="418" t="s">
        <v>2170</v>
      </c>
    </row>
    <row r="22" spans="1:11" ht="18.95" customHeight="1">
      <c r="A22" s="421">
        <f t="shared" si="1"/>
        <v>11</v>
      </c>
      <c r="B22" s="420">
        <v>365</v>
      </c>
      <c r="C22" s="78" t="s">
        <v>1665</v>
      </c>
      <c r="D22" s="395">
        <f>SUMIFS('FCPIS B'!$T$6:$T$721,'FCPIS B'!$G$6:$G$721,$J22,'FCPIS B'!$B$6:$B$721,"KY",'FCPIS B'!$D$6:$D$721,"P",'FCPIS B'!$E$6:$E$721,$B22)*-1000</f>
        <v>-89787.7</v>
      </c>
      <c r="E22" s="137">
        <f>'SCH B-2.1 B'!E79</f>
        <v>0.93745706767869375</v>
      </c>
      <c r="F22" s="395">
        <f t="shared" si="3"/>
        <v>-84172.113955614244</v>
      </c>
      <c r="H22" s="68" t="s">
        <v>1990</v>
      </c>
      <c r="J22" s="68" t="s">
        <v>2168</v>
      </c>
      <c r="K22" s="395">
        <f>SUMIFS('FCPIS B'!$T$6:$T$721,'FCPIS B'!$G$6:$G$721,$K21,'FCPIS B'!$B$6:$B$721,"KY",'FCPIS B'!$D$6:$D$721,"P")*-1000</f>
        <v>-10587856.110000001</v>
      </c>
    </row>
    <row r="23" spans="1:11" ht="18.95" customHeight="1">
      <c r="A23" s="421">
        <f t="shared" si="1"/>
        <v>12</v>
      </c>
      <c r="B23" s="420">
        <v>366</v>
      </c>
      <c r="C23" s="78" t="s">
        <v>1667</v>
      </c>
      <c r="D23" s="395">
        <f>SUMIFS('FCPIS B'!$T$6:$T$721,'FCPIS B'!$G$6:$G$721,$J23,'FCPIS B'!$B$6:$B$721,"KY",'FCPIS B'!$D$6:$D$721,"P",'FCPIS B'!$E$6:$E$721,$B23)*-1000</f>
        <v>-216870.109999999</v>
      </c>
      <c r="E23" s="137">
        <f>'SCH B-2.1 B'!E80</f>
        <v>1</v>
      </c>
      <c r="F23" s="395">
        <f t="shared" si="3"/>
        <v>-216870.109999999</v>
      </c>
      <c r="H23" s="68" t="s">
        <v>1990</v>
      </c>
      <c r="J23" s="68" t="s">
        <v>2168</v>
      </c>
      <c r="K23" s="88">
        <f>SUM(D28,D25)</f>
        <v>-10587856.109999999</v>
      </c>
    </row>
    <row r="24" spans="1:11" ht="18.95" customHeight="1">
      <c r="A24" s="491">
        <f t="shared" si="1"/>
        <v>13</v>
      </c>
      <c r="B24" s="420">
        <v>367</v>
      </c>
      <c r="C24" s="78" t="s">
        <v>1669</v>
      </c>
      <c r="D24" s="395">
        <f>SUMIFS('FCPIS B'!$T$6:$T$721,'FCPIS B'!$G$6:$G$721,$J24,'FCPIS B'!$B$6:$B$721,"KY",'FCPIS B'!$D$6:$D$721,"P",'FCPIS B'!$E$6:$E$721,$B24)*-1000</f>
        <v>-1176771.97</v>
      </c>
      <c r="E24" s="137">
        <f>'SCH B-2.1 B'!E81</f>
        <v>0.978788766886451</v>
      </c>
      <c r="F24" s="395">
        <f t="shared" si="3"/>
        <v>-1151811.1854228396</v>
      </c>
      <c r="H24" s="68" t="s">
        <v>1990</v>
      </c>
      <c r="J24" s="68" t="s">
        <v>2168</v>
      </c>
      <c r="K24" s="88">
        <f>K22-K23</f>
        <v>0</v>
      </c>
    </row>
    <row r="25" spans="1:11" ht="18.95" customHeight="1">
      <c r="A25" s="491">
        <f t="shared" si="1"/>
        <v>14</v>
      </c>
      <c r="B25" s="490">
        <v>370</v>
      </c>
      <c r="C25" s="67" t="s">
        <v>1685</v>
      </c>
      <c r="D25" s="395">
        <f>SUMIFS('FCPIS B'!$T$6:$T$721,'FCPIS B'!$G$6:$G$721,$J25,'FCPIS B'!$B$6:$B$721,"KY",'FCPIS B'!$D$6:$D$721,"P",'FCPIS B'!$E$6:$E$721,$B25)*-1000</f>
        <v>-3003280.6799999997</v>
      </c>
      <c r="E25" s="394">
        <v>1</v>
      </c>
      <c r="F25" s="395">
        <f t="shared" si="3"/>
        <v>-3003280.6799999997</v>
      </c>
      <c r="H25" s="68" t="s">
        <v>1991</v>
      </c>
      <c r="J25" s="68" t="s">
        <v>2170</v>
      </c>
    </row>
    <row r="26" spans="1:11" ht="18.95" customHeight="1">
      <c r="A26" s="491">
        <f t="shared" si="1"/>
        <v>15</v>
      </c>
      <c r="B26" s="389" t="str">
        <f>'SCH B-2.1 B'!B$87</f>
        <v>374</v>
      </c>
      <c r="C26" s="67" t="str">
        <f>'SCH B-2.1 B'!C$87</f>
        <v>ARO Cost Elec Distribution</v>
      </c>
      <c r="D26" s="395">
        <f>SUMIFS('FCPIS B'!$T$6:$T$721,'FCPIS B'!$G$6:$G$721,$J26,'FCPIS B'!$B$6:$B$721,"KY",'FCPIS B'!$D$6:$D$721,"P",'FCPIS B'!$E$6:$E$721,$B26)*-1000</f>
        <v>-510376.10000000003</v>
      </c>
      <c r="E26" s="137">
        <f>'SCH B-2.1 B'!E$87</f>
        <v>1</v>
      </c>
      <c r="F26" s="395">
        <f>D26*E26</f>
        <v>-510376.10000000003</v>
      </c>
      <c r="H26" s="68" t="s">
        <v>1413</v>
      </c>
      <c r="J26" s="68" t="s">
        <v>2169</v>
      </c>
    </row>
    <row r="27" spans="1:11" ht="18.95" customHeight="1">
      <c r="A27" s="491">
        <f t="shared" si="1"/>
        <v>16</v>
      </c>
      <c r="B27" s="389">
        <v>392</v>
      </c>
      <c r="C27" s="67" t="s">
        <v>155</v>
      </c>
      <c r="D27" s="395">
        <f>SUMIFS('FCPIS B'!$T$6:$T$721,'FCPIS B'!$G$6:$G$721,$J27,'FCPIS B'!$B$6:$B$721,"KY",'FCPIS B'!$D$6:$D$721,"P",'FCPIS B'!$E$6:$E$721,$B27)*-1000</f>
        <v>0</v>
      </c>
      <c r="E27" s="394">
        <f>'SCH B-2.1 B'!E$104</f>
        <v>0.9412021633458364</v>
      </c>
      <c r="F27" s="395">
        <f t="shared" ref="F27" si="4">D27*E27</f>
        <v>0</v>
      </c>
      <c r="H27" s="68" t="s">
        <v>1990</v>
      </c>
      <c r="J27" s="68" t="s">
        <v>2168</v>
      </c>
    </row>
    <row r="28" spans="1:11" ht="18.95" customHeight="1">
      <c r="A28" s="491">
        <f t="shared" si="1"/>
        <v>17</v>
      </c>
      <c r="B28" s="389">
        <v>397</v>
      </c>
      <c r="C28" s="67" t="s">
        <v>157</v>
      </c>
      <c r="D28" s="395">
        <f>SUMIFS('FCPIS B'!$T$6:$T$721,'FCPIS B'!$G$6:$G$721,$J28,'FCPIS B'!$B$6:$B$721,"KY",'FCPIS B'!$D$6:$D$721,"P",'FCPIS B'!$E$6:$E$721,$B28)*-1000</f>
        <v>-7584575.4299999997</v>
      </c>
      <c r="E28" s="394">
        <v>1</v>
      </c>
      <c r="F28" s="395">
        <f t="shared" ref="F28" si="5">D28*E28</f>
        <v>-7584575.4299999997</v>
      </c>
      <c r="H28" s="68" t="s">
        <v>1991</v>
      </c>
      <c r="J28" s="68" t="s">
        <v>2170</v>
      </c>
    </row>
    <row r="29" spans="1:11" ht="18.95" customHeight="1">
      <c r="A29" s="299"/>
      <c r="B29" s="389"/>
      <c r="C29" s="67"/>
      <c r="D29" s="395"/>
      <c r="E29" s="394"/>
      <c r="F29" s="395"/>
      <c r="H29" s="68"/>
    </row>
    <row r="30" spans="1:11" ht="18.95" customHeight="1" thickBot="1">
      <c r="A30" s="299">
        <f>A28+1</f>
        <v>18</v>
      </c>
      <c r="B30" s="389"/>
      <c r="C30" s="67" t="s">
        <v>2010</v>
      </c>
      <c r="D30" s="393">
        <f>SUM(D12:D29)</f>
        <v>-1880906017.6499999</v>
      </c>
      <c r="E30" s="394"/>
      <c r="F30" s="393">
        <f>SUM(F12:F29)</f>
        <v>-1761619846.7102022</v>
      </c>
      <c r="H30" s="68"/>
    </row>
    <row r="31" spans="1:11" ht="18.95" customHeight="1" thickTop="1">
      <c r="B31" s="71"/>
      <c r="D31" s="86"/>
    </row>
    <row r="32" spans="1:11" s="68" customFormat="1" ht="20.100000000000001" customHeight="1">
      <c r="A32" s="809" t="str">
        <f>$A$1</f>
        <v>KENTUCKY UTILITIES COMPANY</v>
      </c>
      <c r="B32" s="809"/>
      <c r="C32" s="809"/>
      <c r="D32" s="809"/>
      <c r="E32" s="809"/>
      <c r="F32" s="809"/>
      <c r="G32" s="809"/>
      <c r="H32" s="809"/>
    </row>
    <row r="33" spans="1:11" s="68" customFormat="1" ht="20.100000000000001" customHeight="1">
      <c r="A33" s="809" t="str">
        <f>$A$2</f>
        <v>CASE NO. 2020-00349</v>
      </c>
      <c r="B33" s="809"/>
      <c r="C33" s="809"/>
      <c r="D33" s="809"/>
      <c r="E33" s="809"/>
      <c r="F33" s="809"/>
      <c r="G33" s="809"/>
      <c r="H33" s="809"/>
    </row>
    <row r="34" spans="1:11" s="68" customFormat="1" ht="20.100000000000001" customHeight="1">
      <c r="A34" s="809" t="str">
        <f>$A$3</f>
        <v>PROPOSED ADJUSTMENTS TO PLANT IN SERVICE</v>
      </c>
      <c r="B34" s="809"/>
      <c r="C34" s="809"/>
      <c r="D34" s="809"/>
      <c r="E34" s="809"/>
      <c r="F34" s="809"/>
      <c r="G34" s="809"/>
      <c r="H34" s="809"/>
    </row>
    <row r="35" spans="1:11" s="68" customFormat="1" ht="20.100000000000001" customHeight="1">
      <c r="A35" s="809" t="str">
        <f>'Rate Case Constants'!C18</f>
        <v>AS OF JUNE 30, 2022</v>
      </c>
      <c r="B35" s="809"/>
      <c r="C35" s="809"/>
      <c r="D35" s="809"/>
      <c r="E35" s="809"/>
      <c r="F35" s="809"/>
      <c r="G35" s="809"/>
      <c r="H35" s="809"/>
    </row>
    <row r="36" spans="1:11" s="68" customFormat="1" ht="20.100000000000001" customHeight="1">
      <c r="A36" s="84"/>
      <c r="B36" s="84"/>
      <c r="C36" s="84"/>
      <c r="D36" s="84"/>
      <c r="E36" s="84"/>
      <c r="F36" s="84"/>
      <c r="G36" s="84"/>
      <c r="H36" s="84"/>
    </row>
    <row r="37" spans="1:11" s="68" customFormat="1" ht="20.100000000000001" customHeight="1">
      <c r="A37" s="67" t="s">
        <v>161</v>
      </c>
      <c r="B37" s="67"/>
      <c r="G37" s="74"/>
      <c r="H37" s="74" t="s">
        <v>213</v>
      </c>
    </row>
    <row r="38" spans="1:11" s="68" customFormat="1" ht="20.100000000000001" customHeight="1">
      <c r="A38" s="67" t="str">
        <f>$A$7</f>
        <v>TYPE OF FILING: __X__ ORIGINAL  _____ UPDATED  _____ REVISED</v>
      </c>
      <c r="G38" s="74"/>
      <c r="H38" s="74" t="s">
        <v>184</v>
      </c>
    </row>
    <row r="39" spans="1:11" s="68" customFormat="1" ht="20.100000000000001" customHeight="1">
      <c r="A39" s="67" t="str">
        <f>$A$8</f>
        <v>WORKPAPER REFERENCE NO(S).:</v>
      </c>
      <c r="B39" s="67"/>
      <c r="F39" s="67"/>
      <c r="G39" s="75"/>
      <c r="H39" s="75" t="str">
        <f>$H$8</f>
        <v>WITNESS:   C. M. GARRETT</v>
      </c>
    </row>
    <row r="40" spans="1:11" s="68" customFormat="1" ht="20.100000000000001" customHeight="1"/>
    <row r="41" spans="1:11" ht="58.5" customHeight="1">
      <c r="A41" s="76" t="s">
        <v>131</v>
      </c>
      <c r="B41" s="76" t="s">
        <v>134</v>
      </c>
      <c r="C41" s="79" t="s">
        <v>135</v>
      </c>
      <c r="D41" s="76" t="s">
        <v>215</v>
      </c>
      <c r="E41" s="76" t="s">
        <v>216</v>
      </c>
      <c r="F41" s="76" t="s">
        <v>217</v>
      </c>
      <c r="G41" s="76" t="s">
        <v>218</v>
      </c>
      <c r="H41" s="76" t="s">
        <v>219</v>
      </c>
      <c r="K41" s="417" t="s">
        <v>2171</v>
      </c>
    </row>
    <row r="42" spans="1:11" ht="23.1" customHeight="1">
      <c r="A42" s="80"/>
      <c r="B42" s="80"/>
      <c r="C42" s="81"/>
      <c r="D42" s="82" t="s">
        <v>142</v>
      </c>
      <c r="E42" s="82"/>
      <c r="F42" s="82" t="s">
        <v>142</v>
      </c>
      <c r="G42" s="82"/>
      <c r="H42" s="82"/>
      <c r="K42" s="418" t="s">
        <v>2168</v>
      </c>
    </row>
    <row r="43" spans="1:11" ht="18.95" customHeight="1">
      <c r="A43" s="282">
        <v>1</v>
      </c>
      <c r="B43" s="389">
        <f t="shared" ref="B43:B49" si="6">B12</f>
        <v>310</v>
      </c>
      <c r="C43" s="67" t="s">
        <v>154</v>
      </c>
      <c r="D43" s="395">
        <f>SUMIFS('FCPIS F'!$V$6:$V$704,'FCPIS F'!$G$6:$G$704,$J43,'FCPIS F'!$B$6:$B$704,"KY",'FCPIS F'!$D$6:$D$704,"P",'FCPIS F'!$E$6:$E$704,$B43)*-1000</f>
        <v>-1747656.6999999997</v>
      </c>
      <c r="E43" s="137">
        <f>'SCH B-2.1 F'!E19</f>
        <v>0.93811298816770394</v>
      </c>
      <c r="F43" s="395">
        <f t="shared" ref="F43:F46" si="7">D43*E43</f>
        <v>-1639499.4491283083</v>
      </c>
      <c r="H43" s="68" t="s">
        <v>1990</v>
      </c>
      <c r="J43" s="68" t="s">
        <v>2168</v>
      </c>
      <c r="K43" s="395">
        <f>SUMIFS('FCPIS F'!$V$6:$V$704,'FCPIS F'!$G$6:$G$704,$K42,'FCPIS F'!$B$6:$B$704,"KY",'FCPIS F'!$D$6:$D$704,"P")*-1000</f>
        <v>-417564423.69769228</v>
      </c>
    </row>
    <row r="44" spans="1:11" ht="18.95" customHeight="1">
      <c r="A44" s="282">
        <f>A43+1</f>
        <v>2</v>
      </c>
      <c r="B44" s="420">
        <f t="shared" si="6"/>
        <v>311</v>
      </c>
      <c r="C44" s="67" t="s">
        <v>148</v>
      </c>
      <c r="D44" s="395">
        <f>SUMIFS('FCPIS F'!$V$6:$V$704,'FCPIS F'!$G$6:$G$704,$J44,'FCPIS F'!$B$6:$B$704,"KY",'FCPIS F'!$D$6:$D$704,"P",'FCPIS F'!$E$6:$E$704,$B44)*-1000</f>
        <v>-320016.99000000005</v>
      </c>
      <c r="E44" s="137">
        <f>'SCH B-2.1 F'!E20</f>
        <v>0.9368986255797791</v>
      </c>
      <c r="F44" s="395">
        <f t="shared" si="7"/>
        <v>-299823.47809317795</v>
      </c>
      <c r="H44" s="68" t="s">
        <v>1990</v>
      </c>
      <c r="J44" s="68" t="s">
        <v>2168</v>
      </c>
      <c r="K44" s="88">
        <f>SUM(D43:D47,D52:D55,D58)-'ECR Exclusion'!$G$6</f>
        <v>-417564423.69769228</v>
      </c>
    </row>
    <row r="45" spans="1:11" ht="18.95" customHeight="1">
      <c r="A45" s="282">
        <f>A44+1</f>
        <v>3</v>
      </c>
      <c r="B45" s="420">
        <f t="shared" si="6"/>
        <v>312</v>
      </c>
      <c r="C45" s="67" t="s">
        <v>1624</v>
      </c>
      <c r="D45" s="395">
        <f>SUMIFS('FCPIS F'!$V$6:$V$704,'FCPIS F'!$G$6:$G$704,$J45,'FCPIS F'!$B$6:$B$704,"KY",'FCPIS F'!$D$6:$D$704,"P",'FCPIS F'!$E$6:$E$704,$B45)*-1000+'ECR Exclusion'!$G$6</f>
        <v>-405323030.96769327</v>
      </c>
      <c r="E45" s="137">
        <f>'SCH B-2.1 F'!E21</f>
        <v>0.93747876038835043</v>
      </c>
      <c r="F45" s="395">
        <f t="shared" si="7"/>
        <v>-379981732.62844205</v>
      </c>
      <c r="H45" s="68" t="s">
        <v>1990</v>
      </c>
      <c r="J45" s="68" t="s">
        <v>2168</v>
      </c>
      <c r="K45" s="88">
        <f>K43-K44</f>
        <v>0</v>
      </c>
    </row>
    <row r="46" spans="1:11" ht="18.95" customHeight="1">
      <c r="A46" s="282">
        <f>A45+1</f>
        <v>4</v>
      </c>
      <c r="B46" s="420">
        <f t="shared" si="6"/>
        <v>315</v>
      </c>
      <c r="C46" s="67" t="s">
        <v>1628</v>
      </c>
      <c r="D46" s="395">
        <f>SUMIFS('FCPIS F'!$V$6:$V$704,'FCPIS F'!$G$6:$G$704,$J46,'FCPIS F'!$B$6:$B$704,"KY",'FCPIS F'!$D$6:$D$704,"P",'FCPIS F'!$E$6:$E$704,$B46)*-1000</f>
        <v>-1264434.92</v>
      </c>
      <c r="E46" s="137">
        <f>'SCH B-2.1 F'!E24</f>
        <v>0.93654560537139864</v>
      </c>
      <c r="F46" s="395">
        <f t="shared" si="7"/>
        <v>-1184200.9676041359</v>
      </c>
      <c r="H46" s="68" t="s">
        <v>1990</v>
      </c>
      <c r="J46" s="68" t="s">
        <v>2168</v>
      </c>
    </row>
    <row r="47" spans="1:11" ht="18.95" customHeight="1">
      <c r="A47" s="421">
        <f t="shared" ref="A47:A59" si="8">A46+1</f>
        <v>5</v>
      </c>
      <c r="B47" s="420">
        <f t="shared" si="6"/>
        <v>316</v>
      </c>
      <c r="C47" s="78" t="s">
        <v>1630</v>
      </c>
      <c r="D47" s="395">
        <f>SUMIFS('FCPIS F'!$V$6:$V$704,'FCPIS F'!$G$6:$G$704,$J47,'FCPIS F'!$B$6:$B$704,"KY",'FCPIS F'!$D$6:$D$704,"P",'FCPIS F'!$E$6:$E$704,$B47)*-1000</f>
        <v>0</v>
      </c>
      <c r="E47" s="137">
        <f>'SCH B-2.1 F'!E25</f>
        <v>0.93732964255972706</v>
      </c>
      <c r="F47" s="395">
        <f t="shared" ref="F47" si="9">D47*E47</f>
        <v>0</v>
      </c>
      <c r="H47" s="68" t="s">
        <v>1990</v>
      </c>
      <c r="J47" s="68" t="s">
        <v>2168</v>
      </c>
      <c r="K47" s="418" t="s">
        <v>2169</v>
      </c>
    </row>
    <row r="48" spans="1:11" ht="18.95" customHeight="1">
      <c r="A48" s="421">
        <f t="shared" si="8"/>
        <v>6</v>
      </c>
      <c r="B48" s="420" t="str">
        <f t="shared" si="6"/>
        <v>317</v>
      </c>
      <c r="C48" s="67" t="str">
        <f>'SCH B-2.1 F'!C$26</f>
        <v>ARO Cost Steam Production</v>
      </c>
      <c r="D48" s="395">
        <f>SUMIFS('FCPIS F'!$V$6:$V$704,'FCPIS F'!$G$6:$G$704,$J48,'FCPIS F'!$B$6:$B$704,"KY",'FCPIS F'!$D$6:$D$704,"P",'FCPIS F'!$E$6:$E$704,$B48)*-1000</f>
        <v>-158472628.39384618</v>
      </c>
      <c r="E48" s="137">
        <f>'SCH B-2.1 F'!E$26</f>
        <v>0.93811298816770405</v>
      </c>
      <c r="F48" s="395">
        <f>D48*E48</f>
        <v>-148665230.96534118</v>
      </c>
      <c r="H48" s="68" t="s">
        <v>1413</v>
      </c>
      <c r="J48" s="68" t="s">
        <v>2169</v>
      </c>
      <c r="K48" s="395">
        <f>SUMIFS('FCPIS F'!$V$6:$V$704,'FCPIS F'!$G$6:$G$704,$K47,'FCPIS F'!$B$6:$B$704,"KY",'FCPIS F'!$D$6:$D$704,"P")*-1000</f>
        <v>-160290101.01384616</v>
      </c>
    </row>
    <row r="49" spans="1:11" ht="18.95" customHeight="1">
      <c r="A49" s="421">
        <f t="shared" si="8"/>
        <v>7</v>
      </c>
      <c r="B49" s="420" t="str">
        <f t="shared" si="6"/>
        <v>337</v>
      </c>
      <c r="C49" s="67" t="str">
        <f>'SCH B-2.1 F'!C$37</f>
        <v>ARO Cost Hydro Production</v>
      </c>
      <c r="D49" s="395">
        <f>SUMIFS('FCPIS F'!$V$6:$V$704,'FCPIS F'!$G$6:$G$704,$J49,'FCPIS F'!$B$6:$B$704,"KY",'FCPIS F'!$D$6:$D$704,"P",'FCPIS F'!$E$6:$E$704,$B49)*-1000</f>
        <v>-645787.98999999987</v>
      </c>
      <c r="E49" s="137">
        <f>'SCH B-2.1 F'!E$37</f>
        <v>0.93811298816770394</v>
      </c>
      <c r="F49" s="395">
        <f>D49*E49</f>
        <v>-605822.10102171521</v>
      </c>
      <c r="H49" s="68" t="s">
        <v>1413</v>
      </c>
      <c r="J49" s="68" t="s">
        <v>2169</v>
      </c>
      <c r="K49" s="88">
        <f>SUM(D48:D51,D57)</f>
        <v>-160290101.01384619</v>
      </c>
    </row>
    <row r="50" spans="1:11" ht="18.95" customHeight="1">
      <c r="A50" s="421">
        <f t="shared" si="8"/>
        <v>8</v>
      </c>
      <c r="B50" s="420" t="str">
        <f>'SCH B-2.1 B'!B$59</f>
        <v>347</v>
      </c>
      <c r="C50" s="67" t="str">
        <f>'SCH B-2.1 F'!C$59</f>
        <v>ARO Cost Other Production</v>
      </c>
      <c r="D50" s="395">
        <f>SUMIFS('FCPIS F'!$V$6:$V$704,'FCPIS F'!$G$6:$G$704,$J50,'FCPIS F'!$B$6:$B$704,"KY",'FCPIS F'!$D$6:$D$704,"P",'FCPIS F'!$E$6:$E$704,$B50)*-1000</f>
        <v>-406991.12</v>
      </c>
      <c r="E50" s="137">
        <f>'SCH B-2.1 F'!E$59</f>
        <v>0.93811298816770394</v>
      </c>
      <c r="F50" s="395">
        <f>D50*E50</f>
        <v>-381803.65574092057</v>
      </c>
      <c r="H50" s="68" t="s">
        <v>1413</v>
      </c>
      <c r="J50" s="68" t="s">
        <v>2169</v>
      </c>
      <c r="K50" s="88">
        <f>K48-K49</f>
        <v>0</v>
      </c>
    </row>
    <row r="51" spans="1:11" ht="18.95" customHeight="1">
      <c r="A51" s="421">
        <f t="shared" si="8"/>
        <v>9</v>
      </c>
      <c r="B51" s="420" t="str">
        <f t="shared" ref="B51:B59" si="10">B20</f>
        <v>359</v>
      </c>
      <c r="C51" s="67" t="str">
        <f>'SCH B-2.1 F'!C$71</f>
        <v>ARO Cost Elec Transmission</v>
      </c>
      <c r="D51" s="395">
        <f>SUMIFS('FCPIS F'!$V$6:$V$704,'FCPIS F'!$G$6:$G$704,$J51,'FCPIS F'!$B$6:$B$704,"KY",'FCPIS F'!$D$6:$D$704,"P",'FCPIS F'!$E$6:$E$704,$B51)*-1000</f>
        <v>-254317.41000000009</v>
      </c>
      <c r="E51" s="137">
        <f>'SCH B-2.1 F'!E$71</f>
        <v>0.956674275012947</v>
      </c>
      <c r="F51" s="395">
        <f>D51*E51</f>
        <v>-243298.92383492048</v>
      </c>
      <c r="H51" s="68" t="s">
        <v>1413</v>
      </c>
      <c r="J51" s="68" t="s">
        <v>2169</v>
      </c>
    </row>
    <row r="52" spans="1:11" ht="18.95" customHeight="1">
      <c r="A52" s="421">
        <f t="shared" si="8"/>
        <v>10</v>
      </c>
      <c r="B52" s="420">
        <f t="shared" si="10"/>
        <v>364</v>
      </c>
      <c r="C52" s="78" t="s">
        <v>1676</v>
      </c>
      <c r="D52" s="395">
        <f>SUMIFS('FCPIS F'!$V$6:$V$704,'FCPIS F'!$G$6:$G$704,$J52,'FCPIS F'!$B$6:$B$704,"KY",'FCPIS F'!$D$6:$D$704,"P",'FCPIS F'!$E$6:$E$704,$B52)*-1000</f>
        <v>0</v>
      </c>
      <c r="E52" s="137">
        <f>'SCH B-2.1 F'!E78</f>
        <v>0.9308547846615457</v>
      </c>
      <c r="F52" s="395">
        <f t="shared" ref="F52:F56" si="11">D52*E52</f>
        <v>0</v>
      </c>
      <c r="H52" s="68" t="s">
        <v>1990</v>
      </c>
      <c r="J52" s="68" t="s">
        <v>2168</v>
      </c>
      <c r="K52" s="418" t="s">
        <v>2170</v>
      </c>
    </row>
    <row r="53" spans="1:11" ht="18.95" customHeight="1">
      <c r="A53" s="421">
        <f t="shared" si="8"/>
        <v>11</v>
      </c>
      <c r="B53" s="420">
        <f t="shared" si="10"/>
        <v>365</v>
      </c>
      <c r="C53" s="78" t="s">
        <v>1665</v>
      </c>
      <c r="D53" s="395">
        <f>SUMIFS('FCPIS F'!$V$6:$V$704,'FCPIS F'!$G$6:$G$704,$J53,'FCPIS F'!$B$6:$B$704,"KY",'FCPIS F'!$D$6:$D$704,"P",'FCPIS F'!$E$6:$E$704,$B53)*-1000</f>
        <v>0</v>
      </c>
      <c r="E53" s="137">
        <f>'SCH B-2.1 F'!E79</f>
        <v>0.93664253443398837</v>
      </c>
      <c r="F53" s="395">
        <f t="shared" si="11"/>
        <v>0</v>
      </c>
      <c r="H53" s="68" t="s">
        <v>1990</v>
      </c>
      <c r="J53" s="68" t="s">
        <v>2168</v>
      </c>
      <c r="K53" s="395">
        <f>SUMIFS('FCPIS F'!$V$6:$V$704,'FCPIS F'!$G$6:$G$704,$K52,'FCPIS F'!$B$6:$B$704,"KY",'FCPIS F'!$D$6:$D$704,"P")*-1000</f>
        <v>-10641243.971538452</v>
      </c>
    </row>
    <row r="54" spans="1:11" ht="18.95" customHeight="1">
      <c r="A54" s="631">
        <f t="shared" si="8"/>
        <v>12</v>
      </c>
      <c r="B54" s="420">
        <f t="shared" si="10"/>
        <v>366</v>
      </c>
      <c r="C54" s="78" t="s">
        <v>1667</v>
      </c>
      <c r="D54" s="395">
        <f>SUMIFS('FCPIS F'!$V$6:$V$704,'FCPIS F'!$G$6:$G$704,$J54,'FCPIS F'!$B$6:$B$704,"KY",'FCPIS F'!$D$6:$D$704,"P",'FCPIS F'!$E$6:$E$704,$B54)*-1000</f>
        <v>0</v>
      </c>
      <c r="E54" s="137">
        <f>'SCH B-2.1 F'!E80</f>
        <v>1</v>
      </c>
      <c r="F54" s="395">
        <f t="shared" si="11"/>
        <v>0</v>
      </c>
      <c r="H54" s="68" t="s">
        <v>1990</v>
      </c>
      <c r="J54" s="68" t="s">
        <v>2168</v>
      </c>
      <c r="K54" s="88">
        <f>SUM(D59,D56)</f>
        <v>-10641243.971538452</v>
      </c>
    </row>
    <row r="55" spans="1:11" ht="18.95" customHeight="1">
      <c r="A55" s="631">
        <f t="shared" si="8"/>
        <v>13</v>
      </c>
      <c r="B55" s="420">
        <f t="shared" si="10"/>
        <v>367</v>
      </c>
      <c r="C55" s="78" t="s">
        <v>1669</v>
      </c>
      <c r="D55" s="395">
        <f>SUMIFS('FCPIS F'!$V$6:$V$704,'FCPIS F'!$G$6:$G$704,$J55,'FCPIS F'!$B$6:$B$704,"KY",'FCPIS F'!$D$6:$D$704,"P",'FCPIS F'!$E$6:$E$704,$B55)*-1000</f>
        <v>0</v>
      </c>
      <c r="E55" s="137">
        <f>'SCH B-2.1 F'!E81</f>
        <v>0.97849431721753</v>
      </c>
      <c r="F55" s="395">
        <f t="shared" si="11"/>
        <v>0</v>
      </c>
      <c r="H55" s="68" t="s">
        <v>1990</v>
      </c>
      <c r="J55" s="68" t="s">
        <v>2168</v>
      </c>
      <c r="K55" s="88">
        <f>K53-K54</f>
        <v>0</v>
      </c>
    </row>
    <row r="56" spans="1:11" ht="18.95" customHeight="1">
      <c r="A56" s="631">
        <f t="shared" si="8"/>
        <v>14</v>
      </c>
      <c r="B56" s="630">
        <f t="shared" si="10"/>
        <v>370</v>
      </c>
      <c r="C56" s="67" t="s">
        <v>1685</v>
      </c>
      <c r="D56" s="395">
        <f>SUMIFS('FCPIS F'!$V$6:$V$704,'FCPIS F'!$G$6:$G$704,$J56,'FCPIS F'!$B$6:$B$704,"KY",'FCPIS F'!$D$6:$D$704,"P",'FCPIS F'!$E$6:$E$704,$B56)*-1000</f>
        <v>-3003280.6799999992</v>
      </c>
      <c r="E56" s="394">
        <v>1</v>
      </c>
      <c r="F56" s="395">
        <f t="shared" si="11"/>
        <v>-3003280.6799999992</v>
      </c>
      <c r="H56" s="68" t="s">
        <v>1991</v>
      </c>
      <c r="J56" s="68" t="s">
        <v>2170</v>
      </c>
    </row>
    <row r="57" spans="1:11" ht="18.95" customHeight="1">
      <c r="A57" s="631">
        <f t="shared" si="8"/>
        <v>15</v>
      </c>
      <c r="B57" s="420" t="str">
        <f t="shared" si="10"/>
        <v>374</v>
      </c>
      <c r="C57" s="67" t="str">
        <f>'SCH B-2.1 F'!C$87</f>
        <v>ARO Cost Elec Distribution</v>
      </c>
      <c r="D57" s="395">
        <f>SUMIFS('FCPIS F'!$V$6:$V$704,'FCPIS F'!$G$6:$G$704,$J57,'FCPIS F'!$B$6:$B$704,"KY",'FCPIS F'!$D$6:$D$704,"P",'FCPIS F'!$E$6:$E$704,$B57)*-1000</f>
        <v>-510376.10000000009</v>
      </c>
      <c r="E57" s="137">
        <f>'SCH B-2.1 F'!E$87</f>
        <v>1</v>
      </c>
      <c r="F57" s="395">
        <f>D57*E57</f>
        <v>-510376.10000000009</v>
      </c>
      <c r="H57" s="68" t="s">
        <v>1413</v>
      </c>
      <c r="J57" s="68" t="s">
        <v>2169</v>
      </c>
    </row>
    <row r="58" spans="1:11" ht="18.95" customHeight="1">
      <c r="A58" s="631">
        <f t="shared" si="8"/>
        <v>16</v>
      </c>
      <c r="B58" s="420">
        <f t="shared" si="10"/>
        <v>392</v>
      </c>
      <c r="C58" s="67" t="s">
        <v>155</v>
      </c>
      <c r="D58" s="395">
        <f>SUMIFS('FCPIS F'!$V$6:$V$704,'FCPIS F'!$G$6:$G$704,$J58,'FCPIS F'!$B$6:$B$704,"KY",'FCPIS F'!$D$6:$D$704,"P",'FCPIS F'!$E$6:$E$704,$B58)*-1000</f>
        <v>0</v>
      </c>
      <c r="E58" s="394">
        <f>'SCH B-2.1 F'!E$104</f>
        <v>0.94097187891892597</v>
      </c>
      <c r="F58" s="395">
        <f t="shared" ref="F58:F59" si="12">D58*E58</f>
        <v>0</v>
      </c>
      <c r="H58" s="68" t="s">
        <v>1990</v>
      </c>
      <c r="J58" s="68" t="s">
        <v>2168</v>
      </c>
    </row>
    <row r="59" spans="1:11" ht="18.95" customHeight="1">
      <c r="A59" s="631">
        <f t="shared" si="8"/>
        <v>17</v>
      </c>
      <c r="B59" s="420">
        <f t="shared" si="10"/>
        <v>397</v>
      </c>
      <c r="C59" s="67" t="s">
        <v>157</v>
      </c>
      <c r="D59" s="395">
        <f>SUMIFS('FCPIS F'!$V$6:$V$704,'FCPIS F'!$G$6:$G$704,$J59,'FCPIS F'!$B$6:$B$704,"KY",'FCPIS F'!$D$6:$D$704,"P",'FCPIS F'!$E$6:$E$704,$B59)*-1000</f>
        <v>-7637963.2915384527</v>
      </c>
      <c r="E59" s="394">
        <v>1</v>
      </c>
      <c r="F59" s="395">
        <f t="shared" si="12"/>
        <v>-7637963.2915384527</v>
      </c>
      <c r="H59" s="68" t="s">
        <v>1991</v>
      </c>
      <c r="J59" s="68" t="s">
        <v>2170</v>
      </c>
    </row>
    <row r="60" spans="1:11" ht="18.95" customHeight="1"/>
    <row r="61" spans="1:11" ht="18.95" customHeight="1" thickBot="1">
      <c r="A61" s="299">
        <f>A59+1</f>
        <v>18</v>
      </c>
      <c r="B61" s="389"/>
      <c r="C61" s="67" t="s">
        <v>2010</v>
      </c>
      <c r="D61" s="393">
        <f>SUM(D43:D60)</f>
        <v>-579586484.56307793</v>
      </c>
      <c r="E61" s="394"/>
      <c r="F61" s="393">
        <f>SUM(F43:F60)</f>
        <v>-544153032.24074483</v>
      </c>
      <c r="H61" s="68"/>
    </row>
    <row r="62" spans="1:11" ht="18.95" customHeight="1" thickTop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</sheetData>
  <mergeCells count="8">
    <mergeCell ref="A34:H34"/>
    <mergeCell ref="A35:H35"/>
    <mergeCell ref="A1:H1"/>
    <mergeCell ref="A2:H2"/>
    <mergeCell ref="A3:H3"/>
    <mergeCell ref="A4:H4"/>
    <mergeCell ref="A32:H32"/>
    <mergeCell ref="A33:H33"/>
  </mergeCells>
  <pageMargins left="0.95" right="0.5" top="0.75" bottom="0.75" header="0.3" footer="0.3"/>
  <pageSetup scale="60" fitToHeight="0" orientation="portrait" r:id="rId1"/>
  <rowBreaks count="1" manualBreakCount="1">
    <brk id="3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625" style="69" customWidth="1"/>
    <col min="6" max="6" width="14.75" style="69" customWidth="1"/>
    <col min="7" max="7" width="13.625" style="69" customWidth="1"/>
    <col min="8" max="8" width="14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8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8" s="68" customFormat="1" ht="20.100000000000001" customHeight="1">
      <c r="A3" s="809" t="s">
        <v>132</v>
      </c>
      <c r="B3" s="809"/>
      <c r="C3" s="809"/>
      <c r="D3" s="809"/>
      <c r="E3" s="809"/>
      <c r="F3" s="809"/>
      <c r="G3" s="809"/>
      <c r="H3" s="809"/>
    </row>
    <row r="4" spans="1:8" s="68" customFormat="1" ht="20.100000000000001" customHeight="1">
      <c r="A4" s="809" t="str">
        <f>'Rate Case Constants'!C14</f>
        <v>FROM MARCH 1, 2020 TO FEBRUARY 28, 2021</v>
      </c>
      <c r="B4" s="809"/>
      <c r="C4" s="809"/>
      <c r="D4" s="809"/>
      <c r="E4" s="809"/>
      <c r="F4" s="809"/>
      <c r="G4" s="809"/>
      <c r="H4" s="809"/>
    </row>
    <row r="5" spans="1:8" s="68" customFormat="1" ht="20.100000000000001" customHeight="1">
      <c r="A5" s="83"/>
      <c r="B5" s="83"/>
      <c r="C5" s="83"/>
      <c r="D5" s="83"/>
      <c r="E5" s="83"/>
      <c r="F5" s="83"/>
      <c r="G5" s="83"/>
      <c r="H5" s="83"/>
    </row>
    <row r="6" spans="1:8" s="68" customFormat="1" ht="20.100000000000001" customHeight="1">
      <c r="A6" s="67" t="s">
        <v>133</v>
      </c>
      <c r="B6" s="67"/>
      <c r="G6" s="74"/>
      <c r="H6" s="74" t="s">
        <v>139</v>
      </c>
    </row>
    <row r="7" spans="1:8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172</v>
      </c>
    </row>
    <row r="8" spans="1:8" s="68" customFormat="1" ht="20.100000000000001" customHeight="1">
      <c r="A8" s="67" t="s">
        <v>1195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135</v>
      </c>
      <c r="D10" s="76" t="s">
        <v>136</v>
      </c>
      <c r="E10" s="76" t="s">
        <v>137</v>
      </c>
      <c r="F10" s="76" t="s">
        <v>138</v>
      </c>
      <c r="G10" s="76" t="s">
        <v>140</v>
      </c>
      <c r="H10" s="76" t="s">
        <v>141</v>
      </c>
    </row>
    <row r="11" spans="1:8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1615</v>
      </c>
      <c r="C13" s="78" t="s">
        <v>1616</v>
      </c>
      <c r="D13" s="86">
        <f>SUMIFS('PIS B'!$E$11:$E$338,'PIS B'!$C$11:$C$338,'SCH B-2.3 B'!$B13)</f>
        <v>44455.58</v>
      </c>
      <c r="E13" s="86">
        <f>SUMIFS('PIS B'!$G$11:$G$338,'PIS B'!$C$11:$C$338,'SCH B-2.3 B'!$B13)</f>
        <v>0</v>
      </c>
      <c r="F13" s="86">
        <f>SUMIFS('PIS B'!$I$11:$I$338,'PIS B'!$C$11:$C$338,'SCH B-2.3 B'!$B13)</f>
        <v>0</v>
      </c>
      <c r="G13" s="86">
        <f>SUMIFS('PIS B'!$K$11:$K$338,'PIS B'!$C$11:$C$338,'SCH B-2.3 B'!$B13)</f>
        <v>0</v>
      </c>
      <c r="H13" s="86">
        <f>SUM(D13:G13)</f>
        <v>44455.58</v>
      </c>
    </row>
    <row r="14" spans="1:8" ht="18.95" customHeight="1">
      <c r="A14" s="70">
        <f t="shared" ref="A14:A88" si="0">A13+1</f>
        <v>3</v>
      </c>
      <c r="B14" s="71" t="s">
        <v>1617</v>
      </c>
      <c r="C14" s="78" t="s">
        <v>1618</v>
      </c>
      <c r="D14" s="86">
        <f>SUMIFS('PIS B'!$E$11:$E$338,'PIS B'!$C$11:$C$338,'SCH B-2.3 B'!$B14)</f>
        <v>55918.83</v>
      </c>
      <c r="E14" s="86">
        <f>SUMIFS('PIS B'!$G$11:$G$338,'PIS B'!$C$11:$C$338,'SCH B-2.3 B'!$B14)</f>
        <v>88449.83</v>
      </c>
      <c r="F14" s="87">
        <f>SUMIFS('PIS B'!$I$11:$I$338,'PIS B'!$C$11:$C$338,'SCH B-2.3 B'!$B14)</f>
        <v>0</v>
      </c>
      <c r="G14" s="87">
        <f>SUMIFS('PIS B'!$K$11:$K$338,'PIS B'!$C$11:$C$338,'SCH B-2.3 B'!$B14)</f>
        <v>0</v>
      </c>
      <c r="H14" s="88">
        <f t="shared" ref="H14:H15" si="1">SUM(D14:G14)</f>
        <v>144368.66</v>
      </c>
    </row>
    <row r="15" spans="1:8" ht="18.95" customHeight="1">
      <c r="A15" s="70">
        <f t="shared" si="0"/>
        <v>4</v>
      </c>
      <c r="B15" s="71" t="s">
        <v>1619</v>
      </c>
      <c r="C15" s="78" t="s">
        <v>1620</v>
      </c>
      <c r="D15" s="89">
        <f>SUMIFS('PIS B'!$E$11:$E$338,'PIS B'!$C$11:$C$338,'SCH B-2.3 B'!$B15)</f>
        <v>88998815.709999993</v>
      </c>
      <c r="E15" s="89">
        <f>SUMIFS('PIS B'!$G$11:$G$338,'PIS B'!$C$11:$C$338,'SCH B-2.3 B'!$B15)</f>
        <v>24098309.689999901</v>
      </c>
      <c r="F15" s="89">
        <f>SUMIFS('PIS B'!$I$11:$I$338,'PIS B'!$C$11:$C$338,'SCH B-2.3 B'!$B15)</f>
        <v>-8089180.9000000004</v>
      </c>
      <c r="G15" s="89">
        <f>SUMIFS('PIS B'!$K$11:$K$338,'PIS B'!$C$11:$C$338,'SCH B-2.3 B'!$B15)</f>
        <v>0</v>
      </c>
      <c r="H15" s="89">
        <f t="shared" si="1"/>
        <v>105007944.49999988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89099190.11999999</v>
      </c>
      <c r="E16" s="86">
        <f>SUM(E13:E15)</f>
        <v>24186759.519999899</v>
      </c>
      <c r="F16" s="86">
        <f>SUM(F13:F15)</f>
        <v>-8089180.9000000004</v>
      </c>
      <c r="G16" s="86">
        <f>SUM(G13:G15)</f>
        <v>0</v>
      </c>
      <c r="H16" s="86">
        <f>SUM(H13:H15)</f>
        <v>105196768.73999988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1621</v>
      </c>
      <c r="C19" s="78" t="s">
        <v>154</v>
      </c>
      <c r="D19" s="88">
        <f>SUMIFS('PIS B'!$E$11:$E$338,'PIS B'!$C$11:$C$338,'SCH B-2.3 B'!$B19)</f>
        <v>24943362.199999902</v>
      </c>
      <c r="E19" s="88">
        <f>SUMIFS('PIS B'!$G$11:$G$338,'PIS B'!$C$11:$C$338,'SCH B-2.3 B'!$B19)</f>
        <v>50350.21</v>
      </c>
      <c r="F19" s="88">
        <f>SUMIFS('PIS B'!$I$11:$I$338,'PIS B'!$C$11:$C$338,'SCH B-2.3 B'!$B19)</f>
        <v>0</v>
      </c>
      <c r="G19" s="88">
        <f>SUMIFS('PIS B'!$K$11:$K$338,'PIS B'!$C$11:$C$338,'SCH B-2.3 B'!$B19)</f>
        <v>0</v>
      </c>
      <c r="H19" s="88">
        <f t="shared" ref="H19:H26" si="2">SUM(D19:G19)</f>
        <v>24993712.409999903</v>
      </c>
    </row>
    <row r="20" spans="1:8" ht="18" customHeight="1">
      <c r="A20" s="70">
        <f t="shared" si="0"/>
        <v>8</v>
      </c>
      <c r="B20" s="71" t="s">
        <v>1622</v>
      </c>
      <c r="C20" s="78" t="s">
        <v>148</v>
      </c>
      <c r="D20" s="88">
        <f>SUMIFS('PIS B'!$E$11:$E$338,'PIS B'!$C$11:$C$338,'SCH B-2.3 B'!$B20)</f>
        <v>351921403.85999906</v>
      </c>
      <c r="E20" s="88">
        <f>SUMIFS('PIS B'!$G$11:$G$338,'PIS B'!$C$11:$C$338,'SCH B-2.3 B'!$B20)</f>
        <v>6776525.609999991</v>
      </c>
      <c r="F20" s="88">
        <f>SUMIFS('PIS B'!$I$11:$I$338,'PIS B'!$C$11:$C$338,'SCH B-2.3 B'!$B20)</f>
        <v>-2432126.5100000002</v>
      </c>
      <c r="G20" s="88">
        <f>SUMIFS('PIS B'!$K$11:$K$338,'PIS B'!$C$11:$C$338,'SCH B-2.3 B'!$B20)</f>
        <v>0</v>
      </c>
      <c r="H20" s="88">
        <f t="shared" si="2"/>
        <v>356265802.95999908</v>
      </c>
    </row>
    <row r="21" spans="1:8" ht="18.95" customHeight="1">
      <c r="A21" s="70">
        <f t="shared" si="0"/>
        <v>9</v>
      </c>
      <c r="B21" s="71" t="s">
        <v>1623</v>
      </c>
      <c r="C21" s="78" t="s">
        <v>1624</v>
      </c>
      <c r="D21" s="88">
        <f>SUMIFS('PIS B'!$E$11:$E$338,'PIS B'!$C$11:$C$338,'SCH B-2.3 B'!$B21)</f>
        <v>4087276091.2899995</v>
      </c>
      <c r="E21" s="88">
        <f>SUMIFS('PIS B'!$G$11:$G$338,'PIS B'!$C$11:$C$338,'SCH B-2.3 B'!$B21)</f>
        <v>271278062.27999985</v>
      </c>
      <c r="F21" s="88">
        <f>SUMIFS('PIS B'!$I$11:$I$338,'PIS B'!$C$11:$C$338,'SCH B-2.3 B'!$B21)</f>
        <v>-41297931.049999967</v>
      </c>
      <c r="G21" s="88">
        <f>SUMIFS('PIS B'!$K$11:$K$338,'PIS B'!$C$11:$C$338,'SCH B-2.3 B'!$B21)</f>
        <v>0</v>
      </c>
      <c r="H21" s="88">
        <f t="shared" si="2"/>
        <v>4317256222.5199995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SUMIFS('PIS B'!$E$11:$E$338,'PIS B'!$C$11:$C$338,'SCH B-2.3 B'!$B22)</f>
        <v>0</v>
      </c>
      <c r="E22" s="88">
        <f>SUMIFS('PIS B'!$G$11:$G$338,'PIS B'!$C$11:$C$338,'SCH B-2.3 B'!$B22)</f>
        <v>0</v>
      </c>
      <c r="F22" s="88">
        <f>SUMIFS('PIS B'!$I$11:$I$338,'PIS B'!$C$11:$C$338,'SCH B-2.3 B'!$B22)</f>
        <v>0</v>
      </c>
      <c r="G22" s="88">
        <f>SUMIFS('PIS B'!$K$11:$K$338,'PIS B'!$C$11:$C$338,'SCH B-2.3 B'!$B22)</f>
        <v>0</v>
      </c>
      <c r="H22" s="88">
        <f t="shared" ref="H22" si="3">SUM(D22:G22)</f>
        <v>0</v>
      </c>
    </row>
    <row r="23" spans="1:8" ht="18.95" customHeight="1">
      <c r="A23" s="70">
        <f>A21+1</f>
        <v>10</v>
      </c>
      <c r="B23" s="71" t="s">
        <v>1625</v>
      </c>
      <c r="C23" s="78" t="s">
        <v>1626</v>
      </c>
      <c r="D23" s="88">
        <f>SUMIFS('PIS B'!$E$11:$E$338,'PIS B'!$C$11:$C$338,'SCH B-2.3 B'!$B23)</f>
        <v>337003419.14999998</v>
      </c>
      <c r="E23" s="88">
        <f>SUMIFS('PIS B'!$G$11:$G$338,'PIS B'!$C$11:$C$338,'SCH B-2.3 B'!$B23)</f>
        <v>18073790.169999901</v>
      </c>
      <c r="F23" s="88">
        <f>SUMIFS('PIS B'!$I$11:$I$338,'PIS B'!$C$11:$C$338,'SCH B-2.3 B'!$B23)</f>
        <v>-4174196.0299999993</v>
      </c>
      <c r="G23" s="88">
        <f>SUMIFS('PIS B'!$K$11:$K$338,'PIS B'!$C$11:$C$338,'SCH B-2.3 B'!$B23)</f>
        <v>0</v>
      </c>
      <c r="H23" s="88">
        <f t="shared" si="2"/>
        <v>350903013.2899999</v>
      </c>
    </row>
    <row r="24" spans="1:8" ht="18.95" customHeight="1">
      <c r="A24" s="70">
        <f t="shared" si="0"/>
        <v>11</v>
      </c>
      <c r="B24" s="71" t="s">
        <v>1627</v>
      </c>
      <c r="C24" s="78" t="s">
        <v>1628</v>
      </c>
      <c r="D24" s="88">
        <f>SUMIFS('PIS B'!$E$11:$E$338,'PIS B'!$C$11:$C$338,'SCH B-2.3 B'!$B24)</f>
        <v>263310142.06999987</v>
      </c>
      <c r="E24" s="88">
        <f>SUMIFS('PIS B'!$G$11:$G$338,'PIS B'!$C$11:$C$338,'SCH B-2.3 B'!$B24)</f>
        <v>-2532029.0500000003</v>
      </c>
      <c r="F24" s="88">
        <f>SUMIFS('PIS B'!$I$11:$I$338,'PIS B'!$C$11:$C$338,'SCH B-2.3 B'!$B24)</f>
        <v>-474054.24</v>
      </c>
      <c r="G24" s="88">
        <f>SUMIFS('PIS B'!$K$11:$K$338,'PIS B'!$C$11:$C$338,'SCH B-2.3 B'!$B24)</f>
        <v>0</v>
      </c>
      <c r="H24" s="88">
        <f t="shared" si="2"/>
        <v>260304058.77999985</v>
      </c>
    </row>
    <row r="25" spans="1:8" ht="18.95" customHeight="1">
      <c r="A25" s="70">
        <f t="shared" si="0"/>
        <v>12</v>
      </c>
      <c r="B25" s="71" t="s">
        <v>1629</v>
      </c>
      <c r="C25" s="78" t="s">
        <v>1630</v>
      </c>
      <c r="D25" s="88">
        <f>SUMIFS('PIS B'!$E$11:$E$338,'PIS B'!$C$11:$C$338,'SCH B-2.3 B'!$B25)</f>
        <v>40470891.279999994</v>
      </c>
      <c r="E25" s="88">
        <f>SUMIFS('PIS B'!$G$11:$G$338,'PIS B'!$C$11:$C$338,'SCH B-2.3 B'!$B25)</f>
        <v>2497110.9599999981</v>
      </c>
      <c r="F25" s="88">
        <f>SUMIFS('PIS B'!$I$11:$I$338,'PIS B'!$C$11:$C$338,'SCH B-2.3 B'!$B25)</f>
        <v>-117683.86</v>
      </c>
      <c r="G25" s="88">
        <f>SUMIFS('PIS B'!$K$11:$K$338,'PIS B'!$C$11:$C$338,'SCH B-2.3 B'!$B25)</f>
        <v>0</v>
      </c>
      <c r="H25" s="88">
        <f t="shared" si="2"/>
        <v>42850318.379999995</v>
      </c>
    </row>
    <row r="26" spans="1:8" ht="18.95" customHeight="1">
      <c r="A26" s="70">
        <f t="shared" si="0"/>
        <v>13</v>
      </c>
      <c r="B26" s="71" t="s">
        <v>1631</v>
      </c>
      <c r="C26" s="78" t="s">
        <v>1650</v>
      </c>
      <c r="D26" s="89">
        <f>SUMIFS('PIS B'!$E$11:$E$338,'PIS B'!$C$11:$C$338,'SCH B-2.3 B'!$B26)</f>
        <v>185982865.99000001</v>
      </c>
      <c r="E26" s="89">
        <f>SUMIFS('PIS B'!$G$11:$G$338,'PIS B'!$C$11:$C$338,'SCH B-2.3 B'!$B26)</f>
        <v>-9.8225427791476197E-8</v>
      </c>
      <c r="F26" s="89">
        <f>SUMIFS('PIS B'!$I$11:$I$338,'PIS B'!$C$11:$C$338,'SCH B-2.3 B'!$B26)</f>
        <v>-44515355.019999899</v>
      </c>
      <c r="G26" s="89">
        <f>SUMIFS('PIS B'!$K$11:$K$338,'PIS B'!$C$11:$C$338,'SCH B-2.3 B'!$B26)</f>
        <v>27820597.700000003</v>
      </c>
      <c r="H26" s="89">
        <f t="shared" si="2"/>
        <v>169288108.67000002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5290908175.8399973</v>
      </c>
      <c r="E27" s="86">
        <f>SUM(E19:E26)</f>
        <v>296143810.17999959</v>
      </c>
      <c r="F27" s="86">
        <f>SUM(F19:F26)</f>
        <v>-93011346.709999859</v>
      </c>
      <c r="G27" s="86">
        <f>SUM(G19:G26)</f>
        <v>27820597.700000003</v>
      </c>
      <c r="H27" s="86">
        <f>SUM(H19:H26)</f>
        <v>5521861237.0099983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1632</v>
      </c>
      <c r="C30" s="78" t="s">
        <v>154</v>
      </c>
      <c r="D30" s="88">
        <f>SUMIFS('PIS B'!$E$11:$E$338,'PIS B'!$C$11:$C$338,'SCH B-2.3 B'!$B30)</f>
        <v>855636.47000000009</v>
      </c>
      <c r="E30" s="88">
        <f>SUMIFS('PIS B'!$G$11:$G$338,'PIS B'!$C$11:$C$338,'SCH B-2.3 B'!$B30)</f>
        <v>0</v>
      </c>
      <c r="F30" s="88">
        <f>SUMIFS('PIS B'!$I$11:$I$338,'PIS B'!$C$11:$C$338,'SCH B-2.3 B'!$B30)</f>
        <v>0</v>
      </c>
      <c r="G30" s="88">
        <f>SUMIFS('PIS B'!$K$11:$K$338,'PIS B'!$C$11:$C$338,'SCH B-2.3 B'!$B30)</f>
        <v>0</v>
      </c>
      <c r="H30" s="88">
        <f t="shared" ref="H30:H37" si="4">SUM(D30:G30)</f>
        <v>855636.47000000009</v>
      </c>
    </row>
    <row r="31" spans="1:8" ht="18.95" customHeight="1">
      <c r="A31" s="70">
        <f t="shared" si="0"/>
        <v>17</v>
      </c>
      <c r="B31" s="71" t="s">
        <v>1633</v>
      </c>
      <c r="C31" s="78" t="s">
        <v>148</v>
      </c>
      <c r="D31" s="88">
        <f>SUMIFS('PIS B'!$E$11:$E$338,'PIS B'!$C$11:$C$338,'SCH B-2.3 B'!$B31)</f>
        <v>4526614.1900000004</v>
      </c>
      <c r="E31" s="88">
        <f>SUMIFS('PIS B'!$G$11:$G$338,'PIS B'!$C$11:$C$338,'SCH B-2.3 B'!$B31)</f>
        <v>0</v>
      </c>
      <c r="F31" s="88">
        <f>SUMIFS('PIS B'!$I$11:$I$338,'PIS B'!$C$11:$C$338,'SCH B-2.3 B'!$B31)</f>
        <v>0</v>
      </c>
      <c r="G31" s="88">
        <f>SUMIFS('PIS B'!$K$11:$K$338,'PIS B'!$C$11:$C$338,'SCH B-2.3 B'!$B31)</f>
        <v>0</v>
      </c>
      <c r="H31" s="88">
        <f t="shared" si="4"/>
        <v>4526614.1900000004</v>
      </c>
    </row>
    <row r="32" spans="1:8" ht="18.95" customHeight="1">
      <c r="A32" s="70">
        <f t="shared" si="0"/>
        <v>18</v>
      </c>
      <c r="B32" s="71" t="s">
        <v>1634</v>
      </c>
      <c r="C32" s="78" t="s">
        <v>1635</v>
      </c>
      <c r="D32" s="88">
        <f>SUMIFS('PIS B'!$E$11:$E$338,'PIS B'!$C$11:$C$338,'SCH B-2.3 B'!$B32)</f>
        <v>21885646.369999997</v>
      </c>
      <c r="E32" s="88">
        <f>SUMIFS('PIS B'!$G$11:$G$338,'PIS B'!$C$11:$C$338,'SCH B-2.3 B'!$B32)</f>
        <v>95186.59</v>
      </c>
      <c r="F32" s="88">
        <f>SUMIFS('PIS B'!$I$11:$I$338,'PIS B'!$C$11:$C$338,'SCH B-2.3 B'!$B32)</f>
        <v>-1201.51</v>
      </c>
      <c r="G32" s="88">
        <f>SUMIFS('PIS B'!$K$11:$K$338,'PIS B'!$C$11:$C$338,'SCH B-2.3 B'!$B32)</f>
        <v>0</v>
      </c>
      <c r="H32" s="88">
        <f t="shared" si="4"/>
        <v>21979631.449999996</v>
      </c>
    </row>
    <row r="33" spans="1:8" ht="18.95" customHeight="1">
      <c r="A33" s="70">
        <f t="shared" si="0"/>
        <v>19</v>
      </c>
      <c r="B33" s="71" t="s">
        <v>1636</v>
      </c>
      <c r="C33" s="78" t="s">
        <v>1637</v>
      </c>
      <c r="D33" s="88">
        <f>SUMIFS('PIS B'!$E$11:$E$338,'PIS B'!$C$11:$C$338,'SCH B-2.3 B'!$B33)</f>
        <v>14046741.58</v>
      </c>
      <c r="E33" s="88">
        <f>SUMIFS('PIS B'!$G$11:$G$338,'PIS B'!$C$11:$C$338,'SCH B-2.3 B'!$B33)</f>
        <v>0</v>
      </c>
      <c r="F33" s="88">
        <f>SUMIFS('PIS B'!$I$11:$I$338,'PIS B'!$C$11:$C$338,'SCH B-2.3 B'!$B33)</f>
        <v>0</v>
      </c>
      <c r="G33" s="88">
        <f>SUMIFS('PIS B'!$K$11:$K$338,'PIS B'!$C$11:$C$338,'SCH B-2.3 B'!$B33)</f>
        <v>0</v>
      </c>
      <c r="H33" s="88">
        <f t="shared" si="4"/>
        <v>14046741.58</v>
      </c>
    </row>
    <row r="34" spans="1:8" ht="18.95" customHeight="1">
      <c r="A34" s="70">
        <f t="shared" si="0"/>
        <v>20</v>
      </c>
      <c r="B34" s="71" t="s">
        <v>1638</v>
      </c>
      <c r="C34" s="78" t="s">
        <v>1628</v>
      </c>
      <c r="D34" s="88">
        <f>SUMIFS('PIS B'!$E$11:$E$338,'PIS B'!$C$11:$C$338,'SCH B-2.3 B'!$B34)</f>
        <v>1335603.21</v>
      </c>
      <c r="E34" s="88">
        <f>SUMIFS('PIS B'!$G$11:$G$338,'PIS B'!$C$11:$C$338,'SCH B-2.3 B'!$B34)</f>
        <v>25333.94</v>
      </c>
      <c r="F34" s="88">
        <f>SUMIFS('PIS B'!$I$11:$I$338,'PIS B'!$C$11:$C$338,'SCH B-2.3 B'!$B34)</f>
        <v>-290</v>
      </c>
      <c r="G34" s="88">
        <f>SUMIFS('PIS B'!$K$11:$K$338,'PIS B'!$C$11:$C$338,'SCH B-2.3 B'!$B34)</f>
        <v>0</v>
      </c>
      <c r="H34" s="88">
        <f t="shared" si="4"/>
        <v>1360647.15</v>
      </c>
    </row>
    <row r="35" spans="1:8" ht="18.95" customHeight="1">
      <c r="A35" s="70">
        <f t="shared" si="0"/>
        <v>21</v>
      </c>
      <c r="B35" s="71" t="s">
        <v>1639</v>
      </c>
      <c r="C35" s="78" t="s">
        <v>1640</v>
      </c>
      <c r="D35" s="88">
        <f>SUMIFS('PIS B'!$E$11:$E$338,'PIS B'!$C$11:$C$338,'SCH B-2.3 B'!$B35)</f>
        <v>329374.18000000005</v>
      </c>
      <c r="E35" s="88">
        <f>SUMIFS('PIS B'!$G$11:$G$338,'PIS B'!$C$11:$C$338,'SCH B-2.3 B'!$B35)</f>
        <v>0</v>
      </c>
      <c r="F35" s="88">
        <f>SUMIFS('PIS B'!$I$11:$I$338,'PIS B'!$C$11:$C$338,'SCH B-2.3 B'!$B35)</f>
        <v>0</v>
      </c>
      <c r="G35" s="88">
        <f>SUMIFS('PIS B'!$K$11:$K$338,'PIS B'!$C$11:$C$338,'SCH B-2.3 B'!$B35)</f>
        <v>0</v>
      </c>
      <c r="H35" s="88">
        <f t="shared" si="4"/>
        <v>329374.18000000005</v>
      </c>
    </row>
    <row r="36" spans="1:8" ht="18.95" customHeight="1">
      <c r="A36" s="70">
        <f t="shared" si="0"/>
        <v>22</v>
      </c>
      <c r="B36" s="71" t="s">
        <v>1641</v>
      </c>
      <c r="C36" s="78" t="s">
        <v>1642</v>
      </c>
      <c r="D36" s="88">
        <f>SUMIFS('PIS B'!$E$11:$E$338,'PIS B'!$C$11:$C$338,'SCH B-2.3 B'!$B36)</f>
        <v>234509.13</v>
      </c>
      <c r="E36" s="88">
        <f>SUMIFS('PIS B'!$G$11:$G$338,'PIS B'!$C$11:$C$338,'SCH B-2.3 B'!$B36)</f>
        <v>0</v>
      </c>
      <c r="F36" s="88">
        <f>SUMIFS('PIS B'!$I$11:$I$338,'PIS B'!$C$11:$C$338,'SCH B-2.3 B'!$B36)</f>
        <v>-35609.299999999996</v>
      </c>
      <c r="G36" s="88">
        <f>SUMIFS('PIS B'!$K$11:$K$338,'PIS B'!$C$11:$C$338,'SCH B-2.3 B'!$B36)</f>
        <v>0</v>
      </c>
      <c r="H36" s="88">
        <f t="shared" si="4"/>
        <v>198899.83000000002</v>
      </c>
    </row>
    <row r="37" spans="1:8" ht="18.95" customHeight="1">
      <c r="A37" s="70">
        <f t="shared" si="0"/>
        <v>23</v>
      </c>
      <c r="B37" s="71" t="s">
        <v>1643</v>
      </c>
      <c r="C37" s="78" t="s">
        <v>1651</v>
      </c>
      <c r="D37" s="89">
        <f>SUMIFS('PIS B'!$E$11:$E$338,'PIS B'!$C$11:$C$338,'SCH B-2.3 B'!$B37)</f>
        <v>645787.99</v>
      </c>
      <c r="E37" s="89">
        <f>SUMIFS('PIS B'!$G$11:$G$338,'PIS B'!$C$11:$C$338,'SCH B-2.3 B'!$B37)</f>
        <v>0</v>
      </c>
      <c r="F37" s="89">
        <f>SUMIFS('PIS B'!$I$11:$I$338,'PIS B'!$C$11:$C$338,'SCH B-2.3 B'!$B37)</f>
        <v>0</v>
      </c>
      <c r="G37" s="89">
        <f>SUMIFS('PIS B'!$K$11:$K$338,'PIS B'!$C$11:$C$338,'SCH B-2.3 B'!$B37)</f>
        <v>0</v>
      </c>
      <c r="H37" s="89">
        <f t="shared" si="4"/>
        <v>645787.99</v>
      </c>
    </row>
    <row r="38" spans="1:8" ht="18.95" customHeight="1">
      <c r="A38" s="70">
        <f t="shared" si="0"/>
        <v>24</v>
      </c>
      <c r="B38" s="71" t="s">
        <v>250</v>
      </c>
      <c r="C38" s="78" t="s">
        <v>147</v>
      </c>
      <c r="D38" s="86">
        <f>SUM(D30:D37)</f>
        <v>43859913.120000005</v>
      </c>
      <c r="E38" s="86">
        <f t="shared" ref="E38:H38" si="5">SUM(E30:E37)</f>
        <v>120520.53</v>
      </c>
      <c r="F38" s="86">
        <f t="shared" si="5"/>
        <v>-37100.81</v>
      </c>
      <c r="G38" s="86">
        <f t="shared" si="5"/>
        <v>0</v>
      </c>
      <c r="H38" s="86">
        <f t="shared" si="5"/>
        <v>43943332.839999996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1644</v>
      </c>
      <c r="C41" s="78" t="s">
        <v>154</v>
      </c>
      <c r="D41" s="88">
        <f>SUMIFS('PIS B'!$E$11:$E$338,'PIS B'!$C$11:$C$338,'SCH B-2.3 B'!$B41)</f>
        <v>894512.89999999991</v>
      </c>
      <c r="E41" s="88">
        <f>SUMIFS('PIS B'!$G$11:$G$338,'PIS B'!$C$11:$C$338,'SCH B-2.3 B'!$B41)</f>
        <v>0</v>
      </c>
      <c r="F41" s="88">
        <f>SUMIFS('PIS B'!$I$11:$I$338,'PIS B'!$C$11:$C$338,'SCH B-2.3 B'!$B41)</f>
        <v>0</v>
      </c>
      <c r="G41" s="88">
        <f>SUMIFS('PIS B'!$K$11:$K$338,'PIS B'!$C$11:$C$338,'SCH B-2.3 B'!$B41)</f>
        <v>0</v>
      </c>
      <c r="H41" s="88">
        <f t="shared" ref="H41:H59" si="6">SUM(D41:G41)</f>
        <v>894512.89999999991</v>
      </c>
    </row>
    <row r="42" spans="1:8" ht="18.95" customHeight="1">
      <c r="A42" s="70">
        <f t="shared" si="0"/>
        <v>27</v>
      </c>
      <c r="B42" s="71" t="s">
        <v>1645</v>
      </c>
      <c r="C42" s="78" t="s">
        <v>148</v>
      </c>
      <c r="D42" s="88">
        <f>SUMIFS('PIS B'!$E$11:$E$338,'PIS B'!$C$11:$C$338,'SCH B-2.3 B'!$B42)</f>
        <v>90504500.530000001</v>
      </c>
      <c r="E42" s="88">
        <f>SUMIFS('PIS B'!$G$11:$G$338,'PIS B'!$C$11:$C$338,'SCH B-2.3 B'!$B42)</f>
        <v>97335.89</v>
      </c>
      <c r="F42" s="88">
        <f>SUMIFS('PIS B'!$I$11:$I$338,'PIS B'!$C$11:$C$338,'SCH B-2.3 B'!$B42)</f>
        <v>-62540.89</v>
      </c>
      <c r="G42" s="88">
        <f>SUMIFS('PIS B'!$K$11:$K$338,'PIS B'!$C$11:$C$338,'SCH B-2.3 B'!$B42)</f>
        <v>0</v>
      </c>
      <c r="H42" s="88">
        <f t="shared" si="6"/>
        <v>90539295.530000001</v>
      </c>
    </row>
    <row r="43" spans="1:8" ht="18.95" customHeight="1">
      <c r="A43" s="70">
        <f t="shared" si="0"/>
        <v>28</v>
      </c>
      <c r="B43" s="71" t="s">
        <v>1646</v>
      </c>
      <c r="C43" s="78" t="s">
        <v>1647</v>
      </c>
      <c r="D43" s="88">
        <f>SUMIFS('PIS B'!$E$11:$E$338,'PIS B'!$C$11:$C$338,'SCH B-2.3 B'!$B43)</f>
        <v>63085395.019999988</v>
      </c>
      <c r="E43" s="88">
        <f>SUMIFS('PIS B'!$G$11:$G$338,'PIS B'!$C$11:$C$338,'SCH B-2.3 B'!$B43)</f>
        <v>21083025.350000001</v>
      </c>
      <c r="F43" s="88">
        <f>SUMIFS('PIS B'!$I$11:$I$338,'PIS B'!$C$11:$C$338,'SCH B-2.3 B'!$B43)</f>
        <v>-1</v>
      </c>
      <c r="G43" s="88">
        <f>SUMIFS('PIS B'!$K$11:$K$338,'PIS B'!$C$11:$C$338,'SCH B-2.3 B'!$B43)</f>
        <v>0</v>
      </c>
      <c r="H43" s="88">
        <f t="shared" si="6"/>
        <v>84168419.36999999</v>
      </c>
    </row>
    <row r="44" spans="1:8" ht="18.95" customHeight="1">
      <c r="A44" s="70">
        <f t="shared" si="0"/>
        <v>29</v>
      </c>
      <c r="B44" s="71" t="s">
        <v>1648</v>
      </c>
      <c r="C44" s="78" t="s">
        <v>1649</v>
      </c>
      <c r="D44" s="88">
        <f>SUMIFS('PIS B'!$E$11:$E$338,'PIS B'!$C$11:$C$338,'SCH B-2.3 B'!$B44)</f>
        <v>668339234.02999794</v>
      </c>
      <c r="E44" s="88">
        <f>SUMIFS('PIS B'!$G$11:$G$338,'PIS B'!$C$11:$C$338,'SCH B-2.3 B'!$B44)</f>
        <v>19980949.209999997</v>
      </c>
      <c r="F44" s="88">
        <f>SUMIFS('PIS B'!$I$11:$I$338,'PIS B'!$C$11:$C$338,'SCH B-2.3 B'!$B44)</f>
        <v>-4895134.6600000011</v>
      </c>
      <c r="G44" s="88">
        <f>SUMIFS('PIS B'!$K$11:$K$338,'PIS B'!$C$11:$C$338,'SCH B-2.3 B'!$B44)</f>
        <v>0</v>
      </c>
      <c r="H44" s="88">
        <f t="shared" si="6"/>
        <v>683425048.57999802</v>
      </c>
    </row>
    <row r="45" spans="1:8" s="68" customFormat="1" ht="20.100000000000001" customHeight="1">
      <c r="A45" s="809" t="str">
        <f>$A$1</f>
        <v>KENTUCKY UTILITIES COMPANY</v>
      </c>
      <c r="B45" s="809"/>
      <c r="C45" s="809"/>
      <c r="D45" s="809"/>
      <c r="E45" s="809"/>
      <c r="F45" s="809"/>
      <c r="G45" s="809"/>
      <c r="H45" s="809"/>
    </row>
    <row r="46" spans="1:8" s="68" customFormat="1" ht="20.100000000000001" customHeight="1">
      <c r="A46" s="809" t="str">
        <f>$A$2</f>
        <v>CASE NO. 2020-00349</v>
      </c>
      <c r="B46" s="809"/>
      <c r="C46" s="809"/>
      <c r="D46" s="809"/>
      <c r="E46" s="809"/>
      <c r="F46" s="809"/>
      <c r="G46" s="809"/>
      <c r="H46" s="809"/>
    </row>
    <row r="47" spans="1:8" s="68" customFormat="1" ht="20.100000000000001" customHeight="1">
      <c r="A47" s="809" t="str">
        <f>$A$3</f>
        <v>GROSS ADDITIONS, RETIREMENTS, AND TRANSFERS</v>
      </c>
      <c r="B47" s="809"/>
      <c r="C47" s="809"/>
      <c r="D47" s="809"/>
      <c r="E47" s="809"/>
      <c r="F47" s="809"/>
      <c r="G47" s="809"/>
      <c r="H47" s="809"/>
    </row>
    <row r="48" spans="1:8" s="68" customFormat="1" ht="20.100000000000001" customHeight="1">
      <c r="A48" s="808" t="str">
        <f>$A$4</f>
        <v>FROM MARCH 1, 2020 TO FEBRUARY 28, 2021</v>
      </c>
      <c r="B48" s="809"/>
      <c r="C48" s="809"/>
      <c r="D48" s="809"/>
      <c r="E48" s="809"/>
      <c r="F48" s="809"/>
      <c r="G48" s="809"/>
      <c r="H48" s="809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5" t="str">
        <f>$H$6</f>
        <v>SCHEDULE B-2.3</v>
      </c>
    </row>
    <row r="51" spans="1:8" s="68" customFormat="1" ht="20.100000000000001" customHeight="1">
      <c r="A51" s="67" t="str">
        <f>$A$7</f>
        <v>TYPE OF FILING: __X__ ORIGINAL  _____ UPDATED  _____ REVISED</v>
      </c>
      <c r="G51" s="74"/>
      <c r="H51" s="74" t="s">
        <v>171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135</v>
      </c>
      <c r="D54" s="76" t="s">
        <v>136</v>
      </c>
      <c r="E54" s="76" t="s">
        <v>137</v>
      </c>
      <c r="F54" s="76" t="s">
        <v>138</v>
      </c>
      <c r="G54" s="76" t="s">
        <v>140</v>
      </c>
      <c r="H54" s="76" t="s">
        <v>141</v>
      </c>
    </row>
    <row r="55" spans="1:8" ht="23.1" customHeight="1">
      <c r="A55" s="80"/>
      <c r="B55" s="80"/>
      <c r="C55" s="81"/>
      <c r="D55" s="82" t="s">
        <v>142</v>
      </c>
      <c r="E55" s="82" t="s">
        <v>142</v>
      </c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1652</v>
      </c>
      <c r="C56" s="78" t="s">
        <v>1653</v>
      </c>
      <c r="D56" s="88">
        <f>SUMIFS('PIS B'!$E$11:$E$338,'PIS B'!$C$11:$C$338,'SCH B-2.3 B'!$B56)</f>
        <v>137773199.20999992</v>
      </c>
      <c r="E56" s="88">
        <f>SUMIFS('PIS B'!$G$11:$G$338,'PIS B'!$C$11:$C$338,'SCH B-2.3 B'!$B56)</f>
        <v>288620.23999999987</v>
      </c>
      <c r="F56" s="88">
        <f>SUMIFS('PIS B'!$I$11:$I$338,'PIS B'!$C$11:$C$338,'SCH B-2.3 B'!$B56)</f>
        <v>-720449.17999999993</v>
      </c>
      <c r="G56" s="88">
        <f>SUMIFS('PIS B'!$K$11:$K$338,'PIS B'!$C$11:$C$338,'SCH B-2.3 B'!$B56)</f>
        <v>0</v>
      </c>
      <c r="H56" s="88">
        <f t="shared" si="6"/>
        <v>137341370.26999992</v>
      </c>
    </row>
    <row r="57" spans="1:8" ht="18.95" customHeight="1">
      <c r="A57" s="70">
        <f t="shared" si="0"/>
        <v>31</v>
      </c>
      <c r="B57" s="71" t="s">
        <v>1654</v>
      </c>
      <c r="C57" s="78" t="s">
        <v>1628</v>
      </c>
      <c r="D57" s="88">
        <f>SUMIFS('PIS B'!$E$11:$E$338,'PIS B'!$C$11:$C$338,'SCH B-2.3 B'!$B57)</f>
        <v>76279387.299999997</v>
      </c>
      <c r="E57" s="88">
        <f>SUMIFS('PIS B'!$G$11:$G$338,'PIS B'!$C$11:$C$338,'SCH B-2.3 B'!$B57)</f>
        <v>1157962.7</v>
      </c>
      <c r="F57" s="88">
        <f>SUMIFS('PIS B'!$I$11:$I$338,'PIS B'!$C$11:$C$338,'SCH B-2.3 B'!$B57)</f>
        <v>0</v>
      </c>
      <c r="G57" s="88">
        <f>SUMIFS('PIS B'!$K$11:$K$338,'PIS B'!$C$11:$C$338,'SCH B-2.3 B'!$B57)</f>
        <v>0</v>
      </c>
      <c r="H57" s="88">
        <f t="shared" si="6"/>
        <v>77437350</v>
      </c>
    </row>
    <row r="58" spans="1:8" ht="18.95" customHeight="1">
      <c r="A58" s="70">
        <f t="shared" si="0"/>
        <v>32</v>
      </c>
      <c r="B58" s="71" t="s">
        <v>1655</v>
      </c>
      <c r="C58" s="78" t="s">
        <v>1640</v>
      </c>
      <c r="D58" s="88">
        <f>SUMIFS('PIS B'!$E$11:$E$338,'PIS B'!$C$11:$C$338,'SCH B-2.3 B'!$B58)</f>
        <v>9268887.2400000021</v>
      </c>
      <c r="E58" s="88">
        <f>SUMIFS('PIS B'!$G$11:$G$338,'PIS B'!$C$11:$C$338,'SCH B-2.3 B'!$B58)</f>
        <v>130622.70000000001</v>
      </c>
      <c r="F58" s="88">
        <f>SUMIFS('PIS B'!$I$11:$I$338,'PIS B'!$C$11:$C$338,'SCH B-2.3 B'!$B58)</f>
        <v>0</v>
      </c>
      <c r="G58" s="88">
        <f>SUMIFS('PIS B'!$K$11:$K$338,'PIS B'!$C$11:$C$338,'SCH B-2.3 B'!$B58)</f>
        <v>0</v>
      </c>
      <c r="H58" s="88">
        <f t="shared" si="6"/>
        <v>9399509.9400000013</v>
      </c>
    </row>
    <row r="59" spans="1:8" ht="18.95" customHeight="1">
      <c r="A59" s="70">
        <f t="shared" si="0"/>
        <v>33</v>
      </c>
      <c r="B59" s="71" t="s">
        <v>1656</v>
      </c>
      <c r="C59" s="78" t="s">
        <v>1691</v>
      </c>
      <c r="D59" s="89">
        <f>SUMIFS('PIS B'!$E$11:$E$338,'PIS B'!$C$11:$C$338,'SCH B-2.3 B'!$B59)</f>
        <v>406991.12</v>
      </c>
      <c r="E59" s="89">
        <f>SUMIFS('PIS B'!$G$11:$G$338,'PIS B'!$C$11:$C$338,'SCH B-2.3 B'!$B59)</f>
        <v>0</v>
      </c>
      <c r="F59" s="89">
        <f>SUMIFS('PIS B'!$I$11:$I$338,'PIS B'!$C$11:$C$338,'SCH B-2.3 B'!$B59)</f>
        <v>0</v>
      </c>
      <c r="G59" s="89">
        <f>SUMIFS('PIS B'!$K$11:$K$338,'PIS B'!$C$11:$C$338,'SCH B-2.3 B'!$B59)</f>
        <v>0</v>
      </c>
      <c r="H59" s="89">
        <f t="shared" si="6"/>
        <v>406991.12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1046552107.3499978</v>
      </c>
      <c r="E60" s="86">
        <f t="shared" ref="E60:H60" si="7">SUM(E41:E44,E56:E59)</f>
        <v>42738516.090000011</v>
      </c>
      <c r="F60" s="86">
        <f t="shared" si="7"/>
        <v>-5678125.7300000004</v>
      </c>
      <c r="G60" s="86">
        <f t="shared" si="7"/>
        <v>0</v>
      </c>
      <c r="H60" s="86">
        <f t="shared" si="7"/>
        <v>1083612497.7099979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1657</v>
      </c>
      <c r="C63" s="78" t="s">
        <v>154</v>
      </c>
      <c r="D63" s="88">
        <f>SUMIFS('PIS B'!$E$11:$E$338,'PIS B'!$C$11:$C$338,'SCH B-2.3 B'!$B63)</f>
        <v>31914542.180000003</v>
      </c>
      <c r="E63" s="88">
        <f>SUMIFS('PIS B'!$G$11:$G$338,'PIS B'!$C$11:$C$338,'SCH B-2.3 B'!$B63)</f>
        <v>1160627.43</v>
      </c>
      <c r="F63" s="88">
        <f>SUMIFS('PIS B'!$I$11:$I$338,'PIS B'!$C$11:$C$338,'SCH B-2.3 B'!$B63)</f>
        <v>0</v>
      </c>
      <c r="G63" s="88">
        <f>SUMIFS('PIS B'!$K$11:$K$338,'PIS B'!$C$11:$C$338,'SCH B-2.3 B'!$B63)</f>
        <v>0</v>
      </c>
      <c r="H63" s="88">
        <f t="shared" ref="H63:H71" si="8">SUM(D63:G63)</f>
        <v>33075169.610000003</v>
      </c>
    </row>
    <row r="64" spans="1:8" ht="18.95" customHeight="1">
      <c r="A64" s="70">
        <f t="shared" si="0"/>
        <v>37</v>
      </c>
      <c r="B64" s="71" t="s">
        <v>1658</v>
      </c>
      <c r="C64" s="78" t="s">
        <v>148</v>
      </c>
      <c r="D64" s="88">
        <f>SUMIFS('PIS B'!$E$11:$E$338,'PIS B'!$C$11:$C$338,'SCH B-2.3 B'!$B64)</f>
        <v>34005295.059999987</v>
      </c>
      <c r="E64" s="88">
        <f>SUMIFS('PIS B'!$G$11:$G$338,'PIS B'!$C$11:$C$338,'SCH B-2.3 B'!$B64)</f>
        <v>-220382.33999999997</v>
      </c>
      <c r="F64" s="88">
        <f>SUMIFS('PIS B'!$I$11:$I$338,'PIS B'!$C$11:$C$338,'SCH B-2.3 B'!$B64)</f>
        <v>-15535.5</v>
      </c>
      <c r="G64" s="88">
        <f>SUMIFS('PIS B'!$K$11:$K$338,'PIS B'!$C$11:$C$338,'SCH B-2.3 B'!$B64)</f>
        <v>0</v>
      </c>
      <c r="H64" s="88">
        <f t="shared" si="8"/>
        <v>33769377.219999984</v>
      </c>
    </row>
    <row r="65" spans="1:8" ht="18.95" customHeight="1">
      <c r="A65" s="70">
        <f t="shared" si="0"/>
        <v>38</v>
      </c>
      <c r="B65" s="71" t="s">
        <v>1659</v>
      </c>
      <c r="C65" s="78" t="s">
        <v>149</v>
      </c>
      <c r="D65" s="88">
        <f>SUMIFS('PIS B'!$E$11:$E$338,'PIS B'!$C$11:$C$338,'SCH B-2.3 B'!$B65)</f>
        <v>361340921.88999999</v>
      </c>
      <c r="E65" s="88">
        <f>SUMIFS('PIS B'!$G$11:$G$338,'PIS B'!$C$11:$C$338,'SCH B-2.3 B'!$B65)</f>
        <v>29882877.599999979</v>
      </c>
      <c r="F65" s="88">
        <f>SUMIFS('PIS B'!$I$11:$I$338,'PIS B'!$C$11:$C$338,'SCH B-2.3 B'!$B65)</f>
        <v>-1912780.6799999992</v>
      </c>
      <c r="G65" s="88">
        <f>SUMIFS('PIS B'!$K$11:$K$338,'PIS B'!$C$11:$C$338,'SCH B-2.3 B'!$B65)</f>
        <v>198451.8</v>
      </c>
      <c r="H65" s="88">
        <f t="shared" si="8"/>
        <v>389509470.60999995</v>
      </c>
    </row>
    <row r="66" spans="1:8" ht="18.95" customHeight="1">
      <c r="A66" s="70">
        <f t="shared" si="0"/>
        <v>39</v>
      </c>
      <c r="B66" s="71" t="s">
        <v>1660</v>
      </c>
      <c r="C66" s="78" t="s">
        <v>1661</v>
      </c>
      <c r="D66" s="88">
        <f>SUMIFS('PIS B'!$E$11:$E$338,'PIS B'!$C$11:$C$338,'SCH B-2.3 B'!$B66)</f>
        <v>77967975.879999995</v>
      </c>
      <c r="E66" s="88">
        <f>SUMIFS('PIS B'!$G$11:$G$338,'PIS B'!$C$11:$C$338,'SCH B-2.3 B'!$B66)</f>
        <v>0</v>
      </c>
      <c r="F66" s="88">
        <f>SUMIFS('PIS B'!$I$11:$I$338,'PIS B'!$C$11:$C$338,'SCH B-2.3 B'!$B66)</f>
        <v>0</v>
      </c>
      <c r="G66" s="88">
        <f>SUMIFS('PIS B'!$K$11:$K$338,'PIS B'!$C$11:$C$338,'SCH B-2.3 B'!$B66)</f>
        <v>0</v>
      </c>
      <c r="H66" s="88">
        <f t="shared" si="8"/>
        <v>77967975.879999995</v>
      </c>
    </row>
    <row r="67" spans="1:8" ht="18.95" customHeight="1">
      <c r="A67" s="70">
        <f t="shared" si="0"/>
        <v>40</v>
      </c>
      <c r="B67" s="71" t="s">
        <v>1662</v>
      </c>
      <c r="C67" s="78" t="s">
        <v>1663</v>
      </c>
      <c r="D67" s="88">
        <f>SUMIFS('PIS B'!$E$11:$E$338,'PIS B'!$C$11:$C$338,'SCH B-2.3 B'!$B67)</f>
        <v>431560764.48999995</v>
      </c>
      <c r="E67" s="88">
        <f>SUMIFS('PIS B'!$G$11:$G$338,'PIS B'!$C$11:$C$338,'SCH B-2.3 B'!$B67)</f>
        <v>99965874.389999881</v>
      </c>
      <c r="F67" s="88">
        <f>SUMIFS('PIS B'!$I$11:$I$338,'PIS B'!$C$11:$C$338,'SCH B-2.3 B'!$B67)</f>
        <v>-1830358.779999997</v>
      </c>
      <c r="G67" s="88">
        <f>SUMIFS('PIS B'!$K$11:$K$338,'PIS B'!$C$11:$C$338,'SCH B-2.3 B'!$B67)</f>
        <v>0</v>
      </c>
      <c r="H67" s="88">
        <f t="shared" si="8"/>
        <v>529696280.09999985</v>
      </c>
    </row>
    <row r="68" spans="1:8" ht="18.95" customHeight="1">
      <c r="A68" s="70">
        <f t="shared" si="0"/>
        <v>41</v>
      </c>
      <c r="B68" s="71" t="s">
        <v>1664</v>
      </c>
      <c r="C68" s="78" t="s">
        <v>1665</v>
      </c>
      <c r="D68" s="88">
        <f>SUMIFS('PIS B'!$E$11:$E$338,'PIS B'!$C$11:$C$338,'SCH B-2.3 B'!$B68)</f>
        <v>215811955.00000003</v>
      </c>
      <c r="E68" s="88">
        <f>SUMIFS('PIS B'!$G$11:$G$338,'PIS B'!$C$11:$C$338,'SCH B-2.3 B'!$B68)</f>
        <v>26607584.669999987</v>
      </c>
      <c r="F68" s="88">
        <f>SUMIFS('PIS B'!$I$11:$I$338,'PIS B'!$C$11:$C$338,'SCH B-2.3 B'!$B68)</f>
        <v>-856907.97999999986</v>
      </c>
      <c r="G68" s="88">
        <f>SUMIFS('PIS B'!$K$11:$K$338,'PIS B'!$C$11:$C$338,'SCH B-2.3 B'!$B68)</f>
        <v>0</v>
      </c>
      <c r="H68" s="88">
        <f t="shared" si="8"/>
        <v>241562631.69000003</v>
      </c>
    </row>
    <row r="69" spans="1:8" ht="18.95" customHeight="1">
      <c r="A69" s="70">
        <f t="shared" si="0"/>
        <v>42</v>
      </c>
      <c r="B69" s="71" t="s">
        <v>1666</v>
      </c>
      <c r="C69" s="78" t="s">
        <v>1667</v>
      </c>
      <c r="D69" s="88">
        <f>SUMIFS('PIS B'!$E$11:$E$338,'PIS B'!$C$11:$C$338,'SCH B-2.3 B'!$B69)</f>
        <v>681788.4</v>
      </c>
      <c r="E69" s="88">
        <f>SUMIFS('PIS B'!$G$11:$G$338,'PIS B'!$C$11:$C$338,'SCH B-2.3 B'!$B69)</f>
        <v>90.440000000000012</v>
      </c>
      <c r="F69" s="88">
        <f>SUMIFS('PIS B'!$I$11:$I$338,'PIS B'!$C$11:$C$338,'SCH B-2.3 B'!$B69)</f>
        <v>-63385.03</v>
      </c>
      <c r="G69" s="88">
        <f>SUMIFS('PIS B'!$K$11:$K$338,'PIS B'!$C$11:$C$338,'SCH B-2.3 B'!$B69)</f>
        <v>0</v>
      </c>
      <c r="H69" s="88">
        <f t="shared" si="8"/>
        <v>618493.80999999994</v>
      </c>
    </row>
    <row r="70" spans="1:8" ht="18.95" customHeight="1">
      <c r="A70" s="70">
        <f t="shared" si="0"/>
        <v>43</v>
      </c>
      <c r="B70" s="71" t="s">
        <v>1668</v>
      </c>
      <c r="C70" s="78" t="s">
        <v>1669</v>
      </c>
      <c r="D70" s="88">
        <f>SUMIFS('PIS B'!$E$11:$E$338,'PIS B'!$C$11:$C$338,'SCH B-2.3 B'!$B70)</f>
        <v>1365290.2999999998</v>
      </c>
      <c r="E70" s="88">
        <f>SUMIFS('PIS B'!$G$11:$G$338,'PIS B'!$C$11:$C$338,'SCH B-2.3 B'!$B70)</f>
        <v>-42650.350000000006</v>
      </c>
      <c r="F70" s="88">
        <f>SUMIFS('PIS B'!$I$11:$I$338,'PIS B'!$C$11:$C$338,'SCH B-2.3 B'!$B70)</f>
        <v>-87624.78</v>
      </c>
      <c r="G70" s="88">
        <f>SUMIFS('PIS B'!$K$11:$K$338,'PIS B'!$C$11:$C$338,'SCH B-2.3 B'!$B70)</f>
        <v>0</v>
      </c>
      <c r="H70" s="88">
        <f t="shared" si="8"/>
        <v>1235015.1699999997</v>
      </c>
    </row>
    <row r="71" spans="1:8" ht="18.95" customHeight="1">
      <c r="A71" s="70">
        <f t="shared" si="0"/>
        <v>44</v>
      </c>
      <c r="B71" s="71" t="s">
        <v>1670</v>
      </c>
      <c r="C71" s="78" t="s">
        <v>152</v>
      </c>
      <c r="D71" s="89">
        <f>SUMIFS('PIS B'!$E$11:$E$338,'PIS B'!$C$11:$C$338,'SCH B-2.3 B'!$B71)</f>
        <v>254317.41</v>
      </c>
      <c r="E71" s="89">
        <f>SUMIFS('PIS B'!$G$11:$G$338,'PIS B'!$C$11:$C$338,'SCH B-2.3 B'!$B71)</f>
        <v>0</v>
      </c>
      <c r="F71" s="89">
        <f>SUMIFS('PIS B'!$I$11:$I$338,'PIS B'!$C$11:$C$338,'SCH B-2.3 B'!$B71)</f>
        <v>0</v>
      </c>
      <c r="G71" s="89">
        <f>SUMIFS('PIS B'!$K$11:$K$338,'PIS B'!$C$11:$C$338,'SCH B-2.3 B'!$B71)</f>
        <v>0</v>
      </c>
      <c r="H71" s="89">
        <f t="shared" si="8"/>
        <v>254317.41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1154902850.6100001</v>
      </c>
      <c r="E72" s="86">
        <f t="shared" ref="E72:H72" si="9">SUM(E63:E71)</f>
        <v>157354021.83999985</v>
      </c>
      <c r="F72" s="86">
        <f t="shared" si="9"/>
        <v>-4766592.7499999963</v>
      </c>
      <c r="G72" s="86">
        <f t="shared" si="9"/>
        <v>198451.8</v>
      </c>
      <c r="H72" s="86">
        <f t="shared" si="9"/>
        <v>1307688731.5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250</v>
      </c>
      <c r="C74" s="90" t="s">
        <v>16</v>
      </c>
    </row>
    <row r="75" spans="1:8" ht="18.95" customHeight="1">
      <c r="A75" s="70">
        <f t="shared" si="0"/>
        <v>47</v>
      </c>
      <c r="B75" s="71" t="s">
        <v>1671</v>
      </c>
      <c r="C75" s="78" t="s">
        <v>154</v>
      </c>
      <c r="D75" s="88">
        <f>SUMIFS('PIS B'!$E$11:$E$338,'PIS B'!$C$11:$C$338,'SCH B-2.3 B'!$B75)</f>
        <v>8901472.1800000016</v>
      </c>
      <c r="E75" s="88">
        <f>SUMIFS('PIS B'!$G$11:$G$338,'PIS B'!$C$11:$C$338,'SCH B-2.3 B'!$B75)</f>
        <v>335378.07999999996</v>
      </c>
      <c r="F75" s="88">
        <f>SUMIFS('PIS B'!$I$11:$I$338,'PIS B'!$C$11:$C$338,'SCH B-2.3 B'!$B75)</f>
        <v>0</v>
      </c>
      <c r="G75" s="88">
        <f>SUMIFS('PIS B'!$K$11:$K$338,'PIS B'!$C$11:$C$338,'SCH B-2.3 B'!$B75)</f>
        <v>-991.77</v>
      </c>
      <c r="H75" s="88">
        <f t="shared" ref="H75:H87" si="10">SUM(D75:G75)</f>
        <v>9235858.4900000021</v>
      </c>
    </row>
    <row r="76" spans="1:8" ht="18.95" customHeight="1">
      <c r="A76" s="70">
        <f t="shared" si="0"/>
        <v>48</v>
      </c>
      <c r="B76" s="71" t="s">
        <v>1672</v>
      </c>
      <c r="C76" s="78" t="s">
        <v>148</v>
      </c>
      <c r="D76" s="88">
        <f>SUMIFS('PIS B'!$E$11:$E$338,'PIS B'!$C$11:$C$338,'SCH B-2.3 B'!$B76)</f>
        <v>23982378.509999901</v>
      </c>
      <c r="E76" s="88">
        <f>SUMIFS('PIS B'!$G$11:$G$338,'PIS B'!$C$11:$C$338,'SCH B-2.3 B'!$B76)</f>
        <v>4722724.7399999993</v>
      </c>
      <c r="F76" s="88">
        <f>SUMIFS('PIS B'!$I$11:$I$338,'PIS B'!$C$11:$C$338,'SCH B-2.3 B'!$B76)</f>
        <v>-38282.889999999992</v>
      </c>
      <c r="G76" s="88">
        <f>SUMIFS('PIS B'!$K$11:$K$338,'PIS B'!$C$11:$C$338,'SCH B-2.3 B'!$B76)</f>
        <v>-208</v>
      </c>
      <c r="H76" s="88">
        <f t="shared" si="10"/>
        <v>28666612.359999899</v>
      </c>
    </row>
    <row r="77" spans="1:8" ht="18.95" customHeight="1">
      <c r="A77" s="70">
        <f t="shared" si="0"/>
        <v>49</v>
      </c>
      <c r="B77" s="71" t="s">
        <v>1673</v>
      </c>
      <c r="C77" s="78" t="s">
        <v>1674</v>
      </c>
      <c r="D77" s="88">
        <f>SUMIFS('PIS B'!$E$11:$E$338,'PIS B'!$C$11:$C$338,'SCH B-2.3 B'!$B77)</f>
        <v>251418082.12999997</v>
      </c>
      <c r="E77" s="88">
        <f>SUMIFS('PIS B'!$G$11:$G$338,'PIS B'!$C$11:$C$338,'SCH B-2.3 B'!$B77)</f>
        <v>36907387.929999985</v>
      </c>
      <c r="F77" s="88">
        <f>SUMIFS('PIS B'!$I$11:$I$338,'PIS B'!$C$11:$C$338,'SCH B-2.3 B'!$B77)</f>
        <v>-679445.70000000007</v>
      </c>
      <c r="G77" s="88">
        <f>SUMIFS('PIS B'!$K$11:$K$338,'PIS B'!$C$11:$C$338,'SCH B-2.3 B'!$B77)</f>
        <v>-198451.8</v>
      </c>
      <c r="H77" s="88">
        <f t="shared" si="10"/>
        <v>287447572.55999994</v>
      </c>
    </row>
    <row r="78" spans="1:8" ht="18.95" customHeight="1">
      <c r="A78" s="70">
        <f t="shared" si="0"/>
        <v>50</v>
      </c>
      <c r="B78" s="71" t="s">
        <v>1675</v>
      </c>
      <c r="C78" s="78" t="s">
        <v>1676</v>
      </c>
      <c r="D78" s="88">
        <f>SUMIFS('PIS B'!$E$11:$E$338,'PIS B'!$C$11:$C$338,'SCH B-2.3 B'!$B78)</f>
        <v>445606859.53000003</v>
      </c>
      <c r="E78" s="88">
        <f>SUMIFS('PIS B'!$G$11:$G$338,'PIS B'!$C$11:$C$338,'SCH B-2.3 B'!$B78)</f>
        <v>25225465.179999992</v>
      </c>
      <c r="F78" s="88">
        <f>SUMIFS('PIS B'!$I$11:$I$338,'PIS B'!$C$11:$C$338,'SCH B-2.3 B'!$B78)</f>
        <v>-1193052.52</v>
      </c>
      <c r="G78" s="88">
        <f>SUMIFS('PIS B'!$K$11:$K$338,'PIS B'!$C$11:$C$338,'SCH B-2.3 B'!$B78)</f>
        <v>0</v>
      </c>
      <c r="H78" s="88">
        <f t="shared" si="10"/>
        <v>469639272.19000006</v>
      </c>
    </row>
    <row r="79" spans="1:8" ht="18.95" customHeight="1">
      <c r="A79" s="70">
        <f t="shared" si="0"/>
        <v>51</v>
      </c>
      <c r="B79" s="71" t="s">
        <v>1677</v>
      </c>
      <c r="C79" s="78" t="s">
        <v>1665</v>
      </c>
      <c r="D79" s="88">
        <f>SUMIFS('PIS B'!$E$11:$E$338,'PIS B'!$C$11:$C$338,'SCH B-2.3 B'!$B79)</f>
        <v>446148373.44999999</v>
      </c>
      <c r="E79" s="88">
        <f>SUMIFS('PIS B'!$G$11:$G$338,'PIS B'!$C$11:$C$338,'SCH B-2.3 B'!$B79)</f>
        <v>45492239.259999968</v>
      </c>
      <c r="F79" s="88">
        <f>SUMIFS('PIS B'!$I$11:$I$338,'PIS B'!$C$11:$C$338,'SCH B-2.3 B'!$B79)</f>
        <v>-10514010.5</v>
      </c>
      <c r="G79" s="88">
        <f>SUMIFS('PIS B'!$K$11:$K$338,'PIS B'!$C$11:$C$338,'SCH B-2.3 B'!$B79)</f>
        <v>0</v>
      </c>
      <c r="H79" s="88">
        <f t="shared" si="10"/>
        <v>481126602.20999998</v>
      </c>
    </row>
    <row r="80" spans="1:8" ht="18.95" customHeight="1">
      <c r="A80" s="70">
        <f t="shared" si="0"/>
        <v>52</v>
      </c>
      <c r="B80" s="71" t="s">
        <v>1678</v>
      </c>
      <c r="C80" s="78" t="s">
        <v>1667</v>
      </c>
      <c r="D80" s="88">
        <f>SUMIFS('PIS B'!$E$11:$E$338,'PIS B'!$C$11:$C$338,'SCH B-2.3 B'!$B80)</f>
        <v>2523911.5899999989</v>
      </c>
      <c r="E80" s="88">
        <f>SUMIFS('PIS B'!$G$11:$G$338,'PIS B'!$C$11:$C$338,'SCH B-2.3 B'!$B80)</f>
        <v>232.92999999999998</v>
      </c>
      <c r="F80" s="88">
        <f>SUMIFS('PIS B'!$I$11:$I$338,'PIS B'!$C$11:$C$338,'SCH B-2.3 B'!$B80)</f>
        <v>0</v>
      </c>
      <c r="G80" s="88">
        <f>SUMIFS('PIS B'!$K$11:$K$338,'PIS B'!$C$11:$C$338,'SCH B-2.3 B'!$B80)</f>
        <v>0</v>
      </c>
      <c r="H80" s="88">
        <f t="shared" si="10"/>
        <v>2524144.5199999991</v>
      </c>
    </row>
    <row r="81" spans="1:8" ht="18.95" customHeight="1">
      <c r="A81" s="70">
        <f t="shared" si="0"/>
        <v>53</v>
      </c>
      <c r="B81" s="71" t="s">
        <v>1679</v>
      </c>
      <c r="C81" s="78" t="s">
        <v>1669</v>
      </c>
      <c r="D81" s="88">
        <f>SUMIFS('PIS B'!$E$11:$E$338,'PIS B'!$C$11:$C$338,'SCH B-2.3 B'!$B81)</f>
        <v>216230803.60999998</v>
      </c>
      <c r="E81" s="88">
        <f>SUMIFS('PIS B'!$G$11:$G$338,'PIS B'!$C$11:$C$338,'SCH B-2.3 B'!$B81)</f>
        <v>18096520.099999968</v>
      </c>
      <c r="F81" s="88">
        <f>SUMIFS('PIS B'!$I$11:$I$338,'PIS B'!$C$11:$C$338,'SCH B-2.3 B'!$B81)</f>
        <v>-235543.49999999997</v>
      </c>
      <c r="G81" s="88">
        <f>SUMIFS('PIS B'!$K$11:$K$338,'PIS B'!$C$11:$C$338,'SCH B-2.3 B'!$B81)</f>
        <v>0</v>
      </c>
      <c r="H81" s="88">
        <f t="shared" si="10"/>
        <v>234091780.20999995</v>
      </c>
    </row>
    <row r="82" spans="1:8" ht="18.95" customHeight="1">
      <c r="A82" s="70">
        <f t="shared" si="0"/>
        <v>54</v>
      </c>
      <c r="B82" s="71" t="s">
        <v>1680</v>
      </c>
      <c r="C82" s="78" t="s">
        <v>1681</v>
      </c>
      <c r="D82" s="88">
        <f>SUMIFS('PIS B'!$E$11:$E$338,'PIS B'!$C$11:$C$338,'SCH B-2.3 B'!$B82)</f>
        <v>326740549.13999999</v>
      </c>
      <c r="E82" s="88">
        <f>SUMIFS('PIS B'!$G$11:$G$338,'PIS B'!$C$11:$C$338,'SCH B-2.3 B'!$B82)</f>
        <v>7386928.7799999975</v>
      </c>
      <c r="F82" s="88">
        <f>SUMIFS('PIS B'!$I$11:$I$338,'PIS B'!$C$11:$C$338,'SCH B-2.3 B'!$B82)</f>
        <v>-1416819.1099999989</v>
      </c>
      <c r="G82" s="88">
        <f>SUMIFS('PIS B'!$K$11:$K$338,'PIS B'!$C$11:$C$338,'SCH B-2.3 B'!$B82)</f>
        <v>0</v>
      </c>
      <c r="H82" s="88">
        <f t="shared" si="10"/>
        <v>332710658.80999994</v>
      </c>
    </row>
    <row r="83" spans="1:8" ht="18.95" customHeight="1">
      <c r="A83" s="70">
        <f t="shared" si="0"/>
        <v>55</v>
      </c>
      <c r="B83" s="71" t="s">
        <v>1682</v>
      </c>
      <c r="C83" s="78" t="s">
        <v>1683</v>
      </c>
      <c r="D83" s="88">
        <f>SUMIFS('PIS B'!$E$11:$E$338,'PIS B'!$C$11:$C$338,'SCH B-2.3 B'!$B83)</f>
        <v>131188766.72</v>
      </c>
      <c r="E83" s="88">
        <f>SUMIFS('PIS B'!$G$11:$G$338,'PIS B'!$C$11:$C$338,'SCH B-2.3 B'!$B83)</f>
        <v>16124.9</v>
      </c>
      <c r="F83" s="88">
        <f>SUMIFS('PIS B'!$I$11:$I$338,'PIS B'!$C$11:$C$338,'SCH B-2.3 B'!$B83)</f>
        <v>0</v>
      </c>
      <c r="G83" s="88">
        <f>SUMIFS('PIS B'!$K$11:$K$338,'PIS B'!$C$11:$C$338,'SCH B-2.3 B'!$B83)</f>
        <v>0</v>
      </c>
      <c r="H83" s="88">
        <f t="shared" si="10"/>
        <v>131204891.62</v>
      </c>
    </row>
    <row r="84" spans="1:8" ht="18.95" customHeight="1">
      <c r="A84" s="70">
        <f>A83+1</f>
        <v>56</v>
      </c>
      <c r="B84" s="71" t="s">
        <v>1684</v>
      </c>
      <c r="C84" s="78" t="s">
        <v>1685</v>
      </c>
      <c r="D84" s="88">
        <f>SUMIFS('PIS B'!$E$11:$E$338,'PIS B'!$C$11:$C$338,'SCH B-2.3 B'!$B84)</f>
        <v>78717587.999999985</v>
      </c>
      <c r="E84" s="88">
        <f>SUMIFS('PIS B'!$G$11:$G$338,'PIS B'!$C$11:$C$338,'SCH B-2.3 B'!$B84)</f>
        <v>2526016.0700000003</v>
      </c>
      <c r="F84" s="88">
        <f>SUMIFS('PIS B'!$I$11:$I$338,'PIS B'!$C$11:$C$338,'SCH B-2.3 B'!$B84)</f>
        <v>-812873.85000000009</v>
      </c>
      <c r="G84" s="88">
        <f>SUMIFS('PIS B'!$K$11:$K$338,'PIS B'!$C$11:$C$338,'SCH B-2.3 B'!$B84)</f>
        <v>0</v>
      </c>
      <c r="H84" s="88">
        <f t="shared" si="10"/>
        <v>80430730.219999999</v>
      </c>
    </row>
    <row r="85" spans="1:8" ht="18.95" customHeight="1">
      <c r="A85" s="70">
        <f t="shared" si="0"/>
        <v>57</v>
      </c>
      <c r="B85" s="71" t="s">
        <v>1686</v>
      </c>
      <c r="C85" s="78" t="s">
        <v>1687</v>
      </c>
      <c r="D85" s="88">
        <f>SUMIFS('PIS B'!$E$11:$E$338,'PIS B'!$C$11:$C$338,'SCH B-2.3 B'!$B85)</f>
        <v>159233.81</v>
      </c>
      <c r="E85" s="88">
        <f>SUMIFS('PIS B'!$G$11:$G$338,'PIS B'!$C$11:$C$338,'SCH B-2.3 B'!$B85)</f>
        <v>0</v>
      </c>
      <c r="F85" s="88">
        <f>SUMIFS('PIS B'!$I$11:$I$338,'PIS B'!$C$11:$C$338,'SCH B-2.3 B'!$B85)</f>
        <v>0</v>
      </c>
      <c r="G85" s="88">
        <f>SUMIFS('PIS B'!$K$11:$K$338,'PIS B'!$C$11:$C$338,'SCH B-2.3 B'!$B85)</f>
        <v>0</v>
      </c>
      <c r="H85" s="88">
        <f t="shared" si="10"/>
        <v>159233.81</v>
      </c>
    </row>
    <row r="86" spans="1:8" ht="18.95" customHeight="1">
      <c r="A86" s="70">
        <f t="shared" si="0"/>
        <v>58</v>
      </c>
      <c r="B86" s="71" t="s">
        <v>1688</v>
      </c>
      <c r="C86" s="78" t="s">
        <v>1689</v>
      </c>
      <c r="D86" s="88">
        <f>SUMIFS('PIS B'!$E$11:$E$338,'PIS B'!$C$11:$C$338,'SCH B-2.3 B'!$B86)</f>
        <v>130427585.61999999</v>
      </c>
      <c r="E86" s="88">
        <f>SUMIFS('PIS B'!$G$11:$G$338,'PIS B'!$C$11:$C$338,'SCH B-2.3 B'!$B86)</f>
        <v>12284756.719999997</v>
      </c>
      <c r="F86" s="88">
        <f>SUMIFS('PIS B'!$I$11:$I$338,'PIS B'!$C$11:$C$338,'SCH B-2.3 B'!$B86)</f>
        <v>-1746371.3099999989</v>
      </c>
      <c r="G86" s="88">
        <f>SUMIFS('PIS B'!$K$11:$K$338,'PIS B'!$C$11:$C$338,'SCH B-2.3 B'!$B86)</f>
        <v>0</v>
      </c>
      <c r="H86" s="88">
        <f t="shared" si="10"/>
        <v>140965971.02999997</v>
      </c>
    </row>
    <row r="87" spans="1:8" ht="18.95" customHeight="1">
      <c r="A87" s="70">
        <f t="shared" si="0"/>
        <v>59</v>
      </c>
      <c r="B87" s="71" t="s">
        <v>1690</v>
      </c>
      <c r="C87" s="78" t="s">
        <v>151</v>
      </c>
      <c r="D87" s="89">
        <f>SUMIFS('PIS B'!$E$11:$E$338,'PIS B'!$C$11:$C$338,'SCH B-2.3 B'!$B87)</f>
        <v>510376.10000000003</v>
      </c>
      <c r="E87" s="89">
        <f>SUMIFS('PIS B'!$G$11:$G$338,'PIS B'!$C$11:$C$338,'SCH B-2.3 B'!$B87)</f>
        <v>0</v>
      </c>
      <c r="F87" s="89">
        <f>SUMIFS('PIS B'!$I$11:$I$338,'PIS B'!$C$11:$C$338,'SCH B-2.3 B'!$B87)</f>
        <v>0</v>
      </c>
      <c r="G87" s="89">
        <f>SUMIFS('PIS B'!$K$11:$K$338,'PIS B'!$C$11:$C$338,'SCH B-2.3 B'!$B87)</f>
        <v>0</v>
      </c>
      <c r="H87" s="89">
        <f t="shared" si="10"/>
        <v>510376.10000000003</v>
      </c>
    </row>
    <row r="88" spans="1:8" ht="18.95" customHeight="1">
      <c r="A88" s="70">
        <f t="shared" si="0"/>
        <v>60</v>
      </c>
      <c r="B88" s="71"/>
      <c r="C88" s="78" t="s">
        <v>153</v>
      </c>
      <c r="D88" s="86">
        <f>SUM(D75:D87)</f>
        <v>2062555980.3899996</v>
      </c>
      <c r="E88" s="86">
        <f t="shared" ref="E88:H88" si="11">SUM(E75:E87)</f>
        <v>152993774.68999991</v>
      </c>
      <c r="F88" s="86">
        <f t="shared" si="11"/>
        <v>-16636399.379999997</v>
      </c>
      <c r="G88" s="86">
        <f t="shared" si="11"/>
        <v>-199651.56999999998</v>
      </c>
      <c r="H88" s="86">
        <f t="shared" si="11"/>
        <v>2198713704.1299996</v>
      </c>
    </row>
    <row r="89" spans="1:8" s="68" customFormat="1" ht="20.100000000000001" customHeight="1">
      <c r="A89" s="809" t="str">
        <f>$A$1</f>
        <v>KENTUCKY UTILITIES COMPANY</v>
      </c>
      <c r="B89" s="809"/>
      <c r="C89" s="809"/>
      <c r="D89" s="809"/>
      <c r="E89" s="809"/>
      <c r="F89" s="809"/>
      <c r="G89" s="809"/>
      <c r="H89" s="809"/>
    </row>
    <row r="90" spans="1:8" s="68" customFormat="1" ht="20.100000000000001" customHeight="1">
      <c r="A90" s="809" t="str">
        <f>$A$2</f>
        <v>CASE NO. 2020-00349</v>
      </c>
      <c r="B90" s="809"/>
      <c r="C90" s="809"/>
      <c r="D90" s="809"/>
      <c r="E90" s="809"/>
      <c r="F90" s="809"/>
      <c r="G90" s="809"/>
      <c r="H90" s="809"/>
    </row>
    <row r="91" spans="1:8" s="68" customFormat="1" ht="20.100000000000001" customHeight="1">
      <c r="A91" s="809" t="str">
        <f>$A$3</f>
        <v>GROSS ADDITIONS, RETIREMENTS, AND TRANSFERS</v>
      </c>
      <c r="B91" s="809"/>
      <c r="C91" s="809"/>
      <c r="D91" s="809"/>
      <c r="E91" s="809"/>
      <c r="F91" s="809"/>
      <c r="G91" s="809"/>
      <c r="H91" s="809"/>
    </row>
    <row r="92" spans="1:8" s="68" customFormat="1" ht="20.100000000000001" customHeight="1">
      <c r="A92" s="808" t="str">
        <f>$A$4</f>
        <v>FROM MARCH 1, 2020 TO FEBRUARY 28, 2021</v>
      </c>
      <c r="B92" s="809"/>
      <c r="C92" s="809"/>
      <c r="D92" s="809"/>
      <c r="E92" s="809"/>
      <c r="F92" s="809"/>
      <c r="G92" s="809"/>
      <c r="H92" s="809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5" t="str">
        <f>$H$6</f>
        <v>SCHEDULE B-2.3</v>
      </c>
    </row>
    <row r="95" spans="1:8" s="68" customFormat="1" ht="20.100000000000001" customHeight="1">
      <c r="A95" s="67" t="str">
        <f>$A$7</f>
        <v>TYPE OF FILING: __X__ ORIGINAL  _____ UPDATED  _____ REVISED</v>
      </c>
      <c r="G95" s="74"/>
      <c r="H95" s="74" t="s">
        <v>170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135</v>
      </c>
      <c r="D98" s="76" t="s">
        <v>136</v>
      </c>
      <c r="E98" s="76" t="s">
        <v>137</v>
      </c>
      <c r="F98" s="76" t="s">
        <v>138</v>
      </c>
      <c r="G98" s="76" t="s">
        <v>140</v>
      </c>
      <c r="H98" s="76" t="s">
        <v>141</v>
      </c>
    </row>
    <row r="99" spans="1:8" ht="23.1" customHeight="1">
      <c r="A99" s="80"/>
      <c r="B99" s="80"/>
      <c r="C99" s="81"/>
      <c r="D99" s="82" t="s">
        <v>142</v>
      </c>
      <c r="E99" s="82" t="s">
        <v>142</v>
      </c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12">A100+1</f>
        <v>62</v>
      </c>
      <c r="B101" s="71" t="s">
        <v>1692</v>
      </c>
      <c r="C101" s="78" t="s">
        <v>154</v>
      </c>
      <c r="D101" s="88">
        <f>SUMIFS('PIS B'!$E$11:$E$338,'PIS B'!$C$11:$C$338,'SCH B-2.3 B'!$B101)</f>
        <v>3576988.0500000003</v>
      </c>
      <c r="E101" s="88">
        <f>SUMIFS('PIS B'!$G$11:$G$338,'PIS B'!$C$11:$C$338,'SCH B-2.3 B'!$B101)</f>
        <v>9351.11</v>
      </c>
      <c r="F101" s="88">
        <f>SUMIFS('PIS B'!$I$11:$I$338,'PIS B'!$C$11:$C$338,'SCH B-2.3 B'!$B101)</f>
        <v>0</v>
      </c>
      <c r="G101" s="88">
        <f>SUMIFS('PIS B'!$K$11:$K$338,'PIS B'!$C$11:$C$338,'SCH B-2.3 B'!$B101)</f>
        <v>797.49999999999989</v>
      </c>
      <c r="H101" s="88">
        <f t="shared" ref="H101:H110" si="13">SUM(D101:G101)</f>
        <v>3587136.66</v>
      </c>
    </row>
    <row r="102" spans="1:8" ht="18.95" customHeight="1">
      <c r="A102" s="70">
        <f t="shared" si="12"/>
        <v>63</v>
      </c>
      <c r="B102" s="71" t="s">
        <v>1693</v>
      </c>
      <c r="C102" s="78" t="s">
        <v>148</v>
      </c>
      <c r="D102" s="88">
        <f>SUMIFS('PIS B'!$E$11:$E$338,'PIS B'!$C$11:$C$338,'SCH B-2.3 B'!$B102)</f>
        <v>78769191.219999909</v>
      </c>
      <c r="E102" s="88">
        <f>SUMIFS('PIS B'!$G$11:$G$338,'PIS B'!$C$11:$C$338,'SCH B-2.3 B'!$B102)</f>
        <v>19921134.98</v>
      </c>
      <c r="F102" s="88">
        <f>SUMIFS('PIS B'!$I$11:$I$338,'PIS B'!$C$11:$C$338,'SCH B-2.3 B'!$B102)</f>
        <v>-416362.91999999888</v>
      </c>
      <c r="G102" s="88">
        <f>SUMIFS('PIS B'!$K$11:$K$338,'PIS B'!$C$11:$C$338,'SCH B-2.3 B'!$B102)</f>
        <v>0</v>
      </c>
      <c r="H102" s="88">
        <f t="shared" si="13"/>
        <v>98273963.279999912</v>
      </c>
    </row>
    <row r="103" spans="1:8" ht="18.95" customHeight="1">
      <c r="A103" s="70">
        <f t="shared" si="12"/>
        <v>64</v>
      </c>
      <c r="B103" s="71" t="s">
        <v>1694</v>
      </c>
      <c r="C103" s="78" t="s">
        <v>156</v>
      </c>
      <c r="D103" s="88">
        <f>SUMIFS('PIS B'!$E$11:$E$338,'PIS B'!$C$11:$C$338,'SCH B-2.3 B'!$B103)</f>
        <v>45313918.650000006</v>
      </c>
      <c r="E103" s="88">
        <f>SUMIFS('PIS B'!$G$11:$G$338,'PIS B'!$C$11:$C$338,'SCH B-2.3 B'!$B103)</f>
        <v>8337565.8999999985</v>
      </c>
      <c r="F103" s="88">
        <f>SUMIFS('PIS B'!$I$11:$I$338,'PIS B'!$C$11:$C$338,'SCH B-2.3 B'!$B103)</f>
        <v>-9556545.120000001</v>
      </c>
      <c r="G103" s="88">
        <f>SUMIFS('PIS B'!$K$11:$K$338,'PIS B'!$C$11:$C$338,'SCH B-2.3 B'!$B103)</f>
        <v>0</v>
      </c>
      <c r="H103" s="88">
        <f t="shared" si="13"/>
        <v>44094939.430000007</v>
      </c>
    </row>
    <row r="104" spans="1:8" ht="18.95" customHeight="1">
      <c r="A104" s="70">
        <f t="shared" si="12"/>
        <v>65</v>
      </c>
      <c r="B104" s="71" t="s">
        <v>1695</v>
      </c>
      <c r="C104" s="78" t="s">
        <v>155</v>
      </c>
      <c r="D104" s="88">
        <f>SUMIFS('PIS B'!$E$11:$E$338,'PIS B'!$C$11:$C$338,'SCH B-2.3 B'!$B104)</f>
        <v>8015722.7400000002</v>
      </c>
      <c r="E104" s="88">
        <f>SUMIFS('PIS B'!$G$11:$G$338,'PIS B'!$C$11:$C$338,'SCH B-2.3 B'!$B104)</f>
        <v>693300.20000000007</v>
      </c>
      <c r="F104" s="88">
        <f>SUMIFS('PIS B'!$I$11:$I$338,'PIS B'!$C$11:$C$338,'SCH B-2.3 B'!$B104)</f>
        <v>-84589.739999999991</v>
      </c>
      <c r="G104" s="88">
        <f>SUMIFS('PIS B'!$K$11:$K$338,'PIS B'!$C$11:$C$338,'SCH B-2.3 B'!$B104)</f>
        <v>0</v>
      </c>
      <c r="H104" s="88">
        <f t="shared" si="13"/>
        <v>8624433.1999999993</v>
      </c>
    </row>
    <row r="105" spans="1:8" ht="18.95" customHeight="1">
      <c r="A105" s="70">
        <f t="shared" si="12"/>
        <v>66</v>
      </c>
      <c r="B105" s="71" t="s">
        <v>1696</v>
      </c>
      <c r="C105" s="78" t="s">
        <v>1697</v>
      </c>
      <c r="D105" s="88">
        <f>SUMIFS('PIS B'!$E$11:$E$338,'PIS B'!$C$11:$C$338,'SCH B-2.3 B'!$B105)</f>
        <v>839934.28</v>
      </c>
      <c r="E105" s="88">
        <f>SUMIFS('PIS B'!$G$11:$G$338,'PIS B'!$C$11:$C$338,'SCH B-2.3 B'!$B105)</f>
        <v>326351</v>
      </c>
      <c r="F105" s="88">
        <f>SUMIFS('PIS B'!$I$11:$I$338,'PIS B'!$C$11:$C$338,'SCH B-2.3 B'!$B105)</f>
        <v>-96326.26</v>
      </c>
      <c r="G105" s="88">
        <f>SUMIFS('PIS B'!$K$11:$K$338,'PIS B'!$C$11:$C$338,'SCH B-2.3 B'!$B105)</f>
        <v>0</v>
      </c>
      <c r="H105" s="88">
        <f t="shared" si="13"/>
        <v>1069959.02</v>
      </c>
    </row>
    <row r="106" spans="1:8" ht="18.95" customHeight="1">
      <c r="A106" s="70">
        <f t="shared" si="12"/>
        <v>67</v>
      </c>
      <c r="B106" s="71" t="s">
        <v>1698</v>
      </c>
      <c r="C106" s="78" t="s">
        <v>1699</v>
      </c>
      <c r="D106" s="88">
        <f>SUMIFS('PIS B'!$E$11:$E$338,'PIS B'!$C$11:$C$338,'SCH B-2.3 B'!$B106)</f>
        <v>15043687.68</v>
      </c>
      <c r="E106" s="88">
        <f>SUMIFS('PIS B'!$G$11:$G$338,'PIS B'!$C$11:$C$338,'SCH B-2.3 B'!$B106)</f>
        <v>1872350.649999998</v>
      </c>
      <c r="F106" s="88">
        <f>SUMIFS('PIS B'!$I$11:$I$338,'PIS B'!$C$11:$C$338,'SCH B-2.3 B'!$B106)</f>
        <v>-152932.08999999997</v>
      </c>
      <c r="G106" s="88">
        <f>SUMIFS('PIS B'!$K$11:$K$338,'PIS B'!$C$11:$C$338,'SCH B-2.3 B'!$B106)</f>
        <v>0</v>
      </c>
      <c r="H106" s="88">
        <f t="shared" si="13"/>
        <v>16763106.239999998</v>
      </c>
    </row>
    <row r="107" spans="1:8" ht="18.95" customHeight="1">
      <c r="A107" s="70">
        <f t="shared" si="12"/>
        <v>68</v>
      </c>
      <c r="B107" s="71" t="s">
        <v>1700</v>
      </c>
      <c r="C107" s="78" t="s">
        <v>1701</v>
      </c>
      <c r="D107" s="88">
        <f>SUMIFS('PIS B'!$E$11:$E$338,'PIS B'!$C$11:$C$338,'SCH B-2.3 B'!$B107)</f>
        <v>0</v>
      </c>
      <c r="E107" s="88">
        <f>SUMIFS('PIS B'!$G$11:$G$338,'PIS B'!$C$11:$C$338,'SCH B-2.3 B'!$B107)</f>
        <v>0</v>
      </c>
      <c r="F107" s="88">
        <f>SUMIFS('PIS B'!$I$11:$I$338,'PIS B'!$C$11:$C$338,'SCH B-2.3 B'!$B107)</f>
        <v>0</v>
      </c>
      <c r="G107" s="88">
        <f>SUMIFS('PIS B'!$K$11:$K$338,'PIS B'!$C$11:$C$338,'SCH B-2.3 B'!$B107)</f>
        <v>0</v>
      </c>
      <c r="H107" s="88">
        <f t="shared" si="13"/>
        <v>0</v>
      </c>
    </row>
    <row r="108" spans="1:8" ht="18.95" customHeight="1">
      <c r="A108" s="70">
        <f t="shared" si="12"/>
        <v>69</v>
      </c>
      <c r="B108" s="71" t="s">
        <v>1702</v>
      </c>
      <c r="C108" s="78" t="s">
        <v>1703</v>
      </c>
      <c r="D108" s="88">
        <f>SUMIFS('PIS B'!$E$11:$E$338,'PIS B'!$C$11:$C$338,'SCH B-2.3 B'!$B108)</f>
        <v>5949736.79</v>
      </c>
      <c r="E108" s="88">
        <f>SUMIFS('PIS B'!$G$11:$G$338,'PIS B'!$C$11:$C$338,'SCH B-2.3 B'!$B108)</f>
        <v>-72720.799999999988</v>
      </c>
      <c r="F108" s="88">
        <f>SUMIFS('PIS B'!$I$11:$I$338,'PIS B'!$C$11:$C$338,'SCH B-2.3 B'!$B108)</f>
        <v>-35371.870000000003</v>
      </c>
      <c r="G108" s="88">
        <f>SUMIFS('PIS B'!$K$11:$K$338,'PIS B'!$C$11:$C$338,'SCH B-2.3 B'!$B108)</f>
        <v>0</v>
      </c>
      <c r="H108" s="88">
        <f t="shared" si="13"/>
        <v>5841644.1200000001</v>
      </c>
    </row>
    <row r="109" spans="1:8" ht="18.95" customHeight="1">
      <c r="A109" s="70">
        <f t="shared" si="12"/>
        <v>70</v>
      </c>
      <c r="B109" s="71" t="s">
        <v>1704</v>
      </c>
      <c r="C109" s="78" t="s">
        <v>157</v>
      </c>
      <c r="D109" s="88">
        <f>SUMIFS('PIS B'!$E$11:$E$338,'PIS B'!$C$11:$C$338,'SCH B-2.3 B'!$B109)</f>
        <v>67352178.840000004</v>
      </c>
      <c r="E109" s="88">
        <f>SUMIFS('PIS B'!$G$11:$G$338,'PIS B'!$C$11:$C$338,'SCH B-2.3 B'!$B109)</f>
        <v>3384994.8</v>
      </c>
      <c r="F109" s="88">
        <f>SUMIFS('PIS B'!$I$11:$I$338,'PIS B'!$C$11:$C$338,'SCH B-2.3 B'!$B109)</f>
        <v>-16060.949999999999</v>
      </c>
      <c r="G109" s="88">
        <f>SUMIFS('PIS B'!$K$11:$K$338,'PIS B'!$C$11:$C$338,'SCH B-2.3 B'!$B109)</f>
        <v>0</v>
      </c>
      <c r="H109" s="88">
        <f t="shared" si="13"/>
        <v>70721112.689999998</v>
      </c>
    </row>
    <row r="110" spans="1:8" ht="18.95" customHeight="1">
      <c r="A110" s="70">
        <f t="shared" si="12"/>
        <v>71</v>
      </c>
      <c r="B110" s="71" t="s">
        <v>1705</v>
      </c>
      <c r="C110" s="78" t="s">
        <v>1706</v>
      </c>
      <c r="D110" s="89">
        <f>SUMIFS('PIS B'!$E$11:$E$338,'PIS B'!$C$11:$C$338,'SCH B-2.3 B'!$B110)</f>
        <v>0</v>
      </c>
      <c r="E110" s="89">
        <f>SUMIFS('PIS B'!$G$11:$G$338,'PIS B'!$C$11:$C$338,'SCH B-2.3 B'!$B110)</f>
        <v>0</v>
      </c>
      <c r="F110" s="89">
        <f>SUMIFS('PIS B'!$I$11:$I$338,'PIS B'!$C$11:$C$338,'SCH B-2.3 B'!$B110)</f>
        <v>0</v>
      </c>
      <c r="G110" s="89">
        <f>SUMIFS('PIS B'!$K$11:$K$338,'PIS B'!$C$11:$C$338,'SCH B-2.3 B'!$B110)</f>
        <v>0</v>
      </c>
      <c r="H110" s="89">
        <f t="shared" si="13"/>
        <v>0</v>
      </c>
    </row>
    <row r="111" spans="1:8" ht="18.95" customHeight="1">
      <c r="A111" s="70">
        <f t="shared" si="12"/>
        <v>72</v>
      </c>
      <c r="B111" s="71"/>
      <c r="C111" s="78" t="s">
        <v>158</v>
      </c>
      <c r="D111" s="86">
        <f>SUM(D101:D110)</f>
        <v>224861358.24999991</v>
      </c>
      <c r="E111" s="86">
        <f t="shared" ref="E111:H111" si="14">SUM(E101:E110)</f>
        <v>34472327.839999996</v>
      </c>
      <c r="F111" s="86">
        <f t="shared" si="14"/>
        <v>-10358188.949999997</v>
      </c>
      <c r="G111" s="86">
        <f t="shared" si="14"/>
        <v>797.49999999999989</v>
      </c>
      <c r="H111" s="86">
        <f t="shared" si="14"/>
        <v>248976294.63999993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9912739575.6799946</v>
      </c>
      <c r="E113" s="94">
        <f>SUM(E16,E27,E38,E60,E72,E88,E111)</f>
        <v>708009730.68999934</v>
      </c>
      <c r="F113" s="94">
        <f>SUM(F16,F27,F38,F60,F72,F88,F111)</f>
        <v>-138576935.22999987</v>
      </c>
      <c r="G113" s="94">
        <f>SUM(G16,G27,G38,G60,G72,G88,G111)</f>
        <v>27820195.430000003</v>
      </c>
      <c r="H113" s="94">
        <f>SUM(H16,H27,H38,H60,H72,H88,H111)</f>
        <v>10509992566.569996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428" t="s">
        <v>2165</v>
      </c>
      <c r="D116" s="88">
        <f>'PIS B'!E115+'PIS B'!E248+'PIS B'!E314</f>
        <v>9912739575.6799927</v>
      </c>
      <c r="H116" s="88">
        <f>'PIS B'!O115+'PIS B'!O248+'PIS B'!O314</f>
        <v>10509992566.569996</v>
      </c>
    </row>
    <row r="117" spans="1:8" ht="18.95" customHeight="1">
      <c r="B117" s="71"/>
      <c r="D117" s="88">
        <f>D113-D116</f>
        <v>0</v>
      </c>
      <c r="H117" s="88">
        <f>H113-H116</f>
        <v>0</v>
      </c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pageSetUpPr fitToPage="1"/>
  </sheetPr>
  <dimension ref="A1:I132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75" style="69" customWidth="1"/>
    <col min="6" max="6" width="14.75" style="69" customWidth="1"/>
    <col min="7" max="7" width="13.75" style="69" customWidth="1"/>
    <col min="8" max="9" width="14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</row>
    <row r="2" spans="1:9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</row>
    <row r="3" spans="1:9" s="68" customFormat="1" ht="20.100000000000001" customHeight="1">
      <c r="A3" s="809" t="s">
        <v>132</v>
      </c>
      <c r="B3" s="809"/>
      <c r="C3" s="809"/>
      <c r="D3" s="809"/>
      <c r="E3" s="809"/>
      <c r="F3" s="809"/>
      <c r="G3" s="809"/>
      <c r="H3" s="809"/>
      <c r="I3" s="809"/>
    </row>
    <row r="4" spans="1:9" s="68" customFormat="1" ht="20.100000000000001" customHeight="1">
      <c r="A4" s="809" t="str">
        <f>'Rate Case Constants'!C20</f>
        <v>FROM JULY 1, 2021 TO JUNE 30, 2022</v>
      </c>
      <c r="B4" s="809"/>
      <c r="C4" s="809"/>
      <c r="D4" s="809"/>
      <c r="E4" s="809"/>
      <c r="F4" s="809"/>
      <c r="G4" s="809"/>
      <c r="H4" s="809"/>
      <c r="I4" s="809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161</v>
      </c>
      <c r="B6" s="67"/>
      <c r="G6" s="74"/>
      <c r="H6" s="74"/>
      <c r="I6" s="74" t="s">
        <v>139</v>
      </c>
    </row>
    <row r="7" spans="1:9" s="68" customFormat="1" ht="20.100000000000001" customHeight="1">
      <c r="A7" s="68" t="str">
        <f>'Rate Case Constants'!C29</f>
        <v>TYPE OF FILING: __X__ ORIGINAL  _____ UPDATED  _____ REVISED</v>
      </c>
      <c r="G7" s="74"/>
      <c r="H7" s="74"/>
      <c r="I7" s="74" t="s">
        <v>167</v>
      </c>
    </row>
    <row r="8" spans="1:9" s="68" customFormat="1" ht="20.100000000000001" customHeight="1">
      <c r="A8" s="67" t="s">
        <v>1195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6" t="s">
        <v>134</v>
      </c>
      <c r="C10" s="79" t="s">
        <v>135</v>
      </c>
      <c r="D10" s="76" t="s">
        <v>162</v>
      </c>
      <c r="E10" s="76" t="s">
        <v>137</v>
      </c>
      <c r="F10" s="76" t="s">
        <v>138</v>
      </c>
      <c r="G10" s="76" t="s">
        <v>140</v>
      </c>
      <c r="H10" s="76" t="s">
        <v>163</v>
      </c>
      <c r="I10" s="76" t="s">
        <v>2744</v>
      </c>
    </row>
    <row r="11" spans="1:9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  <c r="I11" s="82" t="s">
        <v>142</v>
      </c>
    </row>
    <row r="12" spans="1:9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  <c r="I12" s="77"/>
    </row>
    <row r="13" spans="1:9" ht="18.95" customHeight="1">
      <c r="A13" s="70">
        <f>A12+1</f>
        <v>2</v>
      </c>
      <c r="B13" s="71" t="s">
        <v>1615</v>
      </c>
      <c r="C13" s="78" t="s">
        <v>1616</v>
      </c>
      <c r="D13" s="86">
        <f>SUMIFS('PIS F'!$E$11:$E$344,'PIS F'!$C$11:$C$344,'SCH B-2.3 F'!$B13)</f>
        <v>44455.58</v>
      </c>
      <c r="E13" s="86">
        <f>SUMIFS('PIS F'!$G$11:$G$344,'PIS F'!$C$11:$C$344,'SCH B-2.3 F'!$B13)</f>
        <v>0</v>
      </c>
      <c r="F13" s="86">
        <f>SUMIFS('PIS F'!$I$11:$I$344,'PIS F'!$C$11:$C$344,'SCH B-2.3 F'!$B13)</f>
        <v>0</v>
      </c>
      <c r="G13" s="86">
        <f>SUMIFS('PIS F'!$K$11:$K$344,'PIS F'!$C$11:$C$344,'SCH B-2.3 F'!$B13)</f>
        <v>0</v>
      </c>
      <c r="H13" s="86">
        <f>SUM(D13:G13)</f>
        <v>44455.58</v>
      </c>
      <c r="I13" s="86">
        <f>SUMIFS('PIS F'!$Q$11:$Q$344,'PIS F'!$C$11:$C$344,'SCH B-2.3 F'!$B13)</f>
        <v>44455.580000000009</v>
      </c>
    </row>
    <row r="14" spans="1:9" ht="18.95" customHeight="1">
      <c r="A14" s="70">
        <f t="shared" ref="A14:A77" si="0">A13+1</f>
        <v>3</v>
      </c>
      <c r="B14" s="71" t="s">
        <v>1617</v>
      </c>
      <c r="C14" s="78" t="s">
        <v>1618</v>
      </c>
      <c r="D14" s="86">
        <f>SUMIFS('PIS F'!$E$11:$E$344,'PIS F'!$C$11:$C$344,'SCH B-2.3 F'!$B14)</f>
        <v>144368.66</v>
      </c>
      <c r="E14" s="86">
        <f>SUMIFS('PIS F'!$G$11:$G$344,'PIS F'!$C$11:$C$344,'SCH B-2.3 F'!$B14)</f>
        <v>0</v>
      </c>
      <c r="F14" s="87">
        <f>SUMIFS('PIS F'!$I$11:$I$344,'PIS F'!$C$11:$C$344,'SCH B-2.3 F'!$B14)</f>
        <v>0</v>
      </c>
      <c r="G14" s="87">
        <f>SUMIFS('PIS F'!$K$11:$K$344,'PIS F'!$C$11:$C$344,'SCH B-2.3 F'!$B14)</f>
        <v>0</v>
      </c>
      <c r="H14" s="88">
        <f t="shared" ref="H14:H15" si="1">SUM(D14:G14)</f>
        <v>144368.66</v>
      </c>
      <c r="I14" s="86">
        <f>SUMIFS('PIS F'!$Q$11:$Q$344,'PIS F'!$C$11:$C$344,'SCH B-2.3 F'!$B14)</f>
        <v>144368.66000000003</v>
      </c>
    </row>
    <row r="15" spans="1:9" ht="18.95" customHeight="1">
      <c r="A15" s="70">
        <f t="shared" si="0"/>
        <v>4</v>
      </c>
      <c r="B15" s="71" t="s">
        <v>1619</v>
      </c>
      <c r="C15" s="78" t="s">
        <v>1620</v>
      </c>
      <c r="D15" s="89">
        <f>SUMIFS('PIS F'!$E$11:$E$344,'PIS F'!$C$11:$C$344,'SCH B-2.3 F'!$B15)</f>
        <v>113323267.13999991</v>
      </c>
      <c r="E15" s="89">
        <f>SUMIFS('PIS F'!$G$11:$G$344,'PIS F'!$C$11:$C$344,'SCH B-2.3 F'!$B15)</f>
        <v>13767104.769999998</v>
      </c>
      <c r="F15" s="89">
        <f>SUMIFS('PIS F'!$I$11:$I$344,'PIS F'!$C$11:$C$344,'SCH B-2.3 F'!$B15)</f>
        <v>-13905296.290000001</v>
      </c>
      <c r="G15" s="89">
        <f>SUMIFS('PIS F'!$K$11:$K$344,'PIS F'!$C$11:$C$344,'SCH B-2.3 F'!$B15)</f>
        <v>0</v>
      </c>
      <c r="H15" s="89">
        <f t="shared" si="1"/>
        <v>113185075.6199999</v>
      </c>
      <c r="I15" s="89">
        <f>SUMIFS('PIS F'!$Q$11:$Q$344,'PIS F'!$C$11:$C$344,'SCH B-2.3 F'!$B15)</f>
        <v>112943497.79846151</v>
      </c>
    </row>
    <row r="16" spans="1:9" ht="18.95" customHeight="1">
      <c r="A16" s="70">
        <f t="shared" si="0"/>
        <v>5</v>
      </c>
      <c r="B16" s="70"/>
      <c r="C16" s="78" t="s">
        <v>143</v>
      </c>
      <c r="D16" s="86">
        <f t="shared" ref="D16:H16" si="2">SUM(D13:D15)</f>
        <v>113512091.37999991</v>
      </c>
      <c r="E16" s="86">
        <f t="shared" si="2"/>
        <v>13767104.769999998</v>
      </c>
      <c r="F16" s="86">
        <f t="shared" si="2"/>
        <v>-13905296.290000001</v>
      </c>
      <c r="G16" s="86">
        <f t="shared" si="2"/>
        <v>0</v>
      </c>
      <c r="H16" s="86">
        <f t="shared" si="2"/>
        <v>113373899.8599999</v>
      </c>
      <c r="I16" s="86">
        <f t="shared" ref="I16" si="3">SUM(I13:I15)</f>
        <v>113132322.03846151</v>
      </c>
    </row>
    <row r="17" spans="1:9" ht="18.95" customHeight="1">
      <c r="A17" s="70"/>
      <c r="B17" s="70"/>
      <c r="D17" s="72"/>
      <c r="E17" s="72"/>
      <c r="F17" s="72"/>
      <c r="G17" s="72"/>
      <c r="H17" s="72"/>
      <c r="I17" s="72"/>
    </row>
    <row r="18" spans="1:9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  <c r="I18" s="72"/>
    </row>
    <row r="19" spans="1:9" ht="18.95" customHeight="1">
      <c r="A19" s="70">
        <f t="shared" si="0"/>
        <v>7</v>
      </c>
      <c r="B19" s="71" t="s">
        <v>1621</v>
      </c>
      <c r="C19" s="78" t="s">
        <v>154</v>
      </c>
      <c r="D19" s="88">
        <f>SUMIFS('PIS F'!$E$11:$E$344,'PIS F'!$C$11:$C$344,'SCH B-2.3 F'!$B19)</f>
        <v>24993712.409999803</v>
      </c>
      <c r="E19" s="88">
        <f>SUMIFS('PIS F'!$G$11:$G$344,'PIS F'!$C$11:$C$344,'SCH B-2.3 F'!$B19)</f>
        <v>563000</v>
      </c>
      <c r="F19" s="88">
        <f>SUMIFS('PIS F'!$I$11:$I$344,'PIS F'!$C$11:$C$344,'SCH B-2.3 F'!$B19)</f>
        <v>0</v>
      </c>
      <c r="G19" s="88">
        <f>SUMIFS('PIS F'!$K$11:$K$344,'PIS F'!$C$11:$C$344,'SCH B-2.3 F'!$B19)</f>
        <v>-1.8189894035458565E-9</v>
      </c>
      <c r="H19" s="88">
        <f t="shared" ref="H19:H26" si="4">SUM(D19:G19)</f>
        <v>25556712.409999803</v>
      </c>
      <c r="I19" s="88">
        <f>SUMIFS('PIS F'!$Q$11:$Q$344,'PIS F'!$C$11:$C$344,'SCH B-2.3 F'!$B19)</f>
        <v>25383481.64076912</v>
      </c>
    </row>
    <row r="20" spans="1:9" ht="18" customHeight="1">
      <c r="A20" s="70">
        <f t="shared" si="0"/>
        <v>8</v>
      </c>
      <c r="B20" s="71" t="s">
        <v>1622</v>
      </c>
      <c r="C20" s="78" t="s">
        <v>148</v>
      </c>
      <c r="D20" s="88">
        <f>SUMIFS('PIS F'!$E$11:$E$344,'PIS F'!$C$11:$C$344,'SCH B-2.3 F'!$B20)</f>
        <v>356965802.95999998</v>
      </c>
      <c r="E20" s="88">
        <f>SUMIFS('PIS F'!$G$11:$G$344,'PIS F'!$C$11:$C$344,'SCH B-2.3 F'!$B20)</f>
        <v>1627622.95</v>
      </c>
      <c r="F20" s="88">
        <f>SUMIFS('PIS F'!$I$11:$I$344,'PIS F'!$C$11:$C$344,'SCH B-2.3 F'!$B20)</f>
        <v>0</v>
      </c>
      <c r="G20" s="88">
        <f>SUMIFS('PIS F'!$K$11:$K$344,'PIS F'!$C$11:$C$344,'SCH B-2.3 F'!$B20)</f>
        <v>-3.637978807091713E-9</v>
      </c>
      <c r="H20" s="88">
        <f t="shared" si="4"/>
        <v>358593425.90999997</v>
      </c>
      <c r="I20" s="88">
        <f>SUMIFS('PIS F'!$Q$11:$Q$344,'PIS F'!$C$11:$C$344,'SCH B-2.3 F'!$B20)</f>
        <v>358084819.11461538</v>
      </c>
    </row>
    <row r="21" spans="1:9" ht="18.95" customHeight="1">
      <c r="A21" s="70">
        <f t="shared" si="0"/>
        <v>9</v>
      </c>
      <c r="B21" s="71" t="s">
        <v>1623</v>
      </c>
      <c r="C21" s="78" t="s">
        <v>1624</v>
      </c>
      <c r="D21" s="88">
        <f>SUMIFS('PIS F'!$E$11:$E$344,'PIS F'!$C$11:$C$344,'SCH B-2.3 F'!$B21)</f>
        <v>4350739366.6799889</v>
      </c>
      <c r="E21" s="88">
        <f>SUMIFS('PIS F'!$G$11:$G$344,'PIS F'!$C$11:$C$344,'SCH B-2.3 F'!$B21)</f>
        <v>146577708.23999998</v>
      </c>
      <c r="F21" s="88">
        <f>SUMIFS('PIS F'!$I$11:$I$344,'PIS F'!$C$11:$C$344,'SCH B-2.3 F'!$B21)</f>
        <v>-23522160.699999984</v>
      </c>
      <c r="G21" s="88">
        <f>SUMIFS('PIS F'!$K$11:$K$344,'PIS F'!$C$11:$C$344,'SCH B-2.3 F'!$B21)</f>
        <v>1.204170985147357E-6</v>
      </c>
      <c r="H21" s="88">
        <f t="shared" si="4"/>
        <v>4473794914.2199898</v>
      </c>
      <c r="I21" s="88">
        <f>SUMIFS('PIS F'!$Q$11:$Q$344,'PIS F'!$C$11:$C$344,'SCH B-2.3 F'!$B21)</f>
        <v>4422848816.87922</v>
      </c>
    </row>
    <row r="22" spans="1:9" ht="18.95" customHeight="1">
      <c r="A22" s="70">
        <f>A20+1</f>
        <v>9</v>
      </c>
      <c r="B22" s="71">
        <v>313</v>
      </c>
      <c r="C22" s="78" t="s">
        <v>144</v>
      </c>
      <c r="D22" s="88">
        <f>SUMIFS('PIS F'!$E$11:$E$344,'PIS F'!$C$11:$C$344,'SCH B-2.3 F'!$B22)</f>
        <v>0</v>
      </c>
      <c r="E22" s="88">
        <f>SUMIFS('PIS F'!$G$11:$G$344,'PIS F'!$C$11:$C$344,'SCH B-2.3 F'!$B22)</f>
        <v>0</v>
      </c>
      <c r="F22" s="88">
        <f>SUMIFS('PIS F'!$I$11:$I$344,'PIS F'!$C$11:$C$344,'SCH B-2.3 F'!$B22)</f>
        <v>0</v>
      </c>
      <c r="G22" s="88">
        <f>SUMIFS('PIS F'!$K$11:$K$344,'PIS F'!$C$11:$C$344,'SCH B-2.3 F'!$B22)</f>
        <v>0</v>
      </c>
      <c r="H22" s="88">
        <f t="shared" si="4"/>
        <v>0</v>
      </c>
      <c r="I22" s="88">
        <f>SUMIFS('PIS F'!$Q$11:$Q$344,'PIS F'!$C$11:$C$344,'SCH B-2.3 F'!$B22)</f>
        <v>0</v>
      </c>
    </row>
    <row r="23" spans="1:9" ht="18.95" customHeight="1">
      <c r="A23" s="70">
        <f>A21+1</f>
        <v>10</v>
      </c>
      <c r="B23" s="71" t="s">
        <v>1625</v>
      </c>
      <c r="C23" s="78" t="s">
        <v>1626</v>
      </c>
      <c r="D23" s="88">
        <f>SUMIFS('PIS F'!$E$11:$E$344,'PIS F'!$C$11:$C$344,'SCH B-2.3 F'!$B23)</f>
        <v>372823127.25</v>
      </c>
      <c r="E23" s="88">
        <f>SUMIFS('PIS F'!$G$11:$G$344,'PIS F'!$C$11:$C$344,'SCH B-2.3 F'!$B23)</f>
        <v>3031402.64</v>
      </c>
      <c r="F23" s="88">
        <f>SUMIFS('PIS F'!$I$11:$I$344,'PIS F'!$C$11:$C$344,'SCH B-2.3 F'!$B23)</f>
        <v>-3315451.1900000004</v>
      </c>
      <c r="G23" s="88">
        <f>SUMIFS('PIS F'!$K$11:$K$344,'PIS F'!$C$11:$C$344,'SCH B-2.3 F'!$B23)</f>
        <v>0</v>
      </c>
      <c r="H23" s="88">
        <f t="shared" si="4"/>
        <v>372539078.69999999</v>
      </c>
      <c r="I23" s="88">
        <f>SUMIFS('PIS F'!$Q$11:$Q$344,'PIS F'!$C$11:$C$344,'SCH B-2.3 F'!$B23)</f>
        <v>373315231.46846169</v>
      </c>
    </row>
    <row r="24" spans="1:9" ht="18.95" customHeight="1">
      <c r="A24" s="70">
        <f t="shared" si="0"/>
        <v>11</v>
      </c>
      <c r="B24" s="71" t="s">
        <v>1627</v>
      </c>
      <c r="C24" s="78" t="s">
        <v>1628</v>
      </c>
      <c r="D24" s="88">
        <f>SUMIFS('PIS F'!$E$11:$E$344,'PIS F'!$C$11:$C$344,'SCH B-2.3 F'!$B24)</f>
        <v>261094882.3599999</v>
      </c>
      <c r="E24" s="88">
        <f>SUMIFS('PIS F'!$G$11:$G$344,'PIS F'!$C$11:$C$344,'SCH B-2.3 F'!$B24)</f>
        <v>60430</v>
      </c>
      <c r="F24" s="88">
        <f>SUMIFS('PIS F'!$I$11:$I$344,'PIS F'!$C$11:$C$344,'SCH B-2.3 F'!$B24)</f>
        <v>0</v>
      </c>
      <c r="G24" s="88">
        <f>SUMIFS('PIS F'!$K$11:$K$344,'PIS F'!$C$11:$C$344,'SCH B-2.3 F'!$B24)</f>
        <v>1.8189894035458565E-9</v>
      </c>
      <c r="H24" s="88">
        <f t="shared" si="4"/>
        <v>261155312.3599999</v>
      </c>
      <c r="I24" s="88">
        <f>SUMIFS('PIS F'!$Q$11:$Q$344,'PIS F'!$C$11:$C$344,'SCH B-2.3 F'!$B24)</f>
        <v>261136718.51384529</v>
      </c>
    </row>
    <row r="25" spans="1:9" ht="18.95" customHeight="1">
      <c r="A25" s="70">
        <f t="shared" si="0"/>
        <v>12</v>
      </c>
      <c r="B25" s="71" t="s">
        <v>1629</v>
      </c>
      <c r="C25" s="78" t="s">
        <v>1630</v>
      </c>
      <c r="D25" s="88">
        <f>SUMIFS('PIS F'!$E$11:$E$344,'PIS F'!$C$11:$C$344,'SCH B-2.3 F'!$B25)</f>
        <v>44787652.020000003</v>
      </c>
      <c r="E25" s="88">
        <f>SUMIFS('PIS F'!$G$11:$G$344,'PIS F'!$C$11:$C$344,'SCH B-2.3 F'!$B25)</f>
        <v>10341438.889999999</v>
      </c>
      <c r="F25" s="88">
        <f>SUMIFS('PIS F'!$I$11:$I$344,'PIS F'!$C$11:$C$344,'SCH B-2.3 F'!$B25)</f>
        <v>0</v>
      </c>
      <c r="G25" s="88">
        <f>SUMIFS('PIS F'!$K$11:$K$344,'PIS F'!$C$11:$C$344,'SCH B-2.3 F'!$B25)</f>
        <v>0</v>
      </c>
      <c r="H25" s="88">
        <f t="shared" si="4"/>
        <v>55129090.910000004</v>
      </c>
      <c r="I25" s="88">
        <f>SUMIFS('PIS F'!$Q$11:$Q$344,'PIS F'!$C$11:$C$344,'SCH B-2.3 F'!$B25)</f>
        <v>48060431.632307701</v>
      </c>
    </row>
    <row r="26" spans="1:9" ht="18.95" customHeight="1">
      <c r="A26" s="70">
        <f t="shared" si="0"/>
        <v>13</v>
      </c>
      <c r="B26" s="71" t="s">
        <v>1631</v>
      </c>
      <c r="C26" s="78" t="s">
        <v>1650</v>
      </c>
      <c r="D26" s="89">
        <f>SUMIFS('PIS F'!$E$11:$E$344,'PIS F'!$C$11:$C$344,'SCH B-2.3 F'!$B26)</f>
        <v>169288108.68000001</v>
      </c>
      <c r="E26" s="89">
        <f>SUMIFS('PIS F'!$G$11:$G$344,'PIS F'!$C$11:$C$344,'SCH B-2.3 F'!$B26)</f>
        <v>0</v>
      </c>
      <c r="F26" s="89">
        <f>SUMIFS('PIS F'!$I$11:$I$344,'PIS F'!$C$11:$C$344,'SCH B-2.3 F'!$B26)</f>
        <v>-23433540.620000001</v>
      </c>
      <c r="G26" s="89">
        <f>SUMIFS('PIS F'!$K$11:$K$344,'PIS F'!$C$11:$C$344,'SCH B-2.3 F'!$B26)</f>
        <v>0</v>
      </c>
      <c r="H26" s="89">
        <f t="shared" si="4"/>
        <v>145854568.06</v>
      </c>
      <c r="I26" s="89">
        <f>SUMIFS('PIS F'!$Q$11:$Q$344,'PIS F'!$C$11:$C$344,'SCH B-2.3 F'!$B26)</f>
        <v>158472628.39384618</v>
      </c>
    </row>
    <row r="27" spans="1:9" ht="18.95" customHeight="1">
      <c r="A27" s="70">
        <f t="shared" si="0"/>
        <v>14</v>
      </c>
      <c r="C27" s="78" t="s">
        <v>146</v>
      </c>
      <c r="D27" s="86">
        <f t="shared" ref="D27:H27" si="5">SUM(D19:D26)</f>
        <v>5580692652.3599892</v>
      </c>
      <c r="E27" s="86">
        <f t="shared" si="5"/>
        <v>162201602.71999994</v>
      </c>
      <c r="F27" s="86">
        <f t="shared" si="5"/>
        <v>-50271152.50999999</v>
      </c>
      <c r="G27" s="86">
        <f t="shared" si="5"/>
        <v>1.2005330063402653E-6</v>
      </c>
      <c r="H27" s="86">
        <f t="shared" si="5"/>
        <v>5692623102.5699892</v>
      </c>
      <c r="I27" s="86">
        <f t="shared" ref="I27" si="6">SUM(I19:I26)</f>
        <v>5647302127.6430664</v>
      </c>
    </row>
    <row r="28" spans="1:9" ht="18.95" customHeight="1">
      <c r="A28" s="70"/>
      <c r="C28" s="78"/>
    </row>
    <row r="29" spans="1:9" ht="18.95" customHeight="1">
      <c r="A29" s="70">
        <f>A27+1</f>
        <v>15</v>
      </c>
      <c r="C29" s="90" t="s">
        <v>47</v>
      </c>
    </row>
    <row r="30" spans="1:9" ht="18.95" customHeight="1">
      <c r="A30" s="70">
        <f t="shared" si="0"/>
        <v>16</v>
      </c>
      <c r="B30" s="71" t="s">
        <v>1632</v>
      </c>
      <c r="C30" s="78" t="s">
        <v>154</v>
      </c>
      <c r="D30" s="88">
        <f>SUMIFS('PIS F'!$E$11:$E$344,'PIS F'!$C$11:$C$344,'SCH B-2.3 F'!$B30)</f>
        <v>855636.47000000009</v>
      </c>
      <c r="E30" s="88">
        <f>SUMIFS('PIS F'!$G$11:$G$344,'PIS F'!$C$11:$C$344,'SCH B-2.3 F'!$B30)</f>
        <v>0</v>
      </c>
      <c r="F30" s="88">
        <f>SUMIFS('PIS F'!$I$11:$I$344,'PIS F'!$C$11:$C$344,'SCH B-2.3 F'!$B30)</f>
        <v>0</v>
      </c>
      <c r="G30" s="88">
        <f>SUMIFS('PIS F'!$K$11:$K$344,'PIS F'!$C$11:$C$344,'SCH B-2.3 F'!$B30)</f>
        <v>0</v>
      </c>
      <c r="H30" s="88">
        <f t="shared" ref="H30:H37" si="7">SUM(D30:G30)</f>
        <v>855636.47000000009</v>
      </c>
      <c r="I30" s="88">
        <f>SUMIFS('PIS F'!$Q$11:$Q$344,'PIS F'!$C$11:$C$344,'SCH B-2.3 F'!$B30)</f>
        <v>855636.47000000009</v>
      </c>
    </row>
    <row r="31" spans="1:9" ht="18.95" customHeight="1">
      <c r="A31" s="70">
        <f t="shared" si="0"/>
        <v>17</v>
      </c>
      <c r="B31" s="71" t="s">
        <v>1633</v>
      </c>
      <c r="C31" s="78" t="s">
        <v>148</v>
      </c>
      <c r="D31" s="88">
        <f>SUMIFS('PIS F'!$E$11:$E$344,'PIS F'!$C$11:$C$344,'SCH B-2.3 F'!$B31)</f>
        <v>4526614.1900000004</v>
      </c>
      <c r="E31" s="88">
        <f>SUMIFS('PIS F'!$G$11:$G$344,'PIS F'!$C$11:$C$344,'SCH B-2.3 F'!$B31)</f>
        <v>857423.3</v>
      </c>
      <c r="F31" s="88">
        <f>SUMIFS('PIS F'!$I$11:$I$344,'PIS F'!$C$11:$C$344,'SCH B-2.3 F'!$B31)</f>
        <v>0</v>
      </c>
      <c r="G31" s="88">
        <f>SUMIFS('PIS F'!$K$11:$K$344,'PIS F'!$C$11:$C$344,'SCH B-2.3 F'!$B31)</f>
        <v>0</v>
      </c>
      <c r="H31" s="88">
        <f t="shared" si="7"/>
        <v>5384037.4900000002</v>
      </c>
      <c r="I31" s="88">
        <f>SUMIFS('PIS F'!$Q$11:$Q$344,'PIS F'!$C$11:$C$344,'SCH B-2.3 F'!$B31)</f>
        <v>5186170.5746153845</v>
      </c>
    </row>
    <row r="32" spans="1:9" ht="18.95" customHeight="1">
      <c r="A32" s="70">
        <f t="shared" si="0"/>
        <v>18</v>
      </c>
      <c r="B32" s="71" t="s">
        <v>1634</v>
      </c>
      <c r="C32" s="78" t="s">
        <v>1635</v>
      </c>
      <c r="D32" s="88">
        <f>SUMIFS('PIS F'!$E$11:$E$344,'PIS F'!$C$11:$C$344,'SCH B-2.3 F'!$B32)</f>
        <v>21979631.449999999</v>
      </c>
      <c r="E32" s="88">
        <f>SUMIFS('PIS F'!$G$11:$G$344,'PIS F'!$C$11:$C$344,'SCH B-2.3 F'!$B32)</f>
        <v>6387522.04</v>
      </c>
      <c r="F32" s="88">
        <f>SUMIFS('PIS F'!$I$11:$I$344,'PIS F'!$C$11:$C$344,'SCH B-2.3 F'!$B32)</f>
        <v>0</v>
      </c>
      <c r="G32" s="88">
        <f>SUMIFS('PIS F'!$K$11:$K$344,'PIS F'!$C$11:$C$344,'SCH B-2.3 F'!$B32)</f>
        <v>0</v>
      </c>
      <c r="H32" s="88">
        <f t="shared" si="7"/>
        <v>28367153.489999998</v>
      </c>
      <c r="I32" s="88">
        <f>SUMIFS('PIS F'!$Q$11:$Q$344,'PIS F'!$C$11:$C$344,'SCH B-2.3 F'!$B32)</f>
        <v>25910414.243846156</v>
      </c>
    </row>
    <row r="33" spans="1:9" ht="18.95" customHeight="1">
      <c r="A33" s="70">
        <f t="shared" si="0"/>
        <v>19</v>
      </c>
      <c r="B33" s="71" t="s">
        <v>1636</v>
      </c>
      <c r="C33" s="78" t="s">
        <v>1637</v>
      </c>
      <c r="D33" s="88">
        <f>SUMIFS('PIS F'!$E$11:$E$344,'PIS F'!$C$11:$C$344,'SCH B-2.3 F'!$B33)</f>
        <v>14046741.58</v>
      </c>
      <c r="E33" s="88">
        <f>SUMIFS('PIS F'!$G$11:$G$344,'PIS F'!$C$11:$C$344,'SCH B-2.3 F'!$B33)</f>
        <v>1179078</v>
      </c>
      <c r="F33" s="88">
        <f>SUMIFS('PIS F'!$I$11:$I$344,'PIS F'!$C$11:$C$344,'SCH B-2.3 F'!$B33)</f>
        <v>0</v>
      </c>
      <c r="G33" s="88">
        <f>SUMIFS('PIS F'!$K$11:$K$344,'PIS F'!$C$11:$C$344,'SCH B-2.3 F'!$B33)</f>
        <v>0</v>
      </c>
      <c r="H33" s="88">
        <f t="shared" si="7"/>
        <v>15225819.58</v>
      </c>
      <c r="I33" s="88">
        <f>SUMIFS('PIS F'!$Q$11:$Q$344,'PIS F'!$C$11:$C$344,'SCH B-2.3 F'!$B33)</f>
        <v>14877393.580000002</v>
      </c>
    </row>
    <row r="34" spans="1:9" ht="18.95" customHeight="1">
      <c r="A34" s="70">
        <f t="shared" si="0"/>
        <v>20</v>
      </c>
      <c r="B34" s="71" t="s">
        <v>1638</v>
      </c>
      <c r="C34" s="78" t="s">
        <v>1628</v>
      </c>
      <c r="D34" s="88">
        <f>SUMIFS('PIS F'!$E$11:$E$344,'PIS F'!$C$11:$C$344,'SCH B-2.3 F'!$B34)</f>
        <v>1360647.15</v>
      </c>
      <c r="E34" s="88">
        <f>SUMIFS('PIS F'!$G$11:$G$344,'PIS F'!$C$11:$C$344,'SCH B-2.3 F'!$B34)</f>
        <v>81261</v>
      </c>
      <c r="F34" s="88">
        <f>SUMIFS('PIS F'!$I$11:$I$344,'PIS F'!$C$11:$C$344,'SCH B-2.3 F'!$B34)</f>
        <v>0</v>
      </c>
      <c r="G34" s="88">
        <f>SUMIFS('PIS F'!$K$11:$K$344,'PIS F'!$C$11:$C$344,'SCH B-2.3 F'!$B34)</f>
        <v>0</v>
      </c>
      <c r="H34" s="88">
        <f t="shared" si="7"/>
        <v>1441908.15</v>
      </c>
      <c r="I34" s="88">
        <f>SUMIFS('PIS F'!$Q$11:$Q$344,'PIS F'!$C$11:$C$344,'SCH B-2.3 F'!$B34)</f>
        <v>1389702.6884615382</v>
      </c>
    </row>
    <row r="35" spans="1:9" ht="18.95" customHeight="1">
      <c r="A35" s="70">
        <f t="shared" si="0"/>
        <v>21</v>
      </c>
      <c r="B35" s="71" t="s">
        <v>1639</v>
      </c>
      <c r="C35" s="78" t="s">
        <v>1640</v>
      </c>
      <c r="D35" s="88">
        <f>SUMIFS('PIS F'!$E$11:$E$344,'PIS F'!$C$11:$C$344,'SCH B-2.3 F'!$B35)</f>
        <v>329374.18000000005</v>
      </c>
      <c r="E35" s="88">
        <f>SUMIFS('PIS F'!$G$11:$G$344,'PIS F'!$C$11:$C$344,'SCH B-2.3 F'!$B35)</f>
        <v>0</v>
      </c>
      <c r="F35" s="88">
        <f>SUMIFS('PIS F'!$I$11:$I$344,'PIS F'!$C$11:$C$344,'SCH B-2.3 F'!$B35)</f>
        <v>0</v>
      </c>
      <c r="G35" s="88">
        <f>SUMIFS('PIS F'!$K$11:$K$344,'PIS F'!$C$11:$C$344,'SCH B-2.3 F'!$B35)</f>
        <v>0</v>
      </c>
      <c r="H35" s="88">
        <f t="shared" si="7"/>
        <v>329374.18000000005</v>
      </c>
      <c r="I35" s="88">
        <f>SUMIFS('PIS F'!$Q$11:$Q$344,'PIS F'!$C$11:$C$344,'SCH B-2.3 F'!$B35)</f>
        <v>329374.17999999993</v>
      </c>
    </row>
    <row r="36" spans="1:9" ht="18.95" customHeight="1">
      <c r="A36" s="70">
        <f t="shared" si="0"/>
        <v>22</v>
      </c>
      <c r="B36" s="71" t="s">
        <v>1641</v>
      </c>
      <c r="C36" s="78" t="s">
        <v>1642</v>
      </c>
      <c r="D36" s="88">
        <f>SUMIFS('PIS F'!$E$11:$E$344,'PIS F'!$C$11:$C$344,'SCH B-2.3 F'!$B36)</f>
        <v>198899.82999999903</v>
      </c>
      <c r="E36" s="88">
        <f>SUMIFS('PIS F'!$G$11:$G$344,'PIS F'!$C$11:$C$344,'SCH B-2.3 F'!$B36)</f>
        <v>0</v>
      </c>
      <c r="F36" s="88">
        <f>SUMIFS('PIS F'!$I$11:$I$344,'PIS F'!$C$11:$C$344,'SCH B-2.3 F'!$B36)</f>
        <v>0</v>
      </c>
      <c r="G36" s="88">
        <f>SUMIFS('PIS F'!$K$11:$K$344,'PIS F'!$C$11:$C$344,'SCH B-2.3 F'!$B36)</f>
        <v>0</v>
      </c>
      <c r="H36" s="88">
        <f t="shared" si="7"/>
        <v>198899.82999999903</v>
      </c>
      <c r="I36" s="88">
        <f>SUMIFS('PIS F'!$Q$11:$Q$344,'PIS F'!$C$11:$C$344,'SCH B-2.3 F'!$B36)</f>
        <v>198899.82999999897</v>
      </c>
    </row>
    <row r="37" spans="1:9" ht="18.95" customHeight="1">
      <c r="A37" s="70">
        <f t="shared" si="0"/>
        <v>23</v>
      </c>
      <c r="B37" s="71" t="s">
        <v>1643</v>
      </c>
      <c r="C37" s="78" t="s">
        <v>1651</v>
      </c>
      <c r="D37" s="89">
        <f>SUMIFS('PIS F'!$E$11:$E$344,'PIS F'!$C$11:$C$344,'SCH B-2.3 F'!$B37)</f>
        <v>645787.99</v>
      </c>
      <c r="E37" s="89">
        <f>SUMIFS('PIS F'!$G$11:$G$344,'PIS F'!$C$11:$C$344,'SCH B-2.3 F'!$B37)</f>
        <v>0</v>
      </c>
      <c r="F37" s="89">
        <f>SUMIFS('PIS F'!$I$11:$I$344,'PIS F'!$C$11:$C$344,'SCH B-2.3 F'!$B37)</f>
        <v>0</v>
      </c>
      <c r="G37" s="89">
        <f>SUMIFS('PIS F'!$K$11:$K$344,'PIS F'!$C$11:$C$344,'SCH B-2.3 F'!$B37)</f>
        <v>0</v>
      </c>
      <c r="H37" s="89">
        <f t="shared" si="7"/>
        <v>645787.99</v>
      </c>
      <c r="I37" s="89">
        <f>SUMIFS('PIS F'!$Q$11:$Q$344,'PIS F'!$C$11:$C$344,'SCH B-2.3 F'!$B37)</f>
        <v>645787.98999999987</v>
      </c>
    </row>
    <row r="38" spans="1:9" ht="18.95" customHeight="1">
      <c r="A38" s="70">
        <f t="shared" si="0"/>
        <v>24</v>
      </c>
      <c r="B38" s="71" t="s">
        <v>250</v>
      </c>
      <c r="C38" s="78" t="s">
        <v>147</v>
      </c>
      <c r="D38" s="86">
        <f>SUM(D30:D37)</f>
        <v>43943332.839999996</v>
      </c>
      <c r="E38" s="86">
        <f t="shared" ref="E38:H38" si="8">SUM(E30:E37)</f>
        <v>8505284.3399999999</v>
      </c>
      <c r="F38" s="86">
        <f t="shared" si="8"/>
        <v>0</v>
      </c>
      <c r="G38" s="86">
        <f t="shared" si="8"/>
        <v>0</v>
      </c>
      <c r="H38" s="86">
        <f t="shared" si="8"/>
        <v>52448617.179999992</v>
      </c>
      <c r="I38" s="86">
        <f>SUM(I30:I37)</f>
        <v>49393379.556923077</v>
      </c>
    </row>
    <row r="39" spans="1:9" ht="18.95" customHeight="1">
      <c r="A39" s="70"/>
      <c r="B39" s="71"/>
      <c r="C39" s="78"/>
      <c r="D39" s="86"/>
      <c r="E39" s="86"/>
      <c r="F39" s="86"/>
      <c r="G39" s="86"/>
      <c r="H39" s="86"/>
      <c r="I39" s="86"/>
    </row>
    <row r="40" spans="1:9" ht="18.95" customHeight="1">
      <c r="A40" s="70">
        <f>A38+1</f>
        <v>25</v>
      </c>
      <c r="C40" s="90" t="s">
        <v>61</v>
      </c>
    </row>
    <row r="41" spans="1:9" ht="18.95" customHeight="1">
      <c r="A41" s="70">
        <f t="shared" si="0"/>
        <v>26</v>
      </c>
      <c r="B41" s="71" t="s">
        <v>1644</v>
      </c>
      <c r="C41" s="78" t="s">
        <v>154</v>
      </c>
      <c r="D41" s="88">
        <f>SUMIFS('PIS F'!$E$11:$E$344,'PIS F'!$C$11:$C$344,'SCH B-2.3 F'!$B41)</f>
        <v>894512.75</v>
      </c>
      <c r="E41" s="88">
        <f>SUMIFS('PIS F'!$G$11:$G$344,'PIS F'!$C$11:$C$344,'SCH B-2.3 F'!$B41)</f>
        <v>0</v>
      </c>
      <c r="F41" s="88">
        <f>SUMIFS('PIS F'!$I$11:$I$344,'PIS F'!$C$11:$C$344,'SCH B-2.3 F'!$B41)</f>
        <v>0</v>
      </c>
      <c r="G41" s="88">
        <f>SUMIFS('PIS F'!$K$11:$K$344,'PIS F'!$C$11:$C$344,'SCH B-2.3 F'!$B41)</f>
        <v>0</v>
      </c>
      <c r="H41" s="88">
        <f t="shared" ref="H41:H48" si="9">SUM(D41:G41)</f>
        <v>894512.75</v>
      </c>
      <c r="I41" s="88">
        <f>SUMIFS('PIS F'!$Q$11:$Q$344,'PIS F'!$C$11:$C$344,'SCH B-2.3 F'!$B41)</f>
        <v>894512.75</v>
      </c>
    </row>
    <row r="42" spans="1:9" ht="18.95" customHeight="1">
      <c r="A42" s="70">
        <f t="shared" si="0"/>
        <v>27</v>
      </c>
      <c r="B42" s="71" t="s">
        <v>1645</v>
      </c>
      <c r="C42" s="78" t="s">
        <v>148</v>
      </c>
      <c r="D42" s="88">
        <f>SUMIFS('PIS F'!$E$11:$E$344,'PIS F'!$C$11:$C$344,'SCH B-2.3 F'!$B42)</f>
        <v>90539295.530000001</v>
      </c>
      <c r="E42" s="88">
        <f>SUMIFS('PIS F'!$G$11:$G$344,'PIS F'!$C$11:$C$344,'SCH B-2.3 F'!$B42)</f>
        <v>0</v>
      </c>
      <c r="F42" s="88">
        <f>SUMIFS('PIS F'!$I$11:$I$344,'PIS F'!$C$11:$C$344,'SCH B-2.3 F'!$B42)</f>
        <v>0</v>
      </c>
      <c r="G42" s="88">
        <f>SUMIFS('PIS F'!$K$11:$K$344,'PIS F'!$C$11:$C$344,'SCH B-2.3 F'!$B42)</f>
        <v>0</v>
      </c>
      <c r="H42" s="88">
        <f t="shared" si="9"/>
        <v>90539295.530000001</v>
      </c>
      <c r="I42" s="88">
        <f>SUMIFS('PIS F'!$Q$11:$Q$344,'PIS F'!$C$11:$C$344,'SCH B-2.3 F'!$B42)</f>
        <v>90539295.530000001</v>
      </c>
    </row>
    <row r="43" spans="1:9" ht="18.95" customHeight="1">
      <c r="A43" s="70">
        <f t="shared" si="0"/>
        <v>28</v>
      </c>
      <c r="B43" s="71" t="s">
        <v>1646</v>
      </c>
      <c r="C43" s="78" t="s">
        <v>1647</v>
      </c>
      <c r="D43" s="88">
        <f>SUMIFS('PIS F'!$E$11:$E$344,'PIS F'!$C$11:$C$344,'SCH B-2.3 F'!$B43)</f>
        <v>84168419.36999999</v>
      </c>
      <c r="E43" s="88">
        <f>SUMIFS('PIS F'!$G$11:$G$344,'PIS F'!$C$11:$C$344,'SCH B-2.3 F'!$B43)</f>
        <v>0</v>
      </c>
      <c r="F43" s="88">
        <f>SUMIFS('PIS F'!$I$11:$I$344,'PIS F'!$C$11:$C$344,'SCH B-2.3 F'!$B43)</f>
        <v>0</v>
      </c>
      <c r="G43" s="88">
        <f>SUMIFS('PIS F'!$K$11:$K$344,'PIS F'!$C$11:$C$344,'SCH B-2.3 F'!$B43)</f>
        <v>0</v>
      </c>
      <c r="H43" s="88">
        <f t="shared" si="9"/>
        <v>84168419.36999999</v>
      </c>
      <c r="I43" s="88">
        <f>SUMIFS('PIS F'!$Q$11:$Q$344,'PIS F'!$C$11:$C$344,'SCH B-2.3 F'!$B43)</f>
        <v>84168419.36999999</v>
      </c>
    </row>
    <row r="44" spans="1:9" ht="18.95" customHeight="1">
      <c r="A44" s="70">
        <f t="shared" si="0"/>
        <v>29</v>
      </c>
      <c r="B44" s="71" t="s">
        <v>1648</v>
      </c>
      <c r="C44" s="78" t="s">
        <v>1649</v>
      </c>
      <c r="D44" s="88">
        <f>SUMIFS('PIS F'!$E$11:$E$344,'PIS F'!$C$11:$C$344,'SCH B-2.3 F'!$B44)</f>
        <v>694628860.16999793</v>
      </c>
      <c r="E44" s="88">
        <f>SUMIFS('PIS F'!$G$11:$G$344,'PIS F'!$C$11:$C$344,'SCH B-2.3 F'!$B44)</f>
        <v>22455020.34</v>
      </c>
      <c r="F44" s="88">
        <f>SUMIFS('PIS F'!$I$11:$I$344,'PIS F'!$C$11:$C$344,'SCH B-2.3 F'!$B44)</f>
        <v>-1346853.5199999998</v>
      </c>
      <c r="G44" s="88">
        <f>SUMIFS('PIS F'!$K$11:$K$344,'PIS F'!$C$11:$C$344,'SCH B-2.3 F'!$B44)</f>
        <v>0</v>
      </c>
      <c r="H44" s="88">
        <f t="shared" si="9"/>
        <v>715737026.98999798</v>
      </c>
      <c r="I44" s="88">
        <f>SUMIFS('PIS F'!$Q$11:$Q$344,'PIS F'!$C$11:$C$344,'SCH B-2.3 F'!$B44)</f>
        <v>702631799.32692099</v>
      </c>
    </row>
    <row r="45" spans="1:9" ht="18.95" customHeight="1">
      <c r="A45" s="70">
        <f>A44+1</f>
        <v>30</v>
      </c>
      <c r="B45" s="71" t="s">
        <v>1652</v>
      </c>
      <c r="C45" s="78" t="s">
        <v>1653</v>
      </c>
      <c r="D45" s="88">
        <f>SUMIFS('PIS F'!$E$11:$E$344,'PIS F'!$C$11:$C$344,'SCH B-2.3 F'!$B45)</f>
        <v>137341370.27000001</v>
      </c>
      <c r="E45" s="88">
        <f>SUMIFS('PIS F'!$G$11:$G$344,'PIS F'!$C$11:$C$344,'SCH B-2.3 F'!$B45)</f>
        <v>1013199.57</v>
      </c>
      <c r="F45" s="88">
        <f>SUMIFS('PIS F'!$I$11:$I$344,'PIS F'!$C$11:$C$344,'SCH B-2.3 F'!$B45)</f>
        <v>0</v>
      </c>
      <c r="G45" s="88">
        <f>SUMIFS('PIS F'!$K$11:$K$344,'PIS F'!$C$11:$C$344,'SCH B-2.3 F'!$B45)</f>
        <v>0</v>
      </c>
      <c r="H45" s="88">
        <f t="shared" si="9"/>
        <v>138354569.84</v>
      </c>
      <c r="I45" s="88">
        <f>SUMIFS('PIS F'!$Q$11:$Q$344,'PIS F'!$C$11:$C$344,'SCH B-2.3 F'!$B45)</f>
        <v>137886939.26923078</v>
      </c>
    </row>
    <row r="46" spans="1:9" ht="18.95" customHeight="1">
      <c r="A46" s="70">
        <f t="shared" si="0"/>
        <v>31</v>
      </c>
      <c r="B46" s="71" t="s">
        <v>1654</v>
      </c>
      <c r="C46" s="78" t="s">
        <v>1628</v>
      </c>
      <c r="D46" s="88">
        <f>SUMIFS('PIS F'!$E$11:$E$344,'PIS F'!$C$11:$C$344,'SCH B-2.3 F'!$B46)</f>
        <v>77743881.5</v>
      </c>
      <c r="E46" s="88">
        <f>SUMIFS('PIS F'!$G$11:$G$344,'PIS F'!$C$11:$C$344,'SCH B-2.3 F'!$B46)</f>
        <v>0</v>
      </c>
      <c r="F46" s="88">
        <f>SUMIFS('PIS F'!$I$11:$I$344,'PIS F'!$C$11:$C$344,'SCH B-2.3 F'!$B46)</f>
        <v>0</v>
      </c>
      <c r="G46" s="88">
        <f>SUMIFS('PIS F'!$K$11:$K$344,'PIS F'!$C$11:$C$344,'SCH B-2.3 F'!$B46)</f>
        <v>0</v>
      </c>
      <c r="H46" s="88">
        <f t="shared" si="9"/>
        <v>77743881.5</v>
      </c>
      <c r="I46" s="88">
        <f>SUMIFS('PIS F'!$Q$11:$Q$344,'PIS F'!$C$11:$C$344,'SCH B-2.3 F'!$B46)</f>
        <v>77743881.499999985</v>
      </c>
    </row>
    <row r="47" spans="1:9" ht="18.95" customHeight="1">
      <c r="A47" s="70">
        <f t="shared" si="0"/>
        <v>32</v>
      </c>
      <c r="B47" s="71" t="s">
        <v>1655</v>
      </c>
      <c r="C47" s="78" t="s">
        <v>1640</v>
      </c>
      <c r="D47" s="88">
        <f>SUMIFS('PIS F'!$E$11:$E$344,'PIS F'!$C$11:$C$344,'SCH B-2.3 F'!$B47)</f>
        <v>9717247.7599999998</v>
      </c>
      <c r="E47" s="88">
        <f>SUMIFS('PIS F'!$G$11:$G$344,'PIS F'!$C$11:$C$344,'SCH B-2.3 F'!$B47)</f>
        <v>16852474.489999902</v>
      </c>
      <c r="F47" s="88">
        <f>SUMIFS('PIS F'!$I$11:$I$344,'PIS F'!$C$11:$C$344,'SCH B-2.3 F'!$B47)</f>
        <v>0</v>
      </c>
      <c r="G47" s="88">
        <f>SUMIFS('PIS F'!$K$11:$K$344,'PIS F'!$C$11:$C$344,'SCH B-2.3 F'!$B47)</f>
        <v>0</v>
      </c>
      <c r="H47" s="88">
        <f t="shared" si="9"/>
        <v>26569722.249999903</v>
      </c>
      <c r="I47" s="88">
        <f>SUMIFS('PIS F'!$Q$11:$Q$344,'PIS F'!$C$11:$C$344,'SCH B-2.3 F'!$B47)</f>
        <v>19572946.339999996</v>
      </c>
    </row>
    <row r="48" spans="1:9" ht="18.95" customHeight="1">
      <c r="A48" s="70">
        <f t="shared" si="0"/>
        <v>33</v>
      </c>
      <c r="B48" s="71" t="s">
        <v>1656</v>
      </c>
      <c r="C48" s="78" t="s">
        <v>1691</v>
      </c>
      <c r="D48" s="89">
        <f>SUMIFS('PIS F'!$E$11:$E$344,'PIS F'!$C$11:$C$344,'SCH B-2.3 F'!$B48)</f>
        <v>406991.12</v>
      </c>
      <c r="E48" s="89">
        <f>SUMIFS('PIS F'!$G$11:$G$344,'PIS F'!$C$11:$C$344,'SCH B-2.3 F'!$B48)</f>
        <v>0</v>
      </c>
      <c r="F48" s="89">
        <f>SUMIFS('PIS F'!$I$11:$I$344,'PIS F'!$C$11:$C$344,'SCH B-2.3 F'!$B48)</f>
        <v>0</v>
      </c>
      <c r="G48" s="89">
        <f>SUMIFS('PIS F'!$K$11:$K$344,'PIS F'!$C$11:$C$344,'SCH B-2.3 F'!$B48)</f>
        <v>0</v>
      </c>
      <c r="H48" s="89">
        <f t="shared" si="9"/>
        <v>406991.12</v>
      </c>
      <c r="I48" s="89">
        <f>SUMIFS('PIS F'!$Q$11:$Q$344,'PIS F'!$C$11:$C$344,'SCH B-2.3 F'!$B48)</f>
        <v>406991.12</v>
      </c>
    </row>
    <row r="49" spans="1:9" ht="18.95" customHeight="1">
      <c r="A49" s="70">
        <f t="shared" si="0"/>
        <v>34</v>
      </c>
      <c r="C49" s="78" t="s">
        <v>145</v>
      </c>
      <c r="D49" s="86">
        <f t="shared" ref="D49:H49" si="10">SUM(D41:D44,D45:D48)</f>
        <v>1095440578.4699976</v>
      </c>
      <c r="E49" s="86">
        <f t="shared" si="10"/>
        <v>40320694.399999902</v>
      </c>
      <c r="F49" s="86">
        <f t="shared" si="10"/>
        <v>-1346853.5199999998</v>
      </c>
      <c r="G49" s="86">
        <f t="shared" si="10"/>
        <v>0</v>
      </c>
      <c r="H49" s="86">
        <f t="shared" si="10"/>
        <v>1134414419.349998</v>
      </c>
      <c r="I49" s="86">
        <f t="shared" ref="I49" si="11">SUM(I41:I44,I45:I48)</f>
        <v>1113844785.2061515</v>
      </c>
    </row>
    <row r="50" spans="1:9" ht="18.95" customHeight="1">
      <c r="A50" s="70"/>
    </row>
    <row r="51" spans="1:9" s="68" customFormat="1" ht="20.100000000000001" customHeight="1">
      <c r="A51" s="809" t="str">
        <f>$A$1</f>
        <v>KENTUCKY UTILITIES COMPANY</v>
      </c>
      <c r="B51" s="809"/>
      <c r="C51" s="809"/>
      <c r="D51" s="809"/>
      <c r="E51" s="809"/>
      <c r="F51" s="809"/>
      <c r="G51" s="809"/>
      <c r="H51" s="809"/>
      <c r="I51" s="809"/>
    </row>
    <row r="52" spans="1:9" s="68" customFormat="1" ht="20.100000000000001" customHeight="1">
      <c r="A52" s="809" t="str">
        <f>$A$2</f>
        <v>CASE NO. 2020-00349</v>
      </c>
      <c r="B52" s="809"/>
      <c r="C52" s="809"/>
      <c r="D52" s="809"/>
      <c r="E52" s="809"/>
      <c r="F52" s="809"/>
      <c r="G52" s="809"/>
      <c r="H52" s="809"/>
      <c r="I52" s="809"/>
    </row>
    <row r="53" spans="1:9" s="68" customFormat="1" ht="20.100000000000001" customHeight="1">
      <c r="A53" s="809" t="str">
        <f>$A$3</f>
        <v>GROSS ADDITIONS, RETIREMENTS, AND TRANSFERS</v>
      </c>
      <c r="B53" s="809"/>
      <c r="C53" s="809"/>
      <c r="D53" s="809"/>
      <c r="E53" s="809"/>
      <c r="F53" s="809"/>
      <c r="G53" s="809"/>
      <c r="H53" s="809"/>
      <c r="I53" s="809"/>
    </row>
    <row r="54" spans="1:9" s="68" customFormat="1" ht="20.100000000000001" customHeight="1">
      <c r="A54" s="808" t="str">
        <f>$A$4</f>
        <v>FROM JULY 1, 2021 TO JUNE 30, 2022</v>
      </c>
      <c r="B54" s="808"/>
      <c r="C54" s="808"/>
      <c r="D54" s="808"/>
      <c r="E54" s="808"/>
      <c r="F54" s="808"/>
      <c r="G54" s="808"/>
      <c r="H54" s="808"/>
      <c r="I54" s="808"/>
    </row>
    <row r="55" spans="1:9" s="68" customFormat="1" ht="20.100000000000001" customHeight="1">
      <c r="A55" s="84"/>
      <c r="B55" s="84"/>
      <c r="C55" s="84"/>
      <c r="D55" s="84"/>
      <c r="E55" s="84"/>
      <c r="F55" s="84"/>
      <c r="G55" s="84"/>
      <c r="H55" s="84"/>
      <c r="I55" s="84"/>
    </row>
    <row r="56" spans="1:9" s="68" customFormat="1" ht="20.100000000000001" customHeight="1">
      <c r="A56" s="67" t="str">
        <f>$A$6</f>
        <v>DATA:____BASE  PERIOD__X__FORECASTED  PERIOD</v>
      </c>
      <c r="B56" s="67"/>
      <c r="G56" s="74"/>
      <c r="H56" s="74"/>
      <c r="I56" s="75" t="str">
        <f>$I$6</f>
        <v>SCHEDULE B-2.3</v>
      </c>
    </row>
    <row r="57" spans="1:9" s="68" customFormat="1" ht="20.100000000000001" customHeight="1">
      <c r="A57" s="67" t="str">
        <f>$A$7</f>
        <v>TYPE OF FILING: __X__ ORIGINAL  _____ UPDATED  _____ REVISED</v>
      </c>
      <c r="G57" s="74"/>
      <c r="H57" s="74"/>
      <c r="I57" s="74" t="s">
        <v>168</v>
      </c>
    </row>
    <row r="58" spans="1:9" s="68" customFormat="1" ht="20.100000000000001" customHeight="1">
      <c r="A58" s="67" t="str">
        <f>$A$8</f>
        <v>WORKPAPER REFERENCE NO(S).:</v>
      </c>
      <c r="B58" s="67"/>
      <c r="F58" s="67"/>
      <c r="G58" s="75"/>
      <c r="H58" s="75"/>
      <c r="I58" s="75" t="str">
        <f>$I$8</f>
        <v>WITNESS:   C. M. GARRETT</v>
      </c>
    </row>
    <row r="59" spans="1:9" s="68" customFormat="1" ht="20.100000000000001" customHeight="1"/>
    <row r="60" spans="1:9" ht="65.099999999999994" customHeight="1">
      <c r="A60" s="76" t="s">
        <v>131</v>
      </c>
      <c r="B60" s="76" t="s">
        <v>134</v>
      </c>
      <c r="C60" s="79" t="s">
        <v>135</v>
      </c>
      <c r="D60" s="76" t="s">
        <v>162</v>
      </c>
      <c r="E60" s="76" t="s">
        <v>137</v>
      </c>
      <c r="F60" s="76" t="s">
        <v>138</v>
      </c>
      <c r="G60" s="76" t="s">
        <v>140</v>
      </c>
      <c r="H60" s="76" t="s">
        <v>163</v>
      </c>
      <c r="I60" s="76" t="s">
        <v>2744</v>
      </c>
    </row>
    <row r="61" spans="1:9" ht="23.1" customHeight="1">
      <c r="A61" s="80"/>
      <c r="B61" s="80"/>
      <c r="C61" s="81"/>
      <c r="D61" s="82" t="s">
        <v>142</v>
      </c>
      <c r="E61" s="82" t="s">
        <v>142</v>
      </c>
      <c r="F61" s="82" t="s">
        <v>142</v>
      </c>
      <c r="G61" s="82" t="s">
        <v>142</v>
      </c>
      <c r="H61" s="82" t="s">
        <v>142</v>
      </c>
      <c r="I61" s="82" t="s">
        <v>142</v>
      </c>
    </row>
    <row r="62" spans="1:9" ht="18.95" customHeight="1">
      <c r="A62" s="70">
        <f>A49+1</f>
        <v>35</v>
      </c>
      <c r="C62" s="90" t="s">
        <v>84</v>
      </c>
    </row>
    <row r="63" spans="1:9" ht="18.95" customHeight="1">
      <c r="A63" s="70">
        <f t="shared" si="0"/>
        <v>36</v>
      </c>
      <c r="B63" s="71" t="s">
        <v>1657</v>
      </c>
      <c r="C63" s="78" t="s">
        <v>154</v>
      </c>
      <c r="D63" s="88">
        <f>SUMIFS('PIS F'!$E$11:$E$344,'PIS F'!$C$11:$C$344,'SCH B-2.3 F'!$B63)</f>
        <v>33848488.75</v>
      </c>
      <c r="E63" s="88">
        <f>SUMIFS('PIS F'!$G$11:$G$344,'PIS F'!$C$11:$C$344,'SCH B-2.3 F'!$B63)</f>
        <v>6492934.6999999909</v>
      </c>
      <c r="F63" s="88">
        <f>SUMIFS('PIS F'!$I$11:$I$344,'PIS F'!$C$11:$C$344,'SCH B-2.3 F'!$B63)</f>
        <v>0</v>
      </c>
      <c r="G63" s="88">
        <f>SUMIFS('PIS F'!$K$11:$K$344,'PIS F'!$C$11:$C$344,'SCH B-2.3 F'!$B63)</f>
        <v>0</v>
      </c>
      <c r="H63" s="88">
        <f t="shared" ref="H63:H71" si="12">SUM(D63:G63)</f>
        <v>40341423.449999988</v>
      </c>
      <c r="I63" s="88">
        <f>SUMIFS('PIS F'!$Q$11:$Q$344,'PIS F'!$C$11:$C$344,'SCH B-2.3 F'!$B63)</f>
        <v>36211436.350000001</v>
      </c>
    </row>
    <row r="64" spans="1:9" ht="18.95" customHeight="1">
      <c r="A64" s="70">
        <f t="shared" si="0"/>
        <v>37</v>
      </c>
      <c r="B64" s="71" t="s">
        <v>1658</v>
      </c>
      <c r="C64" s="78" t="s">
        <v>148</v>
      </c>
      <c r="D64" s="88">
        <f>SUMIFS('PIS F'!$E$11:$E$344,'PIS F'!$C$11:$C$344,'SCH B-2.3 F'!$B64)</f>
        <v>33769377.219999999</v>
      </c>
      <c r="E64" s="88">
        <f>SUMIFS('PIS F'!$G$11:$G$344,'PIS F'!$C$11:$C$344,'SCH B-2.3 F'!$B64)</f>
        <v>100015.24</v>
      </c>
      <c r="F64" s="88">
        <f>SUMIFS('PIS F'!$I$11:$I$344,'PIS F'!$C$11:$C$344,'SCH B-2.3 F'!$B64)</f>
        <v>0</v>
      </c>
      <c r="G64" s="88">
        <f>SUMIFS('PIS F'!$K$11:$K$344,'PIS F'!$C$11:$C$344,'SCH B-2.3 F'!$B64)</f>
        <v>0</v>
      </c>
      <c r="H64" s="88">
        <f t="shared" si="12"/>
        <v>33869392.460000001</v>
      </c>
      <c r="I64" s="88">
        <f>SUMIFS('PIS F'!$Q$11:$Q$344,'PIS F'!$C$11:$C$344,'SCH B-2.3 F'!$B64)</f>
        <v>33838618.539999999</v>
      </c>
    </row>
    <row r="65" spans="1:9" ht="18.95" customHeight="1">
      <c r="A65" s="70">
        <f t="shared" si="0"/>
        <v>38</v>
      </c>
      <c r="B65" s="71" t="s">
        <v>1659</v>
      </c>
      <c r="C65" s="78" t="s">
        <v>149</v>
      </c>
      <c r="D65" s="88">
        <f>SUMIFS('PIS F'!$E$11:$E$344,'PIS F'!$C$11:$C$344,'SCH B-2.3 F'!$B65)</f>
        <v>397151755.35999995</v>
      </c>
      <c r="E65" s="88">
        <f>SUMIFS('PIS F'!$G$11:$G$344,'PIS F'!$C$11:$C$344,'SCH B-2.3 F'!$B65)</f>
        <v>45491566.169999987</v>
      </c>
      <c r="F65" s="88">
        <f>SUMIFS('PIS F'!$I$11:$I$344,'PIS F'!$C$11:$C$344,'SCH B-2.3 F'!$B65)</f>
        <v>-2972598.0500000003</v>
      </c>
      <c r="G65" s="88">
        <f>SUMIFS('PIS F'!$K$11:$K$344,'PIS F'!$C$11:$C$344,'SCH B-2.3 F'!$B65)</f>
        <v>0</v>
      </c>
      <c r="H65" s="88">
        <f t="shared" si="12"/>
        <v>439670723.47999996</v>
      </c>
      <c r="I65" s="88">
        <f>SUMIFS('PIS F'!$Q$11:$Q$344,'PIS F'!$C$11:$C$344,'SCH B-2.3 F'!$B65)</f>
        <v>420283162.75153846</v>
      </c>
    </row>
    <row r="66" spans="1:9" ht="18.95" customHeight="1">
      <c r="A66" s="70">
        <f t="shared" si="0"/>
        <v>39</v>
      </c>
      <c r="B66" s="71" t="s">
        <v>1660</v>
      </c>
      <c r="C66" s="78" t="s">
        <v>1661</v>
      </c>
      <c r="D66" s="88">
        <f>SUMIFS('PIS F'!$E$11:$E$344,'PIS F'!$C$11:$C$344,'SCH B-2.3 F'!$B66)</f>
        <v>77967975.879999995</v>
      </c>
      <c r="E66" s="88">
        <f>SUMIFS('PIS F'!$G$11:$G$344,'PIS F'!$C$11:$C$344,'SCH B-2.3 F'!$B66)</f>
        <v>0</v>
      </c>
      <c r="F66" s="88">
        <f>SUMIFS('PIS F'!$I$11:$I$344,'PIS F'!$C$11:$C$344,'SCH B-2.3 F'!$B66)</f>
        <v>0</v>
      </c>
      <c r="G66" s="88">
        <f>SUMIFS('PIS F'!$K$11:$K$344,'PIS F'!$C$11:$C$344,'SCH B-2.3 F'!$B66)</f>
        <v>0</v>
      </c>
      <c r="H66" s="88">
        <f t="shared" si="12"/>
        <v>77967975.879999995</v>
      </c>
      <c r="I66" s="88">
        <f>SUMIFS('PIS F'!$Q$11:$Q$344,'PIS F'!$C$11:$C$344,'SCH B-2.3 F'!$B66)</f>
        <v>77967975.87999998</v>
      </c>
    </row>
    <row r="67" spans="1:9" ht="18.95" customHeight="1">
      <c r="A67" s="70">
        <f t="shared" si="0"/>
        <v>40</v>
      </c>
      <c r="B67" s="71" t="s">
        <v>1662</v>
      </c>
      <c r="C67" s="78" t="s">
        <v>1663</v>
      </c>
      <c r="D67" s="88">
        <f>SUMIFS('PIS F'!$E$11:$E$344,'PIS F'!$C$11:$C$344,'SCH B-2.3 F'!$B67)</f>
        <v>558140903.24000001</v>
      </c>
      <c r="E67" s="88">
        <f>SUMIFS('PIS F'!$G$11:$G$344,'PIS F'!$C$11:$C$344,'SCH B-2.3 F'!$B67)</f>
        <v>85715045.319999889</v>
      </c>
      <c r="F67" s="88">
        <f>SUMIFS('PIS F'!$I$11:$I$344,'PIS F'!$C$11:$C$344,'SCH B-2.3 F'!$B67)</f>
        <v>-2858364.609999998</v>
      </c>
      <c r="G67" s="88">
        <f>SUMIFS('PIS F'!$K$11:$K$344,'PIS F'!$C$11:$C$344,'SCH B-2.3 F'!$B67)</f>
        <v>0</v>
      </c>
      <c r="H67" s="88">
        <f t="shared" si="12"/>
        <v>640997583.94999993</v>
      </c>
      <c r="I67" s="88">
        <f>SUMIFS('PIS F'!$Q$11:$Q$344,'PIS F'!$C$11:$C$344,'SCH B-2.3 F'!$B67)</f>
        <v>589273999.1007688</v>
      </c>
    </row>
    <row r="68" spans="1:9" ht="18.95" customHeight="1">
      <c r="A68" s="70">
        <f t="shared" si="0"/>
        <v>41</v>
      </c>
      <c r="B68" s="71" t="s">
        <v>1664</v>
      </c>
      <c r="C68" s="78" t="s">
        <v>1665</v>
      </c>
      <c r="D68" s="88">
        <f>SUMIFS('PIS F'!$E$11:$E$344,'PIS F'!$C$11:$C$344,'SCH B-2.3 F'!$B68)</f>
        <v>258277543.99000001</v>
      </c>
      <c r="E68" s="88">
        <f>SUMIFS('PIS F'!$G$11:$G$344,'PIS F'!$C$11:$C$344,'SCH B-2.3 F'!$B68)</f>
        <v>11007463.98</v>
      </c>
      <c r="F68" s="88">
        <f>SUMIFS('PIS F'!$I$11:$I$344,'PIS F'!$C$11:$C$344,'SCH B-2.3 F'!$B68)</f>
        <v>-1569201.21</v>
      </c>
      <c r="G68" s="88">
        <f>SUMIFS('PIS F'!$K$11:$K$344,'PIS F'!$C$11:$C$344,'SCH B-2.3 F'!$B68)</f>
        <v>0</v>
      </c>
      <c r="H68" s="88">
        <f t="shared" si="12"/>
        <v>267715806.76000002</v>
      </c>
      <c r="I68" s="88">
        <f>SUMIFS('PIS F'!$Q$11:$Q$344,'PIS F'!$C$11:$C$344,'SCH B-2.3 F'!$B68)</f>
        <v>260534291.44615331</v>
      </c>
    </row>
    <row r="69" spans="1:9" ht="18.95" customHeight="1">
      <c r="A69" s="70">
        <f t="shared" si="0"/>
        <v>42</v>
      </c>
      <c r="B69" s="71" t="s">
        <v>1666</v>
      </c>
      <c r="C69" s="78" t="s">
        <v>1667</v>
      </c>
      <c r="D69" s="88">
        <f>SUMIFS('PIS F'!$E$11:$E$344,'PIS F'!$C$11:$C$344,'SCH B-2.3 F'!$B69)</f>
        <v>618493.81000000006</v>
      </c>
      <c r="E69" s="88">
        <f>SUMIFS('PIS F'!$G$11:$G$344,'PIS F'!$C$11:$C$344,'SCH B-2.3 F'!$B69)</f>
        <v>0</v>
      </c>
      <c r="F69" s="88">
        <f>SUMIFS('PIS F'!$I$11:$I$344,'PIS F'!$C$11:$C$344,'SCH B-2.3 F'!$B69)</f>
        <v>0</v>
      </c>
      <c r="G69" s="88">
        <f>SUMIFS('PIS F'!$K$11:$K$344,'PIS F'!$C$11:$C$344,'SCH B-2.3 F'!$B69)</f>
        <v>0</v>
      </c>
      <c r="H69" s="88">
        <f t="shared" si="12"/>
        <v>618493.81000000006</v>
      </c>
      <c r="I69" s="88">
        <f>SUMIFS('PIS F'!$Q$11:$Q$344,'PIS F'!$C$11:$C$344,'SCH B-2.3 F'!$B69)</f>
        <v>618493.81000000006</v>
      </c>
    </row>
    <row r="70" spans="1:9" ht="18.95" customHeight="1">
      <c r="A70" s="70">
        <f t="shared" si="0"/>
        <v>43</v>
      </c>
      <c r="B70" s="71" t="s">
        <v>1668</v>
      </c>
      <c r="C70" s="78" t="s">
        <v>1669</v>
      </c>
      <c r="D70" s="88">
        <f>SUMIFS('PIS F'!$E$11:$E$344,'PIS F'!$C$11:$C$344,'SCH B-2.3 F'!$B70)</f>
        <v>1235015.17</v>
      </c>
      <c r="E70" s="88">
        <f>SUMIFS('PIS F'!$G$11:$G$344,'PIS F'!$C$11:$C$344,'SCH B-2.3 F'!$B70)</f>
        <v>0</v>
      </c>
      <c r="F70" s="88">
        <f>SUMIFS('PIS F'!$I$11:$I$344,'PIS F'!$C$11:$C$344,'SCH B-2.3 F'!$B70)</f>
        <v>0</v>
      </c>
      <c r="G70" s="88">
        <f>SUMIFS('PIS F'!$K$11:$K$344,'PIS F'!$C$11:$C$344,'SCH B-2.3 F'!$B70)</f>
        <v>0</v>
      </c>
      <c r="H70" s="88">
        <f t="shared" si="12"/>
        <v>1235015.17</v>
      </c>
      <c r="I70" s="88">
        <f>SUMIFS('PIS F'!$Q$11:$Q$344,'PIS F'!$C$11:$C$344,'SCH B-2.3 F'!$B70)</f>
        <v>1235015.1700000002</v>
      </c>
    </row>
    <row r="71" spans="1:9" ht="18.95" customHeight="1">
      <c r="A71" s="70">
        <f t="shared" si="0"/>
        <v>44</v>
      </c>
      <c r="B71" s="71" t="s">
        <v>1670</v>
      </c>
      <c r="C71" s="78" t="s">
        <v>152</v>
      </c>
      <c r="D71" s="89">
        <f>SUMIFS('PIS F'!$E$11:$E$344,'PIS F'!$C$11:$C$344,'SCH B-2.3 F'!$B71)</f>
        <v>254317.41</v>
      </c>
      <c r="E71" s="89">
        <f>SUMIFS('PIS F'!$G$11:$G$344,'PIS F'!$C$11:$C$344,'SCH B-2.3 F'!$B71)</f>
        <v>0</v>
      </c>
      <c r="F71" s="89">
        <f>SUMIFS('PIS F'!$I$11:$I$344,'PIS F'!$C$11:$C$344,'SCH B-2.3 F'!$B71)</f>
        <v>0</v>
      </c>
      <c r="G71" s="89">
        <f>SUMIFS('PIS F'!$K$11:$K$344,'PIS F'!$C$11:$C$344,'SCH B-2.3 F'!$B71)</f>
        <v>0</v>
      </c>
      <c r="H71" s="89">
        <f t="shared" si="12"/>
        <v>254317.41</v>
      </c>
      <c r="I71" s="89">
        <f>SUMIFS('PIS F'!$Q$11:$Q$344,'PIS F'!$C$11:$C$344,'SCH B-2.3 F'!$B71)</f>
        <v>254317.41000000009</v>
      </c>
    </row>
    <row r="72" spans="1:9" ht="18.95" customHeight="1">
      <c r="A72" s="70">
        <f t="shared" si="0"/>
        <v>45</v>
      </c>
      <c r="C72" s="78" t="s">
        <v>150</v>
      </c>
      <c r="D72" s="86">
        <f>SUM(D63:D71)</f>
        <v>1361263870.8299999</v>
      </c>
      <c r="E72" s="86">
        <f t="shared" ref="E72:I72" si="13">SUM(E63:E71)</f>
        <v>148807025.40999985</v>
      </c>
      <c r="F72" s="86">
        <f t="shared" si="13"/>
        <v>-7400163.8699999982</v>
      </c>
      <c r="G72" s="86">
        <f t="shared" si="13"/>
        <v>0</v>
      </c>
      <c r="H72" s="86">
        <f t="shared" si="13"/>
        <v>1502670732.3699999</v>
      </c>
      <c r="I72" s="86">
        <f t="shared" si="13"/>
        <v>1420217310.4584608</v>
      </c>
    </row>
    <row r="73" spans="1:9" ht="18.95" customHeight="1">
      <c r="A73" s="70"/>
      <c r="B73" s="71"/>
    </row>
    <row r="74" spans="1:9" ht="18.95" customHeight="1">
      <c r="A74" s="70">
        <f>A72+1</f>
        <v>46</v>
      </c>
      <c r="B74" s="71" t="s">
        <v>250</v>
      </c>
      <c r="C74" s="90" t="s">
        <v>16</v>
      </c>
    </row>
    <row r="75" spans="1:9" ht="18.95" customHeight="1">
      <c r="A75" s="70">
        <f t="shared" si="0"/>
        <v>47</v>
      </c>
      <c r="B75" s="71" t="s">
        <v>1671</v>
      </c>
      <c r="C75" s="78" t="s">
        <v>154</v>
      </c>
      <c r="D75" s="88">
        <f>SUMIFS('PIS F'!$E$11:$E$344,'PIS F'!$C$11:$C$344,'SCH B-2.3 F'!$B75)</f>
        <v>9235859.1500000004</v>
      </c>
      <c r="E75" s="88">
        <f>SUMIFS('PIS F'!$G$11:$G$344,'PIS F'!$C$11:$C$344,'SCH B-2.3 F'!$B75)</f>
        <v>500000</v>
      </c>
      <c r="F75" s="88">
        <f>SUMIFS('PIS F'!$I$11:$I$344,'PIS F'!$C$11:$C$344,'SCH B-2.3 F'!$B75)</f>
        <v>0</v>
      </c>
      <c r="G75" s="88">
        <f>SUMIFS('PIS F'!$K$11:$K$344,'PIS F'!$C$11:$C$344,'SCH B-2.3 F'!$B75)</f>
        <v>0</v>
      </c>
      <c r="H75" s="88">
        <f t="shared" ref="H75:H87" si="14">SUM(D75:G75)</f>
        <v>9735859.1500000004</v>
      </c>
      <c r="I75" s="88">
        <f>SUMIFS('PIS F'!$Q$11:$Q$344,'PIS F'!$C$11:$C$344,'SCH B-2.3 F'!$B75)</f>
        <v>9505089.9192307685</v>
      </c>
    </row>
    <row r="76" spans="1:9" ht="18.95" customHeight="1">
      <c r="A76" s="70">
        <f t="shared" si="0"/>
        <v>48</v>
      </c>
      <c r="B76" s="71" t="s">
        <v>1672</v>
      </c>
      <c r="C76" s="78" t="s">
        <v>148</v>
      </c>
      <c r="D76" s="88">
        <f>SUMIFS('PIS F'!$E$11:$E$344,'PIS F'!$C$11:$C$344,'SCH B-2.3 F'!$B76)</f>
        <v>31039061.329999883</v>
      </c>
      <c r="E76" s="88">
        <f>SUMIFS('PIS F'!$G$11:$G$344,'PIS F'!$C$11:$C$344,'SCH B-2.3 F'!$B76)</f>
        <v>1057566.2499999998</v>
      </c>
      <c r="F76" s="88">
        <f>SUMIFS('PIS F'!$I$11:$I$344,'PIS F'!$C$11:$C$344,'SCH B-2.3 F'!$B76)</f>
        <v>0</v>
      </c>
      <c r="G76" s="88">
        <f>SUMIFS('PIS F'!$K$11:$K$344,'PIS F'!$C$11:$C$344,'SCH B-2.3 F'!$B76)</f>
        <v>0</v>
      </c>
      <c r="H76" s="88">
        <f t="shared" si="14"/>
        <v>32096627.579999883</v>
      </c>
      <c r="I76" s="88">
        <f>SUMIFS('PIS F'!$Q$11:$Q$344,'PIS F'!$C$11:$C$344,'SCH B-2.3 F'!$B76)</f>
        <v>31476052.39923064</v>
      </c>
    </row>
    <row r="77" spans="1:9" ht="18.95" customHeight="1">
      <c r="A77" s="70">
        <f t="shared" si="0"/>
        <v>49</v>
      </c>
      <c r="B77" s="71" t="s">
        <v>1673</v>
      </c>
      <c r="C77" s="78" t="s">
        <v>1674</v>
      </c>
      <c r="D77" s="88">
        <f>SUMIFS('PIS F'!$E$11:$E$344,'PIS F'!$C$11:$C$344,'SCH B-2.3 F'!$B77)</f>
        <v>296655844.59999996</v>
      </c>
      <c r="E77" s="88">
        <f>SUMIFS('PIS F'!$G$11:$G$344,'PIS F'!$C$11:$C$344,'SCH B-2.3 F'!$B77)</f>
        <v>35078357.599999994</v>
      </c>
      <c r="F77" s="88">
        <f>SUMIFS('PIS F'!$I$11:$I$344,'PIS F'!$C$11:$C$344,'SCH B-2.3 F'!$B77)</f>
        <v>-1388246.1800000004</v>
      </c>
      <c r="G77" s="88">
        <f>SUMIFS('PIS F'!$K$11:$K$344,'PIS F'!$C$11:$C$344,'SCH B-2.3 F'!$B77)</f>
        <v>0</v>
      </c>
      <c r="H77" s="88">
        <f t="shared" si="14"/>
        <v>330345956.01999992</v>
      </c>
      <c r="I77" s="88">
        <f>SUMIFS('PIS F'!$Q$11:$Q$344,'PIS F'!$C$11:$C$344,'SCH B-2.3 F'!$B77)</f>
        <v>314407563.35461539</v>
      </c>
    </row>
    <row r="78" spans="1:9" ht="18.95" customHeight="1">
      <c r="A78" s="70">
        <f t="shared" ref="A78:A88" si="15">A77+1</f>
        <v>50</v>
      </c>
      <c r="B78" s="71" t="s">
        <v>1675</v>
      </c>
      <c r="C78" s="78" t="s">
        <v>1676</v>
      </c>
      <c r="D78" s="88">
        <f>SUMIFS('PIS F'!$E$11:$E$344,'PIS F'!$C$11:$C$344,'SCH B-2.3 F'!$B78)</f>
        <v>475035862.96999902</v>
      </c>
      <c r="E78" s="88">
        <f>SUMIFS('PIS F'!$G$11:$G$344,'PIS F'!$C$11:$C$344,'SCH B-2.3 F'!$B78)</f>
        <v>18499218.179999966</v>
      </c>
      <c r="F78" s="88">
        <f>SUMIFS('PIS F'!$I$11:$I$344,'PIS F'!$C$11:$C$344,'SCH B-2.3 F'!$B78)</f>
        <v>-1688376.0700000003</v>
      </c>
      <c r="G78" s="88">
        <f>SUMIFS('PIS F'!$K$11:$K$344,'PIS F'!$C$11:$C$344,'SCH B-2.3 F'!$B78)</f>
        <v>0</v>
      </c>
      <c r="H78" s="88">
        <f t="shared" si="14"/>
        <v>491846705.07999897</v>
      </c>
      <c r="I78" s="88">
        <f>SUMIFS('PIS F'!$Q$11:$Q$344,'PIS F'!$C$11:$C$344,'SCH B-2.3 F'!$B78)</f>
        <v>483063902.27999967</v>
      </c>
    </row>
    <row r="79" spans="1:9" ht="18.95" customHeight="1">
      <c r="A79" s="70">
        <f t="shared" si="15"/>
        <v>51</v>
      </c>
      <c r="B79" s="71" t="s">
        <v>1677</v>
      </c>
      <c r="C79" s="78" t="s">
        <v>1665</v>
      </c>
      <c r="D79" s="88">
        <f>SUMIFS('PIS F'!$E$11:$E$344,'PIS F'!$C$11:$C$344,'SCH B-2.3 F'!$B79)</f>
        <v>490380919.64999896</v>
      </c>
      <c r="E79" s="88">
        <f>SUMIFS('PIS F'!$G$11:$G$344,'PIS F'!$C$11:$C$344,'SCH B-2.3 F'!$B79)</f>
        <v>36736714.60999997</v>
      </c>
      <c r="F79" s="88">
        <f>SUMIFS('PIS F'!$I$11:$I$344,'PIS F'!$C$11:$C$344,'SCH B-2.3 F'!$B79)</f>
        <v>-8132221.79</v>
      </c>
      <c r="G79" s="88">
        <f>SUMIFS('PIS F'!$K$11:$K$344,'PIS F'!$C$11:$C$344,'SCH B-2.3 F'!$B79)</f>
        <v>0</v>
      </c>
      <c r="H79" s="88">
        <f t="shared" si="14"/>
        <v>518985412.4699989</v>
      </c>
      <c r="I79" s="88">
        <f>SUMIFS('PIS F'!$Q$11:$Q$344,'PIS F'!$C$11:$C$344,'SCH B-2.3 F'!$B79)</f>
        <v>504065398.1961531</v>
      </c>
    </row>
    <row r="80" spans="1:9" ht="18.95" customHeight="1">
      <c r="A80" s="70">
        <f t="shared" si="15"/>
        <v>52</v>
      </c>
      <c r="B80" s="71" t="s">
        <v>1678</v>
      </c>
      <c r="C80" s="78" t="s">
        <v>1667</v>
      </c>
      <c r="D80" s="88">
        <f>SUMIFS('PIS F'!$E$11:$E$344,'PIS F'!$C$11:$C$344,'SCH B-2.3 F'!$B80)</f>
        <v>2524144.5199999991</v>
      </c>
      <c r="E80" s="88">
        <f>SUMIFS('PIS F'!$G$11:$G$344,'PIS F'!$C$11:$C$344,'SCH B-2.3 F'!$B80)</f>
        <v>0</v>
      </c>
      <c r="F80" s="88">
        <f>SUMIFS('PIS F'!$I$11:$I$344,'PIS F'!$C$11:$C$344,'SCH B-2.3 F'!$B80)</f>
        <v>0</v>
      </c>
      <c r="G80" s="88">
        <f>SUMIFS('PIS F'!$K$11:$K$344,'PIS F'!$C$11:$C$344,'SCH B-2.3 F'!$B80)</f>
        <v>0</v>
      </c>
      <c r="H80" s="88">
        <f t="shared" si="14"/>
        <v>2524144.5199999991</v>
      </c>
      <c r="I80" s="88">
        <f>SUMIFS('PIS F'!$Q$11:$Q$344,'PIS F'!$C$11:$C$344,'SCH B-2.3 F'!$B80)</f>
        <v>2524144.5200000009</v>
      </c>
    </row>
    <row r="81" spans="1:9" ht="18.95" customHeight="1">
      <c r="A81" s="70">
        <f t="shared" si="15"/>
        <v>53</v>
      </c>
      <c r="B81" s="71" t="s">
        <v>1679</v>
      </c>
      <c r="C81" s="78" t="s">
        <v>1669</v>
      </c>
      <c r="D81" s="88">
        <f>SUMIFS('PIS F'!$E$11:$E$344,'PIS F'!$C$11:$C$344,'SCH B-2.3 F'!$B81)</f>
        <v>240922511.859999</v>
      </c>
      <c r="E81" s="88">
        <f>SUMIFS('PIS F'!$G$11:$G$344,'PIS F'!$C$11:$C$344,'SCH B-2.3 F'!$B81)</f>
        <v>18837714.449999973</v>
      </c>
      <c r="F81" s="88">
        <f>SUMIFS('PIS F'!$I$11:$I$344,'PIS F'!$C$11:$C$344,'SCH B-2.3 F'!$B81)</f>
        <v>0</v>
      </c>
      <c r="G81" s="88">
        <f>SUMIFS('PIS F'!$K$11:$K$344,'PIS F'!$C$11:$C$344,'SCH B-2.3 F'!$B81)</f>
        <v>0</v>
      </c>
      <c r="H81" s="88">
        <f t="shared" si="14"/>
        <v>259760226.30999899</v>
      </c>
      <c r="I81" s="88">
        <f>SUMIFS('PIS F'!$Q$11:$Q$344,'PIS F'!$C$11:$C$344,'SCH B-2.3 F'!$B81)</f>
        <v>250550060.07384515</v>
      </c>
    </row>
    <row r="82" spans="1:9" ht="18.95" customHeight="1">
      <c r="A82" s="70">
        <f t="shared" si="15"/>
        <v>54</v>
      </c>
      <c r="B82" s="71" t="s">
        <v>1680</v>
      </c>
      <c r="C82" s="78" t="s">
        <v>1681</v>
      </c>
      <c r="D82" s="88">
        <f>SUMIFS('PIS F'!$E$11:$E$344,'PIS F'!$C$11:$C$344,'SCH B-2.3 F'!$B82)</f>
        <v>334937631.799999</v>
      </c>
      <c r="E82" s="88">
        <f>SUMIFS('PIS F'!$G$11:$G$344,'PIS F'!$C$11:$C$344,'SCH B-2.3 F'!$B82)</f>
        <v>8941819.9799999986</v>
      </c>
      <c r="F82" s="88">
        <f>SUMIFS('PIS F'!$I$11:$I$344,'PIS F'!$C$11:$C$344,'SCH B-2.3 F'!$B82)</f>
        <v>-3145000.3799999976</v>
      </c>
      <c r="G82" s="88">
        <f>SUMIFS('PIS F'!$K$11:$K$344,'PIS F'!$C$11:$C$344,'SCH B-2.3 F'!$B82)</f>
        <v>0</v>
      </c>
      <c r="H82" s="88">
        <f t="shared" si="14"/>
        <v>340734451.39999902</v>
      </c>
      <c r="I82" s="88">
        <f>SUMIFS('PIS F'!$Q$11:$Q$344,'PIS F'!$C$11:$C$344,'SCH B-2.3 F'!$B82)</f>
        <v>337620038.88846052</v>
      </c>
    </row>
    <row r="83" spans="1:9" ht="18.95" customHeight="1">
      <c r="A83" s="70">
        <f t="shared" si="15"/>
        <v>55</v>
      </c>
      <c r="B83" s="71" t="s">
        <v>1682</v>
      </c>
      <c r="C83" s="78" t="s">
        <v>1683</v>
      </c>
      <c r="D83" s="88">
        <f>SUMIFS('PIS F'!$E$11:$E$344,'PIS F'!$C$11:$C$344,'SCH B-2.3 F'!$B83)</f>
        <v>131204891.61999999</v>
      </c>
      <c r="E83" s="88">
        <f>SUMIFS('PIS F'!$G$11:$G$344,'PIS F'!$C$11:$C$344,'SCH B-2.3 F'!$B83)</f>
        <v>50000</v>
      </c>
      <c r="F83" s="88">
        <f>SUMIFS('PIS F'!$I$11:$I$344,'PIS F'!$C$11:$C$344,'SCH B-2.3 F'!$B83)</f>
        <v>0</v>
      </c>
      <c r="G83" s="88">
        <f>SUMIFS('PIS F'!$K$11:$K$344,'PIS F'!$C$11:$C$344,'SCH B-2.3 F'!$B83)</f>
        <v>0</v>
      </c>
      <c r="H83" s="88">
        <f t="shared" si="14"/>
        <v>131254891.61999999</v>
      </c>
      <c r="I83" s="88">
        <f>SUMIFS('PIS F'!$Q$11:$Q$344,'PIS F'!$C$11:$C$344,'SCH B-2.3 F'!$B83)</f>
        <v>131251045.46615385</v>
      </c>
    </row>
    <row r="84" spans="1:9" ht="18.95" customHeight="1">
      <c r="A84" s="70">
        <f>A83+1</f>
        <v>56</v>
      </c>
      <c r="B84" s="71" t="s">
        <v>1684</v>
      </c>
      <c r="C84" s="78" t="s">
        <v>1685</v>
      </c>
      <c r="D84" s="88">
        <f>SUMIFS('PIS F'!$E$11:$E$344,'PIS F'!$C$11:$C$344,'SCH B-2.3 F'!$B84)</f>
        <v>81190287.439019889</v>
      </c>
      <c r="E84" s="88">
        <f>SUMIFS('PIS F'!$G$11:$G$344,'PIS F'!$C$11:$C$344,'SCH B-2.3 F'!$B84)</f>
        <v>1287571.26</v>
      </c>
      <c r="F84" s="88">
        <f>SUMIFS('PIS F'!$I$11:$I$344,'PIS F'!$C$11:$C$344,'SCH B-2.3 F'!$B84)</f>
        <v>-849268.40793999902</v>
      </c>
      <c r="G84" s="88">
        <f>SUMIFS('PIS F'!$K$11:$K$344,'PIS F'!$C$11:$C$344,'SCH B-2.3 F'!$B84)</f>
        <v>0</v>
      </c>
      <c r="H84" s="88">
        <f t="shared" si="14"/>
        <v>81628590.291079894</v>
      </c>
      <c r="I84" s="88">
        <f>SUMIFS('PIS F'!$Q$11:$Q$344,'PIS F'!$C$11:$C$344,'SCH B-2.3 F'!$B84)</f>
        <v>81388221.329111472</v>
      </c>
    </row>
    <row r="85" spans="1:9" ht="18.95" customHeight="1">
      <c r="A85" s="70">
        <f t="shared" si="15"/>
        <v>57</v>
      </c>
      <c r="B85" s="71" t="s">
        <v>1686</v>
      </c>
      <c r="C85" s="78" t="s">
        <v>1687</v>
      </c>
      <c r="D85" s="88">
        <f>SUMIFS('PIS F'!$E$11:$E$344,'PIS F'!$C$11:$C$344,'SCH B-2.3 F'!$B85)</f>
        <v>159233.81</v>
      </c>
      <c r="E85" s="88">
        <f>SUMIFS('PIS F'!$G$11:$G$344,'PIS F'!$C$11:$C$344,'SCH B-2.3 F'!$B85)</f>
        <v>0</v>
      </c>
      <c r="F85" s="88">
        <f>SUMIFS('PIS F'!$I$11:$I$344,'PIS F'!$C$11:$C$344,'SCH B-2.3 F'!$B85)</f>
        <v>0</v>
      </c>
      <c r="G85" s="88">
        <f>SUMIFS('PIS F'!$K$11:$K$344,'PIS F'!$C$11:$C$344,'SCH B-2.3 F'!$B85)</f>
        <v>0</v>
      </c>
      <c r="H85" s="88">
        <f t="shared" si="14"/>
        <v>159233.81</v>
      </c>
      <c r="I85" s="88">
        <f>SUMIFS('PIS F'!$Q$11:$Q$344,'PIS F'!$C$11:$C$344,'SCH B-2.3 F'!$B85)</f>
        <v>159233.80999999997</v>
      </c>
    </row>
    <row r="86" spans="1:9" ht="18.95" customHeight="1">
      <c r="A86" s="70">
        <f t="shared" si="15"/>
        <v>58</v>
      </c>
      <c r="B86" s="71" t="s">
        <v>1688</v>
      </c>
      <c r="C86" s="78" t="s">
        <v>1689</v>
      </c>
      <c r="D86" s="88">
        <f>SUMIFS('PIS F'!$E$11:$E$344,'PIS F'!$C$11:$C$344,'SCH B-2.3 F'!$B86)</f>
        <v>143610779.64999899</v>
      </c>
      <c r="E86" s="88">
        <f>SUMIFS('PIS F'!$G$11:$G$344,'PIS F'!$C$11:$C$344,'SCH B-2.3 F'!$B86)</f>
        <v>9781734.6599999964</v>
      </c>
      <c r="F86" s="88">
        <f>SUMIFS('PIS F'!$I$11:$I$344,'PIS F'!$C$11:$C$344,'SCH B-2.3 F'!$B86)</f>
        <v>-1862187.3899999997</v>
      </c>
      <c r="G86" s="88">
        <f>SUMIFS('PIS F'!$K$11:$K$344,'PIS F'!$C$11:$C$344,'SCH B-2.3 F'!$B86)</f>
        <v>0</v>
      </c>
      <c r="H86" s="88">
        <f t="shared" si="14"/>
        <v>151530326.919999</v>
      </c>
      <c r="I86" s="88">
        <f>SUMIFS('PIS F'!$Q$11:$Q$344,'PIS F'!$C$11:$C$344,'SCH B-2.3 F'!$B86)</f>
        <v>147331333.26076826</v>
      </c>
    </row>
    <row r="87" spans="1:9" ht="18.95" customHeight="1">
      <c r="A87" s="70">
        <f t="shared" si="15"/>
        <v>59</v>
      </c>
      <c r="B87" s="71" t="s">
        <v>1690</v>
      </c>
      <c r="C87" s="78" t="s">
        <v>151</v>
      </c>
      <c r="D87" s="89">
        <f>SUMIFS('PIS F'!$E$11:$E$344,'PIS F'!$C$11:$C$344,'SCH B-2.3 F'!$B87)</f>
        <v>510376.10000000003</v>
      </c>
      <c r="E87" s="89">
        <f>SUMIFS('PIS F'!$G$11:$G$344,'PIS F'!$C$11:$C$344,'SCH B-2.3 F'!$B87)</f>
        <v>0</v>
      </c>
      <c r="F87" s="89">
        <f>SUMIFS('PIS F'!$I$11:$I$344,'PIS F'!$C$11:$C$344,'SCH B-2.3 F'!$B87)</f>
        <v>0</v>
      </c>
      <c r="G87" s="89">
        <f>SUMIFS('PIS F'!$K$11:$K$344,'PIS F'!$C$11:$C$344,'SCH B-2.3 F'!$B87)</f>
        <v>0</v>
      </c>
      <c r="H87" s="89">
        <f t="shared" si="14"/>
        <v>510376.10000000003</v>
      </c>
      <c r="I87" s="89">
        <f>SUMIFS('PIS F'!$Q$11:$Q$344,'PIS F'!$C$11:$C$344,'SCH B-2.3 F'!$B87)</f>
        <v>510376.10000000009</v>
      </c>
    </row>
    <row r="88" spans="1:9" ht="18.95" customHeight="1">
      <c r="A88" s="70">
        <f t="shared" si="15"/>
        <v>60</v>
      </c>
      <c r="B88" s="71"/>
      <c r="C88" s="78" t="s">
        <v>153</v>
      </c>
      <c r="D88" s="86">
        <f>SUM(D75:D87)</f>
        <v>2237407404.4990144</v>
      </c>
      <c r="E88" s="86">
        <f t="shared" ref="E88:I88" si="16">SUM(E75:E87)</f>
        <v>130770696.98999991</v>
      </c>
      <c r="F88" s="86">
        <f t="shared" si="16"/>
        <v>-17065300.217939995</v>
      </c>
      <c r="G88" s="86">
        <f t="shared" si="16"/>
        <v>0</v>
      </c>
      <c r="H88" s="86">
        <f t="shared" si="16"/>
        <v>2351112801.2710743</v>
      </c>
      <c r="I88" s="86">
        <f t="shared" si="16"/>
        <v>2293852459.5975685</v>
      </c>
    </row>
    <row r="89" spans="1:9" ht="18.95" customHeight="1">
      <c r="A89" s="70"/>
      <c r="B89" s="71"/>
      <c r="C89" s="78"/>
      <c r="D89" s="86"/>
      <c r="E89" s="86"/>
      <c r="F89" s="86"/>
      <c r="G89" s="86"/>
      <c r="H89" s="86"/>
      <c r="I89" s="86"/>
    </row>
    <row r="90" spans="1:9" ht="18.95" customHeight="1">
      <c r="A90" s="70">
        <f>A88+1</f>
        <v>61</v>
      </c>
      <c r="C90" s="90" t="s">
        <v>32</v>
      </c>
    </row>
    <row r="91" spans="1:9" ht="18.95" customHeight="1">
      <c r="A91" s="70">
        <f t="shared" ref="A91:A112" si="17">A90+1</f>
        <v>62</v>
      </c>
      <c r="B91" s="71" t="s">
        <v>1692</v>
      </c>
      <c r="C91" s="78" t="s">
        <v>154</v>
      </c>
      <c r="D91" s="88">
        <f>SUMIFS('PIS F'!$E$11:$E$344,'PIS F'!$C$11:$C$344,'SCH B-2.3 F'!$B91)</f>
        <v>3587136.5</v>
      </c>
      <c r="E91" s="88">
        <f>SUMIFS('PIS F'!$G$11:$G$344,'PIS F'!$C$11:$C$344,'SCH B-2.3 F'!$B91)</f>
        <v>1075954.3699999999</v>
      </c>
      <c r="F91" s="88">
        <f>SUMIFS('PIS F'!$I$11:$I$344,'PIS F'!$C$11:$C$344,'SCH B-2.3 F'!$B91)</f>
        <v>0</v>
      </c>
      <c r="G91" s="88">
        <f>SUMIFS('PIS F'!$K$11:$K$344,'PIS F'!$C$11:$C$344,'SCH B-2.3 F'!$B91)</f>
        <v>0</v>
      </c>
      <c r="H91" s="88">
        <f t="shared" ref="H91:H111" si="18">SUM(D91:G91)</f>
        <v>4663090.87</v>
      </c>
      <c r="I91" s="88">
        <f>SUMIFS('PIS F'!$Q$11:$Q$344,'PIS F'!$C$11:$C$344,'SCH B-2.3 F'!$B91)</f>
        <v>4166496.5453846147</v>
      </c>
    </row>
    <row r="92" spans="1:9" ht="18.95" customHeight="1">
      <c r="A92" s="70">
        <f t="shared" si="17"/>
        <v>63</v>
      </c>
      <c r="B92" s="71" t="s">
        <v>1693</v>
      </c>
      <c r="C92" s="78" t="s">
        <v>148</v>
      </c>
      <c r="D92" s="88">
        <f>SUMIFS('PIS F'!$E$11:$E$344,'PIS F'!$C$11:$C$344,'SCH B-2.3 F'!$B92)</f>
        <v>99897285.109999985</v>
      </c>
      <c r="E92" s="88">
        <f>SUMIFS('PIS F'!$G$11:$G$344,'PIS F'!$C$11:$C$344,'SCH B-2.3 F'!$B92)</f>
        <v>12985034.570000002</v>
      </c>
      <c r="F92" s="88">
        <f>SUMIFS('PIS F'!$I$11:$I$344,'PIS F'!$C$11:$C$344,'SCH B-2.3 F'!$B92)</f>
        <v>0</v>
      </c>
      <c r="G92" s="88">
        <f>SUMIFS('PIS F'!$K$11:$K$344,'PIS F'!$C$11:$C$344,'SCH B-2.3 F'!$B92)</f>
        <v>0</v>
      </c>
      <c r="H92" s="88">
        <f t="shared" si="18"/>
        <v>112882319.67999999</v>
      </c>
      <c r="I92" s="88">
        <f>SUMIFS('PIS F'!$Q$11:$Q$344,'PIS F'!$C$11:$C$344,'SCH B-2.3 F'!$B92)</f>
        <v>107767567.20230767</v>
      </c>
    </row>
    <row r="93" spans="1:9" ht="18.95" customHeight="1">
      <c r="A93" s="70">
        <f t="shared" si="17"/>
        <v>64</v>
      </c>
      <c r="B93" s="71" t="s">
        <v>1694</v>
      </c>
      <c r="C93" s="78" t="s">
        <v>156</v>
      </c>
      <c r="D93" s="88">
        <f>SUMIFS('PIS F'!$E$11:$E$344,'PIS F'!$C$11:$C$344,'SCH B-2.3 F'!$B93)</f>
        <v>42856318.9799999</v>
      </c>
      <c r="E93" s="88">
        <f>SUMIFS('PIS F'!$G$11:$G$344,'PIS F'!$C$11:$C$344,'SCH B-2.3 F'!$B93)</f>
        <v>7346868.370000001</v>
      </c>
      <c r="F93" s="88">
        <f>SUMIFS('PIS F'!$I$11:$I$344,'PIS F'!$C$11:$C$344,'SCH B-2.3 F'!$B93)</f>
        <v>-4553956.57</v>
      </c>
      <c r="G93" s="88">
        <f>SUMIFS('PIS F'!$K$11:$K$344,'PIS F'!$C$11:$C$344,'SCH B-2.3 F'!$B93)</f>
        <v>0</v>
      </c>
      <c r="H93" s="88">
        <f t="shared" si="18"/>
        <v>45649230.779999904</v>
      </c>
      <c r="I93" s="88">
        <f>SUMIFS('PIS F'!$Q$11:$Q$344,'PIS F'!$C$11:$C$344,'SCH B-2.3 F'!$B93)</f>
        <v>44582199.950769179</v>
      </c>
    </row>
    <row r="94" spans="1:9" ht="18.95" customHeight="1">
      <c r="A94" s="70">
        <f t="shared" si="17"/>
        <v>65</v>
      </c>
      <c r="B94" s="71" t="s">
        <v>1695</v>
      </c>
      <c r="C94" s="78" t="s">
        <v>155</v>
      </c>
      <c r="D94" s="88">
        <f>SUMIFS('PIS F'!$E$11:$E$344,'PIS F'!$C$11:$C$344,'SCH B-2.3 F'!$B94)</f>
        <v>8654017</v>
      </c>
      <c r="E94" s="88">
        <f>SUMIFS('PIS F'!$G$11:$G$344,'PIS F'!$C$11:$C$344,'SCH B-2.3 F'!$B94)</f>
        <v>0</v>
      </c>
      <c r="F94" s="88">
        <f>SUMIFS('PIS F'!$I$11:$I$344,'PIS F'!$C$11:$C$344,'SCH B-2.3 F'!$B94)</f>
        <v>0</v>
      </c>
      <c r="G94" s="88">
        <f>SUMIFS('PIS F'!$K$11:$K$344,'PIS F'!$C$11:$C$344,'SCH B-2.3 F'!$B94)</f>
        <v>0</v>
      </c>
      <c r="H94" s="88">
        <f t="shared" si="18"/>
        <v>8654017</v>
      </c>
      <c r="I94" s="88">
        <f>SUMIFS('PIS F'!$Q$11:$Q$344,'PIS F'!$C$11:$C$344,'SCH B-2.3 F'!$B94)</f>
        <v>8654017</v>
      </c>
    </row>
    <row r="95" spans="1:9" ht="18.95" customHeight="1">
      <c r="A95" s="70">
        <f t="shared" si="17"/>
        <v>66</v>
      </c>
      <c r="B95" s="71" t="s">
        <v>1696</v>
      </c>
      <c r="C95" s="78" t="s">
        <v>1697</v>
      </c>
      <c r="D95" s="88">
        <f>SUMIFS('PIS F'!$E$11:$E$344,'PIS F'!$C$11:$C$344,'SCH B-2.3 F'!$B95)</f>
        <v>1039572.75999999</v>
      </c>
      <c r="E95" s="88">
        <f>SUMIFS('PIS F'!$G$11:$G$344,'PIS F'!$C$11:$C$344,'SCH B-2.3 F'!$B95)</f>
        <v>0</v>
      </c>
      <c r="F95" s="88">
        <f>SUMIFS('PIS F'!$I$11:$I$344,'PIS F'!$C$11:$C$344,'SCH B-2.3 F'!$B95)</f>
        <v>-13203</v>
      </c>
      <c r="G95" s="88">
        <f>SUMIFS('PIS F'!$K$11:$K$344,'PIS F'!$C$11:$C$344,'SCH B-2.3 F'!$B95)</f>
        <v>0</v>
      </c>
      <c r="H95" s="88">
        <f t="shared" si="18"/>
        <v>1026369.75999999</v>
      </c>
      <c r="I95" s="88">
        <f>SUMIFS('PIS F'!$Q$11:$Q$344,'PIS F'!$C$11:$C$344,'SCH B-2.3 F'!$B95)</f>
        <v>1028665.9292307595</v>
      </c>
    </row>
    <row r="96" spans="1:9" ht="18.95" customHeight="1">
      <c r="A96" s="70">
        <f t="shared" si="17"/>
        <v>67</v>
      </c>
      <c r="B96" s="71" t="s">
        <v>1698</v>
      </c>
      <c r="C96" s="78" t="s">
        <v>1699</v>
      </c>
      <c r="D96" s="88">
        <f>SUMIFS('PIS F'!$E$11:$E$344,'PIS F'!$C$11:$C$344,'SCH B-2.3 F'!$B96)</f>
        <v>17590495.969999999</v>
      </c>
      <c r="E96" s="88">
        <f>SUMIFS('PIS F'!$G$11:$G$344,'PIS F'!$C$11:$C$344,'SCH B-2.3 F'!$B96)</f>
        <v>2193075.5699999989</v>
      </c>
      <c r="F96" s="88">
        <f>SUMIFS('PIS F'!$I$11:$I$344,'PIS F'!$C$11:$C$344,'SCH B-2.3 F'!$B96)</f>
        <v>-246799.08999999994</v>
      </c>
      <c r="G96" s="88">
        <f>SUMIFS('PIS F'!$K$11:$K$344,'PIS F'!$C$11:$C$344,'SCH B-2.3 F'!$B96)</f>
        <v>0</v>
      </c>
      <c r="H96" s="88">
        <f t="shared" si="18"/>
        <v>19536772.449999999</v>
      </c>
      <c r="I96" s="88">
        <f>SUMIFS('PIS F'!$Q$11:$Q$344,'PIS F'!$C$11:$C$344,'SCH B-2.3 F'!$B96)</f>
        <v>18691643.190769225</v>
      </c>
    </row>
    <row r="97" spans="1:9" ht="18.95" customHeight="1">
      <c r="A97" s="70">
        <f t="shared" si="17"/>
        <v>68</v>
      </c>
      <c r="B97" s="71" t="s">
        <v>1700</v>
      </c>
      <c r="C97" s="78" t="s">
        <v>1701</v>
      </c>
      <c r="D97" s="88">
        <f>SUMIFS('PIS F'!$E$11:$E$344,'PIS F'!$C$11:$C$344,'SCH B-2.3 F'!$B97)</f>
        <v>0</v>
      </c>
      <c r="E97" s="88">
        <f>SUMIFS('PIS F'!$G$11:$G$344,'PIS F'!$C$11:$C$344,'SCH B-2.3 F'!$B97)</f>
        <v>0</v>
      </c>
      <c r="F97" s="88">
        <f>SUMIFS('PIS F'!$I$11:$I$344,'PIS F'!$C$11:$C$344,'SCH B-2.3 F'!$B97)</f>
        <v>0</v>
      </c>
      <c r="G97" s="88">
        <f>SUMIFS('PIS F'!$K$11:$K$344,'PIS F'!$C$11:$C$344,'SCH B-2.3 F'!$B97)</f>
        <v>0</v>
      </c>
      <c r="H97" s="88">
        <f t="shared" si="18"/>
        <v>0</v>
      </c>
      <c r="I97" s="88">
        <f>SUMIFS('PIS F'!$Q$11:$Q$344,'PIS F'!$C$11:$C$344,'SCH B-2.3 F'!$B97)</f>
        <v>0</v>
      </c>
    </row>
    <row r="98" spans="1:9" ht="18.95" customHeight="1">
      <c r="A98" s="70">
        <f>A97+1</f>
        <v>69</v>
      </c>
      <c r="B98" s="71" t="s">
        <v>1702</v>
      </c>
      <c r="C98" s="78" t="s">
        <v>1703</v>
      </c>
      <c r="D98" s="88">
        <f>SUMIFS('PIS F'!$E$11:$E$344,'PIS F'!$C$11:$C$344,'SCH B-2.3 F'!$B98)</f>
        <v>5841644.1200000001</v>
      </c>
      <c r="E98" s="88">
        <f>SUMIFS('PIS F'!$G$11:$G$344,'PIS F'!$C$11:$C$344,'SCH B-2.3 F'!$B98)</f>
        <v>0</v>
      </c>
      <c r="F98" s="88">
        <f>SUMIFS('PIS F'!$I$11:$I$344,'PIS F'!$C$11:$C$344,'SCH B-2.3 F'!$B98)</f>
        <v>0</v>
      </c>
      <c r="G98" s="88">
        <f>SUMIFS('PIS F'!$K$11:$K$344,'PIS F'!$C$11:$C$344,'SCH B-2.3 F'!$B98)</f>
        <v>0</v>
      </c>
      <c r="H98" s="88">
        <f t="shared" si="18"/>
        <v>5841644.1200000001</v>
      </c>
      <c r="I98" s="88">
        <f>SUMIFS('PIS F'!$Q$11:$Q$344,'PIS F'!$C$11:$C$344,'SCH B-2.3 F'!$B98)</f>
        <v>5841644.1200000001</v>
      </c>
    </row>
    <row r="99" spans="1:9" ht="18.95" customHeight="1">
      <c r="A99" s="70">
        <f t="shared" si="17"/>
        <v>70</v>
      </c>
      <c r="B99" s="71" t="s">
        <v>1704</v>
      </c>
      <c r="C99" s="78" t="s">
        <v>157</v>
      </c>
      <c r="D99" s="88">
        <f>SUMIFS('PIS F'!$E$11:$E$344,'PIS F'!$C$11:$C$344,'SCH B-2.3 F'!$B99)</f>
        <v>74750127.729999989</v>
      </c>
      <c r="E99" s="88">
        <f>SUMIFS('PIS F'!$G$11:$G$344,'PIS F'!$C$11:$C$344,'SCH B-2.3 F'!$B99)</f>
        <v>5666334.29</v>
      </c>
      <c r="F99" s="88">
        <f>SUMIFS('PIS F'!$I$11:$I$344,'PIS F'!$C$11:$C$344,'SCH B-2.3 F'!$B99)</f>
        <v>0</v>
      </c>
      <c r="G99" s="88">
        <f>SUMIFS('PIS F'!$K$11:$K$344,'PIS F'!$C$11:$C$344,'SCH B-2.3 F'!$B99)</f>
        <v>0</v>
      </c>
      <c r="H99" s="88">
        <f t="shared" si="18"/>
        <v>80416462.019999996</v>
      </c>
      <c r="I99" s="88">
        <f>SUMIFS('PIS F'!$Q$11:$Q$344,'PIS F'!$C$11:$C$344,'SCH B-2.3 F'!$B99)</f>
        <v>77188486.298461422</v>
      </c>
    </row>
    <row r="100" spans="1:9" s="68" customFormat="1" ht="20.100000000000001" customHeight="1">
      <c r="A100" s="809" t="str">
        <f>$A$1</f>
        <v>KENTUCKY UTILITIES COMPANY</v>
      </c>
      <c r="B100" s="809"/>
      <c r="C100" s="809"/>
      <c r="D100" s="809"/>
      <c r="E100" s="809"/>
      <c r="F100" s="809"/>
      <c r="G100" s="809"/>
      <c r="H100" s="809"/>
      <c r="I100" s="809"/>
    </row>
    <row r="101" spans="1:9" s="68" customFormat="1" ht="20.100000000000001" customHeight="1">
      <c r="A101" s="809" t="str">
        <f>$A$2</f>
        <v>CASE NO. 2020-00349</v>
      </c>
      <c r="B101" s="809"/>
      <c r="C101" s="809"/>
      <c r="D101" s="809"/>
      <c r="E101" s="809"/>
      <c r="F101" s="809"/>
      <c r="G101" s="809"/>
      <c r="H101" s="809"/>
      <c r="I101" s="809"/>
    </row>
    <row r="102" spans="1:9" s="68" customFormat="1" ht="20.100000000000001" customHeight="1">
      <c r="A102" s="809" t="str">
        <f>$A$3</f>
        <v>GROSS ADDITIONS, RETIREMENTS, AND TRANSFERS</v>
      </c>
      <c r="B102" s="809"/>
      <c r="C102" s="809"/>
      <c r="D102" s="809"/>
      <c r="E102" s="809"/>
      <c r="F102" s="809"/>
      <c r="G102" s="809"/>
      <c r="H102" s="809"/>
      <c r="I102" s="809"/>
    </row>
    <row r="103" spans="1:9" s="68" customFormat="1" ht="20.100000000000001" customHeight="1">
      <c r="A103" s="808" t="str">
        <f>$A$4</f>
        <v>FROM JULY 1, 2021 TO JUNE 30, 2022</v>
      </c>
      <c r="B103" s="808"/>
      <c r="C103" s="808"/>
      <c r="D103" s="808"/>
      <c r="E103" s="808"/>
      <c r="F103" s="808"/>
      <c r="G103" s="808"/>
      <c r="H103" s="808"/>
      <c r="I103" s="808"/>
    </row>
    <row r="104" spans="1:9" s="68" customFormat="1" ht="20.100000000000001" customHeight="1">
      <c r="A104" s="84"/>
      <c r="B104" s="84"/>
      <c r="C104" s="84"/>
      <c r="D104" s="84"/>
      <c r="E104" s="84"/>
      <c r="F104" s="84"/>
      <c r="G104" s="84"/>
      <c r="H104" s="84"/>
      <c r="I104" s="84"/>
    </row>
    <row r="105" spans="1:9" s="68" customFormat="1" ht="20.100000000000001" customHeight="1">
      <c r="A105" s="67" t="str">
        <f>$A$6</f>
        <v>DATA:____BASE  PERIOD__X__FORECASTED  PERIOD</v>
      </c>
      <c r="B105" s="67"/>
      <c r="G105" s="74"/>
      <c r="H105" s="74"/>
      <c r="I105" s="75" t="str">
        <f>$I$6</f>
        <v>SCHEDULE B-2.3</v>
      </c>
    </row>
    <row r="106" spans="1:9" s="68" customFormat="1" ht="20.100000000000001" customHeight="1">
      <c r="A106" s="67" t="str">
        <f>$A$7</f>
        <v>TYPE OF FILING: __X__ ORIGINAL  _____ UPDATED  _____ REVISED</v>
      </c>
      <c r="G106" s="74"/>
      <c r="H106" s="74"/>
      <c r="I106" s="74" t="s">
        <v>169</v>
      </c>
    </row>
    <row r="107" spans="1:9" s="68" customFormat="1" ht="20.100000000000001" customHeight="1">
      <c r="A107" s="67" t="str">
        <f>$A$8</f>
        <v>WORKPAPER REFERENCE NO(S).:</v>
      </c>
      <c r="B107" s="67"/>
      <c r="F107" s="67"/>
      <c r="G107" s="75"/>
      <c r="H107" s="75"/>
      <c r="I107" s="75" t="str">
        <f>$I$8</f>
        <v>WITNESS:   C. M. GARRETT</v>
      </c>
    </row>
    <row r="108" spans="1:9" s="68" customFormat="1" ht="20.100000000000001" customHeight="1"/>
    <row r="109" spans="1:9" ht="65.099999999999994" customHeight="1">
      <c r="A109" s="76" t="s">
        <v>131</v>
      </c>
      <c r="B109" s="76" t="s">
        <v>134</v>
      </c>
      <c r="C109" s="79" t="s">
        <v>135</v>
      </c>
      <c r="D109" s="76" t="s">
        <v>162</v>
      </c>
      <c r="E109" s="76" t="s">
        <v>137</v>
      </c>
      <c r="F109" s="76" t="s">
        <v>138</v>
      </c>
      <c r="G109" s="76" t="s">
        <v>140</v>
      </c>
      <c r="H109" s="76" t="s">
        <v>163</v>
      </c>
      <c r="I109" s="76" t="s">
        <v>3751</v>
      </c>
    </row>
    <row r="110" spans="1:9" ht="23.1" customHeight="1">
      <c r="A110" s="80"/>
      <c r="B110" s="80"/>
      <c r="C110" s="81"/>
      <c r="D110" s="82" t="s">
        <v>142</v>
      </c>
      <c r="E110" s="82" t="s">
        <v>142</v>
      </c>
      <c r="F110" s="82" t="s">
        <v>142</v>
      </c>
      <c r="G110" s="82" t="s">
        <v>142</v>
      </c>
      <c r="H110" s="82" t="s">
        <v>142</v>
      </c>
      <c r="I110" s="82" t="s">
        <v>142</v>
      </c>
    </row>
    <row r="111" spans="1:9" ht="18.95" customHeight="1">
      <c r="A111" s="70">
        <f>A99+1</f>
        <v>71</v>
      </c>
      <c r="B111" s="71" t="s">
        <v>1705</v>
      </c>
      <c r="C111" s="78" t="s">
        <v>1706</v>
      </c>
      <c r="D111" s="89">
        <f>SUMIFS('PIS F'!$E$11:$E$344,'PIS F'!$C$11:$C$344,'SCH B-2.3 F'!$B111)</f>
        <v>0</v>
      </c>
      <c r="E111" s="89">
        <f>SUMIFS('PIS F'!$G$11:$G$344,'PIS F'!$C$11:$C$344,'SCH B-2.3 F'!$B111)</f>
        <v>0</v>
      </c>
      <c r="F111" s="89">
        <f>SUMIFS('PIS F'!$I$11:$I$344,'PIS F'!$C$11:$C$344,'SCH B-2.3 F'!$B111)</f>
        <v>0</v>
      </c>
      <c r="G111" s="89">
        <f>SUMIFS('PIS F'!$K$11:$K$344,'PIS F'!$C$11:$C$344,'SCH B-2.3 F'!$B111)</f>
        <v>0</v>
      </c>
      <c r="H111" s="89">
        <f t="shared" si="18"/>
        <v>0</v>
      </c>
      <c r="I111" s="89">
        <f>SUMIFS('PIS F'!$Q$11:$Q$344,'PIS F'!$C$11:$C$344,'SCH B-2.3 F'!$B111)</f>
        <v>0</v>
      </c>
    </row>
    <row r="112" spans="1:9" ht="18.95" customHeight="1">
      <c r="A112" s="70">
        <f t="shared" si="17"/>
        <v>72</v>
      </c>
      <c r="B112" s="71"/>
      <c r="C112" s="78" t="s">
        <v>158</v>
      </c>
      <c r="D112" s="86">
        <f>SUM(D91:D99,D111)</f>
        <v>254216598.16999987</v>
      </c>
      <c r="E112" s="86">
        <f t="shared" ref="E112:I112" si="19">SUM(E91:E99,E111)</f>
        <v>29267267.170000002</v>
      </c>
      <c r="F112" s="86">
        <f t="shared" si="19"/>
        <v>-4813958.66</v>
      </c>
      <c r="G112" s="86">
        <f t="shared" si="19"/>
        <v>0</v>
      </c>
      <c r="H112" s="86">
        <f t="shared" si="19"/>
        <v>278669906.67999989</v>
      </c>
      <c r="I112" s="86">
        <f t="shared" si="19"/>
        <v>267920720.23692286</v>
      </c>
    </row>
    <row r="113" spans="1:9" ht="18.95" customHeight="1">
      <c r="A113" s="70"/>
      <c r="B113" s="71"/>
    </row>
    <row r="114" spans="1:9" ht="18.95" customHeight="1" thickBot="1">
      <c r="A114" s="70">
        <f>A112+1</f>
        <v>73</v>
      </c>
      <c r="B114" s="71"/>
      <c r="C114" s="68" t="s">
        <v>159</v>
      </c>
      <c r="D114" s="94">
        <f t="shared" ref="D114:I114" si="20">SUM(D16,D27,D38,D49,D72,D88,D112)</f>
        <v>10686476528.549002</v>
      </c>
      <c r="E114" s="94">
        <f t="shared" si="20"/>
        <v>533639675.79999959</v>
      </c>
      <c r="F114" s="94">
        <f t="shared" si="20"/>
        <v>-94802725.067939997</v>
      </c>
      <c r="G114" s="94">
        <f t="shared" si="20"/>
        <v>1.2005330063402653E-6</v>
      </c>
      <c r="H114" s="94">
        <f t="shared" si="20"/>
        <v>11125313479.281063</v>
      </c>
      <c r="I114" s="94">
        <f t="shared" si="20"/>
        <v>10905663104.737556</v>
      </c>
    </row>
    <row r="115" spans="1:9" ht="18.95" customHeight="1" thickTop="1">
      <c r="B115" s="71"/>
    </row>
    <row r="116" spans="1:9" ht="18.95" customHeight="1">
      <c r="B116" s="71"/>
      <c r="C116" s="74" t="s">
        <v>2165</v>
      </c>
      <c r="D116" s="86">
        <f>'PIS F'!E115+'PIS F'!E248+'PIS F'!E314</f>
        <v>10686476528.549002</v>
      </c>
      <c r="H116" s="86">
        <f>'PIS F'!O115+'PIS F'!O248+'PIS F'!O314</f>
        <v>11125313479.281061</v>
      </c>
      <c r="I116" s="86">
        <f>'PIS F'!Q115+'PIS F'!Q248+'PIS F'!Q314</f>
        <v>10905663104.737555</v>
      </c>
    </row>
    <row r="117" spans="1:9" ht="18.95" customHeight="1">
      <c r="B117" s="71"/>
      <c r="C117" s="78"/>
      <c r="D117" s="86">
        <f>D114-D116</f>
        <v>0</v>
      </c>
      <c r="H117" s="86">
        <f t="shared" ref="H117:I117" si="21">H114-H116</f>
        <v>0</v>
      </c>
      <c r="I117" s="86">
        <f t="shared" si="21"/>
        <v>0</v>
      </c>
    </row>
    <row r="118" spans="1:9" ht="18.95" customHeight="1">
      <c r="B118" s="71"/>
    </row>
    <row r="119" spans="1:9" ht="18.95" customHeight="1">
      <c r="B119" s="71"/>
    </row>
    <row r="120" spans="1:9" ht="18.95" customHeight="1">
      <c r="D120" s="69" t="s">
        <v>160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0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1.375" style="69" customWidth="1"/>
    <col min="4" max="4" width="12.625" style="69" customWidth="1"/>
    <col min="5" max="5" width="9.5" style="69" customWidth="1"/>
    <col min="6" max="6" width="13.625" style="69" customWidth="1"/>
    <col min="7" max="7" width="16.75" style="69" customWidth="1"/>
    <col min="8" max="8" width="13.625" style="69" customWidth="1"/>
    <col min="9" max="9" width="13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</row>
    <row r="2" spans="1:9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</row>
    <row r="3" spans="1:9" s="68" customFormat="1" ht="20.100000000000001" customHeight="1">
      <c r="A3" s="809" t="s">
        <v>178</v>
      </c>
      <c r="B3" s="809"/>
      <c r="C3" s="809"/>
      <c r="D3" s="809"/>
      <c r="E3" s="809"/>
      <c r="F3" s="809"/>
      <c r="G3" s="809"/>
      <c r="H3" s="809"/>
      <c r="I3" s="809"/>
    </row>
    <row r="4" spans="1:9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133</v>
      </c>
      <c r="B6" s="67"/>
      <c r="G6" s="74"/>
      <c r="H6" s="74"/>
      <c r="I6" s="74" t="s">
        <v>174</v>
      </c>
    </row>
    <row r="7" spans="1:9" s="68" customFormat="1" ht="20.100000000000001" customHeight="1">
      <c r="A7" s="68" t="str">
        <f>'Rate Case Constants'!C29</f>
        <v>TYPE OF FILING: __X__ ORIGINAL  _____ UPDATED  _____ REVISED</v>
      </c>
      <c r="G7" s="74"/>
      <c r="H7" s="74"/>
      <c r="I7" s="74" t="s">
        <v>176</v>
      </c>
    </row>
    <row r="8" spans="1:9" s="68" customFormat="1" ht="20.100000000000001" customHeight="1">
      <c r="A8" s="67" t="s">
        <v>1195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134</v>
      </c>
      <c r="C10" s="79" t="s">
        <v>177</v>
      </c>
      <c r="D10" s="76" t="s">
        <v>1573</v>
      </c>
      <c r="E10" s="76" t="s">
        <v>179</v>
      </c>
      <c r="F10" s="76" t="s">
        <v>180</v>
      </c>
      <c r="G10" s="76" t="s">
        <v>181</v>
      </c>
      <c r="H10" s="76" t="s">
        <v>182</v>
      </c>
      <c r="I10" s="76" t="s">
        <v>183</v>
      </c>
    </row>
    <row r="11" spans="1:9" ht="23.1" customHeight="1">
      <c r="A11" s="80"/>
      <c r="B11" s="80"/>
      <c r="C11" s="81"/>
      <c r="D11" s="82"/>
      <c r="E11" s="82"/>
      <c r="F11" s="82"/>
      <c r="G11" s="82"/>
      <c r="H11" s="82"/>
      <c r="I11" s="82"/>
    </row>
    <row r="12" spans="1:9" ht="18.95" customHeight="1">
      <c r="A12" s="810" t="s">
        <v>1577</v>
      </c>
      <c r="B12" s="810"/>
      <c r="C12" s="810"/>
      <c r="D12" s="810"/>
      <c r="E12" s="810"/>
      <c r="F12" s="810"/>
      <c r="G12" s="810"/>
      <c r="H12" s="810"/>
      <c r="I12" s="810"/>
    </row>
    <row r="13" spans="1:9" ht="18.95" customHeight="1">
      <c r="B13" s="71"/>
      <c r="D13" s="86"/>
    </row>
    <row r="14" spans="1:9" s="68" customFormat="1" ht="20.100000000000001" customHeight="1">
      <c r="A14" s="809" t="str">
        <f>$A$1</f>
        <v>KENTUCKY UTILITIES COMPANY</v>
      </c>
      <c r="B14" s="809"/>
      <c r="C14" s="809"/>
      <c r="D14" s="809"/>
      <c r="E14" s="809"/>
      <c r="F14" s="809"/>
      <c r="G14" s="809"/>
      <c r="H14" s="809"/>
      <c r="I14" s="809"/>
    </row>
    <row r="15" spans="1:9" s="68" customFormat="1" ht="20.100000000000001" customHeight="1">
      <c r="A15" s="809" t="str">
        <f>$A$2</f>
        <v>CASE NO. 2020-00349</v>
      </c>
      <c r="B15" s="809"/>
      <c r="C15" s="809"/>
      <c r="D15" s="809"/>
      <c r="E15" s="809"/>
      <c r="F15" s="809"/>
      <c r="G15" s="809"/>
      <c r="H15" s="809"/>
      <c r="I15" s="809"/>
    </row>
    <row r="16" spans="1:9" s="68" customFormat="1" ht="20.100000000000001" customHeight="1">
      <c r="A16" s="809" t="str">
        <f>$A$3</f>
        <v>PROPERTY MERGED OR ACQUIRED</v>
      </c>
      <c r="B16" s="809"/>
      <c r="C16" s="809"/>
      <c r="D16" s="809"/>
      <c r="E16" s="809"/>
      <c r="F16" s="809"/>
      <c r="G16" s="809"/>
      <c r="H16" s="809"/>
      <c r="I16" s="809"/>
    </row>
    <row r="17" spans="1:9" s="68" customFormat="1" ht="20.100000000000001" customHeight="1">
      <c r="A17" s="809" t="str">
        <f>'Rate Case Constants'!C18</f>
        <v>AS OF JUNE 30, 2022</v>
      </c>
      <c r="B17" s="809"/>
      <c r="C17" s="809"/>
      <c r="D17" s="809"/>
      <c r="E17" s="809"/>
      <c r="F17" s="809"/>
      <c r="G17" s="809"/>
      <c r="H17" s="809"/>
      <c r="I17" s="809"/>
    </row>
    <row r="18" spans="1:9" s="68" customFormat="1" ht="20.100000000000001" customHeight="1">
      <c r="A18" s="84"/>
      <c r="B18" s="84"/>
      <c r="C18" s="84"/>
      <c r="D18" s="84"/>
      <c r="E18" s="84"/>
      <c r="F18" s="84"/>
      <c r="G18" s="84"/>
      <c r="H18" s="84"/>
      <c r="I18" s="84"/>
    </row>
    <row r="19" spans="1:9" s="68" customFormat="1" ht="20.100000000000001" customHeight="1">
      <c r="A19" s="67" t="s">
        <v>161</v>
      </c>
      <c r="B19" s="67"/>
      <c r="G19" s="74"/>
      <c r="H19" s="74"/>
      <c r="I19" s="74" t="s">
        <v>174</v>
      </c>
    </row>
    <row r="20" spans="1:9" s="68" customFormat="1" ht="20.100000000000001" customHeight="1">
      <c r="A20" s="67" t="str">
        <f>$A$7</f>
        <v>TYPE OF FILING: __X__ ORIGINAL  _____ UPDATED  _____ REVISED</v>
      </c>
      <c r="G20" s="74"/>
      <c r="H20" s="74"/>
      <c r="I20" s="74" t="s">
        <v>184</v>
      </c>
    </row>
    <row r="21" spans="1:9" s="68" customFormat="1" ht="20.100000000000001" customHeight="1">
      <c r="A21" s="67" t="str">
        <f>$A$8</f>
        <v>WORKPAPER REFERENCE NO(S).:</v>
      </c>
      <c r="B21" s="67"/>
      <c r="F21" s="67"/>
      <c r="G21" s="75"/>
      <c r="H21" s="75"/>
      <c r="I21" s="75" t="str">
        <f>$I$8</f>
        <v>WITNESS:   C. M. GARRETT</v>
      </c>
    </row>
    <row r="22" spans="1:9" s="68" customFormat="1" ht="20.100000000000001" customHeight="1"/>
    <row r="23" spans="1:9" ht="58.5" customHeight="1">
      <c r="A23" s="76" t="s">
        <v>131</v>
      </c>
      <c r="B23" s="76" t="s">
        <v>134</v>
      </c>
      <c r="C23" s="79" t="s">
        <v>177</v>
      </c>
      <c r="D23" s="76" t="s">
        <v>1573</v>
      </c>
      <c r="E23" s="76" t="s">
        <v>179</v>
      </c>
      <c r="F23" s="76" t="s">
        <v>180</v>
      </c>
      <c r="G23" s="76" t="s">
        <v>181</v>
      </c>
      <c r="H23" s="76" t="s">
        <v>182</v>
      </c>
      <c r="I23" s="76" t="s">
        <v>183</v>
      </c>
    </row>
    <row r="24" spans="1:9" ht="23.1" customHeight="1">
      <c r="A24" s="80"/>
      <c r="B24" s="80"/>
      <c r="C24" s="81"/>
      <c r="D24" s="82"/>
      <c r="E24" s="82"/>
      <c r="F24" s="82"/>
      <c r="G24" s="82"/>
      <c r="H24" s="82"/>
      <c r="I24" s="82"/>
    </row>
    <row r="25" spans="1:9" ht="18.95" customHeight="1">
      <c r="A25" s="810" t="s">
        <v>1577</v>
      </c>
      <c r="B25" s="810"/>
      <c r="C25" s="810"/>
      <c r="D25" s="810"/>
      <c r="E25" s="810"/>
      <c r="F25" s="810"/>
      <c r="G25" s="810"/>
      <c r="H25" s="810"/>
      <c r="I25" s="810"/>
    </row>
    <row r="26" spans="1:9" ht="18.95" customHeight="1">
      <c r="B26" s="71"/>
    </row>
    <row r="27" spans="1:9" ht="18.95" customHeight="1">
      <c r="B27" s="71"/>
    </row>
    <row r="28" spans="1:9" ht="18.95" customHeight="1">
      <c r="D28" s="69" t="s">
        <v>160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16.75" style="69" customWidth="1"/>
    <col min="3" max="3" width="27.75" style="69" customWidth="1"/>
    <col min="4" max="4" width="14.25" style="69" customWidth="1"/>
    <col min="5" max="5" width="13.125" style="69" customWidth="1"/>
    <col min="6" max="6" width="13.625" style="69" customWidth="1"/>
    <col min="7" max="7" width="15.375" style="69" customWidth="1"/>
    <col min="8" max="8" width="22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8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8" s="68" customFormat="1" ht="20.100000000000001" customHeight="1">
      <c r="A3" s="809" t="s">
        <v>185</v>
      </c>
      <c r="B3" s="809"/>
      <c r="C3" s="809"/>
      <c r="D3" s="809"/>
      <c r="E3" s="809"/>
      <c r="F3" s="809"/>
      <c r="G3" s="809"/>
      <c r="H3" s="809"/>
    </row>
    <row r="4" spans="1:8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186</v>
      </c>
    </row>
    <row r="7" spans="1:8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176</v>
      </c>
    </row>
    <row r="8" spans="1:8" s="68" customFormat="1" ht="20.100000000000001" customHeight="1">
      <c r="A8" s="67" t="s">
        <v>1195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187</v>
      </c>
      <c r="C10" s="79" t="s">
        <v>188</v>
      </c>
      <c r="D10" s="76" t="s">
        <v>189</v>
      </c>
      <c r="E10" s="76" t="s">
        <v>190</v>
      </c>
      <c r="F10" s="76" t="s">
        <v>191</v>
      </c>
      <c r="G10" s="76" t="s">
        <v>192</v>
      </c>
      <c r="H10" s="76" t="s">
        <v>193</v>
      </c>
    </row>
    <row r="11" spans="1:8" ht="23.1" customHeight="1">
      <c r="A11" s="80"/>
      <c r="B11" s="80"/>
      <c r="C11" s="81"/>
      <c r="D11" s="82"/>
      <c r="E11" s="82"/>
      <c r="F11" s="82"/>
      <c r="G11" s="82"/>
      <c r="H11" s="82"/>
    </row>
    <row r="12" spans="1:8" ht="19.5" customHeight="1">
      <c r="A12" s="812" t="s">
        <v>3752</v>
      </c>
      <c r="B12" s="812"/>
      <c r="C12" s="812"/>
      <c r="D12" s="812"/>
      <c r="E12" s="812"/>
      <c r="F12" s="812"/>
      <c r="G12" s="812"/>
      <c r="H12" s="812"/>
    </row>
    <row r="13" spans="1:8" ht="23.1" customHeight="1">
      <c r="A13" s="73"/>
      <c r="B13" s="73"/>
      <c r="C13" s="132"/>
      <c r="D13" s="95"/>
      <c r="E13" s="95"/>
      <c r="F13" s="95"/>
      <c r="G13" s="95"/>
      <c r="H13" s="95"/>
    </row>
    <row r="14" spans="1:8" ht="27" customHeight="1">
      <c r="A14" s="811" t="s">
        <v>3753</v>
      </c>
      <c r="B14" s="811"/>
      <c r="C14" s="811"/>
      <c r="D14" s="811"/>
      <c r="E14" s="811"/>
      <c r="F14" s="811"/>
      <c r="G14" s="811"/>
      <c r="H14" s="811"/>
    </row>
    <row r="15" spans="1:8" ht="18.95" customHeight="1">
      <c r="B15" s="71"/>
      <c r="D15" s="86"/>
    </row>
    <row r="16" spans="1:8" s="68" customFormat="1" ht="20.100000000000001" customHeight="1">
      <c r="A16" s="809" t="str">
        <f>$A$1</f>
        <v>KENTUCKY UTILITIES COMPANY</v>
      </c>
      <c r="B16" s="809"/>
      <c r="C16" s="809"/>
      <c r="D16" s="809"/>
      <c r="E16" s="809"/>
      <c r="F16" s="809"/>
      <c r="G16" s="809"/>
      <c r="H16" s="809"/>
    </row>
    <row r="17" spans="1:8" s="68" customFormat="1" ht="20.100000000000001" customHeight="1">
      <c r="A17" s="809" t="str">
        <f>$A$2</f>
        <v>CASE NO. 2020-00349</v>
      </c>
      <c r="B17" s="809"/>
      <c r="C17" s="809"/>
      <c r="D17" s="809"/>
      <c r="E17" s="809"/>
      <c r="F17" s="809"/>
      <c r="G17" s="809"/>
      <c r="H17" s="809"/>
    </row>
    <row r="18" spans="1:8" s="68" customFormat="1" ht="20.100000000000001" customHeight="1">
      <c r="A18" s="809" t="str">
        <f>$A$3</f>
        <v>LEASED PROPERTY</v>
      </c>
      <c r="B18" s="809"/>
      <c r="C18" s="809"/>
      <c r="D18" s="809"/>
      <c r="E18" s="809"/>
      <c r="F18" s="809"/>
      <c r="G18" s="809"/>
      <c r="H18" s="809"/>
    </row>
    <row r="19" spans="1:8" s="68" customFormat="1" ht="20.100000000000001" customHeight="1">
      <c r="A19" s="809" t="str">
        <f>'Rate Case Constants'!C18</f>
        <v>AS OF JUNE 30, 2022</v>
      </c>
      <c r="B19" s="809"/>
      <c r="C19" s="809"/>
      <c r="D19" s="809"/>
      <c r="E19" s="809"/>
      <c r="F19" s="809"/>
      <c r="G19" s="809"/>
      <c r="H19" s="809"/>
    </row>
    <row r="20" spans="1:8" s="68" customFormat="1" ht="20.100000000000001" customHeight="1">
      <c r="A20" s="84"/>
      <c r="B20" s="84"/>
      <c r="C20" s="84"/>
      <c r="D20" s="84"/>
      <c r="E20" s="84"/>
      <c r="F20" s="84"/>
      <c r="G20" s="84"/>
      <c r="H20" s="84"/>
    </row>
    <row r="21" spans="1:8" s="68" customFormat="1" ht="20.100000000000001" customHeight="1">
      <c r="A21" s="67" t="s">
        <v>161</v>
      </c>
      <c r="B21" s="67"/>
      <c r="G21" s="74"/>
      <c r="H21" s="74" t="s">
        <v>186</v>
      </c>
    </row>
    <row r="22" spans="1:8" s="68" customFormat="1" ht="20.100000000000001" customHeight="1">
      <c r="A22" s="67" t="str">
        <f>$A$7</f>
        <v>TYPE OF FILING: __X__ ORIGINAL  _____ UPDATED  _____ REVISED</v>
      </c>
      <c r="G22" s="74"/>
      <c r="H22" s="74" t="s">
        <v>184</v>
      </c>
    </row>
    <row r="23" spans="1:8" s="68" customFormat="1" ht="20.100000000000001" customHeight="1">
      <c r="A23" s="67" t="str">
        <f>$A$8</f>
        <v>WORKPAPER REFERENCE NO(S).:</v>
      </c>
      <c r="B23" s="67"/>
      <c r="F23" s="67"/>
      <c r="G23" s="75"/>
      <c r="H23" s="75" t="str">
        <f>$H$8</f>
        <v>WITNESS:   C. M. GARRETT</v>
      </c>
    </row>
    <row r="24" spans="1:8" s="68" customFormat="1" ht="20.100000000000001" customHeight="1"/>
    <row r="25" spans="1:8" ht="58.5" customHeight="1">
      <c r="A25" s="76" t="s">
        <v>131</v>
      </c>
      <c r="B25" s="76" t="s">
        <v>187</v>
      </c>
      <c r="C25" s="79" t="s">
        <v>188</v>
      </c>
      <c r="D25" s="76" t="s">
        <v>189</v>
      </c>
      <c r="E25" s="76" t="s">
        <v>190</v>
      </c>
      <c r="F25" s="76" t="s">
        <v>191</v>
      </c>
      <c r="G25" s="76" t="s">
        <v>192</v>
      </c>
      <c r="H25" s="76" t="s">
        <v>193</v>
      </c>
    </row>
    <row r="26" spans="1:8" ht="23.1" customHeight="1">
      <c r="A26" s="80"/>
      <c r="B26" s="80"/>
      <c r="C26" s="81"/>
      <c r="D26" s="82"/>
      <c r="E26" s="82"/>
      <c r="F26" s="82"/>
      <c r="G26" s="82"/>
      <c r="H26" s="82"/>
    </row>
    <row r="27" spans="1:8" ht="19.5" customHeight="1">
      <c r="A27" s="812" t="s">
        <v>3752</v>
      </c>
      <c r="B27" s="812"/>
      <c r="C27" s="812"/>
      <c r="D27" s="812"/>
      <c r="E27" s="812"/>
      <c r="F27" s="812"/>
      <c r="G27" s="812"/>
      <c r="H27" s="812"/>
    </row>
    <row r="28" spans="1:8" ht="22.5" customHeight="1">
      <c r="A28" s="73"/>
      <c r="B28" s="73"/>
      <c r="C28" s="132"/>
      <c r="D28" s="95"/>
      <c r="E28" s="95"/>
      <c r="F28" s="95"/>
      <c r="G28" s="95"/>
      <c r="H28" s="95"/>
    </row>
    <row r="29" spans="1:8" ht="27" customHeight="1">
      <c r="A29" s="811" t="s">
        <v>3753</v>
      </c>
      <c r="B29" s="811"/>
      <c r="C29" s="811"/>
      <c r="D29" s="811"/>
      <c r="E29" s="811"/>
      <c r="F29" s="811"/>
      <c r="G29" s="811"/>
      <c r="H29" s="811"/>
    </row>
    <row r="30" spans="1:8" ht="18.95" customHeight="1">
      <c r="D30" s="69" t="s">
        <v>160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4:H14"/>
    <mergeCell ref="A12:H12"/>
  </mergeCells>
  <pageMargins left="0.95" right="0.5" top="0.75" bottom="0.75" header="0.3" footer="0.3"/>
  <pageSetup scale="64" fitToHeight="0" orientation="portrait" r:id="rId1"/>
  <rowBreaks count="1" manualBreakCount="1">
    <brk id="1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N54"/>
  <sheetViews>
    <sheetView zoomScaleNormal="100" workbookViewId="0">
      <selection sqref="A1:N1"/>
    </sheetView>
  </sheetViews>
  <sheetFormatPr defaultColWidth="9" defaultRowHeight="12.75"/>
  <cols>
    <col min="1" max="1" width="6" style="69" customWidth="1"/>
    <col min="2" max="2" width="35.75" style="69" customWidth="1"/>
    <col min="3" max="3" width="12.375" style="69" customWidth="1"/>
    <col min="4" max="4" width="13.75" style="69" customWidth="1"/>
    <col min="5" max="5" width="15.75" style="69" customWidth="1"/>
    <col min="6" max="6" width="11.125" style="69" customWidth="1"/>
    <col min="7" max="7" width="12.75" style="69" customWidth="1"/>
    <col min="8" max="8" width="11.625" style="69" customWidth="1"/>
    <col min="9" max="9" width="7.75" style="69" customWidth="1"/>
    <col min="10" max="10" width="15.75" style="69" customWidth="1"/>
    <col min="11" max="11" width="2.25" style="69" customWidth="1"/>
    <col min="12" max="12" width="11.625" style="69" customWidth="1"/>
    <col min="13" max="13" width="7.75" style="69" customWidth="1"/>
    <col min="14" max="14" width="15.75" style="69" customWidth="1"/>
    <col min="15" max="15" width="1.625" style="69" customWidth="1"/>
    <col min="16" max="16384" width="9" style="69"/>
  </cols>
  <sheetData>
    <row r="1" spans="1:14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</row>
    <row r="2" spans="1:14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</row>
    <row r="3" spans="1:14" s="68" customFormat="1" ht="20.100000000000001" customHeight="1">
      <c r="A3" s="809" t="s">
        <v>194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1:14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</row>
    <row r="5" spans="1:14" s="68" customFormat="1" ht="20.100000000000001" customHeight="1">
      <c r="A5" s="84"/>
      <c r="B5" s="84"/>
      <c r="C5" s="84"/>
      <c r="D5" s="84"/>
      <c r="E5" s="84"/>
      <c r="F5" s="419"/>
      <c r="G5" s="84"/>
      <c r="H5" s="84"/>
      <c r="I5" s="84"/>
      <c r="J5" s="84"/>
      <c r="K5" s="84"/>
      <c r="L5" s="84"/>
      <c r="M5" s="84"/>
      <c r="N5" s="84"/>
    </row>
    <row r="6" spans="1:14" s="68" customFormat="1" ht="20.100000000000001" customHeight="1">
      <c r="A6" s="67" t="s">
        <v>133</v>
      </c>
      <c r="B6" s="67"/>
      <c r="H6" s="74"/>
      <c r="I6" s="74"/>
      <c r="J6" s="74"/>
      <c r="K6" s="74"/>
      <c r="L6" s="74"/>
      <c r="M6" s="74"/>
      <c r="N6" s="74" t="s">
        <v>195</v>
      </c>
    </row>
    <row r="7" spans="1:14" s="68" customFormat="1" ht="20.100000000000001" customHeight="1">
      <c r="A7" s="68" t="str">
        <f>'Rate Case Constants'!C29</f>
        <v>TYPE OF FILING: __X__ ORIGINAL  _____ UPDATED  _____ REVISED</v>
      </c>
      <c r="H7" s="74"/>
      <c r="I7" s="74"/>
      <c r="J7" s="74"/>
      <c r="K7" s="74"/>
      <c r="L7" s="74"/>
      <c r="M7" s="74"/>
      <c r="N7" s="74" t="s">
        <v>176</v>
      </c>
    </row>
    <row r="8" spans="1:14" s="68" customFormat="1" ht="20.100000000000001" customHeight="1">
      <c r="A8" s="67" t="s">
        <v>1195</v>
      </c>
      <c r="B8" s="67"/>
      <c r="G8" s="67"/>
      <c r="H8" s="75"/>
      <c r="I8" s="75"/>
      <c r="J8" s="75"/>
      <c r="K8" s="75"/>
      <c r="L8" s="75"/>
      <c r="M8" s="75"/>
      <c r="N8" s="75" t="str">
        <f>'Rate Case Constants'!C36</f>
        <v>WITNESS:   C. M. GARRETT</v>
      </c>
    </row>
    <row r="9" spans="1:14" s="68" customFormat="1" ht="20.100000000000001" customHeight="1"/>
    <row r="10" spans="1:14" s="68" customFormat="1" ht="20.100000000000001" customHeight="1">
      <c r="A10" s="96"/>
      <c r="B10" s="96"/>
      <c r="C10" s="96"/>
      <c r="D10" s="96"/>
      <c r="E10" s="96"/>
      <c r="F10" s="96"/>
      <c r="G10" s="96"/>
      <c r="H10" s="813" t="s">
        <v>203</v>
      </c>
      <c r="I10" s="813"/>
      <c r="J10" s="813"/>
      <c r="K10" s="97"/>
      <c r="L10" s="813" t="s">
        <v>205</v>
      </c>
      <c r="M10" s="813"/>
      <c r="N10" s="813"/>
    </row>
    <row r="11" spans="1:14" ht="43.5" customHeight="1">
      <c r="A11" s="71" t="s">
        <v>131</v>
      </c>
      <c r="B11" s="71" t="s">
        <v>196</v>
      </c>
      <c r="C11" s="71" t="s">
        <v>197</v>
      </c>
      <c r="D11" s="71" t="s">
        <v>198</v>
      </c>
      <c r="E11" s="71" t="s">
        <v>199</v>
      </c>
      <c r="F11" s="71" t="s">
        <v>2212</v>
      </c>
      <c r="G11" s="71" t="s">
        <v>200</v>
      </c>
      <c r="H11" s="71" t="s">
        <v>201</v>
      </c>
      <c r="I11" s="71" t="s">
        <v>202</v>
      </c>
      <c r="J11" s="71" t="s">
        <v>204</v>
      </c>
      <c r="K11" s="71"/>
      <c r="L11" s="71" t="s">
        <v>201</v>
      </c>
      <c r="M11" s="71" t="s">
        <v>202</v>
      </c>
      <c r="N11" s="71" t="s">
        <v>204</v>
      </c>
    </row>
    <row r="12" spans="1:14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/>
      <c r="J12" s="82"/>
      <c r="K12" s="82"/>
      <c r="L12" s="82" t="s">
        <v>142</v>
      </c>
      <c r="M12" s="82"/>
      <c r="N12" s="82"/>
    </row>
    <row r="13" spans="1:14" ht="34.5" customHeight="1">
      <c r="A13" s="99">
        <v>1</v>
      </c>
      <c r="B13" s="78" t="s">
        <v>2213</v>
      </c>
      <c r="C13" s="226">
        <v>41821</v>
      </c>
      <c r="D13" s="391">
        <v>309540.84999999998</v>
      </c>
      <c r="E13" s="391">
        <v>0</v>
      </c>
      <c r="F13" s="134">
        <f>G13/D13</f>
        <v>0.93811298816770394</v>
      </c>
      <c r="G13" s="395">
        <f>'JURISSEP B'!G$229</f>
        <v>290384.29175347101</v>
      </c>
      <c r="H13" s="391">
        <v>0</v>
      </c>
      <c r="L13" s="391">
        <v>0</v>
      </c>
    </row>
    <row r="14" spans="1:14" ht="34.5" customHeight="1">
      <c r="A14" s="99">
        <v>2</v>
      </c>
      <c r="B14" s="78" t="s">
        <v>2214</v>
      </c>
      <c r="C14" s="226">
        <v>40756</v>
      </c>
      <c r="D14" s="391">
        <v>113882.25</v>
      </c>
      <c r="E14" s="391">
        <v>0</v>
      </c>
      <c r="F14" s="134">
        <f>G14/D14</f>
        <v>1</v>
      </c>
      <c r="G14" s="391">
        <f>D14</f>
        <v>113882.25</v>
      </c>
      <c r="H14" s="391">
        <v>0</v>
      </c>
      <c r="L14" s="391">
        <v>0</v>
      </c>
    </row>
    <row r="15" spans="1:14" ht="34.5" customHeight="1">
      <c r="A15" s="99">
        <v>3</v>
      </c>
      <c r="B15" s="78" t="s">
        <v>1614</v>
      </c>
      <c r="C15" s="226">
        <v>40905</v>
      </c>
      <c r="D15" s="391">
        <v>324087.84000000003</v>
      </c>
      <c r="E15" s="391">
        <v>0</v>
      </c>
      <c r="F15" s="134">
        <f>G15/D15</f>
        <v>0</v>
      </c>
      <c r="G15" s="391">
        <v>0</v>
      </c>
      <c r="H15" s="391">
        <v>0</v>
      </c>
      <c r="L15" s="391">
        <v>0</v>
      </c>
    </row>
    <row r="16" spans="1:14" ht="34.5" customHeight="1">
      <c r="A16" s="99">
        <v>4</v>
      </c>
      <c r="B16" s="78" t="s">
        <v>2432</v>
      </c>
      <c r="C16" s="226">
        <v>42767</v>
      </c>
      <c r="D16" s="391">
        <v>240853.29</v>
      </c>
      <c r="E16" s="391">
        <v>0</v>
      </c>
      <c r="F16" s="134">
        <v>0</v>
      </c>
      <c r="G16" s="395">
        <v>0</v>
      </c>
      <c r="H16" s="391">
        <v>0</v>
      </c>
      <c r="L16" s="391">
        <v>0</v>
      </c>
    </row>
    <row r="17" spans="1:14" ht="34.5" customHeight="1">
      <c r="A17" s="99">
        <v>5</v>
      </c>
      <c r="B17" s="78" t="s">
        <v>2433</v>
      </c>
      <c r="C17" s="226">
        <v>40237</v>
      </c>
      <c r="D17" s="392">
        <v>792599.21</v>
      </c>
      <c r="E17" s="392">
        <v>0</v>
      </c>
      <c r="F17" s="689">
        <f t="shared" ref="F17:F19" si="0">G17/D17</f>
        <v>1</v>
      </c>
      <c r="G17" s="392">
        <f t="shared" ref="G17" si="1">D17</f>
        <v>792599.21</v>
      </c>
      <c r="H17" s="392">
        <v>0</v>
      </c>
      <c r="L17" s="392">
        <v>0</v>
      </c>
    </row>
    <row r="18" spans="1:14" s="68" customFormat="1" ht="20.100000000000001" customHeight="1">
      <c r="A18" s="688"/>
      <c r="B18" s="688"/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</row>
    <row r="19" spans="1:14" ht="18.95" customHeight="1" thickBot="1">
      <c r="A19" s="99">
        <v>6</v>
      </c>
      <c r="B19" s="78" t="s">
        <v>2648</v>
      </c>
      <c r="C19" s="226"/>
      <c r="D19" s="690">
        <f>SUM(D13:D17)</f>
        <v>1780963.44</v>
      </c>
      <c r="E19" s="690">
        <v>0</v>
      </c>
      <c r="F19" s="691">
        <f t="shared" si="0"/>
        <v>0.67203274636197519</v>
      </c>
      <c r="G19" s="690">
        <f>SUM(G13:G17)</f>
        <v>1196865.7517534709</v>
      </c>
      <c r="H19" s="690">
        <v>0</v>
      </c>
      <c r="L19" s="690">
        <v>0</v>
      </c>
    </row>
    <row r="20" spans="1:14" ht="18.95" customHeight="1" thickTop="1">
      <c r="B20" s="71"/>
      <c r="D20" s="86"/>
    </row>
    <row r="21" spans="1:14" s="68" customFormat="1" ht="20.100000000000001" customHeight="1">
      <c r="A21" s="809" t="str">
        <f>$A$1</f>
        <v>KENTUCKY UTILITIES COMPANY</v>
      </c>
      <c r="B21" s="809"/>
      <c r="C21" s="809"/>
      <c r="D21" s="809"/>
      <c r="E21" s="809"/>
      <c r="F21" s="809"/>
      <c r="G21" s="809"/>
      <c r="H21" s="809"/>
      <c r="I21" s="809"/>
      <c r="J21" s="809"/>
      <c r="K21" s="809"/>
      <c r="L21" s="809"/>
      <c r="M21" s="809"/>
      <c r="N21" s="809"/>
    </row>
    <row r="22" spans="1:14" s="68" customFormat="1" ht="20.100000000000001" customHeight="1">
      <c r="A22" s="809" t="str">
        <f>$A$2</f>
        <v>CASE NO. 2020-00349</v>
      </c>
      <c r="B22" s="809"/>
      <c r="C22" s="809"/>
      <c r="D22" s="809"/>
      <c r="E22" s="809"/>
      <c r="F22" s="809"/>
      <c r="G22" s="809"/>
      <c r="H22" s="809"/>
      <c r="I22" s="809"/>
      <c r="J22" s="809"/>
      <c r="K22" s="809"/>
      <c r="L22" s="809"/>
      <c r="M22" s="809"/>
      <c r="N22" s="809"/>
    </row>
    <row r="23" spans="1:14" s="68" customFormat="1" ht="20.100000000000001" customHeight="1">
      <c r="A23" s="809" t="str">
        <f>$A$3</f>
        <v>PROPERTY HELD FOR FUTURE USE INCLUDED IN RATE BASE</v>
      </c>
      <c r="B23" s="809"/>
      <c r="C23" s="809"/>
      <c r="D23" s="809"/>
      <c r="E23" s="809"/>
      <c r="F23" s="809"/>
      <c r="G23" s="809"/>
      <c r="H23" s="809"/>
      <c r="I23" s="809"/>
      <c r="J23" s="809"/>
      <c r="K23" s="809"/>
      <c r="L23" s="809"/>
      <c r="M23" s="809"/>
      <c r="N23" s="809"/>
    </row>
    <row r="24" spans="1:14" s="68" customFormat="1" ht="20.100000000000001" customHeight="1">
      <c r="A24" s="809" t="str">
        <f>'Rate Case Constants'!C18</f>
        <v>AS OF JUNE 30, 2022</v>
      </c>
      <c r="B24" s="809"/>
      <c r="C24" s="809"/>
      <c r="D24" s="809"/>
      <c r="E24" s="809"/>
      <c r="F24" s="809"/>
      <c r="G24" s="809"/>
      <c r="H24" s="809"/>
      <c r="I24" s="809"/>
      <c r="J24" s="809"/>
      <c r="K24" s="809"/>
      <c r="L24" s="809"/>
      <c r="M24" s="809"/>
      <c r="N24" s="809"/>
    </row>
    <row r="25" spans="1:14" s="68" customFormat="1" ht="20.100000000000001" customHeight="1">
      <c r="A25" s="84"/>
      <c r="B25" s="84"/>
      <c r="C25" s="84"/>
      <c r="D25" s="84"/>
      <c r="E25" s="84"/>
      <c r="F25" s="419"/>
      <c r="G25" s="84"/>
      <c r="H25" s="84"/>
      <c r="I25" s="84"/>
      <c r="J25" s="84"/>
      <c r="K25" s="84"/>
      <c r="L25" s="84"/>
      <c r="M25" s="84"/>
      <c r="N25" s="84"/>
    </row>
    <row r="26" spans="1:14" s="68" customFormat="1" ht="20.100000000000001" customHeight="1">
      <c r="A26" s="67" t="s">
        <v>161</v>
      </c>
      <c r="B26" s="67"/>
      <c r="H26" s="74"/>
      <c r="I26" s="74"/>
      <c r="J26" s="74"/>
      <c r="K26" s="74"/>
      <c r="L26" s="74"/>
      <c r="M26" s="74"/>
      <c r="N26" s="74" t="s">
        <v>195</v>
      </c>
    </row>
    <row r="27" spans="1:14" s="68" customFormat="1" ht="20.100000000000001" customHeight="1">
      <c r="A27" s="67" t="str">
        <f>$A$7</f>
        <v>TYPE OF FILING: __X__ ORIGINAL  _____ UPDATED  _____ REVISED</v>
      </c>
      <c r="H27" s="74"/>
      <c r="I27" s="74"/>
      <c r="J27" s="74"/>
      <c r="K27" s="74"/>
      <c r="L27" s="74"/>
      <c r="M27" s="74"/>
      <c r="N27" s="74" t="s">
        <v>184</v>
      </c>
    </row>
    <row r="28" spans="1:14" s="68" customFormat="1" ht="20.100000000000001" customHeight="1">
      <c r="A28" s="67" t="str">
        <f>$A$8</f>
        <v>WORKPAPER REFERENCE NO(S).:</v>
      </c>
      <c r="B28" s="67"/>
      <c r="G28" s="67"/>
      <c r="H28" s="75"/>
      <c r="I28" s="75"/>
      <c r="J28" s="75"/>
      <c r="K28" s="75"/>
      <c r="L28" s="75"/>
      <c r="M28" s="75"/>
      <c r="N28" s="75" t="str">
        <f>$N$8</f>
        <v>WITNESS:   C. M. GARRETT</v>
      </c>
    </row>
    <row r="29" spans="1:14" s="68" customFormat="1" ht="20.100000000000001" customHeight="1"/>
    <row r="30" spans="1:14" s="68" customFormat="1" ht="20.100000000000001" customHeight="1">
      <c r="A30" s="96"/>
      <c r="B30" s="96"/>
      <c r="C30" s="96"/>
      <c r="D30" s="96"/>
      <c r="E30" s="96"/>
      <c r="F30" s="96"/>
      <c r="G30" s="96"/>
      <c r="H30" s="813" t="s">
        <v>203</v>
      </c>
      <c r="I30" s="813"/>
      <c r="J30" s="813"/>
      <c r="K30" s="97"/>
      <c r="L30" s="813" t="s">
        <v>205</v>
      </c>
      <c r="M30" s="813"/>
      <c r="N30" s="813"/>
    </row>
    <row r="31" spans="1:14" ht="43.5" customHeight="1">
      <c r="A31" s="71" t="s">
        <v>131</v>
      </c>
      <c r="B31" s="71" t="s">
        <v>196</v>
      </c>
      <c r="C31" s="71" t="s">
        <v>197</v>
      </c>
      <c r="D31" s="71" t="s">
        <v>198</v>
      </c>
      <c r="E31" s="71" t="s">
        <v>199</v>
      </c>
      <c r="F31" s="71" t="s">
        <v>2212</v>
      </c>
      <c r="G31" s="71" t="s">
        <v>200</v>
      </c>
      <c r="H31" s="71" t="s">
        <v>201</v>
      </c>
      <c r="I31" s="71" t="s">
        <v>202</v>
      </c>
      <c r="J31" s="71" t="s">
        <v>204</v>
      </c>
      <c r="K31" s="71"/>
      <c r="L31" s="71" t="s">
        <v>201</v>
      </c>
      <c r="M31" s="71" t="s">
        <v>202</v>
      </c>
      <c r="N31" s="71" t="s">
        <v>204</v>
      </c>
    </row>
    <row r="32" spans="1:14" ht="23.1" customHeight="1">
      <c r="A32" s="80"/>
      <c r="B32" s="80"/>
      <c r="C32" s="81"/>
      <c r="D32" s="82" t="s">
        <v>142</v>
      </c>
      <c r="E32" s="82" t="s">
        <v>142</v>
      </c>
      <c r="F32" s="82"/>
      <c r="G32" s="82" t="s">
        <v>142</v>
      </c>
      <c r="H32" s="82" t="s">
        <v>142</v>
      </c>
      <c r="I32" s="82"/>
      <c r="J32" s="82"/>
      <c r="K32" s="82"/>
      <c r="L32" s="82" t="s">
        <v>142</v>
      </c>
      <c r="M32" s="82"/>
      <c r="N32" s="82"/>
    </row>
    <row r="33" spans="1:14" ht="34.5" customHeight="1">
      <c r="A33" s="99">
        <v>1</v>
      </c>
      <c r="B33" s="78" t="s">
        <v>2213</v>
      </c>
      <c r="C33" s="226">
        <v>41821</v>
      </c>
      <c r="D33" s="391">
        <v>309540.84999999998</v>
      </c>
      <c r="E33" s="391">
        <v>0</v>
      </c>
      <c r="F33" s="134">
        <f>G33/D33</f>
        <v>0.93811344276666342</v>
      </c>
      <c r="G33" s="395">
        <f>'JURISSEP F'!G$229</f>
        <v>290384.43247041933</v>
      </c>
      <c r="H33" s="391">
        <v>0</v>
      </c>
      <c r="L33" s="391">
        <v>0</v>
      </c>
    </row>
    <row r="34" spans="1:14" ht="34.5" customHeight="1">
      <c r="A34" s="99">
        <v>2</v>
      </c>
      <c r="B34" s="78" t="s">
        <v>2214</v>
      </c>
      <c r="C34" s="226">
        <v>40756</v>
      </c>
      <c r="D34" s="391">
        <v>113882.25</v>
      </c>
      <c r="E34" s="391">
        <v>0</v>
      </c>
      <c r="F34" s="134">
        <f>G34/D34</f>
        <v>1</v>
      </c>
      <c r="G34" s="391">
        <f>D34</f>
        <v>113882.25</v>
      </c>
      <c r="H34" s="391">
        <v>0</v>
      </c>
      <c r="L34" s="391">
        <v>0</v>
      </c>
    </row>
    <row r="35" spans="1:14" ht="34.5" customHeight="1">
      <c r="A35" s="99">
        <v>3</v>
      </c>
      <c r="B35" s="78" t="s">
        <v>1614</v>
      </c>
      <c r="C35" s="226">
        <v>40905</v>
      </c>
      <c r="D35" s="391">
        <v>324087.84000000003</v>
      </c>
      <c r="E35" s="391">
        <v>0</v>
      </c>
      <c r="F35" s="134">
        <f>G35/D35</f>
        <v>0</v>
      </c>
      <c r="G35" s="391">
        <v>0</v>
      </c>
      <c r="H35" s="391">
        <v>0</v>
      </c>
      <c r="L35" s="391">
        <v>0</v>
      </c>
    </row>
    <row r="36" spans="1:14" ht="34.5" customHeight="1">
      <c r="A36" s="99">
        <v>4</v>
      </c>
      <c r="B36" s="78" t="s">
        <v>2432</v>
      </c>
      <c r="C36" s="226">
        <v>42767</v>
      </c>
      <c r="D36" s="391">
        <v>240853.29</v>
      </c>
      <c r="E36" s="391">
        <v>0</v>
      </c>
      <c r="F36" s="134">
        <v>0</v>
      </c>
      <c r="G36" s="395">
        <v>0</v>
      </c>
      <c r="H36" s="391">
        <v>0</v>
      </c>
      <c r="L36" s="391">
        <v>0</v>
      </c>
    </row>
    <row r="37" spans="1:14" ht="34.5" customHeight="1">
      <c r="A37" s="99">
        <v>5</v>
      </c>
      <c r="B37" s="78" t="s">
        <v>2433</v>
      </c>
      <c r="C37" s="226">
        <v>40237</v>
      </c>
      <c r="D37" s="392">
        <v>792599.21</v>
      </c>
      <c r="E37" s="392">
        <v>0</v>
      </c>
      <c r="F37" s="689">
        <f t="shared" ref="F37" si="2">G37/D37</f>
        <v>1</v>
      </c>
      <c r="G37" s="392">
        <f t="shared" ref="G37" si="3">D37</f>
        <v>792599.21</v>
      </c>
      <c r="H37" s="392">
        <v>0</v>
      </c>
      <c r="L37" s="392">
        <v>0</v>
      </c>
    </row>
    <row r="38" spans="1:14" s="68" customFormat="1" ht="20.100000000000001" customHeight="1">
      <c r="A38" s="688"/>
      <c r="B38" s="688"/>
      <c r="C38" s="688"/>
      <c r="D38" s="688"/>
      <c r="E38" s="688"/>
      <c r="F38" s="688"/>
      <c r="G38" s="688"/>
      <c r="H38" s="688"/>
      <c r="I38" s="688"/>
      <c r="J38" s="688"/>
      <c r="K38" s="688"/>
      <c r="L38" s="688"/>
      <c r="M38" s="688"/>
      <c r="N38" s="688"/>
    </row>
    <row r="39" spans="1:14" ht="18.95" customHeight="1" thickBot="1">
      <c r="A39" s="99">
        <v>6</v>
      </c>
      <c r="B39" s="78" t="s">
        <v>2648</v>
      </c>
      <c r="C39" s="226"/>
      <c r="D39" s="690">
        <f>SUM(D33:D37)</f>
        <v>1780963.44</v>
      </c>
      <c r="E39" s="690">
        <v>0</v>
      </c>
      <c r="F39" s="691">
        <f t="shared" ref="F39" si="4">G39/D39</f>
        <v>0.67203282537367492</v>
      </c>
      <c r="G39" s="690">
        <f>SUM(G33:G37)</f>
        <v>1196865.8924704194</v>
      </c>
      <c r="H39" s="690">
        <v>0</v>
      </c>
      <c r="L39" s="690">
        <v>0</v>
      </c>
    </row>
    <row r="40" spans="1:14" ht="18.95" customHeight="1" thickTop="1">
      <c r="B40" s="71"/>
    </row>
    <row r="41" spans="1:14" ht="18.95" customHeight="1">
      <c r="B41" s="71"/>
      <c r="D41" s="93"/>
      <c r="G41" s="93"/>
      <c r="H41" s="93"/>
    </row>
    <row r="42" spans="1:14" ht="18.95" customHeight="1">
      <c r="D42" s="69" t="s">
        <v>160</v>
      </c>
    </row>
    <row r="43" spans="1:14" ht="18.95" customHeight="1"/>
    <row r="44" spans="1:14" ht="18.95" customHeight="1"/>
    <row r="45" spans="1:14" ht="18.95" customHeight="1"/>
    <row r="46" spans="1:14" ht="18.95" customHeight="1"/>
    <row r="47" spans="1:14" ht="18.95" customHeight="1"/>
    <row r="48" spans="1:14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</sheetData>
  <mergeCells count="12">
    <mergeCell ref="A23:N23"/>
    <mergeCell ref="A24:N24"/>
    <mergeCell ref="H10:J10"/>
    <mergeCell ref="L10:N10"/>
    <mergeCell ref="H30:J30"/>
    <mergeCell ref="L30:N30"/>
    <mergeCell ref="A22:N22"/>
    <mergeCell ref="A1:N1"/>
    <mergeCell ref="A2:N2"/>
    <mergeCell ref="A3:N3"/>
    <mergeCell ref="A4:N4"/>
    <mergeCell ref="A21:N21"/>
  </mergeCells>
  <pageMargins left="0.95" right="0.5" top="0.75" bottom="0.75" header="0.3" footer="0.3"/>
  <pageSetup scale="46" fitToHeight="0" orientation="portrait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K108"/>
  <sheetViews>
    <sheetView zoomScaleNormal="100" workbookViewId="0">
      <selection sqref="A1:K1"/>
    </sheetView>
  </sheetViews>
  <sheetFormatPr defaultColWidth="9" defaultRowHeight="12.75"/>
  <cols>
    <col min="1" max="1" width="6" style="69" customWidth="1"/>
    <col min="2" max="2" width="7.125" style="69" customWidth="1"/>
    <col min="3" max="3" width="33.5" style="69" customWidth="1"/>
    <col min="4" max="4" width="11.5" style="69" customWidth="1"/>
    <col min="5" max="5" width="12.375" style="69" customWidth="1"/>
    <col min="6" max="6" width="15.75" style="69" customWidth="1"/>
    <col min="7" max="7" width="10.75" style="69" customWidth="1"/>
    <col min="8" max="8" width="11.625" style="69" customWidth="1"/>
    <col min="9" max="9" width="7.75" style="69" customWidth="1"/>
    <col min="10" max="10" width="14.75" style="69" customWidth="1"/>
    <col min="11" max="11" width="40.75" style="69" customWidth="1"/>
    <col min="12" max="12" width="1.625" style="69" customWidth="1"/>
    <col min="13" max="16384" width="9" style="69"/>
  </cols>
  <sheetData>
    <row r="1" spans="1:11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</row>
    <row r="2" spans="1:11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3" spans="1:11" s="68" customFormat="1" ht="20.100000000000001" customHeight="1">
      <c r="A3" s="809" t="s">
        <v>207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</row>
    <row r="4" spans="1:11" s="68" customFormat="1" ht="20.100000000000001" customHeight="1">
      <c r="A4" s="809" t="s">
        <v>208</v>
      </c>
      <c r="B4" s="809"/>
      <c r="C4" s="809"/>
      <c r="D4" s="809"/>
      <c r="E4" s="809"/>
      <c r="F4" s="809"/>
      <c r="G4" s="809"/>
      <c r="H4" s="809"/>
      <c r="I4" s="809"/>
      <c r="J4" s="809"/>
      <c r="K4" s="809"/>
    </row>
    <row r="5" spans="1:11" s="68" customFormat="1" ht="20.100000000000001" customHeight="1">
      <c r="A5" s="809" t="str">
        <f>'Rate Case Constants'!C12</f>
        <v>AS OF FEBRUARY 28, 2021</v>
      </c>
      <c r="B5" s="809"/>
      <c r="C5" s="809"/>
      <c r="D5" s="809"/>
      <c r="E5" s="809"/>
      <c r="F5" s="809"/>
      <c r="G5" s="809"/>
      <c r="H5" s="809"/>
      <c r="I5" s="809"/>
      <c r="J5" s="809"/>
      <c r="K5" s="809"/>
    </row>
    <row r="6" spans="1:11" s="68" customFormat="1" ht="20.100000000000001" customHeight="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</row>
    <row r="7" spans="1:11" s="68" customFormat="1" ht="20.100000000000001" customHeight="1">
      <c r="A7" s="67" t="s">
        <v>133</v>
      </c>
      <c r="B7" s="67"/>
      <c r="H7" s="74"/>
      <c r="I7" s="74"/>
      <c r="J7" s="74"/>
      <c r="K7" s="74" t="s">
        <v>206</v>
      </c>
    </row>
    <row r="8" spans="1:11" s="68" customFormat="1" ht="20.100000000000001" customHeight="1">
      <c r="A8" s="68" t="str">
        <f>'Rate Case Constants'!C29</f>
        <v>TYPE OF FILING: __X__ ORIGINAL  _____ UPDATED  _____ REVISED</v>
      </c>
      <c r="H8" s="74"/>
      <c r="I8" s="74"/>
      <c r="J8" s="74"/>
      <c r="K8" s="74" t="s">
        <v>176</v>
      </c>
    </row>
    <row r="9" spans="1:11" s="68" customFormat="1" ht="20.100000000000001" customHeight="1">
      <c r="A9" s="67" t="s">
        <v>1195</v>
      </c>
      <c r="B9" s="67"/>
      <c r="G9" s="67"/>
      <c r="H9" s="75"/>
      <c r="I9" s="75"/>
      <c r="J9" s="75"/>
      <c r="K9" s="75" t="str">
        <f>'Rate Case Constants'!C36</f>
        <v>WITNESS:   C. M. GARRETT</v>
      </c>
    </row>
    <row r="10" spans="1:11" s="68" customFormat="1" ht="20.100000000000001" customHeight="1"/>
    <row r="11" spans="1:11" s="68" customFormat="1" ht="20.100000000000001" customHeight="1">
      <c r="A11" s="96"/>
      <c r="B11" s="96"/>
      <c r="C11" s="96"/>
      <c r="D11" s="96"/>
      <c r="E11" s="96"/>
      <c r="F11" s="96"/>
      <c r="G11" s="96"/>
      <c r="H11" s="813" t="s">
        <v>210</v>
      </c>
      <c r="I11" s="813"/>
      <c r="J11" s="813"/>
      <c r="K11" s="97"/>
    </row>
    <row r="12" spans="1:11" ht="43.5" customHeight="1">
      <c r="A12" s="71" t="s">
        <v>131</v>
      </c>
      <c r="B12" s="71" t="s">
        <v>134</v>
      </c>
      <c r="C12" s="71" t="s">
        <v>212</v>
      </c>
      <c r="D12" s="71" t="s">
        <v>209</v>
      </c>
      <c r="E12" s="71" t="s">
        <v>198</v>
      </c>
      <c r="F12" s="71" t="s">
        <v>199</v>
      </c>
      <c r="G12" s="71" t="s">
        <v>200</v>
      </c>
      <c r="H12" s="71" t="s">
        <v>201</v>
      </c>
      <c r="I12" s="71" t="s">
        <v>202</v>
      </c>
      <c r="J12" s="71" t="s">
        <v>204</v>
      </c>
      <c r="K12" s="98" t="s">
        <v>211</v>
      </c>
    </row>
    <row r="13" spans="1:11" ht="23.1" customHeight="1">
      <c r="A13" s="80"/>
      <c r="B13" s="80"/>
      <c r="C13" s="81"/>
      <c r="D13" s="82"/>
      <c r="E13" s="82" t="s">
        <v>142</v>
      </c>
      <c r="F13" s="82" t="s">
        <v>142</v>
      </c>
      <c r="G13" s="82" t="s">
        <v>142</v>
      </c>
      <c r="H13" s="82" t="s">
        <v>142</v>
      </c>
      <c r="I13" s="82"/>
      <c r="J13" s="82"/>
      <c r="K13" s="82"/>
    </row>
    <row r="14" spans="1:11" ht="23.1" customHeight="1">
      <c r="A14" s="221">
        <v>1</v>
      </c>
      <c r="B14" s="73"/>
      <c r="C14" s="225" t="s">
        <v>1613</v>
      </c>
      <c r="D14" s="95"/>
      <c r="E14" s="95"/>
      <c r="F14" s="95"/>
      <c r="G14" s="95"/>
      <c r="H14" s="95"/>
      <c r="I14" s="95"/>
      <c r="J14" s="95"/>
      <c r="K14" s="95"/>
    </row>
    <row r="15" spans="1:11" ht="18.95" customHeight="1">
      <c r="A15" s="221">
        <f>A14+1</f>
        <v>2</v>
      </c>
      <c r="B15" s="388">
        <v>121</v>
      </c>
      <c r="C15" s="68" t="s">
        <v>1588</v>
      </c>
      <c r="D15" s="226">
        <v>26876</v>
      </c>
      <c r="E15" s="391">
        <v>7073.06</v>
      </c>
      <c r="F15" s="391">
        <v>0</v>
      </c>
      <c r="G15" s="391">
        <f>E15-F15</f>
        <v>7073.06</v>
      </c>
      <c r="K15" s="147" t="s">
        <v>1576</v>
      </c>
    </row>
    <row r="16" spans="1:11" ht="18.95" customHeight="1">
      <c r="A16" s="739">
        <f t="shared" ref="A16:A46" si="0">A15+1</f>
        <v>3</v>
      </c>
      <c r="B16" s="388">
        <v>121</v>
      </c>
      <c r="C16" s="68" t="s">
        <v>1589</v>
      </c>
      <c r="D16" s="226">
        <v>21915</v>
      </c>
      <c r="E16" s="391">
        <v>2210.35</v>
      </c>
      <c r="F16" s="391">
        <v>0</v>
      </c>
      <c r="G16" s="391">
        <f t="shared" ref="G16:G45" si="1">E16-F16</f>
        <v>2210.35</v>
      </c>
      <c r="K16" s="147" t="s">
        <v>1576</v>
      </c>
    </row>
    <row r="17" spans="1:11" ht="18.95" customHeight="1">
      <c r="A17" s="739">
        <f t="shared" si="0"/>
        <v>4</v>
      </c>
      <c r="B17" s="388">
        <v>121</v>
      </c>
      <c r="C17" s="68" t="s">
        <v>1590</v>
      </c>
      <c r="D17" s="226">
        <v>33450</v>
      </c>
      <c r="E17" s="391">
        <v>29788.73</v>
      </c>
      <c r="F17" s="391">
        <v>0</v>
      </c>
      <c r="G17" s="391">
        <f t="shared" si="1"/>
        <v>29788.73</v>
      </c>
      <c r="K17" s="147" t="s">
        <v>1576</v>
      </c>
    </row>
    <row r="18" spans="1:11" ht="18.95" customHeight="1">
      <c r="A18" s="739">
        <f t="shared" si="0"/>
        <v>5</v>
      </c>
      <c r="B18" s="388">
        <v>121</v>
      </c>
      <c r="C18" s="68" t="s">
        <v>1591</v>
      </c>
      <c r="D18" s="226">
        <v>15341</v>
      </c>
      <c r="E18" s="391">
        <v>75</v>
      </c>
      <c r="F18" s="391">
        <v>0</v>
      </c>
      <c r="G18" s="391">
        <f t="shared" si="1"/>
        <v>75</v>
      </c>
      <c r="K18" s="147" t="s">
        <v>1576</v>
      </c>
    </row>
    <row r="19" spans="1:11" ht="18.95" customHeight="1">
      <c r="A19" s="739">
        <f t="shared" si="0"/>
        <v>6</v>
      </c>
      <c r="B19" s="388">
        <v>121</v>
      </c>
      <c r="C19" s="68" t="s">
        <v>2745</v>
      </c>
      <c r="D19" s="226">
        <v>32877</v>
      </c>
      <c r="E19" s="391">
        <v>23681.77</v>
      </c>
      <c r="F19" s="391">
        <v>0</v>
      </c>
      <c r="G19" s="391">
        <f t="shared" si="1"/>
        <v>23681.77</v>
      </c>
      <c r="K19" s="147" t="s">
        <v>1576</v>
      </c>
    </row>
    <row r="20" spans="1:11" ht="18.95" customHeight="1">
      <c r="A20" s="739">
        <f t="shared" si="0"/>
        <v>7</v>
      </c>
      <c r="B20" s="388">
        <v>121</v>
      </c>
      <c r="C20" s="68" t="s">
        <v>1592</v>
      </c>
      <c r="D20" s="226">
        <v>15219</v>
      </c>
      <c r="E20" s="391">
        <v>500</v>
      </c>
      <c r="F20" s="391">
        <v>0</v>
      </c>
      <c r="G20" s="391">
        <f t="shared" si="1"/>
        <v>500</v>
      </c>
      <c r="K20" s="147" t="s">
        <v>1576</v>
      </c>
    </row>
    <row r="21" spans="1:11" ht="18.95" customHeight="1">
      <c r="A21" s="739">
        <f t="shared" si="0"/>
        <v>8</v>
      </c>
      <c r="B21" s="388">
        <v>121</v>
      </c>
      <c r="C21" s="68" t="s">
        <v>2746</v>
      </c>
      <c r="D21" s="226">
        <v>16437</v>
      </c>
      <c r="E21" s="391">
        <v>402.5</v>
      </c>
      <c r="F21" s="391">
        <v>0</v>
      </c>
      <c r="G21" s="391">
        <f t="shared" si="1"/>
        <v>402.5</v>
      </c>
      <c r="K21" s="147" t="s">
        <v>1576</v>
      </c>
    </row>
    <row r="22" spans="1:11" ht="18.95" customHeight="1">
      <c r="A22" s="739">
        <f t="shared" si="0"/>
        <v>9</v>
      </c>
      <c r="B22" s="388">
        <v>121</v>
      </c>
      <c r="C22" s="68" t="s">
        <v>1593</v>
      </c>
      <c r="D22" s="226">
        <v>15035</v>
      </c>
      <c r="E22" s="391">
        <v>961.5</v>
      </c>
      <c r="F22" s="391">
        <v>0</v>
      </c>
      <c r="G22" s="391">
        <f t="shared" si="1"/>
        <v>961.5</v>
      </c>
      <c r="K22" s="147" t="s">
        <v>1576</v>
      </c>
    </row>
    <row r="23" spans="1:11" ht="18.95" customHeight="1">
      <c r="A23" s="739">
        <f t="shared" si="0"/>
        <v>10</v>
      </c>
      <c r="B23" s="388">
        <v>121</v>
      </c>
      <c r="C23" s="68" t="s">
        <v>1594</v>
      </c>
      <c r="D23" s="226">
        <v>19663</v>
      </c>
      <c r="E23" s="391">
        <v>212.25</v>
      </c>
      <c r="F23" s="391">
        <v>0</v>
      </c>
      <c r="G23" s="391">
        <f t="shared" si="1"/>
        <v>212.25</v>
      </c>
      <c r="K23" s="147" t="s">
        <v>1576</v>
      </c>
    </row>
    <row r="24" spans="1:11" ht="18.95" customHeight="1">
      <c r="A24" s="739">
        <f t="shared" si="0"/>
        <v>11</v>
      </c>
      <c r="B24" s="388">
        <v>121</v>
      </c>
      <c r="C24" s="68" t="s">
        <v>1595</v>
      </c>
      <c r="D24" s="226">
        <v>14884</v>
      </c>
      <c r="E24" s="391">
        <v>12950</v>
      </c>
      <c r="F24" s="391">
        <v>0</v>
      </c>
      <c r="G24" s="391">
        <f t="shared" si="1"/>
        <v>12950</v>
      </c>
      <c r="K24" s="147" t="s">
        <v>1576</v>
      </c>
    </row>
    <row r="25" spans="1:11" ht="18.95" customHeight="1">
      <c r="A25" s="739">
        <f t="shared" si="0"/>
        <v>12</v>
      </c>
      <c r="B25" s="388">
        <v>121</v>
      </c>
      <c r="C25" s="68" t="s">
        <v>1596</v>
      </c>
      <c r="D25" s="226">
        <v>24776</v>
      </c>
      <c r="E25" s="391">
        <v>79501.5</v>
      </c>
      <c r="F25" s="391">
        <v>0</v>
      </c>
      <c r="G25" s="391">
        <f t="shared" si="1"/>
        <v>79501.5</v>
      </c>
      <c r="K25" s="147" t="s">
        <v>1576</v>
      </c>
    </row>
    <row r="26" spans="1:11" ht="18.95" customHeight="1">
      <c r="A26" s="739">
        <f t="shared" si="0"/>
        <v>13</v>
      </c>
      <c r="B26" s="388">
        <v>121</v>
      </c>
      <c r="C26" s="68" t="s">
        <v>1597</v>
      </c>
      <c r="D26" s="226">
        <v>15341</v>
      </c>
      <c r="E26" s="391">
        <v>250</v>
      </c>
      <c r="F26" s="391">
        <v>0</v>
      </c>
      <c r="G26" s="391">
        <f t="shared" si="1"/>
        <v>250</v>
      </c>
      <c r="K26" s="147" t="s">
        <v>1576</v>
      </c>
    </row>
    <row r="27" spans="1:11" ht="18.95" customHeight="1">
      <c r="A27" s="739">
        <f t="shared" si="0"/>
        <v>14</v>
      </c>
      <c r="B27" s="388">
        <v>121</v>
      </c>
      <c r="C27" s="68" t="s">
        <v>1598</v>
      </c>
      <c r="D27" s="226">
        <v>18506</v>
      </c>
      <c r="E27" s="391">
        <v>429</v>
      </c>
      <c r="F27" s="391">
        <v>0</v>
      </c>
      <c r="G27" s="391">
        <f t="shared" si="1"/>
        <v>429</v>
      </c>
      <c r="K27" s="147" t="s">
        <v>1576</v>
      </c>
    </row>
    <row r="28" spans="1:11" ht="18.95" customHeight="1">
      <c r="A28" s="739">
        <f t="shared" si="0"/>
        <v>15</v>
      </c>
      <c r="B28" s="388">
        <v>121</v>
      </c>
      <c r="C28" s="68" t="s">
        <v>1599</v>
      </c>
      <c r="D28" s="226">
        <v>15341</v>
      </c>
      <c r="E28" s="391">
        <v>149.88999999999999</v>
      </c>
      <c r="F28" s="391">
        <v>0</v>
      </c>
      <c r="G28" s="391">
        <f t="shared" si="1"/>
        <v>149.88999999999999</v>
      </c>
      <c r="K28" s="147" t="s">
        <v>1576</v>
      </c>
    </row>
    <row r="29" spans="1:11" ht="18.95" customHeight="1">
      <c r="A29" s="739">
        <f t="shared" si="0"/>
        <v>16</v>
      </c>
      <c r="B29" s="738">
        <v>121</v>
      </c>
      <c r="C29" s="68" t="s">
        <v>1600</v>
      </c>
      <c r="D29" s="226">
        <v>15341</v>
      </c>
      <c r="E29" s="391">
        <v>850</v>
      </c>
      <c r="F29" s="391">
        <v>0</v>
      </c>
      <c r="G29" s="391">
        <f t="shared" si="1"/>
        <v>850</v>
      </c>
      <c r="K29" s="147" t="s">
        <v>1576</v>
      </c>
    </row>
    <row r="30" spans="1:11" ht="18.95" customHeight="1">
      <c r="A30" s="739">
        <f t="shared" si="0"/>
        <v>17</v>
      </c>
      <c r="B30" s="738">
        <v>121</v>
      </c>
      <c r="C30" s="68" t="s">
        <v>1601</v>
      </c>
      <c r="D30" s="226">
        <v>18171</v>
      </c>
      <c r="E30" s="391">
        <v>145.62</v>
      </c>
      <c r="F30" s="391">
        <v>0</v>
      </c>
      <c r="G30" s="391">
        <f t="shared" si="1"/>
        <v>145.62</v>
      </c>
      <c r="K30" s="147" t="s">
        <v>1576</v>
      </c>
    </row>
    <row r="31" spans="1:11" ht="18.95" customHeight="1">
      <c r="A31" s="739">
        <f t="shared" si="0"/>
        <v>18</v>
      </c>
      <c r="B31" s="738">
        <v>121</v>
      </c>
      <c r="C31" s="68" t="s">
        <v>1602</v>
      </c>
      <c r="D31" s="226">
        <v>15249</v>
      </c>
      <c r="E31" s="391">
        <v>3590.58</v>
      </c>
      <c r="F31" s="391">
        <v>0</v>
      </c>
      <c r="G31" s="391">
        <f t="shared" si="1"/>
        <v>3590.58</v>
      </c>
      <c r="K31" s="147" t="s">
        <v>1576</v>
      </c>
    </row>
    <row r="32" spans="1:11" ht="18.95" customHeight="1">
      <c r="A32" s="739">
        <f t="shared" si="0"/>
        <v>19</v>
      </c>
      <c r="B32" s="738">
        <v>121</v>
      </c>
      <c r="C32" s="68" t="s">
        <v>1603</v>
      </c>
      <c r="D32" s="226">
        <v>33116</v>
      </c>
      <c r="E32" s="391">
        <v>192.5</v>
      </c>
      <c r="F32" s="391">
        <v>0</v>
      </c>
      <c r="G32" s="391">
        <f t="shared" si="1"/>
        <v>192.5</v>
      </c>
      <c r="K32" s="147" t="s">
        <v>1576</v>
      </c>
    </row>
    <row r="33" spans="1:11" ht="18.95" customHeight="1">
      <c r="A33" s="739">
        <f t="shared" si="0"/>
        <v>20</v>
      </c>
      <c r="B33" s="738">
        <v>121</v>
      </c>
      <c r="C33" s="68" t="s">
        <v>1604</v>
      </c>
      <c r="D33" s="226">
        <v>36191</v>
      </c>
      <c r="E33" s="391">
        <v>3402.5</v>
      </c>
      <c r="F33" s="391">
        <v>0</v>
      </c>
      <c r="G33" s="391">
        <f t="shared" si="1"/>
        <v>3402.5</v>
      </c>
      <c r="K33" s="147" t="s">
        <v>1576</v>
      </c>
    </row>
    <row r="34" spans="1:11" ht="18.95" customHeight="1">
      <c r="A34" s="739">
        <f t="shared" si="0"/>
        <v>21</v>
      </c>
      <c r="B34" s="738">
        <v>121</v>
      </c>
      <c r="C34" s="68" t="s">
        <v>1605</v>
      </c>
      <c r="D34" s="226">
        <v>21397</v>
      </c>
      <c r="E34" s="391">
        <v>160</v>
      </c>
      <c r="F34" s="391">
        <v>0</v>
      </c>
      <c r="G34" s="391">
        <f t="shared" si="1"/>
        <v>160</v>
      </c>
      <c r="K34" s="147" t="s">
        <v>1576</v>
      </c>
    </row>
    <row r="35" spans="1:11" ht="18.95" customHeight="1">
      <c r="A35" s="739">
        <f t="shared" si="0"/>
        <v>22</v>
      </c>
      <c r="B35" s="388">
        <v>121</v>
      </c>
      <c r="C35" s="68" t="s">
        <v>1606</v>
      </c>
      <c r="D35" s="226">
        <v>15341</v>
      </c>
      <c r="E35" s="391">
        <v>73</v>
      </c>
      <c r="F35" s="391">
        <v>0</v>
      </c>
      <c r="G35" s="391">
        <f t="shared" si="1"/>
        <v>73</v>
      </c>
      <c r="K35" s="147" t="s">
        <v>1576</v>
      </c>
    </row>
    <row r="36" spans="1:11" ht="18.95" customHeight="1">
      <c r="A36" s="739">
        <f t="shared" si="0"/>
        <v>23</v>
      </c>
      <c r="B36" s="388">
        <v>121</v>
      </c>
      <c r="C36" s="68" t="s">
        <v>1607</v>
      </c>
      <c r="D36" s="226">
        <v>15341</v>
      </c>
      <c r="E36" s="391">
        <v>59.8</v>
      </c>
      <c r="F36" s="391">
        <v>0</v>
      </c>
      <c r="G36" s="391">
        <f t="shared" si="1"/>
        <v>59.8</v>
      </c>
      <c r="K36" s="147" t="s">
        <v>1576</v>
      </c>
    </row>
    <row r="37" spans="1:11" ht="18.95" customHeight="1">
      <c r="A37" s="739">
        <f t="shared" si="0"/>
        <v>24</v>
      </c>
      <c r="B37" s="388">
        <v>121</v>
      </c>
      <c r="C37" s="68" t="s">
        <v>2747</v>
      </c>
      <c r="D37" s="226">
        <v>43418</v>
      </c>
      <c r="E37" s="391">
        <v>110905.38</v>
      </c>
      <c r="F37" s="391">
        <v>0</v>
      </c>
      <c r="G37" s="391">
        <f t="shared" si="1"/>
        <v>110905.38</v>
      </c>
      <c r="K37" s="147" t="s">
        <v>1576</v>
      </c>
    </row>
    <row r="38" spans="1:11" ht="18.95" customHeight="1">
      <c r="A38" s="739">
        <f t="shared" si="0"/>
        <v>25</v>
      </c>
      <c r="B38" s="388">
        <v>121</v>
      </c>
      <c r="C38" s="68" t="s">
        <v>2748</v>
      </c>
      <c r="D38" s="226">
        <v>43414</v>
      </c>
      <c r="E38" s="391">
        <v>90681.47</v>
      </c>
      <c r="F38" s="391">
        <v>0</v>
      </c>
      <c r="G38" s="391">
        <f t="shared" si="1"/>
        <v>90681.47</v>
      </c>
      <c r="K38" s="147" t="s">
        <v>1576</v>
      </c>
    </row>
    <row r="39" spans="1:11" ht="18.95" customHeight="1">
      <c r="A39" s="739">
        <f t="shared" si="0"/>
        <v>26</v>
      </c>
      <c r="B39" s="388">
        <v>121</v>
      </c>
      <c r="C39" s="68" t="s">
        <v>2749</v>
      </c>
      <c r="D39" s="226">
        <v>43440</v>
      </c>
      <c r="E39" s="391">
        <v>163096.17000000001</v>
      </c>
      <c r="F39" s="391">
        <v>0</v>
      </c>
      <c r="G39" s="391">
        <f t="shared" si="1"/>
        <v>163096.17000000001</v>
      </c>
      <c r="K39" s="147" t="s">
        <v>1576</v>
      </c>
    </row>
    <row r="40" spans="1:11" ht="18.95" customHeight="1">
      <c r="A40" s="739">
        <f t="shared" si="0"/>
        <v>27</v>
      </c>
      <c r="B40" s="388">
        <v>121</v>
      </c>
      <c r="C40" s="68" t="s">
        <v>2750</v>
      </c>
      <c r="D40" s="226">
        <v>43446</v>
      </c>
      <c r="E40" s="391">
        <v>114167.3</v>
      </c>
      <c r="F40" s="391">
        <v>0</v>
      </c>
      <c r="G40" s="391">
        <f t="shared" si="1"/>
        <v>114167.3</v>
      </c>
      <c r="K40" s="147" t="s">
        <v>1576</v>
      </c>
    </row>
    <row r="41" spans="1:11" ht="18.95" customHeight="1">
      <c r="A41" s="739">
        <f t="shared" si="0"/>
        <v>28</v>
      </c>
      <c r="B41" s="388">
        <v>121</v>
      </c>
      <c r="C41" s="68" t="s">
        <v>1608</v>
      </c>
      <c r="D41" s="226">
        <v>31351</v>
      </c>
      <c r="E41" s="391">
        <v>28294.17</v>
      </c>
      <c r="F41" s="391">
        <v>0</v>
      </c>
      <c r="G41" s="391">
        <f t="shared" si="1"/>
        <v>28294.17</v>
      </c>
      <c r="K41" s="147" t="s">
        <v>1576</v>
      </c>
    </row>
    <row r="42" spans="1:11" ht="18.95" customHeight="1">
      <c r="A42" s="739">
        <f t="shared" si="0"/>
        <v>29</v>
      </c>
      <c r="B42" s="388">
        <v>121</v>
      </c>
      <c r="C42" s="68" t="s">
        <v>1609</v>
      </c>
      <c r="D42" s="226">
        <v>15035</v>
      </c>
      <c r="E42" s="391">
        <v>800</v>
      </c>
      <c r="F42" s="391">
        <v>0</v>
      </c>
      <c r="G42" s="391">
        <f t="shared" si="1"/>
        <v>800</v>
      </c>
      <c r="K42" s="147" t="s">
        <v>1576</v>
      </c>
    </row>
    <row r="43" spans="1:11" ht="18.95" customHeight="1">
      <c r="A43" s="739">
        <f t="shared" si="0"/>
        <v>30</v>
      </c>
      <c r="B43" s="388">
        <v>121</v>
      </c>
      <c r="C43" s="68" t="s">
        <v>1610</v>
      </c>
      <c r="D43" s="226">
        <v>15096</v>
      </c>
      <c r="E43" s="391">
        <v>86.96</v>
      </c>
      <c r="F43" s="391">
        <v>0</v>
      </c>
      <c r="G43" s="391">
        <f t="shared" si="1"/>
        <v>86.96</v>
      </c>
      <c r="K43" s="147" t="s">
        <v>1576</v>
      </c>
    </row>
    <row r="44" spans="1:11" ht="18.95" customHeight="1">
      <c r="A44" s="739">
        <f t="shared" si="0"/>
        <v>31</v>
      </c>
      <c r="B44" s="388">
        <v>121</v>
      </c>
      <c r="C44" s="68" t="s">
        <v>1611</v>
      </c>
      <c r="D44" s="226">
        <v>18506</v>
      </c>
      <c r="E44" s="391">
        <v>2857.48</v>
      </c>
      <c r="F44" s="391">
        <v>0</v>
      </c>
      <c r="G44" s="391">
        <f t="shared" si="1"/>
        <v>2857.48</v>
      </c>
      <c r="K44" s="147" t="s">
        <v>1576</v>
      </c>
    </row>
    <row r="45" spans="1:11" ht="18.95" customHeight="1">
      <c r="A45" s="739">
        <f t="shared" si="0"/>
        <v>32</v>
      </c>
      <c r="B45" s="388">
        <v>121</v>
      </c>
      <c r="C45" s="68" t="s">
        <v>1612</v>
      </c>
      <c r="D45" s="226">
        <v>21915</v>
      </c>
      <c r="E45" s="392">
        <v>4100</v>
      </c>
      <c r="F45" s="392">
        <v>0</v>
      </c>
      <c r="G45" s="392">
        <f t="shared" si="1"/>
        <v>4100</v>
      </c>
      <c r="H45" s="227"/>
      <c r="K45" s="147" t="s">
        <v>1576</v>
      </c>
    </row>
    <row r="46" spans="1:11" ht="18.95" customHeight="1" thickBot="1">
      <c r="A46" s="739">
        <f t="shared" si="0"/>
        <v>33</v>
      </c>
      <c r="B46" s="71"/>
      <c r="C46" s="68" t="s">
        <v>233</v>
      </c>
      <c r="D46" s="226"/>
      <c r="E46" s="390">
        <f>SUM(E15:E45)</f>
        <v>681648.4800000001</v>
      </c>
      <c r="F46" s="390">
        <v>0</v>
      </c>
      <c r="G46" s="390">
        <f t="shared" ref="G46" si="2">E46-F46</f>
        <v>681648.4800000001</v>
      </c>
      <c r="H46" s="390">
        <f>SUM(H15:H45)</f>
        <v>0</v>
      </c>
      <c r="K46" s="147" t="s">
        <v>1576</v>
      </c>
    </row>
    <row r="47" spans="1:11" ht="18.95" customHeight="1" thickTop="1">
      <c r="B47" s="71"/>
      <c r="C47" s="68"/>
      <c r="E47" s="86"/>
      <c r="K47" s="147"/>
    </row>
    <row r="48" spans="1:11" s="68" customFormat="1" ht="20.100000000000001" customHeight="1">
      <c r="A48" s="809" t="str">
        <f>$A$1</f>
        <v>KENTUCKY UTILITIES COMPANY</v>
      </c>
      <c r="B48" s="809"/>
      <c r="C48" s="809"/>
      <c r="D48" s="809"/>
      <c r="E48" s="809"/>
      <c r="F48" s="809"/>
      <c r="G48" s="809"/>
      <c r="H48" s="809"/>
      <c r="I48" s="809"/>
      <c r="J48" s="809"/>
      <c r="K48" s="809"/>
    </row>
    <row r="49" spans="1:11" s="68" customFormat="1" ht="20.100000000000001" customHeight="1">
      <c r="A49" s="809" t="str">
        <f>$A$2</f>
        <v>CASE NO. 2020-00349</v>
      </c>
      <c r="B49" s="809"/>
      <c r="C49" s="809"/>
      <c r="D49" s="809"/>
      <c r="E49" s="809"/>
      <c r="F49" s="809"/>
      <c r="G49" s="809"/>
      <c r="H49" s="809"/>
      <c r="I49" s="809"/>
      <c r="J49" s="809"/>
      <c r="K49" s="809"/>
    </row>
    <row r="50" spans="1:11" s="68" customFormat="1" ht="20.100000000000001" customHeight="1">
      <c r="A50" s="809" t="str">
        <f>$A$3</f>
        <v>PROPERTY EXCLUDED FROM RATE BASE</v>
      </c>
      <c r="B50" s="809"/>
      <c r="C50" s="809"/>
      <c r="D50" s="809"/>
      <c r="E50" s="809"/>
      <c r="F50" s="809"/>
      <c r="G50" s="809"/>
      <c r="H50" s="809"/>
      <c r="I50" s="809"/>
      <c r="J50" s="809"/>
      <c r="K50" s="809"/>
    </row>
    <row r="51" spans="1:11" s="68" customFormat="1" ht="20.100000000000001" customHeight="1">
      <c r="A51" s="809" t="str">
        <f>$A$4</f>
        <v>(FOR REASONS OTHER THAN JURISDICTIONAL ALLOCATION)</v>
      </c>
      <c r="B51" s="809"/>
      <c r="C51" s="809"/>
      <c r="D51" s="809"/>
      <c r="E51" s="809"/>
      <c r="F51" s="809"/>
      <c r="G51" s="809"/>
      <c r="H51" s="809"/>
      <c r="I51" s="809"/>
      <c r="J51" s="809"/>
      <c r="K51" s="809"/>
    </row>
    <row r="52" spans="1:11" s="68" customFormat="1" ht="20.100000000000001" customHeight="1">
      <c r="A52" s="809" t="str">
        <f>'Rate Case Constants'!C18</f>
        <v>AS OF JUNE 30, 2022</v>
      </c>
      <c r="B52" s="809"/>
      <c r="C52" s="809"/>
      <c r="D52" s="809"/>
      <c r="E52" s="809"/>
      <c r="F52" s="809"/>
      <c r="G52" s="809"/>
      <c r="H52" s="809"/>
      <c r="I52" s="809"/>
      <c r="J52" s="809"/>
      <c r="K52" s="809"/>
    </row>
    <row r="53" spans="1:11" s="68" customFormat="1" ht="20.100000000000001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 s="68" customFormat="1" ht="20.100000000000001" customHeight="1">
      <c r="A54" s="67" t="s">
        <v>161</v>
      </c>
      <c r="B54" s="67"/>
      <c r="H54" s="74"/>
      <c r="I54" s="74"/>
      <c r="J54" s="74"/>
      <c r="K54" s="74" t="s">
        <v>206</v>
      </c>
    </row>
    <row r="55" spans="1:11" s="68" customFormat="1" ht="20.100000000000001" customHeight="1">
      <c r="A55" s="67" t="str">
        <f>$A$8</f>
        <v>TYPE OF FILING: __X__ ORIGINAL  _____ UPDATED  _____ REVISED</v>
      </c>
      <c r="H55" s="74"/>
      <c r="I55" s="74"/>
      <c r="J55" s="74"/>
      <c r="K55" s="74" t="s">
        <v>184</v>
      </c>
    </row>
    <row r="56" spans="1:11" s="68" customFormat="1" ht="20.100000000000001" customHeight="1">
      <c r="A56" s="67" t="str">
        <f>$A$9</f>
        <v>WORKPAPER REFERENCE NO(S).:</v>
      </c>
      <c r="B56" s="67"/>
      <c r="G56" s="67"/>
      <c r="H56" s="75"/>
      <c r="I56" s="75"/>
      <c r="J56" s="75"/>
      <c r="K56" s="75" t="str">
        <f>$K$9</f>
        <v>WITNESS:   C. M. GARRETT</v>
      </c>
    </row>
    <row r="57" spans="1:11" s="68" customFormat="1" ht="20.100000000000001" customHeight="1"/>
    <row r="58" spans="1:11" s="68" customFormat="1" ht="20.100000000000001" customHeight="1">
      <c r="A58" s="96"/>
      <c r="B58" s="96"/>
      <c r="C58" s="96"/>
      <c r="D58" s="96"/>
      <c r="E58" s="96"/>
      <c r="F58" s="96"/>
      <c r="G58" s="96"/>
      <c r="H58" s="813" t="s">
        <v>210</v>
      </c>
      <c r="I58" s="813"/>
      <c r="J58" s="813"/>
      <c r="K58" s="97"/>
    </row>
    <row r="59" spans="1:11" ht="43.5" customHeight="1">
      <c r="A59" s="71" t="s">
        <v>131</v>
      </c>
      <c r="B59" s="71" t="s">
        <v>134</v>
      </c>
      <c r="C59" s="71" t="s">
        <v>212</v>
      </c>
      <c r="D59" s="71" t="s">
        <v>209</v>
      </c>
      <c r="E59" s="71" t="s">
        <v>198</v>
      </c>
      <c r="F59" s="71" t="s">
        <v>199</v>
      </c>
      <c r="G59" s="71" t="s">
        <v>200</v>
      </c>
      <c r="H59" s="71" t="s">
        <v>201</v>
      </c>
      <c r="I59" s="71" t="s">
        <v>202</v>
      </c>
      <c r="J59" s="71" t="s">
        <v>204</v>
      </c>
      <c r="K59" s="98" t="s">
        <v>211</v>
      </c>
    </row>
    <row r="60" spans="1:11" ht="23.1" customHeight="1">
      <c r="A60" s="80"/>
      <c r="B60" s="80"/>
      <c r="C60" s="81"/>
      <c r="D60" s="82"/>
      <c r="E60" s="82" t="s">
        <v>142</v>
      </c>
      <c r="F60" s="82" t="s">
        <v>142</v>
      </c>
      <c r="G60" s="82" t="s">
        <v>142</v>
      </c>
      <c r="H60" s="82" t="s">
        <v>142</v>
      </c>
      <c r="I60" s="82"/>
      <c r="J60" s="82"/>
      <c r="K60" s="82"/>
    </row>
    <row r="61" spans="1:11" ht="23.1" customHeight="1">
      <c r="A61" s="221">
        <v>1</v>
      </c>
      <c r="B61" s="73"/>
      <c r="C61" s="225" t="s">
        <v>1613</v>
      </c>
      <c r="D61" s="95"/>
      <c r="E61" s="95"/>
      <c r="F61" s="95"/>
      <c r="G61" s="95"/>
      <c r="H61" s="95"/>
      <c r="I61" s="95"/>
      <c r="J61" s="95"/>
      <c r="K61" s="95"/>
    </row>
    <row r="62" spans="1:11" ht="18.95" customHeight="1">
      <c r="A62" s="221">
        <f>A61+1</f>
        <v>2</v>
      </c>
      <c r="B62" s="388">
        <v>121</v>
      </c>
      <c r="C62" s="68" t="s">
        <v>1588</v>
      </c>
      <c r="D62" s="226">
        <v>26876</v>
      </c>
      <c r="E62" s="391">
        <v>7073.06</v>
      </c>
      <c r="F62" s="391">
        <v>0</v>
      </c>
      <c r="G62" s="391">
        <f>E62-F62</f>
        <v>7073.06</v>
      </c>
      <c r="K62" s="147" t="s">
        <v>1576</v>
      </c>
    </row>
    <row r="63" spans="1:11" ht="18.95" customHeight="1">
      <c r="A63" s="221">
        <f t="shared" ref="A63:A93" si="3">A62+1</f>
        <v>3</v>
      </c>
      <c r="B63" s="388">
        <v>121</v>
      </c>
      <c r="C63" s="68" t="s">
        <v>1589</v>
      </c>
      <c r="D63" s="226">
        <v>21915</v>
      </c>
      <c r="E63" s="391">
        <v>2210.35</v>
      </c>
      <c r="F63" s="391">
        <v>0</v>
      </c>
      <c r="G63" s="391">
        <f t="shared" ref="G63:G92" si="4">E63-F63</f>
        <v>2210.35</v>
      </c>
      <c r="K63" s="147" t="s">
        <v>1576</v>
      </c>
    </row>
    <row r="64" spans="1:11" ht="18.95" customHeight="1">
      <c r="A64" s="221">
        <f t="shared" si="3"/>
        <v>4</v>
      </c>
      <c r="B64" s="388">
        <v>121</v>
      </c>
      <c r="C64" s="68" t="s">
        <v>1590</v>
      </c>
      <c r="D64" s="226">
        <v>33450</v>
      </c>
      <c r="E64" s="391">
        <v>29788.73</v>
      </c>
      <c r="F64" s="391">
        <v>0</v>
      </c>
      <c r="G64" s="391">
        <f t="shared" si="4"/>
        <v>29788.73</v>
      </c>
      <c r="K64" s="147" t="s">
        <v>1576</v>
      </c>
    </row>
    <row r="65" spans="1:11" ht="18.95" customHeight="1">
      <c r="A65" s="221">
        <f t="shared" si="3"/>
        <v>5</v>
      </c>
      <c r="B65" s="388">
        <v>121</v>
      </c>
      <c r="C65" s="68" t="s">
        <v>1591</v>
      </c>
      <c r="D65" s="226">
        <v>15341</v>
      </c>
      <c r="E65" s="391">
        <v>75</v>
      </c>
      <c r="F65" s="391">
        <v>0</v>
      </c>
      <c r="G65" s="391">
        <f t="shared" si="4"/>
        <v>75</v>
      </c>
      <c r="K65" s="147" t="s">
        <v>1576</v>
      </c>
    </row>
    <row r="66" spans="1:11" ht="18.95" customHeight="1">
      <c r="A66" s="221">
        <f t="shared" si="3"/>
        <v>6</v>
      </c>
      <c r="B66" s="388">
        <v>121</v>
      </c>
      <c r="C66" s="68" t="s">
        <v>1592</v>
      </c>
      <c r="D66" s="226">
        <v>15219</v>
      </c>
      <c r="E66" s="391">
        <v>500</v>
      </c>
      <c r="F66" s="391">
        <v>0</v>
      </c>
      <c r="G66" s="391">
        <f t="shared" si="4"/>
        <v>500</v>
      </c>
      <c r="K66" s="147" t="s">
        <v>1576</v>
      </c>
    </row>
    <row r="67" spans="1:11" ht="18.95" customHeight="1">
      <c r="A67" s="221">
        <f t="shared" si="3"/>
        <v>7</v>
      </c>
      <c r="B67" s="388">
        <v>121</v>
      </c>
      <c r="C67" s="68" t="s">
        <v>2746</v>
      </c>
      <c r="D67" s="226">
        <v>16437</v>
      </c>
      <c r="E67" s="391">
        <v>402.5</v>
      </c>
      <c r="F67" s="391">
        <v>0</v>
      </c>
      <c r="G67" s="391">
        <f t="shared" si="4"/>
        <v>402.5</v>
      </c>
      <c r="K67" s="147" t="s">
        <v>1576</v>
      </c>
    </row>
    <row r="68" spans="1:11" ht="18.95" customHeight="1">
      <c r="A68" s="221">
        <f t="shared" si="3"/>
        <v>8</v>
      </c>
      <c r="B68" s="388">
        <v>121</v>
      </c>
      <c r="C68" s="68" t="s">
        <v>2745</v>
      </c>
      <c r="D68" s="226">
        <v>32877</v>
      </c>
      <c r="E68" s="391">
        <v>23681.77</v>
      </c>
      <c r="F68" s="391">
        <v>0</v>
      </c>
      <c r="G68" s="391">
        <f t="shared" si="4"/>
        <v>23681.77</v>
      </c>
      <c r="K68" s="147" t="s">
        <v>1576</v>
      </c>
    </row>
    <row r="69" spans="1:11" ht="18.95" customHeight="1">
      <c r="A69" s="221">
        <f t="shared" si="3"/>
        <v>9</v>
      </c>
      <c r="B69" s="388">
        <v>121</v>
      </c>
      <c r="C69" s="68" t="s">
        <v>1593</v>
      </c>
      <c r="D69" s="226">
        <v>15035</v>
      </c>
      <c r="E69" s="391">
        <v>961.5</v>
      </c>
      <c r="F69" s="391">
        <v>0</v>
      </c>
      <c r="G69" s="391">
        <f t="shared" si="4"/>
        <v>961.5</v>
      </c>
      <c r="K69" s="147" t="s">
        <v>1576</v>
      </c>
    </row>
    <row r="70" spans="1:11" ht="18.95" customHeight="1">
      <c r="A70" s="739">
        <f t="shared" si="3"/>
        <v>10</v>
      </c>
      <c r="B70" s="738">
        <v>121</v>
      </c>
      <c r="C70" s="68" t="s">
        <v>1594</v>
      </c>
      <c r="D70" s="226">
        <v>19663</v>
      </c>
      <c r="E70" s="391">
        <v>212.25</v>
      </c>
      <c r="F70" s="391">
        <v>0</v>
      </c>
      <c r="G70" s="391">
        <f t="shared" si="4"/>
        <v>212.25</v>
      </c>
      <c r="K70" s="147" t="s">
        <v>1576</v>
      </c>
    </row>
    <row r="71" spans="1:11" ht="18.95" customHeight="1">
      <c r="A71" s="739">
        <f t="shared" si="3"/>
        <v>11</v>
      </c>
      <c r="B71" s="738">
        <v>121</v>
      </c>
      <c r="C71" s="68" t="s">
        <v>1595</v>
      </c>
      <c r="D71" s="226">
        <v>14884</v>
      </c>
      <c r="E71" s="391">
        <v>12950</v>
      </c>
      <c r="F71" s="391">
        <v>0</v>
      </c>
      <c r="G71" s="391">
        <f t="shared" si="4"/>
        <v>12950</v>
      </c>
      <c r="K71" s="147" t="s">
        <v>1576</v>
      </c>
    </row>
    <row r="72" spans="1:11" ht="18.95" customHeight="1">
      <c r="A72" s="739">
        <f t="shared" si="3"/>
        <v>12</v>
      </c>
      <c r="B72" s="738">
        <v>121</v>
      </c>
      <c r="C72" s="68" t="s">
        <v>1596</v>
      </c>
      <c r="D72" s="226">
        <v>24776</v>
      </c>
      <c r="E72" s="391">
        <v>79501.5</v>
      </c>
      <c r="F72" s="391">
        <v>0</v>
      </c>
      <c r="G72" s="391">
        <f t="shared" si="4"/>
        <v>79501.5</v>
      </c>
      <c r="K72" s="147" t="s">
        <v>1576</v>
      </c>
    </row>
    <row r="73" spans="1:11" ht="18.95" customHeight="1">
      <c r="A73" s="739">
        <f t="shared" si="3"/>
        <v>13</v>
      </c>
      <c r="B73" s="738">
        <v>121</v>
      </c>
      <c r="C73" s="68" t="s">
        <v>1597</v>
      </c>
      <c r="D73" s="226">
        <v>15341</v>
      </c>
      <c r="E73" s="391">
        <v>250</v>
      </c>
      <c r="F73" s="391">
        <v>0</v>
      </c>
      <c r="G73" s="391">
        <f t="shared" si="4"/>
        <v>250</v>
      </c>
      <c r="K73" s="147" t="s">
        <v>1576</v>
      </c>
    </row>
    <row r="74" spans="1:11" ht="18.95" customHeight="1">
      <c r="A74" s="739">
        <f t="shared" si="3"/>
        <v>14</v>
      </c>
      <c r="B74" s="738">
        <v>121</v>
      </c>
      <c r="C74" s="68" t="s">
        <v>1598</v>
      </c>
      <c r="D74" s="226">
        <v>18506</v>
      </c>
      <c r="E74" s="391">
        <v>429</v>
      </c>
      <c r="F74" s="391">
        <v>0</v>
      </c>
      <c r="G74" s="391">
        <f t="shared" si="4"/>
        <v>429</v>
      </c>
      <c r="K74" s="147" t="s">
        <v>1576</v>
      </c>
    </row>
    <row r="75" spans="1:11" ht="18.95" customHeight="1">
      <c r="A75" s="739">
        <f t="shared" si="3"/>
        <v>15</v>
      </c>
      <c r="B75" s="738">
        <v>121</v>
      </c>
      <c r="C75" s="68" t="s">
        <v>1599</v>
      </c>
      <c r="D75" s="226">
        <v>15341</v>
      </c>
      <c r="E75" s="391">
        <v>149.88999999999999</v>
      </c>
      <c r="F75" s="391">
        <v>0</v>
      </c>
      <c r="G75" s="391">
        <f t="shared" si="4"/>
        <v>149.88999999999999</v>
      </c>
      <c r="K75" s="147" t="s">
        <v>1576</v>
      </c>
    </row>
    <row r="76" spans="1:11" ht="18.95" customHeight="1">
      <c r="A76" s="739">
        <f t="shared" si="3"/>
        <v>16</v>
      </c>
      <c r="B76" s="388">
        <v>121</v>
      </c>
      <c r="C76" s="68" t="s">
        <v>1600</v>
      </c>
      <c r="D76" s="226">
        <v>15341</v>
      </c>
      <c r="E76" s="391">
        <v>850</v>
      </c>
      <c r="F76" s="391">
        <v>0</v>
      </c>
      <c r="G76" s="391">
        <f t="shared" si="4"/>
        <v>850</v>
      </c>
      <c r="K76" s="147" t="s">
        <v>1576</v>
      </c>
    </row>
    <row r="77" spans="1:11" ht="18.95" customHeight="1">
      <c r="A77" s="739">
        <f t="shared" si="3"/>
        <v>17</v>
      </c>
      <c r="B77" s="388">
        <v>121</v>
      </c>
      <c r="C77" s="68" t="s">
        <v>1601</v>
      </c>
      <c r="D77" s="226">
        <v>18171</v>
      </c>
      <c r="E77" s="391">
        <v>145.62</v>
      </c>
      <c r="F77" s="391">
        <v>0</v>
      </c>
      <c r="G77" s="391">
        <f t="shared" si="4"/>
        <v>145.62</v>
      </c>
      <c r="K77" s="147" t="s">
        <v>1576</v>
      </c>
    </row>
    <row r="78" spans="1:11" ht="18.95" customHeight="1">
      <c r="A78" s="739">
        <f t="shared" si="3"/>
        <v>18</v>
      </c>
      <c r="B78" s="388">
        <v>121</v>
      </c>
      <c r="C78" s="68" t="s">
        <v>1602</v>
      </c>
      <c r="D78" s="226">
        <v>15249</v>
      </c>
      <c r="E78" s="391">
        <v>3590.58</v>
      </c>
      <c r="F78" s="391">
        <v>0</v>
      </c>
      <c r="G78" s="391">
        <f t="shared" si="4"/>
        <v>3590.58</v>
      </c>
      <c r="K78" s="147" t="s">
        <v>1576</v>
      </c>
    </row>
    <row r="79" spans="1:11" ht="18.95" customHeight="1">
      <c r="A79" s="739">
        <f t="shared" si="3"/>
        <v>19</v>
      </c>
      <c r="B79" s="388">
        <v>121</v>
      </c>
      <c r="C79" s="68" t="s">
        <v>1603</v>
      </c>
      <c r="D79" s="226">
        <v>33116</v>
      </c>
      <c r="E79" s="391">
        <v>192.5</v>
      </c>
      <c r="F79" s="391">
        <v>0</v>
      </c>
      <c r="G79" s="391">
        <f t="shared" si="4"/>
        <v>192.5</v>
      </c>
      <c r="K79" s="147" t="s">
        <v>1576</v>
      </c>
    </row>
    <row r="80" spans="1:11" ht="18.95" customHeight="1">
      <c r="A80" s="739">
        <f t="shared" si="3"/>
        <v>20</v>
      </c>
      <c r="B80" s="388">
        <v>121</v>
      </c>
      <c r="C80" s="68" t="s">
        <v>1604</v>
      </c>
      <c r="D80" s="226">
        <v>36191</v>
      </c>
      <c r="E80" s="391">
        <v>3402.5</v>
      </c>
      <c r="F80" s="391">
        <v>0</v>
      </c>
      <c r="G80" s="391">
        <f t="shared" si="4"/>
        <v>3402.5</v>
      </c>
      <c r="K80" s="147" t="s">
        <v>1576</v>
      </c>
    </row>
    <row r="81" spans="1:11" ht="18.95" customHeight="1">
      <c r="A81" s="739">
        <f t="shared" si="3"/>
        <v>21</v>
      </c>
      <c r="B81" s="388">
        <v>121</v>
      </c>
      <c r="C81" s="68" t="s">
        <v>1605</v>
      </c>
      <c r="D81" s="226">
        <v>21397</v>
      </c>
      <c r="E81" s="391">
        <v>160</v>
      </c>
      <c r="F81" s="391">
        <v>0</v>
      </c>
      <c r="G81" s="391">
        <f t="shared" si="4"/>
        <v>160</v>
      </c>
      <c r="K81" s="147" t="s">
        <v>1576</v>
      </c>
    </row>
    <row r="82" spans="1:11" ht="18.95" customHeight="1">
      <c r="A82" s="739">
        <f t="shared" si="3"/>
        <v>22</v>
      </c>
      <c r="B82" s="388">
        <v>121</v>
      </c>
      <c r="C82" s="68" t="s">
        <v>1606</v>
      </c>
      <c r="D82" s="226">
        <v>15341</v>
      </c>
      <c r="E82" s="391">
        <v>73</v>
      </c>
      <c r="F82" s="391">
        <v>0</v>
      </c>
      <c r="G82" s="391">
        <f t="shared" si="4"/>
        <v>73</v>
      </c>
      <c r="K82" s="147" t="s">
        <v>1576</v>
      </c>
    </row>
    <row r="83" spans="1:11" ht="18.95" customHeight="1">
      <c r="A83" s="739">
        <f t="shared" si="3"/>
        <v>23</v>
      </c>
      <c r="B83" s="388">
        <v>121</v>
      </c>
      <c r="C83" s="68" t="s">
        <v>1607</v>
      </c>
      <c r="D83" s="226">
        <v>15341</v>
      </c>
      <c r="E83" s="391">
        <v>59.8</v>
      </c>
      <c r="F83" s="391">
        <v>0</v>
      </c>
      <c r="G83" s="391">
        <f t="shared" si="4"/>
        <v>59.8</v>
      </c>
      <c r="K83" s="147" t="s">
        <v>1576</v>
      </c>
    </row>
    <row r="84" spans="1:11" ht="18.95" customHeight="1">
      <c r="A84" s="739">
        <f t="shared" si="3"/>
        <v>24</v>
      </c>
      <c r="B84" s="388">
        <v>121</v>
      </c>
      <c r="C84" s="68" t="s">
        <v>2747</v>
      </c>
      <c r="D84" s="226">
        <v>43418</v>
      </c>
      <c r="E84" s="391">
        <v>110905.38</v>
      </c>
      <c r="F84" s="391">
        <v>0</v>
      </c>
      <c r="G84" s="391">
        <f t="shared" si="4"/>
        <v>110905.38</v>
      </c>
      <c r="K84" s="147" t="s">
        <v>1576</v>
      </c>
    </row>
    <row r="85" spans="1:11" ht="18.95" customHeight="1">
      <c r="A85" s="739">
        <f t="shared" si="3"/>
        <v>25</v>
      </c>
      <c r="B85" s="388">
        <v>121</v>
      </c>
      <c r="C85" s="68" t="s">
        <v>2748</v>
      </c>
      <c r="D85" s="226">
        <v>43414</v>
      </c>
      <c r="E85" s="391">
        <v>90681.47</v>
      </c>
      <c r="F85" s="391">
        <v>0</v>
      </c>
      <c r="G85" s="391">
        <f t="shared" si="4"/>
        <v>90681.47</v>
      </c>
      <c r="K85" s="147" t="s">
        <v>1576</v>
      </c>
    </row>
    <row r="86" spans="1:11" ht="18.95" customHeight="1">
      <c r="A86" s="739">
        <f t="shared" si="3"/>
        <v>26</v>
      </c>
      <c r="B86" s="388">
        <v>121</v>
      </c>
      <c r="C86" s="68" t="s">
        <v>2749</v>
      </c>
      <c r="D86" s="226">
        <v>43440</v>
      </c>
      <c r="E86" s="391">
        <v>163096.17000000001</v>
      </c>
      <c r="F86" s="391">
        <v>0</v>
      </c>
      <c r="G86" s="391">
        <f t="shared" si="4"/>
        <v>163096.17000000001</v>
      </c>
      <c r="K86" s="147" t="s">
        <v>1576</v>
      </c>
    </row>
    <row r="87" spans="1:11" ht="18.95" customHeight="1">
      <c r="A87" s="739">
        <f t="shared" si="3"/>
        <v>27</v>
      </c>
      <c r="B87" s="388">
        <v>121</v>
      </c>
      <c r="C87" s="68" t="s">
        <v>2750</v>
      </c>
      <c r="D87" s="226">
        <v>43446</v>
      </c>
      <c r="E87" s="391">
        <v>114167.3</v>
      </c>
      <c r="F87" s="391">
        <v>0</v>
      </c>
      <c r="G87" s="391">
        <f t="shared" si="4"/>
        <v>114167.3</v>
      </c>
      <c r="K87" s="147" t="s">
        <v>1576</v>
      </c>
    </row>
    <row r="88" spans="1:11" ht="18.95" customHeight="1">
      <c r="A88" s="739">
        <f t="shared" si="3"/>
        <v>28</v>
      </c>
      <c r="B88" s="388">
        <v>121</v>
      </c>
      <c r="C88" s="68" t="s">
        <v>1608</v>
      </c>
      <c r="D88" s="226">
        <v>31351</v>
      </c>
      <c r="E88" s="391">
        <v>28294.17</v>
      </c>
      <c r="F88" s="391">
        <v>0</v>
      </c>
      <c r="G88" s="391">
        <f t="shared" si="4"/>
        <v>28294.17</v>
      </c>
      <c r="K88" s="147" t="s">
        <v>1576</v>
      </c>
    </row>
    <row r="89" spans="1:11" ht="18.95" customHeight="1">
      <c r="A89" s="739">
        <f t="shared" si="3"/>
        <v>29</v>
      </c>
      <c r="B89" s="388">
        <v>121</v>
      </c>
      <c r="C89" s="68" t="s">
        <v>1609</v>
      </c>
      <c r="D89" s="226">
        <v>15035</v>
      </c>
      <c r="E89" s="391">
        <v>800</v>
      </c>
      <c r="F89" s="391">
        <v>0</v>
      </c>
      <c r="G89" s="391">
        <f t="shared" si="4"/>
        <v>800</v>
      </c>
      <c r="K89" s="147" t="s">
        <v>1576</v>
      </c>
    </row>
    <row r="90" spans="1:11" ht="18.95" customHeight="1">
      <c r="A90" s="739">
        <f t="shared" si="3"/>
        <v>30</v>
      </c>
      <c r="B90" s="388">
        <v>121</v>
      </c>
      <c r="C90" s="68" t="s">
        <v>1610</v>
      </c>
      <c r="D90" s="226">
        <v>15096</v>
      </c>
      <c r="E90" s="391">
        <v>86.96</v>
      </c>
      <c r="F90" s="391">
        <v>0</v>
      </c>
      <c r="G90" s="391">
        <f t="shared" si="4"/>
        <v>86.96</v>
      </c>
      <c r="K90" s="147" t="s">
        <v>1576</v>
      </c>
    </row>
    <row r="91" spans="1:11" ht="18.95" customHeight="1">
      <c r="A91" s="739">
        <f t="shared" si="3"/>
        <v>31</v>
      </c>
      <c r="B91" s="388">
        <v>121</v>
      </c>
      <c r="C91" s="68" t="s">
        <v>1611</v>
      </c>
      <c r="D91" s="226">
        <v>18506</v>
      </c>
      <c r="E91" s="391">
        <v>2857.48</v>
      </c>
      <c r="F91" s="391">
        <v>0</v>
      </c>
      <c r="G91" s="391">
        <f t="shared" si="4"/>
        <v>2857.48</v>
      </c>
      <c r="K91" s="147" t="s">
        <v>1576</v>
      </c>
    </row>
    <row r="92" spans="1:11" ht="18.95" customHeight="1">
      <c r="A92" s="739">
        <f t="shared" si="3"/>
        <v>32</v>
      </c>
      <c r="B92" s="388">
        <v>121</v>
      </c>
      <c r="C92" s="68" t="s">
        <v>1612</v>
      </c>
      <c r="D92" s="226">
        <v>21915</v>
      </c>
      <c r="E92" s="392">
        <v>4100</v>
      </c>
      <c r="F92" s="392">
        <v>0</v>
      </c>
      <c r="G92" s="391">
        <f t="shared" si="4"/>
        <v>4100</v>
      </c>
      <c r="H92" s="227"/>
      <c r="K92" s="147" t="s">
        <v>1576</v>
      </c>
    </row>
    <row r="93" spans="1:11" ht="18.95" customHeight="1" thickBot="1">
      <c r="A93" s="739">
        <f t="shared" si="3"/>
        <v>33</v>
      </c>
      <c r="B93" s="71"/>
      <c r="C93" s="68" t="s">
        <v>233</v>
      </c>
      <c r="D93" s="226"/>
      <c r="E93" s="390">
        <f>SUM(E62:E92)</f>
        <v>681648.4800000001</v>
      </c>
      <c r="F93" s="390">
        <v>0</v>
      </c>
      <c r="G93" s="390">
        <f t="shared" ref="G93" si="5">E93-F93</f>
        <v>681648.4800000001</v>
      </c>
      <c r="H93" s="390">
        <f>SUM(H62:H92)</f>
        <v>0</v>
      </c>
      <c r="K93" s="147" t="s">
        <v>1576</v>
      </c>
    </row>
    <row r="94" spans="1:11" ht="18.95" customHeight="1" thickTop="1">
      <c r="B94" s="71"/>
      <c r="C94" s="78"/>
    </row>
    <row r="95" spans="1:11" ht="18.95" customHeight="1">
      <c r="B95" s="71"/>
    </row>
    <row r="96" spans="1:11" ht="18.95" customHeight="1">
      <c r="D96" s="69" t="s">
        <v>160</v>
      </c>
      <c r="E96" s="69" t="s">
        <v>160</v>
      </c>
    </row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</sheetData>
  <mergeCells count="12">
    <mergeCell ref="A48:K48"/>
    <mergeCell ref="A49:K49"/>
    <mergeCell ref="A50:K50"/>
    <mergeCell ref="A52:K52"/>
    <mergeCell ref="H58:J58"/>
    <mergeCell ref="A51:K51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8" fitToHeight="0" orientation="portrait" r:id="rId1"/>
  <rowBreaks count="1" manualBreakCount="1">
    <brk id="4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9.875" style="69" customWidth="1"/>
    <col min="7" max="9" width="15.75" style="69" customWidth="1"/>
    <col min="10" max="10" width="1.625" style="69" customWidth="1"/>
    <col min="11" max="11" width="9" style="69"/>
    <col min="12" max="12" width="13.125" style="69" customWidth="1"/>
    <col min="13" max="13" width="11.75" style="69" customWidth="1"/>
    <col min="14" max="14" width="12.625" style="69" customWidth="1"/>
    <col min="15" max="15" width="12.875" style="69" customWidth="1"/>
    <col min="16" max="16384" width="9" style="69"/>
  </cols>
  <sheetData>
    <row r="1" spans="1:16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</row>
    <row r="2" spans="1:16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</row>
    <row r="3" spans="1:16" s="68" customFormat="1" ht="20.100000000000001" customHeight="1">
      <c r="A3" s="809" t="s">
        <v>1197</v>
      </c>
      <c r="B3" s="809"/>
      <c r="C3" s="809"/>
      <c r="D3" s="809"/>
      <c r="E3" s="809"/>
      <c r="F3" s="809"/>
      <c r="G3" s="809"/>
      <c r="H3" s="809"/>
      <c r="I3" s="809"/>
    </row>
    <row r="4" spans="1:16" s="68" customFormat="1" ht="20.100000000000001" customHeight="1">
      <c r="A4" s="808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</row>
    <row r="5" spans="1:16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16" s="68" customFormat="1" ht="20.100000000000001" customHeight="1">
      <c r="A6" s="67" t="s">
        <v>133</v>
      </c>
      <c r="B6" s="67"/>
      <c r="H6" s="74"/>
      <c r="I6" s="74" t="s">
        <v>1196</v>
      </c>
    </row>
    <row r="7" spans="1:16" s="68" customFormat="1" ht="20.100000000000001" customHeight="1">
      <c r="A7" s="68" t="str">
        <f>'Rate Case Constants'!C29</f>
        <v>TYPE OF FILING: __X__ ORIGINAL  _____ UPDATED  _____ REVISED</v>
      </c>
      <c r="H7" s="74"/>
      <c r="I7" s="74" t="s">
        <v>172</v>
      </c>
    </row>
    <row r="8" spans="1:16" s="68" customFormat="1" ht="20.100000000000001" customHeight="1">
      <c r="A8" s="67" t="s">
        <v>1195</v>
      </c>
      <c r="B8" s="67"/>
      <c r="F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13" t="s">
        <v>1200</v>
      </c>
      <c r="F10" s="813"/>
      <c r="G10" s="813"/>
      <c r="H10" s="813"/>
      <c r="I10" s="813"/>
      <c r="L10" s="398" t="s">
        <v>2166</v>
      </c>
      <c r="M10" s="398"/>
      <c r="N10" s="398"/>
      <c r="O10" s="398"/>
      <c r="P10" s="398"/>
    </row>
    <row r="11" spans="1:16" ht="65.099999999999994" customHeight="1">
      <c r="A11" s="71" t="s">
        <v>131</v>
      </c>
      <c r="B11" s="71" t="s">
        <v>134</v>
      </c>
      <c r="C11" s="78" t="s">
        <v>135</v>
      </c>
      <c r="D11" s="71" t="s">
        <v>1198</v>
      </c>
      <c r="E11" s="71" t="s">
        <v>1199</v>
      </c>
      <c r="F11" s="71" t="s">
        <v>223</v>
      </c>
      <c r="G11" s="71" t="s">
        <v>224</v>
      </c>
      <c r="H11" s="71" t="s">
        <v>225</v>
      </c>
      <c r="I11" s="71" t="s">
        <v>226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1615</v>
      </c>
      <c r="C14" s="78" t="s">
        <v>1616</v>
      </c>
      <c r="D14" s="86">
        <f>'SCH B-2.1 B'!D13</f>
        <v>44455.58</v>
      </c>
      <c r="E14" s="86">
        <f>SUMIFS('PIS B'!$W$11:$W$338,'PIS B'!$C$11:$C$338,'SCH B-3 B'!$B14)</f>
        <v>0</v>
      </c>
      <c r="F14" s="130">
        <f>$P$17</f>
        <v>0.93492051078927074</v>
      </c>
      <c r="G14" s="86">
        <f>E14*F14</f>
        <v>0</v>
      </c>
      <c r="H14" s="86">
        <f>SUMIFS('SCH B-3.1'!$F$12:$F$27,'SCH B-3.1'!$B$12:$B$27,'SCH B-3 B'!$B14)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1617</v>
      </c>
      <c r="C15" s="78" t="s">
        <v>1618</v>
      </c>
      <c r="D15" s="86">
        <f>'SCH B-2.1 B'!D14</f>
        <v>144368.66</v>
      </c>
      <c r="E15" s="86">
        <f>SUMIFS('PIS B'!$W$11:$W$338,'PIS B'!$C$11:$C$338,'SCH B-3 B'!$B15)</f>
        <v>-60646.628603999998</v>
      </c>
      <c r="F15" s="134">
        <f>'SCH B-2.1 B'!E14</f>
        <v>1</v>
      </c>
      <c r="G15" s="88">
        <f t="shared" ref="G15:G16" si="2">E15*F15</f>
        <v>-60646.628603999998</v>
      </c>
      <c r="H15" s="87">
        <f>SUMIFS('SCH B-3.1'!$F$12:$F$27,'SCH B-3.1'!$B$12:$B$27,'SCH B-3 B'!$B15)</f>
        <v>0</v>
      </c>
      <c r="I15" s="88">
        <f t="shared" si="0"/>
        <v>-60646.628603999998</v>
      </c>
    </row>
    <row r="16" spans="1:16" ht="18.95" customHeight="1">
      <c r="A16" s="70">
        <f t="shared" si="1"/>
        <v>4</v>
      </c>
      <c r="B16" s="71" t="s">
        <v>1619</v>
      </c>
      <c r="C16" s="78" t="s">
        <v>1620</v>
      </c>
      <c r="D16" s="89">
        <f>'SCH B-2.1 B'!D15</f>
        <v>105007944.49999988</v>
      </c>
      <c r="E16" s="89">
        <f>SUMIFS('PIS B'!$W$11:$W$338,'PIS B'!$C$11:$C$338,'SCH B-3 B'!$B16)</f>
        <v>-47034708.586073995</v>
      </c>
      <c r="F16" s="130">
        <f>$P$17</f>
        <v>0.93492051078927074</v>
      </c>
      <c r="G16" s="89">
        <f t="shared" si="2"/>
        <v>-43973713.776116796</v>
      </c>
      <c r="H16" s="89">
        <f>SUMIFS('SCH B-3.1'!$F$12:$F$27,'SCH B-3.1'!$B$12:$B$27,'SCH B-3 B'!$B16)</f>
        <v>0</v>
      </c>
      <c r="I16" s="89">
        <f>SUM(G16:H16)</f>
        <v>-43973713.776116796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105196768.73999988</v>
      </c>
      <c r="E17" s="86">
        <f>SUM(E14:E16)</f>
        <v>-47095355.214677997</v>
      </c>
      <c r="F17" s="130"/>
      <c r="G17" s="86">
        <f>SUM(G14:G16)</f>
        <v>-44034360.404720798</v>
      </c>
      <c r="H17" s="86">
        <f>SUM(H14:H16)</f>
        <v>0</v>
      </c>
      <c r="I17" s="86">
        <f>SUM(I14:I16)</f>
        <v>-44034360.404720798</v>
      </c>
      <c r="L17" s="136">
        <f>'JURISSEP B'!G275+'JURISSEP B'!G276</f>
        <v>44034360.404720798</v>
      </c>
      <c r="M17" s="136">
        <f>G15</f>
        <v>-60646.628603999998</v>
      </c>
      <c r="N17" s="136">
        <f>SUM(L17:M17)</f>
        <v>43973713.776116796</v>
      </c>
      <c r="O17" s="136">
        <f>-E17+M17</f>
        <v>47034708.586073995</v>
      </c>
      <c r="P17" s="137">
        <f>N17/O17</f>
        <v>0.93492051078927074</v>
      </c>
    </row>
    <row r="18" spans="1:16" ht="18.95" customHeight="1">
      <c r="A18" s="70"/>
      <c r="B18" s="70"/>
      <c r="D18" s="72"/>
      <c r="E18" s="72"/>
      <c r="F18" s="133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133"/>
      <c r="G19" s="72"/>
      <c r="H19" s="72"/>
      <c r="I19" s="72"/>
    </row>
    <row r="20" spans="1:16" ht="18.95" customHeight="1">
      <c r="A20" s="70">
        <f t="shared" si="1"/>
        <v>7</v>
      </c>
      <c r="B20" s="71" t="s">
        <v>1621</v>
      </c>
      <c r="C20" s="78" t="s">
        <v>154</v>
      </c>
      <c r="D20" s="88">
        <f>'SCH B-2.1 B'!D19</f>
        <v>24993712.409999903</v>
      </c>
      <c r="E20" s="88">
        <f>SUMIFS('PIS B'!$W$11:$W$338,'PIS B'!$C$11:$C$338,'SCH B-3 B'!$B20)</f>
        <v>0</v>
      </c>
      <c r="F20" s="134">
        <f>$P$28</f>
        <v>0.93316708721198971</v>
      </c>
      <c r="G20" s="88">
        <f t="shared" ref="G20:G27" si="3">E20*F20</f>
        <v>0</v>
      </c>
      <c r="H20" s="88">
        <f>SUMIFS('SCH B-3.1'!$F$12:$F$27,'SCH B-3.1'!$B$12:$B$27,'SCH B-3 B'!$B20)</f>
        <v>0</v>
      </c>
      <c r="I20" s="88">
        <f t="shared" ref="I20:I27" si="4">SUM(G20:H20)</f>
        <v>0</v>
      </c>
    </row>
    <row r="21" spans="1:16" ht="18" customHeight="1">
      <c r="A21" s="70">
        <f t="shared" si="1"/>
        <v>8</v>
      </c>
      <c r="B21" s="71" t="s">
        <v>1622</v>
      </c>
      <c r="C21" s="78" t="s">
        <v>148</v>
      </c>
      <c r="D21" s="88">
        <f>'SCH B-2.1 B'!D20</f>
        <v>356265802.95999908</v>
      </c>
      <c r="E21" s="88">
        <f>SUMIFS('PIS B'!$W$11:$W$338,'PIS B'!$C$11:$C$338,'SCH B-3 B'!$B21)</f>
        <v>-163246130.1531944</v>
      </c>
      <c r="F21" s="134">
        <f t="shared" ref="F21:F27" si="5">$P$28</f>
        <v>0.93316708721198971</v>
      </c>
      <c r="G21" s="88">
        <f t="shared" si="3"/>
        <v>-152335915.77368578</v>
      </c>
      <c r="H21" s="88">
        <f>SUMIFS('SCH B-3.1'!$F$12:$F$27,'SCH B-3.1'!$B$12:$B$27,'SCH B-3 B'!$B21)</f>
        <v>2262557.3862489224</v>
      </c>
      <c r="I21" s="88">
        <f t="shared" si="4"/>
        <v>-150073358.38743687</v>
      </c>
    </row>
    <row r="22" spans="1:16" ht="18.95" customHeight="1">
      <c r="A22" s="70">
        <f t="shared" si="1"/>
        <v>9</v>
      </c>
      <c r="B22" s="71" t="s">
        <v>1623</v>
      </c>
      <c r="C22" s="78" t="s">
        <v>1624</v>
      </c>
      <c r="D22" s="88">
        <f>'SCH B-2.1 B'!D21</f>
        <v>4317256222.5199995</v>
      </c>
      <c r="E22" s="88">
        <f>SUMIFS('PIS B'!$W$11:$W$338,'PIS B'!$C$11:$C$338,'SCH B-3 B'!$B22)</f>
        <v>-1441123936.634937</v>
      </c>
      <c r="F22" s="134">
        <f t="shared" si="5"/>
        <v>0.93316708721198971</v>
      </c>
      <c r="G22" s="88">
        <f t="shared" si="3"/>
        <v>-1344809426.2611003</v>
      </c>
      <c r="H22" s="88">
        <f>SUMIFS('SCH B-3.1'!$F$12:$F$27,'SCH B-3.1'!$B$12:$B$27,'SCH B-3 B'!$B22)</f>
        <v>221202054.26706097</v>
      </c>
      <c r="I22" s="88">
        <f t="shared" si="4"/>
        <v>-1123607371.9940393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B'!D22</f>
        <v>0</v>
      </c>
      <c r="E23" s="88">
        <f>SUMIFS('PIS B'!$W$11:$W$338,'PIS B'!$C$11:$C$338,'SCH B-3 B'!$B23)</f>
        <v>0</v>
      </c>
      <c r="F23" s="134">
        <f t="shared" si="5"/>
        <v>0.93316708721198971</v>
      </c>
      <c r="G23" s="88">
        <f t="shared" si="3"/>
        <v>0</v>
      </c>
      <c r="H23" s="88">
        <f>SUMIFS('SCH B-3.1'!$F$12:$F$27,'SCH B-3.1'!$B$12:$B$27,'SCH B-3 B'!$B23)</f>
        <v>0</v>
      </c>
      <c r="I23" s="88">
        <f t="shared" si="4"/>
        <v>0</v>
      </c>
    </row>
    <row r="24" spans="1:16" ht="18.95" customHeight="1">
      <c r="A24" s="70">
        <f>A22+1</f>
        <v>10</v>
      </c>
      <c r="B24" s="71" t="s">
        <v>1625</v>
      </c>
      <c r="C24" s="78" t="s">
        <v>1626</v>
      </c>
      <c r="D24" s="88">
        <f>'SCH B-2.1 B'!D23</f>
        <v>350903013.2899999</v>
      </c>
      <c r="E24" s="88">
        <f>SUMIFS('PIS B'!$W$11:$W$338,'PIS B'!$C$11:$C$338,'SCH B-3 B'!$B24)</f>
        <v>-143335901.18228075</v>
      </c>
      <c r="F24" s="134">
        <f t="shared" si="5"/>
        <v>0.93316708721198971</v>
      </c>
      <c r="G24" s="88">
        <f t="shared" si="3"/>
        <v>-133756345.39917451</v>
      </c>
      <c r="H24" s="88">
        <f>SUMIFS('SCH B-3.1'!$F$12:$F$27,'SCH B-3.1'!$B$12:$B$27,'SCH B-3 B'!$B24)</f>
        <v>0</v>
      </c>
      <c r="I24" s="88">
        <f t="shared" si="4"/>
        <v>-133756345.39917451</v>
      </c>
    </row>
    <row r="25" spans="1:16" ht="18.95" customHeight="1">
      <c r="A25" s="70">
        <f t="shared" si="1"/>
        <v>11</v>
      </c>
      <c r="B25" s="71" t="s">
        <v>1627</v>
      </c>
      <c r="C25" s="78" t="s">
        <v>1628</v>
      </c>
      <c r="D25" s="88">
        <f>'SCH B-2.1 B'!D24</f>
        <v>260304058.77999985</v>
      </c>
      <c r="E25" s="88">
        <f>SUMIFS('PIS B'!$W$11:$W$338,'PIS B'!$C$11:$C$338,'SCH B-3 B'!$B25)</f>
        <v>-125946424.03903647</v>
      </c>
      <c r="F25" s="134">
        <f t="shared" si="5"/>
        <v>0.93316708721198971</v>
      </c>
      <c r="G25" s="88">
        <f t="shared" si="3"/>
        <v>-117529057.66527379</v>
      </c>
      <c r="H25" s="88">
        <f>SUMIFS('SCH B-3.1'!$F$12:$F$27,'SCH B-3.1'!$B$12:$B$27,'SCH B-3 B'!$B25)</f>
        <v>3305255.7067398815</v>
      </c>
      <c r="I25" s="88">
        <f t="shared" si="4"/>
        <v>-114223801.9585339</v>
      </c>
    </row>
    <row r="26" spans="1:16" ht="18.95" customHeight="1">
      <c r="A26" s="70">
        <f t="shared" si="1"/>
        <v>12</v>
      </c>
      <c r="B26" s="71" t="s">
        <v>1629</v>
      </c>
      <c r="C26" s="78" t="s">
        <v>1630</v>
      </c>
      <c r="D26" s="88">
        <f>'SCH B-2.1 B'!D25</f>
        <v>42850318.379999995</v>
      </c>
      <c r="E26" s="88">
        <f>SUMIFS('PIS B'!$W$11:$W$338,'PIS B'!$C$11:$C$338,'SCH B-3 B'!$B26)</f>
        <v>-17793889.556629114</v>
      </c>
      <c r="F26" s="134">
        <f t="shared" si="5"/>
        <v>0.93316708721198971</v>
      </c>
      <c r="G26" s="88">
        <f t="shared" si="3"/>
        <v>-16604672.087731434</v>
      </c>
      <c r="H26" s="88">
        <f>SUMIFS('SCH B-3.1'!$F$12:$F$27,'SCH B-3.1'!$B$12:$B$27,'SCH B-3 B'!$B26)</f>
        <v>54910.21408625591</v>
      </c>
      <c r="I26" s="88">
        <f t="shared" si="4"/>
        <v>-16549761.873645179</v>
      </c>
    </row>
    <row r="27" spans="1:16" ht="18.95" customHeight="1">
      <c r="A27" s="70">
        <f t="shared" si="1"/>
        <v>13</v>
      </c>
      <c r="B27" s="71" t="s">
        <v>1631</v>
      </c>
      <c r="C27" s="78" t="s">
        <v>1650</v>
      </c>
      <c r="D27" s="89">
        <f>'SCH B-2.1 B'!D26</f>
        <v>169288108.67000002</v>
      </c>
      <c r="E27" s="89">
        <f>SUMIFS('PIS B'!$W$11:$W$338,'PIS B'!$C$11:$C$338,'SCH B-3 B'!$B27)</f>
        <v>-115027829.68299009</v>
      </c>
      <c r="F27" s="134">
        <f t="shared" si="5"/>
        <v>0.93316708721198971</v>
      </c>
      <c r="G27" s="89">
        <f t="shared" si="3"/>
        <v>-107340184.77359271</v>
      </c>
      <c r="H27" s="89">
        <f>SUMIFS('SCH B-3.1'!$F$12:$F$27,'SCH B-3.1'!$B$12:$B$27,'SCH B-3 B'!$B27)</f>
        <v>107340184.77359271</v>
      </c>
      <c r="I27" s="89">
        <f t="shared" si="4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5521861237.0099983</v>
      </c>
      <c r="E28" s="86">
        <f>SUM(E20:E27)</f>
        <v>-2006474111.249068</v>
      </c>
      <c r="F28" s="130"/>
      <c r="G28" s="86">
        <f>SUM(G20:G27)</f>
        <v>-1872375601.9605582</v>
      </c>
      <c r="H28" s="86">
        <f>SUM(H20:H27)</f>
        <v>334164962.34772873</v>
      </c>
      <c r="I28" s="86">
        <f>SUM(I20:I27)</f>
        <v>-1538210639.6128297</v>
      </c>
      <c r="L28" s="136">
        <f>'JURISSEP B'!G246</f>
        <v>1872375601.9605587</v>
      </c>
      <c r="M28" s="136"/>
      <c r="N28" s="136">
        <f>SUM(L28:M28)</f>
        <v>1872375601.9605587</v>
      </c>
      <c r="O28" s="136">
        <f>-E28+M28</f>
        <v>2006474111.249068</v>
      </c>
      <c r="P28" s="137">
        <f>N28/O28</f>
        <v>0.93316708721198971</v>
      </c>
    </row>
    <row r="29" spans="1:16" ht="18.95" customHeight="1">
      <c r="A29" s="70"/>
      <c r="C29" s="78"/>
      <c r="F29" s="135"/>
    </row>
    <row r="30" spans="1:16" ht="18.95" customHeight="1">
      <c r="A30" s="70">
        <f>A28+1</f>
        <v>15</v>
      </c>
      <c r="C30" s="90" t="s">
        <v>47</v>
      </c>
      <c r="F30" s="135"/>
    </row>
    <row r="31" spans="1:16" ht="18.95" customHeight="1">
      <c r="A31" s="70">
        <f t="shared" si="1"/>
        <v>16</v>
      </c>
      <c r="B31" s="71" t="s">
        <v>1632</v>
      </c>
      <c r="C31" s="78" t="s">
        <v>154</v>
      </c>
      <c r="D31" s="88">
        <f>'SCH B-2.1 B'!D30</f>
        <v>855636.47000000009</v>
      </c>
      <c r="E31" s="88">
        <f>SUMIFS('PIS B'!$W$11:$W$338,'PIS B'!$C$11:$C$338,'SCH B-3 B'!$B31)</f>
        <v>-855635.6</v>
      </c>
      <c r="F31" s="134">
        <f>$P$39</f>
        <v>0.9376979994450888</v>
      </c>
      <c r="G31" s="88">
        <f t="shared" ref="G31:G38" si="6">E31*F31</f>
        <v>-802327.79037399823</v>
      </c>
      <c r="H31" s="88">
        <f>SUMIFS('SCH B-3.1'!$F$12:$F$27,'SCH B-3.1'!$B$12:$B$27,'SCH B-3 B'!$B31)</f>
        <v>0</v>
      </c>
      <c r="I31" s="88">
        <f t="shared" ref="I31:I38" si="7">SUM(G31:H31)</f>
        <v>-802327.79037399823</v>
      </c>
    </row>
    <row r="32" spans="1:16" ht="18.95" customHeight="1">
      <c r="A32" s="70">
        <f t="shared" si="1"/>
        <v>17</v>
      </c>
      <c r="B32" s="71" t="s">
        <v>1633</v>
      </c>
      <c r="C32" s="78" t="s">
        <v>148</v>
      </c>
      <c r="D32" s="88">
        <f>'SCH B-2.1 B'!D31</f>
        <v>4526614.1900000004</v>
      </c>
      <c r="E32" s="88">
        <f>SUMIFS('PIS B'!$W$11:$W$338,'PIS B'!$C$11:$C$338,'SCH B-3 B'!$B32)</f>
        <v>-601230.43595639896</v>
      </c>
      <c r="F32" s="134">
        <f t="shared" ref="F32:F38" si="8">$P$39</f>
        <v>0.9376979994450888</v>
      </c>
      <c r="G32" s="88">
        <f t="shared" si="6"/>
        <v>-563772.57700181392</v>
      </c>
      <c r="H32" s="88">
        <f>SUMIFS('SCH B-3.1'!$F$12:$F$27,'SCH B-3.1'!$B$12:$B$27,'SCH B-3 B'!$B32)</f>
        <v>0</v>
      </c>
      <c r="I32" s="88">
        <f t="shared" si="7"/>
        <v>-563772.57700181392</v>
      </c>
    </row>
    <row r="33" spans="1:16" ht="18.95" customHeight="1">
      <c r="A33" s="70">
        <f t="shared" si="1"/>
        <v>18</v>
      </c>
      <c r="B33" s="71" t="s">
        <v>1634</v>
      </c>
      <c r="C33" s="78" t="s">
        <v>1635</v>
      </c>
      <c r="D33" s="88">
        <f>'SCH B-2.1 B'!D32</f>
        <v>21979631.449999996</v>
      </c>
      <c r="E33" s="88">
        <f>SUMIFS('PIS B'!$W$11:$W$338,'PIS B'!$C$11:$C$338,'SCH B-3 B'!$B33)</f>
        <v>-10980215.812506</v>
      </c>
      <c r="F33" s="134">
        <f t="shared" si="8"/>
        <v>0.9376979994450888</v>
      </c>
      <c r="G33" s="88">
        <f t="shared" si="6"/>
        <v>-10296126.400862206</v>
      </c>
      <c r="H33" s="88">
        <f>SUMIFS('SCH B-3.1'!$F$12:$F$27,'SCH B-3.1'!$B$12:$B$27,'SCH B-3 B'!$B33)</f>
        <v>0</v>
      </c>
      <c r="I33" s="88">
        <f t="shared" si="7"/>
        <v>-10296126.400862206</v>
      </c>
    </row>
    <row r="34" spans="1:16" ht="18.95" customHeight="1">
      <c r="A34" s="70">
        <f t="shared" si="1"/>
        <v>19</v>
      </c>
      <c r="B34" s="71" t="s">
        <v>1636</v>
      </c>
      <c r="C34" s="78" t="s">
        <v>1637</v>
      </c>
      <c r="D34" s="88">
        <f>'SCH B-2.1 B'!D33</f>
        <v>14046741.58</v>
      </c>
      <c r="E34" s="88">
        <f>SUMIFS('PIS B'!$W$11:$W$338,'PIS B'!$C$11:$C$338,'SCH B-3 B'!$B34)</f>
        <v>-3564188.3425121899</v>
      </c>
      <c r="F34" s="134">
        <f t="shared" si="8"/>
        <v>0.9376979994450888</v>
      </c>
      <c r="G34" s="88">
        <f t="shared" si="6"/>
        <v>-3342132.2784191873</v>
      </c>
      <c r="H34" s="88">
        <f>SUMIFS('SCH B-3.1'!$F$12:$F$27,'SCH B-3.1'!$B$12:$B$27,'SCH B-3 B'!$B34)</f>
        <v>0</v>
      </c>
      <c r="I34" s="88">
        <f t="shared" si="7"/>
        <v>-3342132.2784191873</v>
      </c>
    </row>
    <row r="35" spans="1:16" ht="18.95" customHeight="1">
      <c r="A35" s="70">
        <f t="shared" si="1"/>
        <v>20</v>
      </c>
      <c r="B35" s="71" t="s">
        <v>1638</v>
      </c>
      <c r="C35" s="78" t="s">
        <v>1628</v>
      </c>
      <c r="D35" s="88">
        <f>'SCH B-2.1 B'!D34</f>
        <v>1360647.15</v>
      </c>
      <c r="E35" s="88">
        <f>SUMIFS('PIS B'!$W$11:$W$338,'PIS B'!$C$11:$C$338,'SCH B-3 B'!$B35)</f>
        <v>-415187.738210799</v>
      </c>
      <c r="F35" s="134">
        <f t="shared" si="8"/>
        <v>0.9376979994450888</v>
      </c>
      <c r="G35" s="88">
        <f t="shared" si="6"/>
        <v>-389320.71151439747</v>
      </c>
      <c r="H35" s="88">
        <f>SUMIFS('SCH B-3.1'!$F$12:$F$27,'SCH B-3.1'!$B$12:$B$27,'SCH B-3 B'!$B35)</f>
        <v>0</v>
      </c>
      <c r="I35" s="88">
        <f t="shared" si="7"/>
        <v>-389320.71151439747</v>
      </c>
    </row>
    <row r="36" spans="1:16" ht="18.95" customHeight="1">
      <c r="A36" s="70">
        <f t="shared" si="1"/>
        <v>21</v>
      </c>
      <c r="B36" s="71" t="s">
        <v>1639</v>
      </c>
      <c r="C36" s="78" t="s">
        <v>1640</v>
      </c>
      <c r="D36" s="88">
        <f>'SCH B-2.1 B'!D35</f>
        <v>329374.18000000005</v>
      </c>
      <c r="E36" s="88">
        <f>SUMIFS('PIS B'!$W$11:$W$338,'PIS B'!$C$11:$C$338,'SCH B-3 B'!$B36)</f>
        <v>-182771.32458302</v>
      </c>
      <c r="F36" s="134">
        <f t="shared" si="8"/>
        <v>0.9376979994450888</v>
      </c>
      <c r="G36" s="88">
        <f t="shared" si="6"/>
        <v>-171384.30541742683</v>
      </c>
      <c r="H36" s="88">
        <f>SUMIFS('SCH B-3.1'!$F$12:$F$27,'SCH B-3.1'!$B$12:$B$27,'SCH B-3 B'!$B36)</f>
        <v>0</v>
      </c>
      <c r="I36" s="88">
        <f t="shared" si="7"/>
        <v>-171384.30541742683</v>
      </c>
    </row>
    <row r="37" spans="1:16" ht="18.95" customHeight="1">
      <c r="A37" s="70">
        <f t="shared" si="1"/>
        <v>22</v>
      </c>
      <c r="B37" s="71" t="s">
        <v>1641</v>
      </c>
      <c r="C37" s="78" t="s">
        <v>1642</v>
      </c>
      <c r="D37" s="88">
        <f>'SCH B-2.1 B'!D36</f>
        <v>198899.83000000002</v>
      </c>
      <c r="E37" s="88">
        <f>SUMIFS('PIS B'!$W$11:$W$338,'PIS B'!$C$11:$C$338,'SCH B-3 B'!$B37)</f>
        <v>-69778.082169379995</v>
      </c>
      <c r="F37" s="134">
        <f t="shared" si="8"/>
        <v>0.9376979994450888</v>
      </c>
      <c r="G37" s="88">
        <f t="shared" si="6"/>
        <v>-65430.768055342647</v>
      </c>
      <c r="H37" s="88">
        <f>SUMIFS('SCH B-3.1'!$F$12:$F$27,'SCH B-3.1'!$B$12:$B$27,'SCH B-3 B'!$B37)</f>
        <v>0</v>
      </c>
      <c r="I37" s="88">
        <f t="shared" si="7"/>
        <v>-65430.768055342647</v>
      </c>
    </row>
    <row r="38" spans="1:16" ht="18.95" customHeight="1">
      <c r="A38" s="70">
        <f t="shared" si="1"/>
        <v>23</v>
      </c>
      <c r="B38" s="71" t="s">
        <v>1643</v>
      </c>
      <c r="C38" s="78" t="s">
        <v>1651</v>
      </c>
      <c r="D38" s="89">
        <f>'SCH B-2.1 B'!D37</f>
        <v>645787.99</v>
      </c>
      <c r="E38" s="89">
        <f>SUMIFS('PIS B'!$W$11:$W$338,'PIS B'!$C$11:$C$338,'SCH B-3 B'!$B38)</f>
        <v>-94140.357338454705</v>
      </c>
      <c r="F38" s="134">
        <f t="shared" si="8"/>
        <v>0.9376979994450888</v>
      </c>
      <c r="G38" s="89">
        <f t="shared" si="6"/>
        <v>-88275.224743314757</v>
      </c>
      <c r="H38" s="89">
        <f>SUMIFS('SCH B-3.1'!$F$12:$F$27,'SCH B-3.1'!$B$12:$B$27,'SCH B-3 B'!$B38)</f>
        <v>88275.224743314757</v>
      </c>
      <c r="I38" s="89">
        <f t="shared" si="7"/>
        <v>0</v>
      </c>
    </row>
    <row r="39" spans="1:16" ht="18.95" customHeight="1">
      <c r="A39" s="70">
        <f t="shared" si="1"/>
        <v>24</v>
      </c>
      <c r="B39" s="71" t="s">
        <v>250</v>
      </c>
      <c r="C39" s="78" t="s">
        <v>147</v>
      </c>
      <c r="D39" s="86">
        <f>SUM(D31:D38)</f>
        <v>43943332.839999996</v>
      </c>
      <c r="E39" s="86">
        <f t="shared" ref="E39:I39" si="9">SUM(E31:E38)</f>
        <v>-16763147.693276243</v>
      </c>
      <c r="F39" s="130"/>
      <c r="G39" s="86">
        <f t="shared" si="9"/>
        <v>-15718770.056387683</v>
      </c>
      <c r="H39" s="86">
        <f t="shared" si="9"/>
        <v>88275.224743314757</v>
      </c>
      <c r="I39" s="86">
        <f t="shared" si="9"/>
        <v>-15630494.831644369</v>
      </c>
      <c r="L39" s="136">
        <f>'JURISSEP B'!G252</f>
        <v>15718770.056387689</v>
      </c>
      <c r="M39" s="136"/>
      <c r="N39" s="136">
        <f>SUM(L39:M39)</f>
        <v>15718770.056387689</v>
      </c>
      <c r="O39" s="136">
        <f>-E39+M39</f>
        <v>16763147.693276243</v>
      </c>
      <c r="P39" s="137">
        <f>N39/O39</f>
        <v>0.9376979994450888</v>
      </c>
    </row>
    <row r="40" spans="1:16" ht="18.95" customHeight="1">
      <c r="A40" s="70"/>
      <c r="B40" s="71"/>
      <c r="C40" s="78"/>
      <c r="D40" s="86"/>
      <c r="E40" s="86"/>
      <c r="F40" s="130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  <c r="F41" s="135"/>
    </row>
    <row r="42" spans="1:16" ht="18.95" customHeight="1">
      <c r="A42" s="70">
        <f t="shared" si="1"/>
        <v>26</v>
      </c>
      <c r="B42" s="71" t="s">
        <v>1644</v>
      </c>
      <c r="C42" s="78" t="s">
        <v>154</v>
      </c>
      <c r="D42" s="88">
        <f>'SCH B-2.1 B'!D41</f>
        <v>894512.89999999991</v>
      </c>
      <c r="E42" s="88">
        <f>SUMIFS('PIS B'!$W$11:$W$338,'PIS B'!$C$11:$C$338,'SCH B-3 B'!$B42)</f>
        <v>-136625.58194479998</v>
      </c>
      <c r="F42" s="134">
        <f t="shared" ref="F42:F45" si="10">$P$62</f>
        <v>0.93726328100910761</v>
      </c>
      <c r="G42" s="88">
        <f t="shared" ref="G42:G45" si="11">E42*F42</f>
        <v>-128054.14120336193</v>
      </c>
      <c r="H42" s="88">
        <f>SUMIFS('SCH B-3.1'!$F$12:$F$27,'SCH B-3.1'!$B$12:$B$27,'SCH B-3 B'!$B42)</f>
        <v>0</v>
      </c>
      <c r="I42" s="88">
        <f t="shared" ref="I42:I45" si="12">SUM(G42:H42)</f>
        <v>-128054.14120336193</v>
      </c>
    </row>
    <row r="43" spans="1:16" ht="18.95" customHeight="1">
      <c r="A43" s="70">
        <f t="shared" si="1"/>
        <v>27</v>
      </c>
      <c r="B43" s="71" t="s">
        <v>1645</v>
      </c>
      <c r="C43" s="78" t="s">
        <v>148</v>
      </c>
      <c r="D43" s="88">
        <f>'SCH B-2.1 B'!D42</f>
        <v>90539295.530000001</v>
      </c>
      <c r="E43" s="88">
        <f>SUMIFS('PIS B'!$W$11:$W$338,'PIS B'!$C$11:$C$338,'SCH B-3 B'!$B43)</f>
        <v>-33049441.768405251</v>
      </c>
      <c r="F43" s="134">
        <f t="shared" si="10"/>
        <v>0.93726328100910761</v>
      </c>
      <c r="G43" s="88">
        <f t="shared" si="11"/>
        <v>-30976028.227374949</v>
      </c>
      <c r="H43" s="88">
        <f>SUMIFS('SCH B-3.1'!$F$12:$F$27,'SCH B-3.1'!$B$12:$B$27,'SCH B-3 B'!$B43)</f>
        <v>0</v>
      </c>
      <c r="I43" s="88">
        <f t="shared" si="12"/>
        <v>-30976028.227374949</v>
      </c>
    </row>
    <row r="44" spans="1:16" ht="18.95" customHeight="1">
      <c r="A44" s="70">
        <f t="shared" si="1"/>
        <v>28</v>
      </c>
      <c r="B44" s="71" t="s">
        <v>1646</v>
      </c>
      <c r="C44" s="78" t="s">
        <v>1647</v>
      </c>
      <c r="D44" s="88">
        <f>'SCH B-2.1 B'!D43</f>
        <v>84168419.36999999</v>
      </c>
      <c r="E44" s="88">
        <f>SUMIFS('PIS B'!$W$11:$W$338,'PIS B'!$C$11:$C$338,'SCH B-3 B'!$B44)</f>
        <v>-26152060.550272759</v>
      </c>
      <c r="F44" s="134">
        <f t="shared" si="10"/>
        <v>0.93726328100910761</v>
      </c>
      <c r="G44" s="88">
        <f t="shared" si="11"/>
        <v>-24511366.076497495</v>
      </c>
      <c r="H44" s="88">
        <f>SUMIFS('SCH B-3.1'!$F$12:$F$27,'SCH B-3.1'!$B$12:$B$27,'SCH B-3 B'!$B44)</f>
        <v>0</v>
      </c>
      <c r="I44" s="88">
        <f t="shared" si="12"/>
        <v>-24511366.076497495</v>
      </c>
    </row>
    <row r="45" spans="1:16" ht="18.95" customHeight="1">
      <c r="A45" s="70">
        <f t="shared" si="1"/>
        <v>29</v>
      </c>
      <c r="B45" s="71" t="s">
        <v>1648</v>
      </c>
      <c r="C45" s="78" t="s">
        <v>1649</v>
      </c>
      <c r="D45" s="88">
        <f>'SCH B-2.1 B'!D44</f>
        <v>683425048.57999802</v>
      </c>
      <c r="E45" s="88">
        <f>SUMIFS('PIS B'!$W$11:$W$338,'PIS B'!$C$11:$C$338,'SCH B-3 B'!$B45)</f>
        <v>-269893740.86037332</v>
      </c>
      <c r="F45" s="134">
        <f t="shared" si="10"/>
        <v>0.93726328100910761</v>
      </c>
      <c r="G45" s="88">
        <f t="shared" si="11"/>
        <v>-252961493.08261535</v>
      </c>
      <c r="H45" s="88">
        <f>SUMIFS('SCH B-3.1'!$F$12:$F$27,'SCH B-3.1'!$B$12:$B$27,'SCH B-3 B'!$B45)</f>
        <v>0</v>
      </c>
      <c r="I45" s="88">
        <f t="shared" si="12"/>
        <v>-252961493.08261535</v>
      </c>
    </row>
    <row r="46" spans="1:16" s="68" customFormat="1" ht="20.100000000000001" customHeight="1">
      <c r="A46" s="809" t="str">
        <f>$A$1</f>
        <v>KENTUCKY UTILITIES COMPANY</v>
      </c>
      <c r="B46" s="809"/>
      <c r="C46" s="809"/>
      <c r="D46" s="809"/>
      <c r="E46" s="809"/>
      <c r="F46" s="809"/>
      <c r="G46" s="809"/>
      <c r="H46" s="809"/>
      <c r="I46" s="809"/>
    </row>
    <row r="47" spans="1:16" s="68" customFormat="1" ht="20.100000000000001" customHeight="1">
      <c r="A47" s="809" t="str">
        <f>$A$2</f>
        <v>CASE NO. 2020-00349</v>
      </c>
      <c r="B47" s="809"/>
      <c r="C47" s="809"/>
      <c r="D47" s="809"/>
      <c r="E47" s="809"/>
      <c r="F47" s="809"/>
      <c r="G47" s="809"/>
      <c r="H47" s="809"/>
      <c r="I47" s="809"/>
    </row>
    <row r="48" spans="1:16" s="68" customFormat="1" ht="20.100000000000001" customHeight="1">
      <c r="A48" s="809" t="str">
        <f>$A$3</f>
        <v>ACCUMULATED DEPRECIATION AND AMORTIZATION</v>
      </c>
      <c r="B48" s="809"/>
      <c r="C48" s="809"/>
      <c r="D48" s="809"/>
      <c r="E48" s="809"/>
      <c r="F48" s="809"/>
      <c r="G48" s="809"/>
      <c r="H48" s="809"/>
      <c r="I48" s="809"/>
    </row>
    <row r="49" spans="1:16" s="68" customFormat="1" ht="20.100000000000001" customHeight="1">
      <c r="A49" s="808" t="str">
        <f>$A$4</f>
        <v>AS OF FEBRUARY 28, 2021</v>
      </c>
      <c r="B49" s="809"/>
      <c r="C49" s="809"/>
      <c r="D49" s="809"/>
      <c r="E49" s="809"/>
      <c r="F49" s="809"/>
      <c r="G49" s="809"/>
      <c r="H49" s="809"/>
      <c r="I49" s="809"/>
    </row>
    <row r="50" spans="1:16" s="68" customFormat="1" ht="20.100000000000001" customHeight="1">
      <c r="A50" s="84"/>
      <c r="B50" s="84"/>
      <c r="C50" s="84"/>
      <c r="D50" s="84"/>
      <c r="E50" s="84"/>
      <c r="F50" s="84"/>
      <c r="G50" s="84"/>
      <c r="H50" s="84"/>
      <c r="I50" s="84"/>
    </row>
    <row r="51" spans="1:16" s="68" customFormat="1" ht="20.100000000000001" customHeight="1">
      <c r="A51" s="67" t="str">
        <f>$A$6</f>
        <v>DATA:__X__BASE  PERIOD____FORECASTED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__X__ ORIGINAL  _____ UPDATED  _____ REVISED</v>
      </c>
      <c r="H52" s="74"/>
      <c r="I52" s="74" t="s">
        <v>171</v>
      </c>
    </row>
    <row r="53" spans="1:16" s="68" customFormat="1" ht="20.100000000000001" customHeight="1">
      <c r="A53" s="67" t="str">
        <f>$A$8</f>
        <v>WORKPAPER REFERENCE NO(S).:</v>
      </c>
      <c r="B53" s="67"/>
      <c r="F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13" t="s">
        <v>1200</v>
      </c>
      <c r="F55" s="813"/>
      <c r="G55" s="813"/>
      <c r="H55" s="813"/>
      <c r="I55" s="813"/>
    </row>
    <row r="56" spans="1:16" ht="65.099999999999994" customHeight="1">
      <c r="A56" s="71" t="s">
        <v>131</v>
      </c>
      <c r="B56" s="71" t="s">
        <v>134</v>
      </c>
      <c r="C56" s="78" t="s">
        <v>135</v>
      </c>
      <c r="D56" s="71" t="s">
        <v>1198</v>
      </c>
      <c r="E56" s="71" t="s">
        <v>1199</v>
      </c>
      <c r="F56" s="71" t="s">
        <v>223</v>
      </c>
      <c r="G56" s="71" t="s">
        <v>224</v>
      </c>
      <c r="H56" s="71" t="s">
        <v>225</v>
      </c>
      <c r="I56" s="71" t="s">
        <v>226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1652</v>
      </c>
      <c r="C58" s="78" t="s">
        <v>1653</v>
      </c>
      <c r="D58" s="88">
        <f>'SCH B-2.1 B'!D56</f>
        <v>137341370.26999992</v>
      </c>
      <c r="E58" s="88">
        <f>SUMIFS('PIS B'!$W$11:$W$338,'PIS B'!$C$11:$C$338,'SCH B-3 B'!$B58)</f>
        <v>-54906221.162596107</v>
      </c>
      <c r="F58" s="134">
        <f>$P$62</f>
        <v>0.93726328100910761</v>
      </c>
      <c r="G58" s="88">
        <f t="shared" ref="G58:G61" si="13">E58*F58</f>
        <v>-51461584.994666524</v>
      </c>
      <c r="H58" s="88">
        <f>SUMIFS('SCH B-3.1'!$F$12:$F$27,'SCH B-3.1'!$B$12:$B$27,'SCH B-3 B'!$B58)</f>
        <v>0</v>
      </c>
      <c r="I58" s="88">
        <f t="shared" ref="I58:I61" si="14">SUM(G58:H58)</f>
        <v>-51461584.994666524</v>
      </c>
    </row>
    <row r="59" spans="1:16" ht="18.95" customHeight="1">
      <c r="A59" s="70">
        <f t="shared" si="1"/>
        <v>31</v>
      </c>
      <c r="B59" s="71" t="s">
        <v>1654</v>
      </c>
      <c r="C59" s="78" t="s">
        <v>1628</v>
      </c>
      <c r="D59" s="88">
        <f>'SCH B-2.1 B'!D57</f>
        <v>77437350</v>
      </c>
      <c r="E59" s="88">
        <f>SUMIFS('PIS B'!$W$11:$W$338,'PIS B'!$C$11:$C$338,'SCH B-3 B'!$B59)</f>
        <v>-35124661.060686521</v>
      </c>
      <c r="F59" s="134">
        <f t="shared" ref="F59:F61" si="15">$P$62</f>
        <v>0.93726328100910761</v>
      </c>
      <c r="G59" s="88">
        <f t="shared" si="13"/>
        <v>-32921055.070071891</v>
      </c>
      <c r="H59" s="88">
        <f>SUMIFS('SCH B-3.1'!$F$12:$F$27,'SCH B-3.1'!$B$12:$B$27,'SCH B-3 B'!$B59)</f>
        <v>0</v>
      </c>
      <c r="I59" s="88">
        <f t="shared" si="14"/>
        <v>-32921055.070071891</v>
      </c>
    </row>
    <row r="60" spans="1:16" ht="18.95" customHeight="1">
      <c r="A60" s="70">
        <f t="shared" si="1"/>
        <v>32</v>
      </c>
      <c r="B60" s="71" t="s">
        <v>1655</v>
      </c>
      <c r="C60" s="78" t="s">
        <v>1640</v>
      </c>
      <c r="D60" s="88">
        <f>'SCH B-2.1 B'!D58</f>
        <v>9399509.9400000013</v>
      </c>
      <c r="E60" s="88">
        <f>SUMIFS('PIS B'!$W$11:$W$338,'PIS B'!$C$11:$C$338,'SCH B-3 B'!$B60)</f>
        <v>-4492905.464688438</v>
      </c>
      <c r="F60" s="134">
        <f t="shared" si="15"/>
        <v>0.93726328100910761</v>
      </c>
      <c r="G60" s="88">
        <f t="shared" si="13"/>
        <v>-4211035.317097635</v>
      </c>
      <c r="H60" s="88">
        <f>SUMIFS('SCH B-3.1'!$F$12:$F$27,'SCH B-3.1'!$B$12:$B$27,'SCH B-3 B'!$B60)</f>
        <v>0</v>
      </c>
      <c r="I60" s="88">
        <f t="shared" si="14"/>
        <v>-4211035.317097635</v>
      </c>
    </row>
    <row r="61" spans="1:16" ht="18.95" customHeight="1">
      <c r="A61" s="70">
        <f t="shared" si="1"/>
        <v>33</v>
      </c>
      <c r="B61" s="71" t="s">
        <v>1656</v>
      </c>
      <c r="C61" s="78" t="s">
        <v>1691</v>
      </c>
      <c r="D61" s="89">
        <f>'SCH B-2.1 B'!D59</f>
        <v>406991.12</v>
      </c>
      <c r="E61" s="89">
        <f>SUMIFS('PIS B'!$W$11:$W$338,'PIS B'!$C$11:$C$338,'SCH B-3 B'!$B61)</f>
        <v>-117076.64349460999</v>
      </c>
      <c r="F61" s="134">
        <f t="shared" si="15"/>
        <v>0.93726328100910761</v>
      </c>
      <c r="G61" s="89">
        <f t="shared" si="13"/>
        <v>-109731.63901129176</v>
      </c>
      <c r="H61" s="89">
        <f>SUMIFS('SCH B-3.1'!$F$12:$F$27,'SCH B-3.1'!$B$12:$B$27,'SCH B-3 B'!$B61)</f>
        <v>109731.63901129176</v>
      </c>
      <c r="I61" s="89">
        <f t="shared" si="14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1083612497.7099979</v>
      </c>
      <c r="E62" s="86">
        <f t="shared" ref="E62:I62" si="16">SUM(E42:E45,E58:E61)</f>
        <v>-423872733.09246176</v>
      </c>
      <c r="F62" s="86"/>
      <c r="G62" s="86">
        <f t="shared" si="16"/>
        <v>-397280348.54853845</v>
      </c>
      <c r="H62" s="86">
        <f t="shared" si="16"/>
        <v>109731.63901129176</v>
      </c>
      <c r="I62" s="86">
        <f t="shared" si="16"/>
        <v>-397170616.90952718</v>
      </c>
      <c r="L62" s="136">
        <f>'JURISSEP B'!G258</f>
        <v>397280348.54853845</v>
      </c>
      <c r="M62" s="136"/>
      <c r="N62" s="136">
        <f>SUM(L62:M62)</f>
        <v>397280348.54853845</v>
      </c>
      <c r="O62" s="136">
        <f>-E62+M62</f>
        <v>423872733.09246176</v>
      </c>
      <c r="P62" s="137">
        <f>N62/O62</f>
        <v>0.93726328100910761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1657</v>
      </c>
      <c r="C65" s="78" t="s">
        <v>154</v>
      </c>
      <c r="D65" s="88">
        <f>'SCH B-2.1 B'!D63</f>
        <v>33075169.610000003</v>
      </c>
      <c r="E65" s="88">
        <f>SUMIFS('PIS B'!$W$11:$W$338,'PIS B'!$C$11:$C$338,'SCH B-3 B'!$B65)</f>
        <v>-18376479.541706674</v>
      </c>
      <c r="F65" s="134">
        <f>$P$74</f>
        <v>0.87748462947474803</v>
      </c>
      <c r="G65" s="88">
        <f t="shared" ref="G65:G73" si="17">E65*F65</f>
        <v>-16125078.341704769</v>
      </c>
      <c r="H65" s="88">
        <f>SUMIFS('SCH B-3.1'!$F$12:$F$27,'SCH B-3.1'!$B$12:$B$27,'SCH B-3 B'!$B65)</f>
        <v>0</v>
      </c>
      <c r="I65" s="88">
        <f t="shared" ref="I65:I73" si="18">SUM(G65:H65)</f>
        <v>-16125078.341704769</v>
      </c>
    </row>
    <row r="66" spans="1:16" ht="18.95" customHeight="1">
      <c r="A66" s="70">
        <f t="shared" si="1"/>
        <v>37</v>
      </c>
      <c r="B66" s="71" t="s">
        <v>1658</v>
      </c>
      <c r="C66" s="78" t="s">
        <v>148</v>
      </c>
      <c r="D66" s="88">
        <f>'SCH B-2.1 B'!D64</f>
        <v>33769377.219999984</v>
      </c>
      <c r="E66" s="88">
        <f>SUMIFS('PIS B'!$W$11:$W$338,'PIS B'!$C$11:$C$338,'SCH B-3 B'!$B66)</f>
        <v>-8641883.652158251</v>
      </c>
      <c r="F66" s="134">
        <f t="shared" ref="F66:F73" si="19">$P$74</f>
        <v>0.87748462947474803</v>
      </c>
      <c r="G66" s="88">
        <f t="shared" si="17"/>
        <v>-7583120.074477965</v>
      </c>
      <c r="H66" s="88">
        <f>SUMIFS('SCH B-3.1'!$F$12:$F$27,'SCH B-3.1'!$B$12:$B$27,'SCH B-3 B'!$B66)</f>
        <v>0</v>
      </c>
      <c r="I66" s="88">
        <f t="shared" si="18"/>
        <v>-7583120.074477965</v>
      </c>
    </row>
    <row r="67" spans="1:16" ht="18.95" customHeight="1">
      <c r="A67" s="70">
        <f t="shared" si="1"/>
        <v>38</v>
      </c>
      <c r="B67" s="71" t="s">
        <v>1659</v>
      </c>
      <c r="C67" s="78" t="s">
        <v>149</v>
      </c>
      <c r="D67" s="88">
        <f>'SCH B-2.1 B'!D65</f>
        <v>389509470.60999995</v>
      </c>
      <c r="E67" s="88">
        <f>SUMIFS('PIS B'!$W$11:$W$338,'PIS B'!$C$11:$C$338,'SCH B-3 B'!$B67)</f>
        <v>-85747940.490182146</v>
      </c>
      <c r="F67" s="134">
        <f t="shared" si="19"/>
        <v>0.87748462947474803</v>
      </c>
      <c r="G67" s="88">
        <f t="shared" si="17"/>
        <v>-75242499.789250225</v>
      </c>
      <c r="H67" s="88">
        <f>SUMIFS('SCH B-3.1'!$F$12:$F$27,'SCH B-3.1'!$B$12:$B$27,'SCH B-3 B'!$B67)</f>
        <v>0</v>
      </c>
      <c r="I67" s="88">
        <f t="shared" si="18"/>
        <v>-75242499.789250225</v>
      </c>
    </row>
    <row r="68" spans="1:16" ht="18.95" customHeight="1">
      <c r="A68" s="70">
        <f t="shared" si="1"/>
        <v>39</v>
      </c>
      <c r="B68" s="71" t="s">
        <v>1660</v>
      </c>
      <c r="C68" s="78" t="s">
        <v>1661</v>
      </c>
      <c r="D68" s="88">
        <f>'SCH B-2.1 B'!D66</f>
        <v>77967975.879999995</v>
      </c>
      <c r="E68" s="88">
        <f>SUMIFS('PIS B'!$W$11:$W$338,'PIS B'!$C$11:$C$338,'SCH B-3 B'!$B68)</f>
        <v>-55149760.926189899</v>
      </c>
      <c r="F68" s="134">
        <f t="shared" si="19"/>
        <v>0.87748462947474803</v>
      </c>
      <c r="G68" s="88">
        <f t="shared" si="17"/>
        <v>-48393067.53193868</v>
      </c>
      <c r="H68" s="88">
        <f>SUMIFS('SCH B-3.1'!$F$12:$F$27,'SCH B-3.1'!$B$12:$B$27,'SCH B-3 B'!$B68)</f>
        <v>0</v>
      </c>
      <c r="I68" s="88">
        <f t="shared" si="18"/>
        <v>-48393067.53193868</v>
      </c>
    </row>
    <row r="69" spans="1:16" ht="18.95" customHeight="1">
      <c r="A69" s="70">
        <f t="shared" si="1"/>
        <v>40</v>
      </c>
      <c r="B69" s="71" t="s">
        <v>1662</v>
      </c>
      <c r="C69" s="78" t="s">
        <v>1663</v>
      </c>
      <c r="D69" s="88">
        <f>'SCH B-2.1 B'!D67</f>
        <v>529696280.09999985</v>
      </c>
      <c r="E69" s="88">
        <f>SUMIFS('PIS B'!$W$11:$W$338,'PIS B'!$C$11:$C$338,'SCH B-3 B'!$B69)</f>
        <v>-87921235.270638734</v>
      </c>
      <c r="F69" s="134">
        <f t="shared" si="19"/>
        <v>0.87748462947474803</v>
      </c>
      <c r="G69" s="88">
        <f t="shared" si="17"/>
        <v>-77149532.554418579</v>
      </c>
      <c r="H69" s="88">
        <f>SUMIFS('SCH B-3.1'!$F$12:$F$27,'SCH B-3.1'!$B$12:$B$27,'SCH B-3 B'!$B69)</f>
        <v>0</v>
      </c>
      <c r="I69" s="88">
        <f t="shared" si="18"/>
        <v>-77149532.554418579</v>
      </c>
    </row>
    <row r="70" spans="1:16" ht="18.95" customHeight="1">
      <c r="A70" s="70">
        <f t="shared" si="1"/>
        <v>41</v>
      </c>
      <c r="B70" s="71" t="s">
        <v>1664</v>
      </c>
      <c r="C70" s="78" t="s">
        <v>1665</v>
      </c>
      <c r="D70" s="88">
        <f>'SCH B-2.1 B'!D68</f>
        <v>241562631.69000003</v>
      </c>
      <c r="E70" s="88">
        <f>SUMIFS('PIS B'!$W$11:$W$338,'PIS B'!$C$11:$C$338,'SCH B-3 B'!$B70)</f>
        <v>-123766690.47480375</v>
      </c>
      <c r="F70" s="134">
        <f t="shared" si="19"/>
        <v>0.87748462947474803</v>
      </c>
      <c r="G70" s="88">
        <f t="shared" si="17"/>
        <v>-108603368.53259899</v>
      </c>
      <c r="H70" s="88">
        <f>SUMIFS('SCH B-3.1'!$F$12:$F$27,'SCH B-3.1'!$B$12:$B$27,'SCH B-3 B'!$B70)</f>
        <v>0</v>
      </c>
      <c r="I70" s="88">
        <f t="shared" si="18"/>
        <v>-108603368.53259899</v>
      </c>
    </row>
    <row r="71" spans="1:16" ht="18.95" customHeight="1">
      <c r="A71" s="70">
        <f t="shared" si="1"/>
        <v>42</v>
      </c>
      <c r="B71" s="71" t="s">
        <v>1666</v>
      </c>
      <c r="C71" s="78" t="s">
        <v>1667</v>
      </c>
      <c r="D71" s="88">
        <f>'SCH B-2.1 B'!D69</f>
        <v>618493.80999999994</v>
      </c>
      <c r="E71" s="88">
        <f>SUMIFS('PIS B'!$W$11:$W$338,'PIS B'!$C$11:$C$338,'SCH B-3 B'!$B71)</f>
        <v>-213439.28848750103</v>
      </c>
      <c r="F71" s="134">
        <f t="shared" si="19"/>
        <v>0.87748462947474803</v>
      </c>
      <c r="G71" s="88">
        <f t="shared" si="17"/>
        <v>-187289.69497380871</v>
      </c>
      <c r="H71" s="88">
        <f>SUMIFS('SCH B-3.1'!$F$12:$F$27,'SCH B-3.1'!$B$12:$B$27,'SCH B-3 B'!$B71)</f>
        <v>0</v>
      </c>
      <c r="I71" s="88">
        <f t="shared" si="18"/>
        <v>-187289.69497380871</v>
      </c>
    </row>
    <row r="72" spans="1:16" ht="18.95" customHeight="1">
      <c r="A72" s="70">
        <f t="shared" si="1"/>
        <v>43</v>
      </c>
      <c r="B72" s="71" t="s">
        <v>1668</v>
      </c>
      <c r="C72" s="78" t="s">
        <v>1669</v>
      </c>
      <c r="D72" s="88">
        <f>'SCH B-2.1 B'!D70</f>
        <v>1235015.1699999997</v>
      </c>
      <c r="E72" s="88">
        <f>SUMIFS('PIS B'!$W$11:$W$338,'PIS B'!$C$11:$C$338,'SCH B-3 B'!$B72)</f>
        <v>-820480.97558222082</v>
      </c>
      <c r="F72" s="134">
        <f t="shared" si="19"/>
        <v>0.87748462947474803</v>
      </c>
      <c r="G72" s="88">
        <f t="shared" si="17"/>
        <v>-719959.44484984479</v>
      </c>
      <c r="H72" s="88">
        <f>SUMIFS('SCH B-3.1'!$F$12:$F$27,'SCH B-3.1'!$B$12:$B$27,'SCH B-3 B'!$B72)</f>
        <v>0</v>
      </c>
      <c r="I72" s="88">
        <f t="shared" si="18"/>
        <v>-719959.44484984479</v>
      </c>
    </row>
    <row r="73" spans="1:16" ht="18.95" customHeight="1">
      <c r="A73" s="70">
        <f t="shared" si="1"/>
        <v>44</v>
      </c>
      <c r="B73" s="71" t="s">
        <v>1670</v>
      </c>
      <c r="C73" s="78" t="s">
        <v>152</v>
      </c>
      <c r="D73" s="89">
        <f>'SCH B-2.1 B'!D71</f>
        <v>254317.41</v>
      </c>
      <c r="E73" s="89">
        <f>SUMIFS('PIS B'!$W$11:$W$338,'PIS B'!$C$11:$C$338,'SCH B-3 B'!$B73)</f>
        <v>-115101.07623505399</v>
      </c>
      <c r="F73" s="134">
        <f t="shared" si="19"/>
        <v>0.87748462947474803</v>
      </c>
      <c r="G73" s="89">
        <f t="shared" si="17"/>
        <v>-100999.42523226107</v>
      </c>
      <c r="H73" s="89">
        <f>SUMIFS('SCH B-3.1'!$F$12:$F$27,'SCH B-3.1'!$B$12:$B$27,'SCH B-3 B'!$B73)</f>
        <v>100999.42523226107</v>
      </c>
      <c r="I73" s="89">
        <f t="shared" si="18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1307688731.5</v>
      </c>
      <c r="E74" s="86">
        <f t="shared" ref="E74:I74" si="20">SUM(E65:E73)</f>
        <v>-380753011.69598424</v>
      </c>
      <c r="F74" s="86"/>
      <c r="G74" s="86">
        <f t="shared" si="20"/>
        <v>-334104915.38944507</v>
      </c>
      <c r="H74" s="86">
        <f t="shared" si="20"/>
        <v>100999.42523226107</v>
      </c>
      <c r="I74" s="86">
        <f t="shared" si="20"/>
        <v>-334003915.96421283</v>
      </c>
      <c r="L74" s="136">
        <f>'JURISSEP B'!G267</f>
        <v>334104915.38944513</v>
      </c>
      <c r="M74" s="136"/>
      <c r="N74" s="136">
        <f>SUM(L74:M74)</f>
        <v>334104915.38944513</v>
      </c>
      <c r="O74" s="136">
        <f>-E74+M74</f>
        <v>380753011.69598424</v>
      </c>
      <c r="P74" s="137">
        <f>N74/O74</f>
        <v>0.87748462947474803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 t="s">
        <v>250</v>
      </c>
      <c r="C76" s="90" t="s">
        <v>16</v>
      </c>
    </row>
    <row r="77" spans="1:16" ht="18.95" customHeight="1">
      <c r="A77" s="70">
        <f t="shared" si="1"/>
        <v>47</v>
      </c>
      <c r="B77" s="71" t="s">
        <v>1671</v>
      </c>
      <c r="C77" s="78" t="s">
        <v>154</v>
      </c>
      <c r="D77" s="88">
        <f>'SCH B-2.1 B'!D75</f>
        <v>9235858.4900000021</v>
      </c>
      <c r="E77" s="88">
        <f>SUMIFS('PIS B'!$W$11:$W$338,'PIS B'!$C$11:$C$338,'SCH B-3 B'!$B77)</f>
        <v>-1520757.2603130983</v>
      </c>
      <c r="F77" s="134">
        <f>$P$90</f>
        <v>0.93937327806534121</v>
      </c>
      <c r="G77" s="88">
        <f t="shared" ref="G77:G89" si="21">E77*F77</f>
        <v>-1428558.7327619826</v>
      </c>
      <c r="H77" s="88">
        <f>SUMIFS('SCH B-3.1'!$F$12:$F$27,'SCH B-3.1'!$B$12:$B$27,'SCH B-3 B'!$B77)</f>
        <v>0</v>
      </c>
      <c r="I77" s="88">
        <f t="shared" ref="I77:I89" si="22">SUM(G77:H77)</f>
        <v>-1428558.7327619826</v>
      </c>
    </row>
    <row r="78" spans="1:16" ht="18.95" customHeight="1">
      <c r="A78" s="70">
        <f t="shared" si="1"/>
        <v>48</v>
      </c>
      <c r="B78" s="71" t="s">
        <v>1672</v>
      </c>
      <c r="C78" s="78" t="s">
        <v>148</v>
      </c>
      <c r="D78" s="88">
        <f>'SCH B-2.1 B'!D76</f>
        <v>28666612.359999899</v>
      </c>
      <c r="E78" s="88">
        <f>SUMIFS('PIS B'!$W$11:$W$338,'PIS B'!$C$11:$C$338,'SCH B-3 B'!$B78)</f>
        <v>-4424755.3308515009</v>
      </c>
      <c r="F78" s="134">
        <f t="shared" ref="F78:F81" si="23">$P$90</f>
        <v>0.93937327806534121</v>
      </c>
      <c r="G78" s="88">
        <f t="shared" si="21"/>
        <v>-4156496.9197790679</v>
      </c>
      <c r="H78" s="88">
        <f>SUMIFS('SCH B-3.1'!$F$12:$F$27,'SCH B-3.1'!$B$12:$B$27,'SCH B-3 B'!$B78)</f>
        <v>0</v>
      </c>
      <c r="I78" s="88">
        <f t="shared" si="22"/>
        <v>-4156496.9197790679</v>
      </c>
    </row>
    <row r="79" spans="1:16" ht="18.95" customHeight="1">
      <c r="A79" s="70">
        <f t="shared" si="1"/>
        <v>49</v>
      </c>
      <c r="B79" s="71" t="s">
        <v>1673</v>
      </c>
      <c r="C79" s="78" t="s">
        <v>1674</v>
      </c>
      <c r="D79" s="88">
        <f>'SCH B-2.1 B'!D77</f>
        <v>287447572.55999994</v>
      </c>
      <c r="E79" s="88">
        <f>SUMIFS('PIS B'!$W$11:$W$338,'PIS B'!$C$11:$C$338,'SCH B-3 B'!$B79)</f>
        <v>-57197311.816719033</v>
      </c>
      <c r="F79" s="134">
        <f t="shared" si="23"/>
        <v>0.93937327806534121</v>
      </c>
      <c r="G79" s="88">
        <f t="shared" si="21"/>
        <v>-53729626.297796838</v>
      </c>
      <c r="H79" s="88">
        <f>SUMIFS('SCH B-3.1'!$F$12:$F$27,'SCH B-3.1'!$B$12:$B$27,'SCH B-3 B'!$B79)</f>
        <v>0</v>
      </c>
      <c r="I79" s="88">
        <f t="shared" si="22"/>
        <v>-53729626.297796838</v>
      </c>
    </row>
    <row r="80" spans="1:16" ht="18.95" customHeight="1">
      <c r="A80" s="70">
        <f t="shared" ref="A80:A90" si="24">A79+1</f>
        <v>50</v>
      </c>
      <c r="B80" s="71" t="s">
        <v>1675</v>
      </c>
      <c r="C80" s="78" t="s">
        <v>1676</v>
      </c>
      <c r="D80" s="88">
        <f>'SCH B-2.1 B'!D78</f>
        <v>469639272.19000006</v>
      </c>
      <c r="E80" s="88">
        <f>SUMIFS('PIS B'!$W$11:$W$338,'PIS B'!$C$11:$C$338,'SCH B-3 B'!$B80)</f>
        <v>-180456631.39959678</v>
      </c>
      <c r="F80" s="134">
        <f t="shared" si="23"/>
        <v>0.93937327806534121</v>
      </c>
      <c r="G80" s="88">
        <f t="shared" si="21"/>
        <v>-169516137.3864682</v>
      </c>
      <c r="H80" s="88">
        <f>SUMIFS('SCH B-3.1'!$F$12:$F$27,'SCH B-3.1'!$B$12:$B$27,'SCH B-3 B'!$B80)</f>
        <v>5390.1716761632488</v>
      </c>
      <c r="I80" s="88">
        <f t="shared" si="22"/>
        <v>-169510747.21479204</v>
      </c>
    </row>
    <row r="81" spans="1:16" ht="18.95" customHeight="1">
      <c r="A81" s="70">
        <f t="shared" si="24"/>
        <v>51</v>
      </c>
      <c r="B81" s="71" t="s">
        <v>1677</v>
      </c>
      <c r="C81" s="78" t="s">
        <v>1665</v>
      </c>
      <c r="D81" s="88">
        <f>'SCH B-2.1 B'!D79</f>
        <v>481126602.20999998</v>
      </c>
      <c r="E81" s="88">
        <f>SUMIFS('PIS B'!$W$11:$W$338,'PIS B'!$C$11:$C$338,'SCH B-3 B'!$B81)</f>
        <v>-101600707.80701931</v>
      </c>
      <c r="F81" s="134">
        <f t="shared" si="23"/>
        <v>0.93937327806534121</v>
      </c>
      <c r="G81" s="88">
        <f t="shared" si="21"/>
        <v>-95440989.946438625</v>
      </c>
      <c r="H81" s="88">
        <f>SUMIFS('SCH B-3.1'!$F$12:$F$27,'SCH B-3.1'!$B$12:$B$27,'SCH B-3 B'!$B81)</f>
        <v>5213.3188449969684</v>
      </c>
      <c r="I81" s="88">
        <f t="shared" si="22"/>
        <v>-95435776.627593622</v>
      </c>
    </row>
    <row r="82" spans="1:16" ht="18.95" customHeight="1">
      <c r="A82" s="70">
        <f t="shared" si="24"/>
        <v>52</v>
      </c>
      <c r="B82" s="71" t="s">
        <v>1678</v>
      </c>
      <c r="C82" s="78" t="s">
        <v>1667</v>
      </c>
      <c r="D82" s="88">
        <f>'SCH B-2.1 B'!D80</f>
        <v>2524144.5199999991</v>
      </c>
      <c r="E82" s="88">
        <f>SUMIFS('PIS B'!$W$11:$W$338,'PIS B'!$C$11:$C$338,'SCH B-3 B'!$B82)</f>
        <v>-1128109.3195175582</v>
      </c>
      <c r="F82" s="134">
        <f>'SCH B-2.1 B'!E80</f>
        <v>1</v>
      </c>
      <c r="G82" s="88">
        <f t="shared" si="21"/>
        <v>-1128109.3195175582</v>
      </c>
      <c r="H82" s="88">
        <f>SUMIFS('SCH B-3.1'!$F$12:$F$27,'SCH B-3.1'!$B$12:$B$27,'SCH B-3 B'!$B82)</f>
        <v>29165.133276199998</v>
      </c>
      <c r="I82" s="88">
        <f t="shared" si="22"/>
        <v>-1098944.1862413583</v>
      </c>
    </row>
    <row r="83" spans="1:16" ht="18.95" customHeight="1">
      <c r="A83" s="70">
        <f t="shared" si="24"/>
        <v>53</v>
      </c>
      <c r="B83" s="71" t="s">
        <v>1679</v>
      </c>
      <c r="C83" s="78" t="s">
        <v>1669</v>
      </c>
      <c r="D83" s="88">
        <f>'SCH B-2.1 B'!D81</f>
        <v>234091780.20999995</v>
      </c>
      <c r="E83" s="88">
        <f>SUMIFS('PIS B'!$W$11:$W$338,'PIS B'!$C$11:$C$338,'SCH B-3 B'!$B83)</f>
        <v>-57832577.62558338</v>
      </c>
      <c r="F83" s="134">
        <f t="shared" ref="F83:F88" si="25">$P$90</f>
        <v>0.93937327806534121</v>
      </c>
      <c r="G83" s="88">
        <f t="shared" si="21"/>
        <v>-54326378.023112565</v>
      </c>
      <c r="H83" s="88">
        <f>SUMIFS('SCH B-3.1'!$F$12:$F$27,'SCH B-3.1'!$B$12:$B$27,'SCH B-3 B'!$B83)</f>
        <v>169987.7403182454</v>
      </c>
      <c r="I83" s="88">
        <f t="shared" si="22"/>
        <v>-54156390.282794319</v>
      </c>
    </row>
    <row r="84" spans="1:16" ht="18.95" customHeight="1">
      <c r="A84" s="70">
        <f t="shared" si="24"/>
        <v>54</v>
      </c>
      <c r="B84" s="71" t="s">
        <v>1680</v>
      </c>
      <c r="C84" s="78" t="s">
        <v>1681</v>
      </c>
      <c r="D84" s="88">
        <f>'SCH B-2.1 B'!D82</f>
        <v>332710658.80999994</v>
      </c>
      <c r="E84" s="88">
        <f>SUMIFS('PIS B'!$W$11:$W$338,'PIS B'!$C$11:$C$338,'SCH B-3 B'!$B84)</f>
        <v>-156455438.58140817</v>
      </c>
      <c r="F84" s="134">
        <f t="shared" si="25"/>
        <v>0.93937327806534121</v>
      </c>
      <c r="G84" s="88">
        <f t="shared" si="21"/>
        <v>-146970058.21136805</v>
      </c>
      <c r="H84" s="88">
        <f>SUMIFS('SCH B-3.1'!$F$12:$F$27,'SCH B-3.1'!$B$12:$B$27,'SCH B-3 B'!$B84)</f>
        <v>0</v>
      </c>
      <c r="I84" s="88">
        <f t="shared" si="22"/>
        <v>-146970058.21136805</v>
      </c>
    </row>
    <row r="85" spans="1:16" ht="18.95" customHeight="1">
      <c r="A85" s="70">
        <f t="shared" si="24"/>
        <v>55</v>
      </c>
      <c r="B85" s="71" t="s">
        <v>1682</v>
      </c>
      <c r="C85" s="78" t="s">
        <v>1683</v>
      </c>
      <c r="D85" s="88">
        <f>'SCH B-2.1 B'!D83</f>
        <v>131204891.62</v>
      </c>
      <c r="E85" s="88">
        <f>SUMIFS('PIS B'!$W$11:$W$338,'PIS B'!$C$11:$C$338,'SCH B-3 B'!$B85)</f>
        <v>-69023882.472290829</v>
      </c>
      <c r="F85" s="134">
        <f t="shared" si="25"/>
        <v>0.93937327806534121</v>
      </c>
      <c r="G85" s="88">
        <f t="shared" si="21"/>
        <v>-64839190.742792681</v>
      </c>
      <c r="H85" s="88">
        <f>SUMIFS('SCH B-3.1'!$F$12:$F$27,'SCH B-3.1'!$B$12:$B$27,'SCH B-3 B'!$B85)</f>
        <v>0</v>
      </c>
      <c r="I85" s="88">
        <f t="shared" si="22"/>
        <v>-64839190.742792681</v>
      </c>
    </row>
    <row r="86" spans="1:16" ht="18.95" customHeight="1">
      <c r="A86" s="70">
        <f>A85+1</f>
        <v>56</v>
      </c>
      <c r="B86" s="71" t="s">
        <v>1684</v>
      </c>
      <c r="C86" s="78" t="s">
        <v>1685</v>
      </c>
      <c r="D86" s="88">
        <f>'SCH B-2.1 B'!D84</f>
        <v>80430730.219999999</v>
      </c>
      <c r="E86" s="88">
        <f>SUMIFS('PIS B'!$W$11:$W$338,'PIS B'!$C$11:$C$338,'SCH B-3 B'!$B86)</f>
        <v>-42245314.05892612</v>
      </c>
      <c r="F86" s="134">
        <f t="shared" si="25"/>
        <v>0.93937327806534121</v>
      </c>
      <c r="G86" s="88">
        <f t="shared" si="21"/>
        <v>-39684119.150433272</v>
      </c>
      <c r="H86" s="88">
        <f>SUMIFS('SCH B-3.1'!$F$12:$F$27,'SCH B-3.1'!$B$12:$B$27,'SCH B-3 B'!$B86)</f>
        <v>569725.40331999899</v>
      </c>
      <c r="I86" s="88">
        <f t="shared" si="22"/>
        <v>-39114393.747113273</v>
      </c>
    </row>
    <row r="87" spans="1:16" ht="18.95" customHeight="1">
      <c r="A87" s="70">
        <f t="shared" si="24"/>
        <v>57</v>
      </c>
      <c r="B87" s="71" t="s">
        <v>1686</v>
      </c>
      <c r="C87" s="78" t="s">
        <v>1687</v>
      </c>
      <c r="D87" s="88">
        <f>'SCH B-2.1 B'!D85</f>
        <v>159233.81</v>
      </c>
      <c r="E87" s="88">
        <f>SUMIFS('PIS B'!$W$11:$W$338,'PIS B'!$C$11:$C$338,'SCH B-3 B'!$B87)</f>
        <v>-25951.590502000003</v>
      </c>
      <c r="F87" s="134">
        <f t="shared" si="25"/>
        <v>0.93937327806534121</v>
      </c>
      <c r="G87" s="88">
        <f t="shared" si="21"/>
        <v>-24378.230640873116</v>
      </c>
      <c r="H87" s="88">
        <f>SUMIFS('SCH B-3.1'!$F$12:$F$27,'SCH B-3.1'!$B$12:$B$27,'SCH B-3 B'!$B87)</f>
        <v>0</v>
      </c>
      <c r="I87" s="88">
        <f t="shared" si="22"/>
        <v>-24378.230640873116</v>
      </c>
    </row>
    <row r="88" spans="1:16" ht="18.95" customHeight="1">
      <c r="A88" s="70">
        <f t="shared" si="24"/>
        <v>58</v>
      </c>
      <c r="B88" s="71" t="s">
        <v>1688</v>
      </c>
      <c r="C88" s="78" t="s">
        <v>1689</v>
      </c>
      <c r="D88" s="88">
        <f>'SCH B-2.1 B'!D86</f>
        <v>140965971.02999997</v>
      </c>
      <c r="E88" s="88">
        <f>SUMIFS('PIS B'!$W$11:$W$338,'PIS B'!$C$11:$C$338,'SCH B-3 B'!$B88)</f>
        <v>-50748947.464604676</v>
      </c>
      <c r="F88" s="134">
        <f t="shared" si="25"/>
        <v>0.93937327806534121</v>
      </c>
      <c r="G88" s="88">
        <f t="shared" si="21"/>
        <v>-47672205.138191484</v>
      </c>
      <c r="H88" s="88">
        <f>SUMIFS('SCH B-3.1'!$F$12:$F$27,'SCH B-3.1'!$B$12:$B$27,'SCH B-3 B'!$B88)</f>
        <v>0</v>
      </c>
      <c r="I88" s="88">
        <f t="shared" si="22"/>
        <v>-47672205.138191484</v>
      </c>
    </row>
    <row r="89" spans="1:16" ht="18.95" customHeight="1">
      <c r="A89" s="70">
        <f t="shared" si="24"/>
        <v>59</v>
      </c>
      <c r="B89" s="71" t="s">
        <v>1690</v>
      </c>
      <c r="C89" s="78" t="s">
        <v>151</v>
      </c>
      <c r="D89" s="89">
        <f>'SCH B-2.1 B'!D87</f>
        <v>510376.10000000003</v>
      </c>
      <c r="E89" s="89">
        <f>SUMIFS('PIS B'!$W$11:$W$338,'PIS B'!$C$11:$C$338,'SCH B-3 B'!$B89)</f>
        <v>-137649.24994177802</v>
      </c>
      <c r="F89" s="134">
        <f>'SCH B-2.1 B'!E87</f>
        <v>1</v>
      </c>
      <c r="G89" s="89">
        <f t="shared" si="21"/>
        <v>-137649.24994177802</v>
      </c>
      <c r="H89" s="89">
        <f>SUMIFS('SCH B-3.1'!$F$12:$F$27,'SCH B-3.1'!$B$12:$B$27,'SCH B-3 B'!$B89)</f>
        <v>137649.24994177802</v>
      </c>
      <c r="I89" s="89">
        <f t="shared" si="22"/>
        <v>0</v>
      </c>
    </row>
    <row r="90" spans="1:16" ht="18.95" customHeight="1">
      <c r="A90" s="70">
        <f t="shared" si="24"/>
        <v>60</v>
      </c>
      <c r="B90" s="71"/>
      <c r="C90" s="78" t="s">
        <v>153</v>
      </c>
      <c r="D90" s="86">
        <f>SUM(D77:D89)</f>
        <v>2198713704.1299996</v>
      </c>
      <c r="E90" s="86">
        <f t="shared" ref="E90:I90" si="26">SUM(E77:E89)</f>
        <v>-722798033.97727418</v>
      </c>
      <c r="F90" s="86"/>
      <c r="G90" s="86">
        <f t="shared" si="26"/>
        <v>-679053897.34924316</v>
      </c>
      <c r="H90" s="86">
        <f t="shared" si="26"/>
        <v>917131.01737738261</v>
      </c>
      <c r="I90" s="86">
        <f t="shared" si="26"/>
        <v>-678136766.33186555</v>
      </c>
      <c r="L90" s="136">
        <f>'JURISSEP B'!G271</f>
        <v>679053897.34924293</v>
      </c>
      <c r="M90" s="136">
        <f>G82+G89</f>
        <v>-1265758.5694593363</v>
      </c>
      <c r="N90" s="136">
        <f>SUM(L90:M90)</f>
        <v>677788138.77978361</v>
      </c>
      <c r="O90" s="136">
        <f>-E90+M90</f>
        <v>721532275.40781486</v>
      </c>
      <c r="P90" s="137">
        <f>N90/O90</f>
        <v>0.93937327806534121</v>
      </c>
    </row>
    <row r="91" spans="1:16" s="68" customFormat="1" ht="20.100000000000001" customHeight="1">
      <c r="A91" s="809" t="str">
        <f>$A$1</f>
        <v>KENTUCKY UTILITIES COMPANY</v>
      </c>
      <c r="B91" s="809"/>
      <c r="C91" s="809"/>
      <c r="D91" s="809"/>
      <c r="E91" s="809"/>
      <c r="F91" s="809"/>
      <c r="G91" s="809"/>
      <c r="H91" s="809"/>
      <c r="I91" s="809"/>
    </row>
    <row r="92" spans="1:16" s="68" customFormat="1" ht="20.100000000000001" customHeight="1">
      <c r="A92" s="809" t="str">
        <f>$A$2</f>
        <v>CASE NO. 2020-00349</v>
      </c>
      <c r="B92" s="809"/>
      <c r="C92" s="809"/>
      <c r="D92" s="809"/>
      <c r="E92" s="809"/>
      <c r="F92" s="809"/>
      <c r="G92" s="809"/>
      <c r="H92" s="809"/>
      <c r="I92" s="809"/>
    </row>
    <row r="93" spans="1:16" s="68" customFormat="1" ht="20.100000000000001" customHeight="1">
      <c r="A93" s="809" t="str">
        <f>$A$3</f>
        <v>ACCUMULATED DEPRECIATION AND AMORTIZATION</v>
      </c>
      <c r="B93" s="809"/>
      <c r="C93" s="809"/>
      <c r="D93" s="809"/>
      <c r="E93" s="809"/>
      <c r="F93" s="809"/>
      <c r="G93" s="809"/>
      <c r="H93" s="809"/>
      <c r="I93" s="809"/>
    </row>
    <row r="94" spans="1:16" s="68" customFormat="1" ht="20.100000000000001" customHeight="1">
      <c r="A94" s="808" t="str">
        <f>$A$4</f>
        <v>AS OF FEBRUARY 28, 2021</v>
      </c>
      <c r="B94" s="809"/>
      <c r="C94" s="809"/>
      <c r="D94" s="809"/>
      <c r="E94" s="809"/>
      <c r="F94" s="809"/>
      <c r="G94" s="809"/>
      <c r="H94" s="809"/>
      <c r="I94" s="809"/>
    </row>
    <row r="95" spans="1:16" s="68" customFormat="1" ht="20.100000000000001" customHeight="1">
      <c r="A95" s="84"/>
      <c r="B95" s="84"/>
      <c r="C95" s="84"/>
      <c r="D95" s="84"/>
      <c r="E95" s="84"/>
      <c r="F95" s="84"/>
      <c r="G95" s="84"/>
      <c r="H95" s="84"/>
      <c r="I95" s="84"/>
    </row>
    <row r="96" spans="1:16" s="68" customFormat="1" ht="20.100000000000001" customHeight="1">
      <c r="A96" s="67" t="str">
        <f>$A$6</f>
        <v>DATA:__X__BASE  PERIOD____FORECASTED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__X__ ORIGINAL  _____ UPDATED  _____ REVISED</v>
      </c>
      <c r="H97" s="74"/>
      <c r="I97" s="74" t="s">
        <v>170</v>
      </c>
    </row>
    <row r="98" spans="1:9" s="68" customFormat="1" ht="20.100000000000001" customHeight="1">
      <c r="A98" s="67" t="str">
        <f>$A$8</f>
        <v>WORKPAPER REFERENCE NO(S).:</v>
      </c>
      <c r="B98" s="67"/>
      <c r="F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13" t="s">
        <v>1200</v>
      </c>
      <c r="F100" s="813"/>
      <c r="G100" s="813"/>
      <c r="H100" s="813"/>
      <c r="I100" s="813"/>
    </row>
    <row r="101" spans="1:9" ht="65.099999999999994" customHeight="1">
      <c r="A101" s="71" t="s">
        <v>131</v>
      </c>
      <c r="B101" s="71" t="s">
        <v>134</v>
      </c>
      <c r="C101" s="78" t="s">
        <v>135</v>
      </c>
      <c r="D101" s="71" t="s">
        <v>1198</v>
      </c>
      <c r="E101" s="71" t="s">
        <v>1199</v>
      </c>
      <c r="F101" s="71" t="s">
        <v>223</v>
      </c>
      <c r="G101" s="71" t="s">
        <v>224</v>
      </c>
      <c r="H101" s="71" t="s">
        <v>225</v>
      </c>
      <c r="I101" s="71" t="s">
        <v>226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27">A103+1</f>
        <v>62</v>
      </c>
      <c r="B104" s="71" t="s">
        <v>1692</v>
      </c>
      <c r="C104" s="78" t="s">
        <v>154</v>
      </c>
      <c r="D104" s="88">
        <f>'SCH B-2.1 B'!D101</f>
        <v>3587136.66</v>
      </c>
      <c r="E104" s="88">
        <f>SUMIFS('PIS B'!$W$11:$W$338,'PIS B'!$C$11:$C$338,'SCH B-3 B'!$B104)</f>
        <v>-55.70091064625646</v>
      </c>
      <c r="F104" s="134">
        <f>$P$114</f>
        <v>0.9429933243391716</v>
      </c>
      <c r="G104" s="88">
        <f t="shared" ref="G104:G113" si="28">E104*F104</f>
        <v>-52.525586899032533</v>
      </c>
      <c r="H104" s="88">
        <f>SUMIFS('SCH B-3.1'!$F$12:$F$27,'SCH B-3.1'!$B$12:$B$27,'SCH B-3 B'!$B104)</f>
        <v>0</v>
      </c>
      <c r="I104" s="88">
        <f t="shared" ref="I104:I113" si="29">SUM(G104:H104)</f>
        <v>-52.525586899032533</v>
      </c>
    </row>
    <row r="105" spans="1:9" ht="18.95" customHeight="1">
      <c r="A105" s="70">
        <f t="shared" si="27"/>
        <v>63</v>
      </c>
      <c r="B105" s="71" t="s">
        <v>1693</v>
      </c>
      <c r="C105" s="78" t="s">
        <v>148</v>
      </c>
      <c r="D105" s="88">
        <f>'SCH B-2.1 B'!D102</f>
        <v>98273963.279999912</v>
      </c>
      <c r="E105" s="88">
        <f>SUMIFS('PIS B'!$W$11:$W$338,'PIS B'!$C$11:$C$338,'SCH B-3 B'!$B105)</f>
        <v>-15744395.543883549</v>
      </c>
      <c r="F105" s="134">
        <f t="shared" ref="F105:F113" si="30">$P$114</f>
        <v>0.9429933243391716</v>
      </c>
      <c r="G105" s="88">
        <f t="shared" si="28"/>
        <v>-14846859.893637588</v>
      </c>
      <c r="H105" s="88">
        <f>SUMIFS('SCH B-3.1'!$F$12:$F$27,'SCH B-3.1'!$B$12:$B$27,'SCH B-3 B'!$B105)</f>
        <v>0</v>
      </c>
      <c r="I105" s="88">
        <f t="shared" si="29"/>
        <v>-14846859.893637588</v>
      </c>
    </row>
    <row r="106" spans="1:9" ht="18.95" customHeight="1">
      <c r="A106" s="70">
        <f t="shared" si="27"/>
        <v>64</v>
      </c>
      <c r="B106" s="71" t="s">
        <v>1694</v>
      </c>
      <c r="C106" s="78" t="s">
        <v>156</v>
      </c>
      <c r="D106" s="88">
        <f>'SCH B-2.1 B'!D103</f>
        <v>44094939.430000007</v>
      </c>
      <c r="E106" s="88">
        <f>SUMIFS('PIS B'!$W$11:$W$338,'PIS B'!$C$11:$C$338,'SCH B-3 B'!$B106)</f>
        <v>-14407402.973206736</v>
      </c>
      <c r="F106" s="134">
        <f t="shared" si="30"/>
        <v>0.9429933243391716</v>
      </c>
      <c r="G106" s="88">
        <f t="shared" si="28"/>
        <v>-13586084.824798284</v>
      </c>
      <c r="H106" s="88">
        <f>SUMIFS('SCH B-3.1'!$F$12:$F$27,'SCH B-3.1'!$B$12:$B$27,'SCH B-3 B'!$B106)</f>
        <v>0</v>
      </c>
      <c r="I106" s="88">
        <f t="shared" si="29"/>
        <v>-13586084.824798284</v>
      </c>
    </row>
    <row r="107" spans="1:9" ht="18.95" customHeight="1">
      <c r="A107" s="70">
        <f t="shared" si="27"/>
        <v>65</v>
      </c>
      <c r="B107" s="71" t="s">
        <v>1695</v>
      </c>
      <c r="C107" s="78" t="s">
        <v>155</v>
      </c>
      <c r="D107" s="88">
        <f>'SCH B-2.1 B'!D104</f>
        <v>8624433.1999999993</v>
      </c>
      <c r="E107" s="88">
        <f>SUMIFS('PIS B'!$W$11:$W$338,'PIS B'!$C$11:$C$338,'SCH B-3 B'!$B107)</f>
        <v>-4517971.1598875644</v>
      </c>
      <c r="F107" s="134">
        <f t="shared" si="30"/>
        <v>0.9429933243391716</v>
      </c>
      <c r="G107" s="88">
        <f t="shared" si="28"/>
        <v>-4260416.6433308776</v>
      </c>
      <c r="H107" s="88">
        <f>SUMIFS('SCH B-3.1'!$F$12:$F$27,'SCH B-3.1'!$B$12:$B$27,'SCH B-3 B'!$B107)</f>
        <v>0</v>
      </c>
      <c r="I107" s="88">
        <f t="shared" si="29"/>
        <v>-4260416.6433308776</v>
      </c>
    </row>
    <row r="108" spans="1:9" ht="18.95" customHeight="1">
      <c r="A108" s="70">
        <f t="shared" si="27"/>
        <v>66</v>
      </c>
      <c r="B108" s="71" t="s">
        <v>1696</v>
      </c>
      <c r="C108" s="78" t="s">
        <v>1697</v>
      </c>
      <c r="D108" s="88">
        <f>'SCH B-2.1 B'!D105</f>
        <v>1069959.02</v>
      </c>
      <c r="E108" s="88">
        <f>SUMIFS('PIS B'!$W$11:$W$338,'PIS B'!$C$11:$C$338,'SCH B-3 B'!$B108)</f>
        <v>-383485.52313945512</v>
      </c>
      <c r="F108" s="134">
        <f t="shared" si="30"/>
        <v>0.9429933243391716</v>
      </c>
      <c r="G108" s="88">
        <f t="shared" si="28"/>
        <v>-361624.2883012211</v>
      </c>
      <c r="H108" s="88">
        <f>SUMIFS('SCH B-3.1'!$F$12:$F$27,'SCH B-3.1'!$B$12:$B$27,'SCH B-3 B'!$B108)</f>
        <v>0</v>
      </c>
      <c r="I108" s="88">
        <f t="shared" si="29"/>
        <v>-361624.2883012211</v>
      </c>
    </row>
    <row r="109" spans="1:9" ht="18.95" customHeight="1">
      <c r="A109" s="70">
        <f t="shared" si="27"/>
        <v>67</v>
      </c>
      <c r="B109" s="71" t="s">
        <v>1698</v>
      </c>
      <c r="C109" s="78" t="s">
        <v>1699</v>
      </c>
      <c r="D109" s="88">
        <f>'SCH B-2.1 B'!D106</f>
        <v>16763106.239999998</v>
      </c>
      <c r="E109" s="88">
        <f>SUMIFS('PIS B'!$W$11:$W$338,'PIS B'!$C$11:$C$338,'SCH B-3 B'!$B109)</f>
        <v>-5733356.4950197767</v>
      </c>
      <c r="F109" s="134">
        <f t="shared" si="30"/>
        <v>0.9429933243391716</v>
      </c>
      <c r="G109" s="88">
        <f t="shared" si="28"/>
        <v>-5406516.9008602807</v>
      </c>
      <c r="H109" s="88">
        <f>SUMIFS('SCH B-3.1'!$F$12:$F$27,'SCH B-3.1'!$B$12:$B$27,'SCH B-3 B'!$B109)</f>
        <v>0</v>
      </c>
      <c r="I109" s="88">
        <f t="shared" si="29"/>
        <v>-5406516.9008602807</v>
      </c>
    </row>
    <row r="110" spans="1:9" ht="18.95" customHeight="1">
      <c r="A110" s="70">
        <f t="shared" si="27"/>
        <v>68</v>
      </c>
      <c r="B110" s="71" t="s">
        <v>1700</v>
      </c>
      <c r="C110" s="78" t="s">
        <v>1701</v>
      </c>
      <c r="D110" s="88">
        <f>'SCH B-2.1 B'!D107</f>
        <v>0</v>
      </c>
      <c r="E110" s="88">
        <f>SUMIFS('PIS B'!$W$11:$W$338,'PIS B'!$C$11:$C$338,'SCH B-3 B'!$B110)</f>
        <v>0</v>
      </c>
      <c r="F110" s="134">
        <f t="shared" si="30"/>
        <v>0.9429933243391716</v>
      </c>
      <c r="G110" s="88">
        <f t="shared" si="28"/>
        <v>0</v>
      </c>
      <c r="H110" s="88">
        <f>SUMIFS('SCH B-3.1'!$F$12:$F$27,'SCH B-3.1'!$B$12:$B$27,'SCH B-3 B'!$B110)</f>
        <v>0</v>
      </c>
      <c r="I110" s="88">
        <f t="shared" si="29"/>
        <v>0</v>
      </c>
    </row>
    <row r="111" spans="1:9" ht="18.95" customHeight="1">
      <c r="A111" s="70">
        <f t="shared" si="27"/>
        <v>69</v>
      </c>
      <c r="B111" s="71" t="s">
        <v>1702</v>
      </c>
      <c r="C111" s="78" t="s">
        <v>1703</v>
      </c>
      <c r="D111" s="88">
        <f>'SCH B-2.1 B'!D108</f>
        <v>5841644.1200000001</v>
      </c>
      <c r="E111" s="88">
        <f>SUMIFS('PIS B'!$W$11:$W$338,'PIS B'!$C$11:$C$338,'SCH B-3 B'!$B111)</f>
        <v>-1978340.0533903071</v>
      </c>
      <c r="F111" s="134">
        <f t="shared" si="30"/>
        <v>0.9429933243391716</v>
      </c>
      <c r="G111" s="88">
        <f t="shared" si="28"/>
        <v>-1865561.4636198599</v>
      </c>
      <c r="H111" s="88">
        <f>SUMIFS('SCH B-3.1'!$F$12:$F$27,'SCH B-3.1'!$B$12:$B$27,'SCH B-3 B'!$B111)</f>
        <v>0</v>
      </c>
      <c r="I111" s="88">
        <f t="shared" si="29"/>
        <v>-1865561.4636198599</v>
      </c>
    </row>
    <row r="112" spans="1:9" ht="18.95" customHeight="1">
      <c r="A112" s="70">
        <f t="shared" si="27"/>
        <v>70</v>
      </c>
      <c r="B112" s="71" t="s">
        <v>1704</v>
      </c>
      <c r="C112" s="78" t="s">
        <v>157</v>
      </c>
      <c r="D112" s="88">
        <f>'SCH B-2.1 B'!D109</f>
        <v>70721112.689999998</v>
      </c>
      <c r="E112" s="88">
        <f>SUMIFS('PIS B'!$W$11:$W$338,'PIS B'!$C$11:$C$338,'SCH B-3 B'!$B112)</f>
        <v>-38030599.551336735</v>
      </c>
      <c r="F112" s="134">
        <f t="shared" si="30"/>
        <v>0.9429933243391716</v>
      </c>
      <c r="G112" s="88">
        <f t="shared" si="28"/>
        <v>-35862601.497526839</v>
      </c>
      <c r="H112" s="88">
        <f>SUMIFS('SCH B-3.1'!$F$12:$F$27,'SCH B-3.1'!$B$12:$B$27,'SCH B-3 B'!$B112)</f>
        <v>4973072.5618799999</v>
      </c>
      <c r="I112" s="88">
        <f t="shared" si="29"/>
        <v>-30889528.935646839</v>
      </c>
    </row>
    <row r="113" spans="1:16" ht="18.95" customHeight="1">
      <c r="A113" s="70">
        <f t="shared" si="27"/>
        <v>71</v>
      </c>
      <c r="B113" s="71" t="s">
        <v>1705</v>
      </c>
      <c r="C113" s="78" t="s">
        <v>1706</v>
      </c>
      <c r="D113" s="89">
        <f>'SCH B-2.1 B'!D110</f>
        <v>0</v>
      </c>
      <c r="E113" s="89">
        <f>SUMIFS('PIS B'!$W$11:$W$338,'PIS B'!$C$11:$C$338,'SCH B-3 B'!$B113)</f>
        <v>0</v>
      </c>
      <c r="F113" s="134">
        <f t="shared" si="30"/>
        <v>0.9429933243391716</v>
      </c>
      <c r="G113" s="89">
        <f t="shared" si="28"/>
        <v>0</v>
      </c>
      <c r="H113" s="89">
        <f>SUMIFS('SCH B-3.1'!$F$12:$F$27,'SCH B-3.1'!$B$12:$B$27,'SCH B-3 B'!$B113)</f>
        <v>0</v>
      </c>
      <c r="I113" s="89">
        <f t="shared" si="29"/>
        <v>0</v>
      </c>
    </row>
    <row r="114" spans="1:16" ht="18.95" customHeight="1">
      <c r="A114" s="70">
        <f t="shared" si="27"/>
        <v>72</v>
      </c>
      <c r="B114" s="71"/>
      <c r="C114" s="78" t="s">
        <v>158</v>
      </c>
      <c r="D114" s="86">
        <f>SUM(D104:D113)</f>
        <v>248976294.63999993</v>
      </c>
      <c r="E114" s="86">
        <f t="shared" ref="E114:I114" si="31">SUM(E104:E113)</f>
        <v>-80795607.000774771</v>
      </c>
      <c r="F114" s="86"/>
      <c r="G114" s="86">
        <f t="shared" si="31"/>
        <v>-76189718.03766185</v>
      </c>
      <c r="H114" s="86">
        <f t="shared" si="31"/>
        <v>4973072.5618799999</v>
      </c>
      <c r="I114" s="86">
        <f t="shared" si="31"/>
        <v>-71216645.475781858</v>
      </c>
      <c r="L114" s="136">
        <f>'JURISSEP B'!G273</f>
        <v>76189718.03766185</v>
      </c>
      <c r="M114" s="136"/>
      <c r="N114" s="136">
        <f>SUM(L114:M114)</f>
        <v>76189718.03766185</v>
      </c>
      <c r="O114" s="136">
        <f>-E114+M114</f>
        <v>80795607.000774771</v>
      </c>
      <c r="P114" s="137">
        <f>N114/O114</f>
        <v>0.9429933243391716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1208</v>
      </c>
      <c r="D116" s="94">
        <f>SUM(D17,D28,D39,D62,D74,D90,D114)</f>
        <v>10509992566.569996</v>
      </c>
      <c r="E116" s="94">
        <f>SUM(E17,E28,E39,E62,E74,E90,E114)</f>
        <v>-3678551999.9235177</v>
      </c>
      <c r="F116" s="86"/>
      <c r="G116" s="94">
        <f>SUM(G17,G28,G39,G62,G74,G90,G114)</f>
        <v>-3418757611.7465558</v>
      </c>
      <c r="H116" s="94">
        <f>SUM(H17,H28,H39,H62,H74,H90,H114)</f>
        <v>340354172.2159729</v>
      </c>
      <c r="I116" s="94">
        <f>SUM(I17,I28,I39,I62,I74,I90,I114)</f>
        <v>-3078403439.530582</v>
      </c>
    </row>
    <row r="117" spans="1:16" ht="18.95" customHeight="1" thickTop="1">
      <c r="B117" s="71"/>
    </row>
    <row r="118" spans="1:16" ht="18.95" customHeight="1">
      <c r="B118" s="71"/>
      <c r="D118" s="86"/>
    </row>
    <row r="119" spans="1:16" ht="18.95" customHeight="1">
      <c r="B119" s="71"/>
      <c r="C119" s="78"/>
      <c r="E119" s="93"/>
    </row>
    <row r="120" spans="1:16" ht="18.95" customHeight="1">
      <c r="B120" s="71"/>
    </row>
    <row r="121" spans="1:16" ht="18.95" customHeight="1">
      <c r="B121" s="71"/>
    </row>
    <row r="122" spans="1:16" ht="18.95" customHeight="1">
      <c r="D122" s="69" t="s">
        <v>160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13.625" style="69" customWidth="1"/>
    <col min="7" max="9" width="15.75" style="69" customWidth="1"/>
    <col min="10" max="10" width="1.625" style="69" customWidth="1"/>
    <col min="11" max="11" width="14" style="69" customWidth="1"/>
    <col min="12" max="12" width="13.5" style="69" customWidth="1"/>
    <col min="13" max="13" width="10.5" style="69" customWidth="1"/>
    <col min="14" max="14" width="12.75" style="69" customWidth="1"/>
    <col min="15" max="15" width="13.375" style="69" customWidth="1"/>
    <col min="16" max="16384" width="9" style="69"/>
  </cols>
  <sheetData>
    <row r="1" spans="1:16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</row>
    <row r="2" spans="1:16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</row>
    <row r="3" spans="1:16" s="68" customFormat="1" ht="20.100000000000001" customHeight="1">
      <c r="A3" s="809" t="s">
        <v>1197</v>
      </c>
      <c r="B3" s="809"/>
      <c r="C3" s="809"/>
      <c r="D3" s="809"/>
      <c r="E3" s="809"/>
      <c r="F3" s="809"/>
      <c r="G3" s="809"/>
      <c r="H3" s="809"/>
      <c r="I3" s="809"/>
      <c r="J3" s="570"/>
    </row>
    <row r="4" spans="1:16" s="68" customFormat="1" ht="20.100000000000001" customHeight="1">
      <c r="A4" s="808" t="str">
        <f>'Rate Case Constants'!C18</f>
        <v>AS OF JUNE 30, 2022</v>
      </c>
      <c r="B4" s="809"/>
      <c r="C4" s="809"/>
      <c r="D4" s="809"/>
      <c r="E4" s="809"/>
      <c r="F4" s="809"/>
      <c r="G4" s="809"/>
      <c r="H4" s="809"/>
      <c r="I4" s="809"/>
    </row>
    <row r="5" spans="1:16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92"/>
    </row>
    <row r="6" spans="1:16" s="68" customFormat="1" ht="20.100000000000001" customHeight="1">
      <c r="A6" s="67" t="s">
        <v>161</v>
      </c>
      <c r="B6" s="67"/>
      <c r="H6" s="74"/>
      <c r="I6" s="74" t="s">
        <v>1196</v>
      </c>
    </row>
    <row r="7" spans="1:16" s="68" customFormat="1" ht="20.100000000000001" customHeight="1">
      <c r="A7" s="68" t="str">
        <f>'Rate Case Constants'!C29</f>
        <v>TYPE OF FILING: __X__ ORIGINAL  _____ UPDATED  _____ REVISED</v>
      </c>
      <c r="H7" s="74"/>
      <c r="I7" s="74" t="s">
        <v>167</v>
      </c>
    </row>
    <row r="8" spans="1:16" s="68" customFormat="1" ht="20.100000000000001" customHeight="1">
      <c r="A8" s="67" t="s">
        <v>1195</v>
      </c>
      <c r="B8" s="67"/>
      <c r="E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13" t="s">
        <v>1207</v>
      </c>
      <c r="F10" s="813"/>
      <c r="G10" s="813"/>
      <c r="H10" s="813"/>
      <c r="I10" s="813"/>
      <c r="L10" s="398" t="s">
        <v>2166</v>
      </c>
      <c r="M10" s="398"/>
      <c r="N10" s="398"/>
      <c r="O10" s="398"/>
      <c r="P10" s="398"/>
    </row>
    <row r="11" spans="1:16" ht="95.1" customHeight="1">
      <c r="A11" s="71" t="s">
        <v>131</v>
      </c>
      <c r="B11" s="71" t="s">
        <v>134</v>
      </c>
      <c r="C11" s="78" t="s">
        <v>135</v>
      </c>
      <c r="D11" s="71" t="s">
        <v>2651</v>
      </c>
      <c r="E11" s="71" t="s">
        <v>1199</v>
      </c>
      <c r="F11" s="71" t="s">
        <v>223</v>
      </c>
      <c r="G11" s="71" t="s">
        <v>224</v>
      </c>
      <c r="H11" s="71" t="s">
        <v>225</v>
      </c>
      <c r="I11" s="71" t="s">
        <v>226</v>
      </c>
      <c r="L11" s="71" t="s">
        <v>224</v>
      </c>
      <c r="M11" s="71" t="s">
        <v>225</v>
      </c>
      <c r="N11" s="71" t="s">
        <v>226</v>
      </c>
      <c r="O11" s="71" t="s">
        <v>1199</v>
      </c>
      <c r="P11" s="71" t="s">
        <v>223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  <c r="L12" s="82" t="s">
        <v>142</v>
      </c>
      <c r="M12" s="82" t="s">
        <v>142</v>
      </c>
      <c r="N12" s="82" t="s">
        <v>142</v>
      </c>
      <c r="O12" s="82" t="s">
        <v>142</v>
      </c>
      <c r="P12" s="82"/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1615</v>
      </c>
      <c r="C14" s="78" t="s">
        <v>1616</v>
      </c>
      <c r="D14" s="86">
        <f>'SCH B-2.1 F'!D13</f>
        <v>44455.580000000009</v>
      </c>
      <c r="E14" s="86">
        <f>SUMIFS('PIS F'!$Y$11:$Y$344,'PIS F'!$C$11:$C$344,'SCH B-3 F'!$B14)</f>
        <v>0</v>
      </c>
      <c r="F14" s="130">
        <f>$P$17</f>
        <v>0.93467512424058474</v>
      </c>
      <c r="G14" s="86">
        <f>E14*F14</f>
        <v>0</v>
      </c>
      <c r="H14" s="86">
        <f>SUMIFS('SCH B-3.1'!$F$42:$F$57,'SCH B-3.1'!$B$42:$B$57,'SCH B-3 F'!$B14)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1617</v>
      </c>
      <c r="C15" s="78" t="s">
        <v>1618</v>
      </c>
      <c r="D15" s="86">
        <f>'SCH B-2.1 F'!D14</f>
        <v>144368.66000000003</v>
      </c>
      <c r="E15" s="86">
        <f>SUMIFS('PIS F'!$Y$11:$Y$344,'PIS F'!$C$11:$C$344,'SCH B-3 F'!$B15)</f>
        <v>-65013.780568999988</v>
      </c>
      <c r="F15" s="130">
        <f>'SCH B-2.1 F'!E14</f>
        <v>1</v>
      </c>
      <c r="G15" s="88">
        <f t="shared" ref="G15:G16" si="2">E15*F15</f>
        <v>-65013.780568999988</v>
      </c>
      <c r="H15" s="87">
        <f>SUMIFS('SCH B-3.1'!$F$42:$F$57,'SCH B-3.1'!$B$42:$B$57,'SCH B-3 F'!$B15)</f>
        <v>0</v>
      </c>
      <c r="I15" s="88">
        <f t="shared" si="0"/>
        <v>-65013.780568999988</v>
      </c>
    </row>
    <row r="16" spans="1:16" ht="18.95" customHeight="1">
      <c r="A16" s="70">
        <f t="shared" si="1"/>
        <v>4</v>
      </c>
      <c r="B16" s="71" t="s">
        <v>1619</v>
      </c>
      <c r="C16" s="78" t="s">
        <v>1620</v>
      </c>
      <c r="D16" s="89">
        <f>'SCH B-2.1 F'!D15</f>
        <v>112943497.79846151</v>
      </c>
      <c r="E16" s="89">
        <f>SUMIFS('PIS F'!$Y$11:$Y$344,'PIS F'!$C$11:$C$344,'SCH B-3 F'!$B16)</f>
        <v>-52444815.669635527</v>
      </c>
      <c r="F16" s="130">
        <f>$P$17</f>
        <v>0.93467512424058474</v>
      </c>
      <c r="G16" s="89">
        <f t="shared" si="2"/>
        <v>-49018864.601791151</v>
      </c>
      <c r="H16" s="89">
        <f>SUMIFS('SCH B-3.1'!$F$42:$F$57,'SCH B-3.1'!$B$42:$B$57,'SCH B-3 F'!$B16)</f>
        <v>0</v>
      </c>
      <c r="I16" s="89">
        <f>SUM(G16:H16)</f>
        <v>-49018864.601791151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113132322.03846151</v>
      </c>
      <c r="E17" s="86">
        <f>SUM(E14:E16)</f>
        <v>-52509829.450204529</v>
      </c>
      <c r="F17" s="86"/>
      <c r="G17" s="86">
        <f>SUM(G14:G16)</f>
        <v>-49083878.382360153</v>
      </c>
      <c r="H17" s="86">
        <f>SUM(H14:H16)</f>
        <v>0</v>
      </c>
      <c r="I17" s="86">
        <f>SUM(I14:I16)</f>
        <v>-49083878.382360153</v>
      </c>
      <c r="L17" s="136">
        <f>'JURISSEP F'!G275+'JURISSEP F'!G276</f>
        <v>49083878.382360153</v>
      </c>
      <c r="M17" s="136">
        <f>G15</f>
        <v>-65013.780568999988</v>
      </c>
      <c r="N17" s="136">
        <f>SUM(L17:M17)</f>
        <v>49018864.601791151</v>
      </c>
      <c r="O17" s="136">
        <f>-E17+M17</f>
        <v>52444815.669635527</v>
      </c>
      <c r="P17" s="137">
        <f>N17/O17</f>
        <v>0.93467512424058474</v>
      </c>
    </row>
    <row r="18" spans="1:16" ht="18.95" customHeight="1">
      <c r="A18" s="70"/>
      <c r="B18" s="70"/>
      <c r="D18" s="72"/>
      <c r="E18" s="72"/>
      <c r="F18" s="72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72"/>
      <c r="G19" s="72"/>
      <c r="H19" s="72"/>
      <c r="I19" s="72"/>
    </row>
    <row r="20" spans="1:16" ht="18.95" customHeight="1">
      <c r="A20" s="70">
        <f t="shared" si="1"/>
        <v>7</v>
      </c>
      <c r="B20" s="71" t="s">
        <v>1621</v>
      </c>
      <c r="C20" s="78" t="s">
        <v>154</v>
      </c>
      <c r="D20" s="88">
        <f>'SCH B-2.1 F'!D19</f>
        <v>25383481.64076912</v>
      </c>
      <c r="E20" s="88">
        <f>SUMIFS('PIS F'!$Y$11:$Y$344,'PIS F'!$C$11:$C$344,'SCH B-3 F'!$B20)</f>
        <v>0</v>
      </c>
      <c r="F20" s="134">
        <f t="shared" ref="F20:F27" si="3">$P$28</f>
        <v>0.93621189240421043</v>
      </c>
      <c r="G20" s="88">
        <f t="shared" ref="G20:G27" si="4">E20*F20</f>
        <v>0</v>
      </c>
      <c r="H20" s="88">
        <f>SUMIFS('SCH B-3.1'!$F$42:$F$57,'SCH B-3.1'!$B$42:$B$57,'SCH B-3 F'!$B20)</f>
        <v>0</v>
      </c>
      <c r="I20" s="88">
        <f t="shared" ref="I20:I27" si="5">SUM(G20:H20)</f>
        <v>0</v>
      </c>
    </row>
    <row r="21" spans="1:16" ht="18" customHeight="1">
      <c r="A21" s="70">
        <f t="shared" si="1"/>
        <v>8</v>
      </c>
      <c r="B21" s="71" t="s">
        <v>1622</v>
      </c>
      <c r="C21" s="78" t="s">
        <v>148</v>
      </c>
      <c r="D21" s="88">
        <f>'SCH B-2.1 F'!D20</f>
        <v>358084819.11461538</v>
      </c>
      <c r="E21" s="88">
        <f>SUMIFS('PIS F'!$Y$11:$Y$344,'PIS F'!$C$11:$C$344,'SCH B-3 F'!$B21)</f>
        <v>-172041002.53384402</v>
      </c>
      <c r="F21" s="134">
        <f t="shared" si="3"/>
        <v>0.93621189240421043</v>
      </c>
      <c r="G21" s="88">
        <f t="shared" si="4"/>
        <v>-161066832.55332768</v>
      </c>
      <c r="H21" s="88">
        <f>SUMIFS('SCH B-3.1'!$F$42:$F$57,'SCH B-3.1'!$B$42:$B$57,'SCH B-3 F'!$B21)</f>
        <v>46504.835239843516</v>
      </c>
      <c r="I21" s="88">
        <f t="shared" si="5"/>
        <v>-161020327.71808782</v>
      </c>
    </row>
    <row r="22" spans="1:16" ht="18.95" customHeight="1">
      <c r="A22" s="70">
        <f t="shared" si="1"/>
        <v>9</v>
      </c>
      <c r="B22" s="71" t="s">
        <v>1623</v>
      </c>
      <c r="C22" s="78" t="s">
        <v>1624</v>
      </c>
      <c r="D22" s="88">
        <f>'SCH B-2.1 F'!D21</f>
        <v>4422848816.87922</v>
      </c>
      <c r="E22" s="88">
        <f>SUMIFS('PIS F'!$Y$11:$Y$344,'PIS F'!$C$11:$C$344,'SCH B-3 F'!$B22)</f>
        <v>-1590662733.8607507</v>
      </c>
      <c r="F22" s="134">
        <f t="shared" si="3"/>
        <v>0.93621189240421043</v>
      </c>
      <c r="G22" s="88">
        <f t="shared" si="4"/>
        <v>-1489197368.2446284</v>
      </c>
      <c r="H22" s="88">
        <f>SUMIFS('SCH B-3.1'!$F$42:$F$57,'SCH B-3.1'!$B$42:$B$57,'SCH B-3 F'!$B22)</f>
        <v>23081542.631412804</v>
      </c>
      <c r="I22" s="88">
        <f t="shared" si="5"/>
        <v>-1466115825.6132157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F'!D22</f>
        <v>0</v>
      </c>
      <c r="E23" s="88">
        <f>SUMIFS('PIS F'!$Y$11:$Y$344,'PIS F'!$C$11:$C$344,'SCH B-3 F'!$B23)</f>
        <v>0</v>
      </c>
      <c r="F23" s="134">
        <f t="shared" si="3"/>
        <v>0.93621189240421043</v>
      </c>
      <c r="G23" s="88">
        <f t="shared" si="4"/>
        <v>0</v>
      </c>
      <c r="H23" s="88">
        <f>SUMIFS('SCH B-3.1'!$F$42:$F$57,'SCH B-3.1'!$B$42:$B$57,'SCH B-3 F'!$B23)</f>
        <v>0</v>
      </c>
      <c r="I23" s="88">
        <f t="shared" si="5"/>
        <v>0</v>
      </c>
    </row>
    <row r="24" spans="1:16" ht="18.95" customHeight="1">
      <c r="A24" s="70">
        <f>A22+1</f>
        <v>10</v>
      </c>
      <c r="B24" s="71" t="s">
        <v>1625</v>
      </c>
      <c r="C24" s="78" t="s">
        <v>1626</v>
      </c>
      <c r="D24" s="88">
        <f>'SCH B-2.1 F'!D23</f>
        <v>373315231.46846169</v>
      </c>
      <c r="E24" s="88">
        <f>SUMIFS('PIS F'!$Y$11:$Y$344,'PIS F'!$C$11:$C$344,'SCH B-3 F'!$B24)</f>
        <v>-150779631.38526163</v>
      </c>
      <c r="F24" s="134">
        <f t="shared" si="3"/>
        <v>0.93621189240421043</v>
      </c>
      <c r="G24" s="88">
        <f t="shared" si="4"/>
        <v>-141161684.03520507</v>
      </c>
      <c r="H24" s="88">
        <f>SUMIFS('SCH B-3.1'!$F$42:$F$57,'SCH B-3.1'!$B$42:$B$57,'SCH B-3 F'!$B24)</f>
        <v>0</v>
      </c>
      <c r="I24" s="88">
        <f t="shared" si="5"/>
        <v>-141161684.03520507</v>
      </c>
    </row>
    <row r="25" spans="1:16" ht="18.95" customHeight="1">
      <c r="A25" s="70">
        <f t="shared" si="1"/>
        <v>11</v>
      </c>
      <c r="B25" s="71" t="s">
        <v>1627</v>
      </c>
      <c r="C25" s="78" t="s">
        <v>1628</v>
      </c>
      <c r="D25" s="88">
        <f>'SCH B-2.1 F'!D24</f>
        <v>261136718.51384529</v>
      </c>
      <c r="E25" s="88">
        <f>SUMIFS('PIS F'!$Y$11:$Y$344,'PIS F'!$C$11:$C$344,'SCH B-3 F'!$B25)</f>
        <v>-133573727.48769879</v>
      </c>
      <c r="F25" s="134">
        <f t="shared" si="3"/>
        <v>0.93621189240421043</v>
      </c>
      <c r="G25" s="88">
        <f t="shared" si="4"/>
        <v>-125053312.18674278</v>
      </c>
      <c r="H25" s="88">
        <f>SUMIFS('SCH B-3.1'!$F$42:$F$57,'SCH B-3.1'!$B$42:$B$57,'SCH B-3 F'!$B25)</f>
        <v>163677.36360157043</v>
      </c>
      <c r="I25" s="88">
        <f t="shared" si="5"/>
        <v>-124889634.82314122</v>
      </c>
    </row>
    <row r="26" spans="1:16" ht="18.95" customHeight="1">
      <c r="A26" s="70">
        <f t="shared" si="1"/>
        <v>12</v>
      </c>
      <c r="B26" s="71" t="s">
        <v>1629</v>
      </c>
      <c r="C26" s="78" t="s">
        <v>1630</v>
      </c>
      <c r="D26" s="88">
        <f>'SCH B-2.1 F'!D25</f>
        <v>48060431.632307701</v>
      </c>
      <c r="E26" s="88">
        <f>SUMIFS('PIS F'!$Y$11:$Y$344,'PIS F'!$C$11:$C$344,'SCH B-3 F'!$B26)</f>
        <v>-18921675.215251241</v>
      </c>
      <c r="F26" s="134">
        <f t="shared" si="3"/>
        <v>0.93621189240421043</v>
      </c>
      <c r="G26" s="88">
        <f t="shared" si="4"/>
        <v>-17714697.360728212</v>
      </c>
      <c r="H26" s="88">
        <f>SUMIFS('SCH B-3.1'!$F$42:$F$57,'SCH B-3.1'!$B$42:$B$57,'SCH B-3 F'!$B26)</f>
        <v>0</v>
      </c>
      <c r="I26" s="88">
        <f t="shared" si="5"/>
        <v>-17714697.360728212</v>
      </c>
    </row>
    <row r="27" spans="1:16" ht="18.95" customHeight="1">
      <c r="A27" s="70">
        <f t="shared" si="1"/>
        <v>13</v>
      </c>
      <c r="B27" s="71" t="s">
        <v>1631</v>
      </c>
      <c r="C27" s="78" t="s">
        <v>1650</v>
      </c>
      <c r="D27" s="89">
        <f>'SCH B-2.1 F'!D26</f>
        <v>158472628.39384618</v>
      </c>
      <c r="E27" s="89">
        <f>SUMIFS('PIS F'!$Y$11:$Y$344,'PIS F'!$C$11:$C$344,'SCH B-3 F'!$B27)</f>
        <v>-116781348.19720437</v>
      </c>
      <c r="F27" s="134">
        <f t="shared" si="3"/>
        <v>0.93621189240421043</v>
      </c>
      <c r="G27" s="89">
        <f t="shared" si="4"/>
        <v>-109332086.99321973</v>
      </c>
      <c r="H27" s="89">
        <f>SUMIFS('SCH B-3.1'!$F$42:$F$57,'SCH B-3.1'!$B$42:$B$57,'SCH B-3 F'!$B27)</f>
        <v>109332086.99321973</v>
      </c>
      <c r="I27" s="89">
        <f t="shared" si="5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5647302127.6430664</v>
      </c>
      <c r="E28" s="86">
        <f>SUM(E20:E27)</f>
        <v>-2182760118.6800108</v>
      </c>
      <c r="F28" s="130"/>
      <c r="G28" s="86">
        <f>SUM(G20:G27)</f>
        <v>-2043525981.3738518</v>
      </c>
      <c r="H28" s="86">
        <f>SUM(H20:H27)</f>
        <v>132623811.82347395</v>
      </c>
      <c r="I28" s="86">
        <f>SUM(I20:I27)</f>
        <v>-1910902169.5503783</v>
      </c>
      <c r="L28" s="136">
        <f>'JURISSEP F'!G246</f>
        <v>2043525981.3738518</v>
      </c>
      <c r="M28" s="136"/>
      <c r="N28" s="136">
        <f>SUM(L28:M28)</f>
        <v>2043525981.3738518</v>
      </c>
      <c r="O28" s="136">
        <f>-E28+M28</f>
        <v>2182760118.6800108</v>
      </c>
      <c r="P28" s="137">
        <f>N28/O28</f>
        <v>0.93621189240421043</v>
      </c>
    </row>
    <row r="29" spans="1:16" ht="18.95" customHeight="1">
      <c r="A29" s="70"/>
      <c r="C29" s="78"/>
    </row>
    <row r="30" spans="1:16" ht="18.95" customHeight="1">
      <c r="A30" s="70">
        <f>A28+1</f>
        <v>15</v>
      </c>
      <c r="C30" s="90" t="s">
        <v>47</v>
      </c>
    </row>
    <row r="31" spans="1:16" ht="18.95" customHeight="1">
      <c r="A31" s="70">
        <f t="shared" si="1"/>
        <v>16</v>
      </c>
      <c r="B31" s="71" t="s">
        <v>1632</v>
      </c>
      <c r="C31" s="78" t="s">
        <v>154</v>
      </c>
      <c r="D31" s="88">
        <f>'SCH B-2.1 F'!D30</f>
        <v>855636.47000000009</v>
      </c>
      <c r="E31" s="88">
        <f>SUMIFS('PIS F'!$Y$11:$Y$344,'PIS F'!$C$11:$C$344,'SCH B-3 F'!$B31)</f>
        <v>-855635.59999999974</v>
      </c>
      <c r="F31" s="134">
        <f t="shared" ref="F31:F38" si="6">$P$39</f>
        <v>0.93801439587046564</v>
      </c>
      <c r="G31" s="88">
        <f t="shared" ref="G31:G38" si="7">E31*F31</f>
        <v>-802598.51041926316</v>
      </c>
      <c r="H31" s="88">
        <f>SUMIFS('SCH B-3.1'!$F$42:$F$57,'SCH B-3.1'!$B$42:$B$57,'SCH B-3 F'!$B31)</f>
        <v>0</v>
      </c>
      <c r="I31" s="88">
        <f t="shared" ref="I31:I38" si="8">SUM(G31:H31)</f>
        <v>-802598.51041926316</v>
      </c>
    </row>
    <row r="32" spans="1:16" ht="18.95" customHeight="1">
      <c r="A32" s="70">
        <f t="shared" si="1"/>
        <v>17</v>
      </c>
      <c r="B32" s="71" t="s">
        <v>1633</v>
      </c>
      <c r="C32" s="78" t="s">
        <v>148</v>
      </c>
      <c r="D32" s="88">
        <f>'SCH B-2.1 F'!D31</f>
        <v>5186170.5746153845</v>
      </c>
      <c r="E32" s="88">
        <f>SUMIFS('PIS F'!$Y$11:$Y$344,'PIS F'!$C$11:$C$344,'SCH B-3 F'!$B32)</f>
        <v>-748263.13596855954</v>
      </c>
      <c r="F32" s="134">
        <f t="shared" si="6"/>
        <v>0.93801439587046564</v>
      </c>
      <c r="G32" s="88">
        <f t="shared" si="7"/>
        <v>-701881.59343768843</v>
      </c>
      <c r="H32" s="88">
        <f>SUMIFS('SCH B-3.1'!$F$42:$F$57,'SCH B-3.1'!$B$42:$B$57,'SCH B-3 F'!$B32)</f>
        <v>0</v>
      </c>
      <c r="I32" s="88">
        <f t="shared" si="8"/>
        <v>-701881.59343768843</v>
      </c>
    </row>
    <row r="33" spans="1:16" ht="18.95" customHeight="1">
      <c r="A33" s="70">
        <f t="shared" si="1"/>
        <v>18</v>
      </c>
      <c r="B33" s="71" t="s">
        <v>1634</v>
      </c>
      <c r="C33" s="78" t="s">
        <v>1635</v>
      </c>
      <c r="D33" s="88">
        <f>'SCH B-2.1 F'!D32</f>
        <v>25910414.243846156</v>
      </c>
      <c r="E33" s="88">
        <f>SUMIFS('PIS F'!$Y$11:$Y$344,'PIS F'!$C$11:$C$344,'SCH B-3 F'!$B33)</f>
        <v>-11482853.411118746</v>
      </c>
      <c r="F33" s="134">
        <f t="shared" si="6"/>
        <v>0.93801439587046564</v>
      </c>
      <c r="G33" s="88">
        <f t="shared" si="7"/>
        <v>-10771081.805299666</v>
      </c>
      <c r="H33" s="88">
        <f>SUMIFS('SCH B-3.1'!$F$42:$F$57,'SCH B-3.1'!$B$42:$B$57,'SCH B-3 F'!$B33)</f>
        <v>0</v>
      </c>
      <c r="I33" s="88">
        <f t="shared" si="8"/>
        <v>-10771081.805299666</v>
      </c>
    </row>
    <row r="34" spans="1:16" ht="18.95" customHeight="1">
      <c r="A34" s="70">
        <f t="shared" si="1"/>
        <v>19</v>
      </c>
      <c r="B34" s="71" t="s">
        <v>1636</v>
      </c>
      <c r="C34" s="78" t="s">
        <v>1637</v>
      </c>
      <c r="D34" s="88">
        <f>'SCH B-2.1 F'!D33</f>
        <v>14877393.580000002</v>
      </c>
      <c r="E34" s="88">
        <f>SUMIFS('PIS F'!$Y$11:$Y$344,'PIS F'!$C$11:$C$344,'SCH B-3 F'!$B34)</f>
        <v>-3951843.8660307438</v>
      </c>
      <c r="F34" s="134">
        <f t="shared" si="6"/>
        <v>0.93801439587046564</v>
      </c>
      <c r="G34" s="88">
        <f t="shared" si="7"/>
        <v>-3706886.4365692334</v>
      </c>
      <c r="H34" s="88">
        <f>SUMIFS('SCH B-3.1'!$F$42:$F$57,'SCH B-3.1'!$B$42:$B$57,'SCH B-3 F'!$B34)</f>
        <v>0</v>
      </c>
      <c r="I34" s="88">
        <f t="shared" si="8"/>
        <v>-3706886.4365692334</v>
      </c>
    </row>
    <row r="35" spans="1:16" ht="18.95" customHeight="1">
      <c r="A35" s="70">
        <f t="shared" si="1"/>
        <v>20</v>
      </c>
      <c r="B35" s="71" t="s">
        <v>1638</v>
      </c>
      <c r="C35" s="78" t="s">
        <v>1628</v>
      </c>
      <c r="D35" s="88">
        <f>'SCH B-2.1 F'!D34</f>
        <v>1389702.6884615382</v>
      </c>
      <c r="E35" s="88">
        <f>SUMIFS('PIS F'!$Y$11:$Y$344,'PIS F'!$C$11:$C$344,'SCH B-3 F'!$B35)</f>
        <v>-459065.99371679622</v>
      </c>
      <c r="F35" s="134">
        <f t="shared" si="6"/>
        <v>0.93801439587046564</v>
      </c>
      <c r="G35" s="88">
        <f t="shared" si="7"/>
        <v>-430610.51076093561</v>
      </c>
      <c r="H35" s="88">
        <f>SUMIFS('SCH B-3.1'!$F$42:$F$57,'SCH B-3.1'!$B$42:$B$57,'SCH B-3 F'!$B35)</f>
        <v>0</v>
      </c>
      <c r="I35" s="88">
        <f t="shared" si="8"/>
        <v>-430610.51076093561</v>
      </c>
    </row>
    <row r="36" spans="1:16" ht="18.95" customHeight="1">
      <c r="A36" s="70">
        <f t="shared" si="1"/>
        <v>21</v>
      </c>
      <c r="B36" s="71" t="s">
        <v>1639</v>
      </c>
      <c r="C36" s="78" t="s">
        <v>1640</v>
      </c>
      <c r="D36" s="88">
        <f>'SCH B-2.1 F'!D35</f>
        <v>329374.17999999993</v>
      </c>
      <c r="E36" s="88">
        <f>SUMIFS('PIS F'!$Y$11:$Y$344,'PIS F'!$C$11:$C$344,'SCH B-3 F'!$B36)</f>
        <v>-191724.81270889999</v>
      </c>
      <c r="F36" s="134">
        <f t="shared" si="6"/>
        <v>0.93801439587046564</v>
      </c>
      <c r="G36" s="88">
        <f t="shared" si="7"/>
        <v>-179840.63436651698</v>
      </c>
      <c r="H36" s="88">
        <f>SUMIFS('SCH B-3.1'!$F$42:$F$57,'SCH B-3.1'!$B$42:$B$57,'SCH B-3 F'!$B36)</f>
        <v>0</v>
      </c>
      <c r="I36" s="88">
        <f t="shared" si="8"/>
        <v>-179840.63436651698</v>
      </c>
    </row>
    <row r="37" spans="1:16" ht="18.95" customHeight="1">
      <c r="A37" s="70">
        <f t="shared" si="1"/>
        <v>22</v>
      </c>
      <c r="B37" s="71" t="s">
        <v>1641</v>
      </c>
      <c r="C37" s="78" t="s">
        <v>1642</v>
      </c>
      <c r="D37" s="88">
        <f>'SCH B-2.1 F'!D36</f>
        <v>198899.82999999897</v>
      </c>
      <c r="E37" s="88">
        <f>SUMIFS('PIS F'!$Y$11:$Y$344,'PIS F'!$C$11:$C$344,'SCH B-3 F'!$B37)</f>
        <v>-75377.112383579952</v>
      </c>
      <c r="F37" s="134">
        <f t="shared" si="6"/>
        <v>0.93801439587046564</v>
      </c>
      <c r="G37" s="88">
        <f t="shared" si="7"/>
        <v>-70704.816534943937</v>
      </c>
      <c r="H37" s="88">
        <f>SUMIFS('SCH B-3.1'!$F$42:$F$57,'SCH B-3.1'!$B$42:$B$57,'SCH B-3 F'!$B37)</f>
        <v>0</v>
      </c>
      <c r="I37" s="88">
        <f t="shared" si="8"/>
        <v>-70704.816534943937</v>
      </c>
    </row>
    <row r="38" spans="1:16" ht="18.95" customHeight="1">
      <c r="A38" s="70">
        <f t="shared" si="1"/>
        <v>23</v>
      </c>
      <c r="B38" s="71" t="s">
        <v>1643</v>
      </c>
      <c r="C38" s="78" t="s">
        <v>1651</v>
      </c>
      <c r="D38" s="89">
        <f>'SCH B-2.1 F'!D37</f>
        <v>645787.98999999987</v>
      </c>
      <c r="E38" s="89">
        <f>SUMIFS('PIS F'!$Y$11:$Y$344,'PIS F'!$C$11:$C$344,'SCH B-3 F'!$B38)</f>
        <v>-108888.10290254554</v>
      </c>
      <c r="F38" s="134">
        <f t="shared" si="6"/>
        <v>0.93801439587046564</v>
      </c>
      <c r="G38" s="89">
        <f t="shared" si="7"/>
        <v>-102138.60806161235</v>
      </c>
      <c r="H38" s="89">
        <f>SUMIFS('SCH B-3.1'!$F$42:$F$57,'SCH B-3.1'!$B$42:$B$57,'SCH B-3 F'!$B38)</f>
        <v>102138.60806161235</v>
      </c>
      <c r="I38" s="89">
        <f t="shared" si="8"/>
        <v>0</v>
      </c>
    </row>
    <row r="39" spans="1:16" ht="18.95" customHeight="1">
      <c r="A39" s="70">
        <f t="shared" si="1"/>
        <v>24</v>
      </c>
      <c r="B39" s="71" t="s">
        <v>250</v>
      </c>
      <c r="C39" s="78" t="s">
        <v>147</v>
      </c>
      <c r="D39" s="86">
        <f>SUM(D31:D38)</f>
        <v>49393379.556923077</v>
      </c>
      <c r="E39" s="86">
        <f t="shared" ref="E39" si="9">SUM(E31:E38)</f>
        <v>-17873652.034829874</v>
      </c>
      <c r="F39" s="86"/>
      <c r="G39" s="86">
        <f t="shared" ref="G39:I39" si="10">SUM(G31:G38)</f>
        <v>-16765742.915449858</v>
      </c>
      <c r="H39" s="86">
        <f t="shared" si="10"/>
        <v>102138.60806161235</v>
      </c>
      <c r="I39" s="86">
        <f t="shared" si="10"/>
        <v>-16663604.307388246</v>
      </c>
      <c r="L39" s="136">
        <f>'JURISSEP F'!G252</f>
        <v>16765742.915449863</v>
      </c>
      <c r="M39" s="136"/>
      <c r="N39" s="136">
        <f>SUM(L39:M39)</f>
        <v>16765742.915449863</v>
      </c>
      <c r="O39" s="136">
        <f>-E39+M39</f>
        <v>17873652.034829874</v>
      </c>
      <c r="P39" s="137">
        <f>N39/O39</f>
        <v>0.93801439587046564</v>
      </c>
    </row>
    <row r="40" spans="1:16" ht="18.95" customHeight="1">
      <c r="A40" s="70"/>
      <c r="B40" s="71"/>
      <c r="C40" s="78"/>
      <c r="D40" s="86"/>
      <c r="E40" s="86"/>
      <c r="F40" s="86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</row>
    <row r="42" spans="1:16" ht="18.95" customHeight="1">
      <c r="A42" s="70">
        <f t="shared" si="1"/>
        <v>26</v>
      </c>
      <c r="B42" s="71" t="s">
        <v>1644</v>
      </c>
      <c r="C42" s="78" t="s">
        <v>154</v>
      </c>
      <c r="D42" s="88">
        <f>'SCH B-2.1 F'!D41</f>
        <v>894512.75</v>
      </c>
      <c r="E42" s="88">
        <f>SUMIFS('PIS F'!$Y$11:$Y$344,'PIS F'!$C$11:$C$344,'SCH B-3 F'!$B42)</f>
        <v>-138918.90297499907</v>
      </c>
      <c r="F42" s="134">
        <f t="shared" ref="F42:F45" si="11">$P$62</f>
        <v>0.9381117981132886</v>
      </c>
      <c r="G42" s="88">
        <f t="shared" ref="G42:G45" si="12">E42*F42</f>
        <v>-130321.46186180186</v>
      </c>
      <c r="H42" s="88">
        <f>SUMIFS('SCH B-3.1'!$F$42:$F$57,'SCH B-3.1'!$B$42:$B$57,'SCH B-3 F'!$B42)</f>
        <v>0</v>
      </c>
      <c r="I42" s="88">
        <f t="shared" ref="I42:I45" si="13">SUM(G42:H42)</f>
        <v>-130321.46186180186</v>
      </c>
    </row>
    <row r="43" spans="1:16" ht="18.95" customHeight="1">
      <c r="A43" s="70">
        <f t="shared" si="1"/>
        <v>27</v>
      </c>
      <c r="B43" s="71" t="s">
        <v>1645</v>
      </c>
      <c r="C43" s="78" t="s">
        <v>148</v>
      </c>
      <c r="D43" s="88">
        <f>'SCH B-2.1 F'!D42</f>
        <v>90539295.530000001</v>
      </c>
      <c r="E43" s="88">
        <f>SUMIFS('PIS F'!$Y$11:$Y$344,'PIS F'!$C$11:$C$344,'SCH B-3 F'!$B43)</f>
        <v>-35280479.785187297</v>
      </c>
      <c r="F43" s="134">
        <f t="shared" si="11"/>
        <v>0.9381117981132886</v>
      </c>
      <c r="G43" s="88">
        <f t="shared" si="12"/>
        <v>-33097034.329581585</v>
      </c>
      <c r="H43" s="88">
        <f>SUMIFS('SCH B-3.1'!$F$42:$F$57,'SCH B-3.1'!$B$42:$B$57,'SCH B-3 F'!$B43)</f>
        <v>0</v>
      </c>
      <c r="I43" s="88">
        <f t="shared" si="13"/>
        <v>-33097034.329581585</v>
      </c>
    </row>
    <row r="44" spans="1:16" ht="18.95" customHeight="1">
      <c r="A44" s="70">
        <f t="shared" si="1"/>
        <v>28</v>
      </c>
      <c r="B44" s="71" t="s">
        <v>1646</v>
      </c>
      <c r="C44" s="78" t="s">
        <v>1647</v>
      </c>
      <c r="D44" s="88">
        <f>'SCH B-2.1 F'!D43</f>
        <v>84168419.36999999</v>
      </c>
      <c r="E44" s="88">
        <f>SUMIFS('PIS F'!$Y$11:$Y$344,'PIS F'!$C$11:$C$344,'SCH B-3 F'!$B44)</f>
        <v>-28407090.28300108</v>
      </c>
      <c r="F44" s="134">
        <f t="shared" si="11"/>
        <v>0.9381117981132886</v>
      </c>
      <c r="G44" s="88">
        <f t="shared" si="12"/>
        <v>-26649026.544552673</v>
      </c>
      <c r="H44" s="88">
        <f>SUMIFS('SCH B-3.1'!$F$42:$F$57,'SCH B-3.1'!$B$42:$B$57,'SCH B-3 F'!$B44)</f>
        <v>0</v>
      </c>
      <c r="I44" s="88">
        <f t="shared" si="13"/>
        <v>-26649026.544552673</v>
      </c>
    </row>
    <row r="45" spans="1:16" ht="18.95" customHeight="1">
      <c r="A45" s="70">
        <f t="shared" si="1"/>
        <v>29</v>
      </c>
      <c r="B45" s="71" t="s">
        <v>1648</v>
      </c>
      <c r="C45" s="78" t="s">
        <v>1649</v>
      </c>
      <c r="D45" s="88">
        <f>'SCH B-2.1 F'!D44</f>
        <v>702631799.32692099</v>
      </c>
      <c r="E45" s="88">
        <f>SUMIFS('PIS F'!$Y$11:$Y$344,'PIS F'!$C$11:$C$344,'SCH B-3 F'!$B45)</f>
        <v>-289697766.0147717</v>
      </c>
      <c r="F45" s="134">
        <f t="shared" si="11"/>
        <v>0.9381117981132886</v>
      </c>
      <c r="G45" s="88">
        <f t="shared" si="12"/>
        <v>-271768892.18552023</v>
      </c>
      <c r="H45" s="88">
        <f>SUMIFS('SCH B-3.1'!$F$42:$F$57,'SCH B-3.1'!$B$42:$B$57,'SCH B-3 F'!$B45)</f>
        <v>0</v>
      </c>
      <c r="I45" s="88">
        <f t="shared" si="13"/>
        <v>-271768892.18552023</v>
      </c>
    </row>
    <row r="46" spans="1:16" s="68" customFormat="1" ht="20.100000000000001" customHeight="1">
      <c r="A46" s="809" t="str">
        <f>$A$1</f>
        <v>KENTUCKY UTILITIES COMPANY</v>
      </c>
      <c r="B46" s="809"/>
      <c r="C46" s="809"/>
      <c r="D46" s="809"/>
      <c r="E46" s="809"/>
      <c r="F46" s="809"/>
      <c r="G46" s="809"/>
      <c r="H46" s="809"/>
      <c r="I46" s="809"/>
    </row>
    <row r="47" spans="1:16" s="68" customFormat="1" ht="20.100000000000001" customHeight="1">
      <c r="A47" s="809" t="str">
        <f>$A$2</f>
        <v>CASE NO. 2020-00349</v>
      </c>
      <c r="B47" s="809"/>
      <c r="C47" s="809"/>
      <c r="D47" s="809"/>
      <c r="E47" s="809"/>
      <c r="F47" s="809"/>
      <c r="G47" s="809"/>
      <c r="H47" s="809"/>
      <c r="I47" s="809"/>
    </row>
    <row r="48" spans="1:16" s="68" customFormat="1" ht="20.100000000000001" customHeight="1">
      <c r="A48" s="809" t="str">
        <f>$A$3</f>
        <v>ACCUMULATED DEPRECIATION AND AMORTIZATION</v>
      </c>
      <c r="B48" s="809"/>
      <c r="C48" s="809"/>
      <c r="D48" s="809"/>
      <c r="E48" s="809"/>
      <c r="F48" s="809"/>
      <c r="G48" s="809"/>
      <c r="H48" s="809"/>
      <c r="I48" s="809"/>
    </row>
    <row r="49" spans="1:16" s="68" customFormat="1" ht="20.100000000000001" customHeight="1">
      <c r="A49" s="808" t="str">
        <f>$A$4</f>
        <v>AS OF JUNE 30, 2022</v>
      </c>
      <c r="B49" s="809"/>
      <c r="C49" s="809"/>
      <c r="D49" s="809"/>
      <c r="E49" s="809"/>
      <c r="F49" s="809"/>
      <c r="G49" s="809"/>
      <c r="H49" s="809"/>
      <c r="I49" s="809"/>
    </row>
    <row r="50" spans="1:16" s="68" customFormat="1" ht="20.100000000000001" customHeight="1">
      <c r="A50" s="92"/>
      <c r="B50" s="92"/>
      <c r="C50" s="92"/>
      <c r="D50" s="92"/>
      <c r="E50" s="92"/>
      <c r="F50" s="92"/>
      <c r="G50" s="92"/>
      <c r="H50" s="92"/>
      <c r="I50" s="92"/>
    </row>
    <row r="51" spans="1:16" s="68" customFormat="1" ht="20.100000000000001" customHeight="1">
      <c r="A51" s="67" t="str">
        <f>$A$6</f>
        <v>DATA:____BASE  PERIOD__X__FORECASTED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__X__ ORIGINAL  _____ UPDATED  _____ REVISED</v>
      </c>
      <c r="H52" s="74"/>
      <c r="I52" s="74" t="s">
        <v>168</v>
      </c>
    </row>
    <row r="53" spans="1:16" s="68" customFormat="1" ht="20.100000000000001" customHeight="1">
      <c r="A53" s="67" t="str">
        <f>$A$8</f>
        <v>WORKPAPER REFERENCE NO(S).:</v>
      </c>
      <c r="B53" s="67"/>
      <c r="E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13" t="s">
        <v>1207</v>
      </c>
      <c r="F55" s="813"/>
      <c r="G55" s="813"/>
      <c r="H55" s="813"/>
      <c r="I55" s="813"/>
    </row>
    <row r="56" spans="1:16" ht="95.1" customHeight="1">
      <c r="A56" s="71" t="s">
        <v>131</v>
      </c>
      <c r="B56" s="71" t="s">
        <v>134</v>
      </c>
      <c r="C56" s="78" t="s">
        <v>135</v>
      </c>
      <c r="D56" s="71" t="s">
        <v>2651</v>
      </c>
      <c r="E56" s="71" t="s">
        <v>1199</v>
      </c>
      <c r="F56" s="71" t="s">
        <v>223</v>
      </c>
      <c r="G56" s="71" t="s">
        <v>224</v>
      </c>
      <c r="H56" s="71" t="s">
        <v>225</v>
      </c>
      <c r="I56" s="71" t="s">
        <v>226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1652</v>
      </c>
      <c r="C58" s="78" t="s">
        <v>1653</v>
      </c>
      <c r="D58" s="88">
        <f>'SCH B-2.1 F'!D56</f>
        <v>137886939.26923078</v>
      </c>
      <c r="E58" s="88">
        <f>SUMIFS('PIS F'!$Y$11:$Y$344,'PIS F'!$C$11:$C$344,'SCH B-3 F'!$B58)</f>
        <v>-58456521.079000227</v>
      </c>
      <c r="F58" s="134">
        <f t="shared" ref="F58:F61" si="14">$P$62</f>
        <v>0.9381117981132886</v>
      </c>
      <c r="G58" s="88">
        <f t="shared" ref="G58:G61" si="15">E58*F58</f>
        <v>-54838752.100868262</v>
      </c>
      <c r="H58" s="88">
        <f>SUMIFS('SCH B-3.1'!$F$42:$F$57,'SCH B-3.1'!$B$42:$B$57,'SCH B-3 F'!$B58)</f>
        <v>0</v>
      </c>
      <c r="I58" s="88">
        <f t="shared" ref="I58:I61" si="16">SUM(G58:H58)</f>
        <v>-54838752.100868262</v>
      </c>
    </row>
    <row r="59" spans="1:16" ht="18.95" customHeight="1">
      <c r="A59" s="70">
        <f t="shared" si="1"/>
        <v>31</v>
      </c>
      <c r="B59" s="71" t="s">
        <v>1654</v>
      </c>
      <c r="C59" s="78" t="s">
        <v>1628</v>
      </c>
      <c r="D59" s="88">
        <f>'SCH B-2.1 F'!D57</f>
        <v>77743881.499999985</v>
      </c>
      <c r="E59" s="88">
        <f>SUMIFS('PIS F'!$Y$11:$Y$344,'PIS F'!$C$11:$C$344,'SCH B-3 F'!$B59)</f>
        <v>-37211840.86490877</v>
      </c>
      <c r="F59" s="134">
        <f t="shared" si="14"/>
        <v>0.9381117981132886</v>
      </c>
      <c r="G59" s="88">
        <f t="shared" si="15"/>
        <v>-34908866.94488512</v>
      </c>
      <c r="H59" s="88">
        <f>SUMIFS('SCH B-3.1'!$F$42:$F$57,'SCH B-3.1'!$B$42:$B$57,'SCH B-3 F'!$B59)</f>
        <v>0</v>
      </c>
      <c r="I59" s="88">
        <f t="shared" si="16"/>
        <v>-34908866.94488512</v>
      </c>
    </row>
    <row r="60" spans="1:16" ht="18.95" customHeight="1">
      <c r="A60" s="70">
        <f t="shared" si="1"/>
        <v>32</v>
      </c>
      <c r="B60" s="71" t="s">
        <v>1655</v>
      </c>
      <c r="C60" s="78" t="s">
        <v>1640</v>
      </c>
      <c r="D60" s="88">
        <f>'SCH B-2.1 F'!D58</f>
        <v>19572946.339999996</v>
      </c>
      <c r="E60" s="88">
        <f>SUMIFS('PIS F'!$Y$11:$Y$344,'PIS F'!$C$11:$C$344,'SCH B-3 F'!$B60)</f>
        <v>-4382628.4556734683</v>
      </c>
      <c r="F60" s="134">
        <f t="shared" si="14"/>
        <v>0.9381117981132886</v>
      </c>
      <c r="G60" s="88">
        <f t="shared" si="15"/>
        <v>-4111395.4610143024</v>
      </c>
      <c r="H60" s="88">
        <f>SUMIFS('SCH B-3.1'!$F$42:$F$57,'SCH B-3.1'!$B$42:$B$57,'SCH B-3 F'!$B60)</f>
        <v>0</v>
      </c>
      <c r="I60" s="88">
        <f t="shared" si="16"/>
        <v>-4111395.4610143024</v>
      </c>
    </row>
    <row r="61" spans="1:16" ht="18.95" customHeight="1">
      <c r="A61" s="70">
        <f t="shared" si="1"/>
        <v>33</v>
      </c>
      <c r="B61" s="71" t="s">
        <v>1656</v>
      </c>
      <c r="C61" s="78" t="s">
        <v>1691</v>
      </c>
      <c r="D61" s="89">
        <f>'SCH B-2.1 F'!D59</f>
        <v>406991.12</v>
      </c>
      <c r="E61" s="89">
        <f>SUMIFS('PIS F'!$Y$11:$Y$344,'PIS F'!$C$11:$C$344,'SCH B-3 F'!$B61)</f>
        <v>-133688.68265229464</v>
      </c>
      <c r="F61" s="134">
        <f t="shared" si="14"/>
        <v>0.9381117981132886</v>
      </c>
      <c r="G61" s="89">
        <f t="shared" si="15"/>
        <v>-125414.93047034093</v>
      </c>
      <c r="H61" s="89">
        <f>SUMIFS('SCH B-3.1'!$F$42:$F$57,'SCH B-3.1'!$B$42:$B$57,'SCH B-3 F'!$B61)</f>
        <v>125414.93047034093</v>
      </c>
      <c r="I61" s="89">
        <f t="shared" si="16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1113844785.2061515</v>
      </c>
      <c r="E62" s="86">
        <f t="shared" ref="E62" si="17">SUM(E42:E45,E58:E61)</f>
        <v>-453708934.06816983</v>
      </c>
      <c r="F62" s="86"/>
      <c r="G62" s="86">
        <f t="shared" ref="G62:I62" si="18">SUM(G42:G45,G58:G61)</f>
        <v>-425629703.95875442</v>
      </c>
      <c r="H62" s="86">
        <f t="shared" si="18"/>
        <v>125414.93047034093</v>
      </c>
      <c r="I62" s="86">
        <f t="shared" si="18"/>
        <v>-425504289.02828407</v>
      </c>
      <c r="K62" s="136">
        <f>'JURISSEP F'!E257</f>
        <v>485129.77819853346</v>
      </c>
      <c r="L62" s="136">
        <f>'JURISSEP F'!G258</f>
        <v>425629703.9587543</v>
      </c>
      <c r="M62" s="136"/>
      <c r="N62" s="136">
        <f>SUM(L62:M62)</f>
        <v>425629703.9587543</v>
      </c>
      <c r="O62" s="136">
        <f>-E62+M62</f>
        <v>453708934.06816983</v>
      </c>
      <c r="P62" s="137">
        <f>N62/O62</f>
        <v>0.9381117981132886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1657</v>
      </c>
      <c r="C65" s="78" t="s">
        <v>154</v>
      </c>
      <c r="D65" s="88">
        <f>'SCH B-2.1 F'!D63</f>
        <v>36211436.350000001</v>
      </c>
      <c r="E65" s="88">
        <f>SUMIFS('PIS F'!$Y$11:$Y$344,'PIS F'!$C$11:$C$344,'SCH B-3 F'!$B65)</f>
        <v>-18375016.40705689</v>
      </c>
      <c r="F65" s="134">
        <f>$P$74</f>
        <v>0.88270141419131631</v>
      </c>
      <c r="G65" s="88">
        <f t="shared" ref="G65:G73" si="19">E65*F65</f>
        <v>-16219652.968297757</v>
      </c>
      <c r="H65" s="88">
        <f>SUMIFS('SCH B-3.1'!$F$42:$F$57,'SCH B-3.1'!$B$42:$B$57,'SCH B-3 F'!$B65)</f>
        <v>0</v>
      </c>
      <c r="I65" s="88">
        <f t="shared" ref="I65:I73" si="20">SUM(G65:H65)</f>
        <v>-16219652.968297757</v>
      </c>
    </row>
    <row r="66" spans="1:16" ht="18.95" customHeight="1">
      <c r="A66" s="70">
        <f t="shared" si="1"/>
        <v>37</v>
      </c>
      <c r="B66" s="71" t="s">
        <v>1658</v>
      </c>
      <c r="C66" s="78" t="s">
        <v>148</v>
      </c>
      <c r="D66" s="88">
        <f>'SCH B-2.1 F'!D64</f>
        <v>33838618.539999999</v>
      </c>
      <c r="E66" s="88">
        <f>SUMIFS('PIS F'!$Y$11:$Y$344,'PIS F'!$C$11:$C$344,'SCH B-3 F'!$B66)</f>
        <v>-9104708.4500938356</v>
      </c>
      <c r="F66" s="134">
        <f t="shared" ref="F66:F73" si="21">$P$74</f>
        <v>0.88270141419131631</v>
      </c>
      <c r="G66" s="88">
        <f t="shared" si="19"/>
        <v>-8036739.0246974565</v>
      </c>
      <c r="H66" s="88">
        <f>SUMIFS('SCH B-3.1'!$F$42:$F$57,'SCH B-3.1'!$B$42:$B$57,'SCH B-3 F'!$B66)</f>
        <v>0</v>
      </c>
      <c r="I66" s="88">
        <f t="shared" si="20"/>
        <v>-8036739.0246974565</v>
      </c>
    </row>
    <row r="67" spans="1:16" ht="18.95" customHeight="1">
      <c r="A67" s="70">
        <f t="shared" si="1"/>
        <v>38</v>
      </c>
      <c r="B67" s="71" t="s">
        <v>1659</v>
      </c>
      <c r="C67" s="78" t="s">
        <v>149</v>
      </c>
      <c r="D67" s="88">
        <f>'SCH B-2.1 F'!D65</f>
        <v>420283162.75153846</v>
      </c>
      <c r="E67" s="88">
        <f>SUMIFS('PIS F'!$Y$11:$Y$344,'PIS F'!$C$11:$C$344,'SCH B-3 F'!$B67)</f>
        <v>-88079406.443309665</v>
      </c>
      <c r="F67" s="134">
        <f t="shared" si="21"/>
        <v>0.88270141419131631</v>
      </c>
      <c r="G67" s="88">
        <f t="shared" si="19"/>
        <v>-77747816.628641173</v>
      </c>
      <c r="H67" s="88">
        <f>SUMIFS('SCH B-3.1'!$F$42:$F$57,'SCH B-3.1'!$B$42:$B$57,'SCH B-3 F'!$B67)</f>
        <v>0</v>
      </c>
      <c r="I67" s="88">
        <f t="shared" si="20"/>
        <v>-77747816.628641173</v>
      </c>
    </row>
    <row r="68" spans="1:16" ht="18.95" customHeight="1">
      <c r="A68" s="70">
        <f t="shared" si="1"/>
        <v>39</v>
      </c>
      <c r="B68" s="71" t="s">
        <v>1660</v>
      </c>
      <c r="C68" s="78" t="s">
        <v>1661</v>
      </c>
      <c r="D68" s="88">
        <f>'SCH B-2.1 F'!D66</f>
        <v>77967975.87999998</v>
      </c>
      <c r="E68" s="88">
        <f>SUMIFS('PIS F'!$Y$11:$Y$344,'PIS F'!$C$11:$C$344,'SCH B-3 F'!$B68)</f>
        <v>-56247809.919839889</v>
      </c>
      <c r="F68" s="134">
        <f t="shared" si="21"/>
        <v>0.88270141419131631</v>
      </c>
      <c r="G68" s="88">
        <f t="shared" si="19"/>
        <v>-49650021.361407019</v>
      </c>
      <c r="H68" s="88">
        <f>SUMIFS('SCH B-3.1'!$F$42:$F$57,'SCH B-3.1'!$B$42:$B$57,'SCH B-3 F'!$B68)</f>
        <v>0</v>
      </c>
      <c r="I68" s="88">
        <f t="shared" si="20"/>
        <v>-49650021.361407019</v>
      </c>
    </row>
    <row r="69" spans="1:16" ht="18.95" customHeight="1">
      <c r="A69" s="70">
        <f t="shared" si="1"/>
        <v>40</v>
      </c>
      <c r="B69" s="71" t="s">
        <v>1662</v>
      </c>
      <c r="C69" s="78" t="s">
        <v>1663</v>
      </c>
      <c r="D69" s="88">
        <f>'SCH B-2.1 F'!D67</f>
        <v>589273999.1007688</v>
      </c>
      <c r="E69" s="88">
        <f>SUMIFS('PIS F'!$Y$11:$Y$344,'PIS F'!$C$11:$C$344,'SCH B-3 F'!$B69)</f>
        <v>-90501710.946222946</v>
      </c>
      <c r="F69" s="134">
        <f t="shared" si="21"/>
        <v>0.88270141419131631</v>
      </c>
      <c r="G69" s="88">
        <f t="shared" si="19"/>
        <v>-79885988.238964722</v>
      </c>
      <c r="H69" s="88">
        <f>SUMIFS('SCH B-3.1'!$F$42:$F$57,'SCH B-3.1'!$B$42:$B$57,'SCH B-3 F'!$B69)</f>
        <v>0</v>
      </c>
      <c r="I69" s="88">
        <f t="shared" si="20"/>
        <v>-79885988.238964722</v>
      </c>
    </row>
    <row r="70" spans="1:16" ht="18.95" customHeight="1">
      <c r="A70" s="70">
        <f t="shared" si="1"/>
        <v>41</v>
      </c>
      <c r="B70" s="71" t="s">
        <v>1664</v>
      </c>
      <c r="C70" s="78" t="s">
        <v>1665</v>
      </c>
      <c r="D70" s="88">
        <f>'SCH B-2.1 F'!D68</f>
        <v>260534291.44615331</v>
      </c>
      <c r="E70" s="88">
        <f>SUMIFS('PIS F'!$Y$11:$Y$344,'PIS F'!$C$11:$C$344,'SCH B-3 F'!$B70)</f>
        <v>-125690912.49495156</v>
      </c>
      <c r="F70" s="134">
        <f t="shared" si="21"/>
        <v>0.88270141419131631</v>
      </c>
      <c r="G70" s="88">
        <f t="shared" si="19"/>
        <v>-110947546.21029073</v>
      </c>
      <c r="H70" s="88">
        <f>SUMIFS('SCH B-3.1'!$F$42:$F$57,'SCH B-3.1'!$B$42:$B$57,'SCH B-3 F'!$B70)</f>
        <v>0</v>
      </c>
      <c r="I70" s="88">
        <f t="shared" si="20"/>
        <v>-110947546.21029073</v>
      </c>
    </row>
    <row r="71" spans="1:16" ht="18.95" customHeight="1">
      <c r="A71" s="70">
        <f t="shared" si="1"/>
        <v>42</v>
      </c>
      <c r="B71" s="71" t="s">
        <v>1666</v>
      </c>
      <c r="C71" s="78" t="s">
        <v>1667</v>
      </c>
      <c r="D71" s="88">
        <f>'SCH B-2.1 F'!D69</f>
        <v>618493.81000000006</v>
      </c>
      <c r="E71" s="88">
        <f>SUMIFS('PIS F'!$Y$11:$Y$344,'PIS F'!$C$11:$C$344,'SCH B-3 F'!$B71)</f>
        <v>-222202.59302719901</v>
      </c>
      <c r="F71" s="134">
        <f t="shared" si="21"/>
        <v>0.88270141419131631</v>
      </c>
      <c r="G71" s="88">
        <f t="shared" si="19"/>
        <v>-196138.54310208609</v>
      </c>
      <c r="H71" s="88">
        <f>SUMIFS('SCH B-3.1'!$F$42:$F$57,'SCH B-3.1'!$B$42:$B$57,'SCH B-3 F'!$B71)</f>
        <v>0</v>
      </c>
      <c r="I71" s="88">
        <f t="shared" si="20"/>
        <v>-196138.54310208609</v>
      </c>
    </row>
    <row r="72" spans="1:16" ht="18.95" customHeight="1">
      <c r="A72" s="70">
        <f t="shared" si="1"/>
        <v>43</v>
      </c>
      <c r="B72" s="71" t="s">
        <v>1668</v>
      </c>
      <c r="C72" s="78" t="s">
        <v>1669</v>
      </c>
      <c r="D72" s="88">
        <f>'SCH B-2.1 F'!D70</f>
        <v>1235015.1700000002</v>
      </c>
      <c r="E72" s="88">
        <f>SUMIFS('PIS F'!$Y$11:$Y$344,'PIS F'!$C$11:$C$344,'SCH B-3 F'!$B72)</f>
        <v>-827479.64301120013</v>
      </c>
      <c r="F72" s="134">
        <f t="shared" si="21"/>
        <v>0.88270141419131631</v>
      </c>
      <c r="G72" s="88">
        <f t="shared" si="19"/>
        <v>-730417.45110051194</v>
      </c>
      <c r="H72" s="88">
        <f>SUMIFS('SCH B-3.1'!$F$42:$F$57,'SCH B-3.1'!$B$42:$B$57,'SCH B-3 F'!$B72)</f>
        <v>0</v>
      </c>
      <c r="I72" s="88">
        <f t="shared" si="20"/>
        <v>-730417.45110051194</v>
      </c>
    </row>
    <row r="73" spans="1:16" ht="18.95" customHeight="1">
      <c r="A73" s="70">
        <f t="shared" si="1"/>
        <v>44</v>
      </c>
      <c r="B73" s="71" t="s">
        <v>1670</v>
      </c>
      <c r="C73" s="78" t="s">
        <v>152</v>
      </c>
      <c r="D73" s="89">
        <f>'SCH B-2.1 F'!D71</f>
        <v>254317.41000000009</v>
      </c>
      <c r="E73" s="89">
        <f>SUMIFS('PIS F'!$Y$11:$Y$344,'PIS F'!$C$11:$C$344,'SCH B-3 F'!$B73)</f>
        <v>-121176.45329347921</v>
      </c>
      <c r="F73" s="134">
        <f t="shared" si="21"/>
        <v>0.88270141419131631</v>
      </c>
      <c r="G73" s="89">
        <f t="shared" si="19"/>
        <v>-106962.62668884208</v>
      </c>
      <c r="H73" s="89">
        <f>SUMIFS('SCH B-3.1'!$F$42:$F$57,'SCH B-3.1'!$B$42:$B$57,'SCH B-3 F'!$B73)</f>
        <v>106962.62668884208</v>
      </c>
      <c r="I73" s="89">
        <f t="shared" si="20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1420217310.4584608</v>
      </c>
      <c r="E74" s="86">
        <f t="shared" ref="E74" si="22">SUM(E65:E73)</f>
        <v>-389170423.35080665</v>
      </c>
      <c r="F74" s="86"/>
      <c r="G74" s="86">
        <f t="shared" ref="G74:I74" si="23">SUM(G65:G73)</f>
        <v>-343521283.05319029</v>
      </c>
      <c r="H74" s="86">
        <f t="shared" si="23"/>
        <v>106962.62668884208</v>
      </c>
      <c r="I74" s="86">
        <f t="shared" si="23"/>
        <v>-343414320.42650145</v>
      </c>
      <c r="K74" s="136">
        <f>'JURISSEP F'!E266</f>
        <v>92252.617435733482</v>
      </c>
      <c r="L74" s="136">
        <f>'JURISSEP F'!G267</f>
        <v>343521283.05319029</v>
      </c>
      <c r="M74" s="136"/>
      <c r="N74" s="136">
        <f>SUM(L74:M74)</f>
        <v>343521283.05319029</v>
      </c>
      <c r="O74" s="136">
        <f>-E74+M74</f>
        <v>389170423.35080665</v>
      </c>
      <c r="P74" s="137">
        <f>N74/O74</f>
        <v>0.88270141419131631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 t="s">
        <v>250</v>
      </c>
      <c r="C76" s="90" t="s">
        <v>16</v>
      </c>
    </row>
    <row r="77" spans="1:16" ht="18.95" customHeight="1">
      <c r="A77" s="70">
        <f t="shared" si="1"/>
        <v>47</v>
      </c>
      <c r="B77" s="71" t="s">
        <v>1671</v>
      </c>
      <c r="C77" s="78" t="s">
        <v>154</v>
      </c>
      <c r="D77" s="88">
        <f>'SCH B-2.1 F'!D75</f>
        <v>9505089.9192307685</v>
      </c>
      <c r="E77" s="88">
        <f>SUMIFS('PIS F'!$Y$11:$Y$344,'PIS F'!$C$11:$C$344,'SCH B-3 F'!$B77)</f>
        <v>-1534335.7666061169</v>
      </c>
      <c r="F77" s="134">
        <f>$P$90</f>
        <v>0.93928271518075734</v>
      </c>
      <c r="G77" s="88">
        <f t="shared" ref="G77:G89" si="24">E77*F77</f>
        <v>-1441175.0648567423</v>
      </c>
      <c r="H77" s="88">
        <f>SUMIFS('SCH B-3.1'!$F$42:$F$57,'SCH B-3.1'!$B$42:$B$57,'SCH B-3 F'!$B77)</f>
        <v>0</v>
      </c>
      <c r="I77" s="88">
        <f t="shared" ref="I77:I89" si="25">SUM(G77:H77)</f>
        <v>-1441175.0648567423</v>
      </c>
    </row>
    <row r="78" spans="1:16" ht="18.95" customHeight="1">
      <c r="A78" s="70">
        <f t="shared" si="1"/>
        <v>48</v>
      </c>
      <c r="B78" s="71" t="s">
        <v>1672</v>
      </c>
      <c r="C78" s="78" t="s">
        <v>148</v>
      </c>
      <c r="D78" s="88">
        <f>'SCH B-2.1 F'!D76</f>
        <v>31476052.39923064</v>
      </c>
      <c r="E78" s="88">
        <f>SUMIFS('PIS F'!$Y$11:$Y$344,'PIS F'!$C$11:$C$344,'SCH B-3 F'!$B78)</f>
        <v>-4985580.5562801976</v>
      </c>
      <c r="F78" s="134">
        <f t="shared" ref="F78:F81" si="26">$P$90</f>
        <v>0.93928271518075734</v>
      </c>
      <c r="G78" s="88">
        <f t="shared" si="24"/>
        <v>-4682869.6416552542</v>
      </c>
      <c r="H78" s="88">
        <f>SUMIFS('SCH B-3.1'!$F$42:$F$57,'SCH B-3.1'!$B$42:$B$57,'SCH B-3 F'!$B78)</f>
        <v>0</v>
      </c>
      <c r="I78" s="88">
        <f t="shared" si="25"/>
        <v>-4682869.6416552542</v>
      </c>
    </row>
    <row r="79" spans="1:16" ht="18.95" customHeight="1">
      <c r="A79" s="70">
        <f t="shared" si="1"/>
        <v>49</v>
      </c>
      <c r="B79" s="71" t="s">
        <v>1673</v>
      </c>
      <c r="C79" s="78" t="s">
        <v>1674</v>
      </c>
      <c r="D79" s="88">
        <f>'SCH B-2.1 F'!D77</f>
        <v>314407563.35461539</v>
      </c>
      <c r="E79" s="88">
        <f>SUMIFS('PIS F'!$Y$11:$Y$344,'PIS F'!$C$11:$C$344,'SCH B-3 F'!$B79)</f>
        <v>-59592145.622985788</v>
      </c>
      <c r="F79" s="134">
        <f t="shared" si="26"/>
        <v>0.93928271518075734</v>
      </c>
      <c r="G79" s="88">
        <f t="shared" si="24"/>
        <v>-55973872.344205178</v>
      </c>
      <c r="H79" s="88">
        <f>SUMIFS('SCH B-3.1'!$F$42:$F$57,'SCH B-3.1'!$B$42:$B$57,'SCH B-3 F'!$B79)</f>
        <v>0</v>
      </c>
      <c r="I79" s="88">
        <f t="shared" si="25"/>
        <v>-55973872.344205178</v>
      </c>
    </row>
    <row r="80" spans="1:16" ht="18.95" customHeight="1">
      <c r="A80" s="70">
        <f t="shared" ref="A80:A90" si="27">A79+1</f>
        <v>50</v>
      </c>
      <c r="B80" s="71" t="s">
        <v>1675</v>
      </c>
      <c r="C80" s="78" t="s">
        <v>1676</v>
      </c>
      <c r="D80" s="88">
        <f>'SCH B-2.1 F'!D78</f>
        <v>483063902.27999967</v>
      </c>
      <c r="E80" s="88">
        <f>SUMIFS('PIS F'!$Y$11:$Y$344,'PIS F'!$C$11:$C$344,'SCH B-3 F'!$B80)</f>
        <v>-182991832.05668637</v>
      </c>
      <c r="F80" s="134">
        <f t="shared" si="26"/>
        <v>0.93928271518075734</v>
      </c>
      <c r="G80" s="88">
        <f t="shared" si="24"/>
        <v>-171881064.87010553</v>
      </c>
      <c r="H80" s="88">
        <f>SUMIFS('SCH B-3.1'!$F$42:$F$57,'SCH B-3.1'!$B$42:$B$57,'SCH B-3 F'!$B80)</f>
        <v>0</v>
      </c>
      <c r="I80" s="88">
        <f t="shared" si="25"/>
        <v>-171881064.87010553</v>
      </c>
    </row>
    <row r="81" spans="1:16" ht="18.95" customHeight="1">
      <c r="A81" s="70">
        <f t="shared" si="27"/>
        <v>51</v>
      </c>
      <c r="B81" s="71" t="s">
        <v>1677</v>
      </c>
      <c r="C81" s="78" t="s">
        <v>1665</v>
      </c>
      <c r="D81" s="88">
        <f>'SCH B-2.1 F'!D79</f>
        <v>504065398.1961531</v>
      </c>
      <c r="E81" s="88">
        <f>SUMIFS('PIS F'!$Y$11:$Y$344,'PIS F'!$C$11:$C$344,'SCH B-3 F'!$B81)</f>
        <v>-99304287.969966069</v>
      </c>
      <c r="F81" s="134">
        <f t="shared" si="26"/>
        <v>0.93928271518075734</v>
      </c>
      <c r="G81" s="88">
        <f t="shared" si="24"/>
        <v>-93274801.233521551</v>
      </c>
      <c r="H81" s="88">
        <f>SUMIFS('SCH B-3.1'!$F$42:$F$57,'SCH B-3.1'!$B$42:$B$57,'SCH B-3 F'!$B81)</f>
        <v>0</v>
      </c>
      <c r="I81" s="88">
        <f t="shared" si="25"/>
        <v>-93274801.233521551</v>
      </c>
    </row>
    <row r="82" spans="1:16" ht="18.95" customHeight="1">
      <c r="A82" s="70">
        <f t="shared" si="27"/>
        <v>52</v>
      </c>
      <c r="B82" s="71" t="s">
        <v>1678</v>
      </c>
      <c r="C82" s="78" t="s">
        <v>1667</v>
      </c>
      <c r="D82" s="88">
        <f>'SCH B-2.1 F'!D80</f>
        <v>2524144.5200000009</v>
      </c>
      <c r="E82" s="88">
        <f>SUMIFS('PIS F'!$Y$11:$Y$344,'PIS F'!$C$11:$C$344,'SCH B-3 F'!$B82)</f>
        <v>-1176910.1438209901</v>
      </c>
      <c r="F82" s="134">
        <f>'SCH B-2.1 F'!E80</f>
        <v>1</v>
      </c>
      <c r="G82" s="88">
        <f t="shared" si="24"/>
        <v>-1176910.1438209901</v>
      </c>
      <c r="H82" s="88">
        <f>SUMIFS('SCH B-3.1'!$F$42:$F$57,'SCH B-3.1'!$B$42:$B$57,'SCH B-3 F'!$B82)</f>
        <v>0</v>
      </c>
      <c r="I82" s="88">
        <f t="shared" si="25"/>
        <v>-1176910.1438209901</v>
      </c>
    </row>
    <row r="83" spans="1:16" ht="18.95" customHeight="1">
      <c r="A83" s="70">
        <f t="shared" si="27"/>
        <v>53</v>
      </c>
      <c r="B83" s="71" t="s">
        <v>1679</v>
      </c>
      <c r="C83" s="78" t="s">
        <v>1669</v>
      </c>
      <c r="D83" s="88">
        <f>'SCH B-2.1 F'!D81</f>
        <v>250550060.07384515</v>
      </c>
      <c r="E83" s="88">
        <f>SUMIFS('PIS F'!$Y$11:$Y$344,'PIS F'!$C$11:$C$344,'SCH B-3 F'!$B83)</f>
        <v>-60689113.998541653</v>
      </c>
      <c r="F83" s="134">
        <f t="shared" ref="F83:F88" si="28">$P$90</f>
        <v>0.93928271518075734</v>
      </c>
      <c r="G83" s="88">
        <f t="shared" si="24"/>
        <v>-57004235.778464712</v>
      </c>
      <c r="H83" s="88">
        <f>SUMIFS('SCH B-3.1'!$F$42:$F$57,'SCH B-3.1'!$B$42:$B$57,'SCH B-3 F'!$B83)</f>
        <v>0</v>
      </c>
      <c r="I83" s="88">
        <f t="shared" si="25"/>
        <v>-57004235.778464712</v>
      </c>
    </row>
    <row r="84" spans="1:16" ht="18.95" customHeight="1">
      <c r="A84" s="70">
        <f t="shared" si="27"/>
        <v>54</v>
      </c>
      <c r="B84" s="71" t="s">
        <v>1680</v>
      </c>
      <c r="C84" s="78" t="s">
        <v>1681</v>
      </c>
      <c r="D84" s="88">
        <f>'SCH B-2.1 F'!D82</f>
        <v>337620038.88846052</v>
      </c>
      <c r="E84" s="88">
        <f>SUMIFS('PIS F'!$Y$11:$Y$344,'PIS F'!$C$11:$C$344,'SCH B-3 F'!$B84)</f>
        <v>-158775394.51562959</v>
      </c>
      <c r="F84" s="134">
        <f t="shared" si="28"/>
        <v>0.93928271518075734</v>
      </c>
      <c r="G84" s="88">
        <f t="shared" si="24"/>
        <v>-149134983.66453648</v>
      </c>
      <c r="H84" s="88">
        <f>SUMIFS('SCH B-3.1'!$F$42:$F$57,'SCH B-3.1'!$B$42:$B$57,'SCH B-3 F'!$B84)</f>
        <v>0</v>
      </c>
      <c r="I84" s="88">
        <f t="shared" si="25"/>
        <v>-149134983.66453648</v>
      </c>
    </row>
    <row r="85" spans="1:16" ht="18.95" customHeight="1">
      <c r="A85" s="70">
        <f t="shared" si="27"/>
        <v>55</v>
      </c>
      <c r="B85" s="71" t="s">
        <v>1682</v>
      </c>
      <c r="C85" s="78" t="s">
        <v>1683</v>
      </c>
      <c r="D85" s="88">
        <f>'SCH B-2.1 F'!D83</f>
        <v>131251045.46615385</v>
      </c>
      <c r="E85" s="88">
        <f>SUMIFS('PIS F'!$Y$11:$Y$344,'PIS F'!$C$11:$C$344,'SCH B-3 F'!$B85)</f>
        <v>-70806370.159085736</v>
      </c>
      <c r="F85" s="134">
        <f t="shared" si="28"/>
        <v>0.93928271518075734</v>
      </c>
      <c r="G85" s="88">
        <f t="shared" si="24"/>
        <v>-66507199.6151198</v>
      </c>
      <c r="H85" s="88">
        <f>SUMIFS('SCH B-3.1'!$F$42:$F$57,'SCH B-3.1'!$B$42:$B$57,'SCH B-3 F'!$B85)</f>
        <v>0</v>
      </c>
      <c r="I85" s="88">
        <f t="shared" si="25"/>
        <v>-66507199.6151198</v>
      </c>
    </row>
    <row r="86" spans="1:16" ht="18.95" customHeight="1">
      <c r="A86" s="70">
        <f>A85+1</f>
        <v>56</v>
      </c>
      <c r="B86" s="71" t="s">
        <v>1684</v>
      </c>
      <c r="C86" s="78" t="s">
        <v>1685</v>
      </c>
      <c r="D86" s="88">
        <f>'SCH B-2.1 F'!D84</f>
        <v>81388221.329111472</v>
      </c>
      <c r="E86" s="88">
        <f>SUMIFS('PIS F'!$Y$11:$Y$344,'PIS F'!$C$11:$C$344,'SCH B-3 F'!$B86)</f>
        <v>-44428164.913362496</v>
      </c>
      <c r="F86" s="134">
        <f t="shared" si="28"/>
        <v>0.93928271518075734</v>
      </c>
      <c r="G86" s="88">
        <f t="shared" si="24"/>
        <v>-41730607.370321579</v>
      </c>
      <c r="H86" s="88">
        <f>SUMIFS('SCH B-3.1'!$F$42:$F$57,'SCH B-3.1'!$B$42:$B$57,'SCH B-3 F'!$B86)</f>
        <v>741162.67551999888</v>
      </c>
      <c r="I86" s="88">
        <f t="shared" si="25"/>
        <v>-40989444.694801584</v>
      </c>
    </row>
    <row r="87" spans="1:16" ht="18.95" customHeight="1">
      <c r="A87" s="70">
        <f t="shared" si="27"/>
        <v>57</v>
      </c>
      <c r="B87" s="71" t="s">
        <v>1686</v>
      </c>
      <c r="C87" s="78" t="s">
        <v>1687</v>
      </c>
      <c r="D87" s="88">
        <f>'SCH B-2.1 F'!D85</f>
        <v>159233.80999999997</v>
      </c>
      <c r="E87" s="88">
        <f>SUMIFS('PIS F'!$Y$11:$Y$344,'PIS F'!$C$11:$C$344,'SCH B-3 F'!$B87)</f>
        <v>-39221.07467199993</v>
      </c>
      <c r="F87" s="134">
        <f t="shared" si="28"/>
        <v>0.93928271518075734</v>
      </c>
      <c r="G87" s="88">
        <f t="shared" si="24"/>
        <v>-36839.677510223322</v>
      </c>
      <c r="H87" s="88">
        <f>SUMIFS('SCH B-3.1'!$F$42:$F$57,'SCH B-3.1'!$B$42:$B$57,'SCH B-3 F'!$B87)</f>
        <v>0</v>
      </c>
      <c r="I87" s="88">
        <f t="shared" si="25"/>
        <v>-36839.677510223322</v>
      </c>
    </row>
    <row r="88" spans="1:16" ht="18.95" customHeight="1">
      <c r="A88" s="70">
        <f t="shared" si="27"/>
        <v>58</v>
      </c>
      <c r="B88" s="71" t="s">
        <v>1688</v>
      </c>
      <c r="C88" s="78" t="s">
        <v>1689</v>
      </c>
      <c r="D88" s="88">
        <f>'SCH B-2.1 F'!D86</f>
        <v>147331333.26076826</v>
      </c>
      <c r="E88" s="88">
        <f>SUMIFS('PIS F'!$Y$11:$Y$344,'PIS F'!$C$11:$C$344,'SCH B-3 F'!$B88)</f>
        <v>-53750716.283228092</v>
      </c>
      <c r="F88" s="134">
        <f t="shared" si="28"/>
        <v>0.93928271518075734</v>
      </c>
      <c r="G88" s="88">
        <f t="shared" si="24"/>
        <v>-50487118.733421028</v>
      </c>
      <c r="H88" s="88">
        <f>SUMIFS('SCH B-3.1'!$F$42:$F$57,'SCH B-3.1'!$B$42:$B$57,'SCH B-3 F'!$B88)</f>
        <v>0</v>
      </c>
      <c r="I88" s="88">
        <f t="shared" si="25"/>
        <v>-50487118.733421028</v>
      </c>
    </row>
    <row r="89" spans="1:16" ht="18.95" customHeight="1">
      <c r="A89" s="70">
        <f t="shared" si="27"/>
        <v>59</v>
      </c>
      <c r="B89" s="71" t="s">
        <v>1690</v>
      </c>
      <c r="C89" s="78" t="s">
        <v>151</v>
      </c>
      <c r="D89" s="89">
        <f>'SCH B-2.1 F'!D87</f>
        <v>510376.10000000009</v>
      </c>
      <c r="E89" s="89">
        <f>SUMIFS('PIS F'!$Y$11:$Y$344,'PIS F'!$C$11:$C$344,'SCH B-3 F'!$B89)</f>
        <v>-144196.93317807431</v>
      </c>
      <c r="F89" s="134">
        <f>'SCH B-2.1 F'!E87</f>
        <v>1</v>
      </c>
      <c r="G89" s="89">
        <f t="shared" si="24"/>
        <v>-144196.93317807431</v>
      </c>
      <c r="H89" s="89">
        <f>SUMIFS('SCH B-3.1'!$F$42:$F$57,'SCH B-3.1'!$B$42:$B$57,'SCH B-3 F'!$B89)</f>
        <v>144196.93317807431</v>
      </c>
      <c r="I89" s="89">
        <f t="shared" si="25"/>
        <v>0</v>
      </c>
    </row>
    <row r="90" spans="1:16" ht="18.95" customHeight="1">
      <c r="A90" s="70">
        <f t="shared" si="27"/>
        <v>60</v>
      </c>
      <c r="B90" s="71"/>
      <c r="C90" s="78" t="s">
        <v>153</v>
      </c>
      <c r="D90" s="86">
        <f>SUM(D77:D89)</f>
        <v>2293852459.5975685</v>
      </c>
      <c r="E90" s="86">
        <f t="shared" ref="E90" si="29">SUM(E77:E89)</f>
        <v>-738218269.99404311</v>
      </c>
      <c r="F90" s="86"/>
      <c r="G90" s="86">
        <f t="shared" ref="G90:I90" si="30">SUM(G77:G89)</f>
        <v>-693475875.07071722</v>
      </c>
      <c r="H90" s="86">
        <f t="shared" si="30"/>
        <v>885359.60869807319</v>
      </c>
      <c r="I90" s="86">
        <f t="shared" si="30"/>
        <v>-692590515.46201921</v>
      </c>
      <c r="K90" s="136">
        <f>'JURISSEP F'!E270</f>
        <v>694577059.11429107</v>
      </c>
      <c r="L90" s="136">
        <f>'JURISSEP F'!G271</f>
        <v>693475875.0707171</v>
      </c>
      <c r="M90" s="136">
        <f>G82+G89</f>
        <v>-1321107.0769990645</v>
      </c>
      <c r="N90" s="136">
        <f>SUM(L90:M90)</f>
        <v>692154767.99371803</v>
      </c>
      <c r="O90" s="136">
        <f>-E90+M90</f>
        <v>736897162.91704404</v>
      </c>
      <c r="P90" s="137">
        <f>N90/O90</f>
        <v>0.93928271518075734</v>
      </c>
    </row>
    <row r="91" spans="1:16" s="68" customFormat="1" ht="20.100000000000001" customHeight="1">
      <c r="A91" s="809" t="str">
        <f>$A$1</f>
        <v>KENTUCKY UTILITIES COMPANY</v>
      </c>
      <c r="B91" s="809"/>
      <c r="C91" s="809"/>
      <c r="D91" s="809"/>
      <c r="E91" s="809"/>
      <c r="F91" s="809"/>
      <c r="G91" s="809"/>
      <c r="H91" s="809"/>
      <c r="I91" s="809"/>
    </row>
    <row r="92" spans="1:16" s="68" customFormat="1" ht="20.100000000000001" customHeight="1">
      <c r="A92" s="809" t="str">
        <f>$A$2</f>
        <v>CASE NO. 2020-00349</v>
      </c>
      <c r="B92" s="809"/>
      <c r="C92" s="809"/>
      <c r="D92" s="809"/>
      <c r="E92" s="809"/>
      <c r="F92" s="809"/>
      <c r="G92" s="809"/>
      <c r="H92" s="809"/>
      <c r="I92" s="809"/>
    </row>
    <row r="93" spans="1:16" s="68" customFormat="1" ht="20.100000000000001" customHeight="1">
      <c r="A93" s="809" t="str">
        <f>$A$3</f>
        <v>ACCUMULATED DEPRECIATION AND AMORTIZATION</v>
      </c>
      <c r="B93" s="809"/>
      <c r="C93" s="809"/>
      <c r="D93" s="809"/>
      <c r="E93" s="809"/>
      <c r="F93" s="809"/>
      <c r="G93" s="809"/>
      <c r="H93" s="809"/>
      <c r="I93" s="809"/>
    </row>
    <row r="94" spans="1:16" s="68" customFormat="1" ht="20.100000000000001" customHeight="1">
      <c r="A94" s="808" t="str">
        <f>$A$4</f>
        <v>AS OF JUNE 30, 2022</v>
      </c>
      <c r="B94" s="809"/>
      <c r="C94" s="809"/>
      <c r="D94" s="809"/>
      <c r="E94" s="809"/>
      <c r="F94" s="809"/>
      <c r="G94" s="809"/>
      <c r="H94" s="809"/>
      <c r="I94" s="809"/>
    </row>
    <row r="95" spans="1:16" s="68" customFormat="1" ht="20.100000000000001" customHeight="1">
      <c r="A95" s="92"/>
      <c r="B95" s="92"/>
      <c r="C95" s="92"/>
      <c r="D95" s="92"/>
      <c r="E95" s="92"/>
      <c r="F95" s="92"/>
      <c r="G95" s="92"/>
      <c r="H95" s="92"/>
      <c r="I95" s="92"/>
    </row>
    <row r="96" spans="1:16" s="68" customFormat="1" ht="20.100000000000001" customHeight="1">
      <c r="A96" s="67" t="str">
        <f>$A$6</f>
        <v>DATA:____BASE  PERIOD__X__FORECASTED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__X__ ORIGINAL  _____ UPDATED  _____ REVISED</v>
      </c>
      <c r="H97" s="74"/>
      <c r="I97" s="74" t="s">
        <v>169</v>
      </c>
    </row>
    <row r="98" spans="1:9" s="68" customFormat="1" ht="20.100000000000001" customHeight="1">
      <c r="A98" s="67" t="str">
        <f>$A$8</f>
        <v>WORKPAPER REFERENCE NO(S).:</v>
      </c>
      <c r="B98" s="67"/>
      <c r="E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13" t="s">
        <v>1207</v>
      </c>
      <c r="F100" s="813"/>
      <c r="G100" s="813"/>
      <c r="H100" s="813"/>
      <c r="I100" s="813"/>
    </row>
    <row r="101" spans="1:9" ht="95.1" customHeight="1">
      <c r="A101" s="71" t="s">
        <v>131</v>
      </c>
      <c r="B101" s="71" t="s">
        <v>134</v>
      </c>
      <c r="C101" s="78" t="s">
        <v>135</v>
      </c>
      <c r="D101" s="71" t="s">
        <v>2651</v>
      </c>
      <c r="E101" s="71" t="s">
        <v>1199</v>
      </c>
      <c r="F101" s="71" t="s">
        <v>223</v>
      </c>
      <c r="G101" s="71" t="s">
        <v>224</v>
      </c>
      <c r="H101" s="71" t="s">
        <v>225</v>
      </c>
      <c r="I101" s="71" t="s">
        <v>226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31">A103+1</f>
        <v>62</v>
      </c>
      <c r="B104" s="71" t="s">
        <v>1692</v>
      </c>
      <c r="C104" s="78" t="s">
        <v>154</v>
      </c>
      <c r="D104" s="88">
        <f>'SCH B-2.1 F'!D101</f>
        <v>4166496.5453846147</v>
      </c>
      <c r="E104" s="88">
        <f>SUMIFS('PIS F'!$Y$11:$Y$344,'PIS F'!$C$11:$C$344,'SCH B-3 F'!$B104)</f>
        <v>124.94086516605879</v>
      </c>
      <c r="F104" s="134">
        <f t="shared" ref="F104:F113" si="32">$P$114</f>
        <v>0.94265467008784709</v>
      </c>
      <c r="G104" s="88">
        <f t="shared" ref="G104:G113" si="33">E104*F104</f>
        <v>117.77609003360133</v>
      </c>
      <c r="H104" s="88">
        <f>SUMIFS('SCH B-3.1'!$F$42:$F$57,'SCH B-3.1'!$B$42:$B$57,'SCH B-3 F'!$B104)</f>
        <v>0</v>
      </c>
      <c r="I104" s="88">
        <f t="shared" ref="I104:I113" si="34">SUM(G104:H104)</f>
        <v>117.77609003360133</v>
      </c>
    </row>
    <row r="105" spans="1:9" ht="18.95" customHeight="1">
      <c r="A105" s="70">
        <f t="shared" si="31"/>
        <v>63</v>
      </c>
      <c r="B105" s="71" t="s">
        <v>1693</v>
      </c>
      <c r="C105" s="78" t="s">
        <v>148</v>
      </c>
      <c r="D105" s="88">
        <f>'SCH B-2.1 F'!D102</f>
        <v>107767567.20230767</v>
      </c>
      <c r="E105" s="88">
        <f>SUMIFS('PIS F'!$Y$11:$Y$344,'PIS F'!$C$11:$C$344,'SCH B-3 F'!$B105)</f>
        <v>-17833886.17872094</v>
      </c>
      <c r="F105" s="134">
        <f t="shared" si="32"/>
        <v>0.94265467008784709</v>
      </c>
      <c r="G105" s="88">
        <f t="shared" si="33"/>
        <v>-16811196.092186403</v>
      </c>
      <c r="H105" s="88">
        <f>SUMIFS('SCH B-3.1'!$F$42:$F$57,'SCH B-3.1'!$B$42:$B$57,'SCH B-3 F'!$B105)</f>
        <v>0</v>
      </c>
      <c r="I105" s="88">
        <f t="shared" si="34"/>
        <v>-16811196.092186403</v>
      </c>
    </row>
    <row r="106" spans="1:9" ht="18.95" customHeight="1">
      <c r="A106" s="70">
        <f t="shared" si="31"/>
        <v>64</v>
      </c>
      <c r="B106" s="71" t="s">
        <v>1694</v>
      </c>
      <c r="C106" s="78" t="s">
        <v>156</v>
      </c>
      <c r="D106" s="88">
        <f>'SCH B-2.1 F'!D103</f>
        <v>44582199.950769179</v>
      </c>
      <c r="E106" s="88">
        <f>SUMIFS('PIS F'!$Y$11:$Y$344,'PIS F'!$C$11:$C$344,'SCH B-3 F'!$B106)</f>
        <v>-14208363.059619429</v>
      </c>
      <c r="F106" s="134">
        <f t="shared" si="32"/>
        <v>0.94265467008784709</v>
      </c>
      <c r="G106" s="88">
        <f t="shared" si="33"/>
        <v>-13393579.792453906</v>
      </c>
      <c r="H106" s="88">
        <f>SUMIFS('SCH B-3.1'!$F$42:$F$57,'SCH B-3.1'!$B$42:$B$57,'SCH B-3 F'!$B106)</f>
        <v>0</v>
      </c>
      <c r="I106" s="88">
        <f t="shared" si="34"/>
        <v>-13393579.792453906</v>
      </c>
    </row>
    <row r="107" spans="1:9" ht="18.95" customHeight="1">
      <c r="A107" s="70">
        <f t="shared" si="31"/>
        <v>65</v>
      </c>
      <c r="B107" s="71" t="s">
        <v>1695</v>
      </c>
      <c r="C107" s="78" t="s">
        <v>155</v>
      </c>
      <c r="D107" s="88">
        <f>'SCH B-2.1 F'!D104</f>
        <v>8654017</v>
      </c>
      <c r="E107" s="88">
        <f>SUMIFS('PIS F'!$Y$11:$Y$344,'PIS F'!$C$11:$C$344,'SCH B-3 F'!$B107)</f>
        <v>-4741971.6788002765</v>
      </c>
      <c r="F107" s="134">
        <f t="shared" si="32"/>
        <v>0.94265467008784709</v>
      </c>
      <c r="G107" s="88">
        <f t="shared" si="33"/>
        <v>-4470041.7484453889</v>
      </c>
      <c r="H107" s="88">
        <f>SUMIFS('SCH B-3.1'!$F$42:$F$57,'SCH B-3.1'!$B$42:$B$57,'SCH B-3 F'!$B107)</f>
        <v>0</v>
      </c>
      <c r="I107" s="88">
        <f t="shared" si="34"/>
        <v>-4470041.7484453889</v>
      </c>
    </row>
    <row r="108" spans="1:9" ht="18.95" customHeight="1">
      <c r="A108" s="70">
        <f t="shared" si="31"/>
        <v>66</v>
      </c>
      <c r="B108" s="71" t="s">
        <v>1696</v>
      </c>
      <c r="C108" s="78" t="s">
        <v>1697</v>
      </c>
      <c r="D108" s="88">
        <f>'SCH B-2.1 F'!D105</f>
        <v>1028665.9292307595</v>
      </c>
      <c r="E108" s="88">
        <f>SUMIFS('PIS F'!$Y$11:$Y$344,'PIS F'!$C$11:$C$344,'SCH B-3 F'!$B108)</f>
        <v>-380212.85776479525</v>
      </c>
      <c r="F108" s="134">
        <f t="shared" si="32"/>
        <v>0.94265467008784709</v>
      </c>
      <c r="G108" s="88">
        <f t="shared" si="33"/>
        <v>-358409.42599943059</v>
      </c>
      <c r="H108" s="88">
        <f>SUMIFS('SCH B-3.1'!$F$42:$F$57,'SCH B-3.1'!$B$42:$B$57,'SCH B-3 F'!$B108)</f>
        <v>0</v>
      </c>
      <c r="I108" s="88">
        <f t="shared" si="34"/>
        <v>-358409.42599943059</v>
      </c>
    </row>
    <row r="109" spans="1:9" ht="18.95" customHeight="1">
      <c r="A109" s="70">
        <f t="shared" si="31"/>
        <v>67</v>
      </c>
      <c r="B109" s="71" t="s">
        <v>1698</v>
      </c>
      <c r="C109" s="78" t="s">
        <v>1699</v>
      </c>
      <c r="D109" s="88">
        <f>'SCH B-2.1 F'!D106</f>
        <v>18691643.190769225</v>
      </c>
      <c r="E109" s="88">
        <f>SUMIFS('PIS F'!$Y$11:$Y$344,'PIS F'!$C$11:$C$344,'SCH B-3 F'!$B109)</f>
        <v>-6060685.1435241122</v>
      </c>
      <c r="F109" s="134">
        <f t="shared" si="32"/>
        <v>0.94265467008784709</v>
      </c>
      <c r="G109" s="88">
        <f t="shared" si="33"/>
        <v>-5713133.1544750379</v>
      </c>
      <c r="H109" s="88">
        <f>SUMIFS('SCH B-3.1'!$F$42:$F$57,'SCH B-3.1'!$B$42:$B$57,'SCH B-3 F'!$B109)</f>
        <v>0</v>
      </c>
      <c r="I109" s="88">
        <f t="shared" si="34"/>
        <v>-5713133.1544750379</v>
      </c>
    </row>
    <row r="110" spans="1:9" ht="18.95" customHeight="1">
      <c r="A110" s="70">
        <f t="shared" si="31"/>
        <v>68</v>
      </c>
      <c r="B110" s="71" t="s">
        <v>1700</v>
      </c>
      <c r="C110" s="78" t="s">
        <v>1701</v>
      </c>
      <c r="D110" s="88">
        <f>'SCH B-2.1 F'!D107</f>
        <v>0</v>
      </c>
      <c r="E110" s="88">
        <f>SUMIFS('PIS F'!$Y$11:$Y$344,'PIS F'!$C$11:$C$344,'SCH B-3 F'!$B110)</f>
        <v>0</v>
      </c>
      <c r="F110" s="134">
        <f t="shared" si="32"/>
        <v>0.94265467008784709</v>
      </c>
      <c r="G110" s="88">
        <f t="shared" si="33"/>
        <v>0</v>
      </c>
      <c r="H110" s="88">
        <f>SUMIFS('SCH B-3.1'!$F$42:$F$57,'SCH B-3.1'!$B$42:$B$57,'SCH B-3 F'!$B110)</f>
        <v>0</v>
      </c>
      <c r="I110" s="88">
        <f t="shared" si="34"/>
        <v>0</v>
      </c>
    </row>
    <row r="111" spans="1:9" ht="18.95" customHeight="1">
      <c r="A111" s="70">
        <f t="shared" si="31"/>
        <v>69</v>
      </c>
      <c r="B111" s="71" t="s">
        <v>1702</v>
      </c>
      <c r="C111" s="78" t="s">
        <v>1703</v>
      </c>
      <c r="D111" s="88">
        <f>'SCH B-2.1 F'!D108</f>
        <v>5841644.1200000001</v>
      </c>
      <c r="E111" s="88">
        <f>SUMIFS('PIS F'!$Y$11:$Y$344,'PIS F'!$C$11:$C$344,'SCH B-3 F'!$B111)</f>
        <v>-2253036.5437279991</v>
      </c>
      <c r="F111" s="134">
        <f t="shared" si="32"/>
        <v>0.94265467008784709</v>
      </c>
      <c r="G111" s="88">
        <f t="shared" si="33"/>
        <v>-2123835.4198237802</v>
      </c>
      <c r="H111" s="88">
        <f>SUMIFS('SCH B-3.1'!$F$42:$F$57,'SCH B-3.1'!$B$42:$B$57,'SCH B-3 F'!$B111)</f>
        <v>0</v>
      </c>
      <c r="I111" s="88">
        <f t="shared" si="34"/>
        <v>-2123835.4198237802</v>
      </c>
    </row>
    <row r="112" spans="1:9" ht="18.95" customHeight="1">
      <c r="A112" s="70">
        <f t="shared" si="31"/>
        <v>70</v>
      </c>
      <c r="B112" s="71" t="s">
        <v>1704</v>
      </c>
      <c r="C112" s="78" t="s">
        <v>157</v>
      </c>
      <c r="D112" s="88">
        <f>'SCH B-2.1 F'!D109</f>
        <v>77188486.298461422</v>
      </c>
      <c r="E112" s="88">
        <f>SUMIFS('PIS F'!$Y$11:$Y$344,'PIS F'!$C$11:$C$344,'SCH B-3 F'!$B112)</f>
        <v>-42885450.945194408</v>
      </c>
      <c r="F112" s="134">
        <f t="shared" si="32"/>
        <v>0.94265467008784709</v>
      </c>
      <c r="G112" s="88">
        <f t="shared" si="33"/>
        <v>-40426170.612310782</v>
      </c>
      <c r="H112" s="88">
        <f>SUMIFS('SCH B-3.1'!$F$42:$F$57,'SCH B-3.1'!$B$42:$B$57,'SCH B-3 F'!$B112)</f>
        <v>5866547.1260484615</v>
      </c>
      <c r="I112" s="88">
        <f t="shared" si="34"/>
        <v>-34559623.486262321</v>
      </c>
    </row>
    <row r="113" spans="1:16" ht="18.95" customHeight="1">
      <c r="A113" s="70">
        <f t="shared" si="31"/>
        <v>71</v>
      </c>
      <c r="B113" s="71" t="s">
        <v>1705</v>
      </c>
      <c r="C113" s="78" t="s">
        <v>1706</v>
      </c>
      <c r="D113" s="89">
        <f>'SCH B-2.1 F'!D110</f>
        <v>0</v>
      </c>
      <c r="E113" s="89">
        <f>SUMIFS('PIS F'!$Y$11:$Y$344,'PIS F'!$C$11:$C$344,'SCH B-3 F'!$B113)</f>
        <v>0</v>
      </c>
      <c r="F113" s="134">
        <f t="shared" si="32"/>
        <v>0.94265467008784709</v>
      </c>
      <c r="G113" s="89">
        <f t="shared" si="33"/>
        <v>0</v>
      </c>
      <c r="H113" s="89">
        <f>SUMIFS('SCH B-3.1'!$F$42:$F$57,'SCH B-3.1'!$B$42:$B$57,'SCH B-3 F'!$B113)</f>
        <v>0</v>
      </c>
      <c r="I113" s="89">
        <f t="shared" si="34"/>
        <v>0</v>
      </c>
    </row>
    <row r="114" spans="1:16" ht="18.95" customHeight="1">
      <c r="A114" s="70">
        <f t="shared" si="31"/>
        <v>72</v>
      </c>
      <c r="B114" s="71"/>
      <c r="C114" s="78" t="s">
        <v>158</v>
      </c>
      <c r="D114" s="86">
        <f>SUM(D104:D113)</f>
        <v>267920720.23692286</v>
      </c>
      <c r="E114" s="86">
        <f t="shared" ref="E114" si="35">SUM(E104:E113)</f>
        <v>-88363481.466486797</v>
      </c>
      <c r="F114" s="86"/>
      <c r="G114" s="86">
        <f t="shared" ref="G114:I114" si="36">SUM(G104:G113)</f>
        <v>-83296248.469604701</v>
      </c>
      <c r="H114" s="86">
        <f t="shared" si="36"/>
        <v>5866547.1260484615</v>
      </c>
      <c r="I114" s="86">
        <f t="shared" si="36"/>
        <v>-77429701.34355624</v>
      </c>
      <c r="K114" s="136" t="str">
        <f>'JURISSEP F'!E272</f>
        <v/>
      </c>
      <c r="L114" s="136">
        <f>'JURISSEP F'!G273</f>
        <v>83296248.469604701</v>
      </c>
      <c r="M114" s="136"/>
      <c r="N114" s="136">
        <f>SUM(L114:M114)</f>
        <v>83296248.469604701</v>
      </c>
      <c r="O114" s="136">
        <f>-E114+M114</f>
        <v>88363481.466486797</v>
      </c>
      <c r="P114" s="137">
        <f>N114/O114</f>
        <v>0.94265467008784709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438</v>
      </c>
      <c r="D116" s="94">
        <f>SUM(D17,D28,D39,D62,D74,D90,D114)</f>
        <v>10905663104.737556</v>
      </c>
      <c r="E116" s="94">
        <f>SUM(E17,E28,E39,E62,E74,E90,E114)</f>
        <v>-3922604709.0445518</v>
      </c>
      <c r="F116" s="86"/>
      <c r="G116" s="94">
        <f>SUM(G17,G28,G39,G62,G74,G90,G114)</f>
        <v>-3655298713.2239285</v>
      </c>
      <c r="H116" s="94">
        <f>SUM(H17,H28,H39,H62,H74,H90,H114)</f>
        <v>139710234.72344127</v>
      </c>
      <c r="I116" s="94">
        <f>SUM(I17,I28,I39,I62,I74,I90,I114)</f>
        <v>-3515588478.5004873</v>
      </c>
    </row>
    <row r="117" spans="1:16" ht="18.95" customHeight="1" thickTop="1">
      <c r="B117" s="71"/>
    </row>
    <row r="118" spans="1:16" ht="18.95" customHeight="1">
      <c r="B118" s="71"/>
      <c r="D118" s="86"/>
      <c r="E118" s="93"/>
    </row>
    <row r="119" spans="1:16" ht="18.95" customHeight="1">
      <c r="B119" s="71"/>
      <c r="C119" s="78"/>
    </row>
    <row r="120" spans="1:16" ht="18.95" customHeight="1">
      <c r="B120" s="71"/>
    </row>
    <row r="121" spans="1:16" ht="18.95" customHeight="1">
      <c r="B121" s="71"/>
    </row>
    <row r="122" spans="1:16" ht="18.95" customHeight="1">
      <c r="D122" s="69" t="s">
        <v>160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A1:I1"/>
    <mergeCell ref="A2:I2"/>
    <mergeCell ref="A4:I4"/>
    <mergeCell ref="A46:I46"/>
    <mergeCell ref="A47:I47"/>
    <mergeCell ref="E10:I10"/>
    <mergeCell ref="A3:I3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56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pageSetUpPr fitToPage="1"/>
  </sheetPr>
  <dimension ref="A1:N7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4" width="14.75" style="69" customWidth="1"/>
    <col min="5" max="6" width="15.75" style="69" customWidth="1"/>
    <col min="7" max="7" width="15.375" style="69" customWidth="1"/>
    <col min="8" max="8" width="32.75" style="69" customWidth="1"/>
    <col min="9" max="9" width="1.625" style="69" customWidth="1"/>
    <col min="10" max="10" width="9" style="69"/>
    <col min="11" max="11" width="17.125" style="69" customWidth="1"/>
    <col min="12" max="12" width="9.5" style="69" bestFit="1" customWidth="1"/>
    <col min="13" max="13" width="9.875" style="69" bestFit="1" customWidth="1"/>
    <col min="14" max="14" width="11.25" style="69" customWidth="1"/>
    <col min="15" max="16384" width="9" style="69"/>
  </cols>
  <sheetData>
    <row r="1" spans="1:14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14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14" s="68" customFormat="1" ht="20.100000000000001" customHeight="1">
      <c r="A3" s="809" t="s">
        <v>1204</v>
      </c>
      <c r="B3" s="809"/>
      <c r="C3" s="809"/>
      <c r="D3" s="809"/>
      <c r="E3" s="809"/>
      <c r="F3" s="809"/>
      <c r="G3" s="809"/>
      <c r="H3" s="809"/>
      <c r="I3" s="809"/>
    </row>
    <row r="4" spans="1:14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</row>
    <row r="5" spans="1:14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4" s="68" customFormat="1" ht="20.100000000000001" customHeight="1">
      <c r="A6" s="67" t="s">
        <v>133</v>
      </c>
      <c r="B6" s="67"/>
      <c r="G6" s="74"/>
      <c r="H6" s="74" t="s">
        <v>1203</v>
      </c>
    </row>
    <row r="7" spans="1:14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176</v>
      </c>
    </row>
    <row r="8" spans="1:14" s="68" customFormat="1" ht="20.100000000000001" customHeight="1">
      <c r="A8" s="67" t="s">
        <v>1195</v>
      </c>
      <c r="B8" s="67"/>
      <c r="F8" s="67"/>
      <c r="G8" s="75"/>
      <c r="H8" s="75" t="str">
        <f>'Rate Case Constants'!C36</f>
        <v>WITNESS:   C. M. GARRETT</v>
      </c>
    </row>
    <row r="9" spans="1:14" s="68" customFormat="1" ht="20.100000000000001" customHeight="1"/>
    <row r="10" spans="1:14" ht="58.5" customHeight="1">
      <c r="A10" s="76" t="s">
        <v>131</v>
      </c>
      <c r="B10" s="76" t="s">
        <v>134</v>
      </c>
      <c r="C10" s="79" t="s">
        <v>135</v>
      </c>
      <c r="D10" s="76" t="s">
        <v>215</v>
      </c>
      <c r="E10" s="76" t="s">
        <v>216</v>
      </c>
      <c r="F10" s="76" t="s">
        <v>217</v>
      </c>
      <c r="G10" s="76" t="s">
        <v>218</v>
      </c>
      <c r="H10" s="76" t="s">
        <v>219</v>
      </c>
      <c r="K10" s="491" t="s">
        <v>2171</v>
      </c>
    </row>
    <row r="11" spans="1:14" ht="23.1" customHeight="1">
      <c r="A11" s="80"/>
      <c r="B11" s="80"/>
      <c r="C11" s="81"/>
      <c r="D11" s="82" t="s">
        <v>142</v>
      </c>
      <c r="E11" s="82"/>
      <c r="F11" s="82" t="s">
        <v>142</v>
      </c>
      <c r="G11" s="82"/>
      <c r="H11" s="82"/>
    </row>
    <row r="12" spans="1:14" ht="18.95" customHeight="1">
      <c r="A12" s="282">
        <v>1</v>
      </c>
      <c r="B12" s="420" t="str">
        <f>'SCH B-3 B'!B$21</f>
        <v>311</v>
      </c>
      <c r="C12" s="67" t="s">
        <v>148</v>
      </c>
      <c r="D12" s="395">
        <f>SUMIFS('FCPIS B'!$T$6:$T$721,'FCPIS B'!$G$6:$G$721,$J12,'FCPIS B'!$B$6:$B$721,"KY",'FCPIS B'!$D$6:$D$721,"AD",'FCPIS B'!$E$6:$E$721,$B12)*1000</f>
        <v>2424600.5000119898</v>
      </c>
      <c r="E12" s="394">
        <f>'SCH B-3 B'!F$21</f>
        <v>0.93316708721198971</v>
      </c>
      <c r="F12" s="395">
        <f t="shared" ref="F12:F14" si="0">D12*E12</f>
        <v>2262557.3862489224</v>
      </c>
      <c r="H12" s="68" t="s">
        <v>1990</v>
      </c>
      <c r="J12" s="68" t="s">
        <v>2168</v>
      </c>
      <c r="K12" s="418" t="s">
        <v>2168</v>
      </c>
    </row>
    <row r="13" spans="1:14" ht="18.95" customHeight="1">
      <c r="A13" s="282">
        <f t="shared" ref="A13:A27" si="1">A12+1</f>
        <v>2</v>
      </c>
      <c r="B13" s="420" t="str">
        <f>'SCH B-3 B'!B$22</f>
        <v>312</v>
      </c>
      <c r="C13" s="67" t="s">
        <v>1624</v>
      </c>
      <c r="D13" s="395">
        <f>SUMIFS('FCPIS B'!$T$6:$T$721,'FCPIS B'!$G$6:$G$721,$J13,'FCPIS B'!$B$6:$B$721,"KY",'FCPIS B'!$D$6:$D$721,"AD",'FCPIS B'!$E$6:$E$721,$B13)*1000-'ECR Exclusion'!$W$18</f>
        <v>237044423.55328161</v>
      </c>
      <c r="E13" s="394">
        <f>'SCH B-3 B'!F$22</f>
        <v>0.93316708721198971</v>
      </c>
      <c r="F13" s="395">
        <f t="shared" si="0"/>
        <v>221202054.26706097</v>
      </c>
      <c r="H13" s="68" t="s">
        <v>1990</v>
      </c>
      <c r="J13" s="68" t="s">
        <v>2168</v>
      </c>
      <c r="K13" s="395">
        <f>SUMIFS('FCPIS B'!$T$6:$T$721,'FCPIS B'!$G$6:$G$721,$K12,'FCPIS B'!$B$6:$B$721,"KY",'FCPIS B'!$D$6:$D$721,"AD")*1000</f>
        <v>245147014.89336282</v>
      </c>
      <c r="L13" s="88">
        <f>-'ECR Exclusion'!$W$18</f>
        <v>-1855760.0472104996</v>
      </c>
      <c r="M13" s="88"/>
      <c r="N13" s="487">
        <f>SUM(K13:M13)</f>
        <v>243291254.84615231</v>
      </c>
    </row>
    <row r="14" spans="1:14" ht="18.95" customHeight="1">
      <c r="A14" s="282">
        <f t="shared" si="1"/>
        <v>3</v>
      </c>
      <c r="B14" s="420" t="str">
        <f>'SCH B-3 B'!B$25</f>
        <v>315</v>
      </c>
      <c r="C14" s="67" t="s">
        <v>1628</v>
      </c>
      <c r="D14" s="395">
        <f>SUMIFS('FCPIS B'!$T$6:$T$721,'FCPIS B'!$G$6:$G$721,$J14,'FCPIS B'!$B$6:$B$721,"KY",'FCPIS B'!$D$6:$D$721,"AD",'FCPIS B'!$E$6:$E$721,$B14)*1000</f>
        <v>3541976.2998874593</v>
      </c>
      <c r="E14" s="394">
        <f>'SCH B-3 B'!F$25</f>
        <v>0.93316708721198971</v>
      </c>
      <c r="F14" s="395">
        <f t="shared" si="0"/>
        <v>3305255.7067398815</v>
      </c>
      <c r="H14" s="68" t="s">
        <v>1990</v>
      </c>
      <c r="J14" s="68" t="s">
        <v>2168</v>
      </c>
      <c r="K14" s="88">
        <f>SUM(D12:D15,D20:D23,D26)+'ECR Exclusion'!$W$18</f>
        <v>245147014.89336276</v>
      </c>
      <c r="N14" s="487">
        <f>SUM(D12:D15,D20:D23,D26)</f>
        <v>243291254.84615228</v>
      </c>
    </row>
    <row r="15" spans="1:14" ht="18.95" customHeight="1">
      <c r="A15" s="421">
        <f t="shared" si="1"/>
        <v>4</v>
      </c>
      <c r="B15" s="420" t="str">
        <f>'SCH B-3 B'!B$26</f>
        <v>316</v>
      </c>
      <c r="C15" s="67" t="s">
        <v>1628</v>
      </c>
      <c r="D15" s="395">
        <f>SUMIFS('FCPIS B'!$T$6:$T$721,'FCPIS B'!$G$6:$G$721,$J15,'FCPIS B'!$B$6:$B$721,"KY",'FCPIS B'!$D$6:$D$721,"AD",'FCPIS B'!$E$6:$E$721,$B15)*1000</f>
        <v>58842.853373997998</v>
      </c>
      <c r="E15" s="394">
        <f>'SCH B-3 B'!F$26</f>
        <v>0.93316708721198971</v>
      </c>
      <c r="F15" s="395">
        <f t="shared" ref="F15" si="2">D15*E15</f>
        <v>54910.21408625591</v>
      </c>
      <c r="H15" s="68" t="s">
        <v>1990</v>
      </c>
      <c r="J15" s="68" t="s">
        <v>2168</v>
      </c>
      <c r="K15" s="88">
        <f>K13-K14</f>
        <v>0</v>
      </c>
    </row>
    <row r="16" spans="1:14" ht="18.95" customHeight="1">
      <c r="A16" s="421">
        <f t="shared" si="1"/>
        <v>5</v>
      </c>
      <c r="B16" s="388" t="str">
        <f>'SCH B-3 B'!B$27</f>
        <v>317</v>
      </c>
      <c r="C16" s="68" t="str">
        <f>'SCH B-3 B'!C$27</f>
        <v>ARO Cost Steam Production</v>
      </c>
      <c r="D16" s="395">
        <f>SUMIFS('FCPIS B'!$T$6:$T$721,'FCPIS B'!$G$6:$G$721,$J16,'FCPIS B'!$B$6:$B$721,"KY",'FCPIS B'!$D$6:$D$721,"AD",'FCPIS B'!$E$6:$E$721,$B16)*1000</f>
        <v>115027829.68299009</v>
      </c>
      <c r="E16" s="396">
        <f>'SCH B-3 B'!F$27</f>
        <v>0.93316708721198971</v>
      </c>
      <c r="F16" s="395">
        <f>D16*E16</f>
        <v>107340184.77359271</v>
      </c>
      <c r="H16" s="68" t="s">
        <v>1413</v>
      </c>
      <c r="J16" s="68" t="s">
        <v>2169</v>
      </c>
    </row>
    <row r="17" spans="1:11" ht="18.95" customHeight="1">
      <c r="A17" s="421">
        <f t="shared" si="1"/>
        <v>6</v>
      </c>
      <c r="B17" s="388" t="str">
        <f>'SCH B-3 B'!B$38</f>
        <v>337</v>
      </c>
      <c r="C17" s="68" t="str">
        <f>'SCH B-3 B'!C$38</f>
        <v>ARO Cost Hydro Production</v>
      </c>
      <c r="D17" s="395">
        <f>SUMIFS('FCPIS B'!$T$6:$T$721,'FCPIS B'!$G$6:$G$721,$J17,'FCPIS B'!$B$6:$B$721,"KY",'FCPIS B'!$D$6:$D$721,"AD",'FCPIS B'!$E$6:$E$721,$B17)*1000</f>
        <v>94140.357338454705</v>
      </c>
      <c r="E17" s="396">
        <f>'SCH B-3 B'!F$38</f>
        <v>0.9376979994450888</v>
      </c>
      <c r="F17" s="395">
        <f>D17*E17</f>
        <v>88275.224743314757</v>
      </c>
      <c r="H17" s="68" t="s">
        <v>1413</v>
      </c>
      <c r="J17" s="68" t="s">
        <v>2169</v>
      </c>
      <c r="K17" s="418" t="s">
        <v>2169</v>
      </c>
    </row>
    <row r="18" spans="1:11" ht="18.95" customHeight="1">
      <c r="A18" s="421">
        <f t="shared" si="1"/>
        <v>7</v>
      </c>
      <c r="B18" s="420" t="str">
        <f>'SCH B-3 B'!B$61</f>
        <v>347</v>
      </c>
      <c r="C18" s="68" t="str">
        <f>'SCH B-3 B'!C$61</f>
        <v>ARO Cost Other Production</v>
      </c>
      <c r="D18" s="395">
        <f>SUMIFS('FCPIS B'!$T$6:$T$721,'FCPIS B'!$G$6:$G$721,$J18,'FCPIS B'!$B$6:$B$721,"KY",'FCPIS B'!$D$6:$D$721,"AD",'FCPIS B'!$E$6:$E$721,$B18)*1000</f>
        <v>117076.64349460999</v>
      </c>
      <c r="E18" s="396">
        <f>'SCH B-3 B'!F$61</f>
        <v>0.93726328100910761</v>
      </c>
      <c r="F18" s="395">
        <f>D18*E18</f>
        <v>109731.63901129176</v>
      </c>
      <c r="H18" s="68" t="s">
        <v>1413</v>
      </c>
      <c r="J18" s="68" t="s">
        <v>2169</v>
      </c>
      <c r="K18" s="395">
        <f>SUMIFS('FCPIS B'!$T$6:$T$721,'FCPIS B'!$G$6:$G$721,$K17,'FCPIS B'!$B$6:$B$721,"KY",'FCPIS B'!$D$6:$D$721,"AD")*1000</f>
        <v>115491797.00999999</v>
      </c>
    </row>
    <row r="19" spans="1:11" ht="18.95" customHeight="1">
      <c r="A19" s="421">
        <f t="shared" si="1"/>
        <v>8</v>
      </c>
      <c r="B19" s="388" t="str">
        <f>'SCH B-3 B'!B$73</f>
        <v>359</v>
      </c>
      <c r="C19" s="68" t="str">
        <f>'SCH B-3 B'!C$73</f>
        <v>ARO Cost Elec Transmission</v>
      </c>
      <c r="D19" s="395">
        <f>SUMIFS('FCPIS B'!$T$6:$T$721,'FCPIS B'!$G$6:$G$721,$J19,'FCPIS B'!$B$6:$B$721,"KY",'FCPIS B'!$D$6:$D$721,"AD",'FCPIS B'!$E$6:$E$721,$B19)*1000</f>
        <v>115101.07623505399</v>
      </c>
      <c r="E19" s="396">
        <f>'SCH B-3 B'!F$73</f>
        <v>0.87748462947474803</v>
      </c>
      <c r="F19" s="395">
        <f>D19*E19</f>
        <v>100999.42523226107</v>
      </c>
      <c r="H19" s="68" t="s">
        <v>1413</v>
      </c>
      <c r="J19" s="68" t="s">
        <v>2169</v>
      </c>
      <c r="K19" s="88">
        <f>SUM(D16:D19,D25)</f>
        <v>115491797.00999999</v>
      </c>
    </row>
    <row r="20" spans="1:11" ht="18.95" customHeight="1">
      <c r="A20" s="421">
        <f t="shared" si="1"/>
        <v>9</v>
      </c>
      <c r="B20" s="420" t="str">
        <f>'SCH B-3 B'!B$80</f>
        <v>364</v>
      </c>
      <c r="C20" s="78" t="s">
        <v>1676</v>
      </c>
      <c r="D20" s="395">
        <f>SUMIFS('FCPIS B'!$T$6:$T$721,'FCPIS B'!$G$6:$G$721,$J20,'FCPIS B'!$B$6:$B$721,"KY",'FCPIS B'!$D$6:$D$721,"AD",'FCPIS B'!$E$6:$E$721,$B20)*1000</f>
        <v>5738.0508920419998</v>
      </c>
      <c r="E20" s="396">
        <f>'SCH B-3 B'!F$80</f>
        <v>0.93937327806534121</v>
      </c>
      <c r="F20" s="395">
        <f>D20*E20</f>
        <v>5390.1716761632488</v>
      </c>
      <c r="H20" s="68" t="s">
        <v>1990</v>
      </c>
      <c r="J20" s="68" t="s">
        <v>2168</v>
      </c>
      <c r="K20" s="88">
        <f>K18-K19</f>
        <v>0</v>
      </c>
    </row>
    <row r="21" spans="1:11" ht="18.95" customHeight="1">
      <c r="A21" s="421">
        <f t="shared" si="1"/>
        <v>10</v>
      </c>
      <c r="B21" s="420" t="str">
        <f>'SCH B-3 B'!B$81</f>
        <v>365</v>
      </c>
      <c r="C21" s="78" t="s">
        <v>1665</v>
      </c>
      <c r="D21" s="395">
        <f>SUMIFS('FCPIS B'!$T$6:$T$721,'FCPIS B'!$G$6:$G$721,$J21,'FCPIS B'!$B$6:$B$721,"KY",'FCPIS B'!$D$6:$D$721,"AD",'FCPIS B'!$E$6:$E$721,$B21)*1000</f>
        <v>5549.7840599999899</v>
      </c>
      <c r="E21" s="396">
        <f>'SCH B-3 B'!F$81</f>
        <v>0.93937327806534121</v>
      </c>
      <c r="F21" s="395">
        <f t="shared" ref="F21:F24" si="3">D21*E21</f>
        <v>5213.3188449969684</v>
      </c>
      <c r="H21" s="68" t="s">
        <v>1990</v>
      </c>
      <c r="J21" s="68" t="s">
        <v>2168</v>
      </c>
      <c r="K21" s="88"/>
    </row>
    <row r="22" spans="1:11" ht="18.95" customHeight="1">
      <c r="A22" s="421">
        <f t="shared" si="1"/>
        <v>11</v>
      </c>
      <c r="B22" s="420" t="str">
        <f>'SCH B-3 B'!B$82</f>
        <v>366</v>
      </c>
      <c r="C22" s="78" t="s">
        <v>1667</v>
      </c>
      <c r="D22" s="395">
        <f>SUMIFS('FCPIS B'!$T$6:$T$721,'FCPIS B'!$G$6:$G$721,$J22,'FCPIS B'!$B$6:$B$721,"KY",'FCPIS B'!$D$6:$D$721,"AD",'FCPIS B'!$E$6:$E$721,$B22)*1000</f>
        <v>29165.133276199998</v>
      </c>
      <c r="E22" s="396">
        <f>'SCH B-3 B'!F$82</f>
        <v>1</v>
      </c>
      <c r="F22" s="395">
        <f t="shared" si="3"/>
        <v>29165.133276199998</v>
      </c>
      <c r="H22" s="68" t="s">
        <v>1990</v>
      </c>
      <c r="J22" s="68" t="s">
        <v>2168</v>
      </c>
    </row>
    <row r="23" spans="1:11" ht="18.95" customHeight="1">
      <c r="A23" s="491">
        <f t="shared" si="1"/>
        <v>12</v>
      </c>
      <c r="B23" s="420" t="str">
        <f>'SCH B-3 B'!B$83</f>
        <v>367</v>
      </c>
      <c r="C23" s="78" t="s">
        <v>1669</v>
      </c>
      <c r="D23" s="395">
        <f>SUMIFS('FCPIS B'!$T$6:$T$721,'FCPIS B'!$G$6:$G$721,$J23,'FCPIS B'!$B$6:$B$721,"KY",'FCPIS B'!$D$6:$D$721,"AD",'FCPIS B'!$E$6:$E$721,$B23)*1000</f>
        <v>180958.671368999</v>
      </c>
      <c r="E23" s="396">
        <f>'SCH B-3 B'!F$83</f>
        <v>0.93937327806534121</v>
      </c>
      <c r="F23" s="395">
        <f t="shared" si="3"/>
        <v>169987.7403182454</v>
      </c>
      <c r="H23" s="68" t="s">
        <v>1990</v>
      </c>
      <c r="J23" s="68" t="s">
        <v>2168</v>
      </c>
      <c r="K23" s="418"/>
    </row>
    <row r="24" spans="1:11" ht="18.95" customHeight="1">
      <c r="A24" s="491">
        <f t="shared" si="1"/>
        <v>13</v>
      </c>
      <c r="B24" s="490">
        <v>370</v>
      </c>
      <c r="C24" s="67" t="s">
        <v>1685</v>
      </c>
      <c r="D24" s="395">
        <f>SUMIFS('FCPIS B'!$T$6:$T$721,'FCPIS B'!$G$6:$G$721,$J24,'FCPIS B'!$B$6:$B$721,"KY",'FCPIS B'!$D$6:$D$721,"AD",'FCPIS B'!$E$6:$E$721,$B24)*1000</f>
        <v>569725.40331999899</v>
      </c>
      <c r="E24" s="394">
        <v>1</v>
      </c>
      <c r="F24" s="395">
        <f t="shared" si="3"/>
        <v>569725.40331999899</v>
      </c>
      <c r="H24" s="68" t="s">
        <v>1991</v>
      </c>
      <c r="J24" s="68" t="s">
        <v>2170</v>
      </c>
      <c r="K24" s="418" t="s">
        <v>2170</v>
      </c>
    </row>
    <row r="25" spans="1:11" ht="18.95" customHeight="1">
      <c r="A25" s="491">
        <f t="shared" si="1"/>
        <v>14</v>
      </c>
      <c r="B25" s="388" t="str">
        <f>'SCH B-3 B'!B$89</f>
        <v>374</v>
      </c>
      <c r="C25" s="68" t="str">
        <f>'SCH B-3 B'!C$89</f>
        <v>ARO Cost Elec Distribution</v>
      </c>
      <c r="D25" s="395">
        <f>SUMIFS('FCPIS B'!$T$6:$T$721,'FCPIS B'!$G$6:$G$721,$J25,'FCPIS B'!$B$6:$B$721,"KY",'FCPIS B'!$D$6:$D$721,"AD",'FCPIS B'!$E$6:$E$721,$B25)*1000</f>
        <v>137649.24994177802</v>
      </c>
      <c r="E25" s="396">
        <f>'SCH B-3 B'!F$89</f>
        <v>1</v>
      </c>
      <c r="F25" s="395">
        <f>D25*E25</f>
        <v>137649.24994177802</v>
      </c>
      <c r="H25" s="68" t="s">
        <v>1413</v>
      </c>
      <c r="J25" s="68" t="s">
        <v>2169</v>
      </c>
      <c r="K25" s="395">
        <f>SUMIFS('FCPIS B'!$T$6:$T$721,'FCPIS B'!$G$6:$G$721,$K24,'FCPIS B'!$B$6:$B$721,"KY",'FCPIS B'!$D$6:$D$721,"AD")*1000</f>
        <v>5542797.9651999986</v>
      </c>
    </row>
    <row r="26" spans="1:11" ht="18.95" customHeight="1">
      <c r="A26" s="491">
        <f t="shared" si="1"/>
        <v>15</v>
      </c>
      <c r="B26" s="420" t="str">
        <f>'SCH B-3 B'!B$107</f>
        <v>392</v>
      </c>
      <c r="C26" s="67" t="s">
        <v>155</v>
      </c>
      <c r="D26" s="395">
        <f>SUMIFS('FCPIS B'!$T$6:$T$721,'FCPIS B'!$G$6:$G$721,$J26,'FCPIS B'!$B$6:$B$721,"KY",'FCPIS B'!$D$6:$D$721,"AD",'FCPIS B'!$E$6:$E$721,$B26)*1000</f>
        <v>0</v>
      </c>
      <c r="E26" s="394">
        <f>'SCH B-3 B'!F$107</f>
        <v>0.9429933243391716</v>
      </c>
      <c r="F26" s="395">
        <f t="shared" ref="F26" si="4">D26*E26</f>
        <v>0</v>
      </c>
      <c r="H26" s="68" t="s">
        <v>1990</v>
      </c>
      <c r="J26" s="68" t="s">
        <v>2168</v>
      </c>
      <c r="K26" s="88">
        <f>SUM(D27,D24)</f>
        <v>5542797.9651999986</v>
      </c>
    </row>
    <row r="27" spans="1:11" ht="18.95" customHeight="1">
      <c r="A27" s="491">
        <f t="shared" si="1"/>
        <v>16</v>
      </c>
      <c r="B27" s="420" t="str">
        <f>'SCH B-3 B'!B$112</f>
        <v>397</v>
      </c>
      <c r="C27" s="67" t="s">
        <v>157</v>
      </c>
      <c r="D27" s="395">
        <f>SUMIFS('FCPIS B'!$T$6:$T$721,'FCPIS B'!$G$6:$G$721,$J27,'FCPIS B'!$B$6:$B$721,"KY",'FCPIS B'!$D$6:$D$721,"AD",'FCPIS B'!$E$6:$E$721,$B27)*1000</f>
        <v>4973072.5618799999</v>
      </c>
      <c r="E27" s="394">
        <v>1</v>
      </c>
      <c r="F27" s="395">
        <f t="shared" ref="F27" si="5">D27*E27</f>
        <v>4973072.5618799999</v>
      </c>
      <c r="H27" s="68" t="s">
        <v>1991</v>
      </c>
      <c r="J27" s="68" t="s">
        <v>2170</v>
      </c>
      <c r="K27" s="88">
        <f>K25-K26</f>
        <v>0</v>
      </c>
    </row>
    <row r="28" spans="1:11" ht="18.95" customHeight="1">
      <c r="A28" s="290"/>
      <c r="B28" s="71"/>
      <c r="C28" s="67"/>
      <c r="D28" s="395"/>
      <c r="E28" s="394"/>
      <c r="F28" s="395"/>
      <c r="H28" s="147"/>
    </row>
    <row r="29" spans="1:11" ht="18.95" customHeight="1" thickBot="1">
      <c r="A29" s="290">
        <f>A27+1</f>
        <v>17</v>
      </c>
      <c r="B29" s="71"/>
      <c r="C29" s="67" t="s">
        <v>2010</v>
      </c>
      <c r="D29" s="393">
        <f>SUM(D12:D28)</f>
        <v>364325849.8213523</v>
      </c>
      <c r="E29" s="394"/>
      <c r="F29" s="393">
        <f>SUM(F12:F28)</f>
        <v>340354172.2159729</v>
      </c>
      <c r="H29" s="147"/>
    </row>
    <row r="30" spans="1:11" ht="18.95" customHeight="1" thickTop="1">
      <c r="A30" s="141"/>
      <c r="B30" s="71"/>
      <c r="C30" s="68"/>
      <c r="D30" s="88"/>
      <c r="E30" s="134"/>
      <c r="F30" s="88"/>
      <c r="H30" s="147"/>
    </row>
    <row r="31" spans="1:11" s="68" customFormat="1" ht="20.100000000000001" customHeight="1">
      <c r="A31" s="809" t="str">
        <f>$A$1</f>
        <v>KENTUCKY UTILITIES COMPANY</v>
      </c>
      <c r="B31" s="809"/>
      <c r="C31" s="809"/>
      <c r="D31" s="809"/>
      <c r="E31" s="809"/>
      <c r="F31" s="809"/>
      <c r="G31" s="809"/>
      <c r="H31" s="809"/>
    </row>
    <row r="32" spans="1:11" s="68" customFormat="1" ht="20.100000000000001" customHeight="1">
      <c r="A32" s="809" t="str">
        <f>$A$2</f>
        <v>CASE NO. 2020-00349</v>
      </c>
      <c r="B32" s="809"/>
      <c r="C32" s="809"/>
      <c r="D32" s="809"/>
      <c r="E32" s="809"/>
      <c r="F32" s="809"/>
      <c r="G32" s="809"/>
      <c r="H32" s="809"/>
    </row>
    <row r="33" spans="1:14" s="68" customFormat="1" ht="20.100000000000001" customHeight="1">
      <c r="A33" s="809" t="str">
        <f>$A$3</f>
        <v>ADJUSTMENTS TO ACCUMULATED DEPRECIATION AND AMORTIZATION</v>
      </c>
      <c r="B33" s="809"/>
      <c r="C33" s="809"/>
      <c r="D33" s="809"/>
      <c r="E33" s="809"/>
      <c r="F33" s="809"/>
      <c r="G33" s="809"/>
      <c r="H33" s="809"/>
    </row>
    <row r="34" spans="1:14" s="68" customFormat="1" ht="20.100000000000001" customHeight="1">
      <c r="A34" s="809" t="str">
        <f>'Rate Case Constants'!C18</f>
        <v>AS OF JUNE 30, 2022</v>
      </c>
      <c r="B34" s="809"/>
      <c r="C34" s="809"/>
      <c r="D34" s="809"/>
      <c r="E34" s="809"/>
      <c r="F34" s="809"/>
      <c r="G34" s="809"/>
      <c r="H34" s="809"/>
    </row>
    <row r="35" spans="1:14" s="68" customFormat="1" ht="20.100000000000001" customHeight="1">
      <c r="A35" s="84"/>
      <c r="B35" s="84"/>
      <c r="C35" s="84"/>
      <c r="D35" s="84"/>
      <c r="E35" s="84"/>
      <c r="F35" s="84"/>
      <c r="G35" s="84"/>
      <c r="H35" s="84"/>
    </row>
    <row r="36" spans="1:14" s="68" customFormat="1" ht="20.100000000000001" customHeight="1">
      <c r="A36" s="67" t="s">
        <v>161</v>
      </c>
      <c r="B36" s="67"/>
      <c r="G36" s="74"/>
      <c r="H36" s="74" t="s">
        <v>1203</v>
      </c>
    </row>
    <row r="37" spans="1:14" s="68" customFormat="1" ht="20.100000000000001" customHeight="1">
      <c r="A37" s="67" t="str">
        <f>$A$7</f>
        <v>TYPE OF FILING: __X__ ORIGINAL  _____ UPDATED  _____ REVISED</v>
      </c>
      <c r="G37" s="74"/>
      <c r="H37" s="74" t="s">
        <v>184</v>
      </c>
    </row>
    <row r="38" spans="1:14" s="68" customFormat="1" ht="20.100000000000001" customHeight="1">
      <c r="A38" s="67" t="str">
        <f>$A$8</f>
        <v>WORKPAPER REFERENCE NO(S).:</v>
      </c>
      <c r="B38" s="67"/>
      <c r="F38" s="67"/>
      <c r="G38" s="75"/>
      <c r="H38" s="75" t="str">
        <f>$H$8</f>
        <v>WITNESS:   C. M. GARRETT</v>
      </c>
    </row>
    <row r="39" spans="1:14" s="68" customFormat="1" ht="20.100000000000001" customHeight="1"/>
    <row r="40" spans="1:14" ht="58.5" customHeight="1">
      <c r="A40" s="76" t="s">
        <v>131</v>
      </c>
      <c r="B40" s="76" t="s">
        <v>134</v>
      </c>
      <c r="C40" s="79" t="s">
        <v>135</v>
      </c>
      <c r="D40" s="76" t="s">
        <v>215</v>
      </c>
      <c r="E40" s="76" t="s">
        <v>216</v>
      </c>
      <c r="F40" s="76" t="s">
        <v>217</v>
      </c>
      <c r="G40" s="76" t="s">
        <v>218</v>
      </c>
      <c r="H40" s="76" t="s">
        <v>219</v>
      </c>
      <c r="K40" s="417" t="s">
        <v>2171</v>
      </c>
    </row>
    <row r="41" spans="1:14" ht="23.1" customHeight="1">
      <c r="A41" s="80"/>
      <c r="B41" s="80"/>
      <c r="C41" s="81"/>
      <c r="D41" s="82" t="s">
        <v>142</v>
      </c>
      <c r="E41" s="82"/>
      <c r="F41" s="82" t="s">
        <v>142</v>
      </c>
      <c r="G41" s="82"/>
      <c r="H41" s="82"/>
    </row>
    <row r="42" spans="1:14" ht="18.95" customHeight="1">
      <c r="A42" s="282">
        <v>1</v>
      </c>
      <c r="B42" s="388" t="str">
        <f t="shared" ref="B42:B47" si="6">B12</f>
        <v>311</v>
      </c>
      <c r="C42" s="67" t="s">
        <v>148</v>
      </c>
      <c r="D42" s="395">
        <f>SUMIFS('FCPIS F'!$V$6:$V$704,'FCPIS F'!$G$6:$G$704,$J42,'FCPIS F'!$B$6:$B$704,"KY",'FCPIS F'!$D$6:$D$704,"AD",'FCPIS F'!$E$6:$E$704,$B42)*1000</f>
        <v>49673.407929500012</v>
      </c>
      <c r="E42" s="394">
        <f>'SCH B-3 F'!F$21</f>
        <v>0.93621189240421043</v>
      </c>
      <c r="F42" s="395">
        <f t="shared" ref="F42:F44" si="7">D42*E42</f>
        <v>46504.835239843516</v>
      </c>
      <c r="H42" s="68" t="s">
        <v>1990</v>
      </c>
      <c r="J42" s="68" t="s">
        <v>2168</v>
      </c>
      <c r="K42" s="418" t="s">
        <v>2168</v>
      </c>
    </row>
    <row r="43" spans="1:14" ht="18.95" customHeight="1">
      <c r="A43" s="282">
        <f t="shared" ref="A43:A57" si="8">A42+1</f>
        <v>2</v>
      </c>
      <c r="B43" s="420" t="str">
        <f t="shared" si="6"/>
        <v>312</v>
      </c>
      <c r="C43" s="67" t="s">
        <v>1624</v>
      </c>
      <c r="D43" s="395">
        <f>SUMIFS('FCPIS F'!$V$6:$V$704,'FCPIS F'!$G$6:$G$704,$J43,'FCPIS F'!$B$6:$B$704,"KY",'FCPIS F'!$D$6:$D$704,"AD",'FCPIS F'!$E$6:$E$704,$B43)*1000-'ECR Exclusion'!$AN$18</f>
        <v>24654186.534780018</v>
      </c>
      <c r="E43" s="394">
        <f>'SCH B-3 F'!F$22</f>
        <v>0.93621189240421043</v>
      </c>
      <c r="F43" s="395">
        <f t="shared" si="7"/>
        <v>23081542.631412804</v>
      </c>
      <c r="H43" s="68" t="s">
        <v>1990</v>
      </c>
      <c r="J43" s="68" t="s">
        <v>2168</v>
      </c>
      <c r="K43" s="395">
        <f>SUMIFS('FCPIS F'!$V$6:$V$704,'FCPIS F'!$G$6:$G$704,$K42,'FCPIS F'!$B$6:$B$704,"KY",'FCPIS F'!$D$6:$D$704,"AD")*1000</f>
        <v>24878689.342901442</v>
      </c>
      <c r="L43" s="88">
        <f>-'ECR Exclusion'!$AN$18</f>
        <v>0</v>
      </c>
      <c r="M43" s="88"/>
      <c r="N43" s="487">
        <f>SUM(K43:M43)</f>
        <v>24878689.342901442</v>
      </c>
    </row>
    <row r="44" spans="1:14" ht="18.95" customHeight="1">
      <c r="A44" s="282">
        <f t="shared" si="8"/>
        <v>3</v>
      </c>
      <c r="B44" s="420" t="str">
        <f t="shared" si="6"/>
        <v>315</v>
      </c>
      <c r="C44" s="67" t="s">
        <v>1628</v>
      </c>
      <c r="D44" s="395">
        <f>SUMIFS('FCPIS F'!$V$6:$V$704,'FCPIS F'!$G$6:$G$704,$J44,'FCPIS F'!$B$6:$B$704,"KY",'FCPIS F'!$D$6:$D$704,"AD",'FCPIS F'!$E$6:$E$704,$B44)*1000</f>
        <v>174829.40019191997</v>
      </c>
      <c r="E44" s="394">
        <f>'SCH B-3 F'!F$25</f>
        <v>0.93621189240421043</v>
      </c>
      <c r="F44" s="395">
        <f t="shared" si="7"/>
        <v>163677.36360157043</v>
      </c>
      <c r="H44" s="68" t="s">
        <v>1990</v>
      </c>
      <c r="J44" s="68" t="s">
        <v>2168</v>
      </c>
      <c r="K44" s="88">
        <f>SUM(D42:D45,D50:D53,D56)+'ECR Exclusion'!$AN$18</f>
        <v>24878689.342901438</v>
      </c>
      <c r="N44" s="487">
        <f>SUM(D42:D45,D50:D53,D56)</f>
        <v>24878689.342901438</v>
      </c>
    </row>
    <row r="45" spans="1:14" ht="18.95" customHeight="1">
      <c r="A45" s="421">
        <f t="shared" si="8"/>
        <v>4</v>
      </c>
      <c r="B45" s="420" t="str">
        <f t="shared" si="6"/>
        <v>316</v>
      </c>
      <c r="C45" s="67" t="s">
        <v>1628</v>
      </c>
      <c r="D45" s="395">
        <f>SUMIFS('FCPIS F'!$V$6:$V$704,'FCPIS F'!$G$6:$G$704,$J45,'FCPIS F'!$B$6:$B$704,"KY",'FCPIS F'!$D$6:$D$704,"AD",'FCPIS F'!$E$6:$E$704,$B45)*1000</f>
        <v>0</v>
      </c>
      <c r="E45" s="394">
        <f>'SCH B-3 F'!F$26</f>
        <v>0.93621189240421043</v>
      </c>
      <c r="F45" s="395">
        <f t="shared" ref="F45" si="9">D45*E45</f>
        <v>0</v>
      </c>
      <c r="H45" s="68" t="s">
        <v>1990</v>
      </c>
      <c r="J45" s="68" t="s">
        <v>2168</v>
      </c>
      <c r="K45" s="88">
        <f>K43-K44</f>
        <v>0</v>
      </c>
    </row>
    <row r="46" spans="1:14" ht="18.95" customHeight="1">
      <c r="A46" s="421">
        <f t="shared" si="8"/>
        <v>5</v>
      </c>
      <c r="B46" s="420" t="str">
        <f t="shared" si="6"/>
        <v>317</v>
      </c>
      <c r="C46" s="68" t="str">
        <f>'SCH B-3 F'!C$27</f>
        <v>ARO Cost Steam Production</v>
      </c>
      <c r="D46" s="395">
        <f>SUMIFS('FCPIS F'!$V$6:$V$704,'FCPIS F'!$G$6:$G$704,$J46,'FCPIS F'!$B$6:$B$704,"KY",'FCPIS F'!$D$6:$D$704,"AD",'FCPIS F'!$E$6:$E$704,$B46)*1000</f>
        <v>116781348.19720437</v>
      </c>
      <c r="E46" s="396">
        <f>'SCH B-3 F'!F$27</f>
        <v>0.93621189240421043</v>
      </c>
      <c r="F46" s="395">
        <f>D46*E46</f>
        <v>109332086.99321973</v>
      </c>
      <c r="H46" s="68" t="s">
        <v>1413</v>
      </c>
      <c r="J46" s="68" t="s">
        <v>2169</v>
      </c>
    </row>
    <row r="47" spans="1:14" ht="18.95" customHeight="1">
      <c r="A47" s="421">
        <f t="shared" si="8"/>
        <v>6</v>
      </c>
      <c r="B47" s="420" t="str">
        <f t="shared" si="6"/>
        <v>337</v>
      </c>
      <c r="C47" s="68" t="str">
        <f>'SCH B-3 F'!C$38</f>
        <v>ARO Cost Hydro Production</v>
      </c>
      <c r="D47" s="395">
        <f>SUMIFS('FCPIS F'!$V$6:$V$704,'FCPIS F'!$G$6:$G$704,$J47,'FCPIS F'!$B$6:$B$704,"KY",'FCPIS F'!$D$6:$D$704,"AD",'FCPIS F'!$E$6:$E$704,$B47)*1000</f>
        <v>108888.10290254554</v>
      </c>
      <c r="E47" s="396">
        <f>'SCH B-3 F'!F$38</f>
        <v>0.93801439587046564</v>
      </c>
      <c r="F47" s="395">
        <f>D47*E47</f>
        <v>102138.60806161235</v>
      </c>
      <c r="H47" s="68" t="s">
        <v>1413</v>
      </c>
      <c r="J47" s="68" t="s">
        <v>2169</v>
      </c>
      <c r="K47" s="418" t="s">
        <v>2169</v>
      </c>
    </row>
    <row r="48" spans="1:14" ht="18.95" customHeight="1">
      <c r="A48" s="421">
        <f t="shared" si="8"/>
        <v>7</v>
      </c>
      <c r="B48" s="420" t="str">
        <f>'SCH B-3 F'!B$61</f>
        <v>347</v>
      </c>
      <c r="C48" s="68" t="str">
        <f>'SCH B-3 F'!C$61</f>
        <v>ARO Cost Other Production</v>
      </c>
      <c r="D48" s="395">
        <f>SUMIFS('FCPIS F'!$V$6:$V$704,'FCPIS F'!$G$6:$G$704,$J48,'FCPIS F'!$B$6:$B$704,"KY",'FCPIS F'!$D$6:$D$704,"AD",'FCPIS F'!$E$6:$E$704,$B48)*1000</f>
        <v>133688.68265229464</v>
      </c>
      <c r="E48" s="396">
        <f>'SCH B-3 F'!F$61</f>
        <v>0.9381117981132886</v>
      </c>
      <c r="F48" s="395">
        <f>D48*E48</f>
        <v>125414.93047034093</v>
      </c>
      <c r="H48" s="68" t="s">
        <v>1413</v>
      </c>
      <c r="J48" s="68" t="s">
        <v>2169</v>
      </c>
      <c r="K48" s="395">
        <f>SUMIFS('FCPIS F'!$V$6:$V$704,'FCPIS F'!$G$6:$G$704,$K47,'FCPIS F'!$B$6:$B$704,"KY",'FCPIS F'!$D$6:$D$704,"AD")*1000</f>
        <v>117289298.36923076</v>
      </c>
    </row>
    <row r="49" spans="1:11" ht="18.95" customHeight="1">
      <c r="A49" s="421">
        <f t="shared" si="8"/>
        <v>8</v>
      </c>
      <c r="B49" s="420" t="str">
        <f>B19</f>
        <v>359</v>
      </c>
      <c r="C49" s="68" t="str">
        <f>'SCH B-3 F'!C$73</f>
        <v>ARO Cost Elec Transmission</v>
      </c>
      <c r="D49" s="395">
        <f>SUMIFS('FCPIS F'!$V$6:$V$704,'FCPIS F'!$G$6:$G$704,$J49,'FCPIS F'!$B$6:$B$704,"KY",'FCPIS F'!$D$6:$D$704,"AD",'FCPIS F'!$E$6:$E$704,$B49)*1000</f>
        <v>121176.45329347921</v>
      </c>
      <c r="E49" s="396">
        <f>'SCH B-3 F'!F$73</f>
        <v>0.88270141419131631</v>
      </c>
      <c r="F49" s="395">
        <f>D49*E49</f>
        <v>106962.62668884208</v>
      </c>
      <c r="H49" s="68" t="s">
        <v>1413</v>
      </c>
      <c r="J49" s="68" t="s">
        <v>2169</v>
      </c>
      <c r="K49" s="88">
        <f>SUM(D46:D49,D55)</f>
        <v>117289298.36923075</v>
      </c>
    </row>
    <row r="50" spans="1:11" ht="18.95" customHeight="1">
      <c r="A50" s="421">
        <f t="shared" si="8"/>
        <v>9</v>
      </c>
      <c r="B50" s="420" t="str">
        <f>B20</f>
        <v>364</v>
      </c>
      <c r="C50" s="78" t="s">
        <v>1676</v>
      </c>
      <c r="D50" s="395">
        <f>SUMIFS('FCPIS F'!$V$6:$V$704,'FCPIS F'!$G$6:$G$704,$J50,'FCPIS F'!$B$6:$B$704,"KY",'FCPIS F'!$D$6:$D$704,"AD",'FCPIS F'!$E$6:$E$704,$B50)*1000</f>
        <v>0</v>
      </c>
      <c r="E50" s="396">
        <f>'SCH B-3 F'!F$80</f>
        <v>0.93928271518075734</v>
      </c>
      <c r="F50" s="395">
        <f t="shared" ref="F50:F54" si="10">D50*E50</f>
        <v>0</v>
      </c>
      <c r="H50" s="68" t="s">
        <v>1990</v>
      </c>
      <c r="J50" s="68" t="s">
        <v>2168</v>
      </c>
      <c r="K50" s="88">
        <f>K48-K49</f>
        <v>0</v>
      </c>
    </row>
    <row r="51" spans="1:11" ht="18.95" customHeight="1">
      <c r="A51" s="421">
        <f t="shared" si="8"/>
        <v>10</v>
      </c>
      <c r="B51" s="420" t="str">
        <f>B21</f>
        <v>365</v>
      </c>
      <c r="C51" s="78" t="s">
        <v>1665</v>
      </c>
      <c r="D51" s="395">
        <f>SUMIFS('FCPIS F'!$V$6:$V$704,'FCPIS F'!$G$6:$G$704,$J51,'FCPIS F'!$B$6:$B$704,"KY",'FCPIS F'!$D$6:$D$704,"AD",'FCPIS F'!$E$6:$E$704,$B51)*1000</f>
        <v>0</v>
      </c>
      <c r="E51" s="396">
        <f>'SCH B-3 F'!F$81</f>
        <v>0.93928271518075734</v>
      </c>
      <c r="F51" s="395">
        <f t="shared" si="10"/>
        <v>0</v>
      </c>
      <c r="H51" s="68" t="s">
        <v>1990</v>
      </c>
      <c r="J51" s="68" t="s">
        <v>2168</v>
      </c>
      <c r="K51" s="88"/>
    </row>
    <row r="52" spans="1:11" ht="18.95" customHeight="1">
      <c r="A52" s="421">
        <f t="shared" si="8"/>
        <v>11</v>
      </c>
      <c r="B52" s="420" t="str">
        <f>B22</f>
        <v>366</v>
      </c>
      <c r="C52" s="78" t="s">
        <v>1667</v>
      </c>
      <c r="D52" s="395">
        <f>SUMIFS('FCPIS F'!$V$6:$V$704,'FCPIS F'!$G$6:$G$704,$J52,'FCPIS F'!$B$6:$B$704,"KY",'FCPIS F'!$D$6:$D$704,"AD",'FCPIS F'!$E$6:$E$704,$B52)*1000</f>
        <v>0</v>
      </c>
      <c r="E52" s="396">
        <f>'SCH B-3 F'!F$82</f>
        <v>1</v>
      </c>
      <c r="F52" s="395">
        <f t="shared" si="10"/>
        <v>0</v>
      </c>
      <c r="H52" s="68" t="s">
        <v>1990</v>
      </c>
      <c r="J52" s="68" t="s">
        <v>2168</v>
      </c>
    </row>
    <row r="53" spans="1:11" ht="18.95" customHeight="1">
      <c r="A53" s="631">
        <f t="shared" si="8"/>
        <v>12</v>
      </c>
      <c r="B53" s="420" t="str">
        <f>B23</f>
        <v>367</v>
      </c>
      <c r="C53" s="78" t="s">
        <v>1669</v>
      </c>
      <c r="D53" s="395">
        <f>SUMIFS('FCPIS F'!$V$6:$V$704,'FCPIS F'!$G$6:$G$704,$J53,'FCPIS F'!$B$6:$B$704,"KY",'FCPIS F'!$D$6:$D$704,"AD",'FCPIS F'!$E$6:$E$704,$B53)*1000</f>
        <v>0</v>
      </c>
      <c r="E53" s="396">
        <f>'SCH B-3 F'!F$83</f>
        <v>0.93928271518075734</v>
      </c>
      <c r="F53" s="395">
        <f t="shared" si="10"/>
        <v>0</v>
      </c>
      <c r="H53" s="68" t="s">
        <v>1990</v>
      </c>
      <c r="J53" s="68" t="s">
        <v>2168</v>
      </c>
      <c r="K53" s="418"/>
    </row>
    <row r="54" spans="1:11" ht="18.95" customHeight="1">
      <c r="A54" s="631">
        <f t="shared" si="8"/>
        <v>13</v>
      </c>
      <c r="B54" s="630">
        <v>370</v>
      </c>
      <c r="C54" s="67" t="s">
        <v>1685</v>
      </c>
      <c r="D54" s="395">
        <f>SUMIFS('FCPIS F'!$V$6:$V$704,'FCPIS F'!$G$6:$G$704,$J54,'FCPIS F'!$B$6:$B$704,"KY",'FCPIS F'!$D$6:$D$704,"AD",'FCPIS F'!$E$6:$E$704,$B54)*1000</f>
        <v>741162.67551999888</v>
      </c>
      <c r="E54" s="394">
        <v>1</v>
      </c>
      <c r="F54" s="395">
        <f t="shared" si="10"/>
        <v>741162.67551999888</v>
      </c>
      <c r="H54" s="68" t="s">
        <v>1991</v>
      </c>
      <c r="J54" s="68" t="s">
        <v>2170</v>
      </c>
      <c r="K54" s="418" t="s">
        <v>2170</v>
      </c>
    </row>
    <row r="55" spans="1:11" ht="18.95" customHeight="1">
      <c r="A55" s="631">
        <f t="shared" si="8"/>
        <v>14</v>
      </c>
      <c r="B55" s="420" t="str">
        <f>B25</f>
        <v>374</v>
      </c>
      <c r="C55" s="68" t="str">
        <f>'SCH B-3 F'!C$89</f>
        <v>ARO Cost Elec Distribution</v>
      </c>
      <c r="D55" s="395">
        <f>SUMIFS('FCPIS F'!$V$6:$V$704,'FCPIS F'!$G$6:$G$704,$J55,'FCPIS F'!$B$6:$B$704,"KY",'FCPIS F'!$D$6:$D$704,"AD",'FCPIS F'!$E$6:$E$704,$B55)*1000</f>
        <v>144196.93317807431</v>
      </c>
      <c r="E55" s="396">
        <f>'SCH B-3 F'!F$89</f>
        <v>1</v>
      </c>
      <c r="F55" s="395">
        <f>D55*E55</f>
        <v>144196.93317807431</v>
      </c>
      <c r="H55" s="68" t="s">
        <v>1413</v>
      </c>
      <c r="J55" s="68" t="s">
        <v>2169</v>
      </c>
      <c r="K55" s="395">
        <f>SUMIFS('FCPIS F'!$V$6:$V$704,'FCPIS F'!$G$6:$G$704,$K54,'FCPIS F'!$B$6:$B$704,"KY",'FCPIS F'!$D$6:$D$704,"AD")*1000</f>
        <v>6607709.8015684607</v>
      </c>
    </row>
    <row r="56" spans="1:11" ht="18.95" customHeight="1">
      <c r="A56" s="631">
        <f t="shared" si="8"/>
        <v>15</v>
      </c>
      <c r="B56" s="420" t="str">
        <f>B26</f>
        <v>392</v>
      </c>
      <c r="C56" s="67" t="s">
        <v>155</v>
      </c>
      <c r="D56" s="395">
        <f>SUMIFS('FCPIS F'!$V$6:$V$704,'FCPIS F'!$G$6:$G$704,$J56,'FCPIS F'!$B$6:$B$704,"KY",'FCPIS F'!$D$6:$D$704,"AD",'FCPIS F'!$E$6:$E$704,$B56)*1000</f>
        <v>0</v>
      </c>
      <c r="E56" s="394">
        <f>'SCH B-3 F'!F$107</f>
        <v>0.94265467008784709</v>
      </c>
      <c r="F56" s="395">
        <f t="shared" ref="F56:F57" si="11">D56*E56</f>
        <v>0</v>
      </c>
      <c r="H56" s="68" t="s">
        <v>1990</v>
      </c>
      <c r="J56" s="68" t="s">
        <v>2168</v>
      </c>
      <c r="K56" s="88">
        <f>SUM(D57,D54)</f>
        <v>6607709.8015684607</v>
      </c>
    </row>
    <row r="57" spans="1:11" ht="18.95" customHeight="1">
      <c r="A57" s="631">
        <f t="shared" si="8"/>
        <v>16</v>
      </c>
      <c r="B57" s="420" t="str">
        <f>B27</f>
        <v>397</v>
      </c>
      <c r="C57" s="67" t="s">
        <v>157</v>
      </c>
      <c r="D57" s="395">
        <f>SUMIFS('FCPIS F'!$V$6:$V$704,'FCPIS F'!$G$6:$G$704,$J57,'FCPIS F'!$B$6:$B$704,"KY",'FCPIS F'!$D$6:$D$704,"AD",'FCPIS F'!$E$6:$E$704,$B57)*1000</f>
        <v>5866547.1260484615</v>
      </c>
      <c r="E57" s="394">
        <v>1</v>
      </c>
      <c r="F57" s="395">
        <f t="shared" si="11"/>
        <v>5866547.1260484615</v>
      </c>
      <c r="H57" s="68" t="s">
        <v>1991</v>
      </c>
      <c r="J57" s="68" t="s">
        <v>2170</v>
      </c>
      <c r="K57" s="88">
        <f>K55-K56</f>
        <v>0</v>
      </c>
    </row>
    <row r="58" spans="1:11" ht="18.95" customHeight="1">
      <c r="A58" s="290"/>
      <c r="B58" s="71"/>
      <c r="C58" s="67"/>
      <c r="D58" s="395"/>
      <c r="E58" s="394"/>
      <c r="F58" s="395"/>
      <c r="H58" s="147"/>
    </row>
    <row r="59" spans="1:11" ht="18.95" customHeight="1" thickBot="1">
      <c r="A59" s="290">
        <f>A57+1</f>
        <v>17</v>
      </c>
      <c r="B59" s="71"/>
      <c r="C59" s="67" t="s">
        <v>2010</v>
      </c>
      <c r="D59" s="393">
        <f>SUM(D42:D58)</f>
        <v>148775697.51370066</v>
      </c>
      <c r="E59" s="394"/>
      <c r="F59" s="393">
        <f>SUM(F42:F58)</f>
        <v>139710234.72344127</v>
      </c>
      <c r="H59" s="147"/>
    </row>
    <row r="60" spans="1:11" ht="18.95" customHeight="1" thickTop="1"/>
    <row r="61" spans="1:11" ht="18.95" customHeight="1"/>
    <row r="62" spans="1:11" ht="18.95" customHeight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  <row r="71" ht="18.95" customHeight="1"/>
  </sheetData>
  <mergeCells count="8">
    <mergeCell ref="A33:H33"/>
    <mergeCell ref="A34:H34"/>
    <mergeCell ref="A3:I3"/>
    <mergeCell ref="A1:H1"/>
    <mergeCell ref="A2:H2"/>
    <mergeCell ref="A4:H4"/>
    <mergeCell ref="A31:H31"/>
    <mergeCell ref="A32:H32"/>
  </mergeCells>
  <pageMargins left="0.95" right="0.5" top="0.75" bottom="0.75" header="0.3" footer="0.3"/>
  <pageSetup scale="60" fitToHeight="0" orientation="portrait" r:id="rId1"/>
  <rowBreaks count="1" manualBreakCount="1">
    <brk id="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V53"/>
  <sheetViews>
    <sheetView showGridLines="0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161</v>
      </c>
      <c r="R1" s="366" t="s">
        <v>2049</v>
      </c>
    </row>
    <row r="2" spans="1:22">
      <c r="B2" s="370" t="str">
        <f>'Rate Case Constants'!C29</f>
        <v>TYPE OF FILING: __X__ ORIGINAL  _____ UPDATED  _____ REVISED</v>
      </c>
      <c r="R2" s="367" t="str">
        <f>'Rate Case Constants'!C38</f>
        <v>WITNESS:   C. M. GARRETT</v>
      </c>
      <c r="T2" s="303"/>
    </row>
    <row r="3" spans="1:22">
      <c r="R3" s="368" t="s">
        <v>184</v>
      </c>
    </row>
    <row r="5" spans="1:22">
      <c r="A5" s="803" t="str">
        <f>'Rate Case Constants'!C9</f>
        <v>KENTUCKY UTILITIES COMPANY</v>
      </c>
      <c r="B5" s="803"/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</row>
    <row r="7" spans="1:22">
      <c r="A7" s="803" t="str">
        <f>"Net Original Cost Kentucky Jurisdictional Rate Base as of "&amp;TEXT('Rate Case Constants'!C17,"MMMM D, YYYY")</f>
        <v>Net Original Cost Kentucky Jurisdictional Rate Base as of June 30, 2022</v>
      </c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</row>
    <row r="8" spans="1:22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</row>
    <row r="9" spans="1:22">
      <c r="A9" s="805" t="s">
        <v>2077</v>
      </c>
      <c r="B9" s="805"/>
      <c r="C9" s="805"/>
      <c r="D9" s="805"/>
      <c r="E9" s="805"/>
      <c r="F9" s="805"/>
      <c r="G9" s="805"/>
      <c r="H9" s="805"/>
      <c r="I9" s="805"/>
      <c r="J9" s="805"/>
      <c r="K9" s="805"/>
      <c r="L9" s="805"/>
      <c r="M9" s="805"/>
      <c r="N9" s="805"/>
      <c r="O9" s="805"/>
      <c r="P9" s="805"/>
      <c r="Q9" s="805"/>
      <c r="R9" s="805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/>
      <c r="N12" s="311" t="s">
        <v>2011</v>
      </c>
    </row>
    <row r="13" spans="1:22">
      <c r="A13" s="305"/>
      <c r="B13" s="306"/>
      <c r="C13" s="307"/>
      <c r="D13" s="310" t="s">
        <v>2011</v>
      </c>
      <c r="E13" s="307"/>
      <c r="F13" s="310" t="s">
        <v>2011</v>
      </c>
      <c r="G13" s="307"/>
      <c r="H13" s="311" t="s">
        <v>2011</v>
      </c>
      <c r="I13" s="307"/>
      <c r="J13" s="311" t="s">
        <v>2011</v>
      </c>
      <c r="K13" s="307"/>
      <c r="L13" s="311" t="s">
        <v>2011</v>
      </c>
      <c r="M13" s="307"/>
      <c r="N13" s="311" t="s">
        <v>2014</v>
      </c>
      <c r="O13" s="307"/>
      <c r="P13" s="310" t="s">
        <v>2012</v>
      </c>
      <c r="Q13" s="307"/>
      <c r="R13" s="310" t="s">
        <v>2013</v>
      </c>
    </row>
    <row r="14" spans="1:22">
      <c r="A14" s="305"/>
      <c r="B14" s="306"/>
      <c r="C14" s="307"/>
      <c r="D14" s="310" t="s">
        <v>2014</v>
      </c>
      <c r="E14" s="307"/>
      <c r="F14" s="310" t="s">
        <v>2014</v>
      </c>
      <c r="G14" s="307"/>
      <c r="H14" s="311" t="s">
        <v>2014</v>
      </c>
      <c r="I14" s="307"/>
      <c r="J14" s="311" t="s">
        <v>2014</v>
      </c>
      <c r="K14" s="307"/>
      <c r="L14" s="311" t="s">
        <v>2014</v>
      </c>
      <c r="M14" s="307"/>
      <c r="N14" s="312" t="s">
        <v>2044</v>
      </c>
      <c r="O14" s="307"/>
      <c r="P14" s="310" t="s">
        <v>2014</v>
      </c>
      <c r="Q14" s="307"/>
      <c r="R14" s="310" t="s">
        <v>2015</v>
      </c>
    </row>
    <row r="15" spans="1:22">
      <c r="A15" s="305"/>
      <c r="B15" s="306" t="s">
        <v>2016</v>
      </c>
      <c r="C15" s="307"/>
      <c r="D15" s="312" t="s">
        <v>2017</v>
      </c>
      <c r="E15" s="307"/>
      <c r="F15" s="312" t="s">
        <v>2018</v>
      </c>
      <c r="G15" s="307"/>
      <c r="H15" s="312" t="s">
        <v>2042</v>
      </c>
      <c r="I15" s="307"/>
      <c r="J15" s="312" t="s">
        <v>2043</v>
      </c>
      <c r="K15" s="307"/>
      <c r="L15" s="772" t="s">
        <v>3719</v>
      </c>
      <c r="M15" s="307"/>
      <c r="N15" s="312" t="s">
        <v>2019</v>
      </c>
      <c r="O15" s="307"/>
      <c r="P15" s="312" t="s">
        <v>2020</v>
      </c>
      <c r="Q15" s="307"/>
      <c r="R15" s="312" t="s">
        <v>2020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773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774"/>
      <c r="M17" s="307"/>
      <c r="N17" s="312" t="s">
        <v>2046</v>
      </c>
      <c r="O17" s="307"/>
      <c r="P17" s="306"/>
      <c r="Q17" s="307"/>
      <c r="R17" s="306" t="s">
        <v>2045</v>
      </c>
      <c r="T17" s="302"/>
      <c r="U17" s="302"/>
      <c r="V17" s="302"/>
    </row>
    <row r="18" spans="1:22" ht="21" customHeight="1">
      <c r="A18" s="316">
        <f>1</f>
        <v>1</v>
      </c>
      <c r="B18" s="317" t="s">
        <v>2021</v>
      </c>
      <c r="C18" s="318"/>
      <c r="D18" s="764">
        <f>'SCH B-2'!E55+SUM('SCH B-2.6'!G33:G37)+'SCH B-4'!H47</f>
        <v>10464812262.459114</v>
      </c>
      <c r="E18" s="319"/>
      <c r="F18" s="320">
        <f>SUM('SCH B-2.2'!F43:F47,'SCH B-2.2'!F52:F55,'SCH B-2.2'!F58,'SCH B-4.1'!E30)*-1</f>
        <v>487833290.6491096</v>
      </c>
      <c r="G18" s="319"/>
      <c r="H18" s="320">
        <f>SUM('SCH B-2.2'!F59+'SCH B-2.2'!F56)*-1</f>
        <v>10641243.971538452</v>
      </c>
      <c r="I18" s="319"/>
      <c r="J18" s="320">
        <f>SUM('SCH B-2.2'!F48:F51,'SCH B-2.2'!F57)*-1</f>
        <v>150406531.74593872</v>
      </c>
      <c r="K18" s="319"/>
      <c r="L18" s="764">
        <f>-'SCH B-4.1'!E32-'SCH B-4.1'!E33</f>
        <v>9334436.6321658455</v>
      </c>
      <c r="M18" s="319"/>
      <c r="N18" s="320">
        <f>D18-SUM(F18:L18)</f>
        <v>9806596759.4603615</v>
      </c>
      <c r="O18" s="319"/>
      <c r="P18" s="320">
        <f>R18-D18</f>
        <v>739466659.29935074</v>
      </c>
      <c r="Q18" s="319"/>
      <c r="R18" s="320">
        <f>SUM('SCH B-2.1 F'!D113+SUM('SCH B-2.6'!D33:D37)+'SCH B-4'!F47)</f>
        <v>11204278921.758465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7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2022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7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2023</v>
      </c>
      <c r="C21" s="318"/>
      <c r="D21" s="322">
        <f>-'SCH B-3 F'!G116</f>
        <v>3655298713.2239285</v>
      </c>
      <c r="E21" s="319"/>
      <c r="F21" s="322">
        <f>SUM('SCH B-3.1'!F42:F45,'SCH B-3.1'!F50:F53,'SCH B-3.1'!F56)</f>
        <v>23291724.830254216</v>
      </c>
      <c r="G21" s="319"/>
      <c r="H21" s="322">
        <f>SUM('SCH B-3.1'!F57+'SCH B-3.1'!F54)</f>
        <v>6607709.8015684607</v>
      </c>
      <c r="I21" s="319"/>
      <c r="J21" s="322">
        <f>SUM('SCH B-3.1'!F46:F49,'SCH B-3.1'!F55)</f>
        <v>109810800.0916186</v>
      </c>
      <c r="K21" s="319"/>
      <c r="L21" s="327">
        <v>0</v>
      </c>
      <c r="M21" s="319"/>
      <c r="N21" s="322">
        <f>D21-SUM(F21:L21)</f>
        <v>3515588478.5004873</v>
      </c>
      <c r="O21" s="319"/>
      <c r="P21" s="322">
        <f>R21-D21</f>
        <v>267305995.8206234</v>
      </c>
      <c r="Q21" s="319"/>
      <c r="R21" s="322">
        <f>-'SCH B-3 F'!E116</f>
        <v>3922604709.0445518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7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1498</v>
      </c>
      <c r="C23" s="318"/>
      <c r="D23" s="323">
        <f>D18-D21</f>
        <v>6809513549.2351856</v>
      </c>
      <c r="E23" s="319"/>
      <c r="F23" s="323">
        <f>F18-F21</f>
        <v>464541565.8188554</v>
      </c>
      <c r="G23" s="319"/>
      <c r="H23" s="323">
        <f>H18-H21</f>
        <v>4033534.1699699918</v>
      </c>
      <c r="I23" s="319"/>
      <c r="J23" s="323">
        <f>J18-J21</f>
        <v>40595731.654320121</v>
      </c>
      <c r="K23" s="319"/>
      <c r="L23" s="775">
        <f>L18-L21</f>
        <v>9334436.6321658455</v>
      </c>
      <c r="M23" s="319"/>
      <c r="N23" s="323">
        <f>N18-N21</f>
        <v>6291008280.9598742</v>
      </c>
      <c r="O23" s="319"/>
      <c r="P23" s="323">
        <f>P18-P21</f>
        <v>472160663.47872734</v>
      </c>
      <c r="Q23" s="319"/>
      <c r="R23" s="323">
        <f>R18-R21</f>
        <v>7281674212.713913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7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2022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7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2024</v>
      </c>
      <c r="C26" s="318"/>
      <c r="D26" s="322">
        <f>'SCH B-6'!F34</f>
        <v>1712215.5636785864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7">
        <v>0</v>
      </c>
      <c r="M26" s="319"/>
      <c r="N26" s="322">
        <f t="shared" ref="N26:N28" si="0">D26-SUM(F26:L26)</f>
        <v>1712215.5636785864</v>
      </c>
      <c r="O26" s="319"/>
      <c r="P26" s="322">
        <f t="shared" ref="P26:P28" si="1">R26-D26</f>
        <v>7556.0263214136939</v>
      </c>
      <c r="Q26" s="319"/>
      <c r="R26" s="322">
        <f>'SCH B-6'!D34</f>
        <v>1719771.59</v>
      </c>
      <c r="T26" s="325"/>
    </row>
    <row r="27" spans="1:22" ht="21" customHeight="1">
      <c r="A27" s="316">
        <f>1+A26</f>
        <v>7</v>
      </c>
      <c r="B27" s="317" t="s">
        <v>2025</v>
      </c>
      <c r="C27" s="318"/>
      <c r="D27" s="322">
        <f>'SCH B-6'!F38</f>
        <v>1342260433.3640857</v>
      </c>
      <c r="E27" s="326"/>
      <c r="F27" s="327">
        <f>-'ECR DEFTAX'!AD4</f>
        <v>58958146.511797704</v>
      </c>
      <c r="G27" s="326"/>
      <c r="H27" s="327">
        <f>-'DSM DEFTAX'!AD2</f>
        <v>1193111.8262148162</v>
      </c>
      <c r="I27" s="326"/>
      <c r="J27" s="327">
        <v>0</v>
      </c>
      <c r="K27" s="326"/>
      <c r="L27" s="776">
        <f>'JURISSEP F'!G366+'JURISSEP F'!G362</f>
        <v>42940.884673919594</v>
      </c>
      <c r="M27" s="326"/>
      <c r="N27" s="327">
        <f t="shared" si="0"/>
        <v>1282066234.1413991</v>
      </c>
      <c r="O27" s="326"/>
      <c r="P27" s="322">
        <f t="shared" si="1"/>
        <v>96257956.145940065</v>
      </c>
      <c r="Q27" s="326"/>
      <c r="R27" s="322">
        <f>'SCH B-6'!D38</f>
        <v>1438518389.5100257</v>
      </c>
    </row>
    <row r="28" spans="1:22" ht="21" customHeight="1">
      <c r="A28" s="316">
        <f>A27+1</f>
        <v>8</v>
      </c>
      <c r="B28" s="330" t="s">
        <v>2026</v>
      </c>
      <c r="C28" s="318"/>
      <c r="D28" s="322">
        <f>'SCH B-6'!F36</f>
        <v>80926984.971659347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26">
        <v>0</v>
      </c>
      <c r="M28" s="319"/>
      <c r="N28" s="319">
        <f t="shared" si="0"/>
        <v>80926984.971659347</v>
      </c>
      <c r="O28" s="319"/>
      <c r="P28" s="322">
        <f t="shared" si="1"/>
        <v>5396283.231673941</v>
      </c>
      <c r="Q28" s="319"/>
      <c r="R28" s="322">
        <f>'SCH B-6'!D36</f>
        <v>86323268.203333288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26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2027</v>
      </c>
      <c r="C30" s="318"/>
      <c r="D30" s="323">
        <f>SUM(D26:D29)</f>
        <v>1424899633.8994236</v>
      </c>
      <c r="E30" s="319"/>
      <c r="F30" s="323">
        <f>SUM(F26:F29)</f>
        <v>58958146.511797704</v>
      </c>
      <c r="G30" s="319"/>
      <c r="H30" s="323">
        <f>SUM(H26:H29)</f>
        <v>1193111.8262148162</v>
      </c>
      <c r="I30" s="319"/>
      <c r="J30" s="323">
        <f>SUM(J26:J29)</f>
        <v>0</v>
      </c>
      <c r="K30" s="319"/>
      <c r="L30" s="775">
        <f>SUM(L26:L29)</f>
        <v>42940.884673919594</v>
      </c>
      <c r="M30" s="319"/>
      <c r="N30" s="323">
        <f>SUM(N26:N29)</f>
        <v>1364705434.6767371</v>
      </c>
      <c r="O30" s="319"/>
      <c r="P30" s="323">
        <f>SUM(P26:P29)</f>
        <v>101661795.40393542</v>
      </c>
      <c r="Q30" s="319"/>
      <c r="R30" s="323">
        <f>SUM(R26:R29)</f>
        <v>1526561429.303359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7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2028</v>
      </c>
      <c r="C32" s="318"/>
      <c r="D32" s="323">
        <f>D23-D30</f>
        <v>5384613915.335762</v>
      </c>
      <c r="E32" s="319"/>
      <c r="F32" s="323">
        <f>+F23-F30</f>
        <v>405583419.30705768</v>
      </c>
      <c r="G32" s="319"/>
      <c r="H32" s="323">
        <f>+H23-H30</f>
        <v>2840422.3437551754</v>
      </c>
      <c r="I32" s="319"/>
      <c r="J32" s="323">
        <f>+J23-J30</f>
        <v>40595731.654320121</v>
      </c>
      <c r="K32" s="319"/>
      <c r="L32" s="775">
        <f>+L23-L30</f>
        <v>9291495.747491926</v>
      </c>
      <c r="M32" s="319"/>
      <c r="N32" s="323">
        <f>+N23-N30</f>
        <v>4926302846.2831373</v>
      </c>
      <c r="O32" s="319"/>
      <c r="P32" s="323">
        <f>P23-P30</f>
        <v>370498868.07479191</v>
      </c>
      <c r="Q32" s="319"/>
      <c r="R32" s="323">
        <f>+R23-R30</f>
        <v>5755112783.4105539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7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2029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7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2030</v>
      </c>
      <c r="C35" s="318"/>
      <c r="D35" s="327">
        <f>'SCH B-5'!G39+'SCH B-5'!G41</f>
        <v>122426968.78763294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7">
        <v>0</v>
      </c>
      <c r="M35" s="319"/>
      <c r="N35" s="322">
        <f t="shared" ref="N35:N37" si="2">D35-SUM(F35:L35)</f>
        <v>122426968.78763294</v>
      </c>
      <c r="O35" s="319"/>
      <c r="P35" s="327">
        <f t="shared" ref="P35:P39" si="3">R35-D35</f>
        <v>8481865.2123670578</v>
      </c>
      <c r="Q35" s="319"/>
      <c r="R35" s="327">
        <f>'SCH B-5'!E39+'SCH B-5'!E41</f>
        <v>130908834</v>
      </c>
    </row>
    <row r="36" spans="1:19" ht="21" customHeight="1">
      <c r="A36" s="316">
        <f>1+A35</f>
        <v>13</v>
      </c>
      <c r="B36" s="331" t="s">
        <v>2031</v>
      </c>
      <c r="C36" s="318"/>
      <c r="D36" s="327">
        <f>'SCH B-5'!G43</f>
        <v>19024116.4808103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7">
        <v>0</v>
      </c>
      <c r="M36" s="319"/>
      <c r="N36" s="322">
        <f t="shared" si="2"/>
        <v>19024116.4808103</v>
      </c>
      <c r="O36" s="319"/>
      <c r="P36" s="327">
        <f t="shared" si="3"/>
        <v>255440.25942111015</v>
      </c>
      <c r="Q36" s="319"/>
      <c r="R36" s="327">
        <f>'SCH B-5'!E43</f>
        <v>19279556.74023141</v>
      </c>
    </row>
    <row r="37" spans="1:19" ht="21" customHeight="1">
      <c r="A37" s="316">
        <f>1+A36</f>
        <v>14</v>
      </c>
      <c r="B37" s="317" t="s">
        <v>2032</v>
      </c>
      <c r="C37" s="318"/>
      <c r="D37" s="327">
        <f>'SCH B-5'!G45+F37</f>
        <v>116616.4878384515</v>
      </c>
      <c r="E37" s="319"/>
      <c r="F37" s="327">
        <f>'ECR ALLOW'!AF7*1000</f>
        <v>116616.4878384515</v>
      </c>
      <c r="G37" s="319"/>
      <c r="H37" s="322">
        <v>0</v>
      </c>
      <c r="I37" s="319"/>
      <c r="J37" s="322">
        <v>0</v>
      </c>
      <c r="K37" s="319"/>
      <c r="L37" s="327">
        <v>0</v>
      </c>
      <c r="M37" s="319"/>
      <c r="N37" s="322">
        <f t="shared" si="2"/>
        <v>0</v>
      </c>
      <c r="O37" s="319"/>
      <c r="P37" s="327">
        <f t="shared" si="3"/>
        <v>7693.5121615484823</v>
      </c>
      <c r="Q37" s="319"/>
      <c r="R37" s="327">
        <f>'JURISSEP F'!$E$30</f>
        <v>124309.99999999999</v>
      </c>
      <c r="S37" s="329"/>
    </row>
    <row r="38" spans="1:19" ht="21" customHeight="1">
      <c r="A38" s="316">
        <f>1+A37</f>
        <v>15</v>
      </c>
      <c r="B38" s="317" t="s">
        <v>2526</v>
      </c>
      <c r="C38" s="318"/>
      <c r="D38" s="319">
        <f>'SCH B-5.2 F (1)'!$Q78</f>
        <v>129933874.99042901</v>
      </c>
      <c r="E38" s="319"/>
      <c r="F38" s="319">
        <f>'SCH B-5.2 F (1)'!$Q80</f>
        <v>-144218.25</v>
      </c>
      <c r="G38" s="319"/>
      <c r="H38" s="319">
        <v>0</v>
      </c>
      <c r="I38" s="319"/>
      <c r="J38" s="319">
        <v>0</v>
      </c>
      <c r="K38" s="319"/>
      <c r="L38" s="326">
        <v>0</v>
      </c>
      <c r="M38" s="319"/>
      <c r="N38" s="319">
        <f>D38-SUM(F38:L38)</f>
        <v>130078093.24042901</v>
      </c>
      <c r="O38" s="319"/>
      <c r="P38" s="319">
        <f t="shared" si="3"/>
        <v>11204327.100778997</v>
      </c>
      <c r="Q38" s="319"/>
      <c r="R38" s="319">
        <f>'JURISSEP F'!$E$29</f>
        <v>141138202.09120801</v>
      </c>
    </row>
    <row r="39" spans="1:19" ht="21" customHeight="1">
      <c r="A39" s="316">
        <f t="shared" ref="A39" si="4">A38+1</f>
        <v>16</v>
      </c>
      <c r="B39" s="462" t="s">
        <v>2248</v>
      </c>
      <c r="C39" s="344"/>
      <c r="D39" s="344">
        <f>-'SCH B-6'!F40</f>
        <v>174570689</v>
      </c>
      <c r="E39" s="344"/>
      <c r="F39" s="344">
        <f>'SCH B-6'!G40</f>
        <v>174570689</v>
      </c>
      <c r="G39" s="344"/>
      <c r="H39" s="322">
        <v>0</v>
      </c>
      <c r="I39" s="319"/>
      <c r="J39" s="322">
        <v>0</v>
      </c>
      <c r="K39" s="319"/>
      <c r="L39" s="327">
        <v>0</v>
      </c>
      <c r="M39" s="319"/>
      <c r="N39" s="322">
        <f t="shared" ref="N39" si="5">D39-SUM(F39:L39)</f>
        <v>0</v>
      </c>
      <c r="O39" s="319"/>
      <c r="P39" s="327">
        <f t="shared" si="3"/>
        <v>8431781.1783051789</v>
      </c>
      <c r="Q39" s="319"/>
      <c r="R39" s="322">
        <f>-'SCH B-6'!D40</f>
        <v>183002470.17830518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26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2033</v>
      </c>
      <c r="C41" s="318"/>
      <c r="D41" s="323">
        <f>SUM(D35:D39)</f>
        <v>446072265.74671066</v>
      </c>
      <c r="E41" s="319"/>
      <c r="F41" s="323">
        <f>SUM(F35:F39)</f>
        <v>174543087.23783845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775">
        <f>SUM(L35:L39)</f>
        <v>0</v>
      </c>
      <c r="M41" s="319"/>
      <c r="N41" s="323">
        <f>SUM(N35:N39)</f>
        <v>271529178.50887227</v>
      </c>
      <c r="O41" s="319"/>
      <c r="P41" s="323">
        <f>SUM(P35:P39)</f>
        <v>28381107.263033893</v>
      </c>
      <c r="Q41" s="319"/>
      <c r="R41" s="323">
        <f>SUM(R35:R39)</f>
        <v>474453373.00974452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7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2034</v>
      </c>
      <c r="C43" s="318"/>
      <c r="D43" s="332">
        <f>+D32+D41</f>
        <v>5830686181.0824728</v>
      </c>
      <c r="E43" s="333"/>
      <c r="F43" s="332">
        <f>+F32+F41</f>
        <v>580126506.54489613</v>
      </c>
      <c r="G43" s="333"/>
      <c r="H43" s="332">
        <f>+H32+H41</f>
        <v>2840422.3437551754</v>
      </c>
      <c r="I43" s="333"/>
      <c r="J43" s="332">
        <f>+J32+J41</f>
        <v>40595731.654320121</v>
      </c>
      <c r="K43" s="333"/>
      <c r="L43" s="777">
        <f>+L32+L41</f>
        <v>9291495.747491926</v>
      </c>
      <c r="M43" s="333"/>
      <c r="N43" s="332">
        <f>+N32+N41</f>
        <v>5197832024.7920094</v>
      </c>
      <c r="O43" s="333"/>
      <c r="P43" s="332">
        <f>+P32+P41</f>
        <v>398879975.33782578</v>
      </c>
      <c r="Q43" s="333"/>
      <c r="R43" s="332">
        <f>+R32+R41</f>
        <v>6229566156.4202986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7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2047</v>
      </c>
      <c r="C45" s="318"/>
      <c r="D45" s="327"/>
      <c r="E45" s="319"/>
      <c r="F45" s="322"/>
      <c r="G45" s="319"/>
      <c r="H45" s="322"/>
      <c r="I45" s="319"/>
      <c r="J45" s="322">
        <f>-J43</f>
        <v>-40595731.654320121</v>
      </c>
      <c r="K45" s="319"/>
      <c r="L45" s="327"/>
      <c r="M45" s="319"/>
      <c r="N45" s="322">
        <f t="shared" ref="N45" si="6">D45-SUM(F45:L45)</f>
        <v>40595731.654320121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7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2048</v>
      </c>
      <c r="C47" s="318"/>
      <c r="D47" s="332">
        <f>D43+D45</f>
        <v>5830686181.0824728</v>
      </c>
      <c r="E47" s="333"/>
      <c r="F47" s="332">
        <f>F43+F45</f>
        <v>580126506.54489613</v>
      </c>
      <c r="G47" s="333"/>
      <c r="H47" s="332">
        <f>H43+H45</f>
        <v>2840422.3437551754</v>
      </c>
      <c r="I47" s="333"/>
      <c r="J47" s="332">
        <f>J43+J45</f>
        <v>0</v>
      </c>
      <c r="K47" s="333"/>
      <c r="L47" s="777">
        <f>L43+L45</f>
        <v>9291495.747491926</v>
      </c>
      <c r="M47" s="333"/>
      <c r="N47" s="332">
        <f>N43+N45</f>
        <v>5238427756.4463291</v>
      </c>
      <c r="O47" s="333"/>
      <c r="P47" s="332">
        <f>P43+P45</f>
        <v>398879975.33782578</v>
      </c>
      <c r="Q47" s="333"/>
      <c r="R47" s="332">
        <f>R43+R45</f>
        <v>6229566156.4202986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7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2035</v>
      </c>
      <c r="C49" s="301"/>
      <c r="D49" s="335">
        <f>ROUND(D47/$R47,4)</f>
        <v>0.93600000000000005</v>
      </c>
      <c r="E49" s="301"/>
      <c r="F49" s="335">
        <f>ROUND(F47/$R47,4)</f>
        <v>9.3100000000000002E-2</v>
      </c>
      <c r="G49" s="301"/>
      <c r="H49" s="335">
        <f>ROUND(H47/$R47,4)</f>
        <v>5.0000000000000001E-4</v>
      </c>
      <c r="I49" s="301"/>
      <c r="J49" s="335">
        <f>ROUND(J47/$R47,4)</f>
        <v>0</v>
      </c>
      <c r="K49" s="301"/>
      <c r="L49" s="778">
        <f>ROUND(L47/$R47,4)</f>
        <v>1.5E-3</v>
      </c>
      <c r="M49" s="301"/>
      <c r="N49" s="335">
        <f>ROUND(N47/$R47,4)</f>
        <v>0.84089999999999998</v>
      </c>
      <c r="O49" s="301"/>
      <c r="P49" s="335">
        <f>ROUND(P47/$R47,4)</f>
        <v>6.4000000000000001E-2</v>
      </c>
      <c r="Q49" s="301"/>
      <c r="R49" s="335">
        <f>ROUND(R47/$R47,4)</f>
        <v>1</v>
      </c>
    </row>
    <row r="50" spans="1:21" ht="15.75" customHeight="1" thickTop="1">
      <c r="A50" s="316"/>
      <c r="C50" s="318"/>
      <c r="D50" s="322"/>
      <c r="E50" s="319"/>
      <c r="F50" s="322"/>
      <c r="G50" s="319"/>
      <c r="H50" s="322"/>
      <c r="I50" s="319"/>
      <c r="J50" s="322"/>
      <c r="K50" s="319"/>
      <c r="L50" s="322"/>
      <c r="M50" s="319"/>
      <c r="N50" s="322"/>
      <c r="O50" s="319"/>
      <c r="P50" s="322"/>
      <c r="Q50" s="319"/>
      <c r="R50" s="322"/>
    </row>
    <row r="51" spans="1:21" ht="18.95" customHeight="1">
      <c r="A51" s="339" t="s">
        <v>2036</v>
      </c>
      <c r="B51" s="330" t="s">
        <v>2037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2038</v>
      </c>
      <c r="B52" s="340" t="s">
        <v>2039</v>
      </c>
      <c r="C52" s="301"/>
      <c r="E52" s="301"/>
      <c r="F52" s="341"/>
      <c r="G52" s="301"/>
      <c r="I52" s="301"/>
      <c r="K52" s="301"/>
      <c r="M52" s="301"/>
      <c r="N52" s="767"/>
      <c r="O52" s="301"/>
      <c r="Q52" s="301"/>
    </row>
    <row r="53" spans="1:21" ht="18.95" customHeight="1">
      <c r="A53" s="339" t="s">
        <v>2040</v>
      </c>
      <c r="B53" s="301" t="s">
        <v>2041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8:R8"/>
    <mergeCell ref="A5:R5"/>
    <mergeCell ref="A7:R7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0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</row>
    <row r="3" spans="1:10" s="68" customFormat="1" ht="20.100000000000001" customHeight="1">
      <c r="A3" s="809" t="s">
        <v>1240</v>
      </c>
      <c r="B3" s="809"/>
      <c r="C3" s="809"/>
      <c r="D3" s="809"/>
      <c r="E3" s="809"/>
      <c r="F3" s="809"/>
      <c r="G3" s="809"/>
      <c r="H3" s="809"/>
      <c r="I3" s="809"/>
      <c r="J3" s="809"/>
    </row>
    <row r="4" spans="1:10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  <c r="J4" s="809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208"/>
      <c r="J5" s="92"/>
    </row>
    <row r="6" spans="1:10" s="68" customFormat="1" ht="20.100000000000001" customHeight="1">
      <c r="A6" s="67" t="s">
        <v>133</v>
      </c>
      <c r="B6" s="67"/>
      <c r="I6" s="74"/>
      <c r="J6" s="74" t="s">
        <v>1239</v>
      </c>
    </row>
    <row r="7" spans="1:10" s="68" customFormat="1" ht="20.100000000000001" customHeight="1">
      <c r="A7" s="68" t="str">
        <f>'Rate Case Constants'!C29</f>
        <v>TYPE OF FILING: __X__ ORIGINAL  _____ UPDATED  _____ REVISED</v>
      </c>
      <c r="I7" s="74"/>
      <c r="J7" s="74" t="s">
        <v>2050</v>
      </c>
    </row>
    <row r="8" spans="1:10" s="68" customFormat="1" ht="20.100000000000001" customHeight="1">
      <c r="A8" s="67" t="s">
        <v>1195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13" t="s">
        <v>226</v>
      </c>
      <c r="E10" s="813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1241</v>
      </c>
      <c r="D11" s="71" t="s">
        <v>1242</v>
      </c>
      <c r="E11" s="71" t="s">
        <v>1243</v>
      </c>
      <c r="F11" s="71" t="s">
        <v>2649</v>
      </c>
      <c r="G11" s="71" t="s">
        <v>1244</v>
      </c>
      <c r="H11" s="71" t="s">
        <v>1246</v>
      </c>
      <c r="I11" s="71" t="s">
        <v>1830</v>
      </c>
      <c r="J11" s="71" t="s">
        <v>1247</v>
      </c>
    </row>
    <row r="12" spans="1:10" ht="18.95" customHeight="1">
      <c r="A12" s="98" t="s">
        <v>1217</v>
      </c>
      <c r="B12" s="98" t="s">
        <v>1218</v>
      </c>
      <c r="C12" s="98" t="s">
        <v>1221</v>
      </c>
      <c r="D12" s="98" t="s">
        <v>1229</v>
      </c>
      <c r="E12" s="98" t="s">
        <v>1230</v>
      </c>
      <c r="F12" s="98" t="s">
        <v>1231</v>
      </c>
      <c r="G12" s="98" t="s">
        <v>1245</v>
      </c>
      <c r="H12" s="98" t="s">
        <v>1233</v>
      </c>
      <c r="I12" s="98" t="s">
        <v>1234</v>
      </c>
      <c r="J12" s="98" t="s">
        <v>1248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1616</v>
      </c>
      <c r="D15" s="86">
        <f>'SCH B-2.1 B'!H13</f>
        <v>41562.433561033293</v>
      </c>
      <c r="E15" s="86">
        <f>-'SCH B-3 B'!I14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80" si="0">A15+1</f>
        <v>3</v>
      </c>
      <c r="B16" s="271">
        <v>302</v>
      </c>
      <c r="C16" s="78" t="s">
        <v>1618</v>
      </c>
      <c r="D16" s="86">
        <f>'SCH B-2.1 B'!H14</f>
        <v>144368.66</v>
      </c>
      <c r="E16" s="86">
        <f>-'SCH B-3 B'!I15</f>
        <v>60646.628603999998</v>
      </c>
      <c r="F16" s="151">
        <f>VLOOKUP($B16,'KU Depr Rates'!$A$16:$R$503,8,)/100</f>
        <v>3.6299999999999999E-2</v>
      </c>
      <c r="G16" s="88">
        <f t="shared" ref="G16" si="1">D16*F16</f>
        <v>5240.5823579999997</v>
      </c>
      <c r="H16" s="152">
        <f>VLOOKUP($B16,'KU Depr Rates'!$A$16:$R$503,6,)/100</f>
        <v>0</v>
      </c>
      <c r="I16" s="278">
        <f>VLOOKUP($B16,'KU Depr Rates'!$A$16:$R$503,18,)</f>
        <v>1.6</v>
      </c>
      <c r="J16" s="279" t="str">
        <f>VLOOKUP($B16,'KU Depr Rates'!$A$16:$R$503,16,)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1620</v>
      </c>
      <c r="D17" s="89">
        <f>'SCH B-2.1 B'!H15</f>
        <v>98174081.108871296</v>
      </c>
      <c r="E17" s="89">
        <f>-'SCH B-3 B'!I16</f>
        <v>43973713.776116796</v>
      </c>
      <c r="F17" s="151">
        <f>VLOOKUP($B17,'KU Depr Rates'!$A$16:$R$503,8,)/100</f>
        <v>0.16109999999999999</v>
      </c>
      <c r="G17" s="89">
        <f t="shared" ref="G17" si="2">D17*F17</f>
        <v>15815844.466639165</v>
      </c>
      <c r="H17" s="280">
        <f>VLOOKUP($B17,'KU Depr Rates'!$A$16:$R$503,6,)/100</f>
        <v>0</v>
      </c>
      <c r="I17" s="88" t="str">
        <f>VLOOKUP($B17,'KU Depr Rates'!$A$16:$R$503,18,)</f>
        <v>3.10-3.50</v>
      </c>
      <c r="J17" s="91" t="str">
        <f>VLOOKUP($B17,'KU Depr Rates'!$A$16:$R$503,16,)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98360012.202432334</v>
      </c>
      <c r="E18" s="86">
        <f>SUM(E15:E17)</f>
        <v>44034360.404720798</v>
      </c>
      <c r="F18" s="86"/>
      <c r="G18" s="86">
        <f>SUM(G15:G17)</f>
        <v>15821085.048997166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B'!H19</f>
        <v>10725221.57533606</v>
      </c>
      <c r="E21" s="88">
        <f>-'SCH B-3 B'!I20</f>
        <v>0</v>
      </c>
      <c r="F21" s="151">
        <v>0</v>
      </c>
      <c r="G21" s="88">
        <f t="shared" ref="G21:G22" si="3">D21*F21</f>
        <v>0</v>
      </c>
      <c r="H21" s="152">
        <v>0</v>
      </c>
      <c r="I21" s="209"/>
      <c r="J21" s="91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B'!H20</f>
        <v>309757419.77528781</v>
      </c>
      <c r="E22" s="88">
        <f>-'SCH B-3 B'!I21</f>
        <v>150073358.38743687</v>
      </c>
      <c r="F22" s="151">
        <f>VLOOKUP($B22,'KU Depr Rates'!$A$16:$R$453,8,)/100</f>
        <v>2.4199999999999999E-2</v>
      </c>
      <c r="G22" s="88">
        <f t="shared" si="3"/>
        <v>7496129.5585619649</v>
      </c>
      <c r="H22" s="152" t="str">
        <f>VLOOKUP($B22,'KU Depr Rates'!$A$16:$R$503,6,)</f>
        <v>-6%-8%-13%</v>
      </c>
      <c r="I22" s="278">
        <f>VLOOKUP($B22,'KU Depr Rates'!$A$16:$R$503,18,)</f>
        <v>24.35</v>
      </c>
      <c r="J22" s="279" t="str">
        <f>VLOOKUP($B22,'KU Depr Rates'!$A$16:$R$503,16,)</f>
        <v>100-R2.5</v>
      </c>
    </row>
    <row r="23" spans="1:10" ht="18.95" customHeight="1">
      <c r="A23" s="70">
        <f t="shared" si="0"/>
        <v>9</v>
      </c>
      <c r="B23" s="271">
        <v>312</v>
      </c>
      <c r="C23" s="78" t="s">
        <v>1624</v>
      </c>
      <c r="D23" s="88">
        <f>'SCH B-2.1 B'!H21</f>
        <v>2523746694.4504509</v>
      </c>
      <c r="E23" s="88">
        <f>-'SCH B-3 B'!I22</f>
        <v>1123607371.9940393</v>
      </c>
      <c r="F23" s="151">
        <f>VLOOKUP($B23,'KU Depr Rates'!$A$16:$R$453,8,)/100</f>
        <v>0.04</v>
      </c>
      <c r="G23" s="88">
        <f t="shared" ref="G23" si="4">D23*F23</f>
        <v>100949867.77801804</v>
      </c>
      <c r="H23" s="152" t="str">
        <f>VLOOKUP($B23,'KU Depr Rates'!$A$16:$R$503,6,)</f>
        <v>-6%-8%-13%</v>
      </c>
      <c r="I23" s="278" t="str">
        <f>VLOOKUP($B23,'KU Depr Rates'!$A$16:$R$503,18,)</f>
        <v>4.00, 19.7</v>
      </c>
      <c r="J23" s="279" t="str">
        <f>VLOOKUP($B23,'KU Depr Rates'!$A$16:$R$503,16,)</f>
        <v>75-R1.5, 100-S4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B'!H22</f>
        <v>0</v>
      </c>
      <c r="E24" s="88">
        <f>-'SCH B-3 B'!I23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1626</v>
      </c>
      <c r="D25" s="88">
        <f>'SCH B-2.1 B'!H23</f>
        <v>327743334.42504215</v>
      </c>
      <c r="E25" s="88">
        <f>-'SCH B-3 B'!I24</f>
        <v>133756345.39917451</v>
      </c>
      <c r="F25" s="151">
        <f>VLOOKUP($B25,'KU Depr Rates'!$A$16:$R$453,8,)/100</f>
        <v>2.8300000000000002E-2</v>
      </c>
      <c r="G25" s="88">
        <f t="shared" ref="G25:G27" si="5">D25*F25</f>
        <v>9275136.3642286938</v>
      </c>
      <c r="H25" s="152" t="str">
        <f>VLOOKUP($B25,'KU Depr Rates'!$A$16:$R$503,6,)</f>
        <v>-6%, -8%, -13%</v>
      </c>
      <c r="I25" s="278">
        <f>VLOOKUP($B25,'KU Depr Rates'!$A$16:$R$503,18,)</f>
        <v>21</v>
      </c>
      <c r="J25" s="279" t="str">
        <f>VLOOKUP($B25,'KU Depr Rates'!$A$16:$R$503,16,)</f>
        <v>60-R2</v>
      </c>
    </row>
    <row r="26" spans="1:10" ht="18.95" customHeight="1">
      <c r="A26" s="70">
        <f t="shared" si="0"/>
        <v>11</v>
      </c>
      <c r="B26" s="271">
        <v>315</v>
      </c>
      <c r="C26" s="78" t="s">
        <v>1628</v>
      </c>
      <c r="D26" s="88">
        <f>'SCH B-2.1 B'!H24</f>
        <v>208021010.33753929</v>
      </c>
      <c r="E26" s="88">
        <f>-'SCH B-3 B'!I25</f>
        <v>114223801.9585339</v>
      </c>
      <c r="F26" s="151">
        <f>VLOOKUP($B26,'KU Depr Rates'!$A$16:$R$453,8,)/100</f>
        <v>2.998988710100535E-2</v>
      </c>
      <c r="G26" s="88">
        <f t="shared" si="5"/>
        <v>6238526.61465987</v>
      </c>
      <c r="H26" s="152" t="str">
        <f>VLOOKUP($B26,'KU Depr Rates'!$A$16:$R$503,6,)</f>
        <v>-6%, -8%, -13%</v>
      </c>
      <c r="I26" s="278">
        <f>VLOOKUP($B26,'KU Depr Rates'!$A$16:$R$503,18,)</f>
        <v>21.73</v>
      </c>
      <c r="J26" s="279" t="str">
        <f>VLOOKUP($B26,'KU Depr Rates'!$A$16:$R$503,16,)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1630</v>
      </c>
      <c r="D27" s="88">
        <f>'SCH B-2.1 B'!H25</f>
        <v>39582278.919123217</v>
      </c>
      <c r="E27" s="88">
        <f>-'SCH B-3 B'!I26</f>
        <v>16549761.873645179</v>
      </c>
      <c r="F27" s="151">
        <f>VLOOKUP($B27,'KU Depr Rates'!$A$16:$R$453,8,)/100</f>
        <v>2.7505053270926762E-2</v>
      </c>
      <c r="G27" s="88">
        <f t="shared" si="5"/>
        <v>1088712.6902551656</v>
      </c>
      <c r="H27" s="152" t="str">
        <f>VLOOKUP($B27,'KU Depr Rates'!$A$16:$R$503,6,)</f>
        <v>-6%, -8%, -13%</v>
      </c>
      <c r="I27" s="278">
        <f>VLOOKUP($B27,'KU Depr Rates'!$A$16:$R$503,18,)</f>
        <v>22.74</v>
      </c>
      <c r="J27" s="279" t="str">
        <f>VLOOKUP($B27,'KU Depr Rates'!$A$16:$R$503,16,)</f>
        <v>75-R1.5</v>
      </c>
    </row>
    <row r="28" spans="1:10" ht="18.95" customHeight="1">
      <c r="A28" s="70">
        <f t="shared" si="0"/>
        <v>13</v>
      </c>
      <c r="B28" s="271">
        <v>317</v>
      </c>
      <c r="C28" s="78" t="s">
        <v>1650</v>
      </c>
      <c r="D28" s="89">
        <f>'SCH B-2.1 B'!H26</f>
        <v>-9.3811154365539551E-3</v>
      </c>
      <c r="E28" s="89">
        <f>-'SCH B-3 B'!I27</f>
        <v>0</v>
      </c>
      <c r="F28" s="151"/>
      <c r="G28" s="89"/>
      <c r="H28" s="152"/>
      <c r="I28" s="209"/>
      <c r="J28" s="91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3419575959.4733982</v>
      </c>
      <c r="E29" s="86">
        <f>SUM(E21:E28)</f>
        <v>1538210639.6128297</v>
      </c>
      <c r="F29" s="130"/>
      <c r="G29" s="86">
        <f>SUM(G21:G28)</f>
        <v>125048373.00572374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B'!H30</f>
        <v>802683.68565696606</v>
      </c>
      <c r="E32" s="88">
        <f>-'SCH B-3 B'!I31</f>
        <v>802327.79037399823</v>
      </c>
      <c r="F32" s="151">
        <f>VLOOKUP($B32,'KU Depr Rates'!$A$16:$R$503,8,)/100</f>
        <v>0</v>
      </c>
      <c r="G32" s="88">
        <f t="shared" ref="G32:G38" si="6">D32*F32</f>
        <v>0</v>
      </c>
      <c r="H32" s="152">
        <f>VLOOKUP($B32,'KU Depr Rates'!$A$16:$R$503,6,)/100</f>
        <v>0</v>
      </c>
      <c r="I32" s="278">
        <f>VLOOKUP($B32,'KU Depr Rates'!$A$16:$R$503,18,)</f>
        <v>0</v>
      </c>
      <c r="J32" s="279" t="str">
        <f>VLOOKUP($B32,'KU Depr Rates'!$A$16:$R$503,16,)</f>
        <v>100-R4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B'!H31</f>
        <v>4245677.0985744828</v>
      </c>
      <c r="E33" s="88">
        <f>-'SCH B-3 B'!I32</f>
        <v>563772.57700181392</v>
      </c>
      <c r="F33" s="151">
        <f>VLOOKUP($B33,'KU Depr Rates'!$A$16:$R$503,8,)/100</f>
        <v>2.4799999999999999E-2</v>
      </c>
      <c r="G33" s="88">
        <f t="shared" si="6"/>
        <v>105292.79204464717</v>
      </c>
      <c r="H33" s="152">
        <f>VLOOKUP($B33,'KU Depr Rates'!$A$16:$R$503,6,)/100</f>
        <v>-0.03</v>
      </c>
      <c r="I33" s="278">
        <f>VLOOKUP($B33,'KU Depr Rates'!$A$16:$R$503,18,)</f>
        <v>24.7</v>
      </c>
      <c r="J33" s="279" t="str">
        <f>VLOOKUP($B33,'KU Depr Rates'!$A$16:$R$503,16,)</f>
        <v>90-S2.5</v>
      </c>
    </row>
    <row r="34" spans="1:10" ht="18.95" customHeight="1">
      <c r="A34" s="70">
        <f t="shared" si="0"/>
        <v>18</v>
      </c>
      <c r="B34" s="271">
        <v>332</v>
      </c>
      <c r="C34" s="78" t="s">
        <v>1635</v>
      </c>
      <c r="D34" s="88">
        <f>'SCH B-2.1 B'!H32</f>
        <v>20610465.467993017</v>
      </c>
      <c r="E34" s="88">
        <f>-'SCH B-3 B'!I33</f>
        <v>10296126.400862206</v>
      </c>
      <c r="F34" s="151">
        <f>VLOOKUP($B34,'KU Depr Rates'!$A$16:$R$503,8,)/100</f>
        <v>2.6099999999999998E-2</v>
      </c>
      <c r="G34" s="88">
        <f t="shared" si="6"/>
        <v>537933.14871461771</v>
      </c>
      <c r="H34" s="152">
        <f>VLOOKUP($B34,'KU Depr Rates'!$A$16:$R$503,6,)/100</f>
        <v>-0.03</v>
      </c>
      <c r="I34" s="278">
        <f>VLOOKUP($B34,'KU Depr Rates'!$A$16:$R$503,18,)</f>
        <v>25.1</v>
      </c>
      <c r="J34" s="279" t="str">
        <f>VLOOKUP($B34,'KU Depr Rates'!$A$16:$R$503,16,)</f>
        <v>105-S2.5</v>
      </c>
    </row>
    <row r="35" spans="1:10" ht="18.95" customHeight="1">
      <c r="A35" s="70">
        <f t="shared" si="0"/>
        <v>19</v>
      </c>
      <c r="B35" s="271">
        <v>333</v>
      </c>
      <c r="C35" s="78" t="s">
        <v>1637</v>
      </c>
      <c r="D35" s="88">
        <f>'SCH B-2.1 B'!H33</f>
        <v>13165292.454917174</v>
      </c>
      <c r="E35" s="88">
        <f>-'SCH B-3 B'!I34</f>
        <v>3342132.2784191873</v>
      </c>
      <c r="F35" s="151">
        <f>VLOOKUP($B35,'KU Depr Rates'!$A$16:$R$503,8,)/100</f>
        <v>3.8600000000000002E-2</v>
      </c>
      <c r="G35" s="88">
        <f t="shared" si="6"/>
        <v>508180.28875980293</v>
      </c>
      <c r="H35" s="152">
        <f>VLOOKUP($B35,'KU Depr Rates'!$A$16:$R$503,6,)/100</f>
        <v>-0.03</v>
      </c>
      <c r="I35" s="278">
        <f>VLOOKUP($B35,'KU Depr Rates'!$A$16:$R$503,18,)</f>
        <v>25.2</v>
      </c>
      <c r="J35" s="279" t="str">
        <f>VLOOKUP($B35,'KU Depr Rates'!$A$16:$R$503,16,)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1628</v>
      </c>
      <c r="D36" s="88">
        <f>'SCH B-2.1 B'!H34</f>
        <v>1275634.7839545859</v>
      </c>
      <c r="E36" s="88">
        <f>-'SCH B-3 B'!I35</f>
        <v>389320.71151439747</v>
      </c>
      <c r="F36" s="151">
        <f>VLOOKUP($B36,'KU Depr Rates'!$A$16:$R$503,8,)/100</f>
        <v>3.8099999999999995E-2</v>
      </c>
      <c r="G36" s="88">
        <f t="shared" si="6"/>
        <v>48601.685268669717</v>
      </c>
      <c r="H36" s="152">
        <f>VLOOKUP($B36,'KU Depr Rates'!$A$16:$R$503,6,)/100</f>
        <v>-0.03</v>
      </c>
      <c r="I36" s="278">
        <f>VLOOKUP($B36,'KU Depr Rates'!$A$16:$R$503,18,)</f>
        <v>22.7</v>
      </c>
      <c r="J36" s="279" t="str">
        <f>VLOOKUP($B36,'KU Depr Rates'!$A$16:$R$503,16,)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1640</v>
      </c>
      <c r="D37" s="88">
        <f>'SCH B-2.1 B'!H35</f>
        <v>308624.93255201424</v>
      </c>
      <c r="E37" s="88">
        <f>-'SCH B-3 B'!I36</f>
        <v>171384.30541742683</v>
      </c>
      <c r="F37" s="151">
        <f>VLOOKUP($B37,'KU Depr Rates'!$A$16:$R$503,8,)/100</f>
        <v>3.7599999999999995E-2</v>
      </c>
      <c r="G37" s="88">
        <f t="shared" si="6"/>
        <v>11604.297463955734</v>
      </c>
      <c r="H37" s="152">
        <f>VLOOKUP($B37,'KU Depr Rates'!$A$16:$R$503,6,)/100</f>
        <v>-0.03</v>
      </c>
      <c r="I37" s="278">
        <f>VLOOKUP($B37,'KU Depr Rates'!$A$16:$R$503,18,)</f>
        <v>17.600000000000001</v>
      </c>
      <c r="J37" s="279" t="str">
        <f>VLOOKUP($B37,'KU Depr Rates'!$A$16:$R$503,16,)</f>
        <v>40-S0</v>
      </c>
    </row>
    <row r="38" spans="1:10" ht="18.95" customHeight="1">
      <c r="A38" s="70">
        <f t="shared" si="0"/>
        <v>22</v>
      </c>
      <c r="B38" s="271">
        <v>336</v>
      </c>
      <c r="C38" s="78" t="s">
        <v>1642</v>
      </c>
      <c r="D38" s="88">
        <f>'SCH B-2.1 B'!H36</f>
        <v>186590.51386734835</v>
      </c>
      <c r="E38" s="88">
        <f>-'SCH B-3 B'!I37</f>
        <v>65430.768055342647</v>
      </c>
      <c r="F38" s="151">
        <f>VLOOKUP($B38,'KU Depr Rates'!$A$16:$R$503,8,)/100</f>
        <v>3.3300000000000003E-2</v>
      </c>
      <c r="G38" s="88">
        <f t="shared" si="6"/>
        <v>6213.4641117827005</v>
      </c>
      <c r="H38" s="152">
        <f>VLOOKUP($B38,'KU Depr Rates'!$A$16:$R$503,6,)/100</f>
        <v>-0.03</v>
      </c>
      <c r="I38" s="278">
        <f>VLOOKUP($B38,'KU Depr Rates'!$A$16:$R$503,18,)</f>
        <v>21.9</v>
      </c>
      <c r="J38" s="279" t="str">
        <f>VLOOKUP($B38,'KU Depr Rates'!$A$16:$R$503,16,)</f>
        <v>60-R4</v>
      </c>
    </row>
    <row r="39" spans="1:10" ht="18.95" customHeight="1">
      <c r="A39" s="70">
        <f t="shared" si="0"/>
        <v>23</v>
      </c>
      <c r="B39" s="271">
        <v>337</v>
      </c>
      <c r="C39" s="78" t="s">
        <v>1651</v>
      </c>
      <c r="D39" s="89">
        <f>'SCH B-2.1 B'!H37</f>
        <v>0</v>
      </c>
      <c r="E39" s="89">
        <f>-'SCH B-3 B'!I38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 t="s">
        <v>250</v>
      </c>
      <c r="C40" s="78" t="s">
        <v>147</v>
      </c>
      <c r="D40" s="86">
        <f>SUM(D32:D39)</f>
        <v>40594968.937515587</v>
      </c>
      <c r="E40" s="86">
        <f>SUM(E32:E39)</f>
        <v>15630494.831644369</v>
      </c>
      <c r="F40" s="86"/>
      <c r="G40" s="86">
        <f t="shared" ref="G40" si="7">SUM(G32:G39)</f>
        <v>1217825.6763634759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B'!H41</f>
        <v>861471.35197493318</v>
      </c>
      <c r="E43" s="88">
        <f>-'SCH B-3 B'!I42</f>
        <v>128054.14120336193</v>
      </c>
      <c r="F43" s="151">
        <f>VLOOKUP($B43,'KU Depr Rates'!$A$16:$R$503,8,)/100</f>
        <v>2.1899999999999999E-2</v>
      </c>
      <c r="G43" s="88">
        <f t="shared" ref="G43:G46" si="8">D43*F43</f>
        <v>18866.222608251035</v>
      </c>
      <c r="H43" s="280">
        <f>VLOOKUP($B43,'KU Depr Rates'!$A$16:$R$503,6,)/100</f>
        <v>0</v>
      </c>
      <c r="I43" s="209">
        <f>VLOOKUP($B43,'KU Depr Rates'!$A$16:$R$503,18,)</f>
        <v>178.7</v>
      </c>
      <c r="J43" s="230" t="str">
        <f>VLOOKUP($B43,'KU Depr Rates'!$A$16:$R$503,16,)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B'!H42</f>
        <v>84869439.383909687</v>
      </c>
      <c r="E44" s="88">
        <f>-'SCH B-3 B'!I43</f>
        <v>30976028.227374949</v>
      </c>
      <c r="F44" s="151">
        <f>VLOOKUP($B44,'KU Depr Rates'!$A$16:$R$503,8,)/100</f>
        <v>3.3799999999999997E-2</v>
      </c>
      <c r="G44" s="88">
        <f t="shared" si="8"/>
        <v>2868587.0511761471</v>
      </c>
      <c r="H44" s="88" t="str">
        <f>VLOOKUP($B44,'KU Depr Rates'!$A$16:$R$503,6,)</f>
        <v>-5%,-6%,-7%,-10%,-12%</v>
      </c>
      <c r="I44" s="209">
        <f>VLOOKUP($B44,'KU Depr Rates'!$A$16:$R$503,18,)</f>
        <v>25.9</v>
      </c>
      <c r="J44" s="230" t="str">
        <f>VLOOKUP($B44,'KU Depr Rates'!$A$16:$R$503,16,)</f>
        <v>50-R2.5</v>
      </c>
    </row>
    <row r="45" spans="1:10" ht="18.95" customHeight="1">
      <c r="A45" s="70">
        <f t="shared" si="0"/>
        <v>28</v>
      </c>
      <c r="B45" s="271">
        <v>342</v>
      </c>
      <c r="C45" s="78" t="s">
        <v>1647</v>
      </c>
      <c r="D45" s="88">
        <f>'SCH B-2.1 B'!H43</f>
        <v>78934061.990896478</v>
      </c>
      <c r="E45" s="88">
        <f>-'SCH B-3 B'!I44</f>
        <v>24511366.076497495</v>
      </c>
      <c r="F45" s="151">
        <f>VLOOKUP($B45,'KU Depr Rates'!$A$16:$R$503,8,)/100</f>
        <v>3.27E-2</v>
      </c>
      <c r="G45" s="88">
        <f t="shared" si="8"/>
        <v>2581143.8271023147</v>
      </c>
      <c r="H45" s="88" t="str">
        <f>VLOOKUP($B45,'KU Depr Rates'!$A$16:$R$503,6,)</f>
        <v>-6%,-7%,-10%,-12%</v>
      </c>
      <c r="I45" s="209">
        <f>VLOOKUP($B45,'KU Depr Rates'!$A$16:$R$503,18,)</f>
        <v>31.3</v>
      </c>
      <c r="J45" s="230" t="str">
        <f>VLOOKUP($B45,'KU Depr Rates'!$A$16:$R$503,16,)</f>
        <v>45-R2.5</v>
      </c>
    </row>
    <row r="46" spans="1:10" ht="18.95" customHeight="1">
      <c r="A46" s="70">
        <f t="shared" si="0"/>
        <v>29</v>
      </c>
      <c r="B46" s="271">
        <v>343</v>
      </c>
      <c r="C46" s="78" t="s">
        <v>1649</v>
      </c>
      <c r="D46" s="88">
        <f>'SCH B-2.1 B'!H44</f>
        <v>640479634.05448675</v>
      </c>
      <c r="E46" s="88">
        <f>-'SCH B-3 B'!I45</f>
        <v>252961493.08261535</v>
      </c>
      <c r="F46" s="151">
        <f>VLOOKUP($B46,'KU Depr Rates'!$A$16:$R$503,8,)/100</f>
        <v>4.6300000000000001E-2</v>
      </c>
      <c r="G46" s="88">
        <f t="shared" si="8"/>
        <v>29654207.056722738</v>
      </c>
      <c r="H46" s="88" t="str">
        <f>VLOOKUP($B46,'KU Depr Rates'!$A$16:$R$503,6,)</f>
        <v>-6%,-7%,-12%</v>
      </c>
      <c r="I46" s="209">
        <f>VLOOKUP($B46,'KU Depr Rates'!$A$16:$R$503,18,)</f>
        <v>16</v>
      </c>
      <c r="J46" s="230" t="str">
        <f>VLOOKUP($B46,'KU Depr Rates'!$A$16:$R$503,16,)</f>
        <v>35-R1.5</v>
      </c>
    </row>
    <row r="47" spans="1:10" ht="18.95" customHeight="1">
      <c r="A47" s="70">
        <f>A46+1</f>
        <v>30</v>
      </c>
      <c r="B47" s="271">
        <v>344</v>
      </c>
      <c r="C47" s="78" t="s">
        <v>1653</v>
      </c>
      <c r="D47" s="88">
        <f>'SCH B-2.1 B'!H56</f>
        <v>128752763.2920742</v>
      </c>
      <c r="E47" s="88">
        <f>-'SCH B-3 B'!I58</f>
        <v>51461584.994666524</v>
      </c>
      <c r="F47" s="151">
        <f>VLOOKUP($B47,'KU Depr Rates'!$A$16:$R$503,8,)/100</f>
        <v>3.2599999999999997E-2</v>
      </c>
      <c r="G47" s="88">
        <f t="shared" ref="G47:G49" si="9">D47*F47</f>
        <v>4197340.0833216188</v>
      </c>
      <c r="H47" s="88" t="str">
        <f>VLOOKUP($B47,'KU Depr Rates'!$A$16:$R$503,6,)</f>
        <v>-5%,-6%,-7%,-10%,-12%</v>
      </c>
      <c r="I47" s="209">
        <f>VLOOKUP($B47,'KU Depr Rates'!$A$16:$R$503,18,)</f>
        <v>28</v>
      </c>
      <c r="J47" s="230" t="str">
        <f>VLOOKUP($B47,'KU Depr Rates'!$A$16:$R$503,16,)</f>
        <v>55-S2.5</v>
      </c>
    </row>
    <row r="48" spans="1:10" ht="18.95" customHeight="1">
      <c r="A48" s="70">
        <f t="shared" si="0"/>
        <v>31</v>
      </c>
      <c r="B48" s="271">
        <v>345</v>
      </c>
      <c r="C48" s="78" t="s">
        <v>1628</v>
      </c>
      <c r="D48" s="88">
        <f>'SCH B-2.1 B'!H57</f>
        <v>72602570.96996437</v>
      </c>
      <c r="E48" s="88">
        <f>-'SCH B-3 B'!I59</f>
        <v>32921055.070071891</v>
      </c>
      <c r="F48" s="151">
        <f>VLOOKUP($B48,'KU Depr Rates'!$A$16:$R$503,8,)/100</f>
        <v>3.9599999999999996E-2</v>
      </c>
      <c r="G48" s="88">
        <f t="shared" si="9"/>
        <v>2875061.810410589</v>
      </c>
      <c r="H48" s="88" t="str">
        <f>VLOOKUP($B48,'KU Depr Rates'!$A$16:$R$503,6,)</f>
        <v>-5%,-6%,-7%,-10%,-12%</v>
      </c>
      <c r="I48" s="209">
        <f>VLOOKUP($B48,'KU Depr Rates'!$A$16:$R$503,18,)</f>
        <v>20.399999999999999</v>
      </c>
      <c r="J48" s="230" t="str">
        <f>VLOOKUP($B48,'KU Depr Rates'!$A$16:$R$503,16,)</f>
        <v>50-R3</v>
      </c>
    </row>
    <row r="49" spans="1:10" ht="18.95" customHeight="1">
      <c r="A49" s="70">
        <f t="shared" si="0"/>
        <v>32</v>
      </c>
      <c r="B49" s="271">
        <v>346</v>
      </c>
      <c r="C49" s="78" t="s">
        <v>1640</v>
      </c>
      <c r="D49" s="88">
        <f>'SCH B-2.1 B'!H58</f>
        <v>8812596.9427436572</v>
      </c>
      <c r="E49" s="88">
        <f>-'SCH B-3 B'!I60</f>
        <v>4211035.317097635</v>
      </c>
      <c r="F49" s="151">
        <f>VLOOKUP($B49,'KU Depr Rates'!$A$16:$R$503,8,)/100</f>
        <v>4.36E-2</v>
      </c>
      <c r="G49" s="88">
        <f t="shared" si="9"/>
        <v>384229.22670362343</v>
      </c>
      <c r="H49" s="88" t="str">
        <f>VLOOKUP($B49,'KU Depr Rates'!$A$16:$R$503,6,)</f>
        <v>-6%,-7%,-10%,-12%</v>
      </c>
      <c r="I49" s="209">
        <f>VLOOKUP($B49,'KU Depr Rates'!$A$16:$R$503,18,)</f>
        <v>12.6</v>
      </c>
      <c r="J49" s="230" t="str">
        <f>VLOOKUP($B49,'KU Depr Rates'!$A$16:$R$503,16,)</f>
        <v>40-R2</v>
      </c>
    </row>
    <row r="50" spans="1:10" ht="18.95" customHeight="1">
      <c r="A50" s="70">
        <f t="shared" si="0"/>
        <v>33</v>
      </c>
      <c r="B50" s="271">
        <v>347</v>
      </c>
      <c r="C50" s="78" t="s">
        <v>1691</v>
      </c>
      <c r="D50" s="89">
        <f>'SCH B-2.1 B'!H59</f>
        <v>0</v>
      </c>
      <c r="E50" s="89">
        <f>-'SCH B-3 B'!I61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1015312537.9860501</v>
      </c>
      <c r="E51" s="86">
        <f>SUM(E43:E46,E47:E50)</f>
        <v>397170616.90952718</v>
      </c>
      <c r="F51" s="86"/>
      <c r="G51" s="86">
        <f>SUM(G43:G46,G47:G50)</f>
        <v>42579435.278045274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B'!H63</f>
        <v>29486406.111727834</v>
      </c>
      <c r="E54" s="88">
        <f>-'SCH B-3 B'!I65</f>
        <v>16125078.341704769</v>
      </c>
      <c r="F54" s="151">
        <f>VLOOKUP($B54,'KU Depr Rates'!$A$16:$R$503,8,)/100</f>
        <v>8.6E-3</v>
      </c>
      <c r="G54" s="88">
        <f t="shared" ref="G54" si="10">D54*F54</f>
        <v>253583.09256085937</v>
      </c>
      <c r="H54" s="152">
        <f>VLOOKUP($B54,'KU Depr Rates'!$A$16:$R$503,6,)/100</f>
        <v>0</v>
      </c>
      <c r="I54" s="209">
        <f>VLOOKUP($B54,'KU Depr Rates'!$A$16:$R$503,18,)</f>
        <v>48.9</v>
      </c>
      <c r="J54" s="230" t="str">
        <f>VLOOKUP($B54,'KU Depr Rates'!$A$16:$R$503,16,)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B'!H64</f>
        <v>30541405.781011205</v>
      </c>
      <c r="E55" s="88">
        <f>-'SCH B-3 B'!I66</f>
        <v>7583120.074477965</v>
      </c>
      <c r="F55" s="151">
        <f>VLOOKUP($B55,'KU Depr Rates'!$A$16:$R$503,8,)/100</f>
        <v>1.66E-2</v>
      </c>
      <c r="G55" s="88">
        <f t="shared" ref="G55:G61" si="11">D55*F55</f>
        <v>506987.33596478601</v>
      </c>
      <c r="H55" s="280">
        <f>VLOOKUP($B55,'KU Depr Rates'!$A$16:$R$503,6,)</f>
        <v>-0.25</v>
      </c>
      <c r="I55" s="209" t="str">
        <f>VLOOKUP($B55,'KU Depr Rates'!$A$16:$R$503,18,)</f>
        <v>47.9-59.5</v>
      </c>
      <c r="J55" s="230" t="str">
        <f>VLOOKUP($B55,'KU Depr Rates'!$A$16:$R$503,16,)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B'!H65</f>
        <v>342877546.54810631</v>
      </c>
      <c r="E56" s="88">
        <f>-'SCH B-3 B'!I67</f>
        <v>75242499.789250225</v>
      </c>
      <c r="F56" s="151">
        <f>VLOOKUP($B56,'KU Depr Rates'!$A$16:$R$503,8,)/100</f>
        <v>1.9E-2</v>
      </c>
      <c r="G56" s="88">
        <f t="shared" si="11"/>
        <v>6514673.38441402</v>
      </c>
      <c r="H56" s="280">
        <f>VLOOKUP($B56,'KU Depr Rates'!$A$16:$R$503,6,)</f>
        <v>-0.15</v>
      </c>
      <c r="I56" s="209">
        <f>VLOOKUP($B56,'KU Depr Rates'!$A$16:$R$503,18,)</f>
        <v>46</v>
      </c>
      <c r="J56" s="230" t="str">
        <f>VLOOKUP($B56,'KU Depr Rates'!$A$16:$R$503,16,)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1661</v>
      </c>
      <c r="D57" s="88">
        <f>'SCH B-2.1 B'!H66</f>
        <v>72081356.080840424</v>
      </c>
      <c r="E57" s="88">
        <f>-'SCH B-3 B'!I68</f>
        <v>48393067.53193868</v>
      </c>
      <c r="F57" s="151">
        <f>VLOOKUP($B57,'KU Depr Rates'!$A$16:$R$503,8,)/100</f>
        <v>1.6900000000000002E-2</v>
      </c>
      <c r="G57" s="88">
        <f t="shared" si="11"/>
        <v>1218174.9177662034</v>
      </c>
      <c r="H57" s="280">
        <f>VLOOKUP($B57,'KU Depr Rates'!$A$16:$R$503,6,)/100</f>
        <v>-0.4</v>
      </c>
      <c r="I57" s="209">
        <f>VLOOKUP($B57,'KU Depr Rates'!$A$16:$R$503,18,)</f>
        <v>44.8</v>
      </c>
      <c r="J57" s="230" t="str">
        <f>VLOOKUP($B57,'KU Depr Rates'!$A$16:$R$503,16,)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1663</v>
      </c>
      <c r="D58" s="88">
        <f>'SCH B-2.1 B'!H67</f>
        <v>486349907.52944911</v>
      </c>
      <c r="E58" s="88">
        <f>-'SCH B-3 B'!I69</f>
        <v>77149532.554418579</v>
      </c>
      <c r="F58" s="151">
        <f>VLOOKUP($B58,'KU Depr Rates'!$A$16:$R$503,8,)/100</f>
        <v>2.9300000000000003E-2</v>
      </c>
      <c r="G58" s="88">
        <f t="shared" si="11"/>
        <v>14250052.29061286</v>
      </c>
      <c r="H58" s="280">
        <f>VLOOKUP($B58,'KU Depr Rates'!$A$16:$R$503,6,)/100</f>
        <v>-0.75</v>
      </c>
      <c r="I58" s="209">
        <f>VLOOKUP($B58,'KU Depr Rates'!$A$16:$R$503,18,)</f>
        <v>48.8</v>
      </c>
      <c r="J58" s="230" t="str">
        <f>VLOOKUP($B58,'KU Depr Rates'!$A$16:$R$503,16,)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1665</v>
      </c>
      <c r="D59" s="88">
        <f>'SCH B-2.1 B'!H68</f>
        <v>214572928.89814562</v>
      </c>
      <c r="E59" s="88">
        <f>-'SCH B-3 B'!I70</f>
        <v>108603368.53259899</v>
      </c>
      <c r="F59" s="151">
        <f>VLOOKUP($B59,'KU Depr Rates'!$A$16:$R$503,8,)/100</f>
        <v>2.5399999999999999E-2</v>
      </c>
      <c r="G59" s="88">
        <f t="shared" si="11"/>
        <v>5450152.3940128982</v>
      </c>
      <c r="H59" s="280">
        <f>VLOOKUP($B59,'KU Depr Rates'!$A$16:$R$503,6,)/100</f>
        <v>-0.75</v>
      </c>
      <c r="I59" s="209">
        <f>VLOOKUP($B59,'KU Depr Rates'!$A$16:$R$503,18,)</f>
        <v>43.8</v>
      </c>
      <c r="J59" s="230" t="str">
        <f>VLOOKUP($B59,'KU Depr Rates'!$A$16:$R$503,16,)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1667</v>
      </c>
      <c r="D60" s="88">
        <f>'SCH B-2.1 B'!H69</f>
        <v>591334.78646682703</v>
      </c>
      <c r="E60" s="88">
        <f>-'SCH B-3 B'!I71</f>
        <v>187289.69497380871</v>
      </c>
      <c r="F60" s="151">
        <f>VLOOKUP($B60,'KU Depr Rates'!$A$16:$R$503,8,)/100</f>
        <v>1.7000000000000001E-2</v>
      </c>
      <c r="G60" s="88">
        <f t="shared" si="11"/>
        <v>10052.691369936061</v>
      </c>
      <c r="H60" s="280">
        <f>VLOOKUP($B60,'KU Depr Rates'!$A$16:$R$503,6,)/100</f>
        <v>0</v>
      </c>
      <c r="I60" s="209">
        <f>VLOOKUP($B60,'KU Depr Rates'!$A$16:$R$503,18,)</f>
        <v>28.7</v>
      </c>
      <c r="J60" s="230" t="str">
        <f>VLOOKUP($B60,'KU Depr Rates'!$A$16:$R$503,16,)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1669</v>
      </c>
      <c r="D61" s="88">
        <f>'SCH B-2.1 B'!H70</f>
        <v>1180264.1781037606</v>
      </c>
      <c r="E61" s="88">
        <f>-'SCH B-3 B'!I72</f>
        <v>719959.44484984479</v>
      </c>
      <c r="F61" s="151">
        <f>VLOOKUP($B61,'KU Depr Rates'!$A$16:$R$503,8,)/100</f>
        <v>7.4000000000000003E-3</v>
      </c>
      <c r="G61" s="88">
        <f t="shared" si="11"/>
        <v>8733.9549179678288</v>
      </c>
      <c r="H61" s="280">
        <f>VLOOKUP($B61,'KU Depr Rates'!$A$16:$R$503,6,)/100</f>
        <v>0</v>
      </c>
      <c r="I61" s="209">
        <f>VLOOKUP($B61,'KU Depr Rates'!$A$16:$R$503,18,)</f>
        <v>23.6</v>
      </c>
      <c r="J61" s="230" t="str">
        <f>VLOOKUP($B61,'KU Depr Rates'!$A$16:$R$503,16,)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B'!H71</f>
        <v>0</v>
      </c>
      <c r="E62" s="89">
        <f>-'SCH B-3 B'!I73</f>
        <v>0</v>
      </c>
      <c r="F62" s="130"/>
      <c r="G62" s="89">
        <f t="shared" ref="G62" si="12">D62*F62</f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1177681149.913851</v>
      </c>
      <c r="E63" s="86">
        <f>SUM(E54:E62)</f>
        <v>334003915.96421283</v>
      </c>
      <c r="F63" s="86"/>
      <c r="G63" s="86">
        <f t="shared" ref="G63" si="13">SUM(G54:G62)</f>
        <v>28212410.061619528</v>
      </c>
      <c r="H63" s="153"/>
      <c r="I63" s="86"/>
      <c r="J63" s="86"/>
    </row>
    <row r="64" spans="1:10" s="68" customFormat="1" ht="20.100000000000001" customHeight="1">
      <c r="A64" s="809" t="str">
        <f>$A$1</f>
        <v>KENTUCKY UTILITIES COMPANY</v>
      </c>
      <c r="B64" s="809"/>
      <c r="C64" s="809"/>
      <c r="D64" s="809"/>
      <c r="E64" s="809"/>
      <c r="F64" s="809"/>
      <c r="G64" s="809"/>
      <c r="H64" s="809"/>
      <c r="I64" s="809"/>
      <c r="J64" s="809"/>
    </row>
    <row r="65" spans="1:10" s="68" customFormat="1" ht="20.100000000000001" customHeight="1">
      <c r="A65" s="809" t="str">
        <f>$A$2</f>
        <v>CASE NO. 2020-00349</v>
      </c>
      <c r="B65" s="809"/>
      <c r="C65" s="809"/>
      <c r="D65" s="809"/>
      <c r="E65" s="809"/>
      <c r="F65" s="809"/>
      <c r="G65" s="809"/>
      <c r="H65" s="809"/>
      <c r="I65" s="809"/>
      <c r="J65" s="809"/>
    </row>
    <row r="66" spans="1:10" s="68" customFormat="1" ht="20.100000000000001" customHeight="1">
      <c r="A66" s="809" t="str">
        <f>$A$3</f>
        <v>DEPRECIATION ACCRUAL RATES AND ACCUMULATED BALANCES BY ACCOUNT</v>
      </c>
      <c r="B66" s="809"/>
      <c r="C66" s="809"/>
      <c r="D66" s="809"/>
      <c r="E66" s="809"/>
      <c r="F66" s="809"/>
      <c r="G66" s="809"/>
      <c r="H66" s="809"/>
      <c r="I66" s="809"/>
      <c r="J66" s="809"/>
    </row>
    <row r="67" spans="1:10" s="68" customFormat="1" ht="20.100000000000001" customHeight="1">
      <c r="A67" s="808" t="str">
        <f>$A$4</f>
        <v>AS OF FEBRUARY 28, 2021</v>
      </c>
      <c r="B67" s="809"/>
      <c r="C67" s="809"/>
      <c r="D67" s="809"/>
      <c r="E67" s="809"/>
      <c r="F67" s="809"/>
      <c r="G67" s="809"/>
      <c r="H67" s="809"/>
      <c r="I67" s="809"/>
      <c r="J67" s="809"/>
    </row>
    <row r="68" spans="1:10" s="68" customFormat="1" ht="20.100000000000001" customHeight="1">
      <c r="A68" s="92"/>
      <c r="B68" s="92"/>
      <c r="C68" s="92"/>
      <c r="D68" s="92"/>
      <c r="E68" s="92"/>
      <c r="F68" s="92"/>
      <c r="G68" s="92"/>
      <c r="H68" s="92"/>
      <c r="I68" s="208"/>
      <c r="J68" s="92"/>
    </row>
    <row r="69" spans="1:10" s="68" customFormat="1" ht="20.100000000000001" customHeight="1">
      <c r="A69" s="67" t="str">
        <f>$A$6</f>
        <v>DATA:__X__BASE  PERIOD____FORECASTED  PERIOD</v>
      </c>
      <c r="B69" s="67"/>
      <c r="I69" s="74"/>
      <c r="J69" s="74" t="s">
        <v>1239</v>
      </c>
    </row>
    <row r="70" spans="1:10" s="68" customFormat="1" ht="20.100000000000001" customHeight="1">
      <c r="A70" s="67" t="str">
        <f>$A$7</f>
        <v>TYPE OF FILING: __X__ ORIGINAL  _____ UPDATED  _____ REVISED</v>
      </c>
      <c r="I70" s="74"/>
      <c r="J70" s="74" t="s">
        <v>2051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13" t="s">
        <v>226</v>
      </c>
      <c r="E73" s="813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1241</v>
      </c>
      <c r="D74" s="71" t="s">
        <v>1242</v>
      </c>
      <c r="E74" s="71" t="s">
        <v>1243</v>
      </c>
      <c r="F74" s="71" t="s">
        <v>2649</v>
      </c>
      <c r="G74" s="71" t="s">
        <v>1244</v>
      </c>
      <c r="H74" s="71" t="s">
        <v>1246</v>
      </c>
      <c r="I74" s="71" t="s">
        <v>1830</v>
      </c>
      <c r="J74" s="71" t="s">
        <v>1247</v>
      </c>
    </row>
    <row r="75" spans="1:10" ht="18.95" customHeight="1">
      <c r="A75" s="98" t="s">
        <v>1217</v>
      </c>
      <c r="B75" s="98" t="s">
        <v>1218</v>
      </c>
      <c r="C75" s="98" t="s">
        <v>1221</v>
      </c>
      <c r="D75" s="98" t="s">
        <v>1229</v>
      </c>
      <c r="E75" s="98" t="s">
        <v>1230</v>
      </c>
      <c r="F75" s="98" t="s">
        <v>1231</v>
      </c>
      <c r="G75" s="98" t="s">
        <v>1245</v>
      </c>
      <c r="H75" s="98" t="s">
        <v>1233</v>
      </c>
      <c r="I75" s="98" t="s">
        <v>1234</v>
      </c>
      <c r="J75" s="98" t="s">
        <v>1248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250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B'!H75</f>
        <v>8921213.5900000017</v>
      </c>
      <c r="E78" s="88">
        <f>-'SCH B-3 B'!I77</f>
        <v>1428558.7327619826</v>
      </c>
      <c r="F78" s="151">
        <f>VLOOKUP($B78,'KU Depr Rates'!$A$16:$R$503,8,)/100</f>
        <v>6.4000000000000003E-3</v>
      </c>
      <c r="G78" s="88">
        <f t="shared" ref="G78" si="14">D78*F78</f>
        <v>57095.766976000014</v>
      </c>
      <c r="H78" s="280">
        <f>VLOOKUP($B78,'KU Depr Rates'!$A$16:$R$503,6,)/100</f>
        <v>0</v>
      </c>
      <c r="I78" s="209">
        <f>VLOOKUP($B78,'KU Depr Rates'!$A$16:$R$503,18,)</f>
        <v>51.4</v>
      </c>
      <c r="J78" s="634" t="str">
        <f>VLOOKUP($B78,'KU Depr Rates'!$A$16:$R$503,16,)</f>
        <v>70-R4</v>
      </c>
    </row>
    <row r="79" spans="1:10" ht="18.95" customHeight="1">
      <c r="A79" s="70">
        <f t="shared" si="0"/>
        <v>48</v>
      </c>
      <c r="B79" s="271">
        <v>361</v>
      </c>
      <c r="C79" s="78" t="s">
        <v>148</v>
      </c>
      <c r="D79" s="88">
        <f>'SCH B-2.1 B'!H76</f>
        <v>27645008.899999898</v>
      </c>
      <c r="E79" s="88">
        <f>-'SCH B-3 B'!I78</f>
        <v>4156496.9197790679</v>
      </c>
      <c r="F79" s="151">
        <f>VLOOKUP($B79,'KU Depr Rates'!$A$16:$R$503,8,)/100</f>
        <v>2.1499999999999998E-2</v>
      </c>
      <c r="G79" s="88">
        <f t="shared" ref="G79:G89" si="15">D79*F79</f>
        <v>594367.69134999777</v>
      </c>
      <c r="H79" s="280">
        <f>VLOOKUP($B79,'KU Depr Rates'!$A$16:$R$503,6,)/100</f>
        <v>-0.25</v>
      </c>
      <c r="I79" s="209">
        <f>VLOOKUP($B79,'KU Depr Rates'!$A$16:$R$503,18,)</f>
        <v>48.4</v>
      </c>
      <c r="J79" s="230" t="str">
        <f>VLOOKUP($B79,'KU Depr Rates'!$A$16:$R$503,16,)</f>
        <v>60-R2.5</v>
      </c>
    </row>
    <row r="80" spans="1:10" ht="18.95" customHeight="1">
      <c r="A80" s="70">
        <f t="shared" si="0"/>
        <v>49</v>
      </c>
      <c r="B80" s="271">
        <v>362</v>
      </c>
      <c r="C80" s="78" t="s">
        <v>1674</v>
      </c>
      <c r="D80" s="88">
        <f>'SCH B-2.1 B'!H77</f>
        <v>275126219.93000001</v>
      </c>
      <c r="E80" s="88">
        <f>-'SCH B-3 B'!I79</f>
        <v>53729626.297796838</v>
      </c>
      <c r="F80" s="151">
        <f>VLOOKUP($B80,'KU Depr Rates'!$A$16:$R$503,8,)/100</f>
        <v>1.5600000000000001E-2</v>
      </c>
      <c r="G80" s="88">
        <f t="shared" si="15"/>
        <v>4291969.0309080007</v>
      </c>
      <c r="H80" s="280">
        <f>VLOOKUP($B80,'KU Depr Rates'!$A$16:$R$503,6,)/100</f>
        <v>-0.2</v>
      </c>
      <c r="I80" s="209">
        <f>VLOOKUP($B80,'KU Depr Rates'!$A$16:$R$503,18,)</f>
        <v>40.299999999999997</v>
      </c>
      <c r="J80" s="230" t="str">
        <f>VLOOKUP($B80,'KU Depr Rates'!$A$16:$R$503,16,)</f>
        <v>54-R2</v>
      </c>
    </row>
    <row r="81" spans="1:10" ht="18.95" customHeight="1">
      <c r="A81" s="70">
        <f t="shared" ref="A81:A91" si="16">A80+1</f>
        <v>50</v>
      </c>
      <c r="B81" s="271">
        <v>364</v>
      </c>
      <c r="C81" s="78" t="s">
        <v>1676</v>
      </c>
      <c r="D81" s="88">
        <f>'SCH B-2.1 B'!H78</f>
        <v>436405674.84334654</v>
      </c>
      <c r="E81" s="88">
        <f>-'SCH B-3 B'!I80</f>
        <v>169510747.21479204</v>
      </c>
      <c r="F81" s="151">
        <f>VLOOKUP($B81,'KU Depr Rates'!$A$16:$R$503,8,)/100</f>
        <v>1.5600000000000001E-2</v>
      </c>
      <c r="G81" s="88">
        <f t="shared" si="15"/>
        <v>6807928.5275562061</v>
      </c>
      <c r="H81" s="280">
        <f>VLOOKUP($B81,'KU Depr Rates'!$A$16:$R$503,6,)/100</f>
        <v>-0.5</v>
      </c>
      <c r="I81" s="209">
        <f>VLOOKUP($B81,'KU Depr Rates'!$A$16:$R$503,18,)</f>
        <v>40.1</v>
      </c>
      <c r="J81" s="230" t="str">
        <f>VLOOKUP($B81,'KU Depr Rates'!$A$16:$R$503,16,)</f>
        <v>50-R1.5</v>
      </c>
    </row>
    <row r="82" spans="1:10" ht="18.95" customHeight="1">
      <c r="A82" s="70">
        <f t="shared" si="16"/>
        <v>51</v>
      </c>
      <c r="B82" s="271">
        <v>365</v>
      </c>
      <c r="C82" s="78" t="s">
        <v>1665</v>
      </c>
      <c r="D82" s="88">
        <f>'SCH B-2.1 B'!H79</f>
        <v>450951361.57604432</v>
      </c>
      <c r="E82" s="88">
        <f>-'SCH B-3 B'!I81</f>
        <v>95435776.627593622</v>
      </c>
      <c r="F82" s="151">
        <f>VLOOKUP($B82,'KU Depr Rates'!$A$16:$R$503,8,)/100</f>
        <v>1.5600000000000001E-2</v>
      </c>
      <c r="G82" s="88">
        <f t="shared" si="15"/>
        <v>7034841.240586292</v>
      </c>
      <c r="H82" s="280">
        <f>VLOOKUP($B82,'KU Depr Rates'!$A$16:$R$503,6,)/100</f>
        <v>-0.3</v>
      </c>
      <c r="I82" s="209">
        <f>VLOOKUP($B82,'KU Depr Rates'!$A$16:$R$503,18,)</f>
        <v>38.299999999999997</v>
      </c>
      <c r="J82" s="230" t="str">
        <f>VLOOKUP($B82,'KU Depr Rates'!$A$16:$R$503,16,)</f>
        <v>47-R1</v>
      </c>
    </row>
    <row r="83" spans="1:10" ht="18.95" customHeight="1">
      <c r="A83" s="70">
        <f t="shared" si="16"/>
        <v>52</v>
      </c>
      <c r="B83" s="271">
        <v>366</v>
      </c>
      <c r="C83" s="78" t="s">
        <v>1667</v>
      </c>
      <c r="D83" s="88">
        <f>'SCH B-2.1 B'!H80</f>
        <v>2307274.41</v>
      </c>
      <c r="E83" s="88">
        <f>-'SCH B-3 B'!I82</f>
        <v>1098944.1862413583</v>
      </c>
      <c r="F83" s="151">
        <f>VLOOKUP($B83,'KU Depr Rates'!$A$16:$R$503,8,)/100</f>
        <v>2.3199999999999998E-2</v>
      </c>
      <c r="G83" s="88">
        <f t="shared" si="15"/>
        <v>53528.766312</v>
      </c>
      <c r="H83" s="280">
        <f>VLOOKUP($B83,'KU Depr Rates'!$A$16:$R$503,6,)/100</f>
        <v>0</v>
      </c>
      <c r="I83" s="209">
        <f>VLOOKUP($B83,'KU Depr Rates'!$A$16:$R$503,18,)</f>
        <v>25.6</v>
      </c>
      <c r="J83" s="230" t="str">
        <f>VLOOKUP($B83,'KU Depr Rates'!$A$16:$R$503,16,)</f>
        <v>50-R4</v>
      </c>
    </row>
    <row r="84" spans="1:10" ht="18.95" customHeight="1">
      <c r="A84" s="70">
        <f t="shared" si="16"/>
        <v>53</v>
      </c>
      <c r="B84" s="271">
        <v>367</v>
      </c>
      <c r="C84" s="78" t="s">
        <v>1669</v>
      </c>
      <c r="D84" s="88">
        <f>'SCH B-2.1 B'!H81</f>
        <v>227974593.70457712</v>
      </c>
      <c r="E84" s="88">
        <f>-'SCH B-3 B'!I83</f>
        <v>54156390.282794319</v>
      </c>
      <c r="F84" s="151">
        <f>VLOOKUP($B84,'KU Depr Rates'!$A$16:$R$503,8,)/100</f>
        <v>1.5600000000000001E-2</v>
      </c>
      <c r="G84" s="88">
        <f t="shared" si="15"/>
        <v>3556403.6617914033</v>
      </c>
      <c r="H84" s="280">
        <f>VLOOKUP($B84,'KU Depr Rates'!$A$16:$R$503,6,)/100</f>
        <v>-0.2</v>
      </c>
      <c r="I84" s="209">
        <f>VLOOKUP($B84,'KU Depr Rates'!$A$16:$R$503,18,)</f>
        <v>40.200000000000003</v>
      </c>
      <c r="J84" s="230" t="str">
        <f>VLOOKUP($B84,'KU Depr Rates'!$A$16:$R$503,16,)</f>
        <v>48-R2</v>
      </c>
    </row>
    <row r="85" spans="1:10" ht="18.95" customHeight="1">
      <c r="A85" s="70">
        <f t="shared" si="16"/>
        <v>54</v>
      </c>
      <c r="B85" s="271">
        <v>368</v>
      </c>
      <c r="C85" s="78" t="s">
        <v>1681</v>
      </c>
      <c r="D85" s="88">
        <f>'SCH B-2.1 B'!H82</f>
        <v>321679473.06999999</v>
      </c>
      <c r="E85" s="88">
        <f>-'SCH B-3 B'!I84</f>
        <v>146970058.21136805</v>
      </c>
      <c r="F85" s="151">
        <f>VLOOKUP($B85,'KU Depr Rates'!$A$16:$R$503,8,)/100</f>
        <v>1.7899999999999999E-2</v>
      </c>
      <c r="G85" s="88">
        <f t="shared" si="15"/>
        <v>5758062.5679529998</v>
      </c>
      <c r="H85" s="280">
        <f>VLOOKUP($B85,'KU Depr Rates'!$A$16:$R$503,6,)/100</f>
        <v>-0.05</v>
      </c>
      <c r="I85" s="209">
        <f>VLOOKUP($B85,'KU Depr Rates'!$A$16:$R$503,18,)</f>
        <v>33</v>
      </c>
      <c r="J85" s="230" t="str">
        <f>VLOOKUP($B85,'KU Depr Rates'!$A$16:$R$503,16,)</f>
        <v>46-R2</v>
      </c>
    </row>
    <row r="86" spans="1:10" ht="18.95" customHeight="1">
      <c r="A86" s="70">
        <f t="shared" si="16"/>
        <v>55</v>
      </c>
      <c r="B86" s="271">
        <v>369</v>
      </c>
      <c r="C86" s="78" t="s">
        <v>1683</v>
      </c>
      <c r="D86" s="88">
        <f>'SCH B-2.1 B'!H83</f>
        <v>124898418.40000001</v>
      </c>
      <c r="E86" s="88">
        <f>-'SCH B-3 B'!I85</f>
        <v>64839190.742792681</v>
      </c>
      <c r="F86" s="151">
        <f>VLOOKUP($B86,'KU Depr Rates'!$A$16:$R$503,8,)/100</f>
        <v>1.6299999999999999E-2</v>
      </c>
      <c r="G86" s="88">
        <f t="shared" si="15"/>
        <v>2035844.2199199998</v>
      </c>
      <c r="H86" s="280">
        <f>VLOOKUP($B86,'KU Depr Rates'!$A$16:$R$503,6,)/100</f>
        <v>-0.25</v>
      </c>
      <c r="I86" s="209">
        <f>VLOOKUP($B86,'KU Depr Rates'!$A$16:$R$503,18,)</f>
        <v>36.6</v>
      </c>
      <c r="J86" s="230" t="str">
        <f>VLOOKUP($B86,'KU Depr Rates'!$A$16:$R$503,16,)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1685</v>
      </c>
      <c r="D87" s="88">
        <f>'SCH B-2.1 B'!H84</f>
        <v>73192660.689999998</v>
      </c>
      <c r="E87" s="88">
        <f>-'SCH B-3 B'!I86</f>
        <v>39114393.747113273</v>
      </c>
      <c r="F87" s="151">
        <f>VLOOKUP($B87,'KU Depr Rates'!$A$16:$R$503,8,)/100</f>
        <v>3.6499999999999998E-2</v>
      </c>
      <c r="G87" s="88">
        <f t="shared" si="15"/>
        <v>2671532.1151849995</v>
      </c>
      <c r="H87" s="280">
        <f>VLOOKUP($B87,'KU Depr Rates'!$A$16:$R$503,6,)/100</f>
        <v>0</v>
      </c>
      <c r="I87" s="209" t="str">
        <f>VLOOKUP($B87,'KU Depr Rates'!$A$16:$R$503,18,)</f>
        <v>4.3-14.7</v>
      </c>
      <c r="J87" s="230" t="str">
        <f>VLOOKUP($B87,'KU Depr Rates'!$A$16:$R$503,16,)</f>
        <v>15-S2.5, 28-L1</v>
      </c>
    </row>
    <row r="88" spans="1:10" ht="18.95" customHeight="1">
      <c r="A88" s="70">
        <f t="shared" si="16"/>
        <v>57</v>
      </c>
      <c r="B88" s="271">
        <v>371</v>
      </c>
      <c r="C88" s="78" t="s">
        <v>1687</v>
      </c>
      <c r="D88" s="88">
        <f>'SCH B-2.1 B'!H85</f>
        <v>159233.81</v>
      </c>
      <c r="E88" s="88">
        <f>-'SCH B-3 B'!I87</f>
        <v>24378.230640873116</v>
      </c>
      <c r="F88" s="151">
        <f>VLOOKUP($B88,'KU Depr Rates'!$A$16:$R$503,8,)/100</f>
        <v>5.2999999999999992E-3</v>
      </c>
      <c r="G88" s="88">
        <f t="shared" si="15"/>
        <v>843.93919299999982</v>
      </c>
      <c r="H88" s="280">
        <f>VLOOKUP($B88,'KU Depr Rates'!$A$16:$R$503,6,)/100</f>
        <v>-0.1</v>
      </c>
      <c r="I88" s="209">
        <f>VLOOKUP($B88,'KU Depr Rates'!$A$16:$R$503,18,)</f>
        <v>19.3</v>
      </c>
      <c r="J88" s="230" t="str">
        <f>VLOOKUP($B88,'KU Depr Rates'!$A$16:$R$503,16,)</f>
        <v>28-O1</v>
      </c>
    </row>
    <row r="89" spans="1:10" ht="18.95" customHeight="1">
      <c r="A89" s="70">
        <f t="shared" si="16"/>
        <v>58</v>
      </c>
      <c r="B89" s="271">
        <v>373</v>
      </c>
      <c r="C89" s="78" t="s">
        <v>1689</v>
      </c>
      <c r="D89" s="88">
        <f>'SCH B-2.1 B'!H86</f>
        <v>136881191.10999998</v>
      </c>
      <c r="E89" s="88">
        <f>-'SCH B-3 B'!I88</f>
        <v>47672205.138191484</v>
      </c>
      <c r="F89" s="151">
        <f>VLOOKUP($B89,'KU Depr Rates'!$A$16:$R$503,8,)/100</f>
        <v>4.0000000000000008E-2</v>
      </c>
      <c r="G89" s="88">
        <f t="shared" si="15"/>
        <v>5475247.6444000006</v>
      </c>
      <c r="H89" s="280">
        <f>VLOOKUP($B89,'KU Depr Rates'!$A$16:$R$503,6,)/100</f>
        <v>-0.1</v>
      </c>
      <c r="I89" s="209">
        <f>VLOOKUP($B89,'KU Depr Rates'!$A$16:$R$503,18,)</f>
        <v>22.1</v>
      </c>
      <c r="J89" s="230" t="str">
        <f>VLOOKUP($B89,'KU Depr Rates'!$A$16:$R$503,16,)</f>
        <v>28-L0.5</v>
      </c>
    </row>
    <row r="90" spans="1:10" ht="18.95" customHeight="1">
      <c r="A90" s="70">
        <f t="shared" si="16"/>
        <v>59</v>
      </c>
      <c r="B90" s="271">
        <v>374</v>
      </c>
      <c r="C90" s="78" t="s">
        <v>151</v>
      </c>
      <c r="D90" s="89">
        <f>'SCH B-2.1 B'!H87</f>
        <v>0</v>
      </c>
      <c r="E90" s="89">
        <f>-'SCH B-3 B'!I89</f>
        <v>0</v>
      </c>
      <c r="F90" s="130"/>
      <c r="G90" s="89">
        <f t="shared" ref="G90" si="17">D90*F90</f>
        <v>0</v>
      </c>
      <c r="H90" s="152"/>
      <c r="I90" s="88"/>
      <c r="J90" s="88"/>
    </row>
    <row r="91" spans="1:10" ht="18.95" customHeight="1">
      <c r="A91" s="70">
        <f t="shared" si="16"/>
        <v>60</v>
      </c>
      <c r="B91" s="71"/>
      <c r="C91" s="78" t="s">
        <v>153</v>
      </c>
      <c r="D91" s="86">
        <f>SUM(D78:D90)</f>
        <v>2086142324.033968</v>
      </c>
      <c r="E91" s="86">
        <f>SUM(E78:E90)</f>
        <v>678136766.33186555</v>
      </c>
      <c r="F91" s="86"/>
      <c r="G91" s="86">
        <f t="shared" ref="G91" si="18">SUM(G78:G90)</f>
        <v>38337665.172130898</v>
      </c>
      <c r="H91" s="86"/>
      <c r="I91" s="86"/>
      <c r="J91" s="155"/>
    </row>
    <row r="92" spans="1:10" ht="23.1" customHeight="1">
      <c r="A92" s="73"/>
      <c r="B92" s="73"/>
      <c r="C92" s="132"/>
      <c r="D92" s="95"/>
      <c r="E92" s="95"/>
      <c r="F92" s="95"/>
      <c r="G92" s="95"/>
      <c r="H92" s="95"/>
      <c r="I92" s="95"/>
      <c r="J92" s="95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9">A93+1</f>
        <v>62</v>
      </c>
      <c r="B94" s="271">
        <v>389</v>
      </c>
      <c r="C94" s="78" t="s">
        <v>154</v>
      </c>
      <c r="D94" s="88">
        <f>'SCH B-2.1 B'!H101</f>
        <v>3376220.7846091571</v>
      </c>
      <c r="E94" s="88">
        <f>-'SCH B-3 B'!I104</f>
        <v>52.525586899032533</v>
      </c>
      <c r="F94" s="151">
        <v>0</v>
      </c>
      <c r="G94" s="88">
        <f t="shared" ref="G94:G103" si="20">D94*F94</f>
        <v>0</v>
      </c>
      <c r="H94" s="280">
        <v>0</v>
      </c>
      <c r="I94" s="209"/>
      <c r="J94" s="230"/>
    </row>
    <row r="95" spans="1:10" ht="18.95" customHeight="1">
      <c r="A95" s="70">
        <f t="shared" si="19"/>
        <v>63</v>
      </c>
      <c r="B95" s="271">
        <v>390</v>
      </c>
      <c r="C95" s="78" t="s">
        <v>148</v>
      </c>
      <c r="D95" s="88">
        <f>'SCH B-2.1 B'!H102</f>
        <v>92495666.839705184</v>
      </c>
      <c r="E95" s="88">
        <f>-'SCH B-3 B'!I105</f>
        <v>14846859.893637588</v>
      </c>
      <c r="F95" s="151">
        <f>VLOOKUP($B95,'KU Depr Rates'!$A$16:$R$503,8,)/100</f>
        <v>2.4199999999999999E-2</v>
      </c>
      <c r="G95" s="88">
        <f t="shared" si="20"/>
        <v>2238395.1375208655</v>
      </c>
      <c r="H95" s="280">
        <f>VLOOKUP($B95,'KU Depr Rates'!$A$16:$R$503,6,)</f>
        <v>0.15</v>
      </c>
      <c r="I95" s="209" t="str">
        <f>VLOOKUP($B95,'KU Depr Rates'!$A$16:$R$503,18,)</f>
        <v>18.00-39.20</v>
      </c>
      <c r="J95" s="230" t="str">
        <f>VLOOKUP($B95,'KU Depr Rates'!$A$16:$R$503,16,)</f>
        <v>55-S0, 33-R1.5</v>
      </c>
    </row>
    <row r="96" spans="1:10" ht="18.95" customHeight="1">
      <c r="A96" s="70">
        <f t="shared" si="19"/>
        <v>64</v>
      </c>
      <c r="B96" s="271">
        <v>391</v>
      </c>
      <c r="C96" s="78" t="s">
        <v>156</v>
      </c>
      <c r="D96" s="88">
        <f>'SCH B-2.1 B'!H103</f>
        <v>41502252.384119615</v>
      </c>
      <c r="E96" s="88">
        <f>-'SCH B-3 B'!I106</f>
        <v>13586084.824798284</v>
      </c>
      <c r="F96" s="151">
        <f>VLOOKUP($B96,'KU Depr Rates'!$A$16:$R$503,8,)/100</f>
        <v>0.1229</v>
      </c>
      <c r="G96" s="88">
        <f t="shared" si="20"/>
        <v>5100626.8180083008</v>
      </c>
      <c r="H96" s="280">
        <f>VLOOKUP($B96,'KU Depr Rates'!$A$16:$R$503,6,)/100</f>
        <v>0</v>
      </c>
      <c r="I96" s="209" t="str">
        <f>VLOOKUP($B96,'KU Depr Rates'!$A$16:$R$503,18,)</f>
        <v>2.2-9.9</v>
      </c>
      <c r="J96" s="230" t="str">
        <f>VLOOKUP($B96,'KU Depr Rates'!$A$16:$R$503,16,)</f>
        <v>4-SQ, 5-SQ, 20-SQ</v>
      </c>
    </row>
    <row r="97" spans="1:10" ht="18.95" customHeight="1">
      <c r="A97" s="70">
        <f t="shared" si="19"/>
        <v>65</v>
      </c>
      <c r="B97" s="271">
        <v>392</v>
      </c>
      <c r="C97" s="78" t="s">
        <v>155</v>
      </c>
      <c r="D97" s="88">
        <f>'SCH B-2.1 B'!H104</f>
        <v>8117335.1854716539</v>
      </c>
      <c r="E97" s="88">
        <f>-'SCH B-3 B'!I107</f>
        <v>4260416.6433308776</v>
      </c>
      <c r="F97" s="151">
        <f>VLOOKUP($B97,'KU Depr Rates'!$A$16:$R$503,8,)/100</f>
        <v>2.9500000000000002E-2</v>
      </c>
      <c r="G97" s="88">
        <f t="shared" si="20"/>
        <v>239461.38797141382</v>
      </c>
      <c r="H97" s="280">
        <f>VLOOKUP($B97,'KU Depr Rates'!$A$16:$R$503,6,)/100</f>
        <v>0</v>
      </c>
      <c r="I97" s="209" t="str">
        <f>VLOOKUP($B97,'KU Depr Rates'!$A$16:$R$503,18,)</f>
        <v>10.8-13.9</v>
      </c>
      <c r="J97" s="230" t="str">
        <f>VLOOKUP($B97,'KU Depr Rates'!$A$16:$R$503,16,)</f>
        <v>16-L2.5, 14-S2</v>
      </c>
    </row>
    <row r="98" spans="1:10" ht="18.95" customHeight="1">
      <c r="A98" s="70">
        <f t="shared" si="19"/>
        <v>66</v>
      </c>
      <c r="B98" s="271">
        <v>393</v>
      </c>
      <c r="C98" s="78" t="s">
        <v>1697</v>
      </c>
      <c r="D98" s="88">
        <f>'SCH B-2.1 B'!H105</f>
        <v>1007047.7443153908</v>
      </c>
      <c r="E98" s="88">
        <f>-'SCH B-3 B'!I108</f>
        <v>361624.2883012211</v>
      </c>
      <c r="F98" s="151">
        <f>VLOOKUP($B98,'KU Depr Rates'!$A$16:$R$503,8,)/100</f>
        <v>4.3999999999999997E-2</v>
      </c>
      <c r="G98" s="88">
        <f t="shared" si="20"/>
        <v>44310.100749877194</v>
      </c>
      <c r="H98" s="280">
        <f>VLOOKUP($B98,'KU Depr Rates'!$A$16:$R$503,6,)/100</f>
        <v>0</v>
      </c>
      <c r="I98" s="209">
        <f>VLOOKUP($B98,'KU Depr Rates'!$A$16:$R$503,18,)</f>
        <v>18</v>
      </c>
      <c r="J98" s="230" t="str">
        <f>VLOOKUP($B98,'KU Depr Rates'!$A$16:$R$503,16,)</f>
        <v>25-SQ</v>
      </c>
    </row>
    <row r="99" spans="1:10" ht="18.95" customHeight="1">
      <c r="A99" s="70">
        <f t="shared" si="19"/>
        <v>67</v>
      </c>
      <c r="B99" s="271">
        <v>394</v>
      </c>
      <c r="C99" s="78" t="s">
        <v>1699</v>
      </c>
      <c r="D99" s="88">
        <f>'SCH B-2.1 B'!H106</f>
        <v>15777471.857484084</v>
      </c>
      <c r="E99" s="88">
        <f>-'SCH B-3 B'!I109</f>
        <v>5406516.9008602807</v>
      </c>
      <c r="F99" s="151">
        <f>VLOOKUP($B99,'KU Depr Rates'!$A$16:$R$503,8,)/100</f>
        <v>4.0199999999999993E-2</v>
      </c>
      <c r="G99" s="88">
        <f t="shared" si="20"/>
        <v>634254.36867086007</v>
      </c>
      <c r="H99" s="280">
        <f>VLOOKUP($B99,'KU Depr Rates'!$A$16:$R$503,6,)/100</f>
        <v>0</v>
      </c>
      <c r="I99" s="209">
        <f>VLOOKUP($B99,'KU Depr Rates'!$A$16:$R$503,18,)</f>
        <v>17.5</v>
      </c>
      <c r="J99" s="230" t="str">
        <f>VLOOKUP($B99,'KU Depr Rates'!$A$16:$R$503,16,)</f>
        <v>25-SQ</v>
      </c>
    </row>
    <row r="100" spans="1:10" ht="18.95" customHeight="1">
      <c r="A100" s="70">
        <f t="shared" si="19"/>
        <v>68</v>
      </c>
      <c r="B100" s="271">
        <v>395</v>
      </c>
      <c r="C100" s="78" t="s">
        <v>1701</v>
      </c>
      <c r="D100" s="88">
        <f>'SCH B-2.1 B'!H107</f>
        <v>0</v>
      </c>
      <c r="E100" s="88">
        <f>-'SCH B-3 B'!I110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9"/>
        <v>69</v>
      </c>
      <c r="B101" s="271">
        <v>396</v>
      </c>
      <c r="C101" s="78" t="s">
        <v>1703</v>
      </c>
      <c r="D101" s="88">
        <f>'SCH B-2.1 B'!H108</f>
        <v>5498168.0832404839</v>
      </c>
      <c r="E101" s="88">
        <f>-'SCH B-3 B'!I111</f>
        <v>1865561.4636198599</v>
      </c>
      <c r="F101" s="151">
        <f>VLOOKUP($B101,'KU Depr Rates'!$A$16:$R$503,8,)/100</f>
        <v>5.6500000000000002E-2</v>
      </c>
      <c r="G101" s="88">
        <f t="shared" si="20"/>
        <v>310646.49670308735</v>
      </c>
      <c r="H101" s="280">
        <f>VLOOKUP($B101,'KU Depr Rates'!$A$16:$R$503,6,)/100</f>
        <v>0</v>
      </c>
      <c r="I101" s="209">
        <f>VLOOKUP($B101,'KU Depr Rates'!$A$16:$R$503,18,)</f>
        <v>12</v>
      </c>
      <c r="J101" s="230" t="str">
        <f>VLOOKUP($B101,'KU Depr Rates'!$A$16:$R$503,16,)</f>
        <v>16-L5</v>
      </c>
    </row>
    <row r="102" spans="1:10" ht="18.95" customHeight="1">
      <c r="A102" s="70">
        <f t="shared" si="19"/>
        <v>70</v>
      </c>
      <c r="B102" s="271">
        <v>397</v>
      </c>
      <c r="C102" s="78" t="s">
        <v>157</v>
      </c>
      <c r="D102" s="88">
        <f>'SCH B-2.1 B'!H109</f>
        <v>59424245.455276996</v>
      </c>
      <c r="E102" s="88">
        <f>-'SCH B-3 B'!I112</f>
        <v>30889528.935646839</v>
      </c>
      <c r="F102" s="151">
        <f>VLOOKUP($B102,'KU Depr Rates'!$A$16:$R$503,8,)/100</f>
        <v>8.2400000000000001E-2</v>
      </c>
      <c r="G102" s="88">
        <f t="shared" si="20"/>
        <v>4896557.8255148241</v>
      </c>
      <c r="H102" s="280">
        <f>VLOOKUP($B102,'KU Depr Rates'!$A$16:$R$503,6,)/100</f>
        <v>0</v>
      </c>
      <c r="I102" s="209" t="str">
        <f>VLOOKUP($B102,'KU Depr Rates'!$A$16:$R$503,18,)</f>
        <v>5.6-13.4</v>
      </c>
      <c r="J102" s="230" t="str">
        <f>VLOOKUP($B102,'KU Depr Rates'!$A$16:$R$503,16,)</f>
        <v>10-SQ, 18-L3</v>
      </c>
    </row>
    <row r="103" spans="1:10" ht="18.95" customHeight="1">
      <c r="A103" s="70">
        <f t="shared" si="19"/>
        <v>71</v>
      </c>
      <c r="B103" s="271">
        <v>398</v>
      </c>
      <c r="C103" s="78" t="s">
        <v>1706</v>
      </c>
      <c r="D103" s="89">
        <f>'SCH B-2.1 B'!H110</f>
        <v>0</v>
      </c>
      <c r="E103" s="89">
        <f>-'SCH B-3 B'!I113</f>
        <v>0</v>
      </c>
      <c r="F103" s="151"/>
      <c r="G103" s="89">
        <f t="shared" si="20"/>
        <v>0</v>
      </c>
      <c r="H103" s="280"/>
      <c r="I103" s="209"/>
      <c r="J103" s="230"/>
    </row>
    <row r="104" spans="1:10" ht="18.95" customHeight="1">
      <c r="A104" s="70">
        <f t="shared" si="19"/>
        <v>72</v>
      </c>
      <c r="B104" s="71"/>
      <c r="C104" s="78" t="s">
        <v>158</v>
      </c>
      <c r="D104" s="86">
        <f>SUM(D94:D103)</f>
        <v>227198408.33422253</v>
      </c>
      <c r="E104" s="86">
        <f>SUM(E94:E103)</f>
        <v>71216645.475781858</v>
      </c>
      <c r="F104" s="86"/>
      <c r="G104" s="86">
        <f>SUM(G95:G103)</f>
        <v>13464252.135139231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438</v>
      </c>
      <c r="D106" s="94">
        <f>SUM(D18,D29,D40,D51,D63,D91,D104)</f>
        <v>8064865360.8814373</v>
      </c>
      <c r="E106" s="94">
        <f>SUM(E18,E29,E40,E51,E63,E91,E104)</f>
        <v>3078403439.530582</v>
      </c>
      <c r="F106" s="86"/>
      <c r="G106" s="94">
        <f>SUM(G18,G29,G40,G51,G63,G91,G104)</f>
        <v>264681046.37801927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>
      <c r="D112" s="69" t="s">
        <v>160</v>
      </c>
      <c r="E112" s="69" t="s">
        <v>160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1:J1"/>
    <mergeCell ref="A2:J2"/>
    <mergeCell ref="A3:J3"/>
    <mergeCell ref="A4:J4"/>
    <mergeCell ref="A64:J64"/>
    <mergeCell ref="A66:J66"/>
    <mergeCell ref="A67:J67"/>
    <mergeCell ref="D73:E73"/>
    <mergeCell ref="A65:J65"/>
    <mergeCell ref="D10:E10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4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0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</row>
    <row r="3" spans="1:10" s="68" customFormat="1" ht="20.100000000000001" customHeight="1">
      <c r="A3" s="809" t="s">
        <v>1240</v>
      </c>
      <c r="B3" s="809"/>
      <c r="C3" s="809"/>
      <c r="D3" s="809"/>
      <c r="E3" s="809"/>
      <c r="F3" s="809"/>
      <c r="G3" s="809"/>
      <c r="H3" s="809"/>
      <c r="I3" s="809"/>
      <c r="J3" s="809"/>
    </row>
    <row r="4" spans="1:10" s="68" customFormat="1" ht="20.100000000000001" customHeight="1">
      <c r="A4" s="809" t="str">
        <f>'Rate Case Constants'!C18</f>
        <v>AS OF JUNE 30, 2022</v>
      </c>
      <c r="B4" s="809"/>
      <c r="C4" s="809"/>
      <c r="D4" s="809"/>
      <c r="E4" s="809"/>
      <c r="F4" s="809"/>
      <c r="G4" s="809"/>
      <c r="H4" s="809"/>
      <c r="I4" s="809"/>
      <c r="J4" s="809"/>
    </row>
    <row r="5" spans="1:10" s="68" customFormat="1" ht="20.100000000000001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</row>
    <row r="6" spans="1:10" s="68" customFormat="1" ht="20.100000000000001" customHeight="1">
      <c r="A6" s="67" t="s">
        <v>161</v>
      </c>
      <c r="B6" s="67"/>
      <c r="I6" s="74"/>
      <c r="J6" s="74" t="s">
        <v>1239</v>
      </c>
    </row>
    <row r="7" spans="1:10" s="68" customFormat="1" ht="20.100000000000001" customHeight="1">
      <c r="A7" s="68" t="str">
        <f>'Rate Case Constants'!C29</f>
        <v>TYPE OF FILING: __X__ ORIGINAL  _____ UPDATED  _____ REVISED</v>
      </c>
      <c r="I7" s="74"/>
      <c r="J7" s="74" t="s">
        <v>2052</v>
      </c>
    </row>
    <row r="8" spans="1:10" s="68" customFormat="1" ht="20.100000000000001" customHeight="1">
      <c r="A8" s="67" t="s">
        <v>1195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13" t="s">
        <v>226</v>
      </c>
      <c r="E10" s="813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1241</v>
      </c>
      <c r="D11" s="71" t="s">
        <v>1574</v>
      </c>
      <c r="E11" s="71" t="s">
        <v>1575</v>
      </c>
      <c r="F11" s="71" t="s">
        <v>2649</v>
      </c>
      <c r="G11" s="71" t="s">
        <v>1244</v>
      </c>
      <c r="H11" s="71" t="s">
        <v>1246</v>
      </c>
      <c r="I11" s="71" t="s">
        <v>1830</v>
      </c>
      <c r="J11" s="71" t="s">
        <v>1247</v>
      </c>
    </row>
    <row r="12" spans="1:10" ht="18.95" customHeight="1">
      <c r="A12" s="98" t="s">
        <v>1217</v>
      </c>
      <c r="B12" s="98" t="s">
        <v>1218</v>
      </c>
      <c r="C12" s="98" t="s">
        <v>1221</v>
      </c>
      <c r="D12" s="98" t="s">
        <v>1229</v>
      </c>
      <c r="E12" s="98" t="s">
        <v>1230</v>
      </c>
      <c r="F12" s="98" t="s">
        <v>1231</v>
      </c>
      <c r="G12" s="98" t="s">
        <v>1245</v>
      </c>
      <c r="H12" s="98" t="s">
        <v>1233</v>
      </c>
      <c r="I12" s="98" t="s">
        <v>1234</v>
      </c>
      <c r="J12" s="98" t="s">
        <v>1248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1616</v>
      </c>
      <c r="D15" s="86">
        <f>'SCH B-2.1 F'!H13</f>
        <v>41551.524759687265</v>
      </c>
      <c r="E15" s="86">
        <f>-'SCH B-3 F'!I14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78" si="0">A15+1</f>
        <v>3</v>
      </c>
      <c r="B16" s="271">
        <v>302</v>
      </c>
      <c r="C16" s="78" t="s">
        <v>1618</v>
      </c>
      <c r="D16" s="86">
        <f>'SCH B-2.1 F'!H14</f>
        <v>144368.66000000003</v>
      </c>
      <c r="E16" s="86">
        <f>-'SCH B-3 F'!I15</f>
        <v>65013.780568999988</v>
      </c>
      <c r="F16" s="151">
        <f>VLOOKUP($B16,'KU Proposed Depr Rates'!$A$16:$R$410,8,)/100</f>
        <v>0</v>
      </c>
      <c r="G16" s="88">
        <f t="shared" ref="G16" si="1">D16*F16</f>
        <v>0</v>
      </c>
      <c r="H16" s="152">
        <f>VLOOKUP($B16,'KU Proposed Depr Rates'!$A$16:$R$410,6,)</f>
        <v>0</v>
      </c>
      <c r="I16" s="278">
        <f>VLOOKUP($B16,'KU Proposed Depr Rates'!$A$16:$R$410,18,)</f>
        <v>0</v>
      </c>
      <c r="J16" s="279" t="str">
        <f>VLOOKUP($B16,'KU Proposed Depr Rates'!$A$16:$R$410,16,)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1620</v>
      </c>
      <c r="D17" s="89">
        <f>'SCH B-2.1 F'!H15</f>
        <v>105565477.83694324</v>
      </c>
      <c r="E17" s="89">
        <f>-'SCH B-3 F'!I16</f>
        <v>49018864.601791151</v>
      </c>
      <c r="F17" s="151">
        <f>VLOOKUP($B17,'KU Proposed Depr Rates'!$A$16:$R$410,8,)/100</f>
        <v>0.1618</v>
      </c>
      <c r="G17" s="89">
        <f t="shared" ref="G17" si="2">D17*F17</f>
        <v>17080494.314017415</v>
      </c>
      <c r="H17" s="280">
        <f>VLOOKUP($B17,'KU Proposed Depr Rates'!$A$16:$R$410,6,)</f>
        <v>0</v>
      </c>
      <c r="I17" s="88" t="str">
        <f>VLOOKUP($B17,'KU Proposed Depr Rates'!$A$16:$R$410,18,)</f>
        <v>2.8-7.4</v>
      </c>
      <c r="J17" s="230" t="str">
        <f>VLOOKUP($B17,'KU Proposed Depr Rates'!$A$16:$R$410,16,)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105751398.02170293</v>
      </c>
      <c r="E18" s="86">
        <f>SUM(E15:E17)</f>
        <v>49083878.382360153</v>
      </c>
      <c r="F18" s="86"/>
      <c r="G18" s="86">
        <f>SUM(G15:G17)</f>
        <v>17080494.314017415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F'!H19</f>
        <v>22173074.362993665</v>
      </c>
      <c r="E21" s="88">
        <f>-'SCH B-3 F'!I20</f>
        <v>0</v>
      </c>
      <c r="F21" s="151">
        <v>0</v>
      </c>
      <c r="G21" s="88">
        <f t="shared" ref="G21:G23" si="3">D21*F21</f>
        <v>0</v>
      </c>
      <c r="H21" s="152">
        <v>0</v>
      </c>
      <c r="I21" s="209"/>
      <c r="J21" s="230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F'!H20</f>
        <v>335189351.39137375</v>
      </c>
      <c r="E22" s="88">
        <f>-'SCH B-3 F'!I21</f>
        <v>161020327.71808782</v>
      </c>
      <c r="F22" s="151">
        <f>VLOOKUP($B22,'KU Proposed Depr Rates'!$A$16:$R$410,8,)/100</f>
        <v>3.7499999999999999E-2</v>
      </c>
      <c r="G22" s="88">
        <f t="shared" si="3"/>
        <v>12569600.677176515</v>
      </c>
      <c r="H22" s="88" t="str">
        <f>VLOOKUP($B22,'KU Proposed Depr Rates'!$A$16:$R$410,6,)</f>
        <v>-1%,-4%-5%,-7%-13%</v>
      </c>
      <c r="I22" s="210">
        <f>VLOOKUP($B22,'KU Proposed Depr Rates'!$A$16:$R$410,18,)</f>
        <v>16.899999999999999</v>
      </c>
      <c r="J22" s="230" t="str">
        <f>VLOOKUP($B22,'KU Proposed Depr Rates'!$A$16:$R$410,16,)</f>
        <v>105-R2.5</v>
      </c>
    </row>
    <row r="23" spans="1:10" ht="18.95" customHeight="1">
      <c r="A23" s="70">
        <f t="shared" si="0"/>
        <v>9</v>
      </c>
      <c r="B23" s="271">
        <v>312</v>
      </c>
      <c r="C23" s="78" t="s">
        <v>1624</v>
      </c>
      <c r="D23" s="88">
        <f>'SCH B-2.1 F'!H21</f>
        <v>3766345093.6045713</v>
      </c>
      <c r="E23" s="88">
        <f>-'SCH B-3 F'!I22</f>
        <v>1466115825.6132157</v>
      </c>
      <c r="F23" s="151">
        <f>VLOOKUP($B23,'KU Proposed Depr Rates'!$A$16:$R$410,8,)/100</f>
        <v>5.2199999999999996E-2</v>
      </c>
      <c r="G23" s="88">
        <f t="shared" si="3"/>
        <v>196603213.88615862</v>
      </c>
      <c r="H23" s="88" t="str">
        <f>VLOOKUP($B23,'KU Proposed Depr Rates'!$A$16:$R$410,6,)</f>
        <v>-4%-7%-13%</v>
      </c>
      <c r="I23" s="210">
        <f>VLOOKUP($B23,'KU Proposed Depr Rates'!$A$16:$R$410,18,)</f>
        <v>14.7</v>
      </c>
      <c r="J23" s="230" t="str">
        <f>VLOOKUP($B23,'KU Proposed Depr Rates'!$A$16:$R$410,16,)</f>
        <v>65-R1.5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F'!H22</f>
        <v>0</v>
      </c>
      <c r="E24" s="88">
        <f>-'SCH B-3 F'!I23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1626</v>
      </c>
      <c r="D25" s="88">
        <f>'SCH B-2.1 F'!H23</f>
        <v>349626263.16622674</v>
      </c>
      <c r="E25" s="88">
        <f>-'SCH B-3 F'!I24</f>
        <v>141161684.03520507</v>
      </c>
      <c r="F25" s="151">
        <f>VLOOKUP($B25,'KU Proposed Depr Rates'!$A$16:$R$410,8,)/100</f>
        <v>4.2099999999999999E-2</v>
      </c>
      <c r="G25" s="88">
        <f t="shared" ref="G25:G27" si="4">D25*F25</f>
        <v>14719265.679298146</v>
      </c>
      <c r="H25" s="88" t="str">
        <f>VLOOKUP($B25,'KU Proposed Depr Rates'!$A$16:$R$410,6,)</f>
        <v>-4%, -7%, -13%</v>
      </c>
      <c r="I25" s="209">
        <f>VLOOKUP($B25,'KU Proposed Depr Rates'!$A$16:$R$410,18,)</f>
        <v>15.6</v>
      </c>
      <c r="J25" s="230" t="str">
        <f>VLOOKUP($B25,'KU Proposed Depr Rates'!$A$16:$R$410,16,)</f>
        <v>60-R1.5</v>
      </c>
    </row>
    <row r="26" spans="1:10" ht="18.95" customHeight="1">
      <c r="A26" s="70">
        <f t="shared" si="0"/>
        <v>11</v>
      </c>
      <c r="B26" s="271">
        <v>315</v>
      </c>
      <c r="C26" s="78" t="s">
        <v>1628</v>
      </c>
      <c r="D26" s="88">
        <f>'SCH B-2.1 F'!H24</f>
        <v>243382245.15764564</v>
      </c>
      <c r="E26" s="88">
        <f>-'SCH B-3 F'!I25</f>
        <v>124889634.82314122</v>
      </c>
      <c r="F26" s="151">
        <f>VLOOKUP($B26,'KU Proposed Depr Rates'!$A$16:$R$410,8,)/100</f>
        <v>3.9100000000000003E-2</v>
      </c>
      <c r="G26" s="88">
        <f t="shared" si="4"/>
        <v>9516245.7856639456</v>
      </c>
      <c r="H26" s="88" t="str">
        <f>VLOOKUP($B26,'KU Proposed Depr Rates'!$A$16:$R$410,6,)</f>
        <v>-4%, -7%, -13%</v>
      </c>
      <c r="I26" s="209">
        <f>VLOOKUP($B26,'KU Proposed Depr Rates'!$A$16:$R$410,18,)</f>
        <v>15.6</v>
      </c>
      <c r="J26" s="230" t="str">
        <f>VLOOKUP($B26,'KU Proposed Depr Rates'!$A$16:$R$410,16,)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1630</v>
      </c>
      <c r="D27" s="88">
        <f>'SCH B-2.1 F'!H25</f>
        <v>45048467.203177176</v>
      </c>
      <c r="E27" s="88">
        <f>-'SCH B-3 F'!I26</f>
        <v>17714697.360728212</v>
      </c>
      <c r="F27" s="151">
        <f>VLOOKUP($B27,'KU Proposed Depr Rates'!$A$16:$R$410,8,)/100</f>
        <v>3.78E-2</v>
      </c>
      <c r="G27" s="88">
        <f t="shared" si="4"/>
        <v>1702832.0602800972</v>
      </c>
      <c r="H27" s="88" t="str">
        <f>VLOOKUP($B27,'KU Proposed Depr Rates'!$A$16:$R$410,6,)</f>
        <v>-1%,-4%, -7%, -13%</v>
      </c>
      <c r="I27" s="209">
        <f>VLOOKUP($B27,'KU Proposed Depr Rates'!$A$16:$R$410,18,)</f>
        <v>16.899999999999999</v>
      </c>
      <c r="J27" s="230" t="str">
        <f>VLOOKUP($B27,'KU Proposed Depr Rates'!$A$16:$R$410,16,)</f>
        <v>70-R1.5</v>
      </c>
    </row>
    <row r="28" spans="1:10" ht="18.95" customHeight="1">
      <c r="A28" s="70">
        <f t="shared" si="0"/>
        <v>13</v>
      </c>
      <c r="B28" s="271">
        <v>317</v>
      </c>
      <c r="C28" s="78" t="s">
        <v>1650</v>
      </c>
      <c r="D28" s="89">
        <f>'SCH B-2.1 F'!H26</f>
        <v>0</v>
      </c>
      <c r="E28" s="89">
        <f>-'SCH B-3 F'!I27</f>
        <v>0</v>
      </c>
      <c r="F28" s="151"/>
      <c r="G28" s="89"/>
      <c r="H28" s="152"/>
      <c r="I28" s="209"/>
      <c r="J28" s="230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4761764494.8859882</v>
      </c>
      <c r="E29" s="86">
        <f>SUM(E21:E28)</f>
        <v>1910902169.5503783</v>
      </c>
      <c r="F29" s="130"/>
      <c r="G29" s="86">
        <f>SUM(G21:G28)</f>
        <v>235111158.08857727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F'!H30</f>
        <v>802683.68565696606</v>
      </c>
      <c r="E32" s="88">
        <f>-'SCH B-3 F'!I31</f>
        <v>802598.51041926316</v>
      </c>
      <c r="F32" s="151">
        <f>VLOOKUP($B32,'KU Proposed Depr Rates'!$A$16:$R$410,8,)/100</f>
        <v>0</v>
      </c>
      <c r="G32" s="88">
        <f t="shared" ref="G32:G38" si="5">D32*F32</f>
        <v>0</v>
      </c>
      <c r="H32" s="280">
        <f>VLOOKUP($B32,'KU Proposed Depr Rates'!$A$16:$R$410,6,)</f>
        <v>0</v>
      </c>
      <c r="I32" s="209">
        <f>VLOOKUP($B32,'KU Proposed Depr Rates'!$A$16:$R$410,18,)</f>
        <v>0</v>
      </c>
      <c r="J32" s="230" t="str">
        <f>VLOOKUP($B32,'KU Proposed Depr Rates'!$A$16:$R$410,16,)</f>
        <v>100-S4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F'!H31</f>
        <v>4865072.2612222722</v>
      </c>
      <c r="E33" s="88">
        <f>-'SCH B-3 F'!I32</f>
        <v>701881.59343768843</v>
      </c>
      <c r="F33" s="151">
        <f>VLOOKUP($B33,'KU Proposed Depr Rates'!$A$16:$R$410,8,)/100</f>
        <v>4.3499999999999997E-2</v>
      </c>
      <c r="G33" s="88">
        <f t="shared" si="5"/>
        <v>211630.64336316881</v>
      </c>
      <c r="H33" s="280">
        <f>VLOOKUP($B33,'KU Proposed Depr Rates'!$A$16:$R$410,6,)/100</f>
        <v>-0.02</v>
      </c>
      <c r="I33" s="209">
        <f>VLOOKUP($B33,'KU Proposed Depr Rates'!$A$16:$R$410,18,)</f>
        <v>20.8</v>
      </c>
      <c r="J33" s="230" t="str">
        <f>VLOOKUP($B33,'KU Proposed Depr Rates'!$A$16:$R$410,16,)</f>
        <v>85-S2.5</v>
      </c>
    </row>
    <row r="34" spans="1:10" ht="18.95" customHeight="1">
      <c r="A34" s="70">
        <f t="shared" si="0"/>
        <v>18</v>
      </c>
      <c r="B34" s="271">
        <v>332</v>
      </c>
      <c r="C34" s="78" t="s">
        <v>1635</v>
      </c>
      <c r="D34" s="88">
        <f>'SCH B-2.1 F'!H32</f>
        <v>24305314.358632293</v>
      </c>
      <c r="E34" s="88">
        <f>-'SCH B-3 F'!I33</f>
        <v>10771081.805299666</v>
      </c>
      <c r="F34" s="151">
        <f>VLOOKUP($B34,'KU Proposed Depr Rates'!$A$16:$R$410,8,)/100</f>
        <v>2.58E-2</v>
      </c>
      <c r="G34" s="88">
        <f t="shared" si="5"/>
        <v>627077.1104527131</v>
      </c>
      <c r="H34" s="280">
        <f>VLOOKUP($B34,'KU Proposed Depr Rates'!$A$16:$R$410,6,)/100</f>
        <v>-0.02</v>
      </c>
      <c r="I34" s="209">
        <f>VLOOKUP($B34,'KU Proposed Depr Rates'!$A$16:$R$410,18,)</f>
        <v>20.7</v>
      </c>
      <c r="J34" s="230" t="str">
        <f>VLOOKUP($B34,'KU Proposed Depr Rates'!$A$16:$R$410,16,)</f>
        <v>110-S2.5</v>
      </c>
    </row>
    <row r="35" spans="1:10" ht="18.95" customHeight="1">
      <c r="A35" s="70">
        <f t="shared" si="0"/>
        <v>19</v>
      </c>
      <c r="B35" s="271">
        <v>333</v>
      </c>
      <c r="C35" s="78" t="s">
        <v>1637</v>
      </c>
      <c r="D35" s="88">
        <f>'SCH B-2.1 F'!H33</f>
        <v>13954521.817865785</v>
      </c>
      <c r="E35" s="88">
        <f>-'SCH B-3 F'!I34</f>
        <v>3706886.4365692334</v>
      </c>
      <c r="F35" s="151">
        <f>VLOOKUP($B35,'KU Proposed Depr Rates'!$A$16:$R$410,8,)/100</f>
        <v>3.8199999999999998E-2</v>
      </c>
      <c r="G35" s="88">
        <f t="shared" si="5"/>
        <v>533062.73344247299</v>
      </c>
      <c r="H35" s="280">
        <f>VLOOKUP($B35,'KU Proposed Depr Rates'!$A$16:$R$410,6,)/100</f>
        <v>-0.02</v>
      </c>
      <c r="I35" s="209">
        <f>VLOOKUP($B35,'KU Proposed Depr Rates'!$A$16:$R$410,18,)</f>
        <v>20.8</v>
      </c>
      <c r="J35" s="230" t="str">
        <f>VLOOKUP($B35,'KU Proposed Depr Rates'!$A$16:$R$410,16,)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1628</v>
      </c>
      <c r="D36" s="88">
        <f>'SCH B-2.1 F'!H34</f>
        <v>1303555.094405418</v>
      </c>
      <c r="E36" s="88">
        <f>-'SCH B-3 F'!I35</f>
        <v>430610.51076093561</v>
      </c>
      <c r="F36" s="151">
        <f>VLOOKUP($B36,'KU Proposed Depr Rates'!$A$16:$R$410,8,)/100</f>
        <v>3.8599999999999995E-2</v>
      </c>
      <c r="G36" s="88">
        <f t="shared" si="5"/>
        <v>50317.226644049129</v>
      </c>
      <c r="H36" s="280">
        <f>VLOOKUP($B36,'KU Proposed Depr Rates'!$A$16:$R$410,6,)/100</f>
        <v>-0.02</v>
      </c>
      <c r="I36" s="209">
        <f>VLOOKUP($B36,'KU Proposed Depr Rates'!$A$16:$R$410,18,)</f>
        <v>19.100000000000001</v>
      </c>
      <c r="J36" s="230" t="str">
        <f>VLOOKUP($B36,'KU Proposed Depr Rates'!$A$16:$R$410,16,)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1640</v>
      </c>
      <c r="D37" s="88">
        <f>'SCH B-2.1 F'!H35</f>
        <v>308825.2089440953</v>
      </c>
      <c r="E37" s="88">
        <f>-'SCH B-3 F'!I36</f>
        <v>179840.63436651698</v>
      </c>
      <c r="F37" s="151">
        <f>VLOOKUP($B37,'KU Proposed Depr Rates'!$A$16:$R$410,8,)/100</f>
        <v>2.9300000000000003E-2</v>
      </c>
      <c r="G37" s="88">
        <f t="shared" si="5"/>
        <v>9048.5786220619939</v>
      </c>
      <c r="H37" s="280">
        <f>VLOOKUP($B37,'KU Proposed Depr Rates'!$A$16:$R$410,6,)/100</f>
        <v>-0.02</v>
      </c>
      <c r="I37" s="209">
        <f>VLOOKUP($B37,'KU Proposed Depr Rates'!$A$16:$R$410,18,)</f>
        <v>16.7</v>
      </c>
      <c r="J37" s="230" t="str">
        <f>VLOOKUP($B37,'KU Proposed Depr Rates'!$A$16:$R$410,16,)</f>
        <v>45-S0</v>
      </c>
    </row>
    <row r="38" spans="1:10" ht="18.95" customHeight="1">
      <c r="A38" s="70">
        <f t="shared" si="0"/>
        <v>22</v>
      </c>
      <c r="B38" s="271">
        <v>336</v>
      </c>
      <c r="C38" s="78" t="s">
        <v>1642</v>
      </c>
      <c r="D38" s="88">
        <f>'SCH B-2.1 F'!H36</f>
        <v>186590.51386734736</v>
      </c>
      <c r="E38" s="88">
        <f>-'SCH B-3 F'!I37</f>
        <v>70704.816534943937</v>
      </c>
      <c r="F38" s="151">
        <f>VLOOKUP($B38,'KU Proposed Depr Rates'!$A$16:$R$410,8,)/100</f>
        <v>3.4099999999999998E-2</v>
      </c>
      <c r="G38" s="88">
        <f t="shared" si="5"/>
        <v>6362.7365228765448</v>
      </c>
      <c r="H38" s="280">
        <f>VLOOKUP($B38,'KU Proposed Depr Rates'!$A$16:$R$410,6,)/100</f>
        <v>-0.02</v>
      </c>
      <c r="I38" s="209">
        <f>VLOOKUP($B38,'KU Proposed Depr Rates'!$A$16:$R$410,18,)</f>
        <v>20.3</v>
      </c>
      <c r="J38" s="230" t="str">
        <f>VLOOKUP($B38,'KU Proposed Depr Rates'!$A$16:$R$410,16,)</f>
        <v>65-R4</v>
      </c>
    </row>
    <row r="39" spans="1:10" ht="18.95" customHeight="1">
      <c r="A39" s="70">
        <f t="shared" si="0"/>
        <v>23</v>
      </c>
      <c r="B39" s="271">
        <v>337</v>
      </c>
      <c r="C39" s="78" t="s">
        <v>1651</v>
      </c>
      <c r="D39" s="89">
        <f>'SCH B-2.1 F'!H37</f>
        <v>0</v>
      </c>
      <c r="E39" s="89">
        <f>-'SCH B-3 F'!I38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 t="s">
        <v>250</v>
      </c>
      <c r="C40" s="78" t="s">
        <v>147</v>
      </c>
      <c r="D40" s="86">
        <f>SUM(D32:D39)</f>
        <v>45726562.940594181</v>
      </c>
      <c r="E40" s="86">
        <f>SUM(E32:E39)</f>
        <v>16663604.307388246</v>
      </c>
      <c r="F40" s="86"/>
      <c r="G40" s="86">
        <f t="shared" ref="G40" si="6">SUM(G32:G39)</f>
        <v>1437499.0290473427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F'!H41</f>
        <v>861471.21125798509</v>
      </c>
      <c r="E43" s="88">
        <f>-'SCH B-3 F'!I42</f>
        <v>130321.46186180186</v>
      </c>
      <c r="F43" s="151">
        <f>VLOOKUP($B43,'KU Proposed Depr Rates'!$A$16:$R$410,8,)/100</f>
        <v>1.1399999999999999E-2</v>
      </c>
      <c r="G43" s="88">
        <f t="shared" ref="G43:G46" si="7">D43*F43</f>
        <v>9820.7718083410291</v>
      </c>
      <c r="H43" s="280">
        <f>VLOOKUP($B43,'KU Proposed Depr Rates'!$A$16:$R$410,6,)</f>
        <v>0</v>
      </c>
      <c r="I43" s="209">
        <f>VLOOKUP($B43,'KU Proposed Depr Rates'!$A$16:$R$410,18,)</f>
        <v>21</v>
      </c>
      <c r="J43" s="230" t="str">
        <f>VLOOKUP($B43,'KU Proposed Depr Rates'!$A$16:$R$410,16,)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F'!H42</f>
        <v>84965655.776701868</v>
      </c>
      <c r="E44" s="88">
        <f>-'SCH B-3 F'!I43</f>
        <v>33097034.329581585</v>
      </c>
      <c r="F44" s="151">
        <f>VLOOKUP($B44,'KU Proposed Depr Rates'!$A$16:$R$410,8,)/100</f>
        <v>2.6699999999999998E-2</v>
      </c>
      <c r="G44" s="88">
        <f t="shared" si="7"/>
        <v>2268583.0092379395</v>
      </c>
      <c r="H44" s="88" t="str">
        <f>VLOOKUP($B44,'KU Proposed Depr Rates'!$A$16:$R$410,6,)</f>
        <v>-3%,-6%,-8%,-10%,-12%</v>
      </c>
      <c r="I44" s="209">
        <f>VLOOKUP($B44,'KU Proposed Depr Rates'!$A$16:$R$410,18,)</f>
        <v>27.8</v>
      </c>
      <c r="J44" s="230" t="str">
        <f>VLOOKUP($B44,'KU Proposed Depr Rates'!$A$16:$R$410,16,)</f>
        <v>50-R2.5, 40-S3</v>
      </c>
    </row>
    <row r="45" spans="1:10" ht="18.95" customHeight="1">
      <c r="A45" s="70">
        <f t="shared" si="0"/>
        <v>28</v>
      </c>
      <c r="B45" s="271">
        <v>342</v>
      </c>
      <c r="C45" s="78" t="s">
        <v>1647</v>
      </c>
      <c r="D45" s="88">
        <f>'SCH B-2.1 F'!H43</f>
        <v>78954970.873638541</v>
      </c>
      <c r="E45" s="88">
        <f>-'SCH B-3 F'!I44</f>
        <v>26649026.544552673</v>
      </c>
      <c r="F45" s="151">
        <f>VLOOKUP($B45,'KU Proposed Depr Rates'!$A$16:$R$410,8,)/100</f>
        <v>2.81E-2</v>
      </c>
      <c r="G45" s="88">
        <f t="shared" si="7"/>
        <v>2218634.6815492432</v>
      </c>
      <c r="H45" s="88" t="str">
        <f>VLOOKUP($B45,'KU Proposed Depr Rates'!$A$16:$R$410,6,)</f>
        <v>-6%,-8%,-10%,-12%</v>
      </c>
      <c r="I45" s="209">
        <f>VLOOKUP($B45,'KU Proposed Depr Rates'!$A$16:$R$410,18,)</f>
        <v>24.5</v>
      </c>
      <c r="J45" s="230" t="str">
        <f>VLOOKUP($B45,'KU Proposed Depr Rates'!$A$16:$R$410,16,)</f>
        <v>50-R2</v>
      </c>
    </row>
    <row r="46" spans="1:10" ht="18.95" customHeight="1">
      <c r="A46" s="70">
        <f t="shared" si="0"/>
        <v>29</v>
      </c>
      <c r="B46" s="271">
        <v>343</v>
      </c>
      <c r="C46" s="78" t="s">
        <v>1649</v>
      </c>
      <c r="D46" s="88">
        <f>'SCH B-2.1 F'!H44</f>
        <v>659032462.24120212</v>
      </c>
      <c r="E46" s="88">
        <f>-'SCH B-3 F'!I45</f>
        <v>271768892.18552023</v>
      </c>
      <c r="F46" s="151">
        <f>VLOOKUP($B46,'KU Proposed Depr Rates'!$A$16:$R$410,8,)/100</f>
        <v>3.1699999999999999E-2</v>
      </c>
      <c r="G46" s="88">
        <f t="shared" si="7"/>
        <v>20891329.053046107</v>
      </c>
      <c r="H46" s="88" t="str">
        <f>VLOOKUP($B46,'KU Proposed Depr Rates'!$A$16:$R$410,6,)</f>
        <v>-6%,-8%,-10%</v>
      </c>
      <c r="I46" s="209">
        <f>VLOOKUP($B46,'KU Proposed Depr Rates'!$A$16:$R$410,18,)</f>
        <v>22.3</v>
      </c>
      <c r="J46" s="230" t="str">
        <f>VLOOKUP($B46,'KU Proposed Depr Rates'!$A$16:$R$410,16,)</f>
        <v>40-R1.5</v>
      </c>
    </row>
    <row r="47" spans="1:10" ht="18.95" customHeight="1">
      <c r="A47" s="70">
        <f>A46+1</f>
        <v>30</v>
      </c>
      <c r="B47" s="271">
        <v>344</v>
      </c>
      <c r="C47" s="78" t="s">
        <v>1653</v>
      </c>
      <c r="D47" s="88">
        <f>'SCH B-2.1 F'!H56</f>
        <v>129420532.23385566</v>
      </c>
      <c r="E47" s="88">
        <f>-'SCH B-3 F'!I58</f>
        <v>54838752.100868262</v>
      </c>
      <c r="F47" s="151">
        <f>VLOOKUP($B47,'KU Proposed Depr Rates'!$A$16:$R$410,8,)/100</f>
        <v>2.7999999999999997E-2</v>
      </c>
      <c r="G47" s="88">
        <f t="shared" ref="G47:G49" si="8">D47*F47</f>
        <v>3623774.9025479583</v>
      </c>
      <c r="H47" s="88" t="str">
        <f>VLOOKUP($B47,'KU Proposed Depr Rates'!$A$16:$R$410,6,)</f>
        <v>-6%,-8%,-10%,-12%</v>
      </c>
      <c r="I47" s="209">
        <f>VLOOKUP($B47,'KU Proposed Depr Rates'!$A$16:$R$410,18,)</f>
        <v>25.1</v>
      </c>
      <c r="J47" s="230" t="str">
        <f>VLOOKUP($B47,'KU Proposed Depr Rates'!$A$16:$R$410,16,)</f>
        <v>25-S2.5,60-S1.5</v>
      </c>
    </row>
    <row r="48" spans="1:10" ht="18.95" customHeight="1">
      <c r="A48" s="70">
        <f t="shared" si="0"/>
        <v>31</v>
      </c>
      <c r="B48" s="271">
        <v>345</v>
      </c>
      <c r="C48" s="78" t="s">
        <v>1628</v>
      </c>
      <c r="D48" s="88">
        <f>'SCH B-2.1 F'!H57</f>
        <v>72949688.321478873</v>
      </c>
      <c r="E48" s="88">
        <f>-'SCH B-3 F'!I59</f>
        <v>34908866.94488512</v>
      </c>
      <c r="F48" s="151">
        <f>VLOOKUP($B48,'KU Proposed Depr Rates'!$A$16:$R$410,8,)/100</f>
        <v>2.6800000000000001E-2</v>
      </c>
      <c r="G48" s="88">
        <f t="shared" si="8"/>
        <v>1955051.6470156338</v>
      </c>
      <c r="H48" s="88" t="str">
        <f>VLOOKUP($B48,'KU Proposed Depr Rates'!$A$16:$R$410,6,)</f>
        <v>-5%,-6%,-8%,-10%,-12%</v>
      </c>
      <c r="I48" s="209">
        <f>VLOOKUP($B48,'KU Proposed Depr Rates'!$A$16:$R$410,18,)</f>
        <v>24.3</v>
      </c>
      <c r="J48" s="230" t="str">
        <f>VLOOKUP($B48,'KU Proposed Depr Rates'!$A$16:$R$410,16,)</f>
        <v>45-R2.5,50-R3</v>
      </c>
    </row>
    <row r="49" spans="1:10" ht="18.95" customHeight="1">
      <c r="A49" s="70">
        <f t="shared" si="0"/>
        <v>32</v>
      </c>
      <c r="B49" s="271">
        <v>346</v>
      </c>
      <c r="C49" s="78" t="s">
        <v>1640</v>
      </c>
      <c r="D49" s="88">
        <f>'SCH B-2.1 F'!H58</f>
        <v>18362252.704611082</v>
      </c>
      <c r="E49" s="88">
        <f>-'SCH B-3 F'!I60</f>
        <v>4111395.4610143024</v>
      </c>
      <c r="F49" s="151">
        <f>VLOOKUP($B49,'KU Proposed Depr Rates'!$A$16:$R$410,8,)/100</f>
        <v>2.7300000000000001E-2</v>
      </c>
      <c r="G49" s="88">
        <f t="shared" si="8"/>
        <v>501289.49883588258</v>
      </c>
      <c r="H49" s="88" t="str">
        <f>VLOOKUP($B49,'KU Proposed Depr Rates'!$A$16:$R$410,6,)</f>
        <v>-3%,-6%,-8%,-10%,-12%</v>
      </c>
      <c r="I49" s="209">
        <f>VLOOKUP($B49,'KU Proposed Depr Rates'!$A$16:$R$410,18,)</f>
        <v>22.6</v>
      </c>
      <c r="J49" s="230" t="str">
        <f>VLOOKUP($B49,'KU Proposed Depr Rates'!$A$16:$R$410,16,)</f>
        <v>40-R2.5,45-R2.5</v>
      </c>
    </row>
    <row r="50" spans="1:10" ht="18.95" customHeight="1">
      <c r="A50" s="70">
        <f t="shared" si="0"/>
        <v>33</v>
      </c>
      <c r="B50" s="271">
        <v>347</v>
      </c>
      <c r="C50" s="78" t="s">
        <v>1691</v>
      </c>
      <c r="D50" s="89">
        <f>'SCH B-2.1 F'!H59</f>
        <v>0</v>
      </c>
      <c r="E50" s="89">
        <f>-'SCH B-3 F'!I61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1044547033.362746</v>
      </c>
      <c r="E51" s="86">
        <f>SUM(E43:E46,E47:E50)</f>
        <v>425504289.02828407</v>
      </c>
      <c r="F51" s="86"/>
      <c r="G51" s="86">
        <f>SUM(G43:G46,G47:G50)</f>
        <v>31468483.564041108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F'!H63</f>
        <v>31942460.462835804</v>
      </c>
      <c r="E54" s="88">
        <f>-'SCH B-3 F'!I65</f>
        <v>16219652.968297757</v>
      </c>
      <c r="F54" s="151">
        <f>VLOOKUP($B54,'KU Depr Rates'!$A$16:$R$410,8,)/100</f>
        <v>8.6E-3</v>
      </c>
      <c r="G54" s="88">
        <f t="shared" ref="G54" si="9">D54*F54</f>
        <v>274705.15998038789</v>
      </c>
      <c r="H54" s="280">
        <f>VLOOKUP($B54,'KU Depr Rates'!$A$16:$R$504,6,)</f>
        <v>0</v>
      </c>
      <c r="I54" s="209">
        <f>VLOOKUP($B54,'KU Depr Rates'!$A$16:$R$504,18,)</f>
        <v>48.9</v>
      </c>
      <c r="J54" s="634" t="str">
        <f>VLOOKUP($B54,'KU Depr Rates'!$A$16:$R$504,16,)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F'!H64</f>
        <v>30631890.127821859</v>
      </c>
      <c r="E55" s="88">
        <f>-'SCH B-3 F'!I66</f>
        <v>8036739.0246974565</v>
      </c>
      <c r="F55" s="151">
        <f>VLOOKUP($B55,'KU Depr Rates'!$A$16:$R$410,8,)/100</f>
        <v>1.66E-2</v>
      </c>
      <c r="G55" s="88">
        <f t="shared" ref="G55:G62" si="10">D55*F55</f>
        <v>508489.37612184288</v>
      </c>
      <c r="H55" s="280">
        <f>VLOOKUP($B55,'KU Depr Rates'!$A$16:$R$504,6,)</f>
        <v>-0.25</v>
      </c>
      <c r="I55" s="209" t="str">
        <f>VLOOKUP($B55,'KU Depr Rates'!$A$16:$R$504,18,)</f>
        <v>47.9-59.5</v>
      </c>
      <c r="J55" s="230" t="str">
        <f>VLOOKUP($B55,'KU Depr Rates'!$A$16:$R$504,16,)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F'!H65</f>
        <v>369966809.71964562</v>
      </c>
      <c r="E56" s="88">
        <f>-'SCH B-3 F'!I67</f>
        <v>77747816.628641173</v>
      </c>
      <c r="F56" s="151">
        <f>VLOOKUP($B56,'KU Depr Rates'!$A$16:$R$410,8,)/100</f>
        <v>1.9E-2</v>
      </c>
      <c r="G56" s="88">
        <f t="shared" si="10"/>
        <v>7029369.3846732667</v>
      </c>
      <c r="H56" s="280">
        <f>VLOOKUP($B56,'KU Depr Rates'!$A$16:$R$504,6,)</f>
        <v>-0.15</v>
      </c>
      <c r="I56" s="209">
        <f>VLOOKUP($B56,'KU Depr Rates'!$A$16:$R$504,18,)</f>
        <v>46</v>
      </c>
      <c r="J56" s="230" t="str">
        <f>VLOOKUP($B56,'KU Depr Rates'!$A$16:$R$504,16,)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1661</v>
      </c>
      <c r="D57" s="88">
        <f>'SCH B-2.1 F'!H66</f>
        <v>72307552.63742438</v>
      </c>
      <c r="E57" s="88">
        <f>-'SCH B-3 F'!I68</f>
        <v>49650021.361407019</v>
      </c>
      <c r="F57" s="151">
        <f>VLOOKUP($B57,'KU Depr Rates'!$A$16:$R$410,8,)/100</f>
        <v>1.6900000000000002E-2</v>
      </c>
      <c r="G57" s="88">
        <f t="shared" si="10"/>
        <v>1221997.6395724721</v>
      </c>
      <c r="H57" s="280">
        <f>VLOOKUP($B57,'KU Depr Rates'!$A$16:$R$504,6,)/100</f>
        <v>-0.4</v>
      </c>
      <c r="I57" s="209">
        <f>VLOOKUP($B57,'KU Depr Rates'!$A$16:$R$504,18,)</f>
        <v>44.8</v>
      </c>
      <c r="J57" s="230" t="str">
        <f>VLOOKUP($B57,'KU Depr Rates'!$A$16:$R$504,16,)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1663</v>
      </c>
      <c r="D58" s="88">
        <f>'SCH B-2.1 F'!H67</f>
        <v>527127738.83384174</v>
      </c>
      <c r="E58" s="88">
        <f>-'SCH B-3 F'!I69</f>
        <v>79885988.238964722</v>
      </c>
      <c r="F58" s="151">
        <f>VLOOKUP($B58,'KU Depr Rates'!$A$16:$R$410,8,)/100</f>
        <v>2.9300000000000003E-2</v>
      </c>
      <c r="G58" s="88">
        <f t="shared" si="10"/>
        <v>15444842.747831564</v>
      </c>
      <c r="H58" s="280">
        <f>VLOOKUP($B58,'KU Depr Rates'!$A$16:$R$504,6,)/100</f>
        <v>-0.75</v>
      </c>
      <c r="I58" s="209">
        <f>VLOOKUP($B58,'KU Depr Rates'!$A$16:$R$504,18,)</f>
        <v>48.8</v>
      </c>
      <c r="J58" s="230" t="str">
        <f>VLOOKUP($B58,'KU Depr Rates'!$A$16:$R$504,16,)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1665</v>
      </c>
      <c r="D59" s="88">
        <f>'SCH B-2.1 F'!H68</f>
        <v>233010609.27030057</v>
      </c>
      <c r="E59" s="88">
        <f>-'SCH B-3 F'!I70</f>
        <v>110947546.21029073</v>
      </c>
      <c r="F59" s="151">
        <f>VLOOKUP($B59,'KU Depr Rates'!$A$16:$R$410,8,)/100</f>
        <v>2.5399999999999999E-2</v>
      </c>
      <c r="G59" s="88">
        <f t="shared" si="10"/>
        <v>5918469.4754656339</v>
      </c>
      <c r="H59" s="280">
        <f>VLOOKUP($B59,'KU Depr Rates'!$A$16:$R$504,6,)/100</f>
        <v>-0.75</v>
      </c>
      <c r="I59" s="209">
        <f>VLOOKUP($B59,'KU Depr Rates'!$A$16:$R$504,18,)</f>
        <v>43.8</v>
      </c>
      <c r="J59" s="230" t="str">
        <f>VLOOKUP($B59,'KU Depr Rates'!$A$16:$R$504,16,)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1667</v>
      </c>
      <c r="D60" s="88">
        <f>'SCH B-2.1 F'!H69</f>
        <v>591593.43714299321</v>
      </c>
      <c r="E60" s="88">
        <f>-'SCH B-3 F'!I71</f>
        <v>196138.54310208609</v>
      </c>
      <c r="F60" s="151">
        <f>VLOOKUP($B60,'KU Depr Rates'!$A$16:$R$410,8,)/100</f>
        <v>1.7000000000000001E-2</v>
      </c>
      <c r="G60" s="88">
        <f t="shared" si="10"/>
        <v>10057.088431430886</v>
      </c>
      <c r="H60" s="280">
        <f>VLOOKUP($B60,'KU Depr Rates'!$A$16:$R$504,6,)</f>
        <v>0</v>
      </c>
      <c r="I60" s="209">
        <f>VLOOKUP($B60,'KU Depr Rates'!$A$16:$R$504,18,)</f>
        <v>28.7</v>
      </c>
      <c r="J60" s="230" t="str">
        <f>VLOOKUP($B60,'KU Depr Rates'!$A$16:$R$504,16,)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1669</v>
      </c>
      <c r="D61" s="88">
        <f>'SCH B-2.1 F'!H70</f>
        <v>1180996.7132673555</v>
      </c>
      <c r="E61" s="88">
        <f>-'SCH B-3 F'!I72</f>
        <v>730417.45110051194</v>
      </c>
      <c r="F61" s="151">
        <f>VLOOKUP($B61,'KU Depr Rates'!$A$16:$R$410,8,)/100</f>
        <v>7.4000000000000003E-3</v>
      </c>
      <c r="G61" s="88">
        <f t="shared" si="10"/>
        <v>8739.3756781784305</v>
      </c>
      <c r="H61" s="280">
        <f>VLOOKUP($B61,'KU Depr Rates'!$A$16:$R$504,6,)</f>
        <v>0</v>
      </c>
      <c r="I61" s="209">
        <f>VLOOKUP($B61,'KU Depr Rates'!$A$16:$R$504,18,)</f>
        <v>23.6</v>
      </c>
      <c r="J61" s="230" t="str">
        <f>VLOOKUP($B61,'KU Depr Rates'!$A$16:$R$504,16,)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F'!H71</f>
        <v>0</v>
      </c>
      <c r="E62" s="89">
        <f>-'SCH B-3 F'!I73</f>
        <v>0</v>
      </c>
      <c r="F62" s="130"/>
      <c r="G62" s="89">
        <f t="shared" si="10"/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1266759651.2022805</v>
      </c>
      <c r="E63" s="86">
        <f>SUM(E54:E62)</f>
        <v>343414320.42650145</v>
      </c>
      <c r="F63" s="86"/>
      <c r="G63" s="86">
        <f t="shared" ref="G63" si="11">SUM(G54:G62)</f>
        <v>30416670.247754775</v>
      </c>
      <c r="H63" s="153"/>
      <c r="I63" s="86"/>
      <c r="J63" s="86"/>
    </row>
    <row r="64" spans="1:10" s="68" customFormat="1" ht="20.100000000000001" customHeight="1">
      <c r="A64" s="809" t="str">
        <f>$A$1</f>
        <v>KENTUCKY UTILITIES COMPANY</v>
      </c>
      <c r="B64" s="809"/>
      <c r="C64" s="809"/>
      <c r="D64" s="809"/>
      <c r="E64" s="809"/>
      <c r="F64" s="809"/>
      <c r="G64" s="809"/>
      <c r="H64" s="809"/>
      <c r="I64" s="809"/>
      <c r="J64" s="809"/>
    </row>
    <row r="65" spans="1:10" s="68" customFormat="1" ht="20.100000000000001" customHeight="1">
      <c r="A65" s="809" t="str">
        <f>$A$2</f>
        <v>CASE NO. 2020-00349</v>
      </c>
      <c r="B65" s="809"/>
      <c r="C65" s="809"/>
      <c r="D65" s="809"/>
      <c r="E65" s="809"/>
      <c r="F65" s="809"/>
      <c r="G65" s="809"/>
      <c r="H65" s="809"/>
      <c r="I65" s="809"/>
      <c r="J65" s="809"/>
    </row>
    <row r="66" spans="1:10" s="68" customFormat="1" ht="20.100000000000001" customHeight="1">
      <c r="A66" s="809" t="str">
        <f>$A$3</f>
        <v>DEPRECIATION ACCRUAL RATES AND ACCUMULATED BALANCES BY ACCOUNT</v>
      </c>
      <c r="B66" s="809"/>
      <c r="C66" s="809"/>
      <c r="D66" s="809"/>
      <c r="E66" s="809"/>
      <c r="F66" s="809"/>
      <c r="G66" s="809"/>
      <c r="H66" s="809"/>
      <c r="I66" s="809"/>
      <c r="J66" s="809"/>
    </row>
    <row r="67" spans="1:10" s="68" customFormat="1" ht="20.100000000000001" customHeight="1">
      <c r="A67" s="808" t="str">
        <f>$A$4</f>
        <v>AS OF JUNE 30, 2022</v>
      </c>
      <c r="B67" s="809"/>
      <c r="C67" s="809"/>
      <c r="D67" s="809"/>
      <c r="E67" s="809"/>
      <c r="F67" s="809"/>
      <c r="G67" s="809"/>
      <c r="H67" s="809"/>
      <c r="I67" s="809"/>
      <c r="J67" s="809"/>
    </row>
    <row r="68" spans="1:10" s="68" customFormat="1" ht="20.100000000000001" customHeight="1">
      <c r="A68" s="229"/>
      <c r="B68" s="229"/>
      <c r="C68" s="229"/>
      <c r="D68" s="229"/>
      <c r="E68" s="229"/>
      <c r="F68" s="229"/>
      <c r="G68" s="229"/>
      <c r="H68" s="229"/>
      <c r="I68" s="229"/>
      <c r="J68" s="229"/>
    </row>
    <row r="69" spans="1:10" s="68" customFormat="1" ht="20.100000000000001" customHeight="1">
      <c r="A69" s="67" t="str">
        <f>$A$6</f>
        <v>DATA:____BASE  PERIOD__X__FORECASTED  PERIOD</v>
      </c>
      <c r="B69" s="67"/>
      <c r="I69" s="74"/>
      <c r="J69" s="74" t="s">
        <v>1239</v>
      </c>
    </row>
    <row r="70" spans="1:10" s="68" customFormat="1" ht="20.100000000000001" customHeight="1">
      <c r="A70" s="67" t="str">
        <f>$A$7</f>
        <v>TYPE OF FILING: __X__ ORIGINAL  _____ UPDATED  _____ REVISED</v>
      </c>
      <c r="I70" s="74"/>
      <c r="J70" s="74" t="s">
        <v>2053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13" t="s">
        <v>226</v>
      </c>
      <c r="E73" s="813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1241</v>
      </c>
      <c r="D74" s="71" t="s">
        <v>1574</v>
      </c>
      <c r="E74" s="71" t="s">
        <v>1575</v>
      </c>
      <c r="F74" s="71" t="s">
        <v>2649</v>
      </c>
      <c r="G74" s="71" t="s">
        <v>1244</v>
      </c>
      <c r="H74" s="71" t="s">
        <v>1246</v>
      </c>
      <c r="I74" s="71" t="s">
        <v>1830</v>
      </c>
      <c r="J74" s="71" t="s">
        <v>1247</v>
      </c>
    </row>
    <row r="75" spans="1:10" ht="18.95" customHeight="1">
      <c r="A75" s="98" t="s">
        <v>1217</v>
      </c>
      <c r="B75" s="98" t="s">
        <v>1218</v>
      </c>
      <c r="C75" s="98" t="s">
        <v>1221</v>
      </c>
      <c r="D75" s="98" t="s">
        <v>1229</v>
      </c>
      <c r="E75" s="98" t="s">
        <v>1230</v>
      </c>
      <c r="F75" s="98" t="s">
        <v>1231</v>
      </c>
      <c r="G75" s="98" t="s">
        <v>1245</v>
      </c>
      <c r="H75" s="98" t="s">
        <v>1233</v>
      </c>
      <c r="I75" s="98" t="s">
        <v>1234</v>
      </c>
      <c r="J75" s="98" t="s">
        <v>1248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250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F'!H75</f>
        <v>9190445.0192307681</v>
      </c>
      <c r="E78" s="88">
        <f>-'SCH B-3 F'!I77</f>
        <v>1441175.0648567423</v>
      </c>
      <c r="F78" s="151">
        <f>VLOOKUP($B78,'KU Depr Rates'!$A$16:$R$504,8,)/100</f>
        <v>6.4000000000000003E-3</v>
      </c>
      <c r="G78" s="88">
        <f t="shared" ref="G78" si="12">D78*F78</f>
        <v>58818.848123076918</v>
      </c>
      <c r="H78" s="280">
        <f>VLOOKUP($B78,'KU Depr Rates'!$A$16:$R$504,6,)/100</f>
        <v>0</v>
      </c>
      <c r="I78" s="209">
        <f>VLOOKUP($B78,'KU Depr Rates'!$A$16:$R$504,18,)</f>
        <v>51.4</v>
      </c>
      <c r="J78" s="634" t="str">
        <f>VLOOKUP($B78,'KU Depr Rates'!$A$16:$R$504,16,)</f>
        <v>70-R4</v>
      </c>
    </row>
    <row r="79" spans="1:10" ht="18.95" customHeight="1">
      <c r="A79" s="70">
        <f t="shared" ref="A79:A91" si="13">A78+1</f>
        <v>48</v>
      </c>
      <c r="B79" s="271">
        <v>361</v>
      </c>
      <c r="C79" s="78" t="s">
        <v>148</v>
      </c>
      <c r="D79" s="88">
        <f>'SCH B-2.1 F'!H76</f>
        <v>30454448.939230639</v>
      </c>
      <c r="E79" s="88">
        <f>-'SCH B-3 F'!I78</f>
        <v>4682869.6416552542</v>
      </c>
      <c r="F79" s="151">
        <f>VLOOKUP($B79,'KU Depr Rates'!$A$16:$R$504,8,)/100</f>
        <v>2.1499999999999998E-2</v>
      </c>
      <c r="G79" s="88">
        <f t="shared" ref="G79:G90" si="14">D79*F79</f>
        <v>654770.65219345875</v>
      </c>
      <c r="H79" s="280">
        <f>VLOOKUP($B79,'KU Depr Rates'!$A$16:$R$504,6,)/100</f>
        <v>-0.25</v>
      </c>
      <c r="I79" s="209">
        <f>VLOOKUP($B79,'KU Depr Rates'!$A$16:$R$504,18,)</f>
        <v>48.4</v>
      </c>
      <c r="J79" s="230" t="str">
        <f>VLOOKUP($B79,'KU Depr Rates'!$A$16:$R$504,16,)</f>
        <v>60-R2.5</v>
      </c>
    </row>
    <row r="80" spans="1:10" ht="18.95" customHeight="1">
      <c r="A80" s="70">
        <f t="shared" si="13"/>
        <v>49</v>
      </c>
      <c r="B80" s="271">
        <v>362</v>
      </c>
      <c r="C80" s="78" t="s">
        <v>1674</v>
      </c>
      <c r="D80" s="88">
        <f>'SCH B-2.1 F'!H77</f>
        <v>302086210.7246154</v>
      </c>
      <c r="E80" s="88">
        <f>-'SCH B-3 F'!I79</f>
        <v>55973872.344205178</v>
      </c>
      <c r="F80" s="151">
        <f>VLOOKUP($B80,'KU Depr Rates'!$A$16:$R$504,8,)/100</f>
        <v>1.5600000000000001E-2</v>
      </c>
      <c r="G80" s="88">
        <f t="shared" si="14"/>
        <v>4712544.8873040006</v>
      </c>
      <c r="H80" s="280">
        <f>VLOOKUP($B80,'KU Depr Rates'!$A$16:$R$504,6,)/100</f>
        <v>-0.2</v>
      </c>
      <c r="I80" s="209">
        <f>VLOOKUP($B80,'KU Depr Rates'!$A$16:$R$504,18,)</f>
        <v>40.299999999999997</v>
      </c>
      <c r="J80" s="230" t="str">
        <f>VLOOKUP($B80,'KU Depr Rates'!$A$16:$R$504,16,)</f>
        <v>54-R2</v>
      </c>
    </row>
    <row r="81" spans="1:10" ht="18.95" customHeight="1">
      <c r="A81" s="70">
        <f t="shared" si="13"/>
        <v>50</v>
      </c>
      <c r="B81" s="271">
        <v>364</v>
      </c>
      <c r="C81" s="78" t="s">
        <v>1676</v>
      </c>
      <c r="D81" s="88">
        <f>'SCH B-2.1 F'!H78</f>
        <v>449662344.73461503</v>
      </c>
      <c r="E81" s="88">
        <f>-'SCH B-3 F'!I80</f>
        <v>171881064.87010553</v>
      </c>
      <c r="F81" s="151">
        <f>VLOOKUP($B81,'KU Depr Rates'!$A$16:$R$504,8,)/100</f>
        <v>1.5600000000000001E-2</v>
      </c>
      <c r="G81" s="88">
        <f t="shared" si="14"/>
        <v>7014732.577859995</v>
      </c>
      <c r="H81" s="280">
        <f>VLOOKUP($B81,'KU Depr Rates'!$A$16:$R$504,6,)/100</f>
        <v>-0.5</v>
      </c>
      <c r="I81" s="209">
        <f>VLOOKUP($B81,'KU Depr Rates'!$A$16:$R$504,18,)</f>
        <v>40.1</v>
      </c>
      <c r="J81" s="230" t="str">
        <f>VLOOKUP($B81,'KU Depr Rates'!$A$16:$R$504,16,)</f>
        <v>50-R1.5</v>
      </c>
    </row>
    <row r="82" spans="1:10" ht="18.95" customHeight="1">
      <c r="A82" s="70">
        <f t="shared" si="13"/>
        <v>51</v>
      </c>
      <c r="B82" s="271">
        <v>365</v>
      </c>
      <c r="C82" s="78" t="s">
        <v>1665</v>
      </c>
      <c r="D82" s="88">
        <f>'SCH B-2.1 F'!H79</f>
        <v>472129092.08692241</v>
      </c>
      <c r="E82" s="88">
        <f>-'SCH B-3 F'!I81</f>
        <v>93274801.233521551</v>
      </c>
      <c r="F82" s="151">
        <f>VLOOKUP($B82,'KU Depr Rates'!$A$16:$R$504,8,)/100</f>
        <v>1.5600000000000001E-2</v>
      </c>
      <c r="G82" s="88">
        <f t="shared" si="14"/>
        <v>7365213.8365559904</v>
      </c>
      <c r="H82" s="280">
        <f>VLOOKUP($B82,'KU Depr Rates'!$A$16:$R$504,6,)/100</f>
        <v>-0.3</v>
      </c>
      <c r="I82" s="209">
        <f>VLOOKUP($B82,'KU Depr Rates'!$A$16:$R$504,18,)</f>
        <v>38.299999999999997</v>
      </c>
      <c r="J82" s="230" t="str">
        <f>VLOOKUP($B82,'KU Depr Rates'!$A$16:$R$504,16,)</f>
        <v>47-R1</v>
      </c>
    </row>
    <row r="83" spans="1:10" ht="18.95" customHeight="1">
      <c r="A83" s="70">
        <f t="shared" si="13"/>
        <v>52</v>
      </c>
      <c r="B83" s="271">
        <v>366</v>
      </c>
      <c r="C83" s="78" t="s">
        <v>1667</v>
      </c>
      <c r="D83" s="88">
        <f>'SCH B-2.1 F'!H80</f>
        <v>2524144.5200000009</v>
      </c>
      <c r="E83" s="88">
        <f>-'SCH B-3 F'!I82</f>
        <v>1176910.1438209901</v>
      </c>
      <c r="F83" s="151">
        <f>VLOOKUP($B83,'KU Depr Rates'!$A$16:$R$504,8,)/100</f>
        <v>2.3199999999999998E-2</v>
      </c>
      <c r="G83" s="88">
        <f t="shared" si="14"/>
        <v>58560.152864000018</v>
      </c>
      <c r="H83" s="280">
        <f>VLOOKUP($B83,'KU Depr Rates'!$A$16:$R$504,6,)/100</f>
        <v>0</v>
      </c>
      <c r="I83" s="209">
        <f>VLOOKUP($B83,'KU Depr Rates'!$A$16:$R$504,18,)</f>
        <v>25.6</v>
      </c>
      <c r="J83" s="230" t="str">
        <f>VLOOKUP($B83,'KU Depr Rates'!$A$16:$R$504,16,)</f>
        <v>50-R4</v>
      </c>
    </row>
    <row r="84" spans="1:10" ht="18.95" customHeight="1">
      <c r="A84" s="70">
        <f t="shared" si="13"/>
        <v>53</v>
      </c>
      <c r="B84" s="271">
        <v>367</v>
      </c>
      <c r="C84" s="78" t="s">
        <v>1669</v>
      </c>
      <c r="D84" s="88">
        <f>'SCH B-2.1 F'!H81</f>
        <v>245161809.96076822</v>
      </c>
      <c r="E84" s="88">
        <f>-'SCH B-3 F'!I83</f>
        <v>57004235.778464712</v>
      </c>
      <c r="F84" s="151">
        <f>VLOOKUP($B84,'KU Depr Rates'!$A$16:$R$504,8,)/100</f>
        <v>1.5600000000000001E-2</v>
      </c>
      <c r="G84" s="88">
        <f t="shared" si="14"/>
        <v>3824524.2353879847</v>
      </c>
      <c r="H84" s="280">
        <f>VLOOKUP($B84,'KU Depr Rates'!$A$16:$R$504,6,)/100</f>
        <v>-0.2</v>
      </c>
      <c r="I84" s="209">
        <f>VLOOKUP($B84,'KU Depr Rates'!$A$16:$R$504,18,)</f>
        <v>40.200000000000003</v>
      </c>
      <c r="J84" s="230" t="str">
        <f>VLOOKUP($B84,'KU Depr Rates'!$A$16:$R$504,16,)</f>
        <v>48-R2</v>
      </c>
    </row>
    <row r="85" spans="1:10" ht="18.95" customHeight="1">
      <c r="A85" s="70">
        <f t="shared" si="13"/>
        <v>54</v>
      </c>
      <c r="B85" s="271">
        <v>368</v>
      </c>
      <c r="C85" s="78" t="s">
        <v>1681</v>
      </c>
      <c r="D85" s="88">
        <f>'SCH B-2.1 F'!H82</f>
        <v>326558524.12538362</v>
      </c>
      <c r="E85" s="88">
        <f>-'SCH B-3 F'!I84</f>
        <v>149134983.66453648</v>
      </c>
      <c r="F85" s="151">
        <f>VLOOKUP($B85,'KU Depr Rates'!$A$16:$R$504,8,)/100</f>
        <v>1.7899999999999999E-2</v>
      </c>
      <c r="G85" s="88">
        <f t="shared" si="14"/>
        <v>5845397.5818443662</v>
      </c>
      <c r="H85" s="280">
        <f>VLOOKUP($B85,'KU Depr Rates'!$A$16:$R$504,6,)/100</f>
        <v>-0.05</v>
      </c>
      <c r="I85" s="209">
        <f>VLOOKUP($B85,'KU Depr Rates'!$A$16:$R$504,18,)</f>
        <v>33</v>
      </c>
      <c r="J85" s="230" t="str">
        <f>VLOOKUP($B85,'KU Depr Rates'!$A$16:$R$504,16,)</f>
        <v>46-R2</v>
      </c>
    </row>
    <row r="86" spans="1:10" ht="18.95" customHeight="1">
      <c r="A86" s="70">
        <f t="shared" si="13"/>
        <v>55</v>
      </c>
      <c r="B86" s="271">
        <v>369</v>
      </c>
      <c r="C86" s="78" t="s">
        <v>1683</v>
      </c>
      <c r="D86" s="88">
        <f>'SCH B-2.1 F'!H83</f>
        <v>124944572.24615385</v>
      </c>
      <c r="E86" s="88">
        <f>-'SCH B-3 F'!I85</f>
        <v>66507199.6151198</v>
      </c>
      <c r="F86" s="151">
        <f>VLOOKUP($B86,'KU Depr Rates'!$A$16:$R$504,8,)/100</f>
        <v>1.6299999999999999E-2</v>
      </c>
      <c r="G86" s="88">
        <f t="shared" si="14"/>
        <v>2036596.5276123076</v>
      </c>
      <c r="H86" s="280">
        <f>VLOOKUP($B86,'KU Depr Rates'!$A$16:$R$504,6,)/100</f>
        <v>-0.25</v>
      </c>
      <c r="I86" s="209">
        <f>VLOOKUP($B86,'KU Depr Rates'!$A$16:$R$504,18,)</f>
        <v>36.6</v>
      </c>
      <c r="J86" s="230" t="str">
        <f>VLOOKUP($B86,'KU Depr Rates'!$A$16:$R$504,16,)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1685</v>
      </c>
      <c r="D87" s="88">
        <f>'SCH B-2.1 F'!H84</f>
        <v>74150151.799111485</v>
      </c>
      <c r="E87" s="88">
        <f>-'SCH B-3 F'!I86</f>
        <v>40989444.694801584</v>
      </c>
      <c r="F87" s="151">
        <f>VLOOKUP($B87,'KU Depr Rates'!$A$16:$R$504,8,)/100</f>
        <v>3.6499999999999998E-2</v>
      </c>
      <c r="G87" s="88">
        <f t="shared" si="14"/>
        <v>2706480.5406675693</v>
      </c>
      <c r="H87" s="280">
        <f>VLOOKUP($B87,'KU Depr Rates'!$A$16:$R$504,6,)/100</f>
        <v>0</v>
      </c>
      <c r="I87" s="209" t="str">
        <f>VLOOKUP($B87,'KU Depr Rates'!$A$16:$R$504,18,)</f>
        <v>4.3-14.7</v>
      </c>
      <c r="J87" s="230" t="str">
        <f>VLOOKUP($B87,'KU Depr Rates'!$A$16:$R$504,16,)</f>
        <v>15-S2.5, 28-L1</v>
      </c>
    </row>
    <row r="88" spans="1:10" ht="18.95" customHeight="1">
      <c r="A88" s="70">
        <f t="shared" si="13"/>
        <v>57</v>
      </c>
      <c r="B88" s="271">
        <v>371</v>
      </c>
      <c r="C88" s="78" t="s">
        <v>1687</v>
      </c>
      <c r="D88" s="88">
        <f>'SCH B-2.1 F'!H85</f>
        <v>159233.80999999997</v>
      </c>
      <c r="E88" s="88">
        <f>-'SCH B-3 F'!I87</f>
        <v>36839.677510223322</v>
      </c>
      <c r="F88" s="151">
        <f>VLOOKUP($B88,'KU Depr Rates'!$A$16:$R$504,8,)/100</f>
        <v>5.2999999999999992E-3</v>
      </c>
      <c r="G88" s="88">
        <f t="shared" si="14"/>
        <v>843.9391929999997</v>
      </c>
      <c r="H88" s="280">
        <f>VLOOKUP($B88,'KU Depr Rates'!$A$16:$R$504,6,)/100</f>
        <v>-0.1</v>
      </c>
      <c r="I88" s="209">
        <f>VLOOKUP($B88,'KU Depr Rates'!$A$16:$R$504,18,)</f>
        <v>19.3</v>
      </c>
      <c r="J88" s="230" t="str">
        <f>VLOOKUP($B88,'KU Depr Rates'!$A$16:$R$504,16,)</f>
        <v>28-O1</v>
      </c>
    </row>
    <row r="89" spans="1:10" ht="18.95" customHeight="1">
      <c r="A89" s="70">
        <f t="shared" si="13"/>
        <v>58</v>
      </c>
      <c r="B89" s="271">
        <v>373</v>
      </c>
      <c r="C89" s="78" t="s">
        <v>1689</v>
      </c>
      <c r="D89" s="88">
        <f>'SCH B-2.1 F'!H86</f>
        <v>143087299.06384519</v>
      </c>
      <c r="E89" s="88">
        <f>-'SCH B-3 F'!I88</f>
        <v>50487118.733421028</v>
      </c>
      <c r="F89" s="151">
        <f>VLOOKUP($B89,'KU Depr Rates'!$A$16:$R$504,8,)/100</f>
        <v>4.0000000000000008E-2</v>
      </c>
      <c r="G89" s="88">
        <f t="shared" si="14"/>
        <v>5723491.9625538085</v>
      </c>
      <c r="H89" s="280">
        <f>VLOOKUP($B89,'KU Depr Rates'!$A$16:$R$504,6,)/100</f>
        <v>-0.1</v>
      </c>
      <c r="I89" s="209">
        <f>VLOOKUP($B89,'KU Depr Rates'!$A$16:$R$504,18,)</f>
        <v>22.1</v>
      </c>
      <c r="J89" s="230" t="str">
        <f>VLOOKUP($B89,'KU Depr Rates'!$A$16:$R$504,16,)</f>
        <v>28-L0.5</v>
      </c>
    </row>
    <row r="90" spans="1:10" ht="18.95" customHeight="1">
      <c r="A90" s="70">
        <f t="shared" si="13"/>
        <v>59</v>
      </c>
      <c r="B90" s="271">
        <v>374</v>
      </c>
      <c r="C90" s="78" t="s">
        <v>151</v>
      </c>
      <c r="D90" s="89">
        <f>'SCH B-2.1 F'!H87</f>
        <v>0</v>
      </c>
      <c r="E90" s="89">
        <f>-'SCH B-3 F'!I89</f>
        <v>0</v>
      </c>
      <c r="F90" s="130"/>
      <c r="G90" s="89">
        <f t="shared" si="14"/>
        <v>0</v>
      </c>
      <c r="H90" s="152"/>
      <c r="I90" s="88"/>
      <c r="J90" s="88"/>
    </row>
    <row r="91" spans="1:10" ht="18.95" customHeight="1">
      <c r="A91" s="70">
        <f t="shared" si="13"/>
        <v>60</v>
      </c>
      <c r="B91" s="71"/>
      <c r="C91" s="78" t="s">
        <v>153</v>
      </c>
      <c r="D91" s="86">
        <f>SUM(D78:D90)</f>
        <v>2180108277.0298767</v>
      </c>
      <c r="E91" s="86">
        <f>SUM(E78:E90)</f>
        <v>692590515.46201921</v>
      </c>
      <c r="F91" s="86"/>
      <c r="G91" s="86">
        <f>SUM(G78:G90)</f>
        <v>40001975.74215956</v>
      </c>
      <c r="H91" s="86"/>
      <c r="I91" s="86"/>
      <c r="J91" s="86"/>
    </row>
    <row r="92" spans="1:10" ht="18.95" customHeight="1">
      <c r="A92" s="70"/>
      <c r="B92" s="271"/>
      <c r="H92" s="148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5">A93+1</f>
        <v>62</v>
      </c>
      <c r="B94" s="271">
        <v>389</v>
      </c>
      <c r="C94" s="78" t="s">
        <v>154</v>
      </c>
      <c r="D94" s="88">
        <f>'SCH B-2.1 F'!H101</f>
        <v>3920556.0828197752</v>
      </c>
      <c r="E94" s="88">
        <f>-'SCH B-3 F'!I104</f>
        <v>-117.77609003360133</v>
      </c>
      <c r="F94" s="151">
        <v>0</v>
      </c>
      <c r="G94" s="88">
        <f t="shared" ref="G94:G99" si="16">D94*F94</f>
        <v>0</v>
      </c>
      <c r="H94" s="280">
        <v>0</v>
      </c>
      <c r="I94" s="209"/>
      <c r="J94" s="230"/>
    </row>
    <row r="95" spans="1:10" ht="18.95" customHeight="1">
      <c r="A95" s="70">
        <f t="shared" si="15"/>
        <v>63</v>
      </c>
      <c r="B95" s="271">
        <v>390</v>
      </c>
      <c r="C95" s="78" t="s">
        <v>148</v>
      </c>
      <c r="D95" s="88">
        <f>'SCH B-2.1 F'!H102</f>
        <v>101406250.19687708</v>
      </c>
      <c r="E95" s="88">
        <f>-'SCH B-3 F'!I105</f>
        <v>16811196.092186403</v>
      </c>
      <c r="F95" s="151">
        <f>VLOOKUP($B95,'KU Depr Rates'!$A$16:$R$504,8,)/100</f>
        <v>2.4199999999999999E-2</v>
      </c>
      <c r="G95" s="88">
        <f t="shared" si="16"/>
        <v>2454031.2547644251</v>
      </c>
      <c r="H95" s="280">
        <f>VLOOKUP($B95,'KU Depr Rates'!$A$16:$R$504,6,)</f>
        <v>0.15</v>
      </c>
      <c r="I95" s="209" t="str">
        <f>VLOOKUP($B95,'KU Depr Rates'!$A$16:$R$504,18,)</f>
        <v>18.00-39.20</v>
      </c>
      <c r="J95" s="230" t="str">
        <f>VLOOKUP($B95,'KU Depr Rates'!$A$16:$R$504,16,)</f>
        <v>55-S0, 33-R1.5</v>
      </c>
    </row>
    <row r="96" spans="1:10" ht="18.95" customHeight="1">
      <c r="A96" s="70">
        <f t="shared" si="15"/>
        <v>64</v>
      </c>
      <c r="B96" s="271">
        <v>391</v>
      </c>
      <c r="C96" s="78" t="s">
        <v>156</v>
      </c>
      <c r="D96" s="88">
        <f>'SCH B-2.1 F'!H103</f>
        <v>41950596.454014525</v>
      </c>
      <c r="E96" s="88">
        <f>-'SCH B-3 F'!I106</f>
        <v>13393579.792453906</v>
      </c>
      <c r="F96" s="151">
        <f>VLOOKUP($B96,'KU Depr Rates'!$A$16:$R$504,8,)/100</f>
        <v>0.1229</v>
      </c>
      <c r="G96" s="88">
        <f t="shared" si="16"/>
        <v>5155728.3041983852</v>
      </c>
      <c r="H96" s="280">
        <f>VLOOKUP($B96,'KU Depr Rates'!$A$16:$R$504,6,)</f>
        <v>0</v>
      </c>
      <c r="I96" s="209" t="str">
        <f>VLOOKUP($B96,'KU Depr Rates'!$A$16:$R$504,18,)</f>
        <v>2.2-9.9</v>
      </c>
      <c r="J96" s="230" t="str">
        <f>VLOOKUP($B96,'KU Depr Rates'!$A$16:$R$504,16,)</f>
        <v>4-SQ, 5-SQ, 20-SQ</v>
      </c>
    </row>
    <row r="97" spans="1:10" ht="18.95" customHeight="1">
      <c r="A97" s="70">
        <f t="shared" si="15"/>
        <v>65</v>
      </c>
      <c r="B97" s="271">
        <v>392</v>
      </c>
      <c r="C97" s="78" t="s">
        <v>155</v>
      </c>
      <c r="D97" s="88">
        <f>'SCH B-2.1 F'!H104</f>
        <v>8143186.6366863269</v>
      </c>
      <c r="E97" s="88">
        <f>-'SCH B-3 F'!I107</f>
        <v>4470041.7484453889</v>
      </c>
      <c r="F97" s="151">
        <f>VLOOKUP($B97,'KU Depr Rates'!$A$16:$R$504,8,)/100</f>
        <v>2.9500000000000002E-2</v>
      </c>
      <c r="G97" s="88">
        <f t="shared" si="16"/>
        <v>240224.00578224665</v>
      </c>
      <c r="H97" s="280">
        <f>VLOOKUP($B97,'KU Depr Rates'!$A$16:$R$504,6,)</f>
        <v>0</v>
      </c>
      <c r="I97" s="209" t="str">
        <f>VLOOKUP($B97,'KU Depr Rates'!$A$16:$R$504,18,)</f>
        <v>10.8-13.9</v>
      </c>
      <c r="J97" s="230" t="str">
        <f>VLOOKUP($B97,'KU Depr Rates'!$A$16:$R$504,16,)</f>
        <v>16-L2.5, 14-S2</v>
      </c>
    </row>
    <row r="98" spans="1:10" ht="18.95" customHeight="1">
      <c r="A98" s="70">
        <f t="shared" si="15"/>
        <v>66</v>
      </c>
      <c r="B98" s="271">
        <v>393</v>
      </c>
      <c r="C98" s="78" t="s">
        <v>1697</v>
      </c>
      <c r="D98" s="88">
        <f>'SCH B-2.1 F'!H105</f>
        <v>967945.71220815065</v>
      </c>
      <c r="E98" s="88">
        <f>-'SCH B-3 F'!I108</f>
        <v>358409.42599943059</v>
      </c>
      <c r="F98" s="151">
        <f>VLOOKUP($B98,'KU Depr Rates'!$A$16:$R$504,8,)/100</f>
        <v>4.3999999999999997E-2</v>
      </c>
      <c r="G98" s="88">
        <f t="shared" si="16"/>
        <v>42589.611337158625</v>
      </c>
      <c r="H98" s="280">
        <f>VLOOKUP($B98,'KU Depr Rates'!$A$16:$R$504,6,)</f>
        <v>0</v>
      </c>
      <c r="I98" s="209">
        <f>VLOOKUP($B98,'KU Depr Rates'!$A$16:$R$504,18,)</f>
        <v>18</v>
      </c>
      <c r="J98" s="230" t="str">
        <f>VLOOKUP($B98,'KU Depr Rates'!$A$16:$R$504,16,)</f>
        <v>25-SQ</v>
      </c>
    </row>
    <row r="99" spans="1:10" ht="18.95" customHeight="1">
      <c r="A99" s="70">
        <f t="shared" si="15"/>
        <v>67</v>
      </c>
      <c r="B99" s="271">
        <v>394</v>
      </c>
      <c r="C99" s="78" t="s">
        <v>1699</v>
      </c>
      <c r="D99" s="88">
        <f>'SCH B-2.1 F'!H106</f>
        <v>17588310.613300268</v>
      </c>
      <c r="E99" s="88">
        <f>-'SCH B-3 F'!I109</f>
        <v>5713133.1544750379</v>
      </c>
      <c r="F99" s="151">
        <f>VLOOKUP($B99,'KU Depr Rates'!$A$16:$R$504,8,)/100</f>
        <v>4.0199999999999993E-2</v>
      </c>
      <c r="G99" s="88">
        <f t="shared" si="16"/>
        <v>707050.08665467065</v>
      </c>
      <c r="H99" s="280">
        <f>VLOOKUP($B99,'KU Depr Rates'!$A$16:$R$504,6,)</f>
        <v>0</v>
      </c>
      <c r="I99" s="209">
        <f>VLOOKUP($B99,'KU Depr Rates'!$A$16:$R$504,18,)</f>
        <v>17.5</v>
      </c>
      <c r="J99" s="230" t="str">
        <f>VLOOKUP($B99,'KU Depr Rates'!$A$16:$R$504,16,)</f>
        <v>25-SQ</v>
      </c>
    </row>
    <row r="100" spans="1:10" ht="18.95" customHeight="1">
      <c r="A100" s="70">
        <f t="shared" si="15"/>
        <v>68</v>
      </c>
      <c r="B100" s="271">
        <v>395</v>
      </c>
      <c r="C100" s="78" t="s">
        <v>1701</v>
      </c>
      <c r="D100" s="88">
        <f>'SCH B-2.1 F'!H107</f>
        <v>0</v>
      </c>
      <c r="E100" s="88">
        <f>-'SCH B-3 F'!I110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5"/>
        <v>69</v>
      </c>
      <c r="B101" s="271">
        <v>396</v>
      </c>
      <c r="C101" s="78" t="s">
        <v>1703</v>
      </c>
      <c r="D101" s="88">
        <f>'SCH B-2.1 F'!H108</f>
        <v>5496822.843572096</v>
      </c>
      <c r="E101" s="88">
        <f>-'SCH B-3 F'!I111</f>
        <v>2123835.4198237802</v>
      </c>
      <c r="F101" s="151">
        <f>VLOOKUP($B101,'KU Depr Rates'!$A$16:$R$504,8,)/100</f>
        <v>5.6500000000000002E-2</v>
      </c>
      <c r="G101" s="88">
        <f t="shared" ref="G101:G103" si="17">D101*F101</f>
        <v>310570.49066182342</v>
      </c>
      <c r="H101" s="280">
        <f>VLOOKUP($B101,'KU Depr Rates'!$A$16:$R$504,6,)</f>
        <v>0</v>
      </c>
      <c r="I101" s="209">
        <f>VLOOKUP($B101,'KU Depr Rates'!$A$16:$R$504,18,)</f>
        <v>12</v>
      </c>
      <c r="J101" s="230" t="str">
        <f>VLOOKUP($B101,'KU Depr Rates'!$A$16:$R$504,16,)</f>
        <v>16-L5</v>
      </c>
    </row>
    <row r="102" spans="1:10" ht="18.95" customHeight="1">
      <c r="A102" s="70">
        <f t="shared" si="15"/>
        <v>70</v>
      </c>
      <c r="B102" s="271">
        <v>397</v>
      </c>
      <c r="C102" s="78" t="s">
        <v>157</v>
      </c>
      <c r="D102" s="88">
        <f>'SCH B-2.1 F'!H109</f>
        <v>65445086.313618295</v>
      </c>
      <c r="E102" s="88">
        <f>-'SCH B-3 F'!I112</f>
        <v>34559623.486262321</v>
      </c>
      <c r="F102" s="151">
        <f>VLOOKUP($B102,'KU Depr Rates'!$A$16:$R$504,8,)/100</f>
        <v>8.2400000000000001E-2</v>
      </c>
      <c r="G102" s="88">
        <f t="shared" si="17"/>
        <v>5392675.1122421473</v>
      </c>
      <c r="H102" s="280">
        <f>VLOOKUP($B102,'KU Depr Rates'!$A$16:$R$504,6,)</f>
        <v>0</v>
      </c>
      <c r="I102" s="209" t="str">
        <f>VLOOKUP($B102,'KU Depr Rates'!$A$16:$R$504,18,)</f>
        <v>5.6-13.4</v>
      </c>
      <c r="J102" s="230" t="str">
        <f>VLOOKUP($B102,'KU Depr Rates'!$A$16:$R$504,16,)</f>
        <v>10-SQ, 18-L3</v>
      </c>
    </row>
    <row r="103" spans="1:10" ht="18.95" customHeight="1">
      <c r="A103" s="70">
        <f t="shared" si="15"/>
        <v>71</v>
      </c>
      <c r="B103" s="271">
        <v>398</v>
      </c>
      <c r="C103" s="78" t="s">
        <v>1706</v>
      </c>
      <c r="D103" s="89">
        <f>'SCH B-2.1 F'!H110</f>
        <v>0</v>
      </c>
      <c r="E103" s="89">
        <f>-'SCH B-3 F'!I113</f>
        <v>0</v>
      </c>
      <c r="F103" s="151"/>
      <c r="G103" s="89">
        <f t="shared" si="17"/>
        <v>0</v>
      </c>
      <c r="H103" s="280"/>
      <c r="I103" s="209"/>
      <c r="J103" s="230"/>
    </row>
    <row r="104" spans="1:10" ht="18.95" customHeight="1">
      <c r="A104" s="70">
        <f t="shared" si="15"/>
        <v>72</v>
      </c>
      <c r="B104" s="71"/>
      <c r="C104" s="78" t="s">
        <v>158</v>
      </c>
      <c r="D104" s="86">
        <f>SUM(D94:D103)</f>
        <v>244918754.85309651</v>
      </c>
      <c r="E104" s="86">
        <f>SUM(E94:E103)</f>
        <v>77429701.34355624</v>
      </c>
      <c r="F104" s="86"/>
      <c r="G104" s="86">
        <f>SUM(G95:G103)</f>
        <v>14302868.865640858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438</v>
      </c>
      <c r="D106" s="94">
        <f>SUM(D18,D29,D40,D51,D63,D91,D104)</f>
        <v>9649576172.2962837</v>
      </c>
      <c r="E106" s="94">
        <f>SUM(E18,E29,E40,E51,E63,E91,E104)</f>
        <v>3515588478.5004873</v>
      </c>
      <c r="F106" s="86"/>
      <c r="G106" s="94">
        <f>SUM(G18,G29,G40,G51,G63,G91,G104)</f>
        <v>369819149.85123831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>
      <c r="D112" s="69" t="s">
        <v>160</v>
      </c>
      <c r="E112" s="69" t="s">
        <v>160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pageSetUpPr fitToPage="1"/>
  </sheetPr>
  <dimension ref="A1:J49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5" width="13.625" style="69" customWidth="1"/>
    <col min="6" max="6" width="14.25" style="69" customWidth="1"/>
    <col min="7" max="7" width="13.625" style="69" customWidth="1"/>
    <col min="8" max="8" width="15.75" style="69" customWidth="1"/>
    <col min="9" max="10" width="15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0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</row>
    <row r="3" spans="1:10" s="68" customFormat="1" ht="20.100000000000001" customHeight="1">
      <c r="A3" s="809" t="s">
        <v>475</v>
      </c>
      <c r="B3" s="809"/>
      <c r="C3" s="809"/>
      <c r="D3" s="809"/>
      <c r="E3" s="809"/>
      <c r="F3" s="809"/>
      <c r="G3" s="809"/>
      <c r="H3" s="809"/>
      <c r="I3" s="809"/>
      <c r="J3" s="809"/>
    </row>
    <row r="4" spans="1:10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  <c r="J4" s="809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223"/>
      <c r="I5" s="223"/>
      <c r="J5" s="92"/>
    </row>
    <row r="6" spans="1:10" s="68" customFormat="1" ht="20.100000000000001" customHeight="1">
      <c r="A6" s="67" t="s">
        <v>133</v>
      </c>
      <c r="D6" s="74"/>
      <c r="E6" s="74"/>
      <c r="F6" s="74"/>
      <c r="H6" s="74"/>
      <c r="I6" s="74"/>
      <c r="J6" s="74" t="s">
        <v>1209</v>
      </c>
    </row>
    <row r="7" spans="1:10" s="68" customFormat="1" ht="20.100000000000001" customHeight="1">
      <c r="A7" s="68" t="str">
        <f>'Rate Case Constants'!C29</f>
        <v>TYPE OF FILING: __X__ ORIGINAL  _____ UPDATED  _____ REVISED</v>
      </c>
      <c r="D7" s="74"/>
      <c r="E7" s="74"/>
      <c r="F7" s="74"/>
      <c r="H7" s="74"/>
      <c r="I7" s="74"/>
      <c r="J7" s="74" t="s">
        <v>176</v>
      </c>
    </row>
    <row r="8" spans="1:10" s="68" customFormat="1" ht="20.100000000000001" customHeight="1">
      <c r="A8" s="67" t="s">
        <v>1195</v>
      </c>
      <c r="D8" s="75"/>
      <c r="E8" s="75"/>
      <c r="F8" s="75"/>
      <c r="H8" s="75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13" t="s">
        <v>1214</v>
      </c>
      <c r="E10" s="813"/>
      <c r="F10" s="96"/>
      <c r="G10" s="96"/>
      <c r="H10" s="96"/>
      <c r="I10" s="96"/>
      <c r="J10" s="96"/>
    </row>
    <row r="11" spans="1:10" ht="51" customHeight="1">
      <c r="A11" s="71" t="s">
        <v>131</v>
      </c>
      <c r="B11" s="78" t="s">
        <v>1162</v>
      </c>
      <c r="C11" s="71" t="s">
        <v>1210</v>
      </c>
      <c r="D11" s="71" t="s">
        <v>1211</v>
      </c>
      <c r="E11" s="71" t="s">
        <v>1212</v>
      </c>
      <c r="F11" s="71" t="s">
        <v>1213</v>
      </c>
      <c r="G11" s="71" t="s">
        <v>223</v>
      </c>
      <c r="H11" s="71" t="s">
        <v>224</v>
      </c>
      <c r="I11" s="71" t="s">
        <v>225</v>
      </c>
      <c r="J11" s="71" t="s">
        <v>226</v>
      </c>
    </row>
    <row r="12" spans="1:10" ht="23.1" customHeight="1">
      <c r="A12" s="80"/>
      <c r="B12" s="81"/>
      <c r="C12" s="82" t="s">
        <v>142</v>
      </c>
      <c r="D12" s="82" t="s">
        <v>142</v>
      </c>
      <c r="E12" s="82" t="s">
        <v>142</v>
      </c>
      <c r="F12" s="82" t="s">
        <v>142</v>
      </c>
      <c r="G12" s="82"/>
      <c r="H12" s="82" t="s">
        <v>142</v>
      </c>
      <c r="I12" s="82" t="s">
        <v>142</v>
      </c>
      <c r="J12" s="82" t="s">
        <v>142</v>
      </c>
    </row>
    <row r="13" spans="1:10" ht="23.1" customHeight="1">
      <c r="A13" s="73"/>
      <c r="B13" s="78" t="s">
        <v>1169</v>
      </c>
      <c r="C13" s="95"/>
      <c r="D13" s="95"/>
      <c r="E13" s="95"/>
      <c r="F13" s="95"/>
      <c r="G13" s="95"/>
      <c r="H13" s="95"/>
      <c r="I13" s="95"/>
      <c r="J13" s="95"/>
    </row>
    <row r="14" spans="1:10" ht="18.95" customHeight="1">
      <c r="A14" s="70">
        <v>1</v>
      </c>
      <c r="B14" s="78" t="s">
        <v>1707</v>
      </c>
      <c r="C14" s="86">
        <f>'JURISSEP B'!$E$288</f>
        <v>135826347.03999987</v>
      </c>
      <c r="D14" s="86">
        <f>'JURISSEP B'!$E$290</f>
        <v>285776.62473684002</v>
      </c>
      <c r="E14" s="86">
        <v>0</v>
      </c>
      <c r="F14" s="86">
        <f>SUM(C14:E14)</f>
        <v>136112123.66473672</v>
      </c>
      <c r="G14" s="130">
        <f>H14/F14</f>
        <v>0.93616805803637115</v>
      </c>
      <c r="H14" s="86">
        <f>'JURISSEP B'!G$291</f>
        <v>127423822.48642297</v>
      </c>
      <c r="I14" s="86">
        <f>'SCH B-4.1'!E12</f>
        <v>-93120171.778939366</v>
      </c>
      <c r="J14" s="86">
        <f>SUM(H14:I14)</f>
        <v>34303650.707483605</v>
      </c>
    </row>
    <row r="15" spans="1:10" ht="18.95" customHeight="1">
      <c r="A15" s="70"/>
      <c r="B15" s="78"/>
      <c r="C15" s="86"/>
      <c r="D15" s="86"/>
      <c r="E15" s="86"/>
      <c r="F15" s="86"/>
      <c r="G15" s="130"/>
      <c r="H15" s="86"/>
      <c r="I15" s="86"/>
      <c r="J15" s="86"/>
    </row>
    <row r="16" spans="1:10" ht="18.95" customHeight="1">
      <c r="A16" s="70">
        <v>2</v>
      </c>
      <c r="B16" s="78" t="s">
        <v>244</v>
      </c>
      <c r="C16" s="86">
        <f>'JURISSEP B'!E$299</f>
        <v>82246772.819999993</v>
      </c>
      <c r="D16" s="86">
        <v>0</v>
      </c>
      <c r="E16" s="86">
        <v>0</v>
      </c>
      <c r="F16" s="86">
        <f>SUM(C16:E16)</f>
        <v>82246772.819999993</v>
      </c>
      <c r="G16" s="130">
        <f>H16/F16</f>
        <v>0.80878263195632538</v>
      </c>
      <c r="H16" s="86">
        <f>'JURISSEP B'!G$299</f>
        <v>66519761.391273558</v>
      </c>
      <c r="I16" s="86"/>
      <c r="J16" s="86">
        <f>SUM(H16:I16)</f>
        <v>66519761.391273558</v>
      </c>
    </row>
    <row r="17" spans="1:10" ht="18.95" customHeight="1">
      <c r="A17" s="70"/>
      <c r="B17" s="78"/>
      <c r="C17" s="86"/>
      <c r="D17" s="86"/>
      <c r="E17" s="86"/>
      <c r="F17" s="86"/>
      <c r="G17" s="86"/>
      <c r="H17" s="86"/>
      <c r="I17" s="86"/>
      <c r="J17" s="86"/>
    </row>
    <row r="18" spans="1:10" ht="18.95" customHeight="1">
      <c r="A18" s="70">
        <v>3</v>
      </c>
      <c r="B18" s="78" t="s">
        <v>1167</v>
      </c>
      <c r="C18" s="86">
        <f>'JURISSEP B'!E$303</f>
        <v>20920672.299999896</v>
      </c>
      <c r="D18" s="86">
        <v>0</v>
      </c>
      <c r="E18" s="86">
        <v>0</v>
      </c>
      <c r="F18" s="86">
        <f>SUM(C18:E18)</f>
        <v>20920672.299999896</v>
      </c>
      <c r="G18" s="130">
        <f>H18/F18</f>
        <v>1</v>
      </c>
      <c r="H18" s="86">
        <f>'JURISSEP B'!G$303</f>
        <v>20920672.299999896</v>
      </c>
      <c r="I18" s="86"/>
      <c r="J18" s="86">
        <f>SUM(H18:I18)</f>
        <v>20920672.299999896</v>
      </c>
    </row>
    <row r="19" spans="1:10" ht="18.95" customHeight="1">
      <c r="A19" s="70"/>
      <c r="B19" s="78"/>
      <c r="C19" s="86"/>
      <c r="D19" s="86"/>
      <c r="E19" s="86"/>
      <c r="F19" s="86"/>
      <c r="G19" s="86"/>
      <c r="H19" s="86"/>
      <c r="I19" s="86"/>
      <c r="J19" s="86"/>
    </row>
    <row r="20" spans="1:10" ht="18.95" customHeight="1">
      <c r="A20" s="70">
        <v>4</v>
      </c>
      <c r="B20" s="78" t="s">
        <v>1168</v>
      </c>
      <c r="C20" s="131">
        <f>'JURISSEP B'!E$305</f>
        <v>22916841.799999896</v>
      </c>
      <c r="D20" s="131">
        <v>0</v>
      </c>
      <c r="E20" s="131">
        <v>0</v>
      </c>
      <c r="F20" s="131">
        <f>SUM(C20:E20)</f>
        <v>22916841.799999896</v>
      </c>
      <c r="G20" s="130">
        <f>H20/F20</f>
        <v>0.9429933243391716</v>
      </c>
      <c r="H20" s="131">
        <f>'JURISSEP B'!G$305</f>
        <v>21610428.832336787</v>
      </c>
      <c r="I20" s="131"/>
      <c r="J20" s="131">
        <f>SUM(H20:I20)</f>
        <v>21610428.832336787</v>
      </c>
    </row>
    <row r="21" spans="1:10" ht="18.95" customHeight="1">
      <c r="A21" s="70"/>
      <c r="B21" s="78"/>
      <c r="C21" s="86"/>
      <c r="D21" s="86"/>
      <c r="E21" s="86"/>
      <c r="F21" s="86"/>
      <c r="G21" s="86"/>
      <c r="H21" s="86"/>
      <c r="I21" s="86"/>
      <c r="J21" s="86"/>
    </row>
    <row r="22" spans="1:10" ht="18.95" customHeight="1" thickBot="1">
      <c r="A22" s="70">
        <v>5</v>
      </c>
      <c r="B22" s="78" t="s">
        <v>1171</v>
      </c>
      <c r="C22" s="94">
        <f>SUM(C14:C20)</f>
        <v>261910633.95999965</v>
      </c>
      <c r="D22" s="94">
        <f>SUM(D14:D20)</f>
        <v>285776.62473684002</v>
      </c>
      <c r="E22" s="94">
        <f>SUM(E14:E20)</f>
        <v>0</v>
      </c>
      <c r="F22" s="94">
        <f>SUM(F14:F20)</f>
        <v>262196410.5847365</v>
      </c>
      <c r="G22" s="86"/>
      <c r="H22" s="94">
        <f>SUM(H14:H20)</f>
        <v>236474685.01003319</v>
      </c>
      <c r="I22" s="94">
        <f>SUM(I14:I20)</f>
        <v>-93120171.778939366</v>
      </c>
      <c r="J22" s="94">
        <f>SUM(J14:J20)</f>
        <v>143354513.23109385</v>
      </c>
    </row>
    <row r="23" spans="1:10" ht="18.95" customHeight="1" thickTop="1">
      <c r="A23" s="70"/>
      <c r="B23" s="78"/>
      <c r="C23" s="86"/>
      <c r="D23" s="86"/>
      <c r="E23" s="86"/>
      <c r="F23" s="86"/>
      <c r="G23" s="86"/>
      <c r="H23" s="86"/>
      <c r="I23" s="86"/>
      <c r="J23" s="86"/>
    </row>
    <row r="24" spans="1:10" ht="18.95" customHeight="1">
      <c r="A24" s="70"/>
      <c r="B24" s="67"/>
      <c r="C24" s="86"/>
      <c r="D24" s="86"/>
      <c r="E24" s="86"/>
      <c r="F24" s="86"/>
      <c r="G24" s="86"/>
      <c r="H24" s="86"/>
      <c r="I24" s="86"/>
      <c r="J24" s="86"/>
    </row>
    <row r="25" spans="1:10" ht="18.95" customHeight="1">
      <c r="A25" s="70"/>
      <c r="B25" s="78"/>
      <c r="C25" s="86"/>
      <c r="D25" s="86"/>
      <c r="E25" s="86"/>
      <c r="F25" s="86"/>
      <c r="G25" s="86"/>
      <c r="H25" s="86"/>
      <c r="I25" s="86"/>
      <c r="J25" s="86"/>
    </row>
    <row r="26" spans="1:10" s="68" customFormat="1" ht="20.100000000000001" customHeight="1">
      <c r="A26" s="809" t="str">
        <f>$A$1</f>
        <v>KENTUCKY UTILITIES COMPANY</v>
      </c>
      <c r="B26" s="809"/>
      <c r="C26" s="809"/>
      <c r="D26" s="809"/>
      <c r="E26" s="809"/>
      <c r="F26" s="809"/>
      <c r="G26" s="809"/>
      <c r="H26" s="809"/>
      <c r="I26" s="809"/>
      <c r="J26" s="809"/>
    </row>
    <row r="27" spans="1:10" s="68" customFormat="1" ht="20.100000000000001" customHeight="1">
      <c r="A27" s="809" t="str">
        <f>$A$2</f>
        <v>CASE NO. 2020-00349</v>
      </c>
      <c r="B27" s="809"/>
      <c r="C27" s="809"/>
      <c r="D27" s="809"/>
      <c r="E27" s="809"/>
      <c r="F27" s="809"/>
      <c r="G27" s="809"/>
      <c r="H27" s="809"/>
      <c r="I27" s="809"/>
      <c r="J27" s="809"/>
    </row>
    <row r="28" spans="1:10" s="68" customFormat="1" ht="20.100000000000001" customHeight="1">
      <c r="A28" s="809" t="str">
        <f>$A$3</f>
        <v>CONSTRUCTION WORK IN PROGRESS</v>
      </c>
      <c r="B28" s="809"/>
      <c r="C28" s="809"/>
      <c r="D28" s="809"/>
      <c r="E28" s="809"/>
      <c r="F28" s="809"/>
      <c r="G28" s="809"/>
      <c r="H28" s="809"/>
      <c r="I28" s="809"/>
      <c r="J28" s="809"/>
    </row>
    <row r="29" spans="1:10" s="68" customFormat="1" ht="20.100000000000001" customHeight="1">
      <c r="A29" s="808" t="str">
        <f>'Rate Case Constants'!C18</f>
        <v>AS OF JUNE 30, 2022</v>
      </c>
      <c r="B29" s="814"/>
      <c r="C29" s="814"/>
      <c r="D29" s="814"/>
      <c r="E29" s="814"/>
      <c r="F29" s="814"/>
      <c r="G29" s="814"/>
      <c r="H29" s="814"/>
      <c r="I29" s="814"/>
      <c r="J29" s="814"/>
    </row>
    <row r="30" spans="1:10" s="68" customFormat="1" ht="20.100000000000001" customHeight="1">
      <c r="A30" s="92"/>
      <c r="B30" s="92"/>
      <c r="C30" s="92"/>
      <c r="D30" s="92"/>
      <c r="E30" s="92"/>
      <c r="F30" s="92"/>
      <c r="G30" s="92"/>
      <c r="H30" s="223"/>
      <c r="I30" s="223"/>
      <c r="J30" s="92"/>
    </row>
    <row r="31" spans="1:10" s="68" customFormat="1" ht="20.100000000000001" customHeight="1">
      <c r="A31" s="67" t="s">
        <v>161</v>
      </c>
      <c r="D31" s="74"/>
      <c r="E31" s="74"/>
      <c r="F31" s="74"/>
      <c r="H31" s="74"/>
      <c r="I31" s="74"/>
      <c r="J31" s="74" t="s">
        <v>1209</v>
      </c>
    </row>
    <row r="32" spans="1:10" s="68" customFormat="1" ht="20.100000000000001" customHeight="1">
      <c r="A32" s="67" t="str">
        <f>$A$7</f>
        <v>TYPE OF FILING: __X__ ORIGINAL  _____ UPDATED  _____ REVISED</v>
      </c>
      <c r="D32" s="74"/>
      <c r="E32" s="74"/>
      <c r="F32" s="74"/>
      <c r="H32" s="74"/>
      <c r="I32" s="74"/>
      <c r="J32" s="74" t="s">
        <v>184</v>
      </c>
    </row>
    <row r="33" spans="1:10" s="68" customFormat="1" ht="20.100000000000001" customHeight="1">
      <c r="A33" s="67" t="str">
        <f>$A$8</f>
        <v>WORKPAPER REFERENCE NO(S).:</v>
      </c>
      <c r="D33" s="75"/>
      <c r="E33" s="75"/>
      <c r="F33" s="75"/>
      <c r="H33" s="75"/>
      <c r="I33" s="75"/>
      <c r="J33" s="75" t="str">
        <f>$J$8</f>
        <v>WITNESS:   C. M. GARRETT</v>
      </c>
    </row>
    <row r="34" spans="1:10" s="68" customFormat="1" ht="20.100000000000001" customHeight="1"/>
    <row r="35" spans="1:10" s="68" customFormat="1" ht="20.100000000000001" customHeight="1">
      <c r="A35" s="96"/>
      <c r="B35" s="96"/>
      <c r="C35" s="96"/>
      <c r="D35" s="813" t="s">
        <v>1214</v>
      </c>
      <c r="E35" s="813"/>
      <c r="F35" s="96"/>
      <c r="G35" s="96"/>
      <c r="H35" s="96"/>
      <c r="I35" s="96"/>
      <c r="J35" s="96"/>
    </row>
    <row r="36" spans="1:10" ht="51" customHeight="1">
      <c r="A36" s="71" t="s">
        <v>131</v>
      </c>
      <c r="B36" s="78" t="s">
        <v>1162</v>
      </c>
      <c r="C36" s="71" t="s">
        <v>2244</v>
      </c>
      <c r="D36" s="71" t="s">
        <v>1211</v>
      </c>
      <c r="E36" s="71" t="s">
        <v>1212</v>
      </c>
      <c r="F36" s="71" t="s">
        <v>1213</v>
      </c>
      <c r="G36" s="71" t="s">
        <v>223</v>
      </c>
      <c r="H36" s="71" t="s">
        <v>224</v>
      </c>
      <c r="I36" s="71" t="s">
        <v>225</v>
      </c>
      <c r="J36" s="71" t="s">
        <v>226</v>
      </c>
    </row>
    <row r="37" spans="1:10" ht="23.1" customHeight="1">
      <c r="A37" s="80"/>
      <c r="B37" s="81"/>
      <c r="C37" s="82" t="s">
        <v>142</v>
      </c>
      <c r="D37" s="82" t="s">
        <v>142</v>
      </c>
      <c r="E37" s="82" t="s">
        <v>142</v>
      </c>
      <c r="F37" s="82" t="s">
        <v>142</v>
      </c>
      <c r="G37" s="82"/>
      <c r="H37" s="82" t="s">
        <v>142</v>
      </c>
      <c r="I37" s="82" t="s">
        <v>142</v>
      </c>
      <c r="J37" s="82" t="s">
        <v>142</v>
      </c>
    </row>
    <row r="38" spans="1:10" ht="23.1" customHeight="1">
      <c r="A38" s="73"/>
      <c r="B38" s="132" t="s">
        <v>1169</v>
      </c>
      <c r="C38" s="95"/>
      <c r="D38" s="95"/>
      <c r="E38" s="95"/>
      <c r="F38" s="95"/>
      <c r="G38" s="95"/>
      <c r="H38" s="95"/>
      <c r="I38" s="95"/>
      <c r="J38" s="95"/>
    </row>
    <row r="39" spans="1:10" ht="18.95" customHeight="1">
      <c r="A39" s="70">
        <v>1</v>
      </c>
      <c r="B39" s="78" t="s">
        <v>1707</v>
      </c>
      <c r="C39" s="86">
        <f>'JURISSEP F'!$E$288</f>
        <v>133733622.86892717</v>
      </c>
      <c r="D39" s="86">
        <f>'JURISSEP F'!$E$290</f>
        <v>336337.09</v>
      </c>
      <c r="E39" s="86">
        <v>0</v>
      </c>
      <c r="F39" s="86">
        <f>SUM(C39:E39)</f>
        <v>134069959.95892717</v>
      </c>
      <c r="G39" s="130">
        <f>H39/F39</f>
        <v>0.93772436015633753</v>
      </c>
      <c r="H39" s="86">
        <f>'JURISSEP F'!G$291</f>
        <v>125720667.41867077</v>
      </c>
      <c r="I39" s="86">
        <f>'SCH B-4.1'!E30</f>
        <v>-104728034.12584195</v>
      </c>
      <c r="J39" s="86">
        <f>SUM(H39:I39)</f>
        <v>20992633.292828828</v>
      </c>
    </row>
    <row r="40" spans="1:10" ht="18.95" customHeight="1">
      <c r="A40" s="70"/>
      <c r="B40" s="78"/>
      <c r="C40" s="86"/>
      <c r="D40" s="86"/>
      <c r="E40" s="86"/>
      <c r="F40" s="86"/>
      <c r="G40" s="130"/>
      <c r="H40" s="86"/>
      <c r="I40" s="86"/>
      <c r="J40" s="86"/>
    </row>
    <row r="41" spans="1:10" ht="18.95" customHeight="1">
      <c r="A41" s="70">
        <v>2</v>
      </c>
      <c r="B41" s="78" t="s">
        <v>244</v>
      </c>
      <c r="C41" s="86">
        <f>'JURISSEP F'!E$299</f>
        <v>94509401.528461546</v>
      </c>
      <c r="D41" s="86">
        <v>0</v>
      </c>
      <c r="E41" s="86">
        <v>0</v>
      </c>
      <c r="F41" s="86">
        <f>SUM(C41:E41)</f>
        <v>94509401.528461546</v>
      </c>
      <c r="G41" s="130">
        <f>H41/F41</f>
        <v>0.83545821667959808</v>
      </c>
      <c r="H41" s="86">
        <f>'JURISSEP F'!G$299</f>
        <v>78958656.060424566</v>
      </c>
      <c r="I41" s="86">
        <f>'SCH B-4.1'!E31</f>
        <v>0</v>
      </c>
      <c r="J41" s="86">
        <f>SUM(H41:I41)</f>
        <v>78958656.060424566</v>
      </c>
    </row>
    <row r="42" spans="1:10" ht="18.95" customHeight="1">
      <c r="A42" s="70"/>
      <c r="B42" s="78"/>
      <c r="C42" s="86"/>
      <c r="D42" s="86"/>
      <c r="E42" s="86"/>
      <c r="F42" s="86"/>
      <c r="G42" s="86"/>
      <c r="H42" s="86"/>
      <c r="I42" s="86"/>
      <c r="J42" s="86"/>
    </row>
    <row r="43" spans="1:10" ht="18.95" customHeight="1">
      <c r="A43" s="70">
        <v>3</v>
      </c>
      <c r="B43" s="78" t="s">
        <v>1167</v>
      </c>
      <c r="C43" s="86">
        <f>SUM('JURISSEP F'!E$301:E$303)</f>
        <v>28516824.350345086</v>
      </c>
      <c r="D43" s="86">
        <f>'JURISSEP F'!$E$304</f>
        <v>24594.356729453375</v>
      </c>
      <c r="E43" s="86">
        <v>0</v>
      </c>
      <c r="F43" s="86">
        <f>SUM(C43:E43)</f>
        <v>28541418.707074538</v>
      </c>
      <c r="G43" s="130">
        <f>H43/F43</f>
        <v>0.97425119560946527</v>
      </c>
      <c r="H43" s="86">
        <f>'JURISSEP F'!G$305</f>
        <v>27806511.299757726</v>
      </c>
      <c r="I43" s="86">
        <f>'SCH B-4.1'!E32</f>
        <v>-1663469.9406206794</v>
      </c>
      <c r="J43" s="86">
        <f>SUM(H43:I43)</f>
        <v>26143041.359137047</v>
      </c>
    </row>
    <row r="44" spans="1:10" ht="18.95" customHeight="1">
      <c r="A44" s="70"/>
      <c r="B44" s="78"/>
      <c r="C44" s="86"/>
      <c r="D44" s="86"/>
      <c r="E44" s="86"/>
      <c r="F44" s="86"/>
      <c r="G44" s="86"/>
      <c r="H44" s="86"/>
      <c r="I44" s="86"/>
      <c r="J44" s="86"/>
    </row>
    <row r="45" spans="1:10" ht="18.95" customHeight="1">
      <c r="A45" s="70">
        <v>4</v>
      </c>
      <c r="B45" s="78" t="s">
        <v>1168</v>
      </c>
      <c r="C45" s="131">
        <f>'JURISSEP F'!E$307+'JURISSEP F'!E$309</f>
        <v>39570216.123607278</v>
      </c>
      <c r="D45" s="779">
        <f>+'JURISSEP F'!E$308</f>
        <v>143857.26283815998</v>
      </c>
      <c r="E45" s="131">
        <v>0</v>
      </c>
      <c r="F45" s="131">
        <f>SUM(C45:E45)</f>
        <v>39714073.38644544</v>
      </c>
      <c r="G45" s="130">
        <f>H45/F45</f>
        <v>0.94174064913533784</v>
      </c>
      <c r="H45" s="131">
        <f>'JURISSEP F'!G$310</f>
        <v>37400357.250759572</v>
      </c>
      <c r="I45" s="131">
        <f>'SCH B-4.1'!E33</f>
        <v>-7670966.691545167</v>
      </c>
      <c r="J45" s="131">
        <f>SUM(H45:I45)</f>
        <v>29729390.559214406</v>
      </c>
    </row>
    <row r="46" spans="1:10" ht="18.95" customHeight="1">
      <c r="A46" s="70"/>
      <c r="B46" s="78"/>
      <c r="C46" s="86"/>
      <c r="D46" s="86"/>
      <c r="E46" s="86"/>
      <c r="F46" s="86"/>
      <c r="G46" s="86"/>
      <c r="H46" s="86"/>
      <c r="I46" s="86"/>
      <c r="J46" s="86"/>
    </row>
    <row r="47" spans="1:10" ht="18.95" customHeight="1" thickBot="1">
      <c r="A47" s="70">
        <v>5</v>
      </c>
      <c r="B47" s="78" t="s">
        <v>1171</v>
      </c>
      <c r="C47" s="94">
        <f>SUM(C39:C45)</f>
        <v>296330064.87134105</v>
      </c>
      <c r="D47" s="94">
        <f>SUM(D39:D45)</f>
        <v>504788.70956761338</v>
      </c>
      <c r="E47" s="94">
        <f>SUM(E39:E45)</f>
        <v>0</v>
      </c>
      <c r="F47" s="94">
        <f>SUM(F39:F45)</f>
        <v>296834853.58090872</v>
      </c>
      <c r="G47" s="86"/>
      <c r="H47" s="94">
        <f>SUM(H39:H45)</f>
        <v>269886192.02961266</v>
      </c>
      <c r="I47" s="94">
        <f>SUM(I39:I45)</f>
        <v>-114062470.75800779</v>
      </c>
      <c r="J47" s="94">
        <f>SUM(J39:J45)</f>
        <v>155823721.27160484</v>
      </c>
    </row>
    <row r="48" spans="1:10" ht="18.95" customHeight="1" thickTop="1">
      <c r="B48" s="78"/>
    </row>
    <row r="49" spans="2:2">
      <c r="B49" s="188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0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5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29.75" style="69" customWidth="1"/>
    <col min="3" max="3" width="14.75" style="69" customWidth="1"/>
    <col min="4" max="5" width="15.75" style="69" customWidth="1"/>
    <col min="6" max="6" width="15.375" style="69" customWidth="1"/>
    <col min="7" max="7" width="23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08" t="str">
        <f>'Rate Case Constants'!C9</f>
        <v>KENTUCKY UTILITIES COMPANY</v>
      </c>
      <c r="B1" s="809"/>
      <c r="C1" s="809"/>
      <c r="D1" s="809"/>
      <c r="E1" s="809"/>
      <c r="F1" s="809"/>
      <c r="G1" s="809"/>
    </row>
    <row r="2" spans="1:9" s="68" customFormat="1" ht="20.100000000000001" customHeight="1">
      <c r="A2" s="808" t="str">
        <f>'Rate Case Constants'!C10</f>
        <v>CASE NO. 2020-00349</v>
      </c>
      <c r="B2" s="809"/>
      <c r="C2" s="809"/>
      <c r="D2" s="809"/>
      <c r="E2" s="809"/>
      <c r="F2" s="809"/>
      <c r="G2" s="809"/>
    </row>
    <row r="3" spans="1:9" s="68" customFormat="1" ht="20.100000000000001" customHeight="1">
      <c r="A3" s="809" t="s">
        <v>1708</v>
      </c>
      <c r="B3" s="809"/>
      <c r="C3" s="809"/>
      <c r="D3" s="809"/>
      <c r="E3" s="809"/>
      <c r="F3" s="809"/>
      <c r="G3" s="809"/>
      <c r="H3" s="809"/>
    </row>
    <row r="4" spans="1:9" s="68" customFormat="1" ht="20.100000000000001" customHeight="1">
      <c r="A4" s="808" t="str">
        <f>'Rate Case Constants'!C12</f>
        <v>AS OF FEBRUARY 28, 2021</v>
      </c>
      <c r="B4" s="809"/>
      <c r="C4" s="809"/>
      <c r="D4" s="809"/>
      <c r="E4" s="809"/>
      <c r="F4" s="809"/>
      <c r="G4" s="809"/>
    </row>
    <row r="5" spans="1:9" s="68" customFormat="1" ht="20.100000000000001" customHeight="1">
      <c r="A5" s="223"/>
      <c r="B5" s="223"/>
      <c r="C5" s="223"/>
      <c r="D5" s="223"/>
      <c r="E5" s="223"/>
      <c r="F5" s="223"/>
      <c r="G5" s="223"/>
    </row>
    <row r="6" spans="1:9" s="68" customFormat="1" ht="20.100000000000001" customHeight="1">
      <c r="A6" s="67" t="s">
        <v>133</v>
      </c>
      <c r="F6" s="74"/>
      <c r="G6" s="74" t="s">
        <v>1215</v>
      </c>
    </row>
    <row r="7" spans="1:9" s="68" customFormat="1" ht="20.100000000000001" customHeight="1">
      <c r="A7" s="68" t="str">
        <f>'Rate Case Constants'!C29</f>
        <v>TYPE OF FILING: __X__ ORIGINAL  _____ UPDATED  _____ REVISED</v>
      </c>
      <c r="F7" s="74"/>
      <c r="G7" s="74" t="s">
        <v>176</v>
      </c>
    </row>
    <row r="8" spans="1:9" s="68" customFormat="1" ht="20.100000000000001" customHeight="1">
      <c r="A8" s="67" t="s">
        <v>1195</v>
      </c>
      <c r="E8" s="67"/>
      <c r="F8" s="75"/>
      <c r="G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1162</v>
      </c>
      <c r="C10" s="76" t="s">
        <v>215</v>
      </c>
      <c r="D10" s="76" t="s">
        <v>216</v>
      </c>
      <c r="E10" s="76" t="s">
        <v>217</v>
      </c>
      <c r="F10" s="76" t="s">
        <v>218</v>
      </c>
      <c r="G10" s="76" t="s">
        <v>219</v>
      </c>
    </row>
    <row r="11" spans="1:9" ht="23.1" customHeight="1">
      <c r="A11" s="80"/>
      <c r="B11" s="81"/>
      <c r="C11" s="82" t="s">
        <v>142</v>
      </c>
      <c r="D11" s="82"/>
      <c r="E11" s="82" t="s">
        <v>142</v>
      </c>
      <c r="F11" s="82"/>
      <c r="G11" s="82"/>
    </row>
    <row r="12" spans="1:9" ht="18.95" customHeight="1">
      <c r="A12" s="224">
        <v>1</v>
      </c>
      <c r="B12" s="68" t="s">
        <v>1707</v>
      </c>
      <c r="C12" s="395">
        <f>SUMIFS('FC CWIP &amp; RWIP B'!$Q$6:$Q$29,'FC CWIP &amp; RWIP B'!$D$6:$D$29,I12,'FC CWIP &amp; RWIP B'!$B$6:$B$29,B12)*-1000</f>
        <v>-99469503.343513504</v>
      </c>
      <c r="D12" s="397">
        <f>'SCH B-4'!G14</f>
        <v>0.93616805803637115</v>
      </c>
      <c r="E12" s="395">
        <f>C12*D12</f>
        <v>-93120171.778939366</v>
      </c>
      <c r="G12" s="68" t="s">
        <v>1710</v>
      </c>
      <c r="I12" s="68" t="s">
        <v>2168</v>
      </c>
    </row>
    <row r="13" spans="1:9" ht="18.95" customHeight="1">
      <c r="A13" s="224">
        <f>A12+1</f>
        <v>2</v>
      </c>
      <c r="B13" s="68" t="s">
        <v>244</v>
      </c>
      <c r="C13" s="395"/>
      <c r="D13" s="397"/>
      <c r="E13" s="395">
        <f>C13*D13</f>
        <v>0</v>
      </c>
      <c r="G13" s="68"/>
    </row>
    <row r="14" spans="1:9" ht="18.95" customHeight="1">
      <c r="A14" s="224">
        <f t="shared" ref="A14:A15" si="0">A13+1</f>
        <v>3</v>
      </c>
      <c r="B14" s="68" t="s">
        <v>1167</v>
      </c>
      <c r="C14" s="395"/>
      <c r="D14" s="397"/>
      <c r="E14" s="395">
        <f>C14*D14</f>
        <v>0</v>
      </c>
      <c r="G14" s="68"/>
    </row>
    <row r="15" spans="1:9" ht="18.95" customHeight="1">
      <c r="A15" s="224">
        <f t="shared" si="0"/>
        <v>4</v>
      </c>
      <c r="B15" s="68" t="s">
        <v>1168</v>
      </c>
      <c r="C15" s="395"/>
      <c r="D15" s="397"/>
      <c r="E15" s="395">
        <f>C15*D15</f>
        <v>0</v>
      </c>
      <c r="G15" s="68"/>
    </row>
    <row r="16" spans="1:9" ht="18.95" customHeight="1">
      <c r="A16" s="290"/>
      <c r="B16" s="68"/>
      <c r="C16" s="395"/>
      <c r="D16" s="397"/>
      <c r="E16" s="395"/>
      <c r="G16" s="68"/>
    </row>
    <row r="17" spans="1:9" ht="18.95" customHeight="1" thickBot="1">
      <c r="A17" s="224"/>
      <c r="B17" s="68" t="s">
        <v>2010</v>
      </c>
      <c r="C17" s="393">
        <f>SUM(C12:C16)</f>
        <v>-99469503.343513504</v>
      </c>
      <c r="D17" s="397"/>
      <c r="E17" s="393">
        <f>SUM(E12:E16)</f>
        <v>-93120171.778939366</v>
      </c>
      <c r="G17" s="68"/>
    </row>
    <row r="18" spans="1:9" ht="18.95" customHeight="1" thickTop="1">
      <c r="A18" s="224"/>
      <c r="B18" s="68"/>
      <c r="C18" s="88"/>
      <c r="D18" s="228"/>
      <c r="E18" s="88"/>
      <c r="G18" s="147"/>
    </row>
    <row r="19" spans="1:9" s="68" customFormat="1" ht="20.100000000000001" customHeight="1">
      <c r="A19" s="809" t="str">
        <f>$A$1</f>
        <v>KENTUCKY UTILITIES COMPANY</v>
      </c>
      <c r="B19" s="809"/>
      <c r="C19" s="809"/>
      <c r="D19" s="809"/>
      <c r="E19" s="809"/>
      <c r="F19" s="809"/>
      <c r="G19" s="809"/>
    </row>
    <row r="20" spans="1:9" s="68" customFormat="1" ht="20.100000000000001" customHeight="1">
      <c r="A20" s="809" t="str">
        <f>$A$2</f>
        <v>CASE NO. 2020-00349</v>
      </c>
      <c r="B20" s="809"/>
      <c r="C20" s="809"/>
      <c r="D20" s="809"/>
      <c r="E20" s="809"/>
      <c r="F20" s="809"/>
      <c r="G20" s="809"/>
    </row>
    <row r="21" spans="1:9" s="68" customFormat="1" ht="20.100000000000001" customHeight="1">
      <c r="A21" s="809" t="str">
        <f>$A$3</f>
        <v>ADJUSTMENTS TO CONSTRUCTION WORK IN PROGRESS</v>
      </c>
      <c r="B21" s="809"/>
      <c r="C21" s="809"/>
      <c r="D21" s="809"/>
      <c r="E21" s="809"/>
      <c r="F21" s="809"/>
      <c r="G21" s="809"/>
    </row>
    <row r="22" spans="1:9" s="68" customFormat="1" ht="20.100000000000001" customHeight="1">
      <c r="A22" s="808" t="str">
        <f>'Rate Case Constants'!C18</f>
        <v>AS OF JUNE 30, 2022</v>
      </c>
      <c r="B22" s="814"/>
      <c r="C22" s="814"/>
      <c r="D22" s="814"/>
      <c r="E22" s="814"/>
      <c r="F22" s="814"/>
      <c r="G22" s="814"/>
    </row>
    <row r="23" spans="1:9" s="68" customFormat="1" ht="20.100000000000001" customHeight="1">
      <c r="A23" s="223"/>
      <c r="B23" s="223"/>
      <c r="C23" s="223"/>
      <c r="D23" s="223"/>
      <c r="E23" s="223"/>
      <c r="F23" s="223"/>
      <c r="G23" s="223"/>
    </row>
    <row r="24" spans="1:9" s="68" customFormat="1" ht="20.100000000000001" customHeight="1">
      <c r="A24" s="67" t="s">
        <v>161</v>
      </c>
      <c r="F24" s="74"/>
      <c r="G24" s="74" t="s">
        <v>1215</v>
      </c>
    </row>
    <row r="25" spans="1:9" s="68" customFormat="1" ht="20.100000000000001" customHeight="1">
      <c r="A25" s="67" t="str">
        <f>$A$7</f>
        <v>TYPE OF FILING: __X__ ORIGINAL  _____ UPDATED  _____ REVISED</v>
      </c>
      <c r="F25" s="74"/>
      <c r="G25" s="74" t="s">
        <v>184</v>
      </c>
    </row>
    <row r="26" spans="1:9" s="68" customFormat="1" ht="20.100000000000001" customHeight="1">
      <c r="A26" s="67" t="str">
        <f>$A$8</f>
        <v>WORKPAPER REFERENCE NO(S).:</v>
      </c>
      <c r="E26" s="67"/>
      <c r="F26" s="75"/>
      <c r="G26" s="75" t="str">
        <f>$G$8</f>
        <v>WITNESS:   C. M. GARRETT</v>
      </c>
    </row>
    <row r="27" spans="1:9" s="68" customFormat="1" ht="20.100000000000001" customHeight="1"/>
    <row r="28" spans="1:9" ht="58.5" customHeight="1">
      <c r="A28" s="76" t="s">
        <v>131</v>
      </c>
      <c r="B28" s="76" t="s">
        <v>1162</v>
      </c>
      <c r="C28" s="76" t="s">
        <v>215</v>
      </c>
      <c r="D28" s="76" t="s">
        <v>216</v>
      </c>
      <c r="E28" s="76" t="s">
        <v>217</v>
      </c>
      <c r="F28" s="76" t="s">
        <v>218</v>
      </c>
      <c r="G28" s="76" t="s">
        <v>219</v>
      </c>
    </row>
    <row r="29" spans="1:9" ht="23.1" customHeight="1">
      <c r="A29" s="80"/>
      <c r="B29" s="81"/>
      <c r="C29" s="82" t="s">
        <v>142</v>
      </c>
      <c r="D29" s="82"/>
      <c r="E29" s="82" t="s">
        <v>142</v>
      </c>
      <c r="F29" s="82"/>
      <c r="G29" s="82"/>
    </row>
    <row r="30" spans="1:9" ht="18.95" customHeight="1">
      <c r="A30" s="224">
        <v>1</v>
      </c>
      <c r="B30" s="68" t="s">
        <v>1707</v>
      </c>
      <c r="C30" s="395">
        <f>SUMIFS('FC CWIP &amp; RWIP F'!$R$6:$R$29,'FC CWIP &amp; RWIP F'!$D$6:$D$29,I30,'FC CWIP &amp; RWIP F'!$B$6:$B$29,B30)*-1000</f>
        <v>-111683175.32924245</v>
      </c>
      <c r="D30" s="397">
        <f>'SCH B-4'!G39</f>
        <v>0.93772436015633753</v>
      </c>
      <c r="E30" s="395">
        <f>C30*D30</f>
        <v>-104728034.12584195</v>
      </c>
      <c r="G30" s="68" t="s">
        <v>1710</v>
      </c>
      <c r="I30" s="68" t="s">
        <v>2168</v>
      </c>
    </row>
    <row r="31" spans="1:9" ht="18.95" customHeight="1">
      <c r="A31" s="224">
        <f>A30+1</f>
        <v>2</v>
      </c>
      <c r="B31" s="68" t="s">
        <v>244</v>
      </c>
      <c r="C31" s="395"/>
      <c r="D31" s="397"/>
      <c r="E31" s="395">
        <f>C31*D31</f>
        <v>0</v>
      </c>
      <c r="G31" s="68"/>
    </row>
    <row r="32" spans="1:9" ht="18.95" customHeight="1">
      <c r="A32" s="224">
        <f t="shared" ref="A32:A33" si="1">A31+1</f>
        <v>3</v>
      </c>
      <c r="B32" s="68" t="s">
        <v>1167</v>
      </c>
      <c r="C32" s="395">
        <f>SUMIFS('FC CWIP &amp; RWIP F'!$R$6:$R$29,'FC CWIP &amp; RWIP F'!$D$6:$D$29,I32,'FC CWIP &amp; RWIP F'!$B$6:$B$29,B32)*-1000</f>
        <v>-1772912.3018836463</v>
      </c>
      <c r="D32" s="397">
        <f>'JURISSEP F'!$G$1227</f>
        <v>0.93826972651343843</v>
      </c>
      <c r="E32" s="395">
        <f>C32*D32</f>
        <v>-1663469.9406206794</v>
      </c>
      <c r="G32" s="68" t="s">
        <v>3713</v>
      </c>
      <c r="I32" s="68" t="s">
        <v>3714</v>
      </c>
    </row>
    <row r="33" spans="1:9" ht="18.95" customHeight="1">
      <c r="A33" s="224">
        <f t="shared" si="1"/>
        <v>4</v>
      </c>
      <c r="B33" s="68" t="s">
        <v>1168</v>
      </c>
      <c r="C33" s="395">
        <f>SUMIFS('FC CWIP &amp; RWIP F'!$R$6:$R$29,'FC CWIP &amp; RWIP F'!$D$6:$D$29,I33,'FC CWIP &amp; RWIP F'!$B$6:$B$29,B33)*-1000</f>
        <v>-8175651.920530444</v>
      </c>
      <c r="D33" s="397">
        <f>'JURISSEP F'!$G$1227</f>
        <v>0.93826972651343843</v>
      </c>
      <c r="E33" s="395">
        <f>C33*D33</f>
        <v>-7670966.691545167</v>
      </c>
      <c r="G33" s="68" t="s">
        <v>3713</v>
      </c>
      <c r="I33" s="68" t="s">
        <v>3714</v>
      </c>
    </row>
    <row r="34" spans="1:9" ht="18.95" customHeight="1">
      <c r="A34" s="290"/>
      <c r="B34" s="68"/>
      <c r="C34" s="395"/>
      <c r="D34" s="397"/>
      <c r="E34" s="395"/>
      <c r="G34" s="68"/>
    </row>
    <row r="35" spans="1:9" ht="18.95" customHeight="1" thickBot="1">
      <c r="A35" s="290"/>
      <c r="B35" s="68" t="s">
        <v>2010</v>
      </c>
      <c r="C35" s="393">
        <f>SUM(C30:C34)</f>
        <v>-121631739.55165654</v>
      </c>
      <c r="D35" s="397"/>
      <c r="E35" s="393">
        <f>SUM(E30:E34)</f>
        <v>-114062470.75800779</v>
      </c>
      <c r="G35" s="68"/>
    </row>
    <row r="36" spans="1:9" ht="18.95" customHeight="1" thickTop="1">
      <c r="A36" s="224"/>
      <c r="B36" s="68"/>
      <c r="C36" s="88"/>
      <c r="D36" s="228"/>
      <c r="E36" s="88"/>
      <c r="G36" s="147"/>
    </row>
    <row r="37" spans="1:9" ht="18.95" customHeight="1"/>
    <row r="38" spans="1:9" ht="18.95" customHeight="1"/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68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392"/>
  <sheetViews>
    <sheetView zoomScaleNormal="100" workbookViewId="0">
      <selection sqref="A1:J1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6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</row>
    <row r="3" spans="1:16" ht="20.100000000000001" customHeight="1">
      <c r="A3" s="809" t="s">
        <v>1216</v>
      </c>
      <c r="B3" s="809"/>
      <c r="C3" s="809"/>
      <c r="D3" s="809"/>
      <c r="E3" s="809"/>
      <c r="F3" s="809"/>
      <c r="G3" s="809"/>
      <c r="H3" s="809"/>
      <c r="I3" s="809"/>
      <c r="J3" s="809"/>
    </row>
    <row r="4" spans="1:16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  <c r="I4" s="809"/>
      <c r="J4" s="809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133</v>
      </c>
      <c r="B6" s="347"/>
      <c r="G6" s="74"/>
      <c r="H6" s="74"/>
      <c r="I6" s="74"/>
      <c r="J6" s="74" t="s">
        <v>1709</v>
      </c>
    </row>
    <row r="7" spans="1:16" ht="20.100000000000001" customHeight="1">
      <c r="A7" s="68" t="str">
        <f>'Rate Case Constants'!C29</f>
        <v>TYPE OF FILING: __X__ ORIGINAL  _____ UPDATED  _____ REVISED</v>
      </c>
      <c r="G7" s="74"/>
      <c r="H7" s="74"/>
      <c r="I7" s="74"/>
      <c r="J7" s="74" t="s">
        <v>3737</v>
      </c>
    </row>
    <row r="8" spans="1:16" ht="20.100000000000001" customHeight="1">
      <c r="A8" s="67" t="s">
        <v>1195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1219</v>
      </c>
      <c r="C10" s="76" t="s">
        <v>1220</v>
      </c>
      <c r="D10" s="142" t="s">
        <v>1222</v>
      </c>
      <c r="E10" s="142" t="s">
        <v>1223</v>
      </c>
      <c r="F10" s="76" t="s">
        <v>1224</v>
      </c>
      <c r="G10" s="76" t="s">
        <v>1225</v>
      </c>
      <c r="H10" s="76" t="s">
        <v>1226</v>
      </c>
      <c r="I10" s="76" t="s">
        <v>1227</v>
      </c>
      <c r="J10" s="76" t="s">
        <v>1228</v>
      </c>
      <c r="M10" s="150" t="s">
        <v>1236</v>
      </c>
      <c r="N10" s="150" t="s">
        <v>1237</v>
      </c>
      <c r="O10" s="150" t="s">
        <v>1238</v>
      </c>
      <c r="P10" s="150" t="s">
        <v>1224</v>
      </c>
    </row>
    <row r="11" spans="1:16" ht="18.75" customHeight="1">
      <c r="A11" s="80" t="s">
        <v>1217</v>
      </c>
      <c r="B11" s="80" t="s">
        <v>1218</v>
      </c>
      <c r="C11" s="80" t="s">
        <v>1221</v>
      </c>
      <c r="D11" s="355" t="s">
        <v>1229</v>
      </c>
      <c r="E11" s="355" t="s">
        <v>1230</v>
      </c>
      <c r="F11" s="356" t="s">
        <v>1231</v>
      </c>
      <c r="G11" s="356" t="s">
        <v>1232</v>
      </c>
      <c r="H11" s="356" t="s">
        <v>1233</v>
      </c>
      <c r="I11" s="356" t="s">
        <v>1234</v>
      </c>
      <c r="J11" s="356" t="s">
        <v>1235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2801</v>
      </c>
      <c r="C13" s="354" t="s">
        <v>2802</v>
      </c>
      <c r="D13" s="145">
        <v>43831</v>
      </c>
      <c r="E13" s="146">
        <v>44561</v>
      </c>
      <c r="F13" s="149">
        <v>0.58082191780821912</v>
      </c>
      <c r="G13" s="354">
        <v>799920</v>
      </c>
      <c r="H13" s="354">
        <v>3662932.34</v>
      </c>
      <c r="I13" s="358">
        <v>2095449.19</v>
      </c>
      <c r="J13" s="352">
        <f t="shared" ref="J13:J56" si="0">IFERROR(I13/H13,0)</f>
        <v>0.57206876772394877</v>
      </c>
      <c r="M13" s="74">
        <f t="shared" ref="M13:M88" si="1">E13-D13</f>
        <v>730</v>
      </c>
      <c r="N13" s="146">
        <v>44255</v>
      </c>
      <c r="O13" s="74">
        <f t="shared" ref="O13:O88" si="2">E13-N13</f>
        <v>306</v>
      </c>
      <c r="P13" s="353">
        <f>(M13-O13)/M13</f>
        <v>0.58082191780821912</v>
      </c>
    </row>
    <row r="14" spans="1:16" ht="18.95" customHeight="1">
      <c r="A14" s="348">
        <f>A13+1</f>
        <v>2</v>
      </c>
      <c r="B14" s="357" t="s">
        <v>2803</v>
      </c>
      <c r="C14" s="354" t="s">
        <v>2804</v>
      </c>
      <c r="D14" s="145">
        <v>44197</v>
      </c>
      <c r="E14" s="146">
        <v>44469</v>
      </c>
      <c r="F14" s="149">
        <v>0.21323529411764705</v>
      </c>
      <c r="G14" s="354">
        <v>539998.74</v>
      </c>
      <c r="H14" s="354">
        <v>932805.27</v>
      </c>
      <c r="I14" s="358">
        <v>901.85</v>
      </c>
      <c r="J14" s="352">
        <f t="shared" si="0"/>
        <v>9.6681486372820341E-4</v>
      </c>
      <c r="M14" s="74">
        <f t="shared" si="1"/>
        <v>272</v>
      </c>
      <c r="N14" s="146">
        <v>44255</v>
      </c>
      <c r="O14" s="74">
        <f t="shared" si="2"/>
        <v>214</v>
      </c>
      <c r="P14" s="353">
        <f t="shared" ref="P14:P89" si="3">(M14-O14)/M14</f>
        <v>0.21323529411764705</v>
      </c>
    </row>
    <row r="15" spans="1:16" ht="18.95" customHeight="1">
      <c r="A15" s="348">
        <f t="shared" ref="A15:A90" si="4">A14+1</f>
        <v>3</v>
      </c>
      <c r="B15" s="357" t="s">
        <v>2598</v>
      </c>
      <c r="C15" s="354" t="s">
        <v>2599</v>
      </c>
      <c r="D15" s="145">
        <v>43466</v>
      </c>
      <c r="E15" s="146">
        <v>44377</v>
      </c>
      <c r="F15" s="149">
        <v>0.86608122941822174</v>
      </c>
      <c r="G15" s="354">
        <v>5600000</v>
      </c>
      <c r="H15" s="354">
        <v>9154549.3900000006</v>
      </c>
      <c r="I15" s="358">
        <v>6420615.8300000001</v>
      </c>
      <c r="J15" s="352">
        <f t="shared" si="0"/>
        <v>0.70135793215705178</v>
      </c>
      <c r="M15" s="74">
        <f t="shared" si="1"/>
        <v>911</v>
      </c>
      <c r="N15" s="146">
        <v>44255</v>
      </c>
      <c r="O15" s="74">
        <f t="shared" si="2"/>
        <v>122</v>
      </c>
      <c r="P15" s="353">
        <f t="shared" si="3"/>
        <v>0.86608122941822174</v>
      </c>
    </row>
    <row r="16" spans="1:16" ht="18.95" customHeight="1">
      <c r="A16" s="348">
        <f t="shared" si="4"/>
        <v>4</v>
      </c>
      <c r="B16" s="357" t="s">
        <v>2805</v>
      </c>
      <c r="C16" s="354" t="s">
        <v>2806</v>
      </c>
      <c r="D16" s="145">
        <v>42186</v>
      </c>
      <c r="E16" s="146">
        <v>46022</v>
      </c>
      <c r="F16" s="149">
        <v>0.5393639207507821</v>
      </c>
      <c r="G16" s="354">
        <v>40000000</v>
      </c>
      <c r="H16" s="354">
        <v>740416.01</v>
      </c>
      <c r="I16" s="358">
        <v>61915.659999999996</v>
      </c>
      <c r="J16" s="352">
        <f t="shared" si="0"/>
        <v>8.3622800106658957E-2</v>
      </c>
      <c r="M16" s="74">
        <f t="shared" si="1"/>
        <v>3836</v>
      </c>
      <c r="N16" s="146">
        <v>44255</v>
      </c>
      <c r="O16" s="74">
        <f t="shared" si="2"/>
        <v>1767</v>
      </c>
      <c r="P16" s="353">
        <f t="shared" si="3"/>
        <v>0.5393639207507821</v>
      </c>
    </row>
    <row r="17" spans="1:16" ht="18.95" customHeight="1">
      <c r="A17" s="348">
        <f t="shared" si="4"/>
        <v>5</v>
      </c>
      <c r="B17" s="357" t="s">
        <v>2563</v>
      </c>
      <c r="C17" s="354" t="s">
        <v>2564</v>
      </c>
      <c r="D17" s="145">
        <v>42186</v>
      </c>
      <c r="E17" s="146">
        <v>45838</v>
      </c>
      <c r="F17" s="149">
        <v>0.56653888280394304</v>
      </c>
      <c r="G17" s="354">
        <v>60000000</v>
      </c>
      <c r="H17" s="354">
        <v>-565934.36</v>
      </c>
      <c r="I17" s="358">
        <v>-357049.91000000003</v>
      </c>
      <c r="J17" s="352">
        <f t="shared" si="0"/>
        <v>0.63090339664126427</v>
      </c>
      <c r="M17" s="74">
        <f t="shared" si="1"/>
        <v>3652</v>
      </c>
      <c r="N17" s="146">
        <v>44255</v>
      </c>
      <c r="O17" s="74">
        <f t="shared" si="2"/>
        <v>1583</v>
      </c>
      <c r="P17" s="353">
        <f t="shared" si="3"/>
        <v>0.56653888280394304</v>
      </c>
    </row>
    <row r="18" spans="1:16" ht="18.95" customHeight="1">
      <c r="A18" s="348">
        <f t="shared" si="4"/>
        <v>6</v>
      </c>
      <c r="B18" s="357" t="s">
        <v>2565</v>
      </c>
      <c r="C18" s="354" t="s">
        <v>2566</v>
      </c>
      <c r="D18" s="145">
        <v>42186</v>
      </c>
      <c r="E18" s="146">
        <v>46022</v>
      </c>
      <c r="F18" s="149">
        <v>0.5393639207507821</v>
      </c>
      <c r="G18" s="354">
        <v>7200000</v>
      </c>
      <c r="H18" s="354">
        <v>-1909745.42</v>
      </c>
      <c r="I18" s="358">
        <v>-87160.919999999925</v>
      </c>
      <c r="J18" s="352">
        <f t="shared" si="0"/>
        <v>4.5640072800907636E-2</v>
      </c>
      <c r="M18" s="74">
        <f t="shared" si="1"/>
        <v>3836</v>
      </c>
      <c r="N18" s="146">
        <v>44255</v>
      </c>
      <c r="O18" s="74">
        <f t="shared" si="2"/>
        <v>1767</v>
      </c>
      <c r="P18" s="353">
        <f t="shared" si="3"/>
        <v>0.5393639207507821</v>
      </c>
    </row>
    <row r="19" spans="1:16" ht="18.95" customHeight="1">
      <c r="A19" s="348">
        <f t="shared" si="4"/>
        <v>7</v>
      </c>
      <c r="B19" s="357" t="s">
        <v>2807</v>
      </c>
      <c r="C19" s="354" t="s">
        <v>2808</v>
      </c>
      <c r="D19" s="145">
        <v>43831</v>
      </c>
      <c r="E19" s="146">
        <v>44377</v>
      </c>
      <c r="F19" s="149">
        <v>0.77655677655677657</v>
      </c>
      <c r="G19" s="354">
        <v>760000</v>
      </c>
      <c r="H19" s="354">
        <v>673913.28</v>
      </c>
      <c r="I19" s="358">
        <v>570233.39</v>
      </c>
      <c r="J19" s="352">
        <f t="shared" si="0"/>
        <v>0.84615247528584092</v>
      </c>
      <c r="M19" s="74">
        <f t="shared" si="1"/>
        <v>546</v>
      </c>
      <c r="N19" s="146">
        <v>44255</v>
      </c>
      <c r="O19" s="74">
        <f t="shared" si="2"/>
        <v>122</v>
      </c>
      <c r="P19" s="353">
        <f t="shared" si="3"/>
        <v>0.77655677655677657</v>
      </c>
    </row>
    <row r="20" spans="1:16" ht="18.95" customHeight="1">
      <c r="A20" s="348">
        <f t="shared" si="4"/>
        <v>8</v>
      </c>
      <c r="B20" s="357" t="s">
        <v>2809</v>
      </c>
      <c r="C20" s="354" t="s">
        <v>2810</v>
      </c>
      <c r="D20" s="145">
        <v>43831</v>
      </c>
      <c r="E20" s="146">
        <v>44408</v>
      </c>
      <c r="F20" s="149">
        <v>0.73483535528596189</v>
      </c>
      <c r="G20" s="354">
        <v>2620200</v>
      </c>
      <c r="H20" s="354">
        <v>2872088.75</v>
      </c>
      <c r="I20" s="358">
        <v>2553106.94</v>
      </c>
      <c r="J20" s="352">
        <f t="shared" si="0"/>
        <v>0.88893734220434517</v>
      </c>
      <c r="M20" s="74">
        <f t="shared" si="1"/>
        <v>577</v>
      </c>
      <c r="N20" s="146">
        <v>44255</v>
      </c>
      <c r="O20" s="74">
        <f t="shared" si="2"/>
        <v>153</v>
      </c>
      <c r="P20" s="353">
        <f t="shared" si="3"/>
        <v>0.73483535528596189</v>
      </c>
    </row>
    <row r="21" spans="1:16" ht="18.95" customHeight="1">
      <c r="A21" s="348">
        <f t="shared" si="4"/>
        <v>9</v>
      </c>
      <c r="B21" s="357" t="s">
        <v>2811</v>
      </c>
      <c r="C21" s="354" t="s">
        <v>2812</v>
      </c>
      <c r="D21" s="145">
        <v>44075</v>
      </c>
      <c r="E21" s="146">
        <v>44561</v>
      </c>
      <c r="F21" s="149">
        <v>0.37037037037037035</v>
      </c>
      <c r="G21" s="354">
        <v>2620200</v>
      </c>
      <c r="H21" s="354">
        <v>1730229.22</v>
      </c>
      <c r="I21" s="358">
        <v>15600</v>
      </c>
      <c r="J21" s="352">
        <f t="shared" si="0"/>
        <v>9.0161464271190615E-3</v>
      </c>
      <c r="M21" s="74">
        <f t="shared" si="1"/>
        <v>486</v>
      </c>
      <c r="N21" s="146">
        <v>44255</v>
      </c>
      <c r="O21" s="74">
        <f t="shared" si="2"/>
        <v>306</v>
      </c>
      <c r="P21" s="353">
        <f t="shared" si="3"/>
        <v>0.37037037037037035</v>
      </c>
    </row>
    <row r="22" spans="1:16" ht="18.95" customHeight="1">
      <c r="A22" s="348">
        <f t="shared" si="4"/>
        <v>10</v>
      </c>
      <c r="B22" s="357" t="s">
        <v>2813</v>
      </c>
      <c r="C22" s="354" t="s">
        <v>2814</v>
      </c>
      <c r="D22" s="145">
        <v>43831</v>
      </c>
      <c r="E22" s="146">
        <v>44926</v>
      </c>
      <c r="F22" s="149">
        <v>0.38721461187214612</v>
      </c>
      <c r="G22" s="354">
        <v>4000000</v>
      </c>
      <c r="H22" s="354">
        <v>10558635.640000001</v>
      </c>
      <c r="I22" s="358">
        <v>142185.08000000002</v>
      </c>
      <c r="J22" s="352">
        <f t="shared" si="0"/>
        <v>1.3466236060021862E-2</v>
      </c>
      <c r="M22" s="74">
        <f t="shared" si="1"/>
        <v>1095</v>
      </c>
      <c r="N22" s="146">
        <v>44255</v>
      </c>
      <c r="O22" s="74">
        <f t="shared" si="2"/>
        <v>671</v>
      </c>
      <c r="P22" s="353">
        <f t="shared" si="3"/>
        <v>0.38721461187214612</v>
      </c>
    </row>
    <row r="23" spans="1:16" ht="18.95" customHeight="1">
      <c r="A23" s="348">
        <f t="shared" si="4"/>
        <v>11</v>
      </c>
      <c r="B23" s="357" t="s">
        <v>2613</v>
      </c>
      <c r="C23" s="354" t="s">
        <v>2614</v>
      </c>
      <c r="D23" s="145">
        <v>43525</v>
      </c>
      <c r="E23" s="146">
        <v>45291</v>
      </c>
      <c r="F23" s="149">
        <v>0.41336353340883353</v>
      </c>
      <c r="G23" s="354">
        <v>34515000</v>
      </c>
      <c r="H23" s="354">
        <v>24446915.109999999</v>
      </c>
      <c r="I23" s="358">
        <v>3500684.5700000003</v>
      </c>
      <c r="J23" s="352">
        <f t="shared" si="0"/>
        <v>0.14319535018011523</v>
      </c>
      <c r="M23" s="74">
        <f t="shared" si="1"/>
        <v>1766</v>
      </c>
      <c r="N23" s="146">
        <v>44255</v>
      </c>
      <c r="O23" s="74">
        <f t="shared" si="2"/>
        <v>1036</v>
      </c>
      <c r="P23" s="353">
        <f t="shared" si="3"/>
        <v>0.41336353340883353</v>
      </c>
    </row>
    <row r="24" spans="1:16" ht="18.95" customHeight="1">
      <c r="A24" s="348">
        <f t="shared" si="4"/>
        <v>12</v>
      </c>
      <c r="B24" s="357" t="s">
        <v>2815</v>
      </c>
      <c r="C24" s="354" t="s">
        <v>2816</v>
      </c>
      <c r="D24" s="145">
        <v>43831</v>
      </c>
      <c r="E24" s="146">
        <v>44681</v>
      </c>
      <c r="F24" s="149">
        <v>0.49882352941176472</v>
      </c>
      <c r="G24" s="354">
        <v>2050000</v>
      </c>
      <c r="H24" s="354">
        <v>6221676.3699999992</v>
      </c>
      <c r="I24" s="358">
        <v>624224.5</v>
      </c>
      <c r="J24" s="352">
        <f t="shared" si="0"/>
        <v>0.10033059626982817</v>
      </c>
      <c r="M24" s="74">
        <f t="shared" si="1"/>
        <v>850</v>
      </c>
      <c r="N24" s="146">
        <v>44255</v>
      </c>
      <c r="O24" s="74">
        <f t="shared" si="2"/>
        <v>426</v>
      </c>
      <c r="P24" s="353">
        <f t="shared" si="3"/>
        <v>0.49882352941176472</v>
      </c>
    </row>
    <row r="25" spans="1:16" ht="18.95" customHeight="1">
      <c r="A25" s="348">
        <f t="shared" si="4"/>
        <v>13</v>
      </c>
      <c r="B25" s="357" t="s">
        <v>2817</v>
      </c>
      <c r="C25" s="354" t="s">
        <v>2818</v>
      </c>
      <c r="D25" s="145">
        <v>44206</v>
      </c>
      <c r="E25" s="146">
        <v>44561</v>
      </c>
      <c r="F25" s="149">
        <v>0.13802816901408452</v>
      </c>
      <c r="G25" s="354">
        <v>83454</v>
      </c>
      <c r="H25" s="354">
        <v>92300.150000000009</v>
      </c>
      <c r="I25" s="358">
        <v>15383.37</v>
      </c>
      <c r="J25" s="352">
        <f t="shared" si="0"/>
        <v>0.16666679306588342</v>
      </c>
      <c r="M25" s="74">
        <f t="shared" si="1"/>
        <v>355</v>
      </c>
      <c r="N25" s="146">
        <v>44255</v>
      </c>
      <c r="O25" s="74">
        <f t="shared" si="2"/>
        <v>306</v>
      </c>
      <c r="P25" s="353">
        <f t="shared" si="3"/>
        <v>0.13802816901408452</v>
      </c>
    </row>
    <row r="26" spans="1:16" ht="18.95" customHeight="1">
      <c r="A26" s="348">
        <f t="shared" si="4"/>
        <v>14</v>
      </c>
      <c r="B26" s="357" t="s">
        <v>2332</v>
      </c>
      <c r="C26" s="354" t="s">
        <v>2074</v>
      </c>
      <c r="D26" s="145">
        <v>42005</v>
      </c>
      <c r="E26" s="146">
        <v>47848</v>
      </c>
      <c r="F26" s="149">
        <v>0.3850761595071025</v>
      </c>
      <c r="G26" s="354">
        <v>320000</v>
      </c>
      <c r="H26" s="354">
        <v>190850.95</v>
      </c>
      <c r="I26" s="358">
        <v>28350.95</v>
      </c>
      <c r="J26" s="352">
        <f t="shared" si="0"/>
        <v>0.14855021680531325</v>
      </c>
      <c r="M26" s="74">
        <f t="shared" si="1"/>
        <v>5843</v>
      </c>
      <c r="N26" s="146">
        <v>44255</v>
      </c>
      <c r="O26" s="74">
        <f t="shared" si="2"/>
        <v>3593</v>
      </c>
      <c r="P26" s="353">
        <f t="shared" si="3"/>
        <v>0.3850761595071025</v>
      </c>
    </row>
    <row r="27" spans="1:16" ht="18.95" customHeight="1">
      <c r="A27" s="348">
        <f t="shared" si="4"/>
        <v>15</v>
      </c>
      <c r="B27" s="357" t="s">
        <v>2819</v>
      </c>
      <c r="C27" s="354" t="s">
        <v>2820</v>
      </c>
      <c r="D27" s="145">
        <v>43586</v>
      </c>
      <c r="E27" s="146">
        <v>44377</v>
      </c>
      <c r="F27" s="149">
        <v>0.84576485461441209</v>
      </c>
      <c r="G27" s="354">
        <v>777750</v>
      </c>
      <c r="H27" s="354">
        <v>891147.40000000014</v>
      </c>
      <c r="I27" s="358">
        <v>291345.25</v>
      </c>
      <c r="J27" s="352">
        <f t="shared" si="0"/>
        <v>0.32693272740289647</v>
      </c>
      <c r="M27" s="74">
        <f t="shared" si="1"/>
        <v>791</v>
      </c>
      <c r="N27" s="146">
        <v>44255</v>
      </c>
      <c r="O27" s="74">
        <f t="shared" si="2"/>
        <v>122</v>
      </c>
      <c r="P27" s="353">
        <f t="shared" si="3"/>
        <v>0.84576485461441209</v>
      </c>
    </row>
    <row r="28" spans="1:16" ht="18.95" customHeight="1">
      <c r="A28" s="348">
        <f t="shared" si="4"/>
        <v>16</v>
      </c>
      <c r="B28" s="357" t="s">
        <v>2575</v>
      </c>
      <c r="C28" s="354" t="s">
        <v>2576</v>
      </c>
      <c r="D28" s="145">
        <v>42736</v>
      </c>
      <c r="E28" s="146">
        <v>44561</v>
      </c>
      <c r="F28" s="149">
        <v>0.83232876712328763</v>
      </c>
      <c r="G28" s="354">
        <v>1499925.46</v>
      </c>
      <c r="H28" s="354">
        <v>4396953.1899999995</v>
      </c>
      <c r="I28" s="358">
        <v>3389710.33</v>
      </c>
      <c r="J28" s="352">
        <f t="shared" si="0"/>
        <v>0.77092254193408882</v>
      </c>
      <c r="M28" s="74">
        <f t="shared" si="1"/>
        <v>1825</v>
      </c>
      <c r="N28" s="146">
        <v>44255</v>
      </c>
      <c r="O28" s="74">
        <f t="shared" si="2"/>
        <v>306</v>
      </c>
      <c r="P28" s="353">
        <f t="shared" si="3"/>
        <v>0.83232876712328763</v>
      </c>
    </row>
    <row r="29" spans="1:16" ht="18.95" customHeight="1">
      <c r="A29" s="348">
        <f t="shared" si="4"/>
        <v>17</v>
      </c>
      <c r="B29" s="357" t="s">
        <v>2601</v>
      </c>
      <c r="C29" s="354" t="s">
        <v>2602</v>
      </c>
      <c r="D29" s="145">
        <v>43646</v>
      </c>
      <c r="E29" s="146">
        <v>44347</v>
      </c>
      <c r="F29" s="149">
        <v>0.86875891583452214</v>
      </c>
      <c r="G29" s="354">
        <v>3663000</v>
      </c>
      <c r="H29" s="354">
        <v>3876090.37</v>
      </c>
      <c r="I29" s="358">
        <v>3136886.09</v>
      </c>
      <c r="J29" s="352">
        <f t="shared" si="0"/>
        <v>0.80929126789167194</v>
      </c>
      <c r="M29" s="74">
        <f t="shared" si="1"/>
        <v>701</v>
      </c>
      <c r="N29" s="146">
        <v>44255</v>
      </c>
      <c r="O29" s="74">
        <f t="shared" si="2"/>
        <v>92</v>
      </c>
      <c r="P29" s="353">
        <f t="shared" si="3"/>
        <v>0.86875891583452214</v>
      </c>
    </row>
    <row r="30" spans="1:16" ht="18.95" customHeight="1">
      <c r="A30" s="348">
        <f t="shared" si="4"/>
        <v>18</v>
      </c>
      <c r="B30" s="357" t="s">
        <v>2821</v>
      </c>
      <c r="C30" s="354" t="s">
        <v>2822</v>
      </c>
      <c r="D30" s="145">
        <v>43952</v>
      </c>
      <c r="E30" s="146">
        <v>44439</v>
      </c>
      <c r="F30" s="149">
        <v>0.62217659137576997</v>
      </c>
      <c r="G30" s="354">
        <v>1595804</v>
      </c>
      <c r="H30" s="354">
        <v>1889750.17</v>
      </c>
      <c r="I30" s="358">
        <v>1407444.31</v>
      </c>
      <c r="J30" s="352">
        <f t="shared" si="0"/>
        <v>0.7447779777154353</v>
      </c>
      <c r="M30" s="74">
        <f t="shared" si="1"/>
        <v>487</v>
      </c>
      <c r="N30" s="146">
        <v>44255</v>
      </c>
      <c r="O30" s="74">
        <f t="shared" si="2"/>
        <v>184</v>
      </c>
      <c r="P30" s="353">
        <f t="shared" si="3"/>
        <v>0.62217659137576997</v>
      </c>
    </row>
    <row r="31" spans="1:16" ht="18.95" customHeight="1">
      <c r="A31" s="348">
        <f t="shared" si="4"/>
        <v>19</v>
      </c>
      <c r="B31" s="357" t="s">
        <v>2823</v>
      </c>
      <c r="C31" s="354" t="s">
        <v>2824</v>
      </c>
      <c r="D31" s="145">
        <v>44197</v>
      </c>
      <c r="E31" s="146">
        <v>44347</v>
      </c>
      <c r="F31" s="149">
        <v>0.38666666666666666</v>
      </c>
      <c r="G31" s="354">
        <v>1009000</v>
      </c>
      <c r="H31" s="354">
        <v>1097670.78</v>
      </c>
      <c r="I31" s="358">
        <v>444306.86</v>
      </c>
      <c r="J31" s="352">
        <f t="shared" si="0"/>
        <v>0.40477242183671863</v>
      </c>
      <c r="M31" s="74">
        <f t="shared" si="1"/>
        <v>150</v>
      </c>
      <c r="N31" s="146">
        <v>44255</v>
      </c>
      <c r="O31" s="74">
        <f t="shared" si="2"/>
        <v>92</v>
      </c>
      <c r="P31" s="353">
        <f t="shared" si="3"/>
        <v>0.38666666666666666</v>
      </c>
    </row>
    <row r="32" spans="1:16" ht="18.95" customHeight="1">
      <c r="A32" s="348">
        <f t="shared" si="4"/>
        <v>20</v>
      </c>
      <c r="B32" s="357" t="s">
        <v>2327</v>
      </c>
      <c r="C32" s="354" t="s">
        <v>2076</v>
      </c>
      <c r="D32" s="145">
        <v>42005</v>
      </c>
      <c r="E32" s="146">
        <v>46387</v>
      </c>
      <c r="F32" s="149">
        <v>0.51346417161113644</v>
      </c>
      <c r="G32" s="354">
        <v>51000</v>
      </c>
      <c r="H32" s="354">
        <v>60000</v>
      </c>
      <c r="I32" s="358">
        <v>10000</v>
      </c>
      <c r="J32" s="352">
        <f t="shared" si="0"/>
        <v>0.16666666666666666</v>
      </c>
      <c r="M32" s="74">
        <f t="shared" si="1"/>
        <v>4382</v>
      </c>
      <c r="N32" s="146">
        <v>44255</v>
      </c>
      <c r="O32" s="74">
        <f t="shared" si="2"/>
        <v>2132</v>
      </c>
      <c r="P32" s="353">
        <f t="shared" si="3"/>
        <v>0.51346417161113644</v>
      </c>
    </row>
    <row r="33" spans="1:16" ht="18.95" customHeight="1">
      <c r="A33" s="348">
        <f t="shared" si="4"/>
        <v>21</v>
      </c>
      <c r="B33" s="357" t="s">
        <v>2323</v>
      </c>
      <c r="C33" s="354" t="s">
        <v>2324</v>
      </c>
      <c r="D33" s="145">
        <v>41947</v>
      </c>
      <c r="E33" s="146">
        <v>44561</v>
      </c>
      <c r="F33" s="149">
        <v>0.88293802601377203</v>
      </c>
      <c r="G33" s="354">
        <v>5400393.2599999998</v>
      </c>
      <c r="H33" s="354">
        <v>6167351.04</v>
      </c>
      <c r="I33" s="358">
        <v>403377.04000000004</v>
      </c>
      <c r="J33" s="352">
        <f t="shared" si="0"/>
        <v>6.5405234335420614E-2</v>
      </c>
      <c r="M33" s="74">
        <f t="shared" si="1"/>
        <v>2614</v>
      </c>
      <c r="N33" s="146">
        <v>44255</v>
      </c>
      <c r="O33" s="74">
        <f t="shared" si="2"/>
        <v>306</v>
      </c>
      <c r="P33" s="353">
        <f t="shared" si="3"/>
        <v>0.88293802601377203</v>
      </c>
    </row>
    <row r="34" spans="1:16" ht="18.95" customHeight="1">
      <c r="A34" s="348">
        <f t="shared" si="4"/>
        <v>22</v>
      </c>
      <c r="B34" s="357" t="s">
        <v>2825</v>
      </c>
      <c r="C34" s="354" t="s">
        <v>2826</v>
      </c>
      <c r="D34" s="145">
        <v>43831</v>
      </c>
      <c r="E34" s="146">
        <v>44377</v>
      </c>
      <c r="F34" s="149">
        <v>0.77655677655677657</v>
      </c>
      <c r="G34" s="354">
        <v>970000</v>
      </c>
      <c r="H34" s="354">
        <v>915390.54</v>
      </c>
      <c r="I34" s="358">
        <v>366480.54</v>
      </c>
      <c r="J34" s="352">
        <f t="shared" si="0"/>
        <v>0.40035430123627885</v>
      </c>
      <c r="M34" s="74">
        <f t="shared" si="1"/>
        <v>546</v>
      </c>
      <c r="N34" s="146">
        <v>44255</v>
      </c>
      <c r="O34" s="74">
        <f t="shared" si="2"/>
        <v>122</v>
      </c>
      <c r="P34" s="353">
        <f t="shared" si="3"/>
        <v>0.77655677655677657</v>
      </c>
    </row>
    <row r="35" spans="1:16" ht="18.95" customHeight="1">
      <c r="A35" s="348">
        <f t="shared" si="4"/>
        <v>23</v>
      </c>
      <c r="B35" s="357" t="s">
        <v>2827</v>
      </c>
      <c r="C35" s="354" t="s">
        <v>2828</v>
      </c>
      <c r="D35" s="145">
        <v>44044</v>
      </c>
      <c r="E35" s="146">
        <v>44347</v>
      </c>
      <c r="F35" s="149">
        <v>0.69636963696369636</v>
      </c>
      <c r="G35" s="354">
        <v>385200</v>
      </c>
      <c r="H35" s="354">
        <v>278588.5</v>
      </c>
      <c r="I35" s="358">
        <v>62496.270000000004</v>
      </c>
      <c r="J35" s="352">
        <f t="shared" si="0"/>
        <v>0.22433183710023927</v>
      </c>
      <c r="M35" s="74">
        <f t="shared" si="1"/>
        <v>303</v>
      </c>
      <c r="N35" s="146">
        <v>44255</v>
      </c>
      <c r="O35" s="74">
        <f t="shared" si="2"/>
        <v>92</v>
      </c>
      <c r="P35" s="353">
        <f t="shared" si="3"/>
        <v>0.69636963696369636</v>
      </c>
    </row>
    <row r="36" spans="1:16" ht="18.95" customHeight="1">
      <c r="A36" s="348">
        <f t="shared" si="4"/>
        <v>24</v>
      </c>
      <c r="B36" s="357" t="s">
        <v>2328</v>
      </c>
      <c r="C36" s="354" t="s">
        <v>2829</v>
      </c>
      <c r="D36" s="145">
        <v>43831</v>
      </c>
      <c r="E36" s="146">
        <v>47848</v>
      </c>
      <c r="F36" s="149">
        <v>0.1055514065222803</v>
      </c>
      <c r="G36" s="354">
        <v>10071197.5</v>
      </c>
      <c r="H36" s="354">
        <v>15708535.49</v>
      </c>
      <c r="I36" s="358">
        <v>812203.07000000007</v>
      </c>
      <c r="J36" s="352">
        <f t="shared" si="0"/>
        <v>5.1704569819194524E-2</v>
      </c>
      <c r="M36" s="74">
        <f t="shared" si="1"/>
        <v>4017</v>
      </c>
      <c r="N36" s="146">
        <v>44255</v>
      </c>
      <c r="O36" s="74">
        <f t="shared" si="2"/>
        <v>3593</v>
      </c>
      <c r="P36" s="353">
        <f t="shared" si="3"/>
        <v>0.1055514065222803</v>
      </c>
    </row>
    <row r="37" spans="1:16" ht="18.95" customHeight="1">
      <c r="A37" s="348">
        <f t="shared" si="4"/>
        <v>25</v>
      </c>
      <c r="B37" s="357" t="s">
        <v>2830</v>
      </c>
      <c r="C37" s="354" t="s">
        <v>2831</v>
      </c>
      <c r="D37" s="145">
        <v>43770</v>
      </c>
      <c r="E37" s="146">
        <v>44742</v>
      </c>
      <c r="F37" s="149">
        <v>0.49897119341563784</v>
      </c>
      <c r="G37" s="354">
        <v>9604000</v>
      </c>
      <c r="H37" s="354">
        <v>8418766.6500000004</v>
      </c>
      <c r="I37" s="358">
        <v>878650.99</v>
      </c>
      <c r="J37" s="352">
        <f t="shared" si="0"/>
        <v>0.10436813686954964</v>
      </c>
      <c r="M37" s="74">
        <f t="shared" si="1"/>
        <v>972</v>
      </c>
      <c r="N37" s="146">
        <v>44255</v>
      </c>
      <c r="O37" s="74">
        <f t="shared" si="2"/>
        <v>487</v>
      </c>
      <c r="P37" s="353">
        <f t="shared" si="3"/>
        <v>0.49897119341563784</v>
      </c>
    </row>
    <row r="38" spans="1:16" ht="18.95" customHeight="1">
      <c r="A38" s="348">
        <f t="shared" si="4"/>
        <v>26</v>
      </c>
      <c r="B38" s="357" t="s">
        <v>2832</v>
      </c>
      <c r="C38" s="354" t="s">
        <v>2833</v>
      </c>
      <c r="D38" s="145">
        <v>44197</v>
      </c>
      <c r="E38" s="146">
        <v>44561</v>
      </c>
      <c r="F38" s="149">
        <v>0.15934065934065933</v>
      </c>
      <c r="G38" s="354">
        <v>14000</v>
      </c>
      <c r="H38" s="354">
        <v>67824.05</v>
      </c>
      <c r="I38" s="358">
        <v>11304.05</v>
      </c>
      <c r="J38" s="352">
        <f t="shared" si="0"/>
        <v>0.16666728100135569</v>
      </c>
      <c r="M38" s="74">
        <f t="shared" si="1"/>
        <v>364</v>
      </c>
      <c r="N38" s="146">
        <v>44255</v>
      </c>
      <c r="O38" s="74">
        <f t="shared" si="2"/>
        <v>306</v>
      </c>
      <c r="P38" s="353">
        <f t="shared" si="3"/>
        <v>0.15934065934065933</v>
      </c>
    </row>
    <row r="39" spans="1:16" ht="18.95" customHeight="1">
      <c r="A39" s="348">
        <f t="shared" si="4"/>
        <v>27</v>
      </c>
      <c r="B39" s="357" t="s">
        <v>2325</v>
      </c>
      <c r="C39" s="354" t="s">
        <v>2326</v>
      </c>
      <c r="D39" s="145">
        <v>42164</v>
      </c>
      <c r="E39" s="146">
        <v>46022</v>
      </c>
      <c r="F39" s="149">
        <v>0.5419906687402799</v>
      </c>
      <c r="G39" s="354">
        <v>516492.27</v>
      </c>
      <c r="H39" s="354">
        <v>5111528.76</v>
      </c>
      <c r="I39" s="358">
        <v>-2.3283064365386963E-10</v>
      </c>
      <c r="J39" s="352">
        <f t="shared" si="0"/>
        <v>-4.5550099507582468E-17</v>
      </c>
      <c r="M39" s="74">
        <f t="shared" si="1"/>
        <v>3858</v>
      </c>
      <c r="N39" s="146">
        <v>44255</v>
      </c>
      <c r="O39" s="74">
        <f t="shared" si="2"/>
        <v>1767</v>
      </c>
      <c r="P39" s="353">
        <f t="shared" si="3"/>
        <v>0.5419906687402799</v>
      </c>
    </row>
    <row r="40" spans="1:16" ht="18.95" customHeight="1">
      <c r="A40" s="348">
        <f t="shared" si="4"/>
        <v>28</v>
      </c>
      <c r="B40" s="357" t="s">
        <v>2834</v>
      </c>
      <c r="C40" s="354" t="s">
        <v>2835</v>
      </c>
      <c r="D40" s="145">
        <v>43983</v>
      </c>
      <c r="E40" s="146">
        <v>45596</v>
      </c>
      <c r="F40" s="149">
        <v>0.16862988220706757</v>
      </c>
      <c r="G40" s="354">
        <v>23118400</v>
      </c>
      <c r="H40" s="354">
        <v>16667840.620000001</v>
      </c>
      <c r="I40" s="358">
        <v>669625.35</v>
      </c>
      <c r="J40" s="352">
        <f t="shared" si="0"/>
        <v>4.0174691207240494E-2</v>
      </c>
      <c r="M40" s="74">
        <f t="shared" si="1"/>
        <v>1613</v>
      </c>
      <c r="N40" s="146">
        <v>44255</v>
      </c>
      <c r="O40" s="74">
        <f t="shared" si="2"/>
        <v>1341</v>
      </c>
      <c r="P40" s="353">
        <f t="shared" si="3"/>
        <v>0.16862988220706757</v>
      </c>
    </row>
    <row r="41" spans="1:16" ht="18.95" customHeight="1">
      <c r="A41" s="348">
        <f t="shared" si="4"/>
        <v>29</v>
      </c>
      <c r="B41" s="357" t="s">
        <v>2615</v>
      </c>
      <c r="C41" s="354" t="s">
        <v>2616</v>
      </c>
      <c r="D41" s="145">
        <v>43497</v>
      </c>
      <c r="E41" s="146">
        <v>44377</v>
      </c>
      <c r="F41" s="149">
        <v>0.86136363636363633</v>
      </c>
      <c r="G41" s="354">
        <v>1881700</v>
      </c>
      <c r="H41" s="354">
        <v>4708494.49</v>
      </c>
      <c r="I41" s="358">
        <v>2723799.21</v>
      </c>
      <c r="J41" s="352">
        <f t="shared" si="0"/>
        <v>0.57848622649657166</v>
      </c>
      <c r="M41" s="74">
        <f t="shared" si="1"/>
        <v>880</v>
      </c>
      <c r="N41" s="146">
        <v>44255</v>
      </c>
      <c r="O41" s="74">
        <f t="shared" si="2"/>
        <v>122</v>
      </c>
      <c r="P41" s="353">
        <f t="shared" si="3"/>
        <v>0.86136363636363633</v>
      </c>
    </row>
    <row r="42" spans="1:16" ht="18.95" customHeight="1">
      <c r="A42" s="348">
        <f t="shared" si="4"/>
        <v>30</v>
      </c>
      <c r="B42" s="357" t="s">
        <v>2331</v>
      </c>
      <c r="C42" s="354" t="s">
        <v>2836</v>
      </c>
      <c r="D42" s="145">
        <v>42370</v>
      </c>
      <c r="E42" s="146">
        <v>46387</v>
      </c>
      <c r="F42" s="149">
        <v>0.46925566343042069</v>
      </c>
      <c r="G42" s="354">
        <v>69500</v>
      </c>
      <c r="H42" s="354">
        <v>1359600.3900000001</v>
      </c>
      <c r="I42" s="358">
        <v>211265.97000000003</v>
      </c>
      <c r="J42" s="352">
        <f t="shared" si="0"/>
        <v>0.15538828287626485</v>
      </c>
      <c r="M42" s="74">
        <f t="shared" si="1"/>
        <v>4017</v>
      </c>
      <c r="N42" s="146">
        <v>44255</v>
      </c>
      <c r="O42" s="74">
        <f t="shared" si="2"/>
        <v>2132</v>
      </c>
      <c r="P42" s="353">
        <f t="shared" si="3"/>
        <v>0.46925566343042069</v>
      </c>
    </row>
    <row r="43" spans="1:16" ht="18.95" customHeight="1">
      <c r="A43" s="348">
        <f t="shared" si="4"/>
        <v>31</v>
      </c>
      <c r="B43" s="357" t="s">
        <v>2567</v>
      </c>
      <c r="C43" s="354" t="s">
        <v>2568</v>
      </c>
      <c r="D43" s="145">
        <v>42458</v>
      </c>
      <c r="E43" s="146">
        <v>46022</v>
      </c>
      <c r="F43" s="149">
        <v>0.50420875420875422</v>
      </c>
      <c r="G43" s="354">
        <v>35870036.200000003</v>
      </c>
      <c r="H43" s="354">
        <v>14022349.629999999</v>
      </c>
      <c r="I43" s="358">
        <v>40647719.223919123</v>
      </c>
      <c r="J43" s="352">
        <f t="shared" si="0"/>
        <v>2.8987808959602392</v>
      </c>
      <c r="M43" s="74">
        <f t="shared" si="1"/>
        <v>3564</v>
      </c>
      <c r="N43" s="146">
        <v>44255</v>
      </c>
      <c r="O43" s="74">
        <f t="shared" si="2"/>
        <v>1767</v>
      </c>
      <c r="P43" s="353">
        <f t="shared" si="3"/>
        <v>0.50420875420875422</v>
      </c>
    </row>
    <row r="44" spans="1:16" ht="18.95" customHeight="1">
      <c r="A44" s="348">
        <f t="shared" si="4"/>
        <v>32</v>
      </c>
      <c r="B44" s="357" t="s">
        <v>2837</v>
      </c>
      <c r="C44" s="354" t="s">
        <v>2838</v>
      </c>
      <c r="D44" s="145">
        <v>43983</v>
      </c>
      <c r="E44" s="146">
        <v>44530</v>
      </c>
      <c r="F44" s="149">
        <v>0.49725776965265084</v>
      </c>
      <c r="G44" s="354">
        <v>925080</v>
      </c>
      <c r="H44" s="354">
        <v>1628846.45</v>
      </c>
      <c r="I44" s="358">
        <v>352646.45</v>
      </c>
      <c r="J44" s="352">
        <f t="shared" si="0"/>
        <v>0.21650073277318438</v>
      </c>
      <c r="M44" s="74">
        <f t="shared" si="1"/>
        <v>547</v>
      </c>
      <c r="N44" s="146">
        <v>44255</v>
      </c>
      <c r="O44" s="74">
        <f t="shared" si="2"/>
        <v>275</v>
      </c>
      <c r="P44" s="353">
        <f t="shared" si="3"/>
        <v>0.49725776965265084</v>
      </c>
    </row>
    <row r="45" spans="1:16" ht="18.95" customHeight="1">
      <c r="A45" s="348">
        <f t="shared" si="4"/>
        <v>33</v>
      </c>
      <c r="B45" s="357" t="s">
        <v>2839</v>
      </c>
      <c r="C45" s="354" t="s">
        <v>2840</v>
      </c>
      <c r="D45" s="145">
        <v>43830</v>
      </c>
      <c r="E45" s="146">
        <v>44347</v>
      </c>
      <c r="F45" s="149">
        <v>0.82205029013539654</v>
      </c>
      <c r="G45" s="354">
        <v>1205808.4099999999</v>
      </c>
      <c r="H45" s="354">
        <v>1254000.6400000001</v>
      </c>
      <c r="I45" s="358">
        <v>797249.18</v>
      </c>
      <c r="J45" s="352">
        <f t="shared" si="0"/>
        <v>0.6357645718585917</v>
      </c>
      <c r="M45" s="74">
        <f t="shared" si="1"/>
        <v>517</v>
      </c>
      <c r="N45" s="146">
        <v>44255</v>
      </c>
      <c r="O45" s="74">
        <f t="shared" si="2"/>
        <v>92</v>
      </c>
      <c r="P45" s="353">
        <f t="shared" si="3"/>
        <v>0.82205029013539654</v>
      </c>
    </row>
    <row r="46" spans="1:16" ht="18.95" customHeight="1">
      <c r="A46" s="348">
        <f t="shared" si="4"/>
        <v>34</v>
      </c>
      <c r="B46" s="357" t="s">
        <v>2841</v>
      </c>
      <c r="C46" s="354" t="s">
        <v>2842</v>
      </c>
      <c r="D46" s="145">
        <v>44197</v>
      </c>
      <c r="E46" s="146">
        <v>44561</v>
      </c>
      <c r="F46" s="149">
        <v>0.15934065934065933</v>
      </c>
      <c r="G46" s="354">
        <v>53020</v>
      </c>
      <c r="H46" s="354">
        <v>400141.94</v>
      </c>
      <c r="I46" s="358">
        <v>50615</v>
      </c>
      <c r="J46" s="352">
        <f t="shared" si="0"/>
        <v>0.12649261409588808</v>
      </c>
      <c r="M46" s="74">
        <f t="shared" si="1"/>
        <v>364</v>
      </c>
      <c r="N46" s="146">
        <v>44255</v>
      </c>
      <c r="O46" s="74">
        <f t="shared" si="2"/>
        <v>306</v>
      </c>
      <c r="P46" s="353">
        <f t="shared" si="3"/>
        <v>0.15934065934065933</v>
      </c>
    </row>
    <row r="47" spans="1:16" ht="18.95" customHeight="1">
      <c r="A47" s="348">
        <f t="shared" si="4"/>
        <v>35</v>
      </c>
      <c r="B47" s="357" t="s">
        <v>2843</v>
      </c>
      <c r="C47" s="354" t="s">
        <v>2844</v>
      </c>
      <c r="D47" s="145">
        <v>43952</v>
      </c>
      <c r="E47" s="146">
        <v>44561</v>
      </c>
      <c r="F47" s="149">
        <v>0.49753694581280788</v>
      </c>
      <c r="G47" s="354">
        <v>7013000</v>
      </c>
      <c r="H47" s="354">
        <v>30275.4</v>
      </c>
      <c r="I47" s="358">
        <v>30275.4</v>
      </c>
      <c r="J47" s="352">
        <f t="shared" si="0"/>
        <v>1</v>
      </c>
      <c r="M47" s="74">
        <f t="shared" si="1"/>
        <v>609</v>
      </c>
      <c r="N47" s="146">
        <v>44255</v>
      </c>
      <c r="O47" s="74">
        <f t="shared" si="2"/>
        <v>306</v>
      </c>
      <c r="P47" s="353">
        <f t="shared" si="3"/>
        <v>0.49753694581280788</v>
      </c>
    </row>
    <row r="48" spans="1:16" ht="18.95" customHeight="1">
      <c r="A48" s="348">
        <f t="shared" si="4"/>
        <v>36</v>
      </c>
      <c r="B48" s="357" t="s">
        <v>2845</v>
      </c>
      <c r="C48" s="354" t="s">
        <v>2846</v>
      </c>
      <c r="D48" s="145">
        <v>43466</v>
      </c>
      <c r="E48" s="146">
        <v>47848</v>
      </c>
      <c r="F48" s="149">
        <v>0.18005476951163851</v>
      </c>
      <c r="G48" s="354">
        <v>1749000</v>
      </c>
      <c r="H48" s="354">
        <v>1104701.6000000001</v>
      </c>
      <c r="I48" s="358">
        <v>198016.84</v>
      </c>
      <c r="J48" s="352">
        <f t="shared" si="0"/>
        <v>0.1792491655665204</v>
      </c>
      <c r="M48" s="74">
        <f t="shared" si="1"/>
        <v>4382</v>
      </c>
      <c r="N48" s="146">
        <v>44255</v>
      </c>
      <c r="O48" s="74">
        <f t="shared" si="2"/>
        <v>3593</v>
      </c>
      <c r="P48" s="353">
        <f t="shared" si="3"/>
        <v>0.18005476951163851</v>
      </c>
    </row>
    <row r="49" spans="1:16" ht="18.95" customHeight="1">
      <c r="A49" s="348">
        <f t="shared" si="4"/>
        <v>37</v>
      </c>
      <c r="B49" s="357" t="s">
        <v>2577</v>
      </c>
      <c r="C49" s="354" t="s">
        <v>2578</v>
      </c>
      <c r="D49" s="145">
        <v>43282</v>
      </c>
      <c r="E49" s="146">
        <v>44377</v>
      </c>
      <c r="F49" s="149">
        <v>0.8885844748858448</v>
      </c>
      <c r="G49" s="354">
        <v>9093001.4700000007</v>
      </c>
      <c r="H49" s="354">
        <v>8917305.5899999999</v>
      </c>
      <c r="I49" s="358">
        <v>10958354.449999999</v>
      </c>
      <c r="J49" s="352">
        <f t="shared" si="0"/>
        <v>1.2288862750525071</v>
      </c>
      <c r="M49" s="74">
        <f t="shared" si="1"/>
        <v>1095</v>
      </c>
      <c r="N49" s="146">
        <v>44255</v>
      </c>
      <c r="O49" s="74">
        <f t="shared" si="2"/>
        <v>122</v>
      </c>
      <c r="P49" s="353">
        <f t="shared" si="3"/>
        <v>0.8885844748858448</v>
      </c>
    </row>
    <row r="50" spans="1:16" ht="18.95" customHeight="1">
      <c r="A50" s="348">
        <f t="shared" si="4"/>
        <v>38</v>
      </c>
      <c r="B50" s="357" t="s">
        <v>2847</v>
      </c>
      <c r="C50" s="354" t="s">
        <v>2848</v>
      </c>
      <c r="D50" s="145">
        <v>43466</v>
      </c>
      <c r="E50" s="146">
        <v>44439</v>
      </c>
      <c r="F50" s="149">
        <v>0.81089414182939368</v>
      </c>
      <c r="G50" s="354">
        <v>341665</v>
      </c>
      <c r="H50" s="354">
        <v>1286926.25</v>
      </c>
      <c r="I50" s="358">
        <v>1119970.94</v>
      </c>
      <c r="J50" s="352">
        <f t="shared" si="0"/>
        <v>0.87026816027724974</v>
      </c>
      <c r="M50" s="74">
        <f t="shared" si="1"/>
        <v>973</v>
      </c>
      <c r="N50" s="146">
        <v>44255</v>
      </c>
      <c r="O50" s="74">
        <f t="shared" si="2"/>
        <v>184</v>
      </c>
      <c r="P50" s="353">
        <f t="shared" si="3"/>
        <v>0.81089414182939368</v>
      </c>
    </row>
    <row r="51" spans="1:16" ht="18.95" customHeight="1">
      <c r="A51" s="348">
        <f t="shared" si="4"/>
        <v>39</v>
      </c>
      <c r="B51" s="357" t="s">
        <v>2569</v>
      </c>
      <c r="C51" s="354" t="s">
        <v>2570</v>
      </c>
      <c r="D51" s="145">
        <v>42558</v>
      </c>
      <c r="E51" s="146">
        <v>44651</v>
      </c>
      <c r="F51" s="149">
        <v>0.81079789775441946</v>
      </c>
      <c r="G51" s="354">
        <v>1133000</v>
      </c>
      <c r="H51" s="354">
        <v>16678965.25</v>
      </c>
      <c r="I51" s="358">
        <v>40999466.736136369</v>
      </c>
      <c r="J51" s="352">
        <f t="shared" si="0"/>
        <v>2.4581540953888834</v>
      </c>
      <c r="M51" s="74">
        <f t="shared" si="1"/>
        <v>2093</v>
      </c>
      <c r="N51" s="146">
        <v>44255</v>
      </c>
      <c r="O51" s="74">
        <f t="shared" si="2"/>
        <v>396</v>
      </c>
      <c r="P51" s="353">
        <f t="shared" si="3"/>
        <v>0.81079789775441946</v>
      </c>
    </row>
    <row r="52" spans="1:16" ht="18.95" customHeight="1">
      <c r="A52" s="348">
        <f t="shared" si="4"/>
        <v>40</v>
      </c>
      <c r="B52" s="357" t="s">
        <v>2849</v>
      </c>
      <c r="C52" s="354" t="s">
        <v>2850</v>
      </c>
      <c r="D52" s="145">
        <v>42563</v>
      </c>
      <c r="E52" s="146">
        <v>45838</v>
      </c>
      <c r="F52" s="149">
        <v>0.51664122137404578</v>
      </c>
      <c r="G52" s="354">
        <v>130930037.63</v>
      </c>
      <c r="H52" s="354">
        <v>136852081.16000003</v>
      </c>
      <c r="I52" s="358">
        <v>6929043.3799999999</v>
      </c>
      <c r="J52" s="352">
        <f t="shared" si="0"/>
        <v>5.0631625922436196E-2</v>
      </c>
      <c r="M52" s="74">
        <f t="shared" si="1"/>
        <v>3275</v>
      </c>
      <c r="N52" s="146">
        <v>44255</v>
      </c>
      <c r="O52" s="74">
        <f t="shared" si="2"/>
        <v>1583</v>
      </c>
      <c r="P52" s="353">
        <f t="shared" si="3"/>
        <v>0.51664122137404578</v>
      </c>
    </row>
    <row r="53" spans="1:16" ht="18.95" customHeight="1">
      <c r="A53" s="348">
        <f t="shared" si="4"/>
        <v>41</v>
      </c>
      <c r="B53" s="357" t="s">
        <v>2851</v>
      </c>
      <c r="C53" s="354" t="s">
        <v>2852</v>
      </c>
      <c r="D53" s="145">
        <v>42563</v>
      </c>
      <c r="E53" s="146">
        <v>45657</v>
      </c>
      <c r="F53" s="149">
        <v>0.54686489980607622</v>
      </c>
      <c r="G53" s="354">
        <v>31584238.189999998</v>
      </c>
      <c r="H53" s="354">
        <v>35939451.520000003</v>
      </c>
      <c r="I53" s="358">
        <v>5825621.3200000003</v>
      </c>
      <c r="J53" s="352">
        <f t="shared" si="0"/>
        <v>0.16209544313045765</v>
      </c>
      <c r="M53" s="74">
        <f t="shared" si="1"/>
        <v>3094</v>
      </c>
      <c r="N53" s="146">
        <v>44255</v>
      </c>
      <c r="O53" s="74">
        <f t="shared" si="2"/>
        <v>1402</v>
      </c>
      <c r="P53" s="353">
        <f t="shared" si="3"/>
        <v>0.54686489980607622</v>
      </c>
    </row>
    <row r="54" spans="1:16" ht="18.95" customHeight="1">
      <c r="A54" s="348">
        <f t="shared" si="4"/>
        <v>42</v>
      </c>
      <c r="B54" s="357" t="s">
        <v>2853</v>
      </c>
      <c r="C54" s="354" t="s">
        <v>2854</v>
      </c>
      <c r="D54" s="145">
        <v>42736</v>
      </c>
      <c r="E54" s="146">
        <v>46387</v>
      </c>
      <c r="F54" s="149">
        <v>0.41605039715146536</v>
      </c>
      <c r="G54" s="354">
        <v>9478860</v>
      </c>
      <c r="H54" s="354">
        <v>7102339.8899999997</v>
      </c>
      <c r="I54" s="358">
        <v>-2.9103830456733704E-11</v>
      </c>
      <c r="J54" s="352">
        <f t="shared" si="0"/>
        <v>-4.0977805775969001E-18</v>
      </c>
      <c r="M54" s="74">
        <f t="shared" si="1"/>
        <v>3651</v>
      </c>
      <c r="N54" s="146">
        <v>44255</v>
      </c>
      <c r="O54" s="74">
        <f t="shared" si="2"/>
        <v>2132</v>
      </c>
      <c r="P54" s="353">
        <f t="shared" si="3"/>
        <v>0.41605039715146536</v>
      </c>
    </row>
    <row r="55" spans="1:16" ht="18.95" customHeight="1">
      <c r="A55" s="348">
        <f t="shared" si="4"/>
        <v>43</v>
      </c>
      <c r="B55" s="357" t="s">
        <v>2855</v>
      </c>
      <c r="C55" s="354" t="s">
        <v>2856</v>
      </c>
      <c r="D55" s="145">
        <v>42736</v>
      </c>
      <c r="E55" s="146">
        <v>44926</v>
      </c>
      <c r="F55" s="149">
        <v>0.693607305936073</v>
      </c>
      <c r="G55" s="354">
        <v>1385567.0199999998</v>
      </c>
      <c r="H55" s="354">
        <v>332901.84999999998</v>
      </c>
      <c r="I55" s="358">
        <v>180648.55000000002</v>
      </c>
      <c r="J55" s="352">
        <f t="shared" si="0"/>
        <v>0.54264808080820226</v>
      </c>
      <c r="M55" s="74">
        <f t="shared" si="1"/>
        <v>2190</v>
      </c>
      <c r="N55" s="146">
        <v>44255</v>
      </c>
      <c r="O55" s="74">
        <f t="shared" si="2"/>
        <v>671</v>
      </c>
      <c r="P55" s="353">
        <f t="shared" si="3"/>
        <v>0.693607305936073</v>
      </c>
    </row>
    <row r="56" spans="1:16" ht="18.95" customHeight="1">
      <c r="A56" s="348">
        <f t="shared" si="4"/>
        <v>44</v>
      </c>
      <c r="B56" s="357" t="s">
        <v>2857</v>
      </c>
      <c r="C56" s="354" t="s">
        <v>2858</v>
      </c>
      <c r="D56" s="145">
        <v>42736</v>
      </c>
      <c r="E56" s="146">
        <v>47848</v>
      </c>
      <c r="F56" s="149">
        <v>0.29714397496087636</v>
      </c>
      <c r="G56" s="354">
        <v>2582706.75</v>
      </c>
      <c r="H56" s="354">
        <v>1865579.79</v>
      </c>
      <c r="I56" s="358">
        <v>36668.160000000003</v>
      </c>
      <c r="J56" s="352">
        <f t="shared" si="0"/>
        <v>1.9655101430960508E-2</v>
      </c>
      <c r="M56" s="74">
        <f t="shared" si="1"/>
        <v>5112</v>
      </c>
      <c r="N56" s="146">
        <v>44255</v>
      </c>
      <c r="O56" s="74">
        <f t="shared" si="2"/>
        <v>3593</v>
      </c>
      <c r="P56" s="353">
        <f t="shared" si="3"/>
        <v>0.29714397496087636</v>
      </c>
    </row>
    <row r="57" spans="1:16" s="359" customFormat="1" ht="20.100000000000001" customHeight="1">
      <c r="A57" s="809" t="str">
        <f>$A$1</f>
        <v>KENTUCKY UTILITIES COMPANY</v>
      </c>
      <c r="B57" s="809"/>
      <c r="C57" s="809"/>
      <c r="D57" s="809"/>
      <c r="E57" s="809"/>
      <c r="F57" s="809"/>
      <c r="G57" s="809"/>
      <c r="H57" s="809"/>
      <c r="I57" s="809"/>
      <c r="J57" s="809"/>
    </row>
    <row r="58" spans="1:16" s="359" customFormat="1" ht="20.100000000000001" customHeight="1">
      <c r="A58" s="809" t="str">
        <f>$A$2</f>
        <v>CASE NO. 2020-00349</v>
      </c>
      <c r="B58" s="809"/>
      <c r="C58" s="809"/>
      <c r="D58" s="809"/>
      <c r="E58" s="809"/>
      <c r="F58" s="809"/>
      <c r="G58" s="809"/>
      <c r="H58" s="809"/>
      <c r="I58" s="809"/>
      <c r="J58" s="809"/>
    </row>
    <row r="59" spans="1:16" s="359" customFormat="1" ht="20.100000000000001" customHeight="1">
      <c r="A59" s="809" t="s">
        <v>1216</v>
      </c>
      <c r="B59" s="809"/>
      <c r="C59" s="809"/>
      <c r="D59" s="809"/>
      <c r="E59" s="809"/>
      <c r="F59" s="809"/>
      <c r="G59" s="809"/>
      <c r="H59" s="809"/>
      <c r="I59" s="809"/>
      <c r="J59" s="809"/>
    </row>
    <row r="60" spans="1:16" s="359" customFormat="1" ht="20.100000000000001" customHeight="1">
      <c r="A60" s="809" t="str">
        <f>$A$4</f>
        <v>AS OF FEBRUARY 28, 2021</v>
      </c>
      <c r="B60" s="809"/>
      <c r="C60" s="809"/>
      <c r="D60" s="809"/>
      <c r="E60" s="809"/>
      <c r="F60" s="809"/>
      <c r="G60" s="809"/>
      <c r="H60" s="809"/>
      <c r="I60" s="809"/>
      <c r="J60" s="809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DATA:__X__BASE  PERIOD____FORECASTED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1709</v>
      </c>
    </row>
    <row r="63" spans="1:16" s="359" customFormat="1" ht="20.100000000000001" customHeight="1">
      <c r="A63" s="67" t="str">
        <f>$A$7</f>
        <v>TYPE OF FILING: __X__ ORIGINAL  _____ UPDATED  _____ REVISED</v>
      </c>
      <c r="B63" s="348"/>
      <c r="C63" s="68"/>
      <c r="D63" s="144"/>
      <c r="E63" s="144"/>
      <c r="F63" s="68"/>
      <c r="G63" s="74"/>
      <c r="H63" s="74"/>
      <c r="I63" s="74"/>
      <c r="J63" s="74" t="s">
        <v>3738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0" customHeight="1">
      <c r="A66" s="76" t="s">
        <v>131</v>
      </c>
      <c r="B66" s="76" t="s">
        <v>1219</v>
      </c>
      <c r="C66" s="76" t="s">
        <v>1220</v>
      </c>
      <c r="D66" s="142" t="s">
        <v>1222</v>
      </c>
      <c r="E66" s="142" t="s">
        <v>1223</v>
      </c>
      <c r="F66" s="76" t="s">
        <v>1224</v>
      </c>
      <c r="G66" s="76" t="s">
        <v>1225</v>
      </c>
      <c r="H66" s="76" t="s">
        <v>1226</v>
      </c>
      <c r="I66" s="76" t="s">
        <v>1227</v>
      </c>
      <c r="J66" s="76" t="s">
        <v>1228</v>
      </c>
      <c r="M66" s="360" t="s">
        <v>1236</v>
      </c>
      <c r="N66" s="360" t="s">
        <v>1237</v>
      </c>
      <c r="O66" s="360" t="s">
        <v>1238</v>
      </c>
      <c r="P66" s="360" t="s">
        <v>1224</v>
      </c>
    </row>
    <row r="67" spans="1:16" s="359" customFormat="1" ht="18.75" customHeight="1">
      <c r="A67" s="80" t="s">
        <v>1217</v>
      </c>
      <c r="B67" s="80" t="s">
        <v>1218</v>
      </c>
      <c r="C67" s="80" t="s">
        <v>1221</v>
      </c>
      <c r="D67" s="355" t="s">
        <v>1229</v>
      </c>
      <c r="E67" s="355" t="s">
        <v>1230</v>
      </c>
      <c r="F67" s="356" t="s">
        <v>1231</v>
      </c>
      <c r="G67" s="356" t="s">
        <v>1232</v>
      </c>
      <c r="H67" s="356" t="s">
        <v>1233</v>
      </c>
      <c r="I67" s="356" t="s">
        <v>1234</v>
      </c>
      <c r="J67" s="356" t="s">
        <v>1235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2859</v>
      </c>
      <c r="C69" s="354" t="s">
        <v>2860</v>
      </c>
      <c r="D69" s="145">
        <v>44197</v>
      </c>
      <c r="E69" s="146">
        <v>44316</v>
      </c>
      <c r="F69" s="149">
        <v>0.48739495798319327</v>
      </c>
      <c r="G69" s="354">
        <v>45703.64</v>
      </c>
      <c r="H69" s="354">
        <v>45445.54</v>
      </c>
      <c r="I69" s="358">
        <v>45445.54</v>
      </c>
      <c r="J69" s="352">
        <f t="shared" ref="J69:J112" si="5">I69/H69</f>
        <v>1</v>
      </c>
      <c r="M69" s="74">
        <f t="shared" si="1"/>
        <v>119</v>
      </c>
      <c r="N69" s="146">
        <v>44255</v>
      </c>
      <c r="O69" s="74">
        <f t="shared" si="2"/>
        <v>61</v>
      </c>
      <c r="P69" s="353">
        <f t="shared" si="3"/>
        <v>0.48739495798319327</v>
      </c>
    </row>
    <row r="70" spans="1:16" ht="18.95" customHeight="1">
      <c r="A70" s="348">
        <f t="shared" si="4"/>
        <v>46</v>
      </c>
      <c r="B70" s="357" t="s">
        <v>2861</v>
      </c>
      <c r="C70" s="354" t="s">
        <v>2862</v>
      </c>
      <c r="D70" s="145">
        <v>44135</v>
      </c>
      <c r="E70" s="146">
        <v>44561</v>
      </c>
      <c r="F70" s="149">
        <v>0.28169014084507044</v>
      </c>
      <c r="G70" s="354">
        <v>1083566.01</v>
      </c>
      <c r="H70" s="354">
        <v>1083566.01</v>
      </c>
      <c r="I70" s="358">
        <v>150000</v>
      </c>
      <c r="J70" s="352">
        <f t="shared" si="5"/>
        <v>0.13843180629115526</v>
      </c>
      <c r="M70" s="74">
        <f t="shared" si="1"/>
        <v>426</v>
      </c>
      <c r="N70" s="146">
        <v>44255</v>
      </c>
      <c r="O70" s="74">
        <f t="shared" si="2"/>
        <v>306</v>
      </c>
      <c r="P70" s="353">
        <f t="shared" si="3"/>
        <v>0.28169014084507044</v>
      </c>
    </row>
    <row r="71" spans="1:16" ht="18.95" customHeight="1">
      <c r="A71" s="348">
        <f t="shared" si="4"/>
        <v>47</v>
      </c>
      <c r="B71" s="357" t="s">
        <v>2606</v>
      </c>
      <c r="C71" s="354" t="s">
        <v>2607</v>
      </c>
      <c r="D71" s="145">
        <v>44013</v>
      </c>
      <c r="E71" s="146">
        <v>44347</v>
      </c>
      <c r="F71" s="149">
        <v>0.72455089820359286</v>
      </c>
      <c r="G71" s="354">
        <v>548443.64</v>
      </c>
      <c r="H71" s="354">
        <v>1865168.46</v>
      </c>
      <c r="I71" s="358">
        <v>209354.62</v>
      </c>
      <c r="J71" s="352">
        <f t="shared" si="5"/>
        <v>0.11224434923159703</v>
      </c>
      <c r="M71" s="74">
        <f t="shared" si="1"/>
        <v>334</v>
      </c>
      <c r="N71" s="146">
        <v>44255</v>
      </c>
      <c r="O71" s="74">
        <f t="shared" si="2"/>
        <v>92</v>
      </c>
      <c r="P71" s="353">
        <f t="shared" si="3"/>
        <v>0.72455089820359286</v>
      </c>
    </row>
    <row r="72" spans="1:16" ht="18.95" customHeight="1">
      <c r="A72" s="348">
        <f t="shared" si="4"/>
        <v>48</v>
      </c>
      <c r="B72" s="357" t="s">
        <v>2863</v>
      </c>
      <c r="C72" s="354" t="s">
        <v>2864</v>
      </c>
      <c r="D72" s="145">
        <v>43831</v>
      </c>
      <c r="E72" s="146">
        <v>44469</v>
      </c>
      <c r="F72" s="149">
        <v>0.66457680250783702</v>
      </c>
      <c r="G72" s="354">
        <v>790658.64</v>
      </c>
      <c r="H72" s="354">
        <v>857423.3</v>
      </c>
      <c r="I72" s="358">
        <v>517371.3</v>
      </c>
      <c r="J72" s="352">
        <f t="shared" si="5"/>
        <v>0.60340242678266376</v>
      </c>
      <c r="M72" s="74">
        <f t="shared" si="1"/>
        <v>638</v>
      </c>
      <c r="N72" s="146">
        <v>44255</v>
      </c>
      <c r="O72" s="74">
        <f t="shared" si="2"/>
        <v>214</v>
      </c>
      <c r="P72" s="353">
        <f t="shared" si="3"/>
        <v>0.66457680250783702</v>
      </c>
    </row>
    <row r="73" spans="1:16" ht="18.95" customHeight="1">
      <c r="A73" s="348">
        <f t="shared" si="4"/>
        <v>49</v>
      </c>
      <c r="B73" s="357" t="s">
        <v>2865</v>
      </c>
      <c r="C73" s="354" t="s">
        <v>2866</v>
      </c>
      <c r="D73" s="145">
        <v>43831</v>
      </c>
      <c r="E73" s="146">
        <v>44561</v>
      </c>
      <c r="F73" s="149">
        <v>0.58082191780821912</v>
      </c>
      <c r="G73" s="354">
        <v>604175.6</v>
      </c>
      <c r="H73" s="354">
        <v>552172.94999999995</v>
      </c>
      <c r="I73" s="358">
        <v>92743.59</v>
      </c>
      <c r="J73" s="352">
        <f t="shared" si="5"/>
        <v>0.16796112522353732</v>
      </c>
      <c r="M73" s="74">
        <f t="shared" si="1"/>
        <v>730</v>
      </c>
      <c r="N73" s="146">
        <v>44255</v>
      </c>
      <c r="O73" s="74">
        <f t="shared" si="2"/>
        <v>306</v>
      </c>
      <c r="P73" s="353">
        <f t="shared" si="3"/>
        <v>0.58082191780821912</v>
      </c>
    </row>
    <row r="74" spans="1:16" ht="18.95" customHeight="1">
      <c r="A74" s="348">
        <f t="shared" si="4"/>
        <v>50</v>
      </c>
      <c r="B74" s="357" t="s">
        <v>2867</v>
      </c>
      <c r="C74" s="354" t="s">
        <v>2868</v>
      </c>
      <c r="D74" s="145">
        <v>43831</v>
      </c>
      <c r="E74" s="146">
        <v>44469</v>
      </c>
      <c r="F74" s="149">
        <v>0.66457680250783702</v>
      </c>
      <c r="G74" s="354">
        <v>180467.6</v>
      </c>
      <c r="H74" s="354">
        <v>1432021.6400000001</v>
      </c>
      <c r="I74" s="358">
        <v>639841.6399999999</v>
      </c>
      <c r="J74" s="352">
        <f t="shared" si="5"/>
        <v>0.44681003563605354</v>
      </c>
      <c r="M74" s="74">
        <f t="shared" si="1"/>
        <v>638</v>
      </c>
      <c r="N74" s="146">
        <v>44255</v>
      </c>
      <c r="O74" s="74">
        <f t="shared" si="2"/>
        <v>214</v>
      </c>
      <c r="P74" s="353">
        <f t="shared" si="3"/>
        <v>0.66457680250783702</v>
      </c>
    </row>
    <row r="75" spans="1:16" ht="18.95" customHeight="1">
      <c r="A75" s="348">
        <f t="shared" si="4"/>
        <v>51</v>
      </c>
      <c r="B75" s="357" t="s">
        <v>2579</v>
      </c>
      <c r="C75" s="354" t="s">
        <v>2580</v>
      </c>
      <c r="D75" s="145">
        <v>43252</v>
      </c>
      <c r="E75" s="146">
        <v>44377</v>
      </c>
      <c r="F75" s="149">
        <v>0.89155555555555555</v>
      </c>
      <c r="G75" s="354">
        <v>4713336.78</v>
      </c>
      <c r="H75" s="354">
        <v>1389749.5799999998</v>
      </c>
      <c r="I75" s="358">
        <v>5577267.2999999998</v>
      </c>
      <c r="J75" s="352">
        <f t="shared" si="5"/>
        <v>4.0131455193532064</v>
      </c>
      <c r="M75" s="74">
        <f t="shared" si="1"/>
        <v>1125</v>
      </c>
      <c r="N75" s="146">
        <v>44255</v>
      </c>
      <c r="O75" s="74">
        <f t="shared" si="2"/>
        <v>122</v>
      </c>
      <c r="P75" s="353">
        <f t="shared" si="3"/>
        <v>0.89155555555555555</v>
      </c>
    </row>
    <row r="76" spans="1:16" ht="18.95" customHeight="1">
      <c r="A76" s="348">
        <f t="shared" si="4"/>
        <v>52</v>
      </c>
      <c r="B76" s="357" t="s">
        <v>2617</v>
      </c>
      <c r="C76" s="354" t="s">
        <v>2618</v>
      </c>
      <c r="D76" s="145">
        <v>43497</v>
      </c>
      <c r="E76" s="146">
        <v>44834</v>
      </c>
      <c r="F76" s="149">
        <v>0.56694091249065071</v>
      </c>
      <c r="G76" s="354">
        <v>7666475.29</v>
      </c>
      <c r="H76" s="354">
        <v>5599464.7999999998</v>
      </c>
      <c r="I76" s="358">
        <v>810378.55</v>
      </c>
      <c r="J76" s="352">
        <f t="shared" si="5"/>
        <v>0.14472428686398744</v>
      </c>
      <c r="M76" s="74">
        <f t="shared" si="1"/>
        <v>1337</v>
      </c>
      <c r="N76" s="146">
        <v>44255</v>
      </c>
      <c r="O76" s="74">
        <f t="shared" si="2"/>
        <v>579</v>
      </c>
      <c r="P76" s="353">
        <f t="shared" si="3"/>
        <v>0.56694091249065071</v>
      </c>
    </row>
    <row r="77" spans="1:16" ht="18.95" customHeight="1">
      <c r="A77" s="348">
        <f t="shared" si="4"/>
        <v>53</v>
      </c>
      <c r="B77" s="357" t="s">
        <v>2869</v>
      </c>
      <c r="C77" s="354" t="s">
        <v>2870</v>
      </c>
      <c r="D77" s="145">
        <v>43466</v>
      </c>
      <c r="E77" s="146">
        <v>45657</v>
      </c>
      <c r="F77" s="149">
        <v>0.36010953902327703</v>
      </c>
      <c r="G77" s="354">
        <v>12999998.039999999</v>
      </c>
      <c r="H77" s="354">
        <v>7954454.2199999997</v>
      </c>
      <c r="I77" s="358">
        <v>1.1641532182693481E-10</v>
      </c>
      <c r="J77" s="352">
        <f t="shared" si="5"/>
        <v>1.4635236888312222E-17</v>
      </c>
      <c r="M77" s="74">
        <f t="shared" si="1"/>
        <v>2191</v>
      </c>
      <c r="N77" s="146">
        <v>44255</v>
      </c>
      <c r="O77" s="74">
        <f t="shared" si="2"/>
        <v>1402</v>
      </c>
      <c r="P77" s="353">
        <f t="shared" si="3"/>
        <v>0.36010953902327703</v>
      </c>
    </row>
    <row r="78" spans="1:16" ht="18.95" customHeight="1">
      <c r="A78" s="348">
        <f t="shared" si="4"/>
        <v>54</v>
      </c>
      <c r="B78" s="357" t="s">
        <v>2871</v>
      </c>
      <c r="C78" s="354" t="s">
        <v>2872</v>
      </c>
      <c r="D78" s="145">
        <v>43466</v>
      </c>
      <c r="E78" s="146">
        <v>46387</v>
      </c>
      <c r="F78" s="149">
        <v>0.27011297500855869</v>
      </c>
      <c r="G78" s="354">
        <v>3000032.8100000005</v>
      </c>
      <c r="H78" s="354">
        <v>2574092.33</v>
      </c>
      <c r="I78" s="358">
        <v>292496</v>
      </c>
      <c r="J78" s="352">
        <f t="shared" si="5"/>
        <v>0.11363073367302252</v>
      </c>
      <c r="M78" s="74">
        <f t="shared" si="1"/>
        <v>2921</v>
      </c>
      <c r="N78" s="146">
        <v>44255</v>
      </c>
      <c r="O78" s="74">
        <f t="shared" si="2"/>
        <v>2132</v>
      </c>
      <c r="P78" s="353">
        <f t="shared" si="3"/>
        <v>0.27011297500855869</v>
      </c>
    </row>
    <row r="79" spans="1:16" ht="18.95" customHeight="1">
      <c r="A79" s="348">
        <f t="shared" si="4"/>
        <v>55</v>
      </c>
      <c r="B79" s="357" t="s">
        <v>2571</v>
      </c>
      <c r="C79" s="354" t="s">
        <v>2572</v>
      </c>
      <c r="D79" s="145">
        <v>43207</v>
      </c>
      <c r="E79" s="146">
        <v>44742</v>
      </c>
      <c r="F79" s="149">
        <v>0.68273615635179152</v>
      </c>
      <c r="G79" s="354">
        <v>5875000</v>
      </c>
      <c r="H79" s="354">
        <v>7873900.8200000003</v>
      </c>
      <c r="I79" s="358">
        <v>2910485.39</v>
      </c>
      <c r="J79" s="352">
        <f t="shared" si="5"/>
        <v>0.36963703970048228</v>
      </c>
      <c r="M79" s="74">
        <f t="shared" si="1"/>
        <v>1535</v>
      </c>
      <c r="N79" s="146">
        <v>44255</v>
      </c>
      <c r="O79" s="74">
        <f t="shared" si="2"/>
        <v>487</v>
      </c>
      <c r="P79" s="353">
        <f t="shared" si="3"/>
        <v>0.68273615635179152</v>
      </c>
    </row>
    <row r="80" spans="1:16" ht="18.95" customHeight="1">
      <c r="A80" s="348">
        <f t="shared" si="4"/>
        <v>56</v>
      </c>
      <c r="B80" s="357" t="s">
        <v>2873</v>
      </c>
      <c r="C80" s="354" t="s">
        <v>2874</v>
      </c>
      <c r="D80" s="145">
        <v>43466</v>
      </c>
      <c r="E80" s="146">
        <v>44469</v>
      </c>
      <c r="F80" s="149">
        <v>0.78664007976071781</v>
      </c>
      <c r="G80" s="354">
        <v>549999.80000000005</v>
      </c>
      <c r="H80" s="354">
        <v>1297951.54</v>
      </c>
      <c r="I80" s="358">
        <v>804577.77</v>
      </c>
      <c r="J80" s="352">
        <f t="shared" si="5"/>
        <v>0.61988275001391813</v>
      </c>
      <c r="M80" s="74">
        <f t="shared" si="1"/>
        <v>1003</v>
      </c>
      <c r="N80" s="146">
        <v>44255</v>
      </c>
      <c r="O80" s="74">
        <f t="shared" si="2"/>
        <v>214</v>
      </c>
      <c r="P80" s="353">
        <f t="shared" si="3"/>
        <v>0.78664007976071781</v>
      </c>
    </row>
    <row r="81" spans="1:16" ht="18.95" customHeight="1">
      <c r="A81" s="348">
        <f t="shared" si="4"/>
        <v>57</v>
      </c>
      <c r="B81" s="357" t="s">
        <v>2619</v>
      </c>
      <c r="C81" s="354" t="s">
        <v>2620</v>
      </c>
      <c r="D81" s="145">
        <v>43891</v>
      </c>
      <c r="E81" s="146">
        <v>44500</v>
      </c>
      <c r="F81" s="149">
        <v>0.5977011494252874</v>
      </c>
      <c r="G81" s="354">
        <v>4988784.3</v>
      </c>
      <c r="H81" s="354">
        <v>4869577.62</v>
      </c>
      <c r="I81" s="358">
        <v>1890969.58</v>
      </c>
      <c r="J81" s="352">
        <f t="shared" si="5"/>
        <v>0.38832312113345058</v>
      </c>
      <c r="M81" s="74">
        <f t="shared" si="1"/>
        <v>609</v>
      </c>
      <c r="N81" s="146">
        <v>44255</v>
      </c>
      <c r="O81" s="74">
        <f t="shared" si="2"/>
        <v>245</v>
      </c>
      <c r="P81" s="353">
        <f t="shared" si="3"/>
        <v>0.5977011494252874</v>
      </c>
    </row>
    <row r="82" spans="1:16" ht="18.95" customHeight="1">
      <c r="A82" s="348">
        <f t="shared" si="4"/>
        <v>58</v>
      </c>
      <c r="B82" s="357" t="s">
        <v>2875</v>
      </c>
      <c r="C82" s="354" t="s">
        <v>2876</v>
      </c>
      <c r="D82" s="145">
        <v>43770</v>
      </c>
      <c r="E82" s="146">
        <v>44316</v>
      </c>
      <c r="F82" s="149">
        <v>0.88827838827838823</v>
      </c>
      <c r="G82" s="354">
        <v>2453423.84</v>
      </c>
      <c r="H82" s="354">
        <v>3525934.02</v>
      </c>
      <c r="I82" s="358">
        <v>2367080.1</v>
      </c>
      <c r="J82" s="352">
        <f t="shared" si="5"/>
        <v>0.67133420154016388</v>
      </c>
      <c r="M82" s="74">
        <f t="shared" si="1"/>
        <v>546</v>
      </c>
      <c r="N82" s="146">
        <v>44255</v>
      </c>
      <c r="O82" s="74">
        <f t="shared" si="2"/>
        <v>61</v>
      </c>
      <c r="P82" s="353">
        <f t="shared" si="3"/>
        <v>0.88827838827838823</v>
      </c>
    </row>
    <row r="83" spans="1:16" ht="18.95" customHeight="1">
      <c r="A83" s="348">
        <f t="shared" si="4"/>
        <v>59</v>
      </c>
      <c r="B83" s="357" t="s">
        <v>2621</v>
      </c>
      <c r="C83" s="354" t="s">
        <v>2622</v>
      </c>
      <c r="D83" s="145">
        <v>43831</v>
      </c>
      <c r="E83" s="146">
        <v>44255</v>
      </c>
      <c r="F83" s="149">
        <v>1</v>
      </c>
      <c r="G83" s="354">
        <v>5658439.7599999998</v>
      </c>
      <c r="H83" s="354">
        <v>4619257.13</v>
      </c>
      <c r="I83" s="358">
        <v>2.3283064365386963E-10</v>
      </c>
      <c r="J83" s="352">
        <f t="shared" si="5"/>
        <v>5.0404347950612926E-17</v>
      </c>
      <c r="M83" s="74">
        <f t="shared" si="1"/>
        <v>424</v>
      </c>
      <c r="N83" s="146">
        <v>44255</v>
      </c>
      <c r="O83" s="74">
        <f t="shared" si="2"/>
        <v>0</v>
      </c>
      <c r="P83" s="353">
        <f t="shared" si="3"/>
        <v>1</v>
      </c>
    </row>
    <row r="84" spans="1:16" ht="18.95" customHeight="1">
      <c r="A84" s="348">
        <f t="shared" si="4"/>
        <v>60</v>
      </c>
      <c r="B84" s="357" t="s">
        <v>2623</v>
      </c>
      <c r="C84" s="354" t="s">
        <v>2624</v>
      </c>
      <c r="D84" s="145">
        <v>43800</v>
      </c>
      <c r="E84" s="146">
        <v>44377</v>
      </c>
      <c r="F84" s="149">
        <v>0.78856152512998268</v>
      </c>
      <c r="G84" s="354">
        <v>3366548.1</v>
      </c>
      <c r="H84" s="354">
        <v>3100461.8400000003</v>
      </c>
      <c r="I84" s="358">
        <v>2618402.15</v>
      </c>
      <c r="J84" s="352">
        <f t="shared" si="5"/>
        <v>0.84452003769864159</v>
      </c>
      <c r="M84" s="74">
        <f t="shared" si="1"/>
        <v>577</v>
      </c>
      <c r="N84" s="146">
        <v>44255</v>
      </c>
      <c r="O84" s="74">
        <f t="shared" si="2"/>
        <v>122</v>
      </c>
      <c r="P84" s="353">
        <f t="shared" si="3"/>
        <v>0.78856152512998268</v>
      </c>
    </row>
    <row r="85" spans="1:16" ht="18.95" customHeight="1">
      <c r="A85" s="348">
        <f t="shared" si="4"/>
        <v>61</v>
      </c>
      <c r="B85" s="357" t="s">
        <v>2877</v>
      </c>
      <c r="C85" s="354" t="s">
        <v>2878</v>
      </c>
      <c r="D85" s="145">
        <v>43983</v>
      </c>
      <c r="E85" s="146">
        <v>44377</v>
      </c>
      <c r="F85" s="149">
        <v>0.69035532994923854</v>
      </c>
      <c r="G85" s="354">
        <v>324860.34999999998</v>
      </c>
      <c r="H85" s="354">
        <v>602608.91</v>
      </c>
      <c r="I85" s="358">
        <v>23667.279999999999</v>
      </c>
      <c r="J85" s="352">
        <f t="shared" si="5"/>
        <v>3.9274693100704396E-2</v>
      </c>
      <c r="M85" s="74">
        <f t="shared" si="1"/>
        <v>394</v>
      </c>
      <c r="N85" s="146">
        <v>44255</v>
      </c>
      <c r="O85" s="74">
        <f t="shared" si="2"/>
        <v>122</v>
      </c>
      <c r="P85" s="353">
        <f t="shared" si="3"/>
        <v>0.69035532994923854</v>
      </c>
    </row>
    <row r="86" spans="1:16" ht="18.95" customHeight="1">
      <c r="A86" s="348">
        <f t="shared" si="4"/>
        <v>62</v>
      </c>
      <c r="B86" s="357" t="s">
        <v>2879</v>
      </c>
      <c r="C86" s="354" t="s">
        <v>2880</v>
      </c>
      <c r="D86" s="145">
        <v>44228</v>
      </c>
      <c r="E86" s="146">
        <v>44316</v>
      </c>
      <c r="F86" s="149">
        <v>0.30681818181818182</v>
      </c>
      <c r="G86" s="354">
        <v>374687.48</v>
      </c>
      <c r="H86" s="354">
        <v>434044.96</v>
      </c>
      <c r="I86" s="358">
        <v>124659.49</v>
      </c>
      <c r="J86" s="352">
        <f t="shared" si="5"/>
        <v>0.28720409517023304</v>
      </c>
      <c r="M86" s="74">
        <f t="shared" si="1"/>
        <v>88</v>
      </c>
      <c r="N86" s="146">
        <v>44255</v>
      </c>
      <c r="O86" s="74">
        <f t="shared" si="2"/>
        <v>61</v>
      </c>
      <c r="P86" s="353">
        <f t="shared" si="3"/>
        <v>0.30681818181818182</v>
      </c>
    </row>
    <row r="87" spans="1:16" ht="18.95" customHeight="1">
      <c r="A87" s="348">
        <f t="shared" si="4"/>
        <v>63</v>
      </c>
      <c r="B87" s="357" t="s">
        <v>2881</v>
      </c>
      <c r="C87" s="354" t="s">
        <v>2882</v>
      </c>
      <c r="D87" s="145">
        <v>44044</v>
      </c>
      <c r="E87" s="146">
        <v>44316</v>
      </c>
      <c r="F87" s="149">
        <v>0.77573529411764708</v>
      </c>
      <c r="G87" s="354">
        <v>374774.78</v>
      </c>
      <c r="H87" s="354">
        <v>389769.42</v>
      </c>
      <c r="I87" s="358">
        <v>190517.48</v>
      </c>
      <c r="J87" s="352">
        <f t="shared" si="5"/>
        <v>0.48879534982503248</v>
      </c>
      <c r="M87" s="74">
        <f t="shared" si="1"/>
        <v>272</v>
      </c>
      <c r="N87" s="146">
        <v>44255</v>
      </c>
      <c r="O87" s="74">
        <f t="shared" si="2"/>
        <v>61</v>
      </c>
      <c r="P87" s="353">
        <f t="shared" si="3"/>
        <v>0.77573529411764708</v>
      </c>
    </row>
    <row r="88" spans="1:16" ht="18.95" customHeight="1">
      <c r="A88" s="348">
        <f t="shared" si="4"/>
        <v>64</v>
      </c>
      <c r="B88" s="357" t="s">
        <v>2883</v>
      </c>
      <c r="C88" s="354" t="s">
        <v>2884</v>
      </c>
      <c r="D88" s="145">
        <v>43586</v>
      </c>
      <c r="E88" s="146">
        <v>44681</v>
      </c>
      <c r="F88" s="149">
        <v>0.61095890410958908</v>
      </c>
      <c r="G88" s="354">
        <v>1000048.8</v>
      </c>
      <c r="H88" s="354">
        <v>1496997.31</v>
      </c>
      <c r="I88" s="358">
        <v>26889.230000000003</v>
      </c>
      <c r="J88" s="352">
        <f t="shared" si="5"/>
        <v>1.7962109764913341E-2</v>
      </c>
      <c r="M88" s="74">
        <f t="shared" si="1"/>
        <v>1095</v>
      </c>
      <c r="N88" s="146">
        <v>44255</v>
      </c>
      <c r="O88" s="74">
        <f t="shared" si="2"/>
        <v>426</v>
      </c>
      <c r="P88" s="353">
        <f t="shared" si="3"/>
        <v>0.61095890410958908</v>
      </c>
    </row>
    <row r="89" spans="1:16" ht="18.95" customHeight="1">
      <c r="A89" s="348">
        <f t="shared" si="4"/>
        <v>65</v>
      </c>
      <c r="B89" s="357" t="s">
        <v>2585</v>
      </c>
      <c r="C89" s="354" t="s">
        <v>2586</v>
      </c>
      <c r="D89" s="145">
        <v>43293</v>
      </c>
      <c r="E89" s="146">
        <v>44561</v>
      </c>
      <c r="F89" s="149">
        <v>0.75867507886435326</v>
      </c>
      <c r="G89" s="354">
        <v>20000.54</v>
      </c>
      <c r="H89" s="354">
        <v>556888.87</v>
      </c>
      <c r="I89" s="358">
        <v>19113.169999999998</v>
      </c>
      <c r="J89" s="352">
        <f t="shared" si="5"/>
        <v>3.4321335960619932E-2</v>
      </c>
      <c r="M89" s="74">
        <f t="shared" ref="M89:M164" si="6">E89-D89</f>
        <v>1268</v>
      </c>
      <c r="N89" s="146">
        <v>44255</v>
      </c>
      <c r="O89" s="74">
        <f t="shared" ref="O89:O164" si="7">E89-N89</f>
        <v>306</v>
      </c>
      <c r="P89" s="353">
        <f t="shared" si="3"/>
        <v>0.75867507886435326</v>
      </c>
    </row>
    <row r="90" spans="1:16" ht="18.95" customHeight="1">
      <c r="A90" s="348">
        <f t="shared" si="4"/>
        <v>66</v>
      </c>
      <c r="B90" s="357" t="s">
        <v>2573</v>
      </c>
      <c r="C90" s="354" t="s">
        <v>2574</v>
      </c>
      <c r="D90" s="145">
        <v>42940</v>
      </c>
      <c r="E90" s="146">
        <v>44135</v>
      </c>
      <c r="F90" s="149">
        <v>1.100418410041841</v>
      </c>
      <c r="G90" s="354">
        <v>17358000</v>
      </c>
      <c r="H90" s="354">
        <v>948476.81</v>
      </c>
      <c r="I90" s="358">
        <v>545.74345812248998</v>
      </c>
      <c r="J90" s="352">
        <f t="shared" si="5"/>
        <v>5.7538935308549079E-4</v>
      </c>
      <c r="M90" s="74">
        <f t="shared" si="6"/>
        <v>1195</v>
      </c>
      <c r="N90" s="146">
        <v>44255</v>
      </c>
      <c r="O90" s="74">
        <f t="shared" si="7"/>
        <v>-120</v>
      </c>
      <c r="P90" s="353">
        <f t="shared" ref="P90:P165" si="8">(M90-O90)/M90</f>
        <v>1.100418410041841</v>
      </c>
    </row>
    <row r="91" spans="1:16" ht="18.95" customHeight="1">
      <c r="A91" s="348">
        <f t="shared" ref="A91:A166" si="9">A90+1</f>
        <v>67</v>
      </c>
      <c r="B91" s="357" t="s">
        <v>2885</v>
      </c>
      <c r="C91" s="354" t="s">
        <v>2886</v>
      </c>
      <c r="D91" s="145">
        <v>43831</v>
      </c>
      <c r="E91" s="146">
        <v>44561</v>
      </c>
      <c r="F91" s="149">
        <v>0.58082191780821912</v>
      </c>
      <c r="G91" s="354">
        <v>212036.81</v>
      </c>
      <c r="H91" s="354">
        <v>188271.75</v>
      </c>
      <c r="I91" s="358">
        <v>57222.76</v>
      </c>
      <c r="J91" s="352">
        <f t="shared" si="5"/>
        <v>0.3039370484419463</v>
      </c>
      <c r="M91" s="74">
        <f t="shared" si="6"/>
        <v>730</v>
      </c>
      <c r="N91" s="146">
        <v>44255</v>
      </c>
      <c r="O91" s="74">
        <f t="shared" si="7"/>
        <v>306</v>
      </c>
      <c r="P91" s="353">
        <f t="shared" si="8"/>
        <v>0.58082191780821912</v>
      </c>
    </row>
    <row r="92" spans="1:16" ht="18.95" customHeight="1">
      <c r="A92" s="348">
        <f t="shared" si="9"/>
        <v>68</v>
      </c>
      <c r="B92" s="357" t="s">
        <v>2887</v>
      </c>
      <c r="C92" s="354" t="s">
        <v>2888</v>
      </c>
      <c r="D92" s="145">
        <v>43405</v>
      </c>
      <c r="E92" s="146">
        <v>44926</v>
      </c>
      <c r="F92" s="149">
        <v>0.55884286653517423</v>
      </c>
      <c r="G92" s="354">
        <v>4453330.3</v>
      </c>
      <c r="H92" s="354">
        <v>6846821.21</v>
      </c>
      <c r="I92" s="358">
        <v>904318.12000000011</v>
      </c>
      <c r="J92" s="352">
        <f t="shared" si="5"/>
        <v>0.13207853575601108</v>
      </c>
      <c r="M92" s="74">
        <f t="shared" si="6"/>
        <v>1521</v>
      </c>
      <c r="N92" s="146">
        <v>44255</v>
      </c>
      <c r="O92" s="74">
        <f t="shared" si="7"/>
        <v>671</v>
      </c>
      <c r="P92" s="353">
        <f t="shared" si="8"/>
        <v>0.55884286653517423</v>
      </c>
    </row>
    <row r="93" spans="1:16" ht="18.95" customHeight="1">
      <c r="A93" s="348">
        <f t="shared" si="9"/>
        <v>69</v>
      </c>
      <c r="B93" s="357" t="s">
        <v>2889</v>
      </c>
      <c r="C93" s="354" t="s">
        <v>2890</v>
      </c>
      <c r="D93" s="145">
        <v>43617</v>
      </c>
      <c r="E93" s="146">
        <v>44561</v>
      </c>
      <c r="F93" s="149">
        <v>0.67584745762711862</v>
      </c>
      <c r="G93" s="354">
        <v>8583382.129999999</v>
      </c>
      <c r="H93" s="354">
        <v>8362515.2400000002</v>
      </c>
      <c r="I93" s="358">
        <v>7592892.8600000003</v>
      </c>
      <c r="J93" s="352">
        <f t="shared" si="5"/>
        <v>0.90796759612243172</v>
      </c>
      <c r="M93" s="74">
        <f t="shared" si="6"/>
        <v>944</v>
      </c>
      <c r="N93" s="146">
        <v>44255</v>
      </c>
      <c r="O93" s="74">
        <f t="shared" si="7"/>
        <v>306</v>
      </c>
      <c r="P93" s="353">
        <f t="shared" si="8"/>
        <v>0.67584745762711862</v>
      </c>
    </row>
    <row r="94" spans="1:16" ht="18.95" customHeight="1">
      <c r="A94" s="348">
        <f t="shared" si="9"/>
        <v>70</v>
      </c>
      <c r="B94" s="357" t="s">
        <v>2891</v>
      </c>
      <c r="C94" s="354" t="s">
        <v>2892</v>
      </c>
      <c r="D94" s="145">
        <v>43831</v>
      </c>
      <c r="E94" s="146">
        <v>44561</v>
      </c>
      <c r="F94" s="149">
        <v>0.58082191780821912</v>
      </c>
      <c r="G94" s="354">
        <v>491232.35</v>
      </c>
      <c r="H94" s="354">
        <v>508039.47</v>
      </c>
      <c r="I94" s="358">
        <v>372190.64999999997</v>
      </c>
      <c r="J94" s="352">
        <f t="shared" si="5"/>
        <v>0.73260183898703768</v>
      </c>
      <c r="M94" s="74">
        <f t="shared" si="6"/>
        <v>730</v>
      </c>
      <c r="N94" s="146">
        <v>44255</v>
      </c>
      <c r="O94" s="74">
        <f t="shared" si="7"/>
        <v>306</v>
      </c>
      <c r="P94" s="353">
        <f t="shared" si="8"/>
        <v>0.58082191780821912</v>
      </c>
    </row>
    <row r="95" spans="1:16" ht="18.95" customHeight="1">
      <c r="A95" s="348">
        <f t="shared" si="9"/>
        <v>71</v>
      </c>
      <c r="B95" s="357" t="s">
        <v>2893</v>
      </c>
      <c r="C95" s="354" t="s">
        <v>2894</v>
      </c>
      <c r="D95" s="145">
        <v>44197</v>
      </c>
      <c r="E95" s="146">
        <v>44316</v>
      </c>
      <c r="F95" s="149">
        <v>0.48739495798319327</v>
      </c>
      <c r="G95" s="354">
        <v>769175.95000000007</v>
      </c>
      <c r="H95" s="354">
        <v>764787</v>
      </c>
      <c r="I95" s="358">
        <v>299290.8</v>
      </c>
      <c r="J95" s="352">
        <f t="shared" si="5"/>
        <v>0.39133876491101444</v>
      </c>
      <c r="M95" s="74">
        <f t="shared" si="6"/>
        <v>119</v>
      </c>
      <c r="N95" s="146">
        <v>44255</v>
      </c>
      <c r="O95" s="74">
        <f t="shared" si="7"/>
        <v>61</v>
      </c>
      <c r="P95" s="353">
        <f t="shared" si="8"/>
        <v>0.48739495798319327</v>
      </c>
    </row>
    <row r="96" spans="1:16" ht="18.95" customHeight="1">
      <c r="A96" s="348">
        <f t="shared" si="9"/>
        <v>72</v>
      </c>
      <c r="B96" s="357" t="s">
        <v>2895</v>
      </c>
      <c r="C96" s="354" t="s">
        <v>2896</v>
      </c>
      <c r="D96" s="145">
        <v>43831</v>
      </c>
      <c r="E96" s="146">
        <v>46022</v>
      </c>
      <c r="F96" s="149">
        <v>0.19351894112277498</v>
      </c>
      <c r="G96" s="354">
        <v>1833897.8</v>
      </c>
      <c r="H96" s="354">
        <v>2231065.59</v>
      </c>
      <c r="I96" s="358">
        <v>351157.80000000005</v>
      </c>
      <c r="J96" s="352">
        <f t="shared" si="5"/>
        <v>0.15739465552870638</v>
      </c>
      <c r="M96" s="74">
        <f t="shared" si="6"/>
        <v>2191</v>
      </c>
      <c r="N96" s="146">
        <v>44255</v>
      </c>
      <c r="O96" s="74">
        <f t="shared" si="7"/>
        <v>1767</v>
      </c>
      <c r="P96" s="353">
        <f t="shared" si="8"/>
        <v>0.19351894112277498</v>
      </c>
    </row>
    <row r="97" spans="1:16" ht="18.95" customHeight="1">
      <c r="A97" s="348">
        <f t="shared" si="9"/>
        <v>73</v>
      </c>
      <c r="B97" s="357" t="s">
        <v>2897</v>
      </c>
      <c r="C97" s="354" t="s">
        <v>2898</v>
      </c>
      <c r="D97" s="145">
        <v>43831</v>
      </c>
      <c r="E97" s="146">
        <v>44469</v>
      </c>
      <c r="F97" s="149">
        <v>0.66457680250783702</v>
      </c>
      <c r="G97" s="354">
        <v>153242.47</v>
      </c>
      <c r="H97" s="354">
        <v>151016.33000000002</v>
      </c>
      <c r="I97" s="358">
        <v>120351.02</v>
      </c>
      <c r="J97" s="352">
        <f t="shared" si="5"/>
        <v>0.79694043683885041</v>
      </c>
      <c r="M97" s="74">
        <f t="shared" si="6"/>
        <v>638</v>
      </c>
      <c r="N97" s="146">
        <v>44255</v>
      </c>
      <c r="O97" s="74">
        <f t="shared" si="7"/>
        <v>214</v>
      </c>
      <c r="P97" s="353">
        <f t="shared" si="8"/>
        <v>0.66457680250783702</v>
      </c>
    </row>
    <row r="98" spans="1:16" ht="18.95" customHeight="1">
      <c r="A98" s="348">
        <f t="shared" si="9"/>
        <v>74</v>
      </c>
      <c r="B98" s="357" t="s">
        <v>2899</v>
      </c>
      <c r="C98" s="354" t="s">
        <v>2900</v>
      </c>
      <c r="D98" s="145">
        <v>43831</v>
      </c>
      <c r="E98" s="146">
        <v>46022</v>
      </c>
      <c r="F98" s="149">
        <v>0.19351894112277498</v>
      </c>
      <c r="G98" s="354">
        <v>434642.80000000005</v>
      </c>
      <c r="H98" s="354">
        <v>843863.3</v>
      </c>
      <c r="I98" s="358">
        <v>88861.3</v>
      </c>
      <c r="J98" s="352">
        <f t="shared" si="5"/>
        <v>0.10530295605935226</v>
      </c>
      <c r="M98" s="74">
        <f t="shared" si="6"/>
        <v>2191</v>
      </c>
      <c r="N98" s="146">
        <v>44255</v>
      </c>
      <c r="O98" s="74">
        <f t="shared" si="7"/>
        <v>1767</v>
      </c>
      <c r="P98" s="353">
        <f t="shared" si="8"/>
        <v>0.19351894112277498</v>
      </c>
    </row>
    <row r="99" spans="1:16" ht="18.95" customHeight="1">
      <c r="A99" s="348">
        <f t="shared" si="9"/>
        <v>75</v>
      </c>
      <c r="B99" s="357" t="s">
        <v>2901</v>
      </c>
      <c r="C99" s="354" t="s">
        <v>2902</v>
      </c>
      <c r="D99" s="145">
        <v>44197</v>
      </c>
      <c r="E99" s="146">
        <v>45291</v>
      </c>
      <c r="F99" s="149">
        <v>5.3016453382084092E-2</v>
      </c>
      <c r="G99" s="354">
        <v>324000</v>
      </c>
      <c r="H99" s="354">
        <v>95247.83</v>
      </c>
      <c r="I99" s="358">
        <v>19345.260000000002</v>
      </c>
      <c r="J99" s="352">
        <f t="shared" si="5"/>
        <v>0.20310446967663201</v>
      </c>
      <c r="M99" s="74">
        <f t="shared" si="6"/>
        <v>1094</v>
      </c>
      <c r="N99" s="146">
        <v>44255</v>
      </c>
      <c r="O99" s="74">
        <f t="shared" si="7"/>
        <v>1036</v>
      </c>
      <c r="P99" s="353">
        <f t="shared" si="8"/>
        <v>5.3016453382084092E-2</v>
      </c>
    </row>
    <row r="100" spans="1:16" ht="18.95" customHeight="1">
      <c r="A100" s="348">
        <f t="shared" si="9"/>
        <v>76</v>
      </c>
      <c r="B100" s="357" t="s">
        <v>2903</v>
      </c>
      <c r="C100" s="354" t="s">
        <v>2904</v>
      </c>
      <c r="D100" s="145">
        <v>44197</v>
      </c>
      <c r="E100" s="146">
        <v>44926</v>
      </c>
      <c r="F100" s="149">
        <v>7.956104252400549E-2</v>
      </c>
      <c r="G100" s="354">
        <v>410285.29000000004</v>
      </c>
      <c r="H100" s="354">
        <v>400375.96</v>
      </c>
      <c r="I100" s="358">
        <v>31653.200000000001</v>
      </c>
      <c r="J100" s="352">
        <f t="shared" si="5"/>
        <v>7.9058692734698649E-2</v>
      </c>
      <c r="M100" s="74">
        <f t="shared" si="6"/>
        <v>729</v>
      </c>
      <c r="N100" s="146">
        <v>44255</v>
      </c>
      <c r="O100" s="74">
        <f t="shared" si="7"/>
        <v>671</v>
      </c>
      <c r="P100" s="353">
        <f t="shared" si="8"/>
        <v>7.956104252400549E-2</v>
      </c>
    </row>
    <row r="101" spans="1:16" ht="18.95" customHeight="1">
      <c r="A101" s="348">
        <f t="shared" si="9"/>
        <v>77</v>
      </c>
      <c r="B101" s="357" t="s">
        <v>2905</v>
      </c>
      <c r="C101" s="354" t="s">
        <v>2906</v>
      </c>
      <c r="D101" s="145">
        <v>44197</v>
      </c>
      <c r="E101" s="146">
        <v>44926</v>
      </c>
      <c r="F101" s="149">
        <v>7.956104252400549E-2</v>
      </c>
      <c r="G101" s="354">
        <v>4395065.4700000007</v>
      </c>
      <c r="H101" s="354">
        <v>5495024.3599999994</v>
      </c>
      <c r="I101" s="358">
        <v>5370.86</v>
      </c>
      <c r="J101" s="352">
        <f t="shared" si="5"/>
        <v>9.7740422027901624E-4</v>
      </c>
      <c r="M101" s="74">
        <f t="shared" si="6"/>
        <v>729</v>
      </c>
      <c r="N101" s="146">
        <v>44255</v>
      </c>
      <c r="O101" s="74">
        <f t="shared" si="7"/>
        <v>671</v>
      </c>
      <c r="P101" s="353">
        <f t="shared" si="8"/>
        <v>7.956104252400549E-2</v>
      </c>
    </row>
    <row r="102" spans="1:16" ht="18.95" customHeight="1">
      <c r="A102" s="348">
        <f t="shared" si="9"/>
        <v>78</v>
      </c>
      <c r="B102" s="357" t="s">
        <v>2907</v>
      </c>
      <c r="C102" s="354" t="s">
        <v>2908</v>
      </c>
      <c r="D102" s="145">
        <v>43831</v>
      </c>
      <c r="E102" s="146">
        <v>44561</v>
      </c>
      <c r="F102" s="149">
        <v>0.58082191780821912</v>
      </c>
      <c r="G102" s="354">
        <v>1002521.7000000001</v>
      </c>
      <c r="H102" s="354">
        <v>4382139.2699999996</v>
      </c>
      <c r="I102" s="358">
        <v>2606307.4300000002</v>
      </c>
      <c r="J102" s="352">
        <f t="shared" si="5"/>
        <v>0.59475686860130317</v>
      </c>
      <c r="M102" s="74">
        <f t="shared" si="6"/>
        <v>730</v>
      </c>
      <c r="N102" s="146">
        <v>44255</v>
      </c>
      <c r="O102" s="74">
        <f t="shared" si="7"/>
        <v>306</v>
      </c>
      <c r="P102" s="353">
        <f t="shared" si="8"/>
        <v>0.58082191780821912</v>
      </c>
    </row>
    <row r="103" spans="1:16" ht="18.95" customHeight="1">
      <c r="A103" s="348">
        <f t="shared" si="9"/>
        <v>79</v>
      </c>
      <c r="B103" s="357" t="s">
        <v>2909</v>
      </c>
      <c r="C103" s="354" t="s">
        <v>2910</v>
      </c>
      <c r="D103" s="145">
        <v>43617</v>
      </c>
      <c r="E103" s="146">
        <v>44469</v>
      </c>
      <c r="F103" s="149">
        <v>0.74882629107981225</v>
      </c>
      <c r="G103" s="354">
        <v>3258970.9400000004</v>
      </c>
      <c r="H103" s="354">
        <v>2791875.37</v>
      </c>
      <c r="I103" s="358">
        <v>2639858.6100000003</v>
      </c>
      <c r="J103" s="352">
        <f t="shared" si="5"/>
        <v>0.94555030585050803</v>
      </c>
      <c r="M103" s="74">
        <f t="shared" si="6"/>
        <v>852</v>
      </c>
      <c r="N103" s="146">
        <v>44255</v>
      </c>
      <c r="O103" s="74">
        <f t="shared" si="7"/>
        <v>214</v>
      </c>
      <c r="P103" s="353">
        <f t="shared" si="8"/>
        <v>0.74882629107981225</v>
      </c>
    </row>
    <row r="104" spans="1:16" ht="18.95" customHeight="1">
      <c r="A104" s="348">
        <f t="shared" si="9"/>
        <v>80</v>
      </c>
      <c r="B104" s="357" t="s">
        <v>2911</v>
      </c>
      <c r="C104" s="354" t="s">
        <v>2912</v>
      </c>
      <c r="D104" s="145">
        <v>43831</v>
      </c>
      <c r="E104" s="146">
        <v>44561</v>
      </c>
      <c r="F104" s="149">
        <v>0.58082191780821912</v>
      </c>
      <c r="G104" s="354">
        <v>3442015.75</v>
      </c>
      <c r="H104" s="354">
        <v>3333865.2</v>
      </c>
      <c r="I104" s="358">
        <v>1689215.2000000002</v>
      </c>
      <c r="J104" s="352">
        <f t="shared" si="5"/>
        <v>0.50668371354666653</v>
      </c>
      <c r="M104" s="74">
        <f t="shared" si="6"/>
        <v>730</v>
      </c>
      <c r="N104" s="146">
        <v>44255</v>
      </c>
      <c r="O104" s="74">
        <f t="shared" si="7"/>
        <v>306</v>
      </c>
      <c r="P104" s="353">
        <f t="shared" si="8"/>
        <v>0.58082191780821912</v>
      </c>
    </row>
    <row r="105" spans="1:16" ht="18.95" customHeight="1">
      <c r="A105" s="348">
        <f t="shared" si="9"/>
        <v>81</v>
      </c>
      <c r="B105" s="357" t="s">
        <v>2913</v>
      </c>
      <c r="C105" s="354" t="s">
        <v>2914</v>
      </c>
      <c r="D105" s="145">
        <v>43831</v>
      </c>
      <c r="E105" s="146">
        <v>44926</v>
      </c>
      <c r="F105" s="149">
        <v>0.38721461187214612</v>
      </c>
      <c r="G105" s="354">
        <v>303843.60000000003</v>
      </c>
      <c r="H105" s="354">
        <v>197253.32</v>
      </c>
      <c r="I105" s="358">
        <v>97253.34</v>
      </c>
      <c r="J105" s="352">
        <f t="shared" si="5"/>
        <v>0.49303778511814145</v>
      </c>
      <c r="M105" s="74">
        <f t="shared" si="6"/>
        <v>1095</v>
      </c>
      <c r="N105" s="146">
        <v>44255</v>
      </c>
      <c r="O105" s="74">
        <f t="shared" si="7"/>
        <v>671</v>
      </c>
      <c r="P105" s="353">
        <f t="shared" si="8"/>
        <v>0.38721461187214612</v>
      </c>
    </row>
    <row r="106" spans="1:16" ht="18.95" customHeight="1">
      <c r="A106" s="348">
        <f t="shared" si="9"/>
        <v>82</v>
      </c>
      <c r="B106" s="357" t="s">
        <v>2915</v>
      </c>
      <c r="C106" s="354" t="s">
        <v>2916</v>
      </c>
      <c r="D106" s="145">
        <v>43831</v>
      </c>
      <c r="E106" s="146">
        <v>45291</v>
      </c>
      <c r="F106" s="149">
        <v>0.29041095890410956</v>
      </c>
      <c r="G106" s="354">
        <v>3999980.03</v>
      </c>
      <c r="H106" s="354">
        <v>3001304</v>
      </c>
      <c r="I106" s="358">
        <v>1304</v>
      </c>
      <c r="J106" s="352">
        <f t="shared" si="5"/>
        <v>4.3447781364366954E-4</v>
      </c>
      <c r="M106" s="74">
        <f t="shared" si="6"/>
        <v>1460</v>
      </c>
      <c r="N106" s="146">
        <v>44255</v>
      </c>
      <c r="O106" s="74">
        <f t="shared" si="7"/>
        <v>1036</v>
      </c>
      <c r="P106" s="353">
        <f t="shared" si="8"/>
        <v>0.29041095890410956</v>
      </c>
    </row>
    <row r="107" spans="1:16" ht="18.95" customHeight="1">
      <c r="A107" s="348">
        <f t="shared" si="9"/>
        <v>83</v>
      </c>
      <c r="B107" s="357" t="s">
        <v>2917</v>
      </c>
      <c r="C107" s="354" t="s">
        <v>2918</v>
      </c>
      <c r="D107" s="145">
        <v>43831</v>
      </c>
      <c r="E107" s="146">
        <v>45930</v>
      </c>
      <c r="F107" s="149">
        <v>0.2020009528346832</v>
      </c>
      <c r="G107" s="354">
        <v>1490887.51</v>
      </c>
      <c r="H107" s="354">
        <v>1505143.6</v>
      </c>
      <c r="I107" s="358">
        <v>-8834</v>
      </c>
      <c r="J107" s="352">
        <f t="shared" si="5"/>
        <v>-5.8692074297761352E-3</v>
      </c>
      <c r="M107" s="74">
        <f t="shared" si="6"/>
        <v>2099</v>
      </c>
      <c r="N107" s="146">
        <v>44255</v>
      </c>
      <c r="O107" s="74">
        <f t="shared" si="7"/>
        <v>1675</v>
      </c>
      <c r="P107" s="353">
        <f t="shared" si="8"/>
        <v>0.2020009528346832</v>
      </c>
    </row>
    <row r="108" spans="1:16" ht="18.95" customHeight="1">
      <c r="A108" s="348">
        <f t="shared" si="9"/>
        <v>84</v>
      </c>
      <c r="B108" s="357" t="s">
        <v>2919</v>
      </c>
      <c r="C108" s="354" t="s">
        <v>2920</v>
      </c>
      <c r="D108" s="145">
        <v>43831</v>
      </c>
      <c r="E108" s="146">
        <v>46022</v>
      </c>
      <c r="F108" s="149">
        <v>0.19351894112277498</v>
      </c>
      <c r="G108" s="354">
        <v>5287030.33</v>
      </c>
      <c r="H108" s="354">
        <v>5544120.9100000001</v>
      </c>
      <c r="I108" s="358">
        <v>-460</v>
      </c>
      <c r="J108" s="352">
        <f t="shared" si="5"/>
        <v>-8.297077344945566E-5</v>
      </c>
      <c r="M108" s="74">
        <f t="shared" si="6"/>
        <v>2191</v>
      </c>
      <c r="N108" s="146">
        <v>44255</v>
      </c>
      <c r="O108" s="74">
        <f t="shared" si="7"/>
        <v>1767</v>
      </c>
      <c r="P108" s="353">
        <f t="shared" si="8"/>
        <v>0.19351894112277498</v>
      </c>
    </row>
    <row r="109" spans="1:16" ht="18.95" customHeight="1">
      <c r="A109" s="348">
        <f t="shared" si="9"/>
        <v>85</v>
      </c>
      <c r="B109" s="357" t="s">
        <v>2921</v>
      </c>
      <c r="C109" s="354" t="s">
        <v>2922</v>
      </c>
      <c r="D109" s="145">
        <v>43647</v>
      </c>
      <c r="E109" s="146">
        <v>44347</v>
      </c>
      <c r="F109" s="149">
        <v>0.86857142857142855</v>
      </c>
      <c r="G109" s="354">
        <v>1075827.2</v>
      </c>
      <c r="H109" s="354">
        <v>1058709.47</v>
      </c>
      <c r="I109" s="358">
        <v>1148317.08</v>
      </c>
      <c r="J109" s="352">
        <f t="shared" si="5"/>
        <v>1.0846385269416736</v>
      </c>
      <c r="M109" s="74">
        <f t="shared" si="6"/>
        <v>700</v>
      </c>
      <c r="N109" s="146">
        <v>44255</v>
      </c>
      <c r="O109" s="74">
        <f t="shared" si="7"/>
        <v>92</v>
      </c>
      <c r="P109" s="353">
        <f t="shared" si="8"/>
        <v>0.86857142857142855</v>
      </c>
    </row>
    <row r="110" spans="1:16" ht="18.95" customHeight="1">
      <c r="A110" s="348">
        <f t="shared" si="9"/>
        <v>86</v>
      </c>
      <c r="B110" s="357" t="s">
        <v>2923</v>
      </c>
      <c r="C110" s="354" t="s">
        <v>2924</v>
      </c>
      <c r="D110" s="145">
        <v>43831</v>
      </c>
      <c r="E110" s="146">
        <v>44561</v>
      </c>
      <c r="F110" s="149">
        <v>0.58082191780821912</v>
      </c>
      <c r="G110" s="354">
        <v>259572.9</v>
      </c>
      <c r="H110" s="354">
        <v>259572.9</v>
      </c>
      <c r="I110" s="358">
        <v>176074.08000000002</v>
      </c>
      <c r="J110" s="352">
        <f t="shared" si="5"/>
        <v>0.67832227478292229</v>
      </c>
      <c r="M110" s="74">
        <f t="shared" si="6"/>
        <v>730</v>
      </c>
      <c r="N110" s="146">
        <v>44255</v>
      </c>
      <c r="O110" s="74">
        <f t="shared" si="7"/>
        <v>306</v>
      </c>
      <c r="P110" s="353">
        <f t="shared" si="8"/>
        <v>0.58082191780821912</v>
      </c>
    </row>
    <row r="111" spans="1:16" ht="18.95" customHeight="1">
      <c r="A111" s="348">
        <f t="shared" si="9"/>
        <v>87</v>
      </c>
      <c r="B111" s="357" t="s">
        <v>2925</v>
      </c>
      <c r="C111" s="354" t="s">
        <v>2926</v>
      </c>
      <c r="D111" s="145">
        <v>43497</v>
      </c>
      <c r="E111" s="146">
        <v>46022</v>
      </c>
      <c r="F111" s="149">
        <v>0.30019801980198019</v>
      </c>
      <c r="G111" s="354">
        <v>49782.58</v>
      </c>
      <c r="H111" s="354">
        <v>49782.58</v>
      </c>
      <c r="I111" s="358">
        <v>49782.58</v>
      </c>
      <c r="J111" s="352">
        <f t="shared" si="5"/>
        <v>1</v>
      </c>
      <c r="M111" s="74">
        <f t="shared" si="6"/>
        <v>2525</v>
      </c>
      <c r="N111" s="146">
        <v>44255</v>
      </c>
      <c r="O111" s="74">
        <f t="shared" si="7"/>
        <v>1767</v>
      </c>
      <c r="P111" s="353">
        <f t="shared" si="8"/>
        <v>0.30019801980198019</v>
      </c>
    </row>
    <row r="112" spans="1:16" ht="18.95" customHeight="1">
      <c r="A112" s="348">
        <f t="shared" si="9"/>
        <v>88</v>
      </c>
      <c r="B112" s="357" t="s">
        <v>2927</v>
      </c>
      <c r="C112" s="354" t="s">
        <v>2928</v>
      </c>
      <c r="D112" s="145">
        <v>44197</v>
      </c>
      <c r="E112" s="146">
        <v>44347</v>
      </c>
      <c r="F112" s="149">
        <v>0.38666666666666666</v>
      </c>
      <c r="G112" s="354">
        <v>59930</v>
      </c>
      <c r="H112" s="354">
        <v>59930</v>
      </c>
      <c r="I112" s="358">
        <v>39410</v>
      </c>
      <c r="J112" s="352">
        <f t="shared" si="5"/>
        <v>0.65760053395628237</v>
      </c>
      <c r="M112" s="74">
        <f t="shared" si="6"/>
        <v>150</v>
      </c>
      <c r="N112" s="146">
        <v>44255</v>
      </c>
      <c r="O112" s="74">
        <f t="shared" si="7"/>
        <v>92</v>
      </c>
      <c r="P112" s="353">
        <f t="shared" si="8"/>
        <v>0.38666666666666666</v>
      </c>
    </row>
    <row r="113" spans="1:16" s="359" customFormat="1" ht="20.100000000000001" customHeight="1">
      <c r="A113" s="809" t="str">
        <f>$A$1</f>
        <v>KENTUCKY UTILITIES COMPANY</v>
      </c>
      <c r="B113" s="809"/>
      <c r="C113" s="809"/>
      <c r="D113" s="809"/>
      <c r="E113" s="809"/>
      <c r="F113" s="809"/>
      <c r="G113" s="809"/>
      <c r="H113" s="809"/>
      <c r="I113" s="809"/>
      <c r="J113" s="809"/>
    </row>
    <row r="114" spans="1:16" s="359" customFormat="1" ht="20.100000000000001" customHeight="1">
      <c r="A114" s="809" t="str">
        <f>$A$2</f>
        <v>CASE NO. 2020-00349</v>
      </c>
      <c r="B114" s="809"/>
      <c r="C114" s="809"/>
      <c r="D114" s="809"/>
      <c r="E114" s="809"/>
      <c r="F114" s="809"/>
      <c r="G114" s="809"/>
      <c r="H114" s="809"/>
      <c r="I114" s="809"/>
      <c r="J114" s="809"/>
    </row>
    <row r="115" spans="1:16" s="359" customFormat="1" ht="20.100000000000001" customHeight="1">
      <c r="A115" s="809" t="s">
        <v>1216</v>
      </c>
      <c r="B115" s="809"/>
      <c r="C115" s="809"/>
      <c r="D115" s="809"/>
      <c r="E115" s="809"/>
      <c r="F115" s="809"/>
      <c r="G115" s="809"/>
      <c r="H115" s="809"/>
      <c r="I115" s="809"/>
      <c r="J115" s="809"/>
    </row>
    <row r="116" spans="1:16" s="359" customFormat="1" ht="20.100000000000001" customHeight="1">
      <c r="A116" s="809" t="str">
        <f>$A$4</f>
        <v>AS OF FEBRUARY 28, 2021</v>
      </c>
      <c r="B116" s="809"/>
      <c r="C116" s="809"/>
      <c r="D116" s="809"/>
      <c r="E116" s="809"/>
      <c r="F116" s="809"/>
      <c r="G116" s="809"/>
      <c r="H116" s="809"/>
      <c r="I116" s="809"/>
      <c r="J116" s="809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DATA:__X__BASE  PERIOD____FORECASTED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1709</v>
      </c>
    </row>
    <row r="119" spans="1:16" s="359" customFormat="1" ht="20.100000000000001" customHeight="1">
      <c r="A119" s="67" t="str">
        <f>$A$7</f>
        <v>TYPE OF FILING: __X__ ORIGINAL  _____ UPDATED  _____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3739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0" customHeight="1">
      <c r="A122" s="76" t="s">
        <v>131</v>
      </c>
      <c r="B122" s="76" t="s">
        <v>1219</v>
      </c>
      <c r="C122" s="76" t="s">
        <v>1220</v>
      </c>
      <c r="D122" s="142" t="s">
        <v>1222</v>
      </c>
      <c r="E122" s="142" t="s">
        <v>1223</v>
      </c>
      <c r="F122" s="76" t="s">
        <v>1224</v>
      </c>
      <c r="G122" s="76" t="s">
        <v>1225</v>
      </c>
      <c r="H122" s="76" t="s">
        <v>1226</v>
      </c>
      <c r="I122" s="76" t="s">
        <v>1227</v>
      </c>
      <c r="J122" s="76" t="s">
        <v>1228</v>
      </c>
      <c r="M122" s="360" t="s">
        <v>1236</v>
      </c>
      <c r="N122" s="360" t="s">
        <v>1237</v>
      </c>
      <c r="O122" s="360" t="s">
        <v>1238</v>
      </c>
      <c r="P122" s="360" t="s">
        <v>1224</v>
      </c>
    </row>
    <row r="123" spans="1:16" s="359" customFormat="1" ht="18.75" customHeight="1">
      <c r="A123" s="80" t="s">
        <v>1217</v>
      </c>
      <c r="B123" s="80" t="s">
        <v>1218</v>
      </c>
      <c r="C123" s="80" t="s">
        <v>1221</v>
      </c>
      <c r="D123" s="355" t="s">
        <v>1229</v>
      </c>
      <c r="E123" s="355" t="s">
        <v>1230</v>
      </c>
      <c r="F123" s="356" t="s">
        <v>1231</v>
      </c>
      <c r="G123" s="356" t="s">
        <v>1232</v>
      </c>
      <c r="H123" s="356" t="s">
        <v>1233</v>
      </c>
      <c r="I123" s="356" t="s">
        <v>1234</v>
      </c>
      <c r="J123" s="356" t="s">
        <v>1235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95" customHeight="1">
      <c r="A125" s="348">
        <f>A112+1</f>
        <v>89</v>
      </c>
      <c r="B125" s="357" t="s">
        <v>2929</v>
      </c>
      <c r="C125" s="354" t="s">
        <v>2930</v>
      </c>
      <c r="D125" s="145">
        <v>44044</v>
      </c>
      <c r="E125" s="146">
        <v>44317</v>
      </c>
      <c r="F125" s="149">
        <v>0.77289377289377292</v>
      </c>
      <c r="G125" s="354">
        <v>562991.97</v>
      </c>
      <c r="H125" s="354">
        <v>562991.97</v>
      </c>
      <c r="I125" s="358">
        <v>410916.65</v>
      </c>
      <c r="J125" s="352">
        <f t="shared" ref="J125:J168" si="10">I125/H125</f>
        <v>0.72988012599895524</v>
      </c>
      <c r="M125" s="74">
        <f t="shared" si="6"/>
        <v>273</v>
      </c>
      <c r="N125" s="146">
        <v>44255</v>
      </c>
      <c r="O125" s="74">
        <f t="shared" si="7"/>
        <v>62</v>
      </c>
      <c r="P125" s="353">
        <f t="shared" si="8"/>
        <v>0.77289377289377292</v>
      </c>
    </row>
    <row r="126" spans="1:16" ht="18.95" customHeight="1">
      <c r="A126" s="348">
        <f t="shared" si="9"/>
        <v>90</v>
      </c>
      <c r="B126" s="357" t="s">
        <v>2931</v>
      </c>
      <c r="C126" s="354" t="s">
        <v>2932</v>
      </c>
      <c r="D126" s="145">
        <v>44197</v>
      </c>
      <c r="E126" s="146">
        <v>44561</v>
      </c>
      <c r="F126" s="149">
        <v>0.15934065934065933</v>
      </c>
      <c r="G126" s="354">
        <v>137088.6</v>
      </c>
      <c r="H126" s="354">
        <v>113209.03</v>
      </c>
      <c r="I126" s="358">
        <v>29236.84</v>
      </c>
      <c r="J126" s="352">
        <f t="shared" si="10"/>
        <v>0.25825537061840387</v>
      </c>
      <c r="M126" s="74">
        <f t="shared" si="6"/>
        <v>364</v>
      </c>
      <c r="N126" s="146">
        <v>44255</v>
      </c>
      <c r="O126" s="74">
        <f t="shared" si="7"/>
        <v>306</v>
      </c>
      <c r="P126" s="353">
        <f t="shared" si="8"/>
        <v>0.15934065934065933</v>
      </c>
    </row>
    <row r="127" spans="1:16" ht="18.95" customHeight="1">
      <c r="A127" s="348">
        <f t="shared" si="9"/>
        <v>91</v>
      </c>
      <c r="B127" s="357" t="s">
        <v>2933</v>
      </c>
      <c r="C127" s="354" t="s">
        <v>2934</v>
      </c>
      <c r="D127" s="145">
        <v>44197</v>
      </c>
      <c r="E127" s="146">
        <v>44561</v>
      </c>
      <c r="F127" s="149">
        <v>0.15934065934065933</v>
      </c>
      <c r="G127" s="354">
        <v>108738.57</v>
      </c>
      <c r="H127" s="354">
        <v>118999.98</v>
      </c>
      <c r="I127" s="358">
        <v>25446</v>
      </c>
      <c r="J127" s="352">
        <f t="shared" si="10"/>
        <v>0.21383196871125526</v>
      </c>
      <c r="M127" s="74">
        <f t="shared" si="6"/>
        <v>364</v>
      </c>
      <c r="N127" s="146">
        <v>44255</v>
      </c>
      <c r="O127" s="74">
        <f t="shared" si="7"/>
        <v>306</v>
      </c>
      <c r="P127" s="353">
        <f t="shared" si="8"/>
        <v>0.15934065934065933</v>
      </c>
    </row>
    <row r="128" spans="1:16" ht="18.95" customHeight="1">
      <c r="A128" s="348">
        <f t="shared" si="9"/>
        <v>92</v>
      </c>
      <c r="B128" s="357" t="s">
        <v>2935</v>
      </c>
      <c r="C128" s="354" t="s">
        <v>2936</v>
      </c>
      <c r="D128" s="145">
        <v>43983</v>
      </c>
      <c r="E128" s="146">
        <v>44286</v>
      </c>
      <c r="F128" s="149">
        <v>0.89768976897689767</v>
      </c>
      <c r="G128" s="354">
        <v>426208.51</v>
      </c>
      <c r="H128" s="354">
        <v>426208.51</v>
      </c>
      <c r="I128" s="358">
        <v>423112.05000000005</v>
      </c>
      <c r="J128" s="352">
        <f t="shared" si="10"/>
        <v>0.99273487054493592</v>
      </c>
      <c r="M128" s="74">
        <f t="shared" si="6"/>
        <v>303</v>
      </c>
      <c r="N128" s="146">
        <v>44255</v>
      </c>
      <c r="O128" s="74">
        <f t="shared" si="7"/>
        <v>31</v>
      </c>
      <c r="P128" s="353">
        <f t="shared" si="8"/>
        <v>0.89768976897689767</v>
      </c>
    </row>
    <row r="129" spans="1:16" ht="18.95" customHeight="1">
      <c r="A129" s="348">
        <f t="shared" si="9"/>
        <v>93</v>
      </c>
      <c r="B129" s="357" t="s">
        <v>2937</v>
      </c>
      <c r="C129" s="354" t="s">
        <v>2938</v>
      </c>
      <c r="D129" s="145">
        <v>43891</v>
      </c>
      <c r="E129" s="146">
        <v>44316</v>
      </c>
      <c r="F129" s="149">
        <v>0.85647058823529409</v>
      </c>
      <c r="G129" s="354">
        <v>68982.63</v>
      </c>
      <c r="H129" s="354">
        <v>68982.63</v>
      </c>
      <c r="I129" s="358">
        <v>34355.129999999997</v>
      </c>
      <c r="J129" s="352">
        <f t="shared" si="10"/>
        <v>0.4980258073662891</v>
      </c>
      <c r="M129" s="74">
        <f t="shared" si="6"/>
        <v>425</v>
      </c>
      <c r="N129" s="146">
        <v>44255</v>
      </c>
      <c r="O129" s="74">
        <f t="shared" si="7"/>
        <v>61</v>
      </c>
      <c r="P129" s="353">
        <f t="shared" si="8"/>
        <v>0.85647058823529409</v>
      </c>
    </row>
    <row r="130" spans="1:16" ht="18.95" customHeight="1">
      <c r="A130" s="348">
        <f t="shared" si="9"/>
        <v>94</v>
      </c>
      <c r="B130" s="357" t="s">
        <v>2939</v>
      </c>
      <c r="C130" s="354" t="s">
        <v>2940</v>
      </c>
      <c r="D130" s="145">
        <v>43902</v>
      </c>
      <c r="E130" s="146">
        <v>44561</v>
      </c>
      <c r="F130" s="149">
        <v>0.53566009104704093</v>
      </c>
      <c r="G130" s="354">
        <v>16072780</v>
      </c>
      <c r="H130" s="354">
        <v>16072780</v>
      </c>
      <c r="I130" s="358">
        <v>1216000</v>
      </c>
      <c r="J130" s="352">
        <f t="shared" si="10"/>
        <v>7.565586040498283E-2</v>
      </c>
      <c r="M130" s="74">
        <f t="shared" si="6"/>
        <v>659</v>
      </c>
      <c r="N130" s="146">
        <v>44255</v>
      </c>
      <c r="O130" s="74">
        <f t="shared" si="7"/>
        <v>306</v>
      </c>
      <c r="P130" s="353">
        <f t="shared" si="8"/>
        <v>0.53566009104704093</v>
      </c>
    </row>
    <row r="131" spans="1:16" ht="18.95" customHeight="1">
      <c r="A131" s="348">
        <f t="shared" si="9"/>
        <v>95</v>
      </c>
      <c r="B131" s="357" t="s">
        <v>2941</v>
      </c>
      <c r="C131" s="354" t="s">
        <v>2942</v>
      </c>
      <c r="D131" s="145">
        <v>43902</v>
      </c>
      <c r="E131" s="146">
        <v>45381</v>
      </c>
      <c r="F131" s="149">
        <v>0.23867478025693037</v>
      </c>
      <c r="G131" s="354">
        <v>63914278.339999996</v>
      </c>
      <c r="H131" s="354">
        <v>63914278.339999996</v>
      </c>
      <c r="I131" s="358">
        <v>1298000</v>
      </c>
      <c r="J131" s="352">
        <f t="shared" si="10"/>
        <v>2.0308451158520896E-2</v>
      </c>
      <c r="M131" s="74">
        <f t="shared" si="6"/>
        <v>1479</v>
      </c>
      <c r="N131" s="146">
        <v>44255</v>
      </c>
      <c r="O131" s="74">
        <f t="shared" si="7"/>
        <v>1126</v>
      </c>
      <c r="P131" s="353">
        <f t="shared" si="8"/>
        <v>0.23867478025693037</v>
      </c>
    </row>
    <row r="132" spans="1:16" ht="18.95" customHeight="1">
      <c r="A132" s="348">
        <f t="shared" si="9"/>
        <v>96</v>
      </c>
      <c r="B132" s="357" t="s">
        <v>2943</v>
      </c>
      <c r="C132" s="354" t="s">
        <v>2944</v>
      </c>
      <c r="D132" s="145">
        <v>43891</v>
      </c>
      <c r="E132" s="146">
        <v>44196</v>
      </c>
      <c r="F132" s="149">
        <v>1.1934426229508197</v>
      </c>
      <c r="G132" s="354">
        <v>128942.83</v>
      </c>
      <c r="H132" s="354">
        <v>128942.83</v>
      </c>
      <c r="I132" s="358">
        <v>1.4551915228366852E-11</v>
      </c>
      <c r="J132" s="352">
        <f t="shared" si="10"/>
        <v>1.1285555954035484E-16</v>
      </c>
      <c r="M132" s="74">
        <f t="shared" si="6"/>
        <v>305</v>
      </c>
      <c r="N132" s="146">
        <v>44255</v>
      </c>
      <c r="O132" s="74">
        <f t="shared" si="7"/>
        <v>-59</v>
      </c>
      <c r="P132" s="353">
        <f t="shared" si="8"/>
        <v>1.1934426229508197</v>
      </c>
    </row>
    <row r="133" spans="1:16" ht="18.95" customHeight="1">
      <c r="A133" s="348">
        <f t="shared" si="9"/>
        <v>97</v>
      </c>
      <c r="B133" s="357" t="s">
        <v>2945</v>
      </c>
      <c r="C133" s="354" t="s">
        <v>2946</v>
      </c>
      <c r="D133" s="145">
        <v>43891</v>
      </c>
      <c r="E133" s="146">
        <v>44561</v>
      </c>
      <c r="F133" s="149">
        <v>0.54328358208955219</v>
      </c>
      <c r="G133" s="354">
        <v>137608.79999999999</v>
      </c>
      <c r="H133" s="354">
        <v>137608.79999999999</v>
      </c>
      <c r="I133" s="358">
        <v>91953.600000000006</v>
      </c>
      <c r="J133" s="352">
        <f t="shared" si="10"/>
        <v>0.66822470655946431</v>
      </c>
      <c r="M133" s="74">
        <f t="shared" si="6"/>
        <v>670</v>
      </c>
      <c r="N133" s="146">
        <v>44255</v>
      </c>
      <c r="O133" s="74">
        <f t="shared" si="7"/>
        <v>306</v>
      </c>
      <c r="P133" s="353">
        <f t="shared" si="8"/>
        <v>0.54328358208955219</v>
      </c>
    </row>
    <row r="134" spans="1:16" ht="18.95" customHeight="1">
      <c r="A134" s="348">
        <f t="shared" si="9"/>
        <v>98</v>
      </c>
      <c r="B134" s="357" t="s">
        <v>2947</v>
      </c>
      <c r="C134" s="354" t="s">
        <v>2948</v>
      </c>
      <c r="D134" s="145">
        <v>44105</v>
      </c>
      <c r="E134" s="146">
        <v>44561</v>
      </c>
      <c r="F134" s="149">
        <v>0.32894736842105265</v>
      </c>
      <c r="G134" s="354">
        <v>3882000.01</v>
      </c>
      <c r="H134" s="354">
        <v>3882000.01</v>
      </c>
      <c r="I134" s="358">
        <v>2210007.5300000003</v>
      </c>
      <c r="J134" s="352">
        <f t="shared" si="10"/>
        <v>0.56929611651392042</v>
      </c>
      <c r="M134" s="74">
        <f t="shared" si="6"/>
        <v>456</v>
      </c>
      <c r="N134" s="146">
        <v>44255</v>
      </c>
      <c r="O134" s="74">
        <f t="shared" si="7"/>
        <v>306</v>
      </c>
      <c r="P134" s="353">
        <f t="shared" si="8"/>
        <v>0.32894736842105265</v>
      </c>
    </row>
    <row r="135" spans="1:16" ht="18.95" customHeight="1">
      <c r="A135" s="348">
        <f t="shared" si="9"/>
        <v>99</v>
      </c>
      <c r="B135" s="357" t="s">
        <v>2949</v>
      </c>
      <c r="C135" s="354" t="s">
        <v>2950</v>
      </c>
      <c r="D135" s="145">
        <v>43922</v>
      </c>
      <c r="E135" s="146">
        <v>44316</v>
      </c>
      <c r="F135" s="149">
        <v>0.84517766497461932</v>
      </c>
      <c r="G135" s="354">
        <v>134382.84</v>
      </c>
      <c r="H135" s="354">
        <v>134382.84</v>
      </c>
      <c r="I135" s="358">
        <v>67317.960000000006</v>
      </c>
      <c r="J135" s="352">
        <f t="shared" si="10"/>
        <v>0.50094163808414827</v>
      </c>
      <c r="M135" s="74">
        <f t="shared" si="6"/>
        <v>394</v>
      </c>
      <c r="N135" s="146">
        <v>44255</v>
      </c>
      <c r="O135" s="74">
        <f t="shared" si="7"/>
        <v>61</v>
      </c>
      <c r="P135" s="353">
        <f t="shared" si="8"/>
        <v>0.84517766497461932</v>
      </c>
    </row>
    <row r="136" spans="1:16" ht="18.95" customHeight="1">
      <c r="A136" s="348">
        <f t="shared" si="9"/>
        <v>100</v>
      </c>
      <c r="B136" s="357" t="s">
        <v>2951</v>
      </c>
      <c r="C136" s="354" t="s">
        <v>2952</v>
      </c>
      <c r="D136" s="145">
        <v>43952</v>
      </c>
      <c r="E136" s="146">
        <v>44316</v>
      </c>
      <c r="F136" s="149">
        <v>0.83241758241758246</v>
      </c>
      <c r="G136" s="354">
        <v>409300.95</v>
      </c>
      <c r="H136" s="354">
        <v>409300.95</v>
      </c>
      <c r="I136" s="358">
        <v>168450.95</v>
      </c>
      <c r="J136" s="352">
        <f t="shared" si="10"/>
        <v>0.41155768145663968</v>
      </c>
      <c r="M136" s="74">
        <f t="shared" si="6"/>
        <v>364</v>
      </c>
      <c r="N136" s="146">
        <v>44255</v>
      </c>
      <c r="O136" s="74">
        <f t="shared" si="7"/>
        <v>61</v>
      </c>
      <c r="P136" s="353">
        <f t="shared" si="8"/>
        <v>0.83241758241758246</v>
      </c>
    </row>
    <row r="137" spans="1:16" ht="18.95" customHeight="1">
      <c r="A137" s="348">
        <f t="shared" si="9"/>
        <v>101</v>
      </c>
      <c r="B137" s="357" t="s">
        <v>2953</v>
      </c>
      <c r="C137" s="354" t="s">
        <v>2954</v>
      </c>
      <c r="D137" s="145">
        <v>44197</v>
      </c>
      <c r="E137" s="146">
        <v>44561</v>
      </c>
      <c r="F137" s="149">
        <v>0.15934065934065933</v>
      </c>
      <c r="G137" s="354">
        <v>49431.4</v>
      </c>
      <c r="H137" s="354">
        <v>49431.4</v>
      </c>
      <c r="I137" s="358">
        <v>49431.4</v>
      </c>
      <c r="J137" s="352">
        <f t="shared" si="10"/>
        <v>1</v>
      </c>
      <c r="M137" s="74">
        <f t="shared" si="6"/>
        <v>364</v>
      </c>
      <c r="N137" s="146">
        <v>44255</v>
      </c>
      <c r="O137" s="74">
        <f t="shared" si="7"/>
        <v>306</v>
      </c>
      <c r="P137" s="353">
        <f t="shared" si="8"/>
        <v>0.15934065934065933</v>
      </c>
    </row>
    <row r="138" spans="1:16" ht="18.95" customHeight="1">
      <c r="A138" s="348">
        <f t="shared" si="9"/>
        <v>102</v>
      </c>
      <c r="B138" s="357" t="s">
        <v>2955</v>
      </c>
      <c r="C138" s="354" t="s">
        <v>2956</v>
      </c>
      <c r="D138" s="145">
        <v>44197</v>
      </c>
      <c r="E138" s="146">
        <v>44561</v>
      </c>
      <c r="F138" s="149">
        <v>0.15934065934065933</v>
      </c>
      <c r="G138" s="354">
        <v>199484.76</v>
      </c>
      <c r="H138" s="354">
        <v>199484.76</v>
      </c>
      <c r="I138" s="358">
        <v>33247.46</v>
      </c>
      <c r="J138" s="352">
        <f t="shared" si="10"/>
        <v>0.16666666666666666</v>
      </c>
      <c r="M138" s="74">
        <f t="shared" si="6"/>
        <v>364</v>
      </c>
      <c r="N138" s="146">
        <v>44255</v>
      </c>
      <c r="O138" s="74">
        <f t="shared" si="7"/>
        <v>306</v>
      </c>
      <c r="P138" s="353">
        <f t="shared" si="8"/>
        <v>0.15934065934065933</v>
      </c>
    </row>
    <row r="139" spans="1:16" ht="18.95" customHeight="1">
      <c r="A139" s="348">
        <f t="shared" si="9"/>
        <v>103</v>
      </c>
      <c r="B139" s="357" t="s">
        <v>2957</v>
      </c>
      <c r="C139" s="354" t="s">
        <v>2958</v>
      </c>
      <c r="D139" s="145">
        <v>44197</v>
      </c>
      <c r="E139" s="146">
        <v>44926</v>
      </c>
      <c r="F139" s="149">
        <v>7.956104252400549E-2</v>
      </c>
      <c r="G139" s="354">
        <v>8968030.2300000004</v>
      </c>
      <c r="H139" s="354">
        <v>8968030.2300000004</v>
      </c>
      <c r="I139" s="358">
        <v>5191.68</v>
      </c>
      <c r="J139" s="352">
        <f t="shared" si="10"/>
        <v>5.7890973456274804E-4</v>
      </c>
      <c r="M139" s="74">
        <f t="shared" si="6"/>
        <v>729</v>
      </c>
      <c r="N139" s="146">
        <v>44255</v>
      </c>
      <c r="O139" s="74">
        <f t="shared" si="7"/>
        <v>671</v>
      </c>
      <c r="P139" s="353">
        <f t="shared" si="8"/>
        <v>7.956104252400549E-2</v>
      </c>
    </row>
    <row r="140" spans="1:16" ht="18.95" customHeight="1">
      <c r="A140" s="348">
        <f t="shared" si="9"/>
        <v>104</v>
      </c>
      <c r="B140" s="357" t="s">
        <v>2959</v>
      </c>
      <c r="C140" s="354" t="s">
        <v>2960</v>
      </c>
      <c r="D140" s="145">
        <v>44197</v>
      </c>
      <c r="E140" s="146">
        <v>44926</v>
      </c>
      <c r="F140" s="149">
        <v>7.956104252400549E-2</v>
      </c>
      <c r="G140" s="354">
        <v>1637478.47</v>
      </c>
      <c r="H140" s="354">
        <v>1637478.47</v>
      </c>
      <c r="I140" s="358">
        <v>73560</v>
      </c>
      <c r="J140" s="352">
        <f t="shared" si="10"/>
        <v>4.4922728052723647E-2</v>
      </c>
      <c r="M140" s="74">
        <f t="shared" si="6"/>
        <v>729</v>
      </c>
      <c r="N140" s="146">
        <v>44255</v>
      </c>
      <c r="O140" s="74">
        <f t="shared" si="7"/>
        <v>671</v>
      </c>
      <c r="P140" s="353">
        <f t="shared" si="8"/>
        <v>7.956104252400549E-2</v>
      </c>
    </row>
    <row r="141" spans="1:16" ht="18.95" customHeight="1">
      <c r="A141" s="348">
        <f t="shared" si="9"/>
        <v>105</v>
      </c>
      <c r="B141" s="357" t="s">
        <v>2961</v>
      </c>
      <c r="C141" s="354" t="s">
        <v>2962</v>
      </c>
      <c r="D141" s="145">
        <v>43525</v>
      </c>
      <c r="E141" s="146">
        <v>45291</v>
      </c>
      <c r="F141" s="149">
        <v>0.41336353340883353</v>
      </c>
      <c r="G141" s="354">
        <v>8964425.7800000012</v>
      </c>
      <c r="H141" s="354">
        <v>5024506.93</v>
      </c>
      <c r="I141" s="358">
        <v>1.1641532182693481E-10</v>
      </c>
      <c r="J141" s="352">
        <f t="shared" si="10"/>
        <v>2.316950169415625E-17</v>
      </c>
      <c r="M141" s="74">
        <f t="shared" si="6"/>
        <v>1766</v>
      </c>
      <c r="N141" s="146">
        <v>44255</v>
      </c>
      <c r="O141" s="74">
        <f t="shared" si="7"/>
        <v>1036</v>
      </c>
      <c r="P141" s="353">
        <f t="shared" si="8"/>
        <v>0.41336353340883353</v>
      </c>
    </row>
    <row r="142" spans="1:16" ht="18.95" customHeight="1">
      <c r="A142" s="348">
        <f t="shared" si="9"/>
        <v>106</v>
      </c>
      <c r="B142" s="357" t="s">
        <v>2963</v>
      </c>
      <c r="C142" s="354" t="s">
        <v>2964</v>
      </c>
      <c r="D142" s="145">
        <v>44011</v>
      </c>
      <c r="E142" s="146">
        <v>44561</v>
      </c>
      <c r="F142" s="149">
        <v>0.44363636363636366</v>
      </c>
      <c r="G142" s="354">
        <v>545600</v>
      </c>
      <c r="H142" s="354">
        <v>545600</v>
      </c>
      <c r="I142" s="358">
        <v>176820.06</v>
      </c>
      <c r="J142" s="352">
        <f t="shared" si="10"/>
        <v>0.32408368768328444</v>
      </c>
      <c r="M142" s="74">
        <f t="shared" si="6"/>
        <v>550</v>
      </c>
      <c r="N142" s="146">
        <v>44255</v>
      </c>
      <c r="O142" s="74">
        <f t="shared" si="7"/>
        <v>306</v>
      </c>
      <c r="P142" s="353">
        <f t="shared" si="8"/>
        <v>0.44363636363636366</v>
      </c>
    </row>
    <row r="143" spans="1:16" ht="18.95" customHeight="1">
      <c r="A143" s="348">
        <f t="shared" si="9"/>
        <v>107</v>
      </c>
      <c r="B143" s="357" t="s">
        <v>2965</v>
      </c>
      <c r="C143" s="354" t="s">
        <v>2966</v>
      </c>
      <c r="D143" s="145">
        <v>44011</v>
      </c>
      <c r="E143" s="146">
        <v>44561</v>
      </c>
      <c r="F143" s="149">
        <v>0.44363636363636366</v>
      </c>
      <c r="G143" s="354">
        <v>467599.57</v>
      </c>
      <c r="H143" s="354">
        <v>467599.57</v>
      </c>
      <c r="I143" s="358">
        <v>33600.01</v>
      </c>
      <c r="J143" s="352">
        <f t="shared" si="10"/>
        <v>7.1856374889309668E-2</v>
      </c>
      <c r="M143" s="74">
        <f t="shared" si="6"/>
        <v>550</v>
      </c>
      <c r="N143" s="146">
        <v>44255</v>
      </c>
      <c r="O143" s="74">
        <f t="shared" si="7"/>
        <v>306</v>
      </c>
      <c r="P143" s="353">
        <f t="shared" si="8"/>
        <v>0.44363636363636366</v>
      </c>
    </row>
    <row r="144" spans="1:16" ht="18.95" customHeight="1">
      <c r="A144" s="348">
        <f t="shared" si="9"/>
        <v>108</v>
      </c>
      <c r="B144" s="357" t="s">
        <v>2967</v>
      </c>
      <c r="C144" s="354" t="s">
        <v>2968</v>
      </c>
      <c r="D144" s="145">
        <v>44044</v>
      </c>
      <c r="E144" s="146">
        <v>44439</v>
      </c>
      <c r="F144" s="149">
        <v>0.53417721518987338</v>
      </c>
      <c r="G144" s="354">
        <v>21833.68</v>
      </c>
      <c r="H144" s="354">
        <v>21833.68</v>
      </c>
      <c r="I144" s="358">
        <v>21833.68</v>
      </c>
      <c r="J144" s="352">
        <f t="shared" si="10"/>
        <v>1</v>
      </c>
      <c r="M144" s="74">
        <f t="shared" si="6"/>
        <v>395</v>
      </c>
      <c r="N144" s="146">
        <v>44255</v>
      </c>
      <c r="O144" s="74">
        <f t="shared" si="7"/>
        <v>184</v>
      </c>
      <c r="P144" s="353">
        <f t="shared" si="8"/>
        <v>0.53417721518987338</v>
      </c>
    </row>
    <row r="145" spans="1:16" ht="18.95" customHeight="1">
      <c r="A145" s="348">
        <f t="shared" si="9"/>
        <v>109</v>
      </c>
      <c r="B145" s="357" t="s">
        <v>2969</v>
      </c>
      <c r="C145" s="354" t="s">
        <v>2970</v>
      </c>
      <c r="D145" s="145">
        <v>44197</v>
      </c>
      <c r="E145" s="146">
        <v>46387</v>
      </c>
      <c r="F145" s="149">
        <v>2.6484018264840183E-2</v>
      </c>
      <c r="G145" s="354">
        <v>152004</v>
      </c>
      <c r="H145" s="354">
        <v>794857.96000000008</v>
      </c>
      <c r="I145" s="358">
        <v>11135.300000000001</v>
      </c>
      <c r="J145" s="352">
        <f t="shared" si="10"/>
        <v>1.4009169638308712E-2</v>
      </c>
      <c r="M145" s="74">
        <f t="shared" si="6"/>
        <v>2190</v>
      </c>
      <c r="N145" s="146">
        <v>44255</v>
      </c>
      <c r="O145" s="74">
        <f t="shared" si="7"/>
        <v>2132</v>
      </c>
      <c r="P145" s="353">
        <f t="shared" si="8"/>
        <v>2.6484018264840183E-2</v>
      </c>
    </row>
    <row r="146" spans="1:16" ht="18.95" customHeight="1">
      <c r="A146" s="348">
        <f t="shared" si="9"/>
        <v>110</v>
      </c>
      <c r="B146" s="357" t="s">
        <v>2971</v>
      </c>
      <c r="C146" s="354" t="s">
        <v>2972</v>
      </c>
      <c r="D146" s="145">
        <v>44197</v>
      </c>
      <c r="E146" s="146">
        <v>44561</v>
      </c>
      <c r="F146" s="149">
        <v>0.15934065934065933</v>
      </c>
      <c r="G146" s="354">
        <v>470004</v>
      </c>
      <c r="H146" s="354">
        <v>389128.12</v>
      </c>
      <c r="I146" s="358">
        <v>44541.2</v>
      </c>
      <c r="J146" s="352">
        <f t="shared" si="10"/>
        <v>0.11446409989594172</v>
      </c>
      <c r="M146" s="74">
        <f t="shared" si="6"/>
        <v>364</v>
      </c>
      <c r="N146" s="146">
        <v>44255</v>
      </c>
      <c r="O146" s="74">
        <f t="shared" si="7"/>
        <v>306</v>
      </c>
      <c r="P146" s="353">
        <f t="shared" si="8"/>
        <v>0.15934065934065933</v>
      </c>
    </row>
    <row r="147" spans="1:16" ht="18.95" customHeight="1">
      <c r="A147" s="348">
        <f t="shared" si="9"/>
        <v>111</v>
      </c>
      <c r="B147" s="357" t="s">
        <v>2973</v>
      </c>
      <c r="C147" s="354" t="s">
        <v>2974</v>
      </c>
      <c r="D147" s="145">
        <v>43466</v>
      </c>
      <c r="E147" s="146">
        <v>44561</v>
      </c>
      <c r="F147" s="149">
        <v>0.72054794520547949</v>
      </c>
      <c r="G147" s="354">
        <v>838454.11</v>
      </c>
      <c r="H147" s="354">
        <v>1209687.2</v>
      </c>
      <c r="I147" s="358">
        <v>604635.49</v>
      </c>
      <c r="J147" s="352">
        <f t="shared" si="10"/>
        <v>0.49982796379097011</v>
      </c>
      <c r="M147" s="74">
        <f t="shared" si="6"/>
        <v>1095</v>
      </c>
      <c r="N147" s="146">
        <v>44255</v>
      </c>
      <c r="O147" s="74">
        <f t="shared" si="7"/>
        <v>306</v>
      </c>
      <c r="P147" s="353">
        <f t="shared" si="8"/>
        <v>0.72054794520547949</v>
      </c>
    </row>
    <row r="148" spans="1:16" ht="18.95" customHeight="1">
      <c r="A148" s="348">
        <f t="shared" si="9"/>
        <v>112</v>
      </c>
      <c r="B148" s="357" t="s">
        <v>2975</v>
      </c>
      <c r="C148" s="354" t="s">
        <v>2976</v>
      </c>
      <c r="D148" s="145">
        <v>43862</v>
      </c>
      <c r="E148" s="146">
        <v>44196</v>
      </c>
      <c r="F148" s="149">
        <v>1.1766467065868262</v>
      </c>
      <c r="G148" s="354">
        <v>250038.10000000003</v>
      </c>
      <c r="H148" s="354">
        <v>305474.87</v>
      </c>
      <c r="I148" s="358">
        <v>305474.87</v>
      </c>
      <c r="J148" s="352">
        <f t="shared" si="10"/>
        <v>1</v>
      </c>
      <c r="M148" s="74">
        <f t="shared" si="6"/>
        <v>334</v>
      </c>
      <c r="N148" s="146">
        <v>44255</v>
      </c>
      <c r="O148" s="74">
        <f t="shared" si="7"/>
        <v>-59</v>
      </c>
      <c r="P148" s="353">
        <f t="shared" si="8"/>
        <v>1.1766467065868262</v>
      </c>
    </row>
    <row r="149" spans="1:16" ht="18.95" customHeight="1">
      <c r="A149" s="348">
        <f t="shared" si="9"/>
        <v>113</v>
      </c>
      <c r="B149" s="357" t="s">
        <v>2977</v>
      </c>
      <c r="C149" s="354" t="s">
        <v>2978</v>
      </c>
      <c r="D149" s="145">
        <v>44197</v>
      </c>
      <c r="E149" s="146">
        <v>44469</v>
      </c>
      <c r="F149" s="149">
        <v>0.21323529411764705</v>
      </c>
      <c r="G149" s="354">
        <v>700005.45000000007</v>
      </c>
      <c r="H149" s="354">
        <v>700005.45000000007</v>
      </c>
      <c r="I149" s="358">
        <v>33405.9</v>
      </c>
      <c r="J149" s="352">
        <f t="shared" si="10"/>
        <v>4.7722342733188719E-2</v>
      </c>
      <c r="M149" s="74">
        <f t="shared" si="6"/>
        <v>272</v>
      </c>
      <c r="N149" s="146">
        <v>44255</v>
      </c>
      <c r="O149" s="74">
        <f t="shared" si="7"/>
        <v>214</v>
      </c>
      <c r="P149" s="353">
        <f t="shared" si="8"/>
        <v>0.21323529411764705</v>
      </c>
    </row>
    <row r="150" spans="1:16" ht="18.95" customHeight="1">
      <c r="A150" s="348">
        <f t="shared" si="9"/>
        <v>114</v>
      </c>
      <c r="B150" s="357" t="s">
        <v>2596</v>
      </c>
      <c r="C150" s="354" t="s">
        <v>2597</v>
      </c>
      <c r="D150" s="145">
        <v>43831</v>
      </c>
      <c r="E150" s="146">
        <v>44439</v>
      </c>
      <c r="F150" s="149">
        <v>0.69736842105263153</v>
      </c>
      <c r="G150" s="354">
        <v>9648545.7299999986</v>
      </c>
      <c r="H150" s="354">
        <v>11054652.07</v>
      </c>
      <c r="I150" s="358">
        <v>2175042.44</v>
      </c>
      <c r="J150" s="352">
        <f t="shared" si="10"/>
        <v>0.19675358629355758</v>
      </c>
      <c r="M150" s="74">
        <f t="shared" si="6"/>
        <v>608</v>
      </c>
      <c r="N150" s="146">
        <v>44255</v>
      </c>
      <c r="O150" s="74">
        <f t="shared" si="7"/>
        <v>184</v>
      </c>
      <c r="P150" s="353">
        <f t="shared" si="8"/>
        <v>0.69736842105263153</v>
      </c>
    </row>
    <row r="151" spans="1:16" ht="18.95" customHeight="1">
      <c r="A151" s="348">
        <f t="shared" si="9"/>
        <v>115</v>
      </c>
      <c r="B151" s="357" t="s">
        <v>2979</v>
      </c>
      <c r="C151" s="354" t="s">
        <v>2980</v>
      </c>
      <c r="D151" s="145">
        <v>43831</v>
      </c>
      <c r="E151" s="146">
        <v>44561</v>
      </c>
      <c r="F151" s="149">
        <v>0.58082191780821912</v>
      </c>
      <c r="G151" s="354">
        <v>5283180</v>
      </c>
      <c r="H151" s="354">
        <v>2831854.89</v>
      </c>
      <c r="I151" s="358">
        <v>2124068.79</v>
      </c>
      <c r="J151" s="352">
        <f t="shared" si="10"/>
        <v>0.75006272302321253</v>
      </c>
      <c r="M151" s="74">
        <f t="shared" si="6"/>
        <v>730</v>
      </c>
      <c r="N151" s="146">
        <v>44255</v>
      </c>
      <c r="O151" s="74">
        <f t="shared" si="7"/>
        <v>306</v>
      </c>
      <c r="P151" s="353">
        <f t="shared" si="8"/>
        <v>0.58082191780821912</v>
      </c>
    </row>
    <row r="152" spans="1:16" ht="18.95" customHeight="1">
      <c r="A152" s="348">
        <f t="shared" si="9"/>
        <v>116</v>
      </c>
      <c r="B152" s="357" t="s">
        <v>2075</v>
      </c>
      <c r="C152" s="354" t="s">
        <v>2600</v>
      </c>
      <c r="D152" s="145">
        <v>42491</v>
      </c>
      <c r="E152" s="146">
        <v>45291</v>
      </c>
      <c r="F152" s="149">
        <v>0.63</v>
      </c>
      <c r="G152" s="354">
        <v>50955.5</v>
      </c>
      <c r="H152" s="354">
        <v>6785.93</v>
      </c>
      <c r="I152" s="358">
        <v>6785.93</v>
      </c>
      <c r="J152" s="352">
        <f t="shared" si="10"/>
        <v>1</v>
      </c>
      <c r="M152" s="74">
        <f t="shared" si="6"/>
        <v>2800</v>
      </c>
      <c r="N152" s="146">
        <v>44255</v>
      </c>
      <c r="O152" s="74">
        <f t="shared" si="7"/>
        <v>1036</v>
      </c>
      <c r="P152" s="353">
        <f t="shared" si="8"/>
        <v>0.63</v>
      </c>
    </row>
    <row r="153" spans="1:16" ht="18.95" customHeight="1">
      <c r="A153" s="348">
        <f t="shared" si="9"/>
        <v>117</v>
      </c>
      <c r="B153" s="357" t="s">
        <v>2981</v>
      </c>
      <c r="C153" s="354" t="s">
        <v>2982</v>
      </c>
      <c r="D153" s="145">
        <v>43831</v>
      </c>
      <c r="E153" s="146">
        <v>44561</v>
      </c>
      <c r="F153" s="149">
        <v>0.58082191780821912</v>
      </c>
      <c r="G153" s="354">
        <v>305800</v>
      </c>
      <c r="H153" s="354">
        <v>89398.56</v>
      </c>
      <c r="I153" s="358">
        <v>14899.76</v>
      </c>
      <c r="J153" s="352">
        <f t="shared" si="10"/>
        <v>0.16666666666666669</v>
      </c>
      <c r="M153" s="74">
        <f t="shared" si="6"/>
        <v>730</v>
      </c>
      <c r="N153" s="146">
        <v>44255</v>
      </c>
      <c r="O153" s="74">
        <f t="shared" si="7"/>
        <v>306</v>
      </c>
      <c r="P153" s="353">
        <f t="shared" si="8"/>
        <v>0.58082191780821912</v>
      </c>
    </row>
    <row r="154" spans="1:16" ht="18.95" customHeight="1">
      <c r="A154" s="348">
        <f t="shared" si="9"/>
        <v>118</v>
      </c>
      <c r="B154" s="357" t="s">
        <v>2983</v>
      </c>
      <c r="C154" s="354" t="s">
        <v>2984</v>
      </c>
      <c r="D154" s="145">
        <v>42522</v>
      </c>
      <c r="E154" s="146">
        <v>47848</v>
      </c>
      <c r="F154" s="149">
        <v>0.32538490424333461</v>
      </c>
      <c r="G154" s="354">
        <v>4224787</v>
      </c>
      <c r="H154" s="354">
        <v>2387036.11</v>
      </c>
      <c r="I154" s="358">
        <v>197944.3</v>
      </c>
      <c r="J154" s="352">
        <f t="shared" si="10"/>
        <v>8.292471955943724E-2</v>
      </c>
      <c r="M154" s="74">
        <f t="shared" si="6"/>
        <v>5326</v>
      </c>
      <c r="N154" s="146">
        <v>44255</v>
      </c>
      <c r="O154" s="74">
        <f t="shared" si="7"/>
        <v>3593</v>
      </c>
      <c r="P154" s="353">
        <f t="shared" si="8"/>
        <v>0.32538490424333461</v>
      </c>
    </row>
    <row r="155" spans="1:16" ht="18.95" customHeight="1">
      <c r="A155" s="348">
        <f t="shared" si="9"/>
        <v>119</v>
      </c>
      <c r="B155" s="357" t="s">
        <v>2985</v>
      </c>
      <c r="C155" s="354" t="s">
        <v>2986</v>
      </c>
      <c r="D155" s="145">
        <v>43831</v>
      </c>
      <c r="E155" s="146">
        <v>44804</v>
      </c>
      <c r="F155" s="149">
        <v>0.43576567317574511</v>
      </c>
      <c r="G155" s="354">
        <v>183480</v>
      </c>
      <c r="H155" s="354">
        <v>168221.55000000002</v>
      </c>
      <c r="I155" s="358">
        <v>65698.27</v>
      </c>
      <c r="J155" s="352">
        <f t="shared" si="10"/>
        <v>0.39054609828526726</v>
      </c>
      <c r="M155" s="74">
        <f t="shared" si="6"/>
        <v>973</v>
      </c>
      <c r="N155" s="146">
        <v>44255</v>
      </c>
      <c r="O155" s="74">
        <f t="shared" si="7"/>
        <v>549</v>
      </c>
      <c r="P155" s="353">
        <f t="shared" si="8"/>
        <v>0.43576567317574511</v>
      </c>
    </row>
    <row r="156" spans="1:16" ht="18.95" customHeight="1">
      <c r="A156" s="348">
        <f t="shared" si="9"/>
        <v>120</v>
      </c>
      <c r="B156" s="357" t="s">
        <v>2987</v>
      </c>
      <c r="C156" s="354" t="s">
        <v>2988</v>
      </c>
      <c r="D156" s="145">
        <v>44197</v>
      </c>
      <c r="E156" s="146">
        <v>44926</v>
      </c>
      <c r="F156" s="149">
        <v>7.956104252400549E-2</v>
      </c>
      <c r="G156" s="354">
        <v>186732</v>
      </c>
      <c r="H156" s="354">
        <v>209742.59999999998</v>
      </c>
      <c r="I156" s="358">
        <v>17192.02</v>
      </c>
      <c r="J156" s="352">
        <f t="shared" si="10"/>
        <v>8.1967230309913208E-2</v>
      </c>
      <c r="M156" s="74">
        <f t="shared" si="6"/>
        <v>729</v>
      </c>
      <c r="N156" s="146">
        <v>44255</v>
      </c>
      <c r="O156" s="74">
        <f t="shared" si="7"/>
        <v>671</v>
      </c>
      <c r="P156" s="353">
        <f t="shared" si="8"/>
        <v>7.956104252400549E-2</v>
      </c>
    </row>
    <row r="157" spans="1:16" ht="18.95" customHeight="1">
      <c r="A157" s="348">
        <f t="shared" si="9"/>
        <v>121</v>
      </c>
      <c r="B157" s="357" t="s">
        <v>2989</v>
      </c>
      <c r="C157" s="354" t="s">
        <v>2990</v>
      </c>
      <c r="D157" s="145">
        <v>43466</v>
      </c>
      <c r="E157" s="146">
        <v>44561</v>
      </c>
      <c r="F157" s="149">
        <v>0.72054794520547949</v>
      </c>
      <c r="G157" s="354">
        <v>3037500</v>
      </c>
      <c r="H157" s="354">
        <v>5494629.7599999998</v>
      </c>
      <c r="I157" s="358">
        <v>3852185.3699999996</v>
      </c>
      <c r="J157" s="352">
        <f t="shared" si="10"/>
        <v>0.70108188144782291</v>
      </c>
      <c r="M157" s="74">
        <f t="shared" si="6"/>
        <v>1095</v>
      </c>
      <c r="N157" s="146">
        <v>44255</v>
      </c>
      <c r="O157" s="74">
        <f t="shared" si="7"/>
        <v>306</v>
      </c>
      <c r="P157" s="353">
        <f t="shared" si="8"/>
        <v>0.72054794520547949</v>
      </c>
    </row>
    <row r="158" spans="1:16" ht="18.95" customHeight="1">
      <c r="A158" s="348">
        <f t="shared" si="9"/>
        <v>122</v>
      </c>
      <c r="B158" s="357" t="s">
        <v>2991</v>
      </c>
      <c r="C158" s="354" t="s">
        <v>2992</v>
      </c>
      <c r="D158" s="145">
        <v>43831</v>
      </c>
      <c r="E158" s="146">
        <v>44377</v>
      </c>
      <c r="F158" s="149">
        <v>0.77655677655677657</v>
      </c>
      <c r="G158" s="354">
        <v>3952594.8</v>
      </c>
      <c r="H158" s="354">
        <v>9884621.5700000003</v>
      </c>
      <c r="I158" s="358">
        <v>4492336.2100000009</v>
      </c>
      <c r="J158" s="352">
        <f t="shared" si="10"/>
        <v>0.45447730883641718</v>
      </c>
      <c r="M158" s="74">
        <f t="shared" si="6"/>
        <v>546</v>
      </c>
      <c r="N158" s="146">
        <v>44255</v>
      </c>
      <c r="O158" s="74">
        <f t="shared" si="7"/>
        <v>122</v>
      </c>
      <c r="P158" s="353">
        <f t="shared" si="8"/>
        <v>0.77655677655677657</v>
      </c>
    </row>
    <row r="159" spans="1:16" ht="18.95" customHeight="1">
      <c r="A159" s="348">
        <f t="shared" si="9"/>
        <v>123</v>
      </c>
      <c r="B159" s="357" t="s">
        <v>2993</v>
      </c>
      <c r="C159" s="354" t="s">
        <v>2994</v>
      </c>
      <c r="D159" s="145">
        <v>43831</v>
      </c>
      <c r="E159" s="146">
        <v>44561</v>
      </c>
      <c r="F159" s="149">
        <v>0.58082191780821912</v>
      </c>
      <c r="G159" s="354">
        <v>224122.18</v>
      </c>
      <c r="H159" s="354">
        <v>113785.06</v>
      </c>
      <c r="I159" s="358">
        <v>113785.06</v>
      </c>
      <c r="J159" s="352">
        <f t="shared" si="10"/>
        <v>1</v>
      </c>
      <c r="M159" s="74">
        <f t="shared" si="6"/>
        <v>730</v>
      </c>
      <c r="N159" s="146">
        <v>44255</v>
      </c>
      <c r="O159" s="74">
        <f t="shared" si="7"/>
        <v>306</v>
      </c>
      <c r="P159" s="353">
        <f t="shared" si="8"/>
        <v>0.58082191780821912</v>
      </c>
    </row>
    <row r="160" spans="1:16" ht="18.95" customHeight="1">
      <c r="A160" s="348">
        <f t="shared" si="9"/>
        <v>124</v>
      </c>
      <c r="B160" s="357" t="s">
        <v>2995</v>
      </c>
      <c r="C160" s="354" t="s">
        <v>2996</v>
      </c>
      <c r="D160" s="145">
        <v>42887</v>
      </c>
      <c r="E160" s="146">
        <v>47848</v>
      </c>
      <c r="F160" s="149">
        <v>0.27575085668212052</v>
      </c>
      <c r="G160" s="354">
        <v>2710564.55</v>
      </c>
      <c r="H160" s="354">
        <v>3425962.54</v>
      </c>
      <c r="I160" s="358">
        <v>349293.1</v>
      </c>
      <c r="J160" s="352">
        <f t="shared" si="10"/>
        <v>0.1019547341577179</v>
      </c>
      <c r="M160" s="74">
        <f t="shared" si="6"/>
        <v>4961</v>
      </c>
      <c r="N160" s="146">
        <v>44255</v>
      </c>
      <c r="O160" s="74">
        <f t="shared" si="7"/>
        <v>3593</v>
      </c>
      <c r="P160" s="353">
        <f t="shared" si="8"/>
        <v>0.27575085668212052</v>
      </c>
    </row>
    <row r="161" spans="1:16" ht="18.95" customHeight="1">
      <c r="A161" s="348">
        <f t="shared" si="9"/>
        <v>125</v>
      </c>
      <c r="B161" s="357" t="s">
        <v>2608</v>
      </c>
      <c r="C161" s="354" t="s">
        <v>2609</v>
      </c>
      <c r="D161" s="145">
        <v>43831</v>
      </c>
      <c r="E161" s="146">
        <v>44926</v>
      </c>
      <c r="F161" s="149">
        <v>0.38721461187214612</v>
      </c>
      <c r="G161" s="354">
        <v>374151.32999999996</v>
      </c>
      <c r="H161" s="354">
        <v>190257.48</v>
      </c>
      <c r="I161" s="358">
        <v>190257.48</v>
      </c>
      <c r="J161" s="352">
        <f t="shared" si="10"/>
        <v>1</v>
      </c>
      <c r="M161" s="74">
        <f t="shared" si="6"/>
        <v>1095</v>
      </c>
      <c r="N161" s="146">
        <v>44255</v>
      </c>
      <c r="O161" s="74">
        <f t="shared" si="7"/>
        <v>671</v>
      </c>
      <c r="P161" s="353">
        <f t="shared" si="8"/>
        <v>0.38721461187214612</v>
      </c>
    </row>
    <row r="162" spans="1:16" ht="18.95" customHeight="1">
      <c r="A162" s="348">
        <f t="shared" si="9"/>
        <v>126</v>
      </c>
      <c r="B162" s="357" t="s">
        <v>2997</v>
      </c>
      <c r="C162" s="354" t="s">
        <v>2998</v>
      </c>
      <c r="D162" s="145">
        <v>43831</v>
      </c>
      <c r="E162" s="146">
        <v>44561</v>
      </c>
      <c r="F162" s="149">
        <v>0.58082191780821912</v>
      </c>
      <c r="G162" s="354">
        <v>756244.3899999999</v>
      </c>
      <c r="H162" s="354">
        <v>637484.05999999994</v>
      </c>
      <c r="I162" s="358">
        <v>52378.590000000004</v>
      </c>
      <c r="J162" s="352">
        <f t="shared" si="10"/>
        <v>8.2164548553574829E-2</v>
      </c>
      <c r="M162" s="74">
        <f t="shared" si="6"/>
        <v>730</v>
      </c>
      <c r="N162" s="146">
        <v>44255</v>
      </c>
      <c r="O162" s="74">
        <f t="shared" si="7"/>
        <v>306</v>
      </c>
      <c r="P162" s="353">
        <f t="shared" si="8"/>
        <v>0.58082191780821912</v>
      </c>
    </row>
    <row r="163" spans="1:16" ht="18.95" customHeight="1">
      <c r="A163" s="348">
        <f t="shared" si="9"/>
        <v>127</v>
      </c>
      <c r="B163" s="357" t="s">
        <v>2999</v>
      </c>
      <c r="C163" s="354" t="s">
        <v>3000</v>
      </c>
      <c r="D163" s="145">
        <v>43466</v>
      </c>
      <c r="E163" s="146">
        <v>44561</v>
      </c>
      <c r="F163" s="149">
        <v>0.72054794520547949</v>
      </c>
      <c r="G163" s="354">
        <v>1331460</v>
      </c>
      <c r="H163" s="354">
        <v>1451598.13</v>
      </c>
      <c r="I163" s="358">
        <v>791319.96000000008</v>
      </c>
      <c r="J163" s="352">
        <f t="shared" si="10"/>
        <v>0.54513707592059257</v>
      </c>
      <c r="M163" s="74">
        <f t="shared" si="6"/>
        <v>1095</v>
      </c>
      <c r="N163" s="146">
        <v>44255</v>
      </c>
      <c r="O163" s="74">
        <f t="shared" si="7"/>
        <v>306</v>
      </c>
      <c r="P163" s="353">
        <f t="shared" si="8"/>
        <v>0.72054794520547949</v>
      </c>
    </row>
    <row r="164" spans="1:16" ht="18.95" customHeight="1">
      <c r="A164" s="348">
        <f t="shared" si="9"/>
        <v>128</v>
      </c>
      <c r="B164" s="357" t="s">
        <v>3001</v>
      </c>
      <c r="C164" s="354" t="s">
        <v>3002</v>
      </c>
      <c r="D164" s="145">
        <v>43678</v>
      </c>
      <c r="E164" s="146">
        <v>44135</v>
      </c>
      <c r="F164" s="149">
        <v>1.262582056892779</v>
      </c>
      <c r="G164" s="354">
        <v>115342.25</v>
      </c>
      <c r="H164" s="354">
        <v>115342.25</v>
      </c>
      <c r="I164" s="358">
        <v>49.331223222479998</v>
      </c>
      <c r="J164" s="352">
        <f t="shared" si="10"/>
        <v>4.2769430301975209E-4</v>
      </c>
      <c r="M164" s="74">
        <f t="shared" si="6"/>
        <v>457</v>
      </c>
      <c r="N164" s="146">
        <v>44255</v>
      </c>
      <c r="O164" s="74">
        <f t="shared" si="7"/>
        <v>-120</v>
      </c>
      <c r="P164" s="353">
        <f t="shared" si="8"/>
        <v>1.262582056892779</v>
      </c>
    </row>
    <row r="165" spans="1:16" ht="18.95" customHeight="1">
      <c r="A165" s="348">
        <f t="shared" si="9"/>
        <v>129</v>
      </c>
      <c r="B165" s="357" t="s">
        <v>3003</v>
      </c>
      <c r="C165" s="354" t="s">
        <v>3004</v>
      </c>
      <c r="D165" s="145">
        <v>43862</v>
      </c>
      <c r="E165" s="146">
        <v>44742</v>
      </c>
      <c r="F165" s="149">
        <v>0.44659090909090909</v>
      </c>
      <c r="G165" s="354">
        <v>4764614.4000000004</v>
      </c>
      <c r="H165" s="354">
        <v>4764614.4000000004</v>
      </c>
      <c r="I165" s="358">
        <v>1474327.53</v>
      </c>
      <c r="J165" s="352">
        <f t="shared" si="10"/>
        <v>0.30943270666352346</v>
      </c>
      <c r="M165" s="74">
        <f t="shared" ref="M165:M168" si="11">E165-D165</f>
        <v>880</v>
      </c>
      <c r="N165" s="146">
        <v>44255</v>
      </c>
      <c r="O165" s="74">
        <f t="shared" ref="O165:O168" si="12">E165-N165</f>
        <v>487</v>
      </c>
      <c r="P165" s="353">
        <f t="shared" si="8"/>
        <v>0.44659090909090909</v>
      </c>
    </row>
    <row r="166" spans="1:16" ht="18.95" customHeight="1">
      <c r="A166" s="348">
        <f t="shared" si="9"/>
        <v>130</v>
      </c>
      <c r="B166" s="357" t="s">
        <v>3005</v>
      </c>
      <c r="C166" s="354" t="s">
        <v>3006</v>
      </c>
      <c r="D166" s="145">
        <v>44075</v>
      </c>
      <c r="E166" s="146">
        <v>44408</v>
      </c>
      <c r="F166" s="149">
        <v>0.54054054054054057</v>
      </c>
      <c r="G166" s="354">
        <v>440163.51</v>
      </c>
      <c r="H166" s="354">
        <v>440163.51</v>
      </c>
      <c r="I166" s="358">
        <v>114881.33</v>
      </c>
      <c r="J166" s="352">
        <f t="shared" si="10"/>
        <v>0.26099694179556138</v>
      </c>
      <c r="M166" s="74">
        <f t="shared" si="11"/>
        <v>333</v>
      </c>
      <c r="N166" s="146">
        <v>44255</v>
      </c>
      <c r="O166" s="74">
        <f t="shared" si="12"/>
        <v>153</v>
      </c>
      <c r="P166" s="353">
        <f t="shared" ref="P166:P168" si="13">(M166-O166)/M166</f>
        <v>0.54054054054054057</v>
      </c>
    </row>
    <row r="167" spans="1:16" ht="18.95" customHeight="1">
      <c r="A167" s="348">
        <f t="shared" ref="A167:A168" si="14">A166+1</f>
        <v>131</v>
      </c>
      <c r="B167" s="357" t="s">
        <v>3007</v>
      </c>
      <c r="C167" s="354" t="s">
        <v>3008</v>
      </c>
      <c r="D167" s="145">
        <v>44055</v>
      </c>
      <c r="E167" s="146">
        <v>44773</v>
      </c>
      <c r="F167" s="149">
        <v>0.2785515320334262</v>
      </c>
      <c r="G167" s="354">
        <v>19291229</v>
      </c>
      <c r="H167" s="354">
        <v>19291229</v>
      </c>
      <c r="I167" s="358">
        <v>1848396.1</v>
      </c>
      <c r="J167" s="352">
        <f t="shared" si="10"/>
        <v>9.5815362515265359E-2</v>
      </c>
      <c r="M167" s="74">
        <f t="shared" si="11"/>
        <v>718</v>
      </c>
      <c r="N167" s="146">
        <v>44255</v>
      </c>
      <c r="O167" s="74">
        <f t="shared" si="12"/>
        <v>518</v>
      </c>
      <c r="P167" s="353">
        <f t="shared" si="13"/>
        <v>0.2785515320334262</v>
      </c>
    </row>
    <row r="168" spans="1:16" ht="18.95" customHeight="1">
      <c r="A168" s="348">
        <f t="shared" si="14"/>
        <v>132</v>
      </c>
      <c r="B168" s="357" t="s">
        <v>3009</v>
      </c>
      <c r="C168" s="354" t="s">
        <v>3010</v>
      </c>
      <c r="D168" s="145">
        <v>44197</v>
      </c>
      <c r="E168" s="146">
        <v>44316</v>
      </c>
      <c r="F168" s="149">
        <v>0.48739495798319327</v>
      </c>
      <c r="G168" s="354">
        <v>37578.54</v>
      </c>
      <c r="H168" s="354">
        <v>43752.89</v>
      </c>
      <c r="I168" s="358">
        <v>43752.89</v>
      </c>
      <c r="J168" s="352">
        <f t="shared" si="10"/>
        <v>1</v>
      </c>
      <c r="M168" s="74">
        <f t="shared" si="11"/>
        <v>119</v>
      </c>
      <c r="N168" s="146">
        <v>44255</v>
      </c>
      <c r="O168" s="74">
        <f t="shared" si="12"/>
        <v>61</v>
      </c>
      <c r="P168" s="353">
        <f t="shared" si="13"/>
        <v>0.48739495798319327</v>
      </c>
    </row>
    <row r="169" spans="1:16" s="359" customFormat="1" ht="20.100000000000001" customHeight="1">
      <c r="A169" s="809" t="str">
        <f>$A$1</f>
        <v>KENTUCKY UTILITIES COMPANY</v>
      </c>
      <c r="B169" s="809"/>
      <c r="C169" s="809"/>
      <c r="D169" s="809"/>
      <c r="E169" s="809"/>
      <c r="F169" s="809"/>
      <c r="G169" s="809"/>
      <c r="H169" s="809"/>
      <c r="I169" s="809"/>
      <c r="J169" s="809"/>
    </row>
    <row r="170" spans="1:16" s="359" customFormat="1" ht="20.100000000000001" customHeight="1">
      <c r="A170" s="809" t="str">
        <f>$A$2</f>
        <v>CASE NO. 2020-00349</v>
      </c>
      <c r="B170" s="809"/>
      <c r="C170" s="809"/>
      <c r="D170" s="809"/>
      <c r="E170" s="809"/>
      <c r="F170" s="809"/>
      <c r="G170" s="809"/>
      <c r="H170" s="809"/>
      <c r="I170" s="809"/>
      <c r="J170" s="809"/>
    </row>
    <row r="171" spans="1:16" s="359" customFormat="1" ht="20.100000000000001" customHeight="1">
      <c r="A171" s="809" t="s">
        <v>1216</v>
      </c>
      <c r="B171" s="809"/>
      <c r="C171" s="809"/>
      <c r="D171" s="809"/>
      <c r="E171" s="809"/>
      <c r="F171" s="809"/>
      <c r="G171" s="809"/>
      <c r="H171" s="809"/>
      <c r="I171" s="809"/>
      <c r="J171" s="809"/>
    </row>
    <row r="172" spans="1:16" s="359" customFormat="1" ht="20.100000000000001" customHeight="1">
      <c r="A172" s="809" t="str">
        <f>$A$4</f>
        <v>AS OF FEBRUARY 28, 2021</v>
      </c>
      <c r="B172" s="809"/>
      <c r="C172" s="809"/>
      <c r="D172" s="809"/>
      <c r="E172" s="809"/>
      <c r="F172" s="809"/>
      <c r="G172" s="809"/>
      <c r="H172" s="809"/>
      <c r="I172" s="809"/>
      <c r="J172" s="809"/>
    </row>
    <row r="173" spans="1:16" s="359" customFormat="1" ht="20.100000000000001" customHeight="1">
      <c r="A173" s="737"/>
      <c r="B173" s="737"/>
      <c r="C173" s="737"/>
      <c r="D173" s="737"/>
      <c r="E173" s="737"/>
      <c r="F173" s="737"/>
      <c r="G173" s="737"/>
      <c r="H173" s="737"/>
      <c r="I173" s="737"/>
      <c r="J173" s="737"/>
    </row>
    <row r="174" spans="1:16" s="359" customFormat="1" ht="20.100000000000001" customHeight="1">
      <c r="A174" s="67" t="str">
        <f>$A$6</f>
        <v>DATA:__X__BASE  PERIOD____FORECASTED  PERIOD</v>
      </c>
      <c r="B174" s="738"/>
      <c r="C174" s="68"/>
      <c r="D174" s="144"/>
      <c r="E174" s="144"/>
      <c r="F174" s="68"/>
      <c r="G174" s="74"/>
      <c r="H174" s="74"/>
      <c r="I174" s="74"/>
      <c r="J174" s="74" t="s">
        <v>1709</v>
      </c>
    </row>
    <row r="175" spans="1:16" s="359" customFormat="1" ht="20.100000000000001" customHeight="1">
      <c r="A175" s="67" t="str">
        <f>$A$7</f>
        <v>TYPE OF FILING: __X__ ORIGINAL  _____ UPDATED  _____ REVISED</v>
      </c>
      <c r="B175" s="739"/>
      <c r="C175" s="68"/>
      <c r="D175" s="144"/>
      <c r="E175" s="144"/>
      <c r="F175" s="68"/>
      <c r="G175" s="74"/>
      <c r="H175" s="74"/>
      <c r="I175" s="74"/>
      <c r="J175" s="74" t="s">
        <v>3740</v>
      </c>
    </row>
    <row r="176" spans="1:16" s="359" customFormat="1" ht="20.100000000000001" customHeight="1">
      <c r="A176" s="67" t="str">
        <f>$A$8</f>
        <v>WORKPAPER REFERENCE NO(S).:</v>
      </c>
      <c r="B176" s="738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739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0" customHeight="1">
      <c r="A178" s="76" t="s">
        <v>131</v>
      </c>
      <c r="B178" s="76" t="s">
        <v>1219</v>
      </c>
      <c r="C178" s="76" t="s">
        <v>1220</v>
      </c>
      <c r="D178" s="142" t="s">
        <v>1222</v>
      </c>
      <c r="E178" s="142" t="s">
        <v>1223</v>
      </c>
      <c r="F178" s="76" t="s">
        <v>1224</v>
      </c>
      <c r="G178" s="76" t="s">
        <v>1225</v>
      </c>
      <c r="H178" s="76" t="s">
        <v>1226</v>
      </c>
      <c r="I178" s="76" t="s">
        <v>1227</v>
      </c>
      <c r="J178" s="76" t="s">
        <v>1228</v>
      </c>
      <c r="M178" s="360" t="s">
        <v>1236</v>
      </c>
      <c r="N178" s="360" t="s">
        <v>1237</v>
      </c>
      <c r="O178" s="360" t="s">
        <v>1238</v>
      </c>
      <c r="P178" s="360" t="s">
        <v>1224</v>
      </c>
    </row>
    <row r="179" spans="1:16" s="359" customFormat="1" ht="18.75" customHeight="1">
      <c r="A179" s="80" t="s">
        <v>1217</v>
      </c>
      <c r="B179" s="80" t="s">
        <v>1218</v>
      </c>
      <c r="C179" s="80" t="s">
        <v>1221</v>
      </c>
      <c r="D179" s="355" t="s">
        <v>1229</v>
      </c>
      <c r="E179" s="355" t="s">
        <v>1230</v>
      </c>
      <c r="F179" s="356" t="s">
        <v>1231</v>
      </c>
      <c r="G179" s="356" t="s">
        <v>1232</v>
      </c>
      <c r="H179" s="356" t="s">
        <v>1233</v>
      </c>
      <c r="I179" s="356" t="s">
        <v>1234</v>
      </c>
      <c r="J179" s="356" t="s">
        <v>1235</v>
      </c>
    </row>
    <row r="180" spans="1:16" s="359" customFormat="1" ht="18.7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739">
        <f>A168+1</f>
        <v>133</v>
      </c>
      <c r="B181" s="357" t="s">
        <v>2329</v>
      </c>
      <c r="C181" s="354" t="s">
        <v>2330</v>
      </c>
      <c r="D181" s="145">
        <v>43831</v>
      </c>
      <c r="E181" s="146">
        <v>47483</v>
      </c>
      <c r="F181" s="149">
        <v>0.11610076670317634</v>
      </c>
      <c r="G181" s="354">
        <v>5000000</v>
      </c>
      <c r="H181" s="354">
        <v>2687645.71</v>
      </c>
      <c r="I181" s="358">
        <v>187645.71</v>
      </c>
      <c r="J181" s="352">
        <f t="shared" ref="J181:J224" si="15">I181/H181</f>
        <v>6.9817874172113256E-2</v>
      </c>
      <c r="M181" s="74">
        <f t="shared" ref="M181:M224" si="16">E181-D181</f>
        <v>3652</v>
      </c>
      <c r="N181" s="146">
        <v>44255</v>
      </c>
      <c r="O181" s="74">
        <f t="shared" ref="O181:O224" si="17">E181-N181</f>
        <v>3228</v>
      </c>
      <c r="P181" s="353">
        <f t="shared" ref="P181:P224" si="18">(M181-O181)/M181</f>
        <v>0.11610076670317634</v>
      </c>
    </row>
    <row r="182" spans="1:16" ht="18.75" customHeight="1">
      <c r="A182" s="739">
        <f t="shared" ref="A182:A224" si="19">A181+1</f>
        <v>134</v>
      </c>
      <c r="B182" s="357" t="s">
        <v>3011</v>
      </c>
      <c r="C182" s="354" t="s">
        <v>3012</v>
      </c>
      <c r="D182" s="145">
        <v>43497</v>
      </c>
      <c r="E182" s="146">
        <v>46022</v>
      </c>
      <c r="F182" s="149">
        <v>0.30019801980198019</v>
      </c>
      <c r="G182" s="354">
        <v>-4895652</v>
      </c>
      <c r="H182" s="354">
        <v>2</v>
      </c>
      <c r="I182" s="358">
        <v>2</v>
      </c>
      <c r="J182" s="352">
        <f t="shared" si="15"/>
        <v>1</v>
      </c>
      <c r="M182" s="74">
        <f t="shared" si="16"/>
        <v>2525</v>
      </c>
      <c r="N182" s="146">
        <v>44255</v>
      </c>
      <c r="O182" s="74">
        <f t="shared" si="17"/>
        <v>1767</v>
      </c>
      <c r="P182" s="353">
        <f t="shared" si="18"/>
        <v>0.30019801980198019</v>
      </c>
    </row>
    <row r="183" spans="1:16" ht="18.75" customHeight="1">
      <c r="A183" s="739">
        <f t="shared" si="19"/>
        <v>135</v>
      </c>
      <c r="B183" s="357" t="s">
        <v>3013</v>
      </c>
      <c r="C183" s="354" t="s">
        <v>3014</v>
      </c>
      <c r="D183" s="145">
        <v>43497</v>
      </c>
      <c r="E183" s="146">
        <v>46022</v>
      </c>
      <c r="F183" s="149">
        <v>0.30059405940594058</v>
      </c>
      <c r="G183" s="354">
        <v>360000</v>
      </c>
      <c r="H183" s="354">
        <v>1</v>
      </c>
      <c r="I183" s="358">
        <v>1</v>
      </c>
      <c r="J183" s="352">
        <f t="shared" si="15"/>
        <v>1</v>
      </c>
      <c r="M183" s="74">
        <f t="shared" si="16"/>
        <v>2525</v>
      </c>
      <c r="N183" s="146">
        <v>44255</v>
      </c>
      <c r="O183" s="74">
        <f t="shared" si="17"/>
        <v>1767</v>
      </c>
      <c r="P183" s="353">
        <f t="shared" si="18"/>
        <v>0.30019801980198019</v>
      </c>
    </row>
    <row r="184" spans="1:16" ht="18.75" customHeight="1">
      <c r="A184" s="739">
        <f t="shared" si="19"/>
        <v>136</v>
      </c>
      <c r="B184" s="357" t="s">
        <v>3015</v>
      </c>
      <c r="C184" s="354" t="s">
        <v>3016</v>
      </c>
      <c r="D184" s="145">
        <v>44228</v>
      </c>
      <c r="E184" s="146">
        <v>44742</v>
      </c>
      <c r="F184" s="149">
        <v>5.642023346303502E-2</v>
      </c>
      <c r="G184" s="354">
        <v>33099</v>
      </c>
      <c r="H184" s="354">
        <v>33099</v>
      </c>
      <c r="I184" s="358">
        <v>1610.7</v>
      </c>
      <c r="J184" s="352">
        <f t="shared" si="15"/>
        <v>4.8663101604278079E-2</v>
      </c>
      <c r="M184" s="74">
        <f t="shared" si="16"/>
        <v>514</v>
      </c>
      <c r="N184" s="146">
        <v>44255</v>
      </c>
      <c r="O184" s="74">
        <f t="shared" si="17"/>
        <v>487</v>
      </c>
      <c r="P184" s="353">
        <f t="shared" si="18"/>
        <v>5.2529182879377433E-2</v>
      </c>
    </row>
    <row r="185" spans="1:16" ht="18.75" customHeight="1">
      <c r="A185" s="739">
        <f t="shared" si="19"/>
        <v>137</v>
      </c>
      <c r="B185" s="357" t="s">
        <v>3017</v>
      </c>
      <c r="C185" s="354" t="s">
        <v>3018</v>
      </c>
      <c r="D185" s="145">
        <v>44228</v>
      </c>
      <c r="E185" s="146">
        <v>44742</v>
      </c>
      <c r="F185" s="149">
        <v>5.8365758754863814E-2</v>
      </c>
      <c r="G185" s="354">
        <v>472958.75</v>
      </c>
      <c r="H185" s="354">
        <v>472958.75</v>
      </c>
      <c r="I185" s="358">
        <v>41836.9</v>
      </c>
      <c r="J185" s="352">
        <f t="shared" si="15"/>
        <v>8.8457820053017305E-2</v>
      </c>
      <c r="M185" s="74">
        <f t="shared" si="16"/>
        <v>514</v>
      </c>
      <c r="N185" s="146">
        <v>44255</v>
      </c>
      <c r="O185" s="74">
        <f t="shared" si="17"/>
        <v>487</v>
      </c>
      <c r="P185" s="353">
        <f t="shared" si="18"/>
        <v>5.2529182879377433E-2</v>
      </c>
    </row>
    <row r="186" spans="1:16" ht="18.75" customHeight="1">
      <c r="A186" s="739">
        <f t="shared" si="19"/>
        <v>138</v>
      </c>
      <c r="B186" s="357" t="s">
        <v>3019</v>
      </c>
      <c r="C186" s="354" t="s">
        <v>3020</v>
      </c>
      <c r="D186" s="145">
        <v>44228</v>
      </c>
      <c r="E186" s="146">
        <v>44742</v>
      </c>
      <c r="F186" s="149">
        <v>6.0311284046692608E-2</v>
      </c>
      <c r="G186" s="354">
        <v>28231.45</v>
      </c>
      <c r="H186" s="354">
        <v>28231.45</v>
      </c>
      <c r="I186" s="358">
        <v>2147.6</v>
      </c>
      <c r="J186" s="352">
        <f t="shared" si="15"/>
        <v>7.6071190108903369E-2</v>
      </c>
      <c r="M186" s="74">
        <f t="shared" si="16"/>
        <v>514</v>
      </c>
      <c r="N186" s="146">
        <v>44255</v>
      </c>
      <c r="O186" s="74">
        <f t="shared" si="17"/>
        <v>487</v>
      </c>
      <c r="P186" s="353">
        <f t="shared" si="18"/>
        <v>5.2529182879377433E-2</v>
      </c>
    </row>
    <row r="187" spans="1:16" ht="18.75" customHeight="1">
      <c r="A187" s="739">
        <f t="shared" si="19"/>
        <v>139</v>
      </c>
      <c r="B187" s="357" t="s">
        <v>3021</v>
      </c>
      <c r="C187" s="354" t="s">
        <v>3022</v>
      </c>
      <c r="D187" s="145">
        <v>44228</v>
      </c>
      <c r="E187" s="146">
        <v>44742</v>
      </c>
      <c r="F187" s="149">
        <v>6.2256809338521402E-2</v>
      </c>
      <c r="G187" s="354">
        <v>16549.5</v>
      </c>
      <c r="H187" s="354">
        <v>16549.5</v>
      </c>
      <c r="I187" s="358">
        <v>973.5</v>
      </c>
      <c r="J187" s="352">
        <f t="shared" si="15"/>
        <v>5.8823529411764705E-2</v>
      </c>
      <c r="M187" s="74">
        <f t="shared" si="16"/>
        <v>514</v>
      </c>
      <c r="N187" s="146">
        <v>44255</v>
      </c>
      <c r="O187" s="74">
        <f t="shared" si="17"/>
        <v>487</v>
      </c>
      <c r="P187" s="353">
        <f t="shared" si="18"/>
        <v>5.2529182879377433E-2</v>
      </c>
    </row>
    <row r="188" spans="1:16" ht="18.75" customHeight="1">
      <c r="A188" s="739">
        <f t="shared" si="19"/>
        <v>140</v>
      </c>
      <c r="B188" s="357" t="s">
        <v>3023</v>
      </c>
      <c r="C188" s="354" t="s">
        <v>3024</v>
      </c>
      <c r="D188" s="145">
        <v>44228</v>
      </c>
      <c r="E188" s="146">
        <v>44742</v>
      </c>
      <c r="F188" s="149">
        <v>6.4202334630350189E-2</v>
      </c>
      <c r="G188" s="354">
        <v>199565.14</v>
      </c>
      <c r="H188" s="354">
        <v>199565.14</v>
      </c>
      <c r="I188" s="358">
        <v>13947.6</v>
      </c>
      <c r="J188" s="352">
        <f t="shared" si="15"/>
        <v>6.988996174381959E-2</v>
      </c>
      <c r="M188" s="74">
        <f t="shared" si="16"/>
        <v>514</v>
      </c>
      <c r="N188" s="146">
        <v>44255</v>
      </c>
      <c r="O188" s="74">
        <f t="shared" si="17"/>
        <v>487</v>
      </c>
      <c r="P188" s="353">
        <f t="shared" si="18"/>
        <v>5.2529182879377433E-2</v>
      </c>
    </row>
    <row r="189" spans="1:16" ht="18.75" customHeight="1">
      <c r="A189" s="739">
        <f t="shared" si="19"/>
        <v>141</v>
      </c>
      <c r="B189" s="357" t="s">
        <v>3025</v>
      </c>
      <c r="C189" s="354" t="s">
        <v>3026</v>
      </c>
      <c r="D189" s="145">
        <v>44228</v>
      </c>
      <c r="E189" s="146">
        <v>44742</v>
      </c>
      <c r="F189" s="149">
        <v>6.6147859922178989E-2</v>
      </c>
      <c r="G189" s="354">
        <v>371104.69</v>
      </c>
      <c r="H189" s="354">
        <v>371104.69</v>
      </c>
      <c r="I189" s="358">
        <v>21834.13</v>
      </c>
      <c r="J189" s="352">
        <f t="shared" si="15"/>
        <v>5.8835500031002033E-2</v>
      </c>
      <c r="M189" s="74">
        <f t="shared" si="16"/>
        <v>514</v>
      </c>
      <c r="N189" s="146">
        <v>44255</v>
      </c>
      <c r="O189" s="74">
        <f t="shared" si="17"/>
        <v>487</v>
      </c>
      <c r="P189" s="353">
        <f t="shared" si="18"/>
        <v>5.2529182879377433E-2</v>
      </c>
    </row>
    <row r="190" spans="1:16" ht="18.75" customHeight="1">
      <c r="A190" s="739">
        <f t="shared" si="19"/>
        <v>142</v>
      </c>
      <c r="B190" s="357" t="s">
        <v>3027</v>
      </c>
      <c r="C190" s="354" t="s">
        <v>3028</v>
      </c>
      <c r="D190" s="145">
        <v>44228</v>
      </c>
      <c r="E190" s="146">
        <v>44742</v>
      </c>
      <c r="F190" s="149">
        <v>6.8093385214007776E-2</v>
      </c>
      <c r="G190" s="354">
        <v>37317.5</v>
      </c>
      <c r="H190" s="354">
        <v>37317.5</v>
      </c>
      <c r="I190" s="358">
        <v>2684.5</v>
      </c>
      <c r="J190" s="352">
        <f t="shared" si="15"/>
        <v>7.1936758893280633E-2</v>
      </c>
      <c r="M190" s="74">
        <f t="shared" si="16"/>
        <v>514</v>
      </c>
      <c r="N190" s="146">
        <v>44255</v>
      </c>
      <c r="O190" s="74">
        <f t="shared" si="17"/>
        <v>487</v>
      </c>
      <c r="P190" s="353">
        <f t="shared" si="18"/>
        <v>5.2529182879377433E-2</v>
      </c>
    </row>
    <row r="191" spans="1:16" ht="18.75" customHeight="1">
      <c r="A191" s="739">
        <f t="shared" si="19"/>
        <v>143</v>
      </c>
      <c r="B191" s="357" t="s">
        <v>3029</v>
      </c>
      <c r="C191" s="354" t="s">
        <v>3030</v>
      </c>
      <c r="D191" s="145">
        <v>44044</v>
      </c>
      <c r="E191" s="146">
        <v>44561</v>
      </c>
      <c r="F191" s="149">
        <v>0.42553191489361702</v>
      </c>
      <c r="G191" s="354">
        <v>118753</v>
      </c>
      <c r="H191" s="354">
        <v>118753</v>
      </c>
      <c r="I191" s="358">
        <v>73753</v>
      </c>
      <c r="J191" s="352">
        <f t="shared" si="15"/>
        <v>0.62106220474430118</v>
      </c>
      <c r="M191" s="74">
        <f t="shared" si="16"/>
        <v>517</v>
      </c>
      <c r="N191" s="146">
        <v>44255</v>
      </c>
      <c r="O191" s="74">
        <f t="shared" si="17"/>
        <v>306</v>
      </c>
      <c r="P191" s="353">
        <f t="shared" si="18"/>
        <v>0.40812379110251451</v>
      </c>
    </row>
    <row r="192" spans="1:16" ht="18.75" customHeight="1">
      <c r="A192" s="739">
        <f t="shared" si="19"/>
        <v>144</v>
      </c>
      <c r="B192" s="357" t="s">
        <v>3031</v>
      </c>
      <c r="C192" s="354" t="s">
        <v>3032</v>
      </c>
      <c r="D192" s="145">
        <v>44197</v>
      </c>
      <c r="E192" s="146">
        <v>44561</v>
      </c>
      <c r="F192" s="149">
        <v>0.18681318681318682</v>
      </c>
      <c r="G192" s="354">
        <v>4158</v>
      </c>
      <c r="H192" s="354">
        <v>4158</v>
      </c>
      <c r="I192" s="358">
        <v>693</v>
      </c>
      <c r="J192" s="352">
        <f t="shared" si="15"/>
        <v>0.16666666666666666</v>
      </c>
      <c r="M192" s="74">
        <f t="shared" si="16"/>
        <v>364</v>
      </c>
      <c r="N192" s="146">
        <v>44255</v>
      </c>
      <c r="O192" s="74">
        <f t="shared" si="17"/>
        <v>306</v>
      </c>
      <c r="P192" s="353">
        <f t="shared" si="18"/>
        <v>0.15934065934065933</v>
      </c>
    </row>
    <row r="193" spans="1:16" ht="18.75" customHeight="1">
      <c r="A193" s="739">
        <f t="shared" si="19"/>
        <v>145</v>
      </c>
      <c r="B193" s="357" t="s">
        <v>3033</v>
      </c>
      <c r="C193" s="354" t="s">
        <v>3034</v>
      </c>
      <c r="D193" s="145">
        <v>44197</v>
      </c>
      <c r="E193" s="146">
        <v>44561</v>
      </c>
      <c r="F193" s="149">
        <v>0.18956043956043955</v>
      </c>
      <c r="G193" s="354">
        <v>4455</v>
      </c>
      <c r="H193" s="354">
        <v>4455</v>
      </c>
      <c r="I193" s="358">
        <v>742.5</v>
      </c>
      <c r="J193" s="352">
        <f t="shared" si="15"/>
        <v>0.16666666666666666</v>
      </c>
      <c r="M193" s="74">
        <f t="shared" si="16"/>
        <v>364</v>
      </c>
      <c r="N193" s="146">
        <v>44255</v>
      </c>
      <c r="O193" s="74">
        <f t="shared" si="17"/>
        <v>306</v>
      </c>
      <c r="P193" s="353">
        <f t="shared" si="18"/>
        <v>0.15934065934065933</v>
      </c>
    </row>
    <row r="194" spans="1:16" ht="18.75" customHeight="1">
      <c r="A194" s="739">
        <f t="shared" si="19"/>
        <v>146</v>
      </c>
      <c r="B194" s="357" t="s">
        <v>3035</v>
      </c>
      <c r="C194" s="354" t="s">
        <v>3036</v>
      </c>
      <c r="D194" s="145">
        <v>44197</v>
      </c>
      <c r="E194" s="146">
        <v>44926</v>
      </c>
      <c r="F194" s="149">
        <v>9.6021947873799723E-2</v>
      </c>
      <c r="G194" s="354">
        <v>2566500</v>
      </c>
      <c r="H194" s="354">
        <v>2566500</v>
      </c>
      <c r="I194" s="358">
        <v>98333.34</v>
      </c>
      <c r="J194" s="352">
        <f t="shared" si="15"/>
        <v>3.8314178842781994E-2</v>
      </c>
      <c r="M194" s="74">
        <f t="shared" si="16"/>
        <v>729</v>
      </c>
      <c r="N194" s="146">
        <v>44255</v>
      </c>
      <c r="O194" s="74">
        <f t="shared" si="17"/>
        <v>671</v>
      </c>
      <c r="P194" s="353">
        <f t="shared" si="18"/>
        <v>7.956104252400549E-2</v>
      </c>
    </row>
    <row r="195" spans="1:16" ht="18.75" customHeight="1">
      <c r="A195" s="739">
        <f t="shared" si="19"/>
        <v>147</v>
      </c>
      <c r="B195" s="357" t="s">
        <v>2587</v>
      </c>
      <c r="C195" s="354" t="s">
        <v>3037</v>
      </c>
      <c r="D195" s="145">
        <v>42583</v>
      </c>
      <c r="E195" s="146">
        <v>46022</v>
      </c>
      <c r="F195" s="149">
        <v>0.4899680139575458</v>
      </c>
      <c r="G195" s="354">
        <v>2120249.84</v>
      </c>
      <c r="H195" s="354">
        <v>500628.2</v>
      </c>
      <c r="I195" s="358">
        <v>500628.2</v>
      </c>
      <c r="J195" s="352">
        <f t="shared" si="15"/>
        <v>1</v>
      </c>
      <c r="M195" s="74">
        <f t="shared" si="16"/>
        <v>3439</v>
      </c>
      <c r="N195" s="146">
        <v>44255</v>
      </c>
      <c r="O195" s="74">
        <f t="shared" si="17"/>
        <v>1767</v>
      </c>
      <c r="P195" s="353">
        <f t="shared" si="18"/>
        <v>0.48618784530386738</v>
      </c>
    </row>
    <row r="196" spans="1:16" ht="18.75" customHeight="1">
      <c r="A196" s="739">
        <f t="shared" si="19"/>
        <v>148</v>
      </c>
      <c r="B196" s="357" t="s">
        <v>3038</v>
      </c>
      <c r="C196" s="354" t="s">
        <v>3039</v>
      </c>
      <c r="D196" s="145">
        <v>43678</v>
      </c>
      <c r="E196" s="146">
        <v>44439</v>
      </c>
      <c r="F196" s="149">
        <v>0.77660972404730622</v>
      </c>
      <c r="G196" s="354">
        <v>171687.11</v>
      </c>
      <c r="H196" s="354">
        <v>171687.11</v>
      </c>
      <c r="I196" s="358">
        <v>173550.07</v>
      </c>
      <c r="J196" s="352">
        <f t="shared" si="15"/>
        <v>1.010850901969286</v>
      </c>
      <c r="M196" s="74">
        <f t="shared" si="16"/>
        <v>761</v>
      </c>
      <c r="N196" s="146">
        <v>44255</v>
      </c>
      <c r="O196" s="74">
        <f t="shared" si="17"/>
        <v>184</v>
      </c>
      <c r="P196" s="353">
        <f t="shared" si="18"/>
        <v>0.75821287779237845</v>
      </c>
    </row>
    <row r="197" spans="1:16" ht="18.75" customHeight="1">
      <c r="A197" s="739">
        <f t="shared" si="19"/>
        <v>149</v>
      </c>
      <c r="B197" s="357" t="s">
        <v>3040</v>
      </c>
      <c r="C197" s="354" t="s">
        <v>3041</v>
      </c>
      <c r="D197" s="145">
        <v>43678</v>
      </c>
      <c r="E197" s="146">
        <v>44561</v>
      </c>
      <c r="F197" s="149">
        <v>0.67044167610419025</v>
      </c>
      <c r="G197" s="354">
        <v>163743.22999999998</v>
      </c>
      <c r="H197" s="354">
        <v>163743.22999999998</v>
      </c>
      <c r="I197" s="358">
        <v>141619.14000000001</v>
      </c>
      <c r="J197" s="352">
        <f t="shared" si="15"/>
        <v>0.864885467325886</v>
      </c>
      <c r="M197" s="74">
        <f t="shared" si="16"/>
        <v>883</v>
      </c>
      <c r="N197" s="146">
        <v>44255</v>
      </c>
      <c r="O197" s="74">
        <f t="shared" si="17"/>
        <v>306</v>
      </c>
      <c r="P197" s="353">
        <f t="shared" si="18"/>
        <v>0.65345413363533411</v>
      </c>
    </row>
    <row r="198" spans="1:16" ht="18.75" customHeight="1">
      <c r="A198" s="739">
        <f t="shared" si="19"/>
        <v>150</v>
      </c>
      <c r="B198" s="357" t="s">
        <v>3042</v>
      </c>
      <c r="C198" s="354" t="s">
        <v>3043</v>
      </c>
      <c r="D198" s="145">
        <v>43678</v>
      </c>
      <c r="E198" s="146">
        <v>44926</v>
      </c>
      <c r="F198" s="149">
        <v>0.47516025641025639</v>
      </c>
      <c r="G198" s="354">
        <v>626492.19999999995</v>
      </c>
      <c r="H198" s="354">
        <v>626492.19999999995</v>
      </c>
      <c r="I198" s="358">
        <v>157115.48000000001</v>
      </c>
      <c r="J198" s="352">
        <f t="shared" si="15"/>
        <v>0.25078601138210505</v>
      </c>
      <c r="M198" s="74">
        <f t="shared" si="16"/>
        <v>1248</v>
      </c>
      <c r="N198" s="146">
        <v>44255</v>
      </c>
      <c r="O198" s="74">
        <f t="shared" si="17"/>
        <v>671</v>
      </c>
      <c r="P198" s="353">
        <f t="shared" si="18"/>
        <v>0.46233974358974361</v>
      </c>
    </row>
    <row r="199" spans="1:16" ht="18.75" customHeight="1">
      <c r="A199" s="739">
        <f t="shared" si="19"/>
        <v>151</v>
      </c>
      <c r="B199" s="357" t="s">
        <v>3044</v>
      </c>
      <c r="C199" s="354" t="s">
        <v>3045</v>
      </c>
      <c r="D199" s="145">
        <v>43678</v>
      </c>
      <c r="E199" s="146">
        <v>44926</v>
      </c>
      <c r="F199" s="149">
        <v>0.47596153846153844</v>
      </c>
      <c r="G199" s="354">
        <v>220181.27000000002</v>
      </c>
      <c r="H199" s="354">
        <v>220181.27000000002</v>
      </c>
      <c r="I199" s="358">
        <v>77920.150000000009</v>
      </c>
      <c r="J199" s="352">
        <f t="shared" si="15"/>
        <v>0.35389090997613015</v>
      </c>
      <c r="M199" s="74">
        <f t="shared" si="16"/>
        <v>1248</v>
      </c>
      <c r="N199" s="146">
        <v>44255</v>
      </c>
      <c r="O199" s="74">
        <f t="shared" si="17"/>
        <v>671</v>
      </c>
      <c r="P199" s="353">
        <f t="shared" si="18"/>
        <v>0.46233974358974361</v>
      </c>
    </row>
    <row r="200" spans="1:16" ht="18.75" customHeight="1">
      <c r="A200" s="739">
        <f t="shared" si="19"/>
        <v>152</v>
      </c>
      <c r="B200" s="357" t="s">
        <v>3046</v>
      </c>
      <c r="C200" s="354" t="s">
        <v>3047</v>
      </c>
      <c r="D200" s="145">
        <v>44166</v>
      </c>
      <c r="E200" s="146">
        <v>44561</v>
      </c>
      <c r="F200" s="149">
        <v>0.27088607594936709</v>
      </c>
      <c r="G200" s="354">
        <v>463630.56</v>
      </c>
      <c r="H200" s="354">
        <v>258500</v>
      </c>
      <c r="I200" s="358">
        <v>23500</v>
      </c>
      <c r="J200" s="352">
        <f t="shared" si="15"/>
        <v>9.0909090909090912E-2</v>
      </c>
      <c r="M200" s="74">
        <f t="shared" si="16"/>
        <v>395</v>
      </c>
      <c r="N200" s="146">
        <v>44255</v>
      </c>
      <c r="O200" s="74">
        <f t="shared" si="17"/>
        <v>306</v>
      </c>
      <c r="P200" s="353">
        <f t="shared" si="18"/>
        <v>0.22531645569620254</v>
      </c>
    </row>
    <row r="201" spans="1:16" ht="18.75" customHeight="1">
      <c r="A201" s="739">
        <f t="shared" si="19"/>
        <v>153</v>
      </c>
      <c r="B201" s="357" t="s">
        <v>3048</v>
      </c>
      <c r="C201" s="354" t="s">
        <v>3049</v>
      </c>
      <c r="D201" s="145">
        <v>43586</v>
      </c>
      <c r="E201" s="146">
        <v>44561</v>
      </c>
      <c r="F201" s="149">
        <v>0.7056410256410256</v>
      </c>
      <c r="G201" s="354">
        <v>436999.51</v>
      </c>
      <c r="H201" s="354">
        <v>3430841.66</v>
      </c>
      <c r="I201" s="358">
        <v>3360240.1</v>
      </c>
      <c r="J201" s="352">
        <f t="shared" si="15"/>
        <v>0.97942150440134268</v>
      </c>
      <c r="M201" s="74">
        <f t="shared" si="16"/>
        <v>975</v>
      </c>
      <c r="N201" s="146">
        <v>44255</v>
      </c>
      <c r="O201" s="74">
        <f t="shared" si="17"/>
        <v>306</v>
      </c>
      <c r="P201" s="353">
        <f t="shared" si="18"/>
        <v>0.68615384615384611</v>
      </c>
    </row>
    <row r="202" spans="1:16" ht="18.75" customHeight="1">
      <c r="A202" s="739">
        <f t="shared" si="19"/>
        <v>154</v>
      </c>
      <c r="B202" s="357" t="s">
        <v>2588</v>
      </c>
      <c r="C202" s="354" t="s">
        <v>2589</v>
      </c>
      <c r="D202" s="145">
        <v>43101</v>
      </c>
      <c r="E202" s="146">
        <v>44561</v>
      </c>
      <c r="F202" s="149">
        <v>0.80410958904109586</v>
      </c>
      <c r="G202" s="354">
        <v>1120000.2</v>
      </c>
      <c r="H202" s="354">
        <v>426987.16000000003</v>
      </c>
      <c r="I202" s="358">
        <v>-2.3283064365386963E-10</v>
      </c>
      <c r="J202" s="352">
        <f t="shared" si="15"/>
        <v>-5.4528722515653538E-16</v>
      </c>
      <c r="M202" s="74">
        <f t="shared" si="16"/>
        <v>1460</v>
      </c>
      <c r="N202" s="146">
        <v>44255</v>
      </c>
      <c r="O202" s="74">
        <f t="shared" si="17"/>
        <v>306</v>
      </c>
      <c r="P202" s="353">
        <f t="shared" si="18"/>
        <v>0.79041095890410962</v>
      </c>
    </row>
    <row r="203" spans="1:16" ht="18.75" customHeight="1">
      <c r="A203" s="739">
        <f t="shared" si="19"/>
        <v>155</v>
      </c>
      <c r="B203" s="357" t="s">
        <v>2590</v>
      </c>
      <c r="C203" s="354" t="s">
        <v>2591</v>
      </c>
      <c r="D203" s="145">
        <v>43101</v>
      </c>
      <c r="E203" s="146">
        <v>44196</v>
      </c>
      <c r="F203" s="149">
        <v>1.0730593607305936</v>
      </c>
      <c r="G203" s="354">
        <v>168000</v>
      </c>
      <c r="H203" s="354">
        <v>187171.4</v>
      </c>
      <c r="I203" s="358">
        <v>2.9103830456733704E-11</v>
      </c>
      <c r="J203" s="352">
        <f t="shared" si="15"/>
        <v>1.5549293565541372E-16</v>
      </c>
      <c r="M203" s="74">
        <f t="shared" si="16"/>
        <v>1095</v>
      </c>
      <c r="N203" s="146">
        <v>44255</v>
      </c>
      <c r="O203" s="74">
        <f t="shared" si="17"/>
        <v>-59</v>
      </c>
      <c r="P203" s="353">
        <f t="shared" si="18"/>
        <v>1.0538812785388127</v>
      </c>
    </row>
    <row r="204" spans="1:16" ht="18.75" customHeight="1">
      <c r="A204" s="739">
        <f t="shared" si="19"/>
        <v>156</v>
      </c>
      <c r="B204" s="357" t="s">
        <v>3050</v>
      </c>
      <c r="C204" s="354" t="s">
        <v>3051</v>
      </c>
      <c r="D204" s="145">
        <v>43983</v>
      </c>
      <c r="E204" s="146">
        <v>44561</v>
      </c>
      <c r="F204" s="149">
        <v>0.50865051903114189</v>
      </c>
      <c r="G204" s="354">
        <v>227755.80000000002</v>
      </c>
      <c r="H204" s="354">
        <v>227755.80000000002</v>
      </c>
      <c r="I204" s="358">
        <v>227755.8</v>
      </c>
      <c r="J204" s="352">
        <f t="shared" si="15"/>
        <v>0.99999999999999989</v>
      </c>
      <c r="M204" s="74">
        <f t="shared" si="16"/>
        <v>578</v>
      </c>
      <c r="N204" s="146">
        <v>44255</v>
      </c>
      <c r="O204" s="74">
        <f t="shared" si="17"/>
        <v>306</v>
      </c>
      <c r="P204" s="353">
        <f t="shared" si="18"/>
        <v>0.47058823529411764</v>
      </c>
    </row>
    <row r="205" spans="1:16" ht="18.75" customHeight="1">
      <c r="A205" s="739">
        <f t="shared" si="19"/>
        <v>157</v>
      </c>
      <c r="B205" s="357" t="s">
        <v>3052</v>
      </c>
      <c r="C205" s="354" t="s">
        <v>3053</v>
      </c>
      <c r="D205" s="145">
        <v>43739</v>
      </c>
      <c r="E205" s="146">
        <v>44561</v>
      </c>
      <c r="F205" s="149">
        <v>0.65571776155717765</v>
      </c>
      <c r="G205" s="354">
        <v>9564113.8300000001</v>
      </c>
      <c r="H205" s="354">
        <v>9564113.8300000001</v>
      </c>
      <c r="I205" s="358">
        <v>7852353.2400000002</v>
      </c>
      <c r="J205" s="352">
        <f t="shared" si="15"/>
        <v>0.82102256200353063</v>
      </c>
      <c r="M205" s="74">
        <f t="shared" si="16"/>
        <v>822</v>
      </c>
      <c r="N205" s="146">
        <v>44255</v>
      </c>
      <c r="O205" s="74">
        <f t="shared" si="17"/>
        <v>306</v>
      </c>
      <c r="P205" s="353">
        <f t="shared" si="18"/>
        <v>0.62773722627737227</v>
      </c>
    </row>
    <row r="206" spans="1:16" ht="18.75" customHeight="1">
      <c r="A206" s="739">
        <f t="shared" si="19"/>
        <v>158</v>
      </c>
      <c r="B206" s="357" t="s">
        <v>3054</v>
      </c>
      <c r="C206" s="354" t="s">
        <v>3055</v>
      </c>
      <c r="D206" s="145">
        <v>43831</v>
      </c>
      <c r="E206" s="146">
        <v>44561</v>
      </c>
      <c r="F206" s="149">
        <v>0.61369863013698633</v>
      </c>
      <c r="G206" s="354">
        <v>368000</v>
      </c>
      <c r="H206" s="354">
        <v>187999.98</v>
      </c>
      <c r="I206" s="358">
        <v>187999.98</v>
      </c>
      <c r="J206" s="352">
        <f t="shared" si="15"/>
        <v>1</v>
      </c>
      <c r="M206" s="74">
        <f t="shared" si="16"/>
        <v>730</v>
      </c>
      <c r="N206" s="146">
        <v>44255</v>
      </c>
      <c r="O206" s="74">
        <f t="shared" si="17"/>
        <v>306</v>
      </c>
      <c r="P206" s="353">
        <f t="shared" si="18"/>
        <v>0.58082191780821912</v>
      </c>
    </row>
    <row r="207" spans="1:16" ht="18.75" customHeight="1">
      <c r="A207" s="739">
        <f t="shared" si="19"/>
        <v>159</v>
      </c>
      <c r="B207" s="357" t="s">
        <v>2639</v>
      </c>
      <c r="C207" s="354" t="s">
        <v>3056</v>
      </c>
      <c r="D207" s="145">
        <v>43800</v>
      </c>
      <c r="E207" s="146">
        <v>44561</v>
      </c>
      <c r="F207" s="149">
        <v>0.63074901445466491</v>
      </c>
      <c r="G207" s="354">
        <v>644000.29000000027</v>
      </c>
      <c r="H207" s="354">
        <v>1246301.95</v>
      </c>
      <c r="I207" s="358">
        <v>764027.61</v>
      </c>
      <c r="J207" s="352">
        <f t="shared" si="15"/>
        <v>0.61303571738774865</v>
      </c>
      <c r="M207" s="74">
        <f t="shared" si="16"/>
        <v>761</v>
      </c>
      <c r="N207" s="146">
        <v>44255</v>
      </c>
      <c r="O207" s="74">
        <f t="shared" si="17"/>
        <v>306</v>
      </c>
      <c r="P207" s="353">
        <f t="shared" si="18"/>
        <v>0.59789750328515112</v>
      </c>
    </row>
    <row r="208" spans="1:16" ht="18.75" customHeight="1">
      <c r="A208" s="739">
        <f t="shared" si="19"/>
        <v>160</v>
      </c>
      <c r="B208" s="357" t="s">
        <v>3057</v>
      </c>
      <c r="C208" s="354" t="s">
        <v>3058</v>
      </c>
      <c r="D208" s="145">
        <v>43497</v>
      </c>
      <c r="E208" s="146">
        <v>44196</v>
      </c>
      <c r="F208" s="149">
        <v>1.1216022889842632</v>
      </c>
      <c r="G208" s="354">
        <v>532000</v>
      </c>
      <c r="H208" s="354">
        <v>240822.92</v>
      </c>
      <c r="I208" s="358">
        <v>-5.8207660913467407E-11</v>
      </c>
      <c r="J208" s="352">
        <f t="shared" si="15"/>
        <v>-2.4170316061887882E-16</v>
      </c>
      <c r="M208" s="74">
        <f t="shared" si="16"/>
        <v>699</v>
      </c>
      <c r="N208" s="146">
        <v>44255</v>
      </c>
      <c r="O208" s="74">
        <f t="shared" si="17"/>
        <v>-59</v>
      </c>
      <c r="P208" s="353">
        <f t="shared" si="18"/>
        <v>1.0844062947067239</v>
      </c>
    </row>
    <row r="209" spans="1:16" ht="18.75" customHeight="1">
      <c r="A209" s="739">
        <f t="shared" si="19"/>
        <v>161</v>
      </c>
      <c r="B209" s="357" t="s">
        <v>2640</v>
      </c>
      <c r="C209" s="354" t="s">
        <v>2641</v>
      </c>
      <c r="D209" s="145">
        <v>43800</v>
      </c>
      <c r="E209" s="146">
        <v>44561</v>
      </c>
      <c r="F209" s="149">
        <v>0.63337713534822604</v>
      </c>
      <c r="G209" s="354">
        <v>10381161.629999999</v>
      </c>
      <c r="H209" s="354">
        <v>1722049.98</v>
      </c>
      <c r="I209" s="358">
        <v>578713.30000000005</v>
      </c>
      <c r="J209" s="352">
        <f t="shared" si="15"/>
        <v>0.33606068739073419</v>
      </c>
      <c r="M209" s="74">
        <f t="shared" si="16"/>
        <v>761</v>
      </c>
      <c r="N209" s="146">
        <v>44255</v>
      </c>
      <c r="O209" s="74">
        <f t="shared" si="17"/>
        <v>306</v>
      </c>
      <c r="P209" s="353">
        <f t="shared" si="18"/>
        <v>0.59789750328515112</v>
      </c>
    </row>
    <row r="210" spans="1:16" ht="18.75" customHeight="1">
      <c r="A210" s="739">
        <f t="shared" si="19"/>
        <v>162</v>
      </c>
      <c r="B210" s="357" t="s">
        <v>3059</v>
      </c>
      <c r="C210" s="354" t="s">
        <v>3060</v>
      </c>
      <c r="D210" s="145">
        <v>43983</v>
      </c>
      <c r="E210" s="146">
        <v>44561</v>
      </c>
      <c r="F210" s="149">
        <v>0.51903114186851207</v>
      </c>
      <c r="G210" s="354">
        <v>2193443.2599999998</v>
      </c>
      <c r="H210" s="354">
        <v>4165150.01</v>
      </c>
      <c r="I210" s="358">
        <v>1679150.01</v>
      </c>
      <c r="J210" s="352">
        <f t="shared" si="15"/>
        <v>0.40314274539178002</v>
      </c>
      <c r="M210" s="74">
        <f t="shared" si="16"/>
        <v>578</v>
      </c>
      <c r="N210" s="146">
        <v>44255</v>
      </c>
      <c r="O210" s="74">
        <f t="shared" si="17"/>
        <v>306</v>
      </c>
      <c r="P210" s="353">
        <f t="shared" si="18"/>
        <v>0.47058823529411764</v>
      </c>
    </row>
    <row r="211" spans="1:16" ht="18.75" customHeight="1">
      <c r="A211" s="739">
        <f t="shared" si="19"/>
        <v>163</v>
      </c>
      <c r="B211" s="357" t="s">
        <v>3061</v>
      </c>
      <c r="C211" s="354" t="s">
        <v>3062</v>
      </c>
      <c r="D211" s="145">
        <v>43831</v>
      </c>
      <c r="E211" s="146">
        <v>44196</v>
      </c>
      <c r="F211" s="149">
        <v>1.2410958904109588</v>
      </c>
      <c r="G211" s="354">
        <v>69000.02</v>
      </c>
      <c r="H211" s="354">
        <v>93999.99</v>
      </c>
      <c r="I211" s="358">
        <v>-1.4551915228366852E-11</v>
      </c>
      <c r="J211" s="352">
        <f t="shared" si="15"/>
        <v>-1.5480762528130963E-16</v>
      </c>
      <c r="M211" s="74">
        <f t="shared" si="16"/>
        <v>365</v>
      </c>
      <c r="N211" s="146">
        <v>44255</v>
      </c>
      <c r="O211" s="74">
        <f t="shared" si="17"/>
        <v>-59</v>
      </c>
      <c r="P211" s="353">
        <f t="shared" si="18"/>
        <v>1.1616438356164382</v>
      </c>
    </row>
    <row r="212" spans="1:16" ht="18.75" customHeight="1">
      <c r="A212" s="739">
        <f t="shared" si="19"/>
        <v>164</v>
      </c>
      <c r="B212" s="357" t="s">
        <v>3063</v>
      </c>
      <c r="C212" s="354" t="s">
        <v>3064</v>
      </c>
      <c r="D212" s="145">
        <v>44197</v>
      </c>
      <c r="E212" s="146">
        <v>44926</v>
      </c>
      <c r="F212" s="149">
        <v>0.12071330589849108</v>
      </c>
      <c r="G212" s="354">
        <v>694599.38</v>
      </c>
      <c r="H212" s="354">
        <v>2800000</v>
      </c>
      <c r="I212" s="358">
        <v>31000</v>
      </c>
      <c r="J212" s="352">
        <f t="shared" si="15"/>
        <v>1.1071428571428571E-2</v>
      </c>
      <c r="M212" s="74">
        <f t="shared" si="16"/>
        <v>729</v>
      </c>
      <c r="N212" s="146">
        <v>44255</v>
      </c>
      <c r="O212" s="74">
        <f t="shared" si="17"/>
        <v>671</v>
      </c>
      <c r="P212" s="353">
        <f t="shared" si="18"/>
        <v>7.956104252400549E-2</v>
      </c>
    </row>
    <row r="213" spans="1:16" ht="18.75" customHeight="1">
      <c r="A213" s="739">
        <f t="shared" si="19"/>
        <v>165</v>
      </c>
      <c r="B213" s="357" t="s">
        <v>3065</v>
      </c>
      <c r="C213" s="354" t="s">
        <v>3066</v>
      </c>
      <c r="D213" s="145">
        <v>43831</v>
      </c>
      <c r="E213" s="146">
        <v>44561</v>
      </c>
      <c r="F213" s="149">
        <v>0.62328767123287676</v>
      </c>
      <c r="G213" s="354">
        <v>84000</v>
      </c>
      <c r="H213" s="354">
        <v>261249.97</v>
      </c>
      <c r="I213" s="358">
        <v>137499.99</v>
      </c>
      <c r="J213" s="352">
        <f t="shared" si="15"/>
        <v>0.52631581163435148</v>
      </c>
      <c r="M213" s="74">
        <f t="shared" si="16"/>
        <v>730</v>
      </c>
      <c r="N213" s="146">
        <v>44255</v>
      </c>
      <c r="O213" s="74">
        <f t="shared" si="17"/>
        <v>306</v>
      </c>
      <c r="P213" s="353">
        <f t="shared" si="18"/>
        <v>0.58082191780821912</v>
      </c>
    </row>
    <row r="214" spans="1:16" ht="18.75" customHeight="1">
      <c r="A214" s="739">
        <f t="shared" si="19"/>
        <v>166</v>
      </c>
      <c r="B214" s="357" t="s">
        <v>3067</v>
      </c>
      <c r="C214" s="354" t="s">
        <v>3068</v>
      </c>
      <c r="D214" s="145">
        <v>43466</v>
      </c>
      <c r="E214" s="146">
        <v>44561</v>
      </c>
      <c r="F214" s="149">
        <v>0.74977168949771689</v>
      </c>
      <c r="G214" s="354">
        <v>138000</v>
      </c>
      <c r="H214" s="354">
        <v>529632.68999999994</v>
      </c>
      <c r="I214" s="358">
        <v>192125.65999999997</v>
      </c>
      <c r="J214" s="352">
        <f t="shared" si="15"/>
        <v>0.3627526465558612</v>
      </c>
      <c r="M214" s="74">
        <f t="shared" si="16"/>
        <v>1095</v>
      </c>
      <c r="N214" s="146">
        <v>44255</v>
      </c>
      <c r="O214" s="74">
        <f t="shared" si="17"/>
        <v>306</v>
      </c>
      <c r="P214" s="353">
        <f t="shared" si="18"/>
        <v>0.72054794520547949</v>
      </c>
    </row>
    <row r="215" spans="1:16" ht="18.75" customHeight="1">
      <c r="A215" s="739">
        <f t="shared" si="19"/>
        <v>167</v>
      </c>
      <c r="B215" s="357" t="s">
        <v>2642</v>
      </c>
      <c r="C215" s="354" t="s">
        <v>2643</v>
      </c>
      <c r="D215" s="145">
        <v>43831</v>
      </c>
      <c r="E215" s="146">
        <v>44408</v>
      </c>
      <c r="F215" s="149">
        <v>0.79202772963604851</v>
      </c>
      <c r="G215" s="354">
        <v>112000.1</v>
      </c>
      <c r="H215" s="354">
        <v>170499.99</v>
      </c>
      <c r="I215" s="358">
        <v>117974.99</v>
      </c>
      <c r="J215" s="352">
        <f t="shared" si="15"/>
        <v>0.69193546580266674</v>
      </c>
      <c r="M215" s="74">
        <f t="shared" si="16"/>
        <v>577</v>
      </c>
      <c r="N215" s="146">
        <v>44255</v>
      </c>
      <c r="O215" s="74">
        <f t="shared" si="17"/>
        <v>153</v>
      </c>
      <c r="P215" s="353">
        <f t="shared" si="18"/>
        <v>0.73483535528596189</v>
      </c>
    </row>
    <row r="216" spans="1:16" ht="18.75" customHeight="1">
      <c r="A216" s="739">
        <f t="shared" si="19"/>
        <v>168</v>
      </c>
      <c r="B216" s="357" t="s">
        <v>2644</v>
      </c>
      <c r="C216" s="354" t="s">
        <v>3069</v>
      </c>
      <c r="D216" s="145">
        <v>43983</v>
      </c>
      <c r="E216" s="146">
        <v>44561</v>
      </c>
      <c r="F216" s="149">
        <v>0.52941176470588236</v>
      </c>
      <c r="G216" s="354">
        <v>224000</v>
      </c>
      <c r="H216" s="354">
        <v>182834.25</v>
      </c>
      <c r="I216" s="358">
        <v>2.9103830456733704E-11</v>
      </c>
      <c r="J216" s="352">
        <f t="shared" si="15"/>
        <v>1.5918150158809798E-16</v>
      </c>
      <c r="M216" s="74">
        <f t="shared" si="16"/>
        <v>578</v>
      </c>
      <c r="N216" s="146">
        <v>44255</v>
      </c>
      <c r="O216" s="74">
        <f t="shared" si="17"/>
        <v>306</v>
      </c>
      <c r="P216" s="353">
        <f t="shared" si="18"/>
        <v>0.47058823529411764</v>
      </c>
    </row>
    <row r="217" spans="1:16" ht="18.75" customHeight="1">
      <c r="A217" s="739">
        <f t="shared" si="19"/>
        <v>169</v>
      </c>
      <c r="B217" s="357" t="s">
        <v>3070</v>
      </c>
      <c r="C217" s="354" t="s">
        <v>3071</v>
      </c>
      <c r="D217" s="145">
        <v>43831</v>
      </c>
      <c r="E217" s="146">
        <v>44196</v>
      </c>
      <c r="F217" s="149">
        <v>1.2575342465753425</v>
      </c>
      <c r="G217" s="354">
        <v>120000</v>
      </c>
      <c r="H217" s="354">
        <v>117500.14</v>
      </c>
      <c r="I217" s="358">
        <v>-1.4551915228366852E-11</v>
      </c>
      <c r="J217" s="352">
        <f t="shared" si="15"/>
        <v>-1.2384593948881125E-16</v>
      </c>
      <c r="M217" s="74">
        <f t="shared" si="16"/>
        <v>365</v>
      </c>
      <c r="N217" s="146">
        <v>44255</v>
      </c>
      <c r="O217" s="74">
        <f t="shared" si="17"/>
        <v>-59</v>
      </c>
      <c r="P217" s="353">
        <f t="shared" si="18"/>
        <v>1.1616438356164382</v>
      </c>
    </row>
    <row r="218" spans="1:16" ht="18.75" customHeight="1">
      <c r="A218" s="739">
        <f t="shared" si="19"/>
        <v>170</v>
      </c>
      <c r="B218" s="357" t="s">
        <v>3072</v>
      </c>
      <c r="C218" s="354" t="s">
        <v>3073</v>
      </c>
      <c r="D218" s="145">
        <v>44197</v>
      </c>
      <c r="E218" s="146">
        <v>44834</v>
      </c>
      <c r="F218" s="149">
        <v>0.14756671899529042</v>
      </c>
      <c r="G218" s="354">
        <v>334650.42</v>
      </c>
      <c r="H218" s="354">
        <v>235000.04</v>
      </c>
      <c r="I218" s="358">
        <v>98700.02</v>
      </c>
      <c r="J218" s="352">
        <f t="shared" si="15"/>
        <v>0.42000001361701894</v>
      </c>
      <c r="M218" s="74">
        <f t="shared" si="16"/>
        <v>637</v>
      </c>
      <c r="N218" s="146">
        <v>44255</v>
      </c>
      <c r="O218" s="74">
        <f t="shared" si="17"/>
        <v>579</v>
      </c>
      <c r="P218" s="353">
        <f t="shared" si="18"/>
        <v>9.1051805337519623E-2</v>
      </c>
    </row>
    <row r="219" spans="1:16" ht="18.75" customHeight="1">
      <c r="A219" s="739">
        <f t="shared" si="19"/>
        <v>171</v>
      </c>
      <c r="B219" s="357" t="s">
        <v>3074</v>
      </c>
      <c r="C219" s="354" t="s">
        <v>3075</v>
      </c>
      <c r="D219" s="145">
        <v>44197</v>
      </c>
      <c r="E219" s="146">
        <v>44561</v>
      </c>
      <c r="F219" s="149">
        <v>0.26098901098901101</v>
      </c>
      <c r="G219" s="354">
        <v>57499.13</v>
      </c>
      <c r="H219" s="354">
        <v>94000</v>
      </c>
      <c r="I219" s="358">
        <v>5640</v>
      </c>
      <c r="J219" s="352">
        <f t="shared" si="15"/>
        <v>0.06</v>
      </c>
      <c r="M219" s="74">
        <f t="shared" si="16"/>
        <v>364</v>
      </c>
      <c r="N219" s="146">
        <v>44255</v>
      </c>
      <c r="O219" s="74">
        <f t="shared" si="17"/>
        <v>306</v>
      </c>
      <c r="P219" s="353">
        <f t="shared" si="18"/>
        <v>0.15934065934065933</v>
      </c>
    </row>
    <row r="220" spans="1:16" ht="18.75" customHeight="1">
      <c r="A220" s="739">
        <f t="shared" si="19"/>
        <v>172</v>
      </c>
      <c r="B220" s="357" t="s">
        <v>3076</v>
      </c>
      <c r="C220" s="354" t="s">
        <v>3077</v>
      </c>
      <c r="D220" s="145">
        <v>44197</v>
      </c>
      <c r="E220" s="146">
        <v>44561</v>
      </c>
      <c r="F220" s="149">
        <v>0.26373626373626374</v>
      </c>
      <c r="G220" s="354">
        <v>115000.32000000001</v>
      </c>
      <c r="H220" s="354">
        <v>47114.16</v>
      </c>
      <c r="I220" s="358">
        <v>7067.13</v>
      </c>
      <c r="J220" s="352">
        <f t="shared" si="15"/>
        <v>0.15000012735024884</v>
      </c>
      <c r="M220" s="74">
        <f t="shared" si="16"/>
        <v>364</v>
      </c>
      <c r="N220" s="146">
        <v>44255</v>
      </c>
      <c r="O220" s="74">
        <f t="shared" si="17"/>
        <v>306</v>
      </c>
      <c r="P220" s="353">
        <f t="shared" si="18"/>
        <v>0.15934065934065933</v>
      </c>
    </row>
    <row r="221" spans="1:16" ht="18.75" customHeight="1">
      <c r="A221" s="739">
        <f t="shared" si="19"/>
        <v>173</v>
      </c>
      <c r="B221" s="357" t="s">
        <v>3078</v>
      </c>
      <c r="C221" s="354" t="s">
        <v>3079</v>
      </c>
      <c r="D221" s="145">
        <v>44197</v>
      </c>
      <c r="E221" s="146">
        <v>44561</v>
      </c>
      <c r="F221" s="149">
        <v>0.26648351648351648</v>
      </c>
      <c r="G221" s="354">
        <v>207000.72</v>
      </c>
      <c r="H221" s="354">
        <v>113942.25</v>
      </c>
      <c r="I221" s="358">
        <v>14242.78</v>
      </c>
      <c r="J221" s="352">
        <f t="shared" si="15"/>
        <v>0.12499998902953031</v>
      </c>
      <c r="M221" s="74">
        <f t="shared" si="16"/>
        <v>364</v>
      </c>
      <c r="N221" s="146">
        <v>44255</v>
      </c>
      <c r="O221" s="74">
        <f t="shared" si="17"/>
        <v>306</v>
      </c>
      <c r="P221" s="353">
        <f t="shared" si="18"/>
        <v>0.15934065934065933</v>
      </c>
    </row>
    <row r="222" spans="1:16" ht="18.75" customHeight="1">
      <c r="A222" s="739">
        <f t="shared" si="19"/>
        <v>174</v>
      </c>
      <c r="B222" s="357" t="s">
        <v>3080</v>
      </c>
      <c r="C222" s="354" t="s">
        <v>3081</v>
      </c>
      <c r="D222" s="145">
        <v>44197</v>
      </c>
      <c r="E222" s="146">
        <v>44561</v>
      </c>
      <c r="F222" s="149">
        <v>0.26923076923076922</v>
      </c>
      <c r="G222" s="354">
        <v>114999.35</v>
      </c>
      <c r="H222" s="354">
        <v>250000</v>
      </c>
      <c r="I222" s="358">
        <v>20000</v>
      </c>
      <c r="J222" s="352">
        <f t="shared" si="15"/>
        <v>0.08</v>
      </c>
      <c r="M222" s="74">
        <f t="shared" si="16"/>
        <v>364</v>
      </c>
      <c r="N222" s="146">
        <v>44255</v>
      </c>
      <c r="O222" s="74">
        <f t="shared" si="17"/>
        <v>306</v>
      </c>
      <c r="P222" s="353">
        <f t="shared" si="18"/>
        <v>0.15934065934065933</v>
      </c>
    </row>
    <row r="223" spans="1:16" ht="18.75" customHeight="1">
      <c r="A223" s="739">
        <f t="shared" si="19"/>
        <v>175</v>
      </c>
      <c r="B223" s="357" t="s">
        <v>3082</v>
      </c>
      <c r="C223" s="354" t="s">
        <v>3083</v>
      </c>
      <c r="D223" s="145">
        <v>44197</v>
      </c>
      <c r="E223" s="146">
        <v>44561</v>
      </c>
      <c r="F223" s="149">
        <v>0.27197802197802196</v>
      </c>
      <c r="G223" s="354">
        <v>73600</v>
      </c>
      <c r="H223" s="354">
        <v>75315.56</v>
      </c>
      <c r="I223" s="358">
        <v>12552.24</v>
      </c>
      <c r="J223" s="352">
        <f t="shared" si="15"/>
        <v>0.1666619752943482</v>
      </c>
      <c r="M223" s="74">
        <f t="shared" si="16"/>
        <v>364</v>
      </c>
      <c r="N223" s="146">
        <v>44255</v>
      </c>
      <c r="O223" s="74">
        <f t="shared" si="17"/>
        <v>306</v>
      </c>
      <c r="P223" s="353">
        <f t="shared" si="18"/>
        <v>0.15934065934065933</v>
      </c>
    </row>
    <row r="224" spans="1:16" ht="18.75" customHeight="1">
      <c r="A224" s="739">
        <f t="shared" si="19"/>
        <v>176</v>
      </c>
      <c r="B224" s="357" t="s">
        <v>3084</v>
      </c>
      <c r="C224" s="354" t="s">
        <v>3085</v>
      </c>
      <c r="D224" s="145">
        <v>44197</v>
      </c>
      <c r="E224" s="146">
        <v>44561</v>
      </c>
      <c r="F224" s="149">
        <v>0.27472527472527475</v>
      </c>
      <c r="G224" s="354">
        <v>47840</v>
      </c>
      <c r="H224" s="354">
        <v>49820</v>
      </c>
      <c r="I224" s="358">
        <v>4230</v>
      </c>
      <c r="J224" s="352">
        <f t="shared" si="15"/>
        <v>8.4905660377358486E-2</v>
      </c>
      <c r="M224" s="74">
        <f t="shared" si="16"/>
        <v>364</v>
      </c>
      <c r="N224" s="146">
        <v>44255</v>
      </c>
      <c r="O224" s="74">
        <f t="shared" si="17"/>
        <v>306</v>
      </c>
      <c r="P224" s="353">
        <f t="shared" si="18"/>
        <v>0.15934065934065933</v>
      </c>
    </row>
    <row r="225" spans="1:16" ht="19.5" customHeight="1">
      <c r="A225" s="809" t="str">
        <f>$A$1</f>
        <v>KENTUCKY UTILITIES COMPANY</v>
      </c>
      <c r="B225" s="809"/>
      <c r="C225" s="809"/>
      <c r="D225" s="809"/>
      <c r="E225" s="809"/>
      <c r="F225" s="809"/>
      <c r="G225" s="809"/>
      <c r="H225" s="809"/>
      <c r="I225" s="809"/>
      <c r="J225" s="809"/>
      <c r="K225" s="359"/>
      <c r="L225" s="359"/>
      <c r="M225" s="359"/>
      <c r="N225" s="359"/>
      <c r="O225" s="359"/>
      <c r="P225" s="359"/>
    </row>
    <row r="226" spans="1:16" ht="19.5" customHeight="1">
      <c r="A226" s="809" t="str">
        <f>$A$2</f>
        <v>CASE NO. 2020-00349</v>
      </c>
      <c r="B226" s="809"/>
      <c r="C226" s="809"/>
      <c r="D226" s="809"/>
      <c r="E226" s="809"/>
      <c r="F226" s="809"/>
      <c r="G226" s="809"/>
      <c r="H226" s="809"/>
      <c r="I226" s="809"/>
      <c r="J226" s="809"/>
      <c r="K226" s="359"/>
      <c r="L226" s="359"/>
      <c r="M226" s="359"/>
      <c r="N226" s="359"/>
      <c r="O226" s="359"/>
      <c r="P226" s="359"/>
    </row>
    <row r="227" spans="1:16" ht="19.5" customHeight="1">
      <c r="A227" s="809" t="s">
        <v>1216</v>
      </c>
      <c r="B227" s="809"/>
      <c r="C227" s="809"/>
      <c r="D227" s="809"/>
      <c r="E227" s="809"/>
      <c r="F227" s="809"/>
      <c r="G227" s="809"/>
      <c r="H227" s="809"/>
      <c r="I227" s="809"/>
      <c r="J227" s="809"/>
      <c r="K227" s="359"/>
      <c r="L227" s="359"/>
      <c r="M227" s="359"/>
      <c r="N227" s="359"/>
      <c r="O227" s="359"/>
      <c r="P227" s="359"/>
    </row>
    <row r="228" spans="1:16" ht="19.5" customHeight="1">
      <c r="A228" s="809" t="str">
        <f>$A$4</f>
        <v>AS OF FEBRUARY 28, 2021</v>
      </c>
      <c r="B228" s="809"/>
      <c r="C228" s="809"/>
      <c r="D228" s="809"/>
      <c r="E228" s="809"/>
      <c r="F228" s="809"/>
      <c r="G228" s="809"/>
      <c r="H228" s="809"/>
      <c r="I228" s="809"/>
      <c r="J228" s="809"/>
      <c r="K228" s="359"/>
      <c r="L228" s="359"/>
      <c r="M228" s="359"/>
      <c r="N228" s="359"/>
      <c r="O228" s="359"/>
      <c r="P228" s="359"/>
    </row>
    <row r="229" spans="1:16" ht="19.5" customHeight="1">
      <c r="A229" s="737"/>
      <c r="B229" s="737"/>
      <c r="C229" s="737"/>
      <c r="D229" s="737"/>
      <c r="E229" s="737"/>
      <c r="F229" s="737"/>
      <c r="G229" s="737"/>
      <c r="H229" s="737"/>
      <c r="I229" s="737"/>
      <c r="J229" s="737"/>
      <c r="K229" s="359"/>
      <c r="L229" s="359"/>
      <c r="M229" s="359"/>
      <c r="N229" s="359"/>
      <c r="O229" s="359"/>
      <c r="P229" s="359"/>
    </row>
    <row r="230" spans="1:16" ht="19.5" customHeight="1">
      <c r="A230" s="67" t="str">
        <f>$A$6</f>
        <v>DATA:__X__BASE  PERIOD____FORECASTED  PERIOD</v>
      </c>
      <c r="B230" s="738"/>
      <c r="G230" s="74"/>
      <c r="H230" s="74"/>
      <c r="I230" s="74"/>
      <c r="J230" s="74" t="s">
        <v>1709</v>
      </c>
      <c r="K230" s="359"/>
      <c r="L230" s="359"/>
      <c r="M230" s="359"/>
      <c r="N230" s="359"/>
      <c r="O230" s="359"/>
      <c r="P230" s="359"/>
    </row>
    <row r="231" spans="1:16" ht="19.5" customHeight="1">
      <c r="A231" s="67" t="str">
        <f>$A$7</f>
        <v>TYPE OF FILING: __X__ ORIGINAL  _____ UPDATED  _____ REVISED</v>
      </c>
      <c r="B231" s="739"/>
      <c r="G231" s="74"/>
      <c r="H231" s="74"/>
      <c r="I231" s="74"/>
      <c r="J231" s="74" t="s">
        <v>3741</v>
      </c>
      <c r="K231" s="359"/>
      <c r="L231" s="359"/>
      <c r="M231" s="359"/>
      <c r="N231" s="359"/>
      <c r="O231" s="359"/>
      <c r="P231" s="359"/>
    </row>
    <row r="232" spans="1:16" ht="19.5" customHeight="1">
      <c r="A232" s="67" t="str">
        <f>$A$8</f>
        <v>WORKPAPER REFERENCE NO(S).:</v>
      </c>
      <c r="B232" s="738"/>
      <c r="F232" s="67"/>
      <c r="G232" s="75"/>
      <c r="H232" s="75"/>
      <c r="I232" s="75"/>
      <c r="J232" s="75" t="str">
        <f>$J$8</f>
        <v>WITNESS:   C. M. GARRETT</v>
      </c>
      <c r="K232" s="359"/>
      <c r="L232" s="359"/>
      <c r="M232" s="359"/>
      <c r="N232" s="359"/>
      <c r="O232" s="359"/>
      <c r="P232" s="359"/>
    </row>
    <row r="233" spans="1:16" ht="19.5" customHeight="1">
      <c r="B233" s="739"/>
      <c r="K233" s="359"/>
      <c r="L233" s="359"/>
      <c r="M233" s="359"/>
      <c r="N233" s="359"/>
      <c r="O233" s="359"/>
      <c r="P233" s="359"/>
    </row>
    <row r="234" spans="1:16" ht="60" customHeight="1">
      <c r="A234" s="76" t="s">
        <v>131</v>
      </c>
      <c r="B234" s="76" t="s">
        <v>1219</v>
      </c>
      <c r="C234" s="76" t="s">
        <v>1220</v>
      </c>
      <c r="D234" s="142" t="s">
        <v>1222</v>
      </c>
      <c r="E234" s="142" t="s">
        <v>1223</v>
      </c>
      <c r="F234" s="76" t="s">
        <v>1224</v>
      </c>
      <c r="G234" s="76" t="s">
        <v>1225</v>
      </c>
      <c r="H234" s="76" t="s">
        <v>1226</v>
      </c>
      <c r="I234" s="76" t="s">
        <v>1227</v>
      </c>
      <c r="J234" s="76" t="s">
        <v>1228</v>
      </c>
      <c r="K234" s="359"/>
      <c r="L234" s="359"/>
      <c r="M234" s="360" t="s">
        <v>1236</v>
      </c>
      <c r="N234" s="360" t="s">
        <v>1237</v>
      </c>
      <c r="O234" s="360" t="s">
        <v>1238</v>
      </c>
      <c r="P234" s="360" t="s">
        <v>1224</v>
      </c>
    </row>
    <row r="235" spans="1:16" ht="18.75" customHeight="1">
      <c r="A235" s="80" t="s">
        <v>1217</v>
      </c>
      <c r="B235" s="80" t="s">
        <v>1218</v>
      </c>
      <c r="C235" s="80" t="s">
        <v>1221</v>
      </c>
      <c r="D235" s="355" t="s">
        <v>1229</v>
      </c>
      <c r="E235" s="355" t="s">
        <v>1230</v>
      </c>
      <c r="F235" s="356" t="s">
        <v>1231</v>
      </c>
      <c r="G235" s="356" t="s">
        <v>1232</v>
      </c>
      <c r="H235" s="356" t="s">
        <v>1233</v>
      </c>
      <c r="I235" s="356" t="s">
        <v>1234</v>
      </c>
      <c r="J235" s="356" t="s">
        <v>1235</v>
      </c>
      <c r="K235" s="359"/>
      <c r="L235" s="359"/>
      <c r="M235" s="359"/>
      <c r="N235" s="359"/>
      <c r="O235" s="359"/>
      <c r="P235" s="359"/>
    </row>
    <row r="236" spans="1:16" ht="18.7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  <c r="K236" s="359"/>
      <c r="L236" s="359"/>
      <c r="M236" s="359"/>
      <c r="N236" s="359"/>
      <c r="O236" s="359"/>
      <c r="P236" s="359"/>
    </row>
    <row r="237" spans="1:16" ht="18.75" customHeight="1">
      <c r="A237" s="739">
        <f>A224+1</f>
        <v>177</v>
      </c>
      <c r="B237" s="357" t="s">
        <v>3086</v>
      </c>
      <c r="C237" s="354" t="s">
        <v>3087</v>
      </c>
      <c r="D237" s="145">
        <v>44197</v>
      </c>
      <c r="E237" s="146">
        <v>44561</v>
      </c>
      <c r="F237" s="149">
        <v>0.27747252747252749</v>
      </c>
      <c r="G237" s="354">
        <v>207000</v>
      </c>
      <c r="H237" s="354">
        <v>282000</v>
      </c>
      <c r="I237" s="358">
        <v>282000</v>
      </c>
      <c r="J237" s="352">
        <f t="shared" ref="J237:J280" si="20">I237/H237</f>
        <v>1</v>
      </c>
      <c r="M237" s="74">
        <f t="shared" ref="M237:M280" si="21">E237-D237</f>
        <v>364</v>
      </c>
      <c r="N237" s="146">
        <v>44255</v>
      </c>
      <c r="O237" s="74">
        <f t="shared" ref="O237:O280" si="22">E237-N237</f>
        <v>306</v>
      </c>
      <c r="P237" s="353">
        <f t="shared" ref="P237:P280" si="23">(M237-O237)/M237</f>
        <v>0.15934065934065933</v>
      </c>
    </row>
    <row r="238" spans="1:16" ht="18.75" customHeight="1">
      <c r="A238" s="739">
        <f t="shared" ref="A238:A280" si="24">A237+1</f>
        <v>178</v>
      </c>
      <c r="B238" s="357" t="s">
        <v>3088</v>
      </c>
      <c r="C238" s="354" t="s">
        <v>3089</v>
      </c>
      <c r="D238" s="145">
        <v>44197</v>
      </c>
      <c r="E238" s="146">
        <v>44561</v>
      </c>
      <c r="F238" s="149">
        <v>0.28021978021978022</v>
      </c>
      <c r="G238" s="354">
        <v>68999.039999999994</v>
      </c>
      <c r="H238" s="354">
        <v>94000</v>
      </c>
      <c r="I238" s="358">
        <v>7050</v>
      </c>
      <c r="J238" s="352">
        <f t="shared" si="20"/>
        <v>7.4999999999999997E-2</v>
      </c>
      <c r="M238" s="74">
        <f t="shared" si="21"/>
        <v>364</v>
      </c>
      <c r="N238" s="146">
        <v>44255</v>
      </c>
      <c r="O238" s="74">
        <f t="shared" si="22"/>
        <v>306</v>
      </c>
      <c r="P238" s="353">
        <f t="shared" si="23"/>
        <v>0.15934065934065933</v>
      </c>
    </row>
    <row r="239" spans="1:16" ht="18.75" customHeight="1">
      <c r="A239" s="739">
        <f t="shared" si="24"/>
        <v>179</v>
      </c>
      <c r="B239" s="357" t="s">
        <v>3090</v>
      </c>
      <c r="C239" s="354" t="s">
        <v>3091</v>
      </c>
      <c r="D239" s="145">
        <v>44197</v>
      </c>
      <c r="E239" s="146">
        <v>44561</v>
      </c>
      <c r="F239" s="149">
        <v>0.28296703296703296</v>
      </c>
      <c r="G239" s="354">
        <v>57500</v>
      </c>
      <c r="H239" s="354">
        <v>58750</v>
      </c>
      <c r="I239" s="358">
        <v>2820</v>
      </c>
      <c r="J239" s="352">
        <f t="shared" si="20"/>
        <v>4.8000000000000001E-2</v>
      </c>
      <c r="M239" s="74">
        <f t="shared" si="21"/>
        <v>364</v>
      </c>
      <c r="N239" s="146">
        <v>44255</v>
      </c>
      <c r="O239" s="74">
        <f t="shared" si="22"/>
        <v>306</v>
      </c>
      <c r="P239" s="353">
        <f t="shared" si="23"/>
        <v>0.15934065934065933</v>
      </c>
    </row>
    <row r="240" spans="1:16" ht="18.75" customHeight="1">
      <c r="A240" s="739">
        <f t="shared" si="24"/>
        <v>180</v>
      </c>
      <c r="B240" s="357" t="s">
        <v>3092</v>
      </c>
      <c r="C240" s="354" t="s">
        <v>3093</v>
      </c>
      <c r="D240" s="145">
        <v>44197</v>
      </c>
      <c r="E240" s="146">
        <v>44561</v>
      </c>
      <c r="F240" s="149">
        <v>0.2857142857142857</v>
      </c>
      <c r="G240" s="354">
        <v>91999.039999999994</v>
      </c>
      <c r="H240" s="354">
        <v>141000</v>
      </c>
      <c r="I240" s="358">
        <v>4700</v>
      </c>
      <c r="J240" s="352">
        <f t="shared" si="20"/>
        <v>3.3333333333333333E-2</v>
      </c>
      <c r="M240" s="74">
        <f t="shared" si="21"/>
        <v>364</v>
      </c>
      <c r="N240" s="146">
        <v>44255</v>
      </c>
      <c r="O240" s="74">
        <f t="shared" si="22"/>
        <v>306</v>
      </c>
      <c r="P240" s="353">
        <f t="shared" si="23"/>
        <v>0.15934065934065933</v>
      </c>
    </row>
    <row r="241" spans="1:16" ht="18.75" customHeight="1">
      <c r="A241" s="739">
        <f t="shared" si="24"/>
        <v>181</v>
      </c>
      <c r="B241" s="357" t="s">
        <v>3094</v>
      </c>
      <c r="C241" s="354" t="s">
        <v>3095</v>
      </c>
      <c r="D241" s="145">
        <v>44197</v>
      </c>
      <c r="E241" s="146">
        <v>44561</v>
      </c>
      <c r="F241" s="149">
        <v>0.28846153846153844</v>
      </c>
      <c r="G241" s="354">
        <v>75000</v>
      </c>
      <c r="H241" s="354">
        <v>61249.97</v>
      </c>
      <c r="I241" s="358">
        <v>7421.46</v>
      </c>
      <c r="J241" s="352">
        <f t="shared" si="20"/>
        <v>0.12116675322453219</v>
      </c>
      <c r="M241" s="74">
        <f t="shared" si="21"/>
        <v>364</v>
      </c>
      <c r="N241" s="146">
        <v>44255</v>
      </c>
      <c r="O241" s="74">
        <f t="shared" si="22"/>
        <v>306</v>
      </c>
      <c r="P241" s="353">
        <f t="shared" si="23"/>
        <v>0.15934065934065933</v>
      </c>
    </row>
    <row r="242" spans="1:16" ht="18.75" customHeight="1">
      <c r="A242" s="739">
        <f t="shared" si="24"/>
        <v>182</v>
      </c>
      <c r="B242" s="357" t="s">
        <v>3096</v>
      </c>
      <c r="C242" s="354" t="s">
        <v>3097</v>
      </c>
      <c r="D242" s="145">
        <v>43983</v>
      </c>
      <c r="E242" s="146">
        <v>44561</v>
      </c>
      <c r="F242" s="149">
        <v>0.55363321799307963</v>
      </c>
      <c r="G242" s="354">
        <v>168000</v>
      </c>
      <c r="H242" s="354">
        <v>385887.49</v>
      </c>
      <c r="I242" s="358">
        <v>233747.89</v>
      </c>
      <c r="J242" s="352">
        <f t="shared" si="20"/>
        <v>0.60574104125531514</v>
      </c>
      <c r="M242" s="74">
        <f t="shared" si="21"/>
        <v>578</v>
      </c>
      <c r="N242" s="146">
        <v>44255</v>
      </c>
      <c r="O242" s="74">
        <f t="shared" si="22"/>
        <v>306</v>
      </c>
      <c r="P242" s="353">
        <f t="shared" si="23"/>
        <v>0.47058823529411764</v>
      </c>
    </row>
    <row r="243" spans="1:16" ht="18.75" customHeight="1">
      <c r="A243" s="739">
        <f t="shared" si="24"/>
        <v>183</v>
      </c>
      <c r="B243" s="357" t="s">
        <v>3098</v>
      </c>
      <c r="C243" s="354" t="s">
        <v>3099</v>
      </c>
      <c r="D243" s="145">
        <v>44197</v>
      </c>
      <c r="E243" s="146">
        <v>44561</v>
      </c>
      <c r="F243" s="149">
        <v>0.29395604395604397</v>
      </c>
      <c r="G243" s="354">
        <v>28543.01</v>
      </c>
      <c r="H243" s="354">
        <v>39950</v>
      </c>
      <c r="I243" s="358">
        <v>4700</v>
      </c>
      <c r="J243" s="352">
        <f t="shared" si="20"/>
        <v>0.11764705882352941</v>
      </c>
      <c r="M243" s="74">
        <f t="shared" si="21"/>
        <v>364</v>
      </c>
      <c r="N243" s="146">
        <v>44255</v>
      </c>
      <c r="O243" s="74">
        <f t="shared" si="22"/>
        <v>306</v>
      </c>
      <c r="P243" s="353">
        <f t="shared" si="23"/>
        <v>0.15934065934065933</v>
      </c>
    </row>
    <row r="244" spans="1:16" ht="18.75" customHeight="1">
      <c r="A244" s="739">
        <f t="shared" si="24"/>
        <v>184</v>
      </c>
      <c r="B244" s="357" t="s">
        <v>3100</v>
      </c>
      <c r="C244" s="354" t="s">
        <v>3101</v>
      </c>
      <c r="D244" s="145">
        <v>43983</v>
      </c>
      <c r="E244" s="146">
        <v>44561</v>
      </c>
      <c r="F244" s="149">
        <v>0.55709342560553632</v>
      </c>
      <c r="G244" s="354">
        <v>690000.09</v>
      </c>
      <c r="H244" s="354">
        <v>361900</v>
      </c>
      <c r="I244" s="358">
        <v>360020</v>
      </c>
      <c r="J244" s="352">
        <f t="shared" si="20"/>
        <v>0.9948051948051948</v>
      </c>
      <c r="M244" s="74">
        <f t="shared" si="21"/>
        <v>578</v>
      </c>
      <c r="N244" s="146">
        <v>44255</v>
      </c>
      <c r="O244" s="74">
        <f t="shared" si="22"/>
        <v>306</v>
      </c>
      <c r="P244" s="353">
        <f t="shared" si="23"/>
        <v>0.47058823529411764</v>
      </c>
    </row>
    <row r="245" spans="1:16" ht="18.75" customHeight="1">
      <c r="A245" s="739">
        <f t="shared" si="24"/>
        <v>185</v>
      </c>
      <c r="B245" s="357" t="s">
        <v>3102</v>
      </c>
      <c r="C245" s="354" t="s">
        <v>3103</v>
      </c>
      <c r="D245" s="145">
        <v>44197</v>
      </c>
      <c r="E245" s="146">
        <v>44561</v>
      </c>
      <c r="F245" s="149">
        <v>0.29945054945054944</v>
      </c>
      <c r="G245" s="354">
        <v>1241605.1000000001</v>
      </c>
      <c r="H245" s="354">
        <v>1407790.8900000001</v>
      </c>
      <c r="I245" s="358">
        <v>255961.98</v>
      </c>
      <c r="J245" s="352">
        <f t="shared" si="20"/>
        <v>0.1818181818181818</v>
      </c>
      <c r="M245" s="74">
        <f t="shared" si="21"/>
        <v>364</v>
      </c>
      <c r="N245" s="146">
        <v>44255</v>
      </c>
      <c r="O245" s="74">
        <f t="shared" si="22"/>
        <v>306</v>
      </c>
      <c r="P245" s="353">
        <f t="shared" si="23"/>
        <v>0.15934065934065933</v>
      </c>
    </row>
    <row r="246" spans="1:16" ht="18.75" customHeight="1">
      <c r="A246" s="739">
        <f t="shared" si="24"/>
        <v>186</v>
      </c>
      <c r="B246" s="357" t="s">
        <v>3104</v>
      </c>
      <c r="C246" s="354" t="s">
        <v>3105</v>
      </c>
      <c r="D246" s="145">
        <v>44197</v>
      </c>
      <c r="E246" s="146">
        <v>44561</v>
      </c>
      <c r="F246" s="149">
        <v>0.30219780219780218</v>
      </c>
      <c r="G246" s="354">
        <v>45999.39</v>
      </c>
      <c r="H246" s="354">
        <v>47000</v>
      </c>
      <c r="I246" s="358">
        <v>1410</v>
      </c>
      <c r="J246" s="352">
        <f t="shared" si="20"/>
        <v>0.03</v>
      </c>
      <c r="M246" s="74">
        <f t="shared" si="21"/>
        <v>364</v>
      </c>
      <c r="N246" s="146">
        <v>44255</v>
      </c>
      <c r="O246" s="74">
        <f t="shared" si="22"/>
        <v>306</v>
      </c>
      <c r="P246" s="353">
        <f t="shared" si="23"/>
        <v>0.15934065934065933</v>
      </c>
    </row>
    <row r="247" spans="1:16" ht="18.75" customHeight="1">
      <c r="A247" s="739">
        <f t="shared" si="24"/>
        <v>187</v>
      </c>
      <c r="B247" s="357" t="s">
        <v>3106</v>
      </c>
      <c r="C247" s="354" t="s">
        <v>3107</v>
      </c>
      <c r="D247" s="145">
        <v>44197</v>
      </c>
      <c r="E247" s="146">
        <v>44561</v>
      </c>
      <c r="F247" s="149">
        <v>0.30494505494505497</v>
      </c>
      <c r="G247" s="354">
        <v>84000.28</v>
      </c>
      <c r="H247" s="354">
        <v>84438.720000000001</v>
      </c>
      <c r="I247" s="358">
        <v>14073.12</v>
      </c>
      <c r="J247" s="352">
        <f t="shared" si="20"/>
        <v>0.16666666666666669</v>
      </c>
      <c r="M247" s="74">
        <f t="shared" si="21"/>
        <v>364</v>
      </c>
      <c r="N247" s="146">
        <v>44255</v>
      </c>
      <c r="O247" s="74">
        <f t="shared" si="22"/>
        <v>306</v>
      </c>
      <c r="P247" s="353">
        <f t="shared" si="23"/>
        <v>0.15934065934065933</v>
      </c>
    </row>
    <row r="248" spans="1:16" ht="18.75" customHeight="1">
      <c r="A248" s="739">
        <f t="shared" si="24"/>
        <v>188</v>
      </c>
      <c r="B248" s="357" t="s">
        <v>3108</v>
      </c>
      <c r="C248" s="354" t="s">
        <v>3109</v>
      </c>
      <c r="D248" s="145">
        <v>44197</v>
      </c>
      <c r="E248" s="146">
        <v>44561</v>
      </c>
      <c r="F248" s="149">
        <v>0.30769230769230771</v>
      </c>
      <c r="G248" s="354">
        <v>69000.06</v>
      </c>
      <c r="H248" s="354">
        <v>70483.570000000007</v>
      </c>
      <c r="I248" s="358">
        <v>2793.89</v>
      </c>
      <c r="J248" s="352">
        <f t="shared" si="20"/>
        <v>3.9638883217748472E-2</v>
      </c>
      <c r="M248" s="74">
        <f t="shared" si="21"/>
        <v>364</v>
      </c>
      <c r="N248" s="146">
        <v>44255</v>
      </c>
      <c r="O248" s="74">
        <f t="shared" si="22"/>
        <v>306</v>
      </c>
      <c r="P248" s="353">
        <f t="shared" si="23"/>
        <v>0.15934065934065933</v>
      </c>
    </row>
    <row r="249" spans="1:16" ht="18.75" customHeight="1">
      <c r="A249" s="739">
        <f t="shared" si="24"/>
        <v>189</v>
      </c>
      <c r="B249" s="357" t="s">
        <v>3110</v>
      </c>
      <c r="C249" s="354" t="s">
        <v>3111</v>
      </c>
      <c r="D249" s="145">
        <v>44197</v>
      </c>
      <c r="E249" s="146">
        <v>44561</v>
      </c>
      <c r="F249" s="149">
        <v>0.31043956043956045</v>
      </c>
      <c r="G249" s="354">
        <v>92000.13</v>
      </c>
      <c r="H249" s="354">
        <v>94172.58</v>
      </c>
      <c r="I249" s="358">
        <v>15694.78</v>
      </c>
      <c r="J249" s="352">
        <f t="shared" si="20"/>
        <v>0.16665976444523448</v>
      </c>
      <c r="M249" s="74">
        <f t="shared" si="21"/>
        <v>364</v>
      </c>
      <c r="N249" s="146">
        <v>44255</v>
      </c>
      <c r="O249" s="74">
        <f t="shared" si="22"/>
        <v>306</v>
      </c>
      <c r="P249" s="353">
        <f t="shared" si="23"/>
        <v>0.15934065934065933</v>
      </c>
    </row>
    <row r="250" spans="1:16" ht="18.75" customHeight="1">
      <c r="A250" s="739">
        <f t="shared" si="24"/>
        <v>190</v>
      </c>
      <c r="B250" s="357" t="s">
        <v>3112</v>
      </c>
      <c r="C250" s="354" t="s">
        <v>3113</v>
      </c>
      <c r="D250" s="145">
        <v>44197</v>
      </c>
      <c r="E250" s="146">
        <v>44561</v>
      </c>
      <c r="F250" s="149">
        <v>0.31318681318681318</v>
      </c>
      <c r="G250" s="354">
        <v>72000</v>
      </c>
      <c r="H250" s="354">
        <v>70500</v>
      </c>
      <c r="I250" s="358">
        <v>11750</v>
      </c>
      <c r="J250" s="352">
        <f t="shared" si="20"/>
        <v>0.16666666666666666</v>
      </c>
      <c r="M250" s="74">
        <f t="shared" si="21"/>
        <v>364</v>
      </c>
      <c r="N250" s="146">
        <v>44255</v>
      </c>
      <c r="O250" s="74">
        <f t="shared" si="22"/>
        <v>306</v>
      </c>
      <c r="P250" s="353">
        <f t="shared" si="23"/>
        <v>0.15934065934065933</v>
      </c>
    </row>
    <row r="251" spans="1:16" ht="18.75" customHeight="1">
      <c r="A251" s="739">
        <f t="shared" si="24"/>
        <v>191</v>
      </c>
      <c r="B251" s="357" t="s">
        <v>3114</v>
      </c>
      <c r="C251" s="354" t="s">
        <v>3115</v>
      </c>
      <c r="D251" s="145">
        <v>44197</v>
      </c>
      <c r="E251" s="146">
        <v>44561</v>
      </c>
      <c r="F251" s="149">
        <v>0.31593406593406592</v>
      </c>
      <c r="G251" s="354">
        <v>38400</v>
      </c>
      <c r="H251" s="354">
        <v>105344.04000000001</v>
      </c>
      <c r="I251" s="358">
        <v>17557.34</v>
      </c>
      <c r="J251" s="352">
        <f t="shared" si="20"/>
        <v>0.16666666666666666</v>
      </c>
      <c r="M251" s="74">
        <f t="shared" si="21"/>
        <v>364</v>
      </c>
      <c r="N251" s="146">
        <v>44255</v>
      </c>
      <c r="O251" s="74">
        <f t="shared" si="22"/>
        <v>306</v>
      </c>
      <c r="P251" s="353">
        <f t="shared" si="23"/>
        <v>0.15934065934065933</v>
      </c>
    </row>
    <row r="252" spans="1:16" ht="18.75" customHeight="1">
      <c r="A252" s="739">
        <f t="shared" si="24"/>
        <v>192</v>
      </c>
      <c r="B252" s="357" t="s">
        <v>3116</v>
      </c>
      <c r="C252" s="354" t="s">
        <v>3117</v>
      </c>
      <c r="D252" s="145">
        <v>44197</v>
      </c>
      <c r="E252" s="146">
        <v>44561</v>
      </c>
      <c r="F252" s="149">
        <v>0.31868131868131866</v>
      </c>
      <c r="G252" s="354">
        <v>224000.21000000002</v>
      </c>
      <c r="H252" s="354">
        <v>55000</v>
      </c>
      <c r="I252" s="358">
        <v>5500</v>
      </c>
      <c r="J252" s="352">
        <f t="shared" si="20"/>
        <v>0.1</v>
      </c>
      <c r="M252" s="74">
        <f t="shared" si="21"/>
        <v>364</v>
      </c>
      <c r="N252" s="146">
        <v>44255</v>
      </c>
      <c r="O252" s="74">
        <f t="shared" si="22"/>
        <v>306</v>
      </c>
      <c r="P252" s="353">
        <f t="shared" si="23"/>
        <v>0.15934065934065933</v>
      </c>
    </row>
    <row r="253" spans="1:16" ht="18.75" customHeight="1">
      <c r="A253" s="739">
        <f t="shared" si="24"/>
        <v>193</v>
      </c>
      <c r="B253" s="357" t="s">
        <v>3118</v>
      </c>
      <c r="C253" s="354" t="s">
        <v>3119</v>
      </c>
      <c r="D253" s="145">
        <v>44228</v>
      </c>
      <c r="E253" s="146">
        <v>45412</v>
      </c>
      <c r="F253" s="149">
        <v>7.2635135135135129E-2</v>
      </c>
      <c r="G253" s="354">
        <v>28000</v>
      </c>
      <c r="H253" s="354">
        <v>55000</v>
      </c>
      <c r="I253" s="358">
        <v>8249.99</v>
      </c>
      <c r="J253" s="352">
        <f t="shared" si="20"/>
        <v>0.14999981818181818</v>
      </c>
      <c r="M253" s="74">
        <f t="shared" si="21"/>
        <v>1184</v>
      </c>
      <c r="N253" s="146">
        <v>44255</v>
      </c>
      <c r="O253" s="74">
        <f t="shared" si="22"/>
        <v>1157</v>
      </c>
      <c r="P253" s="353">
        <f t="shared" si="23"/>
        <v>2.2804054054054054E-2</v>
      </c>
    </row>
    <row r="254" spans="1:16" ht="18.75" customHeight="1">
      <c r="A254" s="739">
        <f t="shared" si="24"/>
        <v>194</v>
      </c>
      <c r="B254" s="357" t="s">
        <v>3120</v>
      </c>
      <c r="C254" s="354" t="s">
        <v>3121</v>
      </c>
      <c r="D254" s="145">
        <v>44197</v>
      </c>
      <c r="E254" s="146">
        <v>44561</v>
      </c>
      <c r="F254" s="149">
        <v>0.32417582417582419</v>
      </c>
      <c r="G254" s="354">
        <v>625919.98</v>
      </c>
      <c r="H254" s="354">
        <v>268103.59999999998</v>
      </c>
      <c r="I254" s="358">
        <v>44683.94</v>
      </c>
      <c r="J254" s="352">
        <f t="shared" si="20"/>
        <v>0.16666669153267619</v>
      </c>
      <c r="M254" s="74">
        <f t="shared" si="21"/>
        <v>364</v>
      </c>
      <c r="N254" s="146">
        <v>44255</v>
      </c>
      <c r="O254" s="74">
        <f t="shared" si="22"/>
        <v>306</v>
      </c>
      <c r="P254" s="353">
        <f t="shared" si="23"/>
        <v>0.15934065934065933</v>
      </c>
    </row>
    <row r="255" spans="1:16" ht="18.75" customHeight="1">
      <c r="A255" s="739">
        <f t="shared" si="24"/>
        <v>195</v>
      </c>
      <c r="B255" s="357" t="s">
        <v>3122</v>
      </c>
      <c r="C255" s="354" t="s">
        <v>3123</v>
      </c>
      <c r="D255" s="145">
        <v>44197</v>
      </c>
      <c r="E255" s="146">
        <v>44561</v>
      </c>
      <c r="F255" s="149">
        <v>0.32692307692307693</v>
      </c>
      <c r="G255" s="354">
        <v>96000</v>
      </c>
      <c r="H255" s="354">
        <v>94000</v>
      </c>
      <c r="I255" s="358">
        <v>9400</v>
      </c>
      <c r="J255" s="352">
        <f t="shared" si="20"/>
        <v>0.1</v>
      </c>
      <c r="M255" s="74">
        <f t="shared" si="21"/>
        <v>364</v>
      </c>
      <c r="N255" s="146">
        <v>44255</v>
      </c>
      <c r="O255" s="74">
        <f t="shared" si="22"/>
        <v>306</v>
      </c>
      <c r="P255" s="353">
        <f t="shared" si="23"/>
        <v>0.15934065934065933</v>
      </c>
    </row>
    <row r="256" spans="1:16" ht="18.75" customHeight="1">
      <c r="A256" s="739">
        <f t="shared" si="24"/>
        <v>196</v>
      </c>
      <c r="B256" s="357" t="s">
        <v>3124</v>
      </c>
      <c r="C256" s="354" t="s">
        <v>3125</v>
      </c>
      <c r="D256" s="145">
        <v>44228</v>
      </c>
      <c r="E256" s="146">
        <v>44561</v>
      </c>
      <c r="F256" s="149">
        <v>0.26726726726726729</v>
      </c>
      <c r="G256" s="354">
        <v>137500</v>
      </c>
      <c r="H256" s="354">
        <v>82500</v>
      </c>
      <c r="I256" s="358">
        <v>5500</v>
      </c>
      <c r="J256" s="352">
        <f t="shared" si="20"/>
        <v>6.6666666666666666E-2</v>
      </c>
      <c r="M256" s="74">
        <f t="shared" si="21"/>
        <v>333</v>
      </c>
      <c r="N256" s="146">
        <v>44255</v>
      </c>
      <c r="O256" s="74">
        <f t="shared" si="22"/>
        <v>306</v>
      </c>
      <c r="P256" s="353">
        <f t="shared" si="23"/>
        <v>8.1081081081081086E-2</v>
      </c>
    </row>
    <row r="257" spans="1:16" ht="18.75" customHeight="1">
      <c r="A257" s="739">
        <f t="shared" si="24"/>
        <v>197</v>
      </c>
      <c r="B257" s="357" t="s">
        <v>3126</v>
      </c>
      <c r="C257" s="354" t="s">
        <v>3127</v>
      </c>
      <c r="D257" s="145">
        <v>44197</v>
      </c>
      <c r="E257" s="146">
        <v>44926</v>
      </c>
      <c r="F257" s="149">
        <v>0.16598079561042525</v>
      </c>
      <c r="G257" s="354">
        <v>330210.2</v>
      </c>
      <c r="H257" s="354">
        <v>330209.98</v>
      </c>
      <c r="I257" s="358">
        <v>25939.74</v>
      </c>
      <c r="J257" s="352">
        <f t="shared" si="20"/>
        <v>7.8555287759624962E-2</v>
      </c>
      <c r="M257" s="74">
        <f t="shared" si="21"/>
        <v>729</v>
      </c>
      <c r="N257" s="146">
        <v>44255</v>
      </c>
      <c r="O257" s="74">
        <f t="shared" si="22"/>
        <v>671</v>
      </c>
      <c r="P257" s="353">
        <f t="shared" si="23"/>
        <v>7.956104252400549E-2</v>
      </c>
    </row>
    <row r="258" spans="1:16" ht="18.75" customHeight="1">
      <c r="A258" s="739">
        <f t="shared" si="24"/>
        <v>198</v>
      </c>
      <c r="B258" s="357" t="s">
        <v>3128</v>
      </c>
      <c r="C258" s="354" t="s">
        <v>3129</v>
      </c>
      <c r="D258" s="145">
        <v>44197</v>
      </c>
      <c r="E258" s="146">
        <v>44926</v>
      </c>
      <c r="F258" s="149">
        <v>0.16735253772290809</v>
      </c>
      <c r="G258" s="354">
        <v>470726.29000000004</v>
      </c>
      <c r="H258" s="354">
        <v>470726.28</v>
      </c>
      <c r="I258" s="358">
        <v>39537.58</v>
      </c>
      <c r="J258" s="352">
        <f t="shared" si="20"/>
        <v>8.3992718655945875E-2</v>
      </c>
      <c r="M258" s="74">
        <f t="shared" si="21"/>
        <v>729</v>
      </c>
      <c r="N258" s="146">
        <v>44255</v>
      </c>
      <c r="O258" s="74">
        <f t="shared" si="22"/>
        <v>671</v>
      </c>
      <c r="P258" s="353">
        <f t="shared" si="23"/>
        <v>7.956104252400549E-2</v>
      </c>
    </row>
    <row r="259" spans="1:16" ht="18.75" customHeight="1">
      <c r="A259" s="739">
        <f t="shared" si="24"/>
        <v>199</v>
      </c>
      <c r="B259" s="357" t="s">
        <v>3130</v>
      </c>
      <c r="C259" s="354" t="s">
        <v>3131</v>
      </c>
      <c r="D259" s="145">
        <v>44197</v>
      </c>
      <c r="E259" s="146">
        <v>44926</v>
      </c>
      <c r="F259" s="149">
        <v>0.16872427983539096</v>
      </c>
      <c r="G259" s="354">
        <v>481466.4</v>
      </c>
      <c r="H259" s="354">
        <v>334140.90999999997</v>
      </c>
      <c r="I259" s="358">
        <v>40343.700000000004</v>
      </c>
      <c r="J259" s="352">
        <f t="shared" si="20"/>
        <v>0.12073858301277747</v>
      </c>
      <c r="M259" s="74">
        <f t="shared" si="21"/>
        <v>729</v>
      </c>
      <c r="N259" s="146">
        <v>44255</v>
      </c>
      <c r="O259" s="74">
        <f t="shared" si="22"/>
        <v>671</v>
      </c>
      <c r="P259" s="353">
        <f t="shared" si="23"/>
        <v>7.956104252400549E-2</v>
      </c>
    </row>
    <row r="260" spans="1:16" ht="18.75" customHeight="1">
      <c r="A260" s="739">
        <f t="shared" si="24"/>
        <v>200</v>
      </c>
      <c r="B260" s="357" t="s">
        <v>3132</v>
      </c>
      <c r="C260" s="354" t="s">
        <v>3133</v>
      </c>
      <c r="D260" s="145">
        <v>44197</v>
      </c>
      <c r="E260" s="146">
        <v>44561</v>
      </c>
      <c r="F260" s="149">
        <v>0.34065934065934067</v>
      </c>
      <c r="G260" s="354">
        <v>47000</v>
      </c>
      <c r="H260" s="354">
        <v>47000</v>
      </c>
      <c r="I260" s="358">
        <v>23500</v>
      </c>
      <c r="J260" s="352">
        <f t="shared" si="20"/>
        <v>0.5</v>
      </c>
      <c r="M260" s="74">
        <f t="shared" si="21"/>
        <v>364</v>
      </c>
      <c r="N260" s="146">
        <v>44255</v>
      </c>
      <c r="O260" s="74">
        <f t="shared" si="22"/>
        <v>306</v>
      </c>
      <c r="P260" s="353">
        <f t="shared" si="23"/>
        <v>0.15934065934065933</v>
      </c>
    </row>
    <row r="261" spans="1:16" ht="18.75" customHeight="1">
      <c r="A261" s="739">
        <f t="shared" si="24"/>
        <v>201</v>
      </c>
      <c r="B261" s="357" t="s">
        <v>3134</v>
      </c>
      <c r="C261" s="354" t="s">
        <v>3135</v>
      </c>
      <c r="D261" s="145">
        <v>44228</v>
      </c>
      <c r="E261" s="146">
        <v>44439</v>
      </c>
      <c r="F261" s="149">
        <v>0.44549763033175355</v>
      </c>
      <c r="G261" s="354">
        <v>94000</v>
      </c>
      <c r="H261" s="354">
        <v>94000</v>
      </c>
      <c r="I261" s="358">
        <v>14100</v>
      </c>
      <c r="J261" s="352">
        <f t="shared" si="20"/>
        <v>0.15</v>
      </c>
      <c r="M261" s="74">
        <f t="shared" si="21"/>
        <v>211</v>
      </c>
      <c r="N261" s="146">
        <v>44255</v>
      </c>
      <c r="O261" s="74">
        <f t="shared" si="22"/>
        <v>184</v>
      </c>
      <c r="P261" s="353">
        <f t="shared" si="23"/>
        <v>0.12796208530805686</v>
      </c>
    </row>
    <row r="262" spans="1:16" ht="18.75" customHeight="1">
      <c r="A262" s="739">
        <f t="shared" si="24"/>
        <v>202</v>
      </c>
      <c r="B262" s="357" t="s">
        <v>3136</v>
      </c>
      <c r="C262" s="354" t="s">
        <v>3137</v>
      </c>
      <c r="D262" s="145">
        <v>44228</v>
      </c>
      <c r="E262" s="146">
        <v>44469</v>
      </c>
      <c r="F262" s="149">
        <v>0.39419087136929459</v>
      </c>
      <c r="G262" s="354">
        <v>31130</v>
      </c>
      <c r="H262" s="354">
        <v>31130</v>
      </c>
      <c r="I262" s="358">
        <v>31130</v>
      </c>
      <c r="J262" s="352">
        <f t="shared" si="20"/>
        <v>1</v>
      </c>
      <c r="M262" s="74">
        <f t="shared" si="21"/>
        <v>241</v>
      </c>
      <c r="N262" s="146">
        <v>44255</v>
      </c>
      <c r="O262" s="74">
        <f t="shared" si="22"/>
        <v>214</v>
      </c>
      <c r="P262" s="353">
        <f t="shared" si="23"/>
        <v>0.11203319502074689</v>
      </c>
    </row>
    <row r="263" spans="1:16" ht="18.75" customHeight="1">
      <c r="A263" s="739">
        <f t="shared" si="24"/>
        <v>203</v>
      </c>
      <c r="B263" s="357" t="s">
        <v>3138</v>
      </c>
      <c r="C263" s="354" t="s">
        <v>3139</v>
      </c>
      <c r="D263" s="145">
        <v>44197</v>
      </c>
      <c r="E263" s="146">
        <v>44561</v>
      </c>
      <c r="F263" s="149">
        <v>0.34890109890109888</v>
      </c>
      <c r="G263" s="354">
        <v>141000</v>
      </c>
      <c r="H263" s="354">
        <v>141000</v>
      </c>
      <c r="I263" s="358">
        <v>126900</v>
      </c>
      <c r="J263" s="352">
        <f t="shared" si="20"/>
        <v>0.9</v>
      </c>
      <c r="M263" s="74">
        <f t="shared" si="21"/>
        <v>364</v>
      </c>
      <c r="N263" s="146">
        <v>44255</v>
      </c>
      <c r="O263" s="74">
        <f t="shared" si="22"/>
        <v>306</v>
      </c>
      <c r="P263" s="353">
        <f t="shared" si="23"/>
        <v>0.15934065934065933</v>
      </c>
    </row>
    <row r="264" spans="1:16" ht="18.75" customHeight="1">
      <c r="A264" s="739">
        <f t="shared" si="24"/>
        <v>204</v>
      </c>
      <c r="B264" s="357" t="s">
        <v>3140</v>
      </c>
      <c r="C264" s="354" t="s">
        <v>3141</v>
      </c>
      <c r="D264" s="145">
        <v>44197</v>
      </c>
      <c r="E264" s="146">
        <v>44561</v>
      </c>
      <c r="F264" s="149">
        <v>0.35164835164835168</v>
      </c>
      <c r="G264" s="354">
        <v>300000</v>
      </c>
      <c r="H264" s="354">
        <v>300000</v>
      </c>
      <c r="I264" s="358">
        <v>15000</v>
      </c>
      <c r="J264" s="352">
        <f t="shared" si="20"/>
        <v>0.05</v>
      </c>
      <c r="M264" s="74">
        <f t="shared" si="21"/>
        <v>364</v>
      </c>
      <c r="N264" s="146">
        <v>44255</v>
      </c>
      <c r="O264" s="74">
        <f t="shared" si="22"/>
        <v>306</v>
      </c>
      <c r="P264" s="353">
        <f t="shared" si="23"/>
        <v>0.15934065934065933</v>
      </c>
    </row>
    <row r="265" spans="1:16" ht="18.75" customHeight="1">
      <c r="A265" s="739">
        <f t="shared" si="24"/>
        <v>205</v>
      </c>
      <c r="B265" s="357" t="s">
        <v>3142</v>
      </c>
      <c r="C265" s="354" t="s">
        <v>3143</v>
      </c>
      <c r="D265" s="145">
        <v>44197</v>
      </c>
      <c r="E265" s="146">
        <v>44377</v>
      </c>
      <c r="F265" s="149">
        <v>0.71666666666666667</v>
      </c>
      <c r="G265" s="354">
        <v>49000</v>
      </c>
      <c r="H265" s="354">
        <v>49000</v>
      </c>
      <c r="I265" s="358">
        <v>32340</v>
      </c>
      <c r="J265" s="352">
        <f t="shared" si="20"/>
        <v>0.66</v>
      </c>
      <c r="M265" s="74">
        <f t="shared" si="21"/>
        <v>180</v>
      </c>
      <c r="N265" s="146">
        <v>44255</v>
      </c>
      <c r="O265" s="74">
        <f t="shared" si="22"/>
        <v>122</v>
      </c>
      <c r="P265" s="353">
        <f t="shared" si="23"/>
        <v>0.32222222222222224</v>
      </c>
    </row>
    <row r="266" spans="1:16" ht="18.75" customHeight="1">
      <c r="A266" s="739">
        <f t="shared" si="24"/>
        <v>206</v>
      </c>
      <c r="B266" s="357" t="s">
        <v>3144</v>
      </c>
      <c r="C266" s="354" t="s">
        <v>3145</v>
      </c>
      <c r="D266" s="145">
        <v>44075</v>
      </c>
      <c r="E266" s="146">
        <v>44316</v>
      </c>
      <c r="F266" s="149">
        <v>1.045643153526971</v>
      </c>
      <c r="G266" s="354">
        <v>41250</v>
      </c>
      <c r="H266" s="354">
        <v>41250</v>
      </c>
      <c r="I266" s="358">
        <v>13750</v>
      </c>
      <c r="J266" s="352">
        <f t="shared" si="20"/>
        <v>0.33333333333333331</v>
      </c>
      <c r="M266" s="74">
        <f t="shared" si="21"/>
        <v>241</v>
      </c>
      <c r="N266" s="146">
        <v>44255</v>
      </c>
      <c r="O266" s="74">
        <f t="shared" si="22"/>
        <v>61</v>
      </c>
      <c r="P266" s="353">
        <f t="shared" si="23"/>
        <v>0.74688796680497926</v>
      </c>
    </row>
    <row r="267" spans="1:16" ht="18.75" customHeight="1">
      <c r="A267" s="739">
        <f t="shared" si="24"/>
        <v>207</v>
      </c>
      <c r="B267" s="357" t="s">
        <v>3146</v>
      </c>
      <c r="C267" s="354" t="s">
        <v>3147</v>
      </c>
      <c r="D267" s="145">
        <v>44197</v>
      </c>
      <c r="E267" s="146">
        <v>44561</v>
      </c>
      <c r="F267" s="149">
        <v>0.35989010989010989</v>
      </c>
      <c r="G267" s="354">
        <v>824999.99</v>
      </c>
      <c r="H267" s="354">
        <v>824999.99</v>
      </c>
      <c r="I267" s="358">
        <v>82500</v>
      </c>
      <c r="J267" s="352">
        <f t="shared" si="20"/>
        <v>0.10000000121212123</v>
      </c>
      <c r="M267" s="74">
        <f t="shared" si="21"/>
        <v>364</v>
      </c>
      <c r="N267" s="146">
        <v>44255</v>
      </c>
      <c r="O267" s="74">
        <f t="shared" si="22"/>
        <v>306</v>
      </c>
      <c r="P267" s="353">
        <f t="shared" si="23"/>
        <v>0.15934065934065933</v>
      </c>
    </row>
    <row r="268" spans="1:16" ht="18.75" customHeight="1">
      <c r="A268" s="739">
        <f t="shared" si="24"/>
        <v>208</v>
      </c>
      <c r="B268" s="357" t="s">
        <v>3148</v>
      </c>
      <c r="C268" s="354" t="s">
        <v>3149</v>
      </c>
      <c r="D268" s="145">
        <v>44197</v>
      </c>
      <c r="E268" s="146">
        <v>44561</v>
      </c>
      <c r="F268" s="149">
        <v>0.36263736263736263</v>
      </c>
      <c r="G268" s="354">
        <v>282000</v>
      </c>
      <c r="H268" s="354">
        <v>282000</v>
      </c>
      <c r="I268" s="358">
        <v>4700</v>
      </c>
      <c r="J268" s="352">
        <f t="shared" si="20"/>
        <v>1.6666666666666666E-2</v>
      </c>
      <c r="M268" s="74">
        <f t="shared" si="21"/>
        <v>364</v>
      </c>
      <c r="N268" s="146">
        <v>44255</v>
      </c>
      <c r="O268" s="74">
        <f t="shared" si="22"/>
        <v>306</v>
      </c>
      <c r="P268" s="353">
        <f t="shared" si="23"/>
        <v>0.15934065934065933</v>
      </c>
    </row>
    <row r="269" spans="1:16" ht="18.75" customHeight="1">
      <c r="A269" s="739">
        <f t="shared" si="24"/>
        <v>209</v>
      </c>
      <c r="B269" s="357" t="s">
        <v>3150</v>
      </c>
      <c r="C269" s="354" t="s">
        <v>3151</v>
      </c>
      <c r="D269" s="145">
        <v>44197</v>
      </c>
      <c r="E269" s="146">
        <v>44561</v>
      </c>
      <c r="F269" s="149">
        <v>0.36538461538461536</v>
      </c>
      <c r="G269" s="354">
        <v>82250</v>
      </c>
      <c r="H269" s="354">
        <v>82250</v>
      </c>
      <c r="I269" s="358">
        <v>2350</v>
      </c>
      <c r="J269" s="352">
        <f t="shared" si="20"/>
        <v>2.8571428571428571E-2</v>
      </c>
      <c r="M269" s="74">
        <f t="shared" si="21"/>
        <v>364</v>
      </c>
      <c r="N269" s="146">
        <v>44255</v>
      </c>
      <c r="O269" s="74">
        <f t="shared" si="22"/>
        <v>306</v>
      </c>
      <c r="P269" s="353">
        <f t="shared" si="23"/>
        <v>0.15934065934065933</v>
      </c>
    </row>
    <row r="270" spans="1:16" ht="18.75" customHeight="1">
      <c r="A270" s="739">
        <f t="shared" si="24"/>
        <v>210</v>
      </c>
      <c r="B270" s="357" t="s">
        <v>3152</v>
      </c>
      <c r="C270" s="354" t="s">
        <v>3153</v>
      </c>
      <c r="D270" s="145">
        <v>44228</v>
      </c>
      <c r="E270" s="146">
        <v>45412</v>
      </c>
      <c r="F270" s="149">
        <v>8.6993243243243243E-2</v>
      </c>
      <c r="G270" s="354">
        <v>55000</v>
      </c>
      <c r="H270" s="354">
        <v>55000.01</v>
      </c>
      <c r="I270" s="358">
        <v>8250.01</v>
      </c>
      <c r="J270" s="352">
        <f t="shared" si="20"/>
        <v>0.15000015454542645</v>
      </c>
      <c r="M270" s="74">
        <f t="shared" si="21"/>
        <v>1184</v>
      </c>
      <c r="N270" s="146">
        <v>44255</v>
      </c>
      <c r="O270" s="74">
        <f t="shared" si="22"/>
        <v>1157</v>
      </c>
      <c r="P270" s="353">
        <f t="shared" si="23"/>
        <v>2.2804054054054054E-2</v>
      </c>
    </row>
    <row r="271" spans="1:16" ht="18.75" customHeight="1">
      <c r="A271" s="739">
        <f t="shared" si="24"/>
        <v>211</v>
      </c>
      <c r="B271" s="357" t="s">
        <v>3154</v>
      </c>
      <c r="C271" s="354" t="s">
        <v>3155</v>
      </c>
      <c r="D271" s="145">
        <v>43525</v>
      </c>
      <c r="E271" s="146">
        <v>44347</v>
      </c>
      <c r="F271" s="149">
        <v>0.98175182481751821</v>
      </c>
      <c r="G271" s="354">
        <v>249999.88</v>
      </c>
      <c r="H271" s="354">
        <v>212098.65</v>
      </c>
      <c r="I271" s="358">
        <v>120455.57</v>
      </c>
      <c r="J271" s="352">
        <f t="shared" si="20"/>
        <v>0.56792237951538127</v>
      </c>
      <c r="M271" s="74">
        <f t="shared" si="21"/>
        <v>822</v>
      </c>
      <c r="N271" s="146">
        <v>44255</v>
      </c>
      <c r="O271" s="74">
        <f t="shared" si="22"/>
        <v>92</v>
      </c>
      <c r="P271" s="353">
        <f t="shared" si="23"/>
        <v>0.88807785888077861</v>
      </c>
    </row>
    <row r="272" spans="1:16" ht="18.75" customHeight="1">
      <c r="A272" s="739">
        <f t="shared" si="24"/>
        <v>212</v>
      </c>
      <c r="B272" s="357" t="s">
        <v>3156</v>
      </c>
      <c r="C272" s="354" t="s">
        <v>3157</v>
      </c>
      <c r="D272" s="145">
        <v>43617</v>
      </c>
      <c r="E272" s="146">
        <v>44681</v>
      </c>
      <c r="F272" s="149">
        <v>0.67293233082706772</v>
      </c>
      <c r="G272" s="354">
        <v>1499999.8800000001</v>
      </c>
      <c r="H272" s="354">
        <v>2703196.98</v>
      </c>
      <c r="I272" s="358">
        <v>895807.79999999993</v>
      </c>
      <c r="J272" s="352">
        <f t="shared" si="20"/>
        <v>0.33138828084958866</v>
      </c>
      <c r="M272" s="74">
        <f t="shared" si="21"/>
        <v>1064</v>
      </c>
      <c r="N272" s="146">
        <v>44255</v>
      </c>
      <c r="O272" s="74">
        <f t="shared" si="22"/>
        <v>426</v>
      </c>
      <c r="P272" s="353">
        <f t="shared" si="23"/>
        <v>0.59962406015037595</v>
      </c>
    </row>
    <row r="273" spans="1:16" ht="18.75" customHeight="1">
      <c r="A273" s="739">
        <f t="shared" si="24"/>
        <v>213</v>
      </c>
      <c r="B273" s="357" t="s">
        <v>3158</v>
      </c>
      <c r="C273" s="354" t="s">
        <v>3159</v>
      </c>
      <c r="D273" s="145">
        <v>43862</v>
      </c>
      <c r="E273" s="146">
        <v>44377</v>
      </c>
      <c r="F273" s="149">
        <v>0.91650485436893203</v>
      </c>
      <c r="G273" s="354">
        <v>5990435.9100000001</v>
      </c>
      <c r="H273" s="354">
        <v>6042445.5299999993</v>
      </c>
      <c r="I273" s="358">
        <v>4354516.17</v>
      </c>
      <c r="J273" s="352">
        <f t="shared" si="20"/>
        <v>0.72065460058851372</v>
      </c>
      <c r="M273" s="74">
        <f t="shared" si="21"/>
        <v>515</v>
      </c>
      <c r="N273" s="146">
        <v>44255</v>
      </c>
      <c r="O273" s="74">
        <f t="shared" si="22"/>
        <v>122</v>
      </c>
      <c r="P273" s="353">
        <f t="shared" si="23"/>
        <v>0.76310679611650489</v>
      </c>
    </row>
    <row r="274" spans="1:16" ht="18.75" customHeight="1">
      <c r="A274" s="739">
        <f t="shared" si="24"/>
        <v>214</v>
      </c>
      <c r="B274" s="357" t="s">
        <v>3160</v>
      </c>
      <c r="C274" s="354" t="s">
        <v>3161</v>
      </c>
      <c r="D274" s="145">
        <v>43739</v>
      </c>
      <c r="E274" s="146">
        <v>44500</v>
      </c>
      <c r="F274" s="149">
        <v>0.78318002628120897</v>
      </c>
      <c r="G274" s="354">
        <v>3118674.5900000003</v>
      </c>
      <c r="H274" s="354">
        <v>3333654.54</v>
      </c>
      <c r="I274" s="358">
        <v>1010224.43</v>
      </c>
      <c r="J274" s="352">
        <f t="shared" si="20"/>
        <v>0.30303812763994437</v>
      </c>
      <c r="M274" s="74">
        <f t="shared" si="21"/>
        <v>761</v>
      </c>
      <c r="N274" s="146">
        <v>44255</v>
      </c>
      <c r="O274" s="74">
        <f t="shared" si="22"/>
        <v>245</v>
      </c>
      <c r="P274" s="353">
        <f t="shared" si="23"/>
        <v>0.67805519053876473</v>
      </c>
    </row>
    <row r="275" spans="1:16" ht="18.75" customHeight="1">
      <c r="A275" s="739">
        <f t="shared" si="24"/>
        <v>215</v>
      </c>
      <c r="B275" s="357" t="s">
        <v>3162</v>
      </c>
      <c r="C275" s="354" t="s">
        <v>3163</v>
      </c>
      <c r="D275" s="145">
        <v>43739</v>
      </c>
      <c r="E275" s="146">
        <v>44742</v>
      </c>
      <c r="F275" s="149">
        <v>0.59521435692921232</v>
      </c>
      <c r="G275" s="354">
        <v>8808754.9100000001</v>
      </c>
      <c r="H275" s="354">
        <v>9533811.4299999997</v>
      </c>
      <c r="I275" s="358">
        <v>1318931.83</v>
      </c>
      <c r="J275" s="352">
        <f t="shared" si="20"/>
        <v>0.13834255477822055</v>
      </c>
      <c r="M275" s="74">
        <f t="shared" si="21"/>
        <v>1003</v>
      </c>
      <c r="N275" s="146">
        <v>44255</v>
      </c>
      <c r="O275" s="74">
        <f t="shared" si="22"/>
        <v>487</v>
      </c>
      <c r="P275" s="353">
        <f t="shared" si="23"/>
        <v>0.51445663010967102</v>
      </c>
    </row>
    <row r="276" spans="1:16" ht="18.75" customHeight="1">
      <c r="A276" s="739">
        <f t="shared" si="24"/>
        <v>216</v>
      </c>
      <c r="B276" s="357" t="s">
        <v>3164</v>
      </c>
      <c r="C276" s="354" t="s">
        <v>3165</v>
      </c>
      <c r="D276" s="145">
        <v>43952</v>
      </c>
      <c r="E276" s="146">
        <v>44561</v>
      </c>
      <c r="F276" s="149">
        <v>0.63218390804597702</v>
      </c>
      <c r="G276" s="354">
        <v>4181737.41</v>
      </c>
      <c r="H276" s="354">
        <v>4585366.6099999994</v>
      </c>
      <c r="I276" s="358">
        <v>85992.55</v>
      </c>
      <c r="J276" s="352">
        <f t="shared" si="20"/>
        <v>1.8753691321532089E-2</v>
      </c>
      <c r="M276" s="74">
        <f t="shared" si="21"/>
        <v>609</v>
      </c>
      <c r="N276" s="146">
        <v>44255</v>
      </c>
      <c r="O276" s="74">
        <f t="shared" si="22"/>
        <v>306</v>
      </c>
      <c r="P276" s="353">
        <f t="shared" si="23"/>
        <v>0.49753694581280788</v>
      </c>
    </row>
    <row r="277" spans="1:16" ht="18.75" customHeight="1">
      <c r="A277" s="739">
        <f t="shared" si="24"/>
        <v>217</v>
      </c>
      <c r="B277" s="357" t="s">
        <v>3166</v>
      </c>
      <c r="C277" s="354" t="s">
        <v>3167</v>
      </c>
      <c r="D277" s="145">
        <v>43983</v>
      </c>
      <c r="E277" s="146">
        <v>44561</v>
      </c>
      <c r="F277" s="149">
        <v>0.61418685121107264</v>
      </c>
      <c r="G277" s="354">
        <v>2326337.6800000002</v>
      </c>
      <c r="H277" s="354">
        <v>2698408.04</v>
      </c>
      <c r="I277" s="358">
        <v>380657.45000000007</v>
      </c>
      <c r="J277" s="352">
        <f t="shared" si="20"/>
        <v>0.14106741617920768</v>
      </c>
      <c r="M277" s="74">
        <f t="shared" si="21"/>
        <v>578</v>
      </c>
      <c r="N277" s="146">
        <v>44255</v>
      </c>
      <c r="O277" s="74">
        <f t="shared" si="22"/>
        <v>306</v>
      </c>
      <c r="P277" s="353">
        <f t="shared" si="23"/>
        <v>0.47058823529411764</v>
      </c>
    </row>
    <row r="278" spans="1:16" ht="18.75" customHeight="1">
      <c r="A278" s="739">
        <f t="shared" si="24"/>
        <v>218</v>
      </c>
      <c r="B278" s="357" t="s">
        <v>3168</v>
      </c>
      <c r="C278" s="354" t="s">
        <v>3169</v>
      </c>
      <c r="D278" s="145">
        <v>44228</v>
      </c>
      <c r="E278" s="146">
        <v>44316</v>
      </c>
      <c r="F278" s="149">
        <v>1.2613636363636365</v>
      </c>
      <c r="G278" s="354">
        <v>380539.52</v>
      </c>
      <c r="H278" s="354">
        <v>182039.13</v>
      </c>
      <c r="I278" s="358">
        <v>70183.600000000006</v>
      </c>
      <c r="J278" s="352">
        <f t="shared" si="20"/>
        <v>0.38554128444801949</v>
      </c>
      <c r="M278" s="74">
        <f t="shared" si="21"/>
        <v>88</v>
      </c>
      <c r="N278" s="146">
        <v>44255</v>
      </c>
      <c r="O278" s="74">
        <f t="shared" si="22"/>
        <v>61</v>
      </c>
      <c r="P278" s="353">
        <f t="shared" si="23"/>
        <v>0.30681818181818182</v>
      </c>
    </row>
    <row r="279" spans="1:16" ht="18.75" customHeight="1">
      <c r="A279" s="739">
        <f t="shared" si="24"/>
        <v>219</v>
      </c>
      <c r="B279" s="357" t="s">
        <v>3170</v>
      </c>
      <c r="C279" s="354" t="s">
        <v>3171</v>
      </c>
      <c r="D279" s="145">
        <v>44044</v>
      </c>
      <c r="E279" s="146">
        <v>44469</v>
      </c>
      <c r="F279" s="149">
        <v>0.69647058823529406</v>
      </c>
      <c r="G279" s="354">
        <v>1928038.7400000002</v>
      </c>
      <c r="H279" s="354">
        <v>2357239.8200000003</v>
      </c>
      <c r="I279" s="358">
        <v>438677.67000000004</v>
      </c>
      <c r="J279" s="352">
        <f t="shared" si="20"/>
        <v>0.1860980228986629</v>
      </c>
      <c r="M279" s="74">
        <f t="shared" si="21"/>
        <v>425</v>
      </c>
      <c r="N279" s="146">
        <v>44255</v>
      </c>
      <c r="O279" s="74">
        <f t="shared" si="22"/>
        <v>214</v>
      </c>
      <c r="P279" s="353">
        <f t="shared" si="23"/>
        <v>0.49647058823529411</v>
      </c>
    </row>
    <row r="280" spans="1:16" ht="18.75" customHeight="1">
      <c r="A280" s="739">
        <f t="shared" si="24"/>
        <v>220</v>
      </c>
      <c r="B280" s="357" t="s">
        <v>3172</v>
      </c>
      <c r="C280" s="354" t="s">
        <v>3173</v>
      </c>
      <c r="D280" s="145">
        <v>43983</v>
      </c>
      <c r="E280" s="146">
        <v>44742</v>
      </c>
      <c r="F280" s="149">
        <v>0.47167325428194995</v>
      </c>
      <c r="G280" s="354">
        <v>3891444.46</v>
      </c>
      <c r="H280" s="354">
        <v>2741113.01</v>
      </c>
      <c r="I280" s="358">
        <v>1128138.79</v>
      </c>
      <c r="J280" s="352">
        <f t="shared" si="20"/>
        <v>0.41156230548845563</v>
      </c>
      <c r="M280" s="74">
        <f t="shared" si="21"/>
        <v>759</v>
      </c>
      <c r="N280" s="146">
        <v>44255</v>
      </c>
      <c r="O280" s="74">
        <f t="shared" si="22"/>
        <v>487</v>
      </c>
      <c r="P280" s="353">
        <f t="shared" si="23"/>
        <v>0.35836627140974969</v>
      </c>
    </row>
    <row r="281" spans="1:16" ht="19.5" customHeight="1">
      <c r="A281" s="809" t="str">
        <f>$A$1</f>
        <v>KENTUCKY UTILITIES COMPANY</v>
      </c>
      <c r="B281" s="809"/>
      <c r="C281" s="809"/>
      <c r="D281" s="809"/>
      <c r="E281" s="809"/>
      <c r="F281" s="809"/>
      <c r="G281" s="809"/>
      <c r="H281" s="809"/>
      <c r="I281" s="809"/>
      <c r="J281" s="809"/>
      <c r="K281" s="359"/>
      <c r="L281" s="359"/>
      <c r="M281" s="359"/>
      <c r="N281" s="359"/>
      <c r="O281" s="359"/>
      <c r="P281" s="359"/>
    </row>
    <row r="282" spans="1:16" ht="19.5" customHeight="1">
      <c r="A282" s="809" t="str">
        <f>$A$2</f>
        <v>CASE NO. 2020-00349</v>
      </c>
      <c r="B282" s="809"/>
      <c r="C282" s="809"/>
      <c r="D282" s="809"/>
      <c r="E282" s="809"/>
      <c r="F282" s="809"/>
      <c r="G282" s="809"/>
      <c r="H282" s="809"/>
      <c r="I282" s="809"/>
      <c r="J282" s="809"/>
      <c r="K282" s="359"/>
      <c r="L282" s="359"/>
      <c r="M282" s="359"/>
      <c r="N282" s="359"/>
      <c r="O282" s="359"/>
      <c r="P282" s="359"/>
    </row>
    <row r="283" spans="1:16" ht="19.5" customHeight="1">
      <c r="A283" s="809" t="s">
        <v>1216</v>
      </c>
      <c r="B283" s="809"/>
      <c r="C283" s="809"/>
      <c r="D283" s="809"/>
      <c r="E283" s="809"/>
      <c r="F283" s="809"/>
      <c r="G283" s="809"/>
      <c r="H283" s="809"/>
      <c r="I283" s="809"/>
      <c r="J283" s="809"/>
      <c r="K283" s="359"/>
      <c r="L283" s="359"/>
      <c r="M283" s="359"/>
      <c r="N283" s="359"/>
      <c r="O283" s="359"/>
      <c r="P283" s="359"/>
    </row>
    <row r="284" spans="1:16" ht="19.5" customHeight="1">
      <c r="A284" s="809" t="str">
        <f>$A$4</f>
        <v>AS OF FEBRUARY 28, 2021</v>
      </c>
      <c r="B284" s="809"/>
      <c r="C284" s="809"/>
      <c r="D284" s="809"/>
      <c r="E284" s="809"/>
      <c r="F284" s="809"/>
      <c r="G284" s="809"/>
      <c r="H284" s="809"/>
      <c r="I284" s="809"/>
      <c r="J284" s="809"/>
      <c r="K284" s="359"/>
      <c r="L284" s="359"/>
      <c r="M284" s="359"/>
      <c r="N284" s="359"/>
      <c r="O284" s="359"/>
      <c r="P284" s="359"/>
    </row>
    <row r="285" spans="1:16" ht="19.5" customHeight="1">
      <c r="A285" s="737"/>
      <c r="B285" s="737"/>
      <c r="C285" s="737"/>
      <c r="D285" s="737"/>
      <c r="E285" s="737"/>
      <c r="F285" s="737"/>
      <c r="G285" s="737"/>
      <c r="H285" s="737"/>
      <c r="I285" s="737"/>
      <c r="J285" s="737"/>
      <c r="K285" s="359"/>
      <c r="L285" s="359"/>
      <c r="M285" s="359"/>
      <c r="N285" s="359"/>
      <c r="O285" s="359"/>
      <c r="P285" s="359"/>
    </row>
    <row r="286" spans="1:16" ht="19.5" customHeight="1">
      <c r="A286" s="67" t="str">
        <f>$A$6</f>
        <v>DATA:__X__BASE  PERIOD____FORECASTED  PERIOD</v>
      </c>
      <c r="B286" s="738"/>
      <c r="G286" s="74"/>
      <c r="H286" s="74"/>
      <c r="I286" s="74"/>
      <c r="J286" s="74" t="s">
        <v>1709</v>
      </c>
      <c r="K286" s="359"/>
      <c r="L286" s="359"/>
      <c r="M286" s="359"/>
      <c r="N286" s="359"/>
      <c r="O286" s="359"/>
      <c r="P286" s="359"/>
    </row>
    <row r="287" spans="1:16" ht="19.5" customHeight="1">
      <c r="A287" s="67" t="str">
        <f>$A$7</f>
        <v>TYPE OF FILING: __X__ ORIGINAL  _____ UPDATED  _____ REVISED</v>
      </c>
      <c r="B287" s="739"/>
      <c r="G287" s="74"/>
      <c r="H287" s="74"/>
      <c r="I287" s="74"/>
      <c r="J287" s="74" t="s">
        <v>3742</v>
      </c>
      <c r="K287" s="359"/>
      <c r="L287" s="359"/>
      <c r="M287" s="359"/>
      <c r="N287" s="359"/>
      <c r="O287" s="359"/>
      <c r="P287" s="359"/>
    </row>
    <row r="288" spans="1:16" ht="19.5" customHeight="1">
      <c r="A288" s="67" t="str">
        <f>$A$8</f>
        <v>WORKPAPER REFERENCE NO(S).:</v>
      </c>
      <c r="B288" s="738"/>
      <c r="F288" s="67"/>
      <c r="G288" s="75"/>
      <c r="H288" s="75"/>
      <c r="I288" s="75"/>
      <c r="J288" s="75" t="str">
        <f>$J$8</f>
        <v>WITNESS:   C. M. GARRETT</v>
      </c>
      <c r="K288" s="359"/>
      <c r="L288" s="359"/>
      <c r="M288" s="359"/>
      <c r="N288" s="359"/>
      <c r="O288" s="359"/>
      <c r="P288" s="359"/>
    </row>
    <row r="289" spans="1:16" ht="19.5" customHeight="1">
      <c r="B289" s="739"/>
      <c r="K289" s="359"/>
      <c r="L289" s="359"/>
      <c r="M289" s="359"/>
      <c r="N289" s="359"/>
      <c r="O289" s="359"/>
      <c r="P289" s="359"/>
    </row>
    <row r="290" spans="1:16" ht="60" customHeight="1">
      <c r="A290" s="76" t="s">
        <v>131</v>
      </c>
      <c r="B290" s="76" t="s">
        <v>1219</v>
      </c>
      <c r="C290" s="76" t="s">
        <v>1220</v>
      </c>
      <c r="D290" s="142" t="s">
        <v>1222</v>
      </c>
      <c r="E290" s="142" t="s">
        <v>1223</v>
      </c>
      <c r="F290" s="76" t="s">
        <v>1224</v>
      </c>
      <c r="G290" s="76" t="s">
        <v>1225</v>
      </c>
      <c r="H290" s="76" t="s">
        <v>1226</v>
      </c>
      <c r="I290" s="76" t="s">
        <v>1227</v>
      </c>
      <c r="J290" s="76" t="s">
        <v>1228</v>
      </c>
      <c r="K290" s="359"/>
      <c r="L290" s="359"/>
      <c r="M290" s="360" t="s">
        <v>1236</v>
      </c>
      <c r="N290" s="360" t="s">
        <v>1237</v>
      </c>
      <c r="O290" s="360" t="s">
        <v>1238</v>
      </c>
      <c r="P290" s="360" t="s">
        <v>1224</v>
      </c>
    </row>
    <row r="291" spans="1:16" ht="18.75" customHeight="1">
      <c r="A291" s="80" t="s">
        <v>1217</v>
      </c>
      <c r="B291" s="80" t="s">
        <v>1218</v>
      </c>
      <c r="C291" s="80" t="s">
        <v>1221</v>
      </c>
      <c r="D291" s="355" t="s">
        <v>1229</v>
      </c>
      <c r="E291" s="355" t="s">
        <v>1230</v>
      </c>
      <c r="F291" s="356" t="s">
        <v>1231</v>
      </c>
      <c r="G291" s="356" t="s">
        <v>1232</v>
      </c>
      <c r="H291" s="356" t="s">
        <v>1233</v>
      </c>
      <c r="I291" s="356" t="s">
        <v>1234</v>
      </c>
      <c r="J291" s="356" t="s">
        <v>1235</v>
      </c>
      <c r="K291" s="359"/>
      <c r="L291" s="359"/>
      <c r="M291" s="359"/>
      <c r="N291" s="359"/>
      <c r="O291" s="359"/>
      <c r="P291" s="359"/>
    </row>
    <row r="292" spans="1:16" ht="18.7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  <c r="K292" s="359"/>
      <c r="L292" s="359"/>
      <c r="M292" s="359"/>
      <c r="N292" s="359"/>
      <c r="O292" s="359"/>
      <c r="P292" s="359"/>
    </row>
    <row r="293" spans="1:16" ht="18.75" customHeight="1">
      <c r="A293" s="739">
        <f>A280+1</f>
        <v>221</v>
      </c>
      <c r="B293" s="357" t="s">
        <v>3174</v>
      </c>
      <c r="C293" s="354" t="s">
        <v>3175</v>
      </c>
      <c r="D293" s="145">
        <v>44044</v>
      </c>
      <c r="E293" s="146">
        <v>44286</v>
      </c>
      <c r="F293" s="149">
        <v>1.2314049586776858</v>
      </c>
      <c r="G293" s="354">
        <v>1908530.93</v>
      </c>
      <c r="H293" s="354">
        <v>110475.36</v>
      </c>
      <c r="I293" s="358">
        <v>62472.65</v>
      </c>
      <c r="J293" s="352">
        <f t="shared" ref="J293:J336" si="25">I293/H293</f>
        <v>0.56548944488617192</v>
      </c>
      <c r="M293" s="74">
        <f t="shared" ref="M293:M336" si="26">E293-D293</f>
        <v>242</v>
      </c>
      <c r="N293" s="146">
        <v>44255</v>
      </c>
      <c r="O293" s="74">
        <f t="shared" ref="O293:O336" si="27">E293-N293</f>
        <v>31</v>
      </c>
      <c r="P293" s="353">
        <f t="shared" ref="P293:P336" si="28">(M293-O293)/M293</f>
        <v>0.87190082644628097</v>
      </c>
    </row>
    <row r="294" spans="1:16" ht="18.75" customHeight="1">
      <c r="A294" s="739">
        <f t="shared" ref="A294:A336" si="29">A293+1</f>
        <v>222</v>
      </c>
      <c r="B294" s="357" t="s">
        <v>3176</v>
      </c>
      <c r="C294" s="354" t="s">
        <v>3177</v>
      </c>
      <c r="D294" s="145">
        <v>43952</v>
      </c>
      <c r="E294" s="146">
        <v>44227</v>
      </c>
      <c r="F294" s="149">
        <v>1.4218181818181819</v>
      </c>
      <c r="G294" s="354">
        <v>150466.85</v>
      </c>
      <c r="H294" s="354">
        <v>268734.90000000002</v>
      </c>
      <c r="I294" s="358">
        <v>-5.8207660913467407E-11</v>
      </c>
      <c r="J294" s="352">
        <f t="shared" si="25"/>
        <v>-2.1659881509051262E-16</v>
      </c>
      <c r="M294" s="74">
        <f t="shared" si="26"/>
        <v>275</v>
      </c>
      <c r="N294" s="146">
        <v>44255</v>
      </c>
      <c r="O294" s="74">
        <f t="shared" si="27"/>
        <v>-28</v>
      </c>
      <c r="P294" s="353">
        <f t="shared" si="28"/>
        <v>1.1018181818181818</v>
      </c>
    </row>
    <row r="295" spans="1:16" ht="18.75" customHeight="1">
      <c r="A295" s="739">
        <f t="shared" si="29"/>
        <v>223</v>
      </c>
      <c r="B295" s="357" t="s">
        <v>3178</v>
      </c>
      <c r="C295" s="354" t="s">
        <v>3179</v>
      </c>
      <c r="D295" s="145">
        <v>43862</v>
      </c>
      <c r="E295" s="146">
        <v>44742</v>
      </c>
      <c r="F295" s="149">
        <v>0.54772727272727273</v>
      </c>
      <c r="G295" s="354">
        <v>5020890.2700000005</v>
      </c>
      <c r="H295" s="354">
        <v>4931705.6500000004</v>
      </c>
      <c r="I295" s="358">
        <v>137114.9</v>
      </c>
      <c r="J295" s="352">
        <f t="shared" si="25"/>
        <v>2.7802733928372222E-2</v>
      </c>
      <c r="M295" s="74">
        <f t="shared" si="26"/>
        <v>880</v>
      </c>
      <c r="N295" s="146">
        <v>44255</v>
      </c>
      <c r="O295" s="74">
        <f t="shared" si="27"/>
        <v>487</v>
      </c>
      <c r="P295" s="353">
        <f t="shared" si="28"/>
        <v>0.44659090909090909</v>
      </c>
    </row>
    <row r="296" spans="1:16" ht="18.75" customHeight="1">
      <c r="A296" s="739">
        <f t="shared" si="29"/>
        <v>224</v>
      </c>
      <c r="B296" s="357" t="s">
        <v>3180</v>
      </c>
      <c r="C296" s="354" t="s">
        <v>3181</v>
      </c>
      <c r="D296" s="145">
        <v>44013</v>
      </c>
      <c r="E296" s="146">
        <v>44286</v>
      </c>
      <c r="F296" s="149">
        <v>1.216117216117216</v>
      </c>
      <c r="G296" s="354">
        <v>100380.17</v>
      </c>
      <c r="H296" s="354">
        <v>129194.14</v>
      </c>
      <c r="I296" s="358">
        <v>66012.149999999994</v>
      </c>
      <c r="J296" s="352">
        <f t="shared" si="25"/>
        <v>0.51095312836944462</v>
      </c>
      <c r="M296" s="74">
        <f t="shared" si="26"/>
        <v>273</v>
      </c>
      <c r="N296" s="146">
        <v>44255</v>
      </c>
      <c r="O296" s="74">
        <f t="shared" si="27"/>
        <v>31</v>
      </c>
      <c r="P296" s="353">
        <f t="shared" si="28"/>
        <v>0.88644688644688641</v>
      </c>
    </row>
    <row r="297" spans="1:16" ht="18.75" customHeight="1">
      <c r="A297" s="739">
        <f t="shared" si="29"/>
        <v>225</v>
      </c>
      <c r="B297" s="357" t="s">
        <v>3182</v>
      </c>
      <c r="C297" s="354" t="s">
        <v>3183</v>
      </c>
      <c r="D297" s="145">
        <v>44228</v>
      </c>
      <c r="E297" s="146">
        <v>44286</v>
      </c>
      <c r="F297" s="149">
        <v>2.0344827586206895</v>
      </c>
      <c r="G297" s="354">
        <v>125474.14</v>
      </c>
      <c r="H297" s="354">
        <v>123418.51000000001</v>
      </c>
      <c r="I297" s="358">
        <v>72929.69</v>
      </c>
      <c r="J297" s="352">
        <f t="shared" si="25"/>
        <v>0.59091371302408369</v>
      </c>
      <c r="M297" s="74">
        <f t="shared" si="26"/>
        <v>58</v>
      </c>
      <c r="N297" s="146">
        <v>44255</v>
      </c>
      <c r="O297" s="74">
        <f t="shared" si="27"/>
        <v>31</v>
      </c>
      <c r="P297" s="353">
        <f t="shared" si="28"/>
        <v>0.46551724137931033</v>
      </c>
    </row>
    <row r="298" spans="1:16" ht="18.75" customHeight="1">
      <c r="A298" s="739">
        <f t="shared" si="29"/>
        <v>226</v>
      </c>
      <c r="B298" s="357" t="s">
        <v>3184</v>
      </c>
      <c r="C298" s="354" t="s">
        <v>3185</v>
      </c>
      <c r="D298" s="145">
        <v>44228</v>
      </c>
      <c r="E298" s="146">
        <v>44286</v>
      </c>
      <c r="F298" s="149">
        <v>2.0517241379310347</v>
      </c>
      <c r="G298" s="354">
        <v>150538.01</v>
      </c>
      <c r="H298" s="354">
        <v>110966.73</v>
      </c>
      <c r="I298" s="358">
        <v>70709.990000000005</v>
      </c>
      <c r="J298" s="352">
        <f t="shared" si="25"/>
        <v>0.63721793009490324</v>
      </c>
      <c r="M298" s="74">
        <f t="shared" si="26"/>
        <v>58</v>
      </c>
      <c r="N298" s="146">
        <v>44255</v>
      </c>
      <c r="O298" s="74">
        <f t="shared" si="27"/>
        <v>31</v>
      </c>
      <c r="P298" s="353">
        <f t="shared" si="28"/>
        <v>0.46551724137931033</v>
      </c>
    </row>
    <row r="299" spans="1:16" ht="18.75" customHeight="1">
      <c r="A299" s="739">
        <f t="shared" si="29"/>
        <v>227</v>
      </c>
      <c r="B299" s="357" t="s">
        <v>3186</v>
      </c>
      <c r="C299" s="354" t="s">
        <v>3187</v>
      </c>
      <c r="D299" s="145">
        <v>43770</v>
      </c>
      <c r="E299" s="146">
        <v>44469</v>
      </c>
      <c r="F299" s="149">
        <v>0.82689556509299</v>
      </c>
      <c r="G299" s="354">
        <v>5822258.5199999996</v>
      </c>
      <c r="H299" s="354">
        <v>1788044.88</v>
      </c>
      <c r="I299" s="358">
        <v>43804.710000000006</v>
      </c>
      <c r="J299" s="352">
        <f t="shared" si="25"/>
        <v>2.4498663590591756E-2</v>
      </c>
      <c r="M299" s="74">
        <f t="shared" si="26"/>
        <v>699</v>
      </c>
      <c r="N299" s="146">
        <v>44255</v>
      </c>
      <c r="O299" s="74">
        <f t="shared" si="27"/>
        <v>214</v>
      </c>
      <c r="P299" s="353">
        <f t="shared" si="28"/>
        <v>0.6938483547925608</v>
      </c>
    </row>
    <row r="300" spans="1:16" ht="18.75" customHeight="1">
      <c r="A300" s="739">
        <f t="shared" si="29"/>
        <v>228</v>
      </c>
      <c r="B300" s="357" t="s">
        <v>3188</v>
      </c>
      <c r="C300" s="354" t="s">
        <v>3189</v>
      </c>
      <c r="D300" s="145">
        <v>43983</v>
      </c>
      <c r="E300" s="146">
        <v>44681</v>
      </c>
      <c r="F300" s="149">
        <v>0.52435530085959881</v>
      </c>
      <c r="G300" s="354">
        <v>2895045.52</v>
      </c>
      <c r="H300" s="354">
        <v>2980773.3400000003</v>
      </c>
      <c r="I300" s="358">
        <v>142688.53999999998</v>
      </c>
      <c r="J300" s="352">
        <f t="shared" si="25"/>
        <v>4.7869637749779377E-2</v>
      </c>
      <c r="M300" s="74">
        <f t="shared" si="26"/>
        <v>698</v>
      </c>
      <c r="N300" s="146">
        <v>44255</v>
      </c>
      <c r="O300" s="74">
        <f t="shared" si="27"/>
        <v>426</v>
      </c>
      <c r="P300" s="353">
        <f t="shared" si="28"/>
        <v>0.38968481375358166</v>
      </c>
    </row>
    <row r="301" spans="1:16" ht="18.75" customHeight="1">
      <c r="A301" s="739">
        <f t="shared" si="29"/>
        <v>229</v>
      </c>
      <c r="B301" s="357" t="s">
        <v>3190</v>
      </c>
      <c r="C301" s="354" t="s">
        <v>3191</v>
      </c>
      <c r="D301" s="145">
        <v>43983</v>
      </c>
      <c r="E301" s="146">
        <v>44742</v>
      </c>
      <c r="F301" s="149">
        <v>0.48353096179183136</v>
      </c>
      <c r="G301" s="354">
        <v>3261108.2399999998</v>
      </c>
      <c r="H301" s="354">
        <v>3709517.48</v>
      </c>
      <c r="I301" s="358">
        <v>719290.83</v>
      </c>
      <c r="J301" s="352">
        <f t="shared" si="25"/>
        <v>0.19390414895686109</v>
      </c>
      <c r="M301" s="74">
        <f t="shared" si="26"/>
        <v>759</v>
      </c>
      <c r="N301" s="146">
        <v>44255</v>
      </c>
      <c r="O301" s="74">
        <f t="shared" si="27"/>
        <v>487</v>
      </c>
      <c r="P301" s="353">
        <f t="shared" si="28"/>
        <v>0.35836627140974969</v>
      </c>
    </row>
    <row r="302" spans="1:16" ht="18.75" customHeight="1">
      <c r="A302" s="739">
        <f t="shared" si="29"/>
        <v>230</v>
      </c>
      <c r="B302" s="357" t="s">
        <v>3192</v>
      </c>
      <c r="C302" s="354" t="s">
        <v>3193</v>
      </c>
      <c r="D302" s="145">
        <v>43739</v>
      </c>
      <c r="E302" s="146">
        <v>44561</v>
      </c>
      <c r="F302" s="149">
        <v>0.74452554744525545</v>
      </c>
      <c r="G302" s="354">
        <v>2247694.86</v>
      </c>
      <c r="H302" s="354">
        <v>2033258.29</v>
      </c>
      <c r="I302" s="358">
        <v>300817.79000000004</v>
      </c>
      <c r="J302" s="352">
        <f t="shared" si="25"/>
        <v>0.14794863568464783</v>
      </c>
      <c r="M302" s="74">
        <f t="shared" si="26"/>
        <v>822</v>
      </c>
      <c r="N302" s="146">
        <v>44255</v>
      </c>
      <c r="O302" s="74">
        <f t="shared" si="27"/>
        <v>306</v>
      </c>
      <c r="P302" s="353">
        <f t="shared" si="28"/>
        <v>0.62773722627737227</v>
      </c>
    </row>
    <row r="303" spans="1:16" ht="18.75" customHeight="1">
      <c r="A303" s="739">
        <f t="shared" si="29"/>
        <v>231</v>
      </c>
      <c r="B303" s="357" t="s">
        <v>3194</v>
      </c>
      <c r="C303" s="354" t="s">
        <v>3195</v>
      </c>
      <c r="D303" s="145">
        <v>43617</v>
      </c>
      <c r="E303" s="146">
        <v>45473</v>
      </c>
      <c r="F303" s="149">
        <v>0.39601293103448276</v>
      </c>
      <c r="G303" s="354">
        <v>9719007.3200000003</v>
      </c>
      <c r="H303" s="354">
        <v>9141094.790000001</v>
      </c>
      <c r="I303" s="358">
        <v>4639460.1900000004</v>
      </c>
      <c r="J303" s="352">
        <f t="shared" si="25"/>
        <v>0.50753879011028169</v>
      </c>
      <c r="M303" s="74">
        <f t="shared" si="26"/>
        <v>1856</v>
      </c>
      <c r="N303" s="146">
        <v>44255</v>
      </c>
      <c r="O303" s="74">
        <f t="shared" si="27"/>
        <v>1218</v>
      </c>
      <c r="P303" s="353">
        <f t="shared" si="28"/>
        <v>0.34375</v>
      </c>
    </row>
    <row r="304" spans="1:16" ht="18.75" customHeight="1">
      <c r="A304" s="739">
        <f t="shared" si="29"/>
        <v>232</v>
      </c>
      <c r="B304" s="357" t="s">
        <v>3196</v>
      </c>
      <c r="C304" s="354" t="s">
        <v>3197</v>
      </c>
      <c r="D304" s="145">
        <v>43617</v>
      </c>
      <c r="E304" s="146">
        <v>45473</v>
      </c>
      <c r="F304" s="149">
        <v>0.39655172413793105</v>
      </c>
      <c r="G304" s="354">
        <v>9146869.3399999999</v>
      </c>
      <c r="H304" s="354">
        <v>9226890.1400000006</v>
      </c>
      <c r="I304" s="358">
        <v>183947.2</v>
      </c>
      <c r="J304" s="352">
        <f t="shared" si="25"/>
        <v>1.9935991131243707E-2</v>
      </c>
      <c r="M304" s="74">
        <f t="shared" si="26"/>
        <v>1856</v>
      </c>
      <c r="N304" s="146">
        <v>44255</v>
      </c>
      <c r="O304" s="74">
        <f t="shared" si="27"/>
        <v>1218</v>
      </c>
      <c r="P304" s="353">
        <f t="shared" si="28"/>
        <v>0.34375</v>
      </c>
    </row>
    <row r="305" spans="1:16" ht="18.75" customHeight="1">
      <c r="A305" s="739">
        <f t="shared" si="29"/>
        <v>233</v>
      </c>
      <c r="B305" s="357" t="s">
        <v>3198</v>
      </c>
      <c r="C305" s="354" t="s">
        <v>3199</v>
      </c>
      <c r="D305" s="145">
        <v>43617</v>
      </c>
      <c r="E305" s="146">
        <v>45688</v>
      </c>
      <c r="F305" s="149">
        <v>0.35586673104780298</v>
      </c>
      <c r="G305" s="354">
        <v>9146869.0199999996</v>
      </c>
      <c r="H305" s="354">
        <v>14665056.1</v>
      </c>
      <c r="I305" s="358">
        <v>137082.48000000001</v>
      </c>
      <c r="J305" s="352">
        <f t="shared" si="25"/>
        <v>9.347559195494657E-3</v>
      </c>
      <c r="M305" s="74">
        <f t="shared" si="26"/>
        <v>2071</v>
      </c>
      <c r="N305" s="146">
        <v>44255</v>
      </c>
      <c r="O305" s="74">
        <f t="shared" si="27"/>
        <v>1433</v>
      </c>
      <c r="P305" s="353">
        <f t="shared" si="28"/>
        <v>0.30806373732496378</v>
      </c>
    </row>
    <row r="306" spans="1:16" ht="18.75" customHeight="1">
      <c r="A306" s="739">
        <f t="shared" si="29"/>
        <v>234</v>
      </c>
      <c r="B306" s="357" t="s">
        <v>3200</v>
      </c>
      <c r="C306" s="354" t="s">
        <v>3201</v>
      </c>
      <c r="D306" s="145">
        <v>43983</v>
      </c>
      <c r="E306" s="146">
        <v>44561</v>
      </c>
      <c r="F306" s="149">
        <v>0.643598615916955</v>
      </c>
      <c r="G306" s="354">
        <v>2056317.1099999999</v>
      </c>
      <c r="H306" s="354">
        <v>2056317.1099999999</v>
      </c>
      <c r="I306" s="358">
        <v>50031.44</v>
      </c>
      <c r="J306" s="352">
        <f t="shared" si="25"/>
        <v>2.4330605312134958E-2</v>
      </c>
      <c r="M306" s="74">
        <f t="shared" si="26"/>
        <v>578</v>
      </c>
      <c r="N306" s="146">
        <v>44255</v>
      </c>
      <c r="O306" s="74">
        <f t="shared" si="27"/>
        <v>306</v>
      </c>
      <c r="P306" s="353">
        <f t="shared" si="28"/>
        <v>0.47058823529411764</v>
      </c>
    </row>
    <row r="307" spans="1:16" ht="18.75" customHeight="1">
      <c r="A307" s="739">
        <f t="shared" si="29"/>
        <v>235</v>
      </c>
      <c r="B307" s="357" t="s">
        <v>3202</v>
      </c>
      <c r="C307" s="354" t="s">
        <v>3203</v>
      </c>
      <c r="D307" s="145">
        <v>43983</v>
      </c>
      <c r="E307" s="146">
        <v>44561</v>
      </c>
      <c r="F307" s="149">
        <v>0.6453287197231834</v>
      </c>
      <c r="G307" s="354">
        <v>3907073.1599999997</v>
      </c>
      <c r="H307" s="354">
        <v>3907073.1599999997</v>
      </c>
      <c r="I307" s="358">
        <v>50031.44</v>
      </c>
      <c r="J307" s="352">
        <f t="shared" si="25"/>
        <v>1.280535018187374E-2</v>
      </c>
      <c r="M307" s="74">
        <f t="shared" si="26"/>
        <v>578</v>
      </c>
      <c r="N307" s="146">
        <v>44255</v>
      </c>
      <c r="O307" s="74">
        <f t="shared" si="27"/>
        <v>306</v>
      </c>
      <c r="P307" s="353">
        <f t="shared" si="28"/>
        <v>0.47058823529411764</v>
      </c>
    </row>
    <row r="308" spans="1:16" ht="18.75" customHeight="1">
      <c r="A308" s="739">
        <f t="shared" si="29"/>
        <v>236</v>
      </c>
      <c r="B308" s="357" t="s">
        <v>3204</v>
      </c>
      <c r="C308" s="354" t="s">
        <v>3205</v>
      </c>
      <c r="D308" s="145">
        <v>44013</v>
      </c>
      <c r="E308" s="146">
        <v>44286</v>
      </c>
      <c r="F308" s="149">
        <v>1.26007326007326</v>
      </c>
      <c r="G308" s="354">
        <v>214747.54</v>
      </c>
      <c r="H308" s="354">
        <v>214747.54</v>
      </c>
      <c r="I308" s="358">
        <v>114515.63</v>
      </c>
      <c r="J308" s="352">
        <f t="shared" si="25"/>
        <v>0.5332570049463663</v>
      </c>
      <c r="M308" s="74">
        <f t="shared" si="26"/>
        <v>273</v>
      </c>
      <c r="N308" s="146">
        <v>44255</v>
      </c>
      <c r="O308" s="74">
        <f t="shared" si="27"/>
        <v>31</v>
      </c>
      <c r="P308" s="353">
        <f t="shared" si="28"/>
        <v>0.88644688644688641</v>
      </c>
    </row>
    <row r="309" spans="1:16" ht="18.75" customHeight="1">
      <c r="A309" s="739">
        <f t="shared" si="29"/>
        <v>237</v>
      </c>
      <c r="B309" s="357" t="s">
        <v>3206</v>
      </c>
      <c r="C309" s="354" t="s">
        <v>3207</v>
      </c>
      <c r="D309" s="145">
        <v>44013</v>
      </c>
      <c r="E309" s="146">
        <v>44286</v>
      </c>
      <c r="F309" s="149">
        <v>1.2637362637362637</v>
      </c>
      <c r="G309" s="354">
        <v>122504.13</v>
      </c>
      <c r="H309" s="354">
        <v>122504.13</v>
      </c>
      <c r="I309" s="358">
        <v>68449.180000000008</v>
      </c>
      <c r="J309" s="352">
        <f t="shared" si="25"/>
        <v>0.55874997847011365</v>
      </c>
      <c r="M309" s="74">
        <f t="shared" si="26"/>
        <v>273</v>
      </c>
      <c r="N309" s="146">
        <v>44255</v>
      </c>
      <c r="O309" s="74">
        <f t="shared" si="27"/>
        <v>31</v>
      </c>
      <c r="P309" s="353">
        <f t="shared" si="28"/>
        <v>0.88644688644688641</v>
      </c>
    </row>
    <row r="310" spans="1:16" ht="18.75" customHeight="1">
      <c r="A310" s="739">
        <f t="shared" si="29"/>
        <v>238</v>
      </c>
      <c r="B310" s="357" t="s">
        <v>3208</v>
      </c>
      <c r="C310" s="354" t="s">
        <v>3209</v>
      </c>
      <c r="D310" s="145">
        <v>43891</v>
      </c>
      <c r="E310" s="146">
        <v>44530</v>
      </c>
      <c r="F310" s="149">
        <v>0.73239436619718312</v>
      </c>
      <c r="G310" s="354">
        <v>3011419.1799999997</v>
      </c>
      <c r="H310" s="354">
        <v>3011419.1799999997</v>
      </c>
      <c r="I310" s="358">
        <v>1050575.73</v>
      </c>
      <c r="J310" s="352">
        <f t="shared" si="25"/>
        <v>0.34886399640982563</v>
      </c>
      <c r="M310" s="74">
        <f t="shared" si="26"/>
        <v>639</v>
      </c>
      <c r="N310" s="146">
        <v>44255</v>
      </c>
      <c r="O310" s="74">
        <f t="shared" si="27"/>
        <v>275</v>
      </c>
      <c r="P310" s="353">
        <f t="shared" si="28"/>
        <v>0.56964006259780908</v>
      </c>
    </row>
    <row r="311" spans="1:16" ht="18.75" customHeight="1">
      <c r="A311" s="739">
        <f t="shared" si="29"/>
        <v>239</v>
      </c>
      <c r="B311" s="357" t="s">
        <v>3210</v>
      </c>
      <c r="C311" s="354" t="s">
        <v>3211</v>
      </c>
      <c r="D311" s="145">
        <v>43983</v>
      </c>
      <c r="E311" s="146">
        <v>44377</v>
      </c>
      <c r="F311" s="149">
        <v>0.95685279187817263</v>
      </c>
      <c r="G311" s="354">
        <v>5031572.9800000004</v>
      </c>
      <c r="H311" s="354">
        <v>5031572.9800000004</v>
      </c>
      <c r="I311" s="358">
        <v>2556978.6199999996</v>
      </c>
      <c r="J311" s="352">
        <f t="shared" si="25"/>
        <v>0.50818673010681437</v>
      </c>
      <c r="M311" s="74">
        <f t="shared" si="26"/>
        <v>394</v>
      </c>
      <c r="N311" s="146">
        <v>44255</v>
      </c>
      <c r="O311" s="74">
        <f t="shared" si="27"/>
        <v>122</v>
      </c>
      <c r="P311" s="353">
        <f t="shared" si="28"/>
        <v>0.69035532994923854</v>
      </c>
    </row>
    <row r="312" spans="1:16" ht="18.75" customHeight="1">
      <c r="A312" s="739">
        <f t="shared" si="29"/>
        <v>240</v>
      </c>
      <c r="B312" s="357" t="s">
        <v>3212</v>
      </c>
      <c r="C312" s="354" t="s">
        <v>3213</v>
      </c>
      <c r="D312" s="145">
        <v>44044</v>
      </c>
      <c r="E312" s="146">
        <v>44561</v>
      </c>
      <c r="F312" s="149">
        <v>0.61315280464216637</v>
      </c>
      <c r="G312" s="354">
        <v>4713219.3900000006</v>
      </c>
      <c r="H312" s="354">
        <v>4713219.3900000006</v>
      </c>
      <c r="I312" s="358">
        <v>1537789.5100000002</v>
      </c>
      <c r="J312" s="352">
        <f t="shared" si="25"/>
        <v>0.32627157421585673</v>
      </c>
      <c r="M312" s="74">
        <f t="shared" si="26"/>
        <v>517</v>
      </c>
      <c r="N312" s="146">
        <v>44255</v>
      </c>
      <c r="O312" s="74">
        <f t="shared" si="27"/>
        <v>306</v>
      </c>
      <c r="P312" s="353">
        <f t="shared" si="28"/>
        <v>0.40812379110251451</v>
      </c>
    </row>
    <row r="313" spans="1:16" ht="18.75" customHeight="1">
      <c r="A313" s="739">
        <f t="shared" si="29"/>
        <v>241</v>
      </c>
      <c r="B313" s="357" t="s">
        <v>3214</v>
      </c>
      <c r="C313" s="354" t="s">
        <v>3215</v>
      </c>
      <c r="D313" s="145">
        <v>43983</v>
      </c>
      <c r="E313" s="146">
        <v>44681</v>
      </c>
      <c r="F313" s="149">
        <v>0.54297994269340977</v>
      </c>
      <c r="G313" s="354">
        <v>1572724.92</v>
      </c>
      <c r="H313" s="354">
        <v>1572724.92</v>
      </c>
      <c r="I313" s="358">
        <v>154476.84000000003</v>
      </c>
      <c r="J313" s="352">
        <f t="shared" si="25"/>
        <v>9.8222415144283481E-2</v>
      </c>
      <c r="M313" s="74">
        <f t="shared" si="26"/>
        <v>698</v>
      </c>
      <c r="N313" s="146">
        <v>44255</v>
      </c>
      <c r="O313" s="74">
        <f t="shared" si="27"/>
        <v>426</v>
      </c>
      <c r="P313" s="353">
        <f t="shared" si="28"/>
        <v>0.38968481375358166</v>
      </c>
    </row>
    <row r="314" spans="1:16" ht="18.75" customHeight="1">
      <c r="A314" s="739">
        <f t="shared" si="29"/>
        <v>242</v>
      </c>
      <c r="B314" s="357" t="s">
        <v>3216</v>
      </c>
      <c r="C314" s="354" t="s">
        <v>3217</v>
      </c>
      <c r="D314" s="145">
        <v>44075</v>
      </c>
      <c r="E314" s="146">
        <v>44742</v>
      </c>
      <c r="F314" s="149">
        <v>0.43178410794602701</v>
      </c>
      <c r="G314" s="354">
        <v>1908790.6</v>
      </c>
      <c r="H314" s="354">
        <v>1908790.6</v>
      </c>
      <c r="I314" s="358">
        <v>338897.31000000006</v>
      </c>
      <c r="J314" s="352">
        <f t="shared" si="25"/>
        <v>0.1775455673346254</v>
      </c>
      <c r="M314" s="74">
        <f t="shared" si="26"/>
        <v>667</v>
      </c>
      <c r="N314" s="146">
        <v>44255</v>
      </c>
      <c r="O314" s="74">
        <f t="shared" si="27"/>
        <v>487</v>
      </c>
      <c r="P314" s="353">
        <f t="shared" si="28"/>
        <v>0.26986506746626687</v>
      </c>
    </row>
    <row r="315" spans="1:16" ht="18.75" customHeight="1">
      <c r="A315" s="739">
        <f t="shared" si="29"/>
        <v>243</v>
      </c>
      <c r="B315" s="357" t="s">
        <v>3218</v>
      </c>
      <c r="C315" s="354" t="s">
        <v>3219</v>
      </c>
      <c r="D315" s="145">
        <v>43983</v>
      </c>
      <c r="E315" s="146">
        <v>44286</v>
      </c>
      <c r="F315" s="149">
        <v>1.2574257425742574</v>
      </c>
      <c r="G315" s="354">
        <v>589600.49</v>
      </c>
      <c r="H315" s="354">
        <v>589600.49</v>
      </c>
      <c r="I315" s="358">
        <v>413378.07999999996</v>
      </c>
      <c r="J315" s="352">
        <f t="shared" si="25"/>
        <v>0.70111556386257412</v>
      </c>
      <c r="M315" s="74">
        <f t="shared" si="26"/>
        <v>303</v>
      </c>
      <c r="N315" s="146">
        <v>44255</v>
      </c>
      <c r="O315" s="74">
        <f t="shared" si="27"/>
        <v>31</v>
      </c>
      <c r="P315" s="353">
        <f t="shared" si="28"/>
        <v>0.89768976897689767</v>
      </c>
    </row>
    <row r="316" spans="1:16" ht="18.75" customHeight="1">
      <c r="A316" s="739">
        <f t="shared" si="29"/>
        <v>244</v>
      </c>
      <c r="B316" s="357" t="s">
        <v>3220</v>
      </c>
      <c r="C316" s="354" t="s">
        <v>3221</v>
      </c>
      <c r="D316" s="145">
        <v>44013</v>
      </c>
      <c r="E316" s="146">
        <v>44286</v>
      </c>
      <c r="F316" s="149">
        <v>1.2893772893772895</v>
      </c>
      <c r="G316" s="354">
        <v>183718.65000000002</v>
      </c>
      <c r="H316" s="354">
        <v>183718.65000000002</v>
      </c>
      <c r="I316" s="358">
        <v>139654.65000000002</v>
      </c>
      <c r="J316" s="352">
        <f t="shared" si="25"/>
        <v>0.76015499787310659</v>
      </c>
      <c r="M316" s="74">
        <f t="shared" si="26"/>
        <v>273</v>
      </c>
      <c r="N316" s="146">
        <v>44255</v>
      </c>
      <c r="O316" s="74">
        <f t="shared" si="27"/>
        <v>31</v>
      </c>
      <c r="P316" s="353">
        <f t="shared" si="28"/>
        <v>0.88644688644688641</v>
      </c>
    </row>
    <row r="317" spans="1:16" ht="18.75" customHeight="1">
      <c r="A317" s="739">
        <f t="shared" si="29"/>
        <v>245</v>
      </c>
      <c r="B317" s="357" t="s">
        <v>3222</v>
      </c>
      <c r="C317" s="354" t="s">
        <v>3223</v>
      </c>
      <c r="D317" s="145">
        <v>43374</v>
      </c>
      <c r="E317" s="146">
        <v>44316</v>
      </c>
      <c r="F317" s="149">
        <v>1.0530785562632696</v>
      </c>
      <c r="G317" s="354">
        <v>99999.96</v>
      </c>
      <c r="H317" s="354">
        <v>268043.78999999998</v>
      </c>
      <c r="I317" s="358">
        <v>416162.06</v>
      </c>
      <c r="J317" s="352">
        <f t="shared" si="25"/>
        <v>1.5525898212377911</v>
      </c>
      <c r="M317" s="74">
        <f t="shared" si="26"/>
        <v>942</v>
      </c>
      <c r="N317" s="146">
        <v>44255</v>
      </c>
      <c r="O317" s="74">
        <f t="shared" si="27"/>
        <v>61</v>
      </c>
      <c r="P317" s="353">
        <f t="shared" si="28"/>
        <v>0.93524416135881105</v>
      </c>
    </row>
    <row r="318" spans="1:16" ht="18.75" customHeight="1">
      <c r="A318" s="739">
        <f t="shared" si="29"/>
        <v>246</v>
      </c>
      <c r="B318" s="357" t="s">
        <v>3224</v>
      </c>
      <c r="C318" s="354" t="s">
        <v>3225</v>
      </c>
      <c r="D318" s="145">
        <v>43709</v>
      </c>
      <c r="E318" s="146">
        <v>44377</v>
      </c>
      <c r="F318" s="149">
        <v>0.98502994011976053</v>
      </c>
      <c r="G318" s="354">
        <v>249999.96</v>
      </c>
      <c r="H318" s="354">
        <v>446297.87</v>
      </c>
      <c r="I318" s="358">
        <v>441632.28</v>
      </c>
      <c r="J318" s="352">
        <f t="shared" si="25"/>
        <v>0.98954601777507933</v>
      </c>
      <c r="M318" s="74">
        <f t="shared" si="26"/>
        <v>668</v>
      </c>
      <c r="N318" s="146">
        <v>44255</v>
      </c>
      <c r="O318" s="74">
        <f t="shared" si="27"/>
        <v>122</v>
      </c>
      <c r="P318" s="353">
        <f t="shared" si="28"/>
        <v>0.81736526946107779</v>
      </c>
    </row>
    <row r="319" spans="1:16" ht="18.75" customHeight="1">
      <c r="A319" s="739">
        <f t="shared" si="29"/>
        <v>247</v>
      </c>
      <c r="B319" s="357" t="s">
        <v>2625</v>
      </c>
      <c r="C319" s="354" t="s">
        <v>2626</v>
      </c>
      <c r="D319" s="145">
        <v>44197</v>
      </c>
      <c r="E319" s="146">
        <v>44651</v>
      </c>
      <c r="F319" s="149">
        <v>0.37665198237885461</v>
      </c>
      <c r="G319" s="354">
        <v>1200000</v>
      </c>
      <c r="H319" s="354">
        <v>3738543.49</v>
      </c>
      <c r="I319" s="358">
        <v>105825.62</v>
      </c>
      <c r="J319" s="352">
        <f t="shared" si="25"/>
        <v>2.8306644093633371E-2</v>
      </c>
      <c r="M319" s="74">
        <f t="shared" si="26"/>
        <v>454</v>
      </c>
      <c r="N319" s="146">
        <v>44255</v>
      </c>
      <c r="O319" s="74">
        <f t="shared" si="27"/>
        <v>396</v>
      </c>
      <c r="P319" s="353">
        <f t="shared" si="28"/>
        <v>0.1277533039647577</v>
      </c>
    </row>
    <row r="320" spans="1:16" ht="18.75" customHeight="1">
      <c r="A320" s="739">
        <f t="shared" si="29"/>
        <v>248</v>
      </c>
      <c r="B320" s="357" t="s">
        <v>2627</v>
      </c>
      <c r="C320" s="354" t="s">
        <v>2628</v>
      </c>
      <c r="D320" s="145">
        <v>43586</v>
      </c>
      <c r="E320" s="146">
        <v>44865</v>
      </c>
      <c r="F320" s="149">
        <v>0.61219702892885064</v>
      </c>
      <c r="G320" s="354">
        <v>1800000</v>
      </c>
      <c r="H320" s="354">
        <v>4116495.1399999997</v>
      </c>
      <c r="I320" s="358">
        <v>841350.80999999994</v>
      </c>
      <c r="J320" s="352">
        <f t="shared" si="25"/>
        <v>0.20438523097588304</v>
      </c>
      <c r="M320" s="74">
        <f t="shared" si="26"/>
        <v>1279</v>
      </c>
      <c r="N320" s="146">
        <v>44255</v>
      </c>
      <c r="O320" s="74">
        <f t="shared" si="27"/>
        <v>610</v>
      </c>
      <c r="P320" s="353">
        <f t="shared" si="28"/>
        <v>0.52306489444878812</v>
      </c>
    </row>
    <row r="321" spans="1:16" ht="18.75" customHeight="1">
      <c r="A321" s="739">
        <f t="shared" si="29"/>
        <v>249</v>
      </c>
      <c r="B321" s="357" t="s">
        <v>2581</v>
      </c>
      <c r="C321" s="354" t="s">
        <v>2582</v>
      </c>
      <c r="D321" s="145">
        <v>43101</v>
      </c>
      <c r="E321" s="146">
        <v>44286</v>
      </c>
      <c r="F321" s="149">
        <v>1.070886075949367</v>
      </c>
      <c r="G321" s="354">
        <v>2639999.7000000002</v>
      </c>
      <c r="H321" s="354">
        <v>1228369.05</v>
      </c>
      <c r="I321" s="358">
        <v>2189335.6</v>
      </c>
      <c r="J321" s="352">
        <f t="shared" si="25"/>
        <v>1.782310943115996</v>
      </c>
      <c r="M321" s="74">
        <f t="shared" si="26"/>
        <v>1185</v>
      </c>
      <c r="N321" s="146">
        <v>44255</v>
      </c>
      <c r="O321" s="74">
        <f t="shared" si="27"/>
        <v>31</v>
      </c>
      <c r="P321" s="353">
        <f t="shared" si="28"/>
        <v>0.97383966244725739</v>
      </c>
    </row>
    <row r="322" spans="1:16" ht="18.75" customHeight="1">
      <c r="A322" s="739">
        <f t="shared" si="29"/>
        <v>250</v>
      </c>
      <c r="B322" s="357" t="s">
        <v>3226</v>
      </c>
      <c r="C322" s="354" t="s">
        <v>3227</v>
      </c>
      <c r="D322" s="145">
        <v>43983</v>
      </c>
      <c r="E322" s="146">
        <v>44561</v>
      </c>
      <c r="F322" s="149">
        <v>0.67128027681660896</v>
      </c>
      <c r="G322" s="354">
        <v>352808.89</v>
      </c>
      <c r="H322" s="354">
        <v>331326.07</v>
      </c>
      <c r="I322" s="358">
        <v>75403.37000000001</v>
      </c>
      <c r="J322" s="352">
        <f t="shared" si="25"/>
        <v>0.22758055229399851</v>
      </c>
      <c r="M322" s="74">
        <f t="shared" si="26"/>
        <v>578</v>
      </c>
      <c r="N322" s="146">
        <v>44255</v>
      </c>
      <c r="O322" s="74">
        <f t="shared" si="27"/>
        <v>306</v>
      </c>
      <c r="P322" s="353">
        <f t="shared" si="28"/>
        <v>0.47058823529411764</v>
      </c>
    </row>
    <row r="323" spans="1:16" ht="18.75" customHeight="1">
      <c r="A323" s="739">
        <f t="shared" si="29"/>
        <v>251</v>
      </c>
      <c r="B323" s="357" t="s">
        <v>2629</v>
      </c>
      <c r="C323" s="354" t="s">
        <v>2630</v>
      </c>
      <c r="D323" s="145">
        <v>43586</v>
      </c>
      <c r="E323" s="146">
        <v>44742</v>
      </c>
      <c r="F323" s="149">
        <v>0.67993079584775085</v>
      </c>
      <c r="G323" s="354">
        <v>1600000</v>
      </c>
      <c r="H323" s="354">
        <v>13046258.99</v>
      </c>
      <c r="I323" s="358">
        <v>6393605.4000000004</v>
      </c>
      <c r="J323" s="352">
        <f t="shared" si="25"/>
        <v>0.49007193593969883</v>
      </c>
      <c r="M323" s="74">
        <f t="shared" si="26"/>
        <v>1156</v>
      </c>
      <c r="N323" s="146">
        <v>44255</v>
      </c>
      <c r="O323" s="74">
        <f t="shared" si="27"/>
        <v>487</v>
      </c>
      <c r="P323" s="353">
        <f t="shared" si="28"/>
        <v>0.57871972318339104</v>
      </c>
    </row>
    <row r="324" spans="1:16" ht="18.75" customHeight="1">
      <c r="A324" s="739">
        <f t="shared" si="29"/>
        <v>252</v>
      </c>
      <c r="B324" s="357" t="s">
        <v>2583</v>
      </c>
      <c r="C324" s="354" t="s">
        <v>2584</v>
      </c>
      <c r="D324" s="145">
        <v>42736</v>
      </c>
      <c r="E324" s="146">
        <v>44561</v>
      </c>
      <c r="F324" s="149">
        <v>0.89698630136986301</v>
      </c>
      <c r="G324" s="354">
        <v>537500</v>
      </c>
      <c r="H324" s="354">
        <v>1300745.1300000001</v>
      </c>
      <c r="I324" s="358">
        <v>492550.76</v>
      </c>
      <c r="J324" s="352">
        <f t="shared" si="25"/>
        <v>0.37866815615138993</v>
      </c>
      <c r="M324" s="74">
        <f t="shared" si="26"/>
        <v>1825</v>
      </c>
      <c r="N324" s="146">
        <v>44255</v>
      </c>
      <c r="O324" s="74">
        <f t="shared" si="27"/>
        <v>306</v>
      </c>
      <c r="P324" s="353">
        <f t="shared" si="28"/>
        <v>0.83232876712328763</v>
      </c>
    </row>
    <row r="325" spans="1:16" ht="18.75" customHeight="1">
      <c r="A325" s="739">
        <f t="shared" si="29"/>
        <v>253</v>
      </c>
      <c r="B325" s="357" t="s">
        <v>3228</v>
      </c>
      <c r="C325" s="354" t="s">
        <v>3229</v>
      </c>
      <c r="D325" s="145">
        <v>44197</v>
      </c>
      <c r="E325" s="146">
        <v>55153</v>
      </c>
      <c r="F325" s="149">
        <v>1.6155531215772179E-2</v>
      </c>
      <c r="G325" s="354">
        <v>33667.79</v>
      </c>
      <c r="H325" s="354">
        <v>33009.279999999999</v>
      </c>
      <c r="I325" s="358">
        <v>832.84</v>
      </c>
      <c r="J325" s="352">
        <f t="shared" si="25"/>
        <v>2.5230480640595618E-2</v>
      </c>
      <c r="M325" s="74">
        <f t="shared" si="26"/>
        <v>10956</v>
      </c>
      <c r="N325" s="146">
        <v>44255</v>
      </c>
      <c r="O325" s="74">
        <f t="shared" si="27"/>
        <v>10898</v>
      </c>
      <c r="P325" s="353">
        <f t="shared" si="28"/>
        <v>5.2939028842643298E-3</v>
      </c>
    </row>
    <row r="326" spans="1:16" ht="18.75" customHeight="1">
      <c r="A326" s="739">
        <f t="shared" si="29"/>
        <v>254</v>
      </c>
      <c r="B326" s="357" t="s">
        <v>3230</v>
      </c>
      <c r="C326" s="354" t="s">
        <v>3231</v>
      </c>
      <c r="D326" s="145">
        <v>43831</v>
      </c>
      <c r="E326" s="146">
        <v>44316</v>
      </c>
      <c r="F326" s="149">
        <v>1.1216494845360825</v>
      </c>
      <c r="G326" s="354">
        <v>108202.98</v>
      </c>
      <c r="H326" s="354">
        <v>225515.90000000002</v>
      </c>
      <c r="I326" s="358">
        <v>205008.74</v>
      </c>
      <c r="J326" s="352">
        <f t="shared" si="25"/>
        <v>0.90906556921263626</v>
      </c>
      <c r="M326" s="74">
        <f t="shared" si="26"/>
        <v>485</v>
      </c>
      <c r="N326" s="146">
        <v>44255</v>
      </c>
      <c r="O326" s="74">
        <f t="shared" si="27"/>
        <v>61</v>
      </c>
      <c r="P326" s="353">
        <f t="shared" si="28"/>
        <v>0.87422680412371134</v>
      </c>
    </row>
    <row r="327" spans="1:16" ht="18.75" customHeight="1">
      <c r="A327" s="739">
        <f t="shared" si="29"/>
        <v>255</v>
      </c>
      <c r="B327" s="357" t="s">
        <v>2631</v>
      </c>
      <c r="C327" s="354" t="s">
        <v>2632</v>
      </c>
      <c r="D327" s="145">
        <v>44013</v>
      </c>
      <c r="E327" s="146">
        <v>44712</v>
      </c>
      <c r="F327" s="149">
        <v>0.51931330472102999</v>
      </c>
      <c r="G327" s="354">
        <v>1112062.47</v>
      </c>
      <c r="H327" s="354">
        <v>3107515.04</v>
      </c>
      <c r="I327" s="358">
        <v>330802.77</v>
      </c>
      <c r="J327" s="352">
        <f t="shared" si="25"/>
        <v>0.10645250811078939</v>
      </c>
      <c r="M327" s="74">
        <f t="shared" si="26"/>
        <v>699</v>
      </c>
      <c r="N327" s="146">
        <v>44255</v>
      </c>
      <c r="O327" s="74">
        <f t="shared" si="27"/>
        <v>457</v>
      </c>
      <c r="P327" s="353">
        <f t="shared" si="28"/>
        <v>0.34620886981402005</v>
      </c>
    </row>
    <row r="328" spans="1:16" ht="18.75" customHeight="1">
      <c r="A328" s="739">
        <f t="shared" si="29"/>
        <v>256</v>
      </c>
      <c r="B328" s="357" t="s">
        <v>3232</v>
      </c>
      <c r="C328" s="354" t="s">
        <v>3233</v>
      </c>
      <c r="D328" s="145">
        <v>44013</v>
      </c>
      <c r="E328" s="146">
        <v>45291</v>
      </c>
      <c r="F328" s="149">
        <v>0.28482003129890454</v>
      </c>
      <c r="G328" s="354">
        <v>1389806.89</v>
      </c>
      <c r="H328" s="354">
        <v>3945284.7700000005</v>
      </c>
      <c r="I328" s="358">
        <v>278674.93</v>
      </c>
      <c r="J328" s="352">
        <f t="shared" si="25"/>
        <v>7.0634934167248961E-2</v>
      </c>
      <c r="M328" s="74">
        <f t="shared" si="26"/>
        <v>1278</v>
      </c>
      <c r="N328" s="146">
        <v>44255</v>
      </c>
      <c r="O328" s="74">
        <f t="shared" si="27"/>
        <v>1036</v>
      </c>
      <c r="P328" s="353">
        <f t="shared" si="28"/>
        <v>0.18935837245696402</v>
      </c>
    </row>
    <row r="329" spans="1:16" ht="18.75" customHeight="1">
      <c r="A329" s="739">
        <f t="shared" si="29"/>
        <v>257</v>
      </c>
      <c r="B329" s="357" t="s">
        <v>3234</v>
      </c>
      <c r="C329" s="354" t="s">
        <v>3235</v>
      </c>
      <c r="D329" s="145">
        <v>44013</v>
      </c>
      <c r="E329" s="146">
        <v>44804</v>
      </c>
      <c r="F329" s="149">
        <v>0.46144121365360302</v>
      </c>
      <c r="G329" s="354">
        <v>1297526.32</v>
      </c>
      <c r="H329" s="354">
        <v>3144210.01</v>
      </c>
      <c r="I329" s="358">
        <v>205264.38999999998</v>
      </c>
      <c r="J329" s="352">
        <f t="shared" si="25"/>
        <v>6.528329511933588E-2</v>
      </c>
      <c r="M329" s="74">
        <f t="shared" si="26"/>
        <v>791</v>
      </c>
      <c r="N329" s="146">
        <v>44255</v>
      </c>
      <c r="O329" s="74">
        <f t="shared" si="27"/>
        <v>549</v>
      </c>
      <c r="P329" s="353">
        <f t="shared" si="28"/>
        <v>0.30594184576485461</v>
      </c>
    </row>
    <row r="330" spans="1:16" ht="18.75" customHeight="1">
      <c r="A330" s="739">
        <f t="shared" si="29"/>
        <v>258</v>
      </c>
      <c r="B330" s="357" t="s">
        <v>2633</v>
      </c>
      <c r="C330" s="354" t="s">
        <v>2634</v>
      </c>
      <c r="D330" s="145">
        <v>43739</v>
      </c>
      <c r="E330" s="146">
        <v>44347</v>
      </c>
      <c r="F330" s="149">
        <v>1.0526315789473684</v>
      </c>
      <c r="G330" s="354">
        <v>135253.76000000001</v>
      </c>
      <c r="H330" s="354">
        <v>351506.5</v>
      </c>
      <c r="I330" s="358">
        <v>349632.08</v>
      </c>
      <c r="J330" s="352">
        <f t="shared" si="25"/>
        <v>0.99466746703119291</v>
      </c>
      <c r="M330" s="74">
        <f t="shared" si="26"/>
        <v>608</v>
      </c>
      <c r="N330" s="146">
        <v>44255</v>
      </c>
      <c r="O330" s="74">
        <f t="shared" si="27"/>
        <v>92</v>
      </c>
      <c r="P330" s="353">
        <f t="shared" si="28"/>
        <v>0.84868421052631582</v>
      </c>
    </row>
    <row r="331" spans="1:16" ht="18.75" customHeight="1">
      <c r="A331" s="739">
        <f t="shared" si="29"/>
        <v>259</v>
      </c>
      <c r="B331" s="357" t="s">
        <v>3236</v>
      </c>
      <c r="C331" s="354" t="s">
        <v>3237</v>
      </c>
      <c r="D331" s="145">
        <v>43647</v>
      </c>
      <c r="E331" s="146">
        <v>44316</v>
      </c>
      <c r="F331" s="149">
        <v>1.0956651718983557</v>
      </c>
      <c r="G331" s="354">
        <v>135253.76999999999</v>
      </c>
      <c r="H331" s="354">
        <v>206902.83000000002</v>
      </c>
      <c r="I331" s="358">
        <v>221803.98</v>
      </c>
      <c r="J331" s="352">
        <f t="shared" si="25"/>
        <v>1.0720200395518997</v>
      </c>
      <c r="M331" s="74">
        <f t="shared" si="26"/>
        <v>669</v>
      </c>
      <c r="N331" s="146">
        <v>44255</v>
      </c>
      <c r="O331" s="74">
        <f t="shared" si="27"/>
        <v>61</v>
      </c>
      <c r="P331" s="353">
        <f t="shared" si="28"/>
        <v>0.90881913303437967</v>
      </c>
    </row>
    <row r="332" spans="1:16" ht="18.75" customHeight="1">
      <c r="A332" s="739">
        <f t="shared" si="29"/>
        <v>260</v>
      </c>
      <c r="B332" s="357" t="s">
        <v>3238</v>
      </c>
      <c r="C332" s="354" t="s">
        <v>3239</v>
      </c>
      <c r="D332" s="145">
        <v>43891</v>
      </c>
      <c r="E332" s="146">
        <v>44561</v>
      </c>
      <c r="F332" s="149">
        <v>0.73134328358208955</v>
      </c>
      <c r="G332" s="354">
        <v>402597.78</v>
      </c>
      <c r="H332" s="354">
        <v>732548.25</v>
      </c>
      <c r="I332" s="358">
        <v>109297.98</v>
      </c>
      <c r="J332" s="352">
        <f t="shared" si="25"/>
        <v>0.14920243137568071</v>
      </c>
      <c r="M332" s="74">
        <f t="shared" si="26"/>
        <v>670</v>
      </c>
      <c r="N332" s="146">
        <v>44255</v>
      </c>
      <c r="O332" s="74">
        <f t="shared" si="27"/>
        <v>306</v>
      </c>
      <c r="P332" s="353">
        <f t="shared" si="28"/>
        <v>0.54328358208955219</v>
      </c>
    </row>
    <row r="333" spans="1:16" ht="18.75" customHeight="1">
      <c r="A333" s="739">
        <f t="shared" si="29"/>
        <v>261</v>
      </c>
      <c r="B333" s="357" t="s">
        <v>3240</v>
      </c>
      <c r="C333" s="354" t="s">
        <v>3241</v>
      </c>
      <c r="D333" s="145">
        <v>44044</v>
      </c>
      <c r="E333" s="146">
        <v>44561</v>
      </c>
      <c r="F333" s="149">
        <v>0.65377176015473892</v>
      </c>
      <c r="G333" s="354">
        <v>398164.06</v>
      </c>
      <c r="H333" s="354">
        <v>570427.29</v>
      </c>
      <c r="I333" s="358">
        <v>87107.41</v>
      </c>
      <c r="J333" s="352">
        <f t="shared" si="25"/>
        <v>0.15270554464531316</v>
      </c>
      <c r="M333" s="74">
        <f t="shared" si="26"/>
        <v>517</v>
      </c>
      <c r="N333" s="146">
        <v>44255</v>
      </c>
      <c r="O333" s="74">
        <f t="shared" si="27"/>
        <v>306</v>
      </c>
      <c r="P333" s="353">
        <f t="shared" si="28"/>
        <v>0.40812379110251451</v>
      </c>
    </row>
    <row r="334" spans="1:16" ht="18.75" customHeight="1">
      <c r="A334" s="739">
        <f t="shared" si="29"/>
        <v>262</v>
      </c>
      <c r="B334" s="357" t="s">
        <v>3242</v>
      </c>
      <c r="C334" s="354" t="s">
        <v>3243</v>
      </c>
      <c r="D334" s="145">
        <v>44197</v>
      </c>
      <c r="E334" s="146">
        <v>44895</v>
      </c>
      <c r="F334" s="149">
        <v>0.26647564469914042</v>
      </c>
      <c r="G334" s="354">
        <v>884809.41</v>
      </c>
      <c r="H334" s="354">
        <v>1811231.0899999999</v>
      </c>
      <c r="I334" s="358">
        <v>55462.400000000001</v>
      </c>
      <c r="J334" s="352">
        <f t="shared" si="25"/>
        <v>3.0621382498464071E-2</v>
      </c>
      <c r="M334" s="74">
        <f t="shared" si="26"/>
        <v>698</v>
      </c>
      <c r="N334" s="146">
        <v>44255</v>
      </c>
      <c r="O334" s="74">
        <f t="shared" si="27"/>
        <v>640</v>
      </c>
      <c r="P334" s="353">
        <f t="shared" si="28"/>
        <v>8.3094555873925502E-2</v>
      </c>
    </row>
    <row r="335" spans="1:16" ht="18.75" customHeight="1">
      <c r="A335" s="739">
        <f t="shared" si="29"/>
        <v>263</v>
      </c>
      <c r="B335" s="357" t="s">
        <v>3244</v>
      </c>
      <c r="C335" s="354" t="s">
        <v>3245</v>
      </c>
      <c r="D335" s="145">
        <v>44197</v>
      </c>
      <c r="E335" s="146">
        <v>47118</v>
      </c>
      <c r="F335" s="149">
        <v>6.4019171516603898E-2</v>
      </c>
      <c r="G335" s="354">
        <v>470448.68</v>
      </c>
      <c r="H335" s="354">
        <v>470448.68</v>
      </c>
      <c r="I335" s="358">
        <v>149433</v>
      </c>
      <c r="J335" s="352">
        <f t="shared" si="25"/>
        <v>0.31763932252929267</v>
      </c>
      <c r="M335" s="74">
        <f t="shared" si="26"/>
        <v>2921</v>
      </c>
      <c r="N335" s="146">
        <v>44255</v>
      </c>
      <c r="O335" s="74">
        <f t="shared" si="27"/>
        <v>2863</v>
      </c>
      <c r="P335" s="353">
        <f t="shared" si="28"/>
        <v>1.9856213625470728E-2</v>
      </c>
    </row>
    <row r="336" spans="1:16" ht="18.75" customHeight="1">
      <c r="A336" s="739">
        <f t="shared" si="29"/>
        <v>264</v>
      </c>
      <c r="B336" s="357" t="s">
        <v>2635</v>
      </c>
      <c r="C336" s="354" t="s">
        <v>2636</v>
      </c>
      <c r="D336" s="145">
        <v>44228</v>
      </c>
      <c r="E336" s="146">
        <v>44957</v>
      </c>
      <c r="F336" s="149">
        <v>0.21536351165980797</v>
      </c>
      <c r="G336" s="354">
        <v>1525229.96</v>
      </c>
      <c r="H336" s="354">
        <v>4817329.29</v>
      </c>
      <c r="I336" s="358">
        <v>29122.45</v>
      </c>
      <c r="J336" s="352">
        <f t="shared" si="25"/>
        <v>6.0453517388677413E-3</v>
      </c>
      <c r="M336" s="74">
        <f t="shared" si="26"/>
        <v>729</v>
      </c>
      <c r="N336" s="146">
        <v>44255</v>
      </c>
      <c r="O336" s="74">
        <f t="shared" si="27"/>
        <v>702</v>
      </c>
      <c r="P336" s="353">
        <f t="shared" si="28"/>
        <v>3.7037037037037035E-2</v>
      </c>
    </row>
    <row r="337" spans="1:16" ht="19.5" customHeight="1">
      <c r="A337" s="809" t="str">
        <f>$A$1</f>
        <v>KENTUCKY UTILITIES COMPANY</v>
      </c>
      <c r="B337" s="809"/>
      <c r="C337" s="809"/>
      <c r="D337" s="809"/>
      <c r="E337" s="809"/>
      <c r="F337" s="809"/>
      <c r="G337" s="809"/>
      <c r="H337" s="809"/>
      <c r="I337" s="809"/>
      <c r="J337" s="809"/>
      <c r="K337" s="359"/>
      <c r="L337" s="359"/>
      <c r="M337" s="359"/>
      <c r="N337" s="359"/>
      <c r="O337" s="359"/>
      <c r="P337" s="359"/>
    </row>
    <row r="338" spans="1:16" ht="19.5" customHeight="1">
      <c r="A338" s="809" t="str">
        <f>$A$2</f>
        <v>CASE NO. 2020-00349</v>
      </c>
      <c r="B338" s="809"/>
      <c r="C338" s="809"/>
      <c r="D338" s="809"/>
      <c r="E338" s="809"/>
      <c r="F338" s="809"/>
      <c r="G338" s="809"/>
      <c r="H338" s="809"/>
      <c r="I338" s="809"/>
      <c r="J338" s="809"/>
      <c r="K338" s="359"/>
      <c r="L338" s="359"/>
      <c r="M338" s="359"/>
      <c r="N338" s="359"/>
      <c r="O338" s="359"/>
      <c r="P338" s="359"/>
    </row>
    <row r="339" spans="1:16" ht="19.5" customHeight="1">
      <c r="A339" s="809" t="s">
        <v>1216</v>
      </c>
      <c r="B339" s="809"/>
      <c r="C339" s="809"/>
      <c r="D339" s="809"/>
      <c r="E339" s="809"/>
      <c r="F339" s="809"/>
      <c r="G339" s="809"/>
      <c r="H339" s="809"/>
      <c r="I339" s="809"/>
      <c r="J339" s="809"/>
      <c r="K339" s="359"/>
      <c r="L339" s="359"/>
      <c r="M339" s="359"/>
      <c r="N339" s="359"/>
      <c r="O339" s="359"/>
      <c r="P339" s="359"/>
    </row>
    <row r="340" spans="1:16" ht="19.5" customHeight="1">
      <c r="A340" s="809" t="str">
        <f>$A$4</f>
        <v>AS OF FEBRUARY 28, 2021</v>
      </c>
      <c r="B340" s="809"/>
      <c r="C340" s="809"/>
      <c r="D340" s="809"/>
      <c r="E340" s="809"/>
      <c r="F340" s="809"/>
      <c r="G340" s="809"/>
      <c r="H340" s="809"/>
      <c r="I340" s="809"/>
      <c r="J340" s="809"/>
      <c r="K340" s="359"/>
      <c r="L340" s="359"/>
      <c r="M340" s="359"/>
      <c r="N340" s="359"/>
      <c r="O340" s="359"/>
      <c r="P340" s="359"/>
    </row>
    <row r="341" spans="1:16" ht="19.5" customHeight="1">
      <c r="A341" s="737"/>
      <c r="B341" s="737"/>
      <c r="C341" s="737"/>
      <c r="D341" s="737"/>
      <c r="E341" s="737"/>
      <c r="F341" s="737"/>
      <c r="G341" s="737"/>
      <c r="H341" s="737"/>
      <c r="I341" s="737"/>
      <c r="J341" s="737"/>
      <c r="K341" s="359"/>
      <c r="L341" s="359"/>
      <c r="M341" s="359"/>
      <c r="N341" s="359"/>
      <c r="O341" s="359"/>
      <c r="P341" s="359"/>
    </row>
    <row r="342" spans="1:16" ht="19.5" customHeight="1">
      <c r="A342" s="67" t="str">
        <f>$A$6</f>
        <v>DATA:__X__BASE  PERIOD____FORECASTED  PERIOD</v>
      </c>
      <c r="B342" s="738"/>
      <c r="G342" s="74"/>
      <c r="H342" s="74"/>
      <c r="I342" s="74"/>
      <c r="J342" s="74" t="s">
        <v>1709</v>
      </c>
      <c r="K342" s="359"/>
      <c r="L342" s="359"/>
      <c r="M342" s="359"/>
      <c r="N342" s="359"/>
      <c r="O342" s="359"/>
      <c r="P342" s="359"/>
    </row>
    <row r="343" spans="1:16" ht="19.5" customHeight="1">
      <c r="A343" s="67" t="str">
        <f>$A$7</f>
        <v>TYPE OF FILING: __X__ ORIGINAL  _____ UPDATED  _____ REVISED</v>
      </c>
      <c r="B343" s="739"/>
      <c r="G343" s="74"/>
      <c r="H343" s="74"/>
      <c r="I343" s="74"/>
      <c r="J343" s="74" t="s">
        <v>3743</v>
      </c>
      <c r="K343" s="359"/>
      <c r="L343" s="359"/>
      <c r="M343" s="359"/>
      <c r="N343" s="359"/>
      <c r="O343" s="359"/>
      <c r="P343" s="359"/>
    </row>
    <row r="344" spans="1:16" ht="19.5" customHeight="1">
      <c r="A344" s="67" t="str">
        <f>$A$8</f>
        <v>WORKPAPER REFERENCE NO(S).:</v>
      </c>
      <c r="B344" s="738"/>
      <c r="F344" s="67"/>
      <c r="G344" s="75"/>
      <c r="H344" s="75"/>
      <c r="I344" s="75"/>
      <c r="J344" s="75" t="str">
        <f>$J$8</f>
        <v>WITNESS:   C. M. GARRETT</v>
      </c>
      <c r="K344" s="359"/>
      <c r="L344" s="359"/>
      <c r="M344" s="359"/>
      <c r="N344" s="359"/>
      <c r="O344" s="359"/>
      <c r="P344" s="359"/>
    </row>
    <row r="345" spans="1:16" ht="19.5" customHeight="1">
      <c r="B345" s="739"/>
      <c r="K345" s="359"/>
      <c r="L345" s="359"/>
      <c r="M345" s="359"/>
      <c r="N345" s="359"/>
      <c r="O345" s="359"/>
      <c r="P345" s="359"/>
    </row>
    <row r="346" spans="1:16" ht="60" customHeight="1">
      <c r="A346" s="76" t="s">
        <v>131</v>
      </c>
      <c r="B346" s="76" t="s">
        <v>1219</v>
      </c>
      <c r="C346" s="76" t="s">
        <v>1220</v>
      </c>
      <c r="D346" s="142" t="s">
        <v>1222</v>
      </c>
      <c r="E346" s="142" t="s">
        <v>1223</v>
      </c>
      <c r="F346" s="76" t="s">
        <v>1224</v>
      </c>
      <c r="G346" s="76" t="s">
        <v>1225</v>
      </c>
      <c r="H346" s="76" t="s">
        <v>1226</v>
      </c>
      <c r="I346" s="76" t="s">
        <v>1227</v>
      </c>
      <c r="J346" s="76" t="s">
        <v>1228</v>
      </c>
      <c r="K346" s="359"/>
      <c r="L346" s="359"/>
      <c r="M346" s="360" t="s">
        <v>1236</v>
      </c>
      <c r="N346" s="360" t="s">
        <v>1237</v>
      </c>
      <c r="O346" s="360" t="s">
        <v>1238</v>
      </c>
      <c r="P346" s="360" t="s">
        <v>1224</v>
      </c>
    </row>
    <row r="347" spans="1:16" ht="18.75" customHeight="1">
      <c r="A347" s="80" t="s">
        <v>1217</v>
      </c>
      <c r="B347" s="80" t="s">
        <v>1218</v>
      </c>
      <c r="C347" s="80" t="s">
        <v>1221</v>
      </c>
      <c r="D347" s="355" t="s">
        <v>1229</v>
      </c>
      <c r="E347" s="355" t="s">
        <v>1230</v>
      </c>
      <c r="F347" s="356" t="s">
        <v>1231</v>
      </c>
      <c r="G347" s="356" t="s">
        <v>1232</v>
      </c>
      <c r="H347" s="356" t="s">
        <v>1233</v>
      </c>
      <c r="I347" s="356" t="s">
        <v>1234</v>
      </c>
      <c r="J347" s="356" t="s">
        <v>1235</v>
      </c>
      <c r="K347" s="359"/>
      <c r="L347" s="359"/>
      <c r="M347" s="359"/>
      <c r="N347" s="359"/>
      <c r="O347" s="359"/>
      <c r="P347" s="359"/>
    </row>
    <row r="348" spans="1:16" ht="18.7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  <c r="K348" s="359"/>
      <c r="L348" s="359"/>
      <c r="M348" s="359"/>
      <c r="N348" s="359"/>
      <c r="O348" s="359"/>
      <c r="P348" s="359"/>
    </row>
    <row r="349" spans="1:16" ht="18.75" customHeight="1">
      <c r="A349" s="739">
        <f>A336+1</f>
        <v>265</v>
      </c>
      <c r="B349" s="357" t="s">
        <v>3246</v>
      </c>
      <c r="C349" s="354" t="s">
        <v>3247</v>
      </c>
      <c r="D349" s="145">
        <v>43831</v>
      </c>
      <c r="E349" s="146">
        <v>44530</v>
      </c>
      <c r="F349" s="149">
        <v>0.79399141630901282</v>
      </c>
      <c r="G349" s="354">
        <v>92155.07</v>
      </c>
      <c r="H349" s="354">
        <v>-369.39</v>
      </c>
      <c r="I349" s="358">
        <v>-369.38999999999987</v>
      </c>
      <c r="J349" s="352">
        <f t="shared" ref="J349:J364" si="30">I349/H349</f>
        <v>0.99999999999999967</v>
      </c>
      <c r="M349" s="74">
        <f t="shared" ref="M349:M364" si="31">E349-D349</f>
        <v>699</v>
      </c>
      <c r="N349" s="146">
        <v>44255</v>
      </c>
      <c r="O349" s="74">
        <f t="shared" ref="O349:O364" si="32">E349-N349</f>
        <v>275</v>
      </c>
      <c r="P349" s="353">
        <f t="shared" ref="P349:P364" si="33">(M349-O349)/M349</f>
        <v>0.60658082975679539</v>
      </c>
    </row>
    <row r="350" spans="1:16" ht="18.75" customHeight="1">
      <c r="A350" s="739">
        <f t="shared" ref="A350:A364" si="34">A349+1</f>
        <v>266</v>
      </c>
      <c r="B350" s="357" t="s">
        <v>3248</v>
      </c>
      <c r="C350" s="354" t="s">
        <v>3249</v>
      </c>
      <c r="D350" s="145">
        <v>43831</v>
      </c>
      <c r="E350" s="146">
        <v>44561</v>
      </c>
      <c r="F350" s="149">
        <v>0.76164383561643834</v>
      </c>
      <c r="G350" s="354">
        <v>177721.86000000002</v>
      </c>
      <c r="H350" s="354">
        <v>180770.3</v>
      </c>
      <c r="I350" s="358">
        <v>106165.33000000002</v>
      </c>
      <c r="J350" s="352">
        <f t="shared" si="30"/>
        <v>0.58729409643066377</v>
      </c>
      <c r="M350" s="74">
        <f t="shared" si="31"/>
        <v>730</v>
      </c>
      <c r="N350" s="146">
        <v>44255</v>
      </c>
      <c r="O350" s="74">
        <f t="shared" si="32"/>
        <v>306</v>
      </c>
      <c r="P350" s="353">
        <f t="shared" si="33"/>
        <v>0.58082191780821912</v>
      </c>
    </row>
    <row r="351" spans="1:16" ht="18.75" customHeight="1">
      <c r="A351" s="739">
        <f t="shared" si="34"/>
        <v>267</v>
      </c>
      <c r="B351" s="357" t="s">
        <v>3250</v>
      </c>
      <c r="C351" s="354" t="s">
        <v>3251</v>
      </c>
      <c r="D351" s="145">
        <v>43831</v>
      </c>
      <c r="E351" s="146">
        <v>44561</v>
      </c>
      <c r="F351" s="149">
        <v>0.76301369863013702</v>
      </c>
      <c r="G351" s="354">
        <v>177721.86000000002</v>
      </c>
      <c r="H351" s="354">
        <v>868851.24</v>
      </c>
      <c r="I351" s="358">
        <v>38023.15</v>
      </c>
      <c r="J351" s="352">
        <f t="shared" si="30"/>
        <v>4.3762554795916501E-2</v>
      </c>
      <c r="M351" s="74">
        <f t="shared" si="31"/>
        <v>730</v>
      </c>
      <c r="N351" s="146">
        <v>44255</v>
      </c>
      <c r="O351" s="74">
        <f t="shared" si="32"/>
        <v>306</v>
      </c>
      <c r="P351" s="353">
        <f t="shared" si="33"/>
        <v>0.58082191780821912</v>
      </c>
    </row>
    <row r="352" spans="1:16" ht="18.75" customHeight="1">
      <c r="A352" s="739">
        <f t="shared" si="34"/>
        <v>268</v>
      </c>
      <c r="B352" s="357" t="s">
        <v>3252</v>
      </c>
      <c r="C352" s="354" t="s">
        <v>3253</v>
      </c>
      <c r="D352" s="145">
        <v>43831</v>
      </c>
      <c r="E352" s="146">
        <v>44316</v>
      </c>
      <c r="F352" s="149">
        <v>1.1505154639175257</v>
      </c>
      <c r="G352" s="354">
        <v>177721.86000000002</v>
      </c>
      <c r="H352" s="354">
        <v>236506.05</v>
      </c>
      <c r="I352" s="358">
        <v>106972.08</v>
      </c>
      <c r="J352" s="352">
        <f t="shared" si="30"/>
        <v>0.45230166416461653</v>
      </c>
      <c r="M352" s="74">
        <f t="shared" si="31"/>
        <v>485</v>
      </c>
      <c r="N352" s="146">
        <v>44255</v>
      </c>
      <c r="O352" s="74">
        <f t="shared" si="32"/>
        <v>61</v>
      </c>
      <c r="P352" s="353">
        <f t="shared" si="33"/>
        <v>0.87422680412371134</v>
      </c>
    </row>
    <row r="353" spans="1:16" ht="18.75" customHeight="1">
      <c r="A353" s="739">
        <f t="shared" si="34"/>
        <v>269</v>
      </c>
      <c r="B353" s="357" t="s">
        <v>3254</v>
      </c>
      <c r="C353" s="354" t="s">
        <v>3255</v>
      </c>
      <c r="D353" s="145">
        <v>43831</v>
      </c>
      <c r="E353" s="146">
        <v>44347</v>
      </c>
      <c r="F353" s="149">
        <v>1.0833333333333333</v>
      </c>
      <c r="G353" s="354">
        <v>177721.86000000002</v>
      </c>
      <c r="H353" s="354">
        <v>585891.87</v>
      </c>
      <c r="I353" s="358">
        <v>147552.06</v>
      </c>
      <c r="J353" s="352">
        <f t="shared" si="30"/>
        <v>0.25184179463012518</v>
      </c>
      <c r="M353" s="74">
        <f t="shared" si="31"/>
        <v>516</v>
      </c>
      <c r="N353" s="146">
        <v>44255</v>
      </c>
      <c r="O353" s="74">
        <f t="shared" si="32"/>
        <v>92</v>
      </c>
      <c r="P353" s="353">
        <f t="shared" si="33"/>
        <v>0.82170542635658916</v>
      </c>
    </row>
    <row r="354" spans="1:16" ht="18.75" customHeight="1">
      <c r="A354" s="739">
        <f t="shared" si="34"/>
        <v>270</v>
      </c>
      <c r="B354" s="357" t="s">
        <v>3256</v>
      </c>
      <c r="C354" s="354" t="s">
        <v>3257</v>
      </c>
      <c r="D354" s="145">
        <v>43770</v>
      </c>
      <c r="E354" s="146">
        <v>44926</v>
      </c>
      <c r="F354" s="149">
        <v>0.53719723183390999</v>
      </c>
      <c r="G354" s="354">
        <v>1156867.08</v>
      </c>
      <c r="H354" s="354">
        <v>2648401.84</v>
      </c>
      <c r="I354" s="358">
        <v>911310.31</v>
      </c>
      <c r="J354" s="352">
        <f t="shared" si="30"/>
        <v>0.34409820150253334</v>
      </c>
      <c r="M354" s="74">
        <f t="shared" si="31"/>
        <v>1156</v>
      </c>
      <c r="N354" s="146">
        <v>44255</v>
      </c>
      <c r="O354" s="74">
        <f t="shared" si="32"/>
        <v>671</v>
      </c>
      <c r="P354" s="353">
        <f t="shared" si="33"/>
        <v>0.41955017301038061</v>
      </c>
    </row>
    <row r="355" spans="1:16" ht="18.75" customHeight="1">
      <c r="A355" s="739">
        <f t="shared" si="34"/>
        <v>271</v>
      </c>
      <c r="B355" s="357" t="s">
        <v>3258</v>
      </c>
      <c r="C355" s="354" t="s">
        <v>3259</v>
      </c>
      <c r="D355" s="145">
        <v>43831</v>
      </c>
      <c r="E355" s="146">
        <v>44561</v>
      </c>
      <c r="F355" s="149">
        <v>0.76849315068493151</v>
      </c>
      <c r="G355" s="354">
        <v>1261922.5900000001</v>
      </c>
      <c r="H355" s="354">
        <v>1048377.17</v>
      </c>
      <c r="I355" s="358">
        <v>525259.81999999995</v>
      </c>
      <c r="J355" s="352">
        <f t="shared" si="30"/>
        <v>0.50102180305967547</v>
      </c>
      <c r="M355" s="74">
        <f t="shared" si="31"/>
        <v>730</v>
      </c>
      <c r="N355" s="146">
        <v>44255</v>
      </c>
      <c r="O355" s="74">
        <f t="shared" si="32"/>
        <v>306</v>
      </c>
      <c r="P355" s="353">
        <f t="shared" si="33"/>
        <v>0.58082191780821912</v>
      </c>
    </row>
    <row r="356" spans="1:16" ht="18.75" customHeight="1">
      <c r="A356" s="739">
        <f t="shared" si="34"/>
        <v>272</v>
      </c>
      <c r="B356" s="357" t="s">
        <v>3260</v>
      </c>
      <c r="C356" s="354" t="s">
        <v>3261</v>
      </c>
      <c r="D356" s="145">
        <v>44044</v>
      </c>
      <c r="E356" s="146">
        <v>44834</v>
      </c>
      <c r="F356" s="149">
        <v>0.4417721518987342</v>
      </c>
      <c r="G356" s="354">
        <v>303152.77</v>
      </c>
      <c r="H356" s="354">
        <v>362039.26</v>
      </c>
      <c r="I356" s="358">
        <v>57275.88</v>
      </c>
      <c r="J356" s="352">
        <f t="shared" si="30"/>
        <v>0.15820350533254321</v>
      </c>
      <c r="M356" s="74">
        <f t="shared" si="31"/>
        <v>790</v>
      </c>
      <c r="N356" s="146">
        <v>44255</v>
      </c>
      <c r="O356" s="74">
        <f t="shared" si="32"/>
        <v>579</v>
      </c>
      <c r="P356" s="353">
        <f t="shared" si="33"/>
        <v>0.26708860759493669</v>
      </c>
    </row>
    <row r="357" spans="1:16" ht="18.75" customHeight="1">
      <c r="A357" s="739">
        <f t="shared" si="34"/>
        <v>273</v>
      </c>
      <c r="B357" s="357" t="s">
        <v>3262</v>
      </c>
      <c r="C357" s="354" t="s">
        <v>3263</v>
      </c>
      <c r="D357" s="145">
        <v>43739</v>
      </c>
      <c r="E357" s="146">
        <v>44286</v>
      </c>
      <c r="F357" s="149">
        <v>1.1974405850091407</v>
      </c>
      <c r="G357" s="354">
        <v>152573.21</v>
      </c>
      <c r="H357" s="354">
        <v>297962.87</v>
      </c>
      <c r="I357" s="358">
        <v>296193.27</v>
      </c>
      <c r="J357" s="352">
        <f t="shared" si="30"/>
        <v>0.99406100498360761</v>
      </c>
      <c r="M357" s="74">
        <f t="shared" si="31"/>
        <v>547</v>
      </c>
      <c r="N357" s="146">
        <v>44255</v>
      </c>
      <c r="O357" s="74">
        <f t="shared" si="32"/>
        <v>31</v>
      </c>
      <c r="P357" s="353">
        <f t="shared" si="33"/>
        <v>0.94332723948811703</v>
      </c>
    </row>
    <row r="358" spans="1:16" ht="18.75" customHeight="1">
      <c r="A358" s="739">
        <f t="shared" si="34"/>
        <v>274</v>
      </c>
      <c r="B358" s="357" t="s">
        <v>3264</v>
      </c>
      <c r="C358" s="354" t="s">
        <v>3265</v>
      </c>
      <c r="D358" s="145">
        <v>43586</v>
      </c>
      <c r="E358" s="146">
        <v>44926</v>
      </c>
      <c r="F358" s="149">
        <v>0.60373134328358213</v>
      </c>
      <c r="G358" s="354">
        <v>857315.44</v>
      </c>
      <c r="H358" s="354">
        <v>5242623.5</v>
      </c>
      <c r="I358" s="358">
        <v>2864286.89</v>
      </c>
      <c r="J358" s="352">
        <f t="shared" si="30"/>
        <v>0.54634609752159391</v>
      </c>
      <c r="M358" s="74">
        <f t="shared" si="31"/>
        <v>1340</v>
      </c>
      <c r="N358" s="146">
        <v>44255</v>
      </c>
      <c r="O358" s="74">
        <f t="shared" si="32"/>
        <v>671</v>
      </c>
      <c r="P358" s="353">
        <f t="shared" si="33"/>
        <v>0.4992537313432836</v>
      </c>
    </row>
    <row r="359" spans="1:16" ht="18.75" customHeight="1">
      <c r="A359" s="739">
        <f t="shared" si="34"/>
        <v>275</v>
      </c>
      <c r="B359" s="357" t="s">
        <v>3266</v>
      </c>
      <c r="C359" s="354" t="s">
        <v>3267</v>
      </c>
      <c r="D359" s="145">
        <v>43709</v>
      </c>
      <c r="E359" s="146">
        <v>44926</v>
      </c>
      <c r="F359" s="149">
        <v>0.56450287592440429</v>
      </c>
      <c r="G359" s="354">
        <v>1956737.14</v>
      </c>
      <c r="H359" s="354">
        <v>2975135.3200000003</v>
      </c>
      <c r="I359" s="358">
        <v>958386.16</v>
      </c>
      <c r="J359" s="352">
        <f t="shared" si="30"/>
        <v>0.32213195600124833</v>
      </c>
      <c r="M359" s="74">
        <f t="shared" si="31"/>
        <v>1217</v>
      </c>
      <c r="N359" s="146">
        <v>44255</v>
      </c>
      <c r="O359" s="74">
        <f t="shared" si="32"/>
        <v>671</v>
      </c>
      <c r="P359" s="353">
        <f t="shared" si="33"/>
        <v>0.44864420706655711</v>
      </c>
    </row>
    <row r="360" spans="1:16" ht="18.75" customHeight="1">
      <c r="A360" s="739">
        <f t="shared" si="34"/>
        <v>276</v>
      </c>
      <c r="B360" s="357" t="s">
        <v>3268</v>
      </c>
      <c r="C360" s="354" t="s">
        <v>3269</v>
      </c>
      <c r="D360" s="145">
        <v>43983</v>
      </c>
      <c r="E360" s="146">
        <v>44561</v>
      </c>
      <c r="F360" s="149">
        <v>0.7162629757785467</v>
      </c>
      <c r="G360" s="354">
        <v>60041.84</v>
      </c>
      <c r="H360" s="354">
        <v>60041.84</v>
      </c>
      <c r="I360" s="358">
        <v>9355.5300000000007</v>
      </c>
      <c r="J360" s="352">
        <f t="shared" si="30"/>
        <v>0.15581684372097859</v>
      </c>
      <c r="M360" s="74">
        <f t="shared" si="31"/>
        <v>578</v>
      </c>
      <c r="N360" s="146">
        <v>44255</v>
      </c>
      <c r="O360" s="74">
        <f t="shared" si="32"/>
        <v>306</v>
      </c>
      <c r="P360" s="353">
        <f t="shared" si="33"/>
        <v>0.47058823529411764</v>
      </c>
    </row>
    <row r="361" spans="1:16" ht="18.75" customHeight="1">
      <c r="A361" s="739">
        <f t="shared" si="34"/>
        <v>277</v>
      </c>
      <c r="B361" s="357" t="s">
        <v>3270</v>
      </c>
      <c r="C361" s="354" t="s">
        <v>3271</v>
      </c>
      <c r="D361" s="145">
        <v>44197</v>
      </c>
      <c r="E361" s="146">
        <v>44865</v>
      </c>
      <c r="F361" s="149">
        <v>0.30089820359281438</v>
      </c>
      <c r="G361" s="354">
        <v>147913.30000000002</v>
      </c>
      <c r="H361" s="354">
        <v>147913.30000000002</v>
      </c>
      <c r="I361" s="358">
        <v>4890.0200000000004</v>
      </c>
      <c r="J361" s="352">
        <f t="shared" si="30"/>
        <v>3.306004260604016E-2</v>
      </c>
      <c r="M361" s="74">
        <f t="shared" si="31"/>
        <v>668</v>
      </c>
      <c r="N361" s="146">
        <v>44255</v>
      </c>
      <c r="O361" s="74">
        <f t="shared" si="32"/>
        <v>610</v>
      </c>
      <c r="P361" s="353">
        <f t="shared" si="33"/>
        <v>8.6826347305389226E-2</v>
      </c>
    </row>
    <row r="362" spans="1:16" ht="18.75" customHeight="1">
      <c r="A362" s="739">
        <f t="shared" si="34"/>
        <v>278</v>
      </c>
      <c r="B362" s="357" t="s">
        <v>3272</v>
      </c>
      <c r="C362" s="354" t="s">
        <v>3273</v>
      </c>
      <c r="D362" s="145">
        <v>44044</v>
      </c>
      <c r="E362" s="146">
        <v>44561</v>
      </c>
      <c r="F362" s="149">
        <v>0.68665377176015474</v>
      </c>
      <c r="G362" s="354">
        <v>155420.51999999999</v>
      </c>
      <c r="H362" s="354">
        <v>155420.51999999999</v>
      </c>
      <c r="I362" s="358">
        <v>32518.55</v>
      </c>
      <c r="J362" s="352">
        <f t="shared" si="30"/>
        <v>0.20922945052558053</v>
      </c>
      <c r="M362" s="74">
        <f t="shared" si="31"/>
        <v>517</v>
      </c>
      <c r="N362" s="146">
        <v>44255</v>
      </c>
      <c r="O362" s="74">
        <f t="shared" si="32"/>
        <v>306</v>
      </c>
      <c r="P362" s="353">
        <f t="shared" si="33"/>
        <v>0.40812379110251451</v>
      </c>
    </row>
    <row r="363" spans="1:16" ht="18.75" customHeight="1">
      <c r="A363" s="739">
        <f t="shared" si="34"/>
        <v>279</v>
      </c>
      <c r="B363" s="357" t="s">
        <v>3274</v>
      </c>
      <c r="C363" s="354" t="s">
        <v>3275</v>
      </c>
      <c r="D363" s="145">
        <v>44044</v>
      </c>
      <c r="E363" s="146">
        <v>44561</v>
      </c>
      <c r="F363" s="149">
        <v>0.68858800773694395</v>
      </c>
      <c r="G363" s="354">
        <v>164728.22999999998</v>
      </c>
      <c r="H363" s="354">
        <v>164728.22999999998</v>
      </c>
      <c r="I363" s="358">
        <v>35253.81</v>
      </c>
      <c r="J363" s="352">
        <f t="shared" si="30"/>
        <v>0.21401195168551257</v>
      </c>
      <c r="M363" s="74">
        <f t="shared" si="31"/>
        <v>517</v>
      </c>
      <c r="N363" s="146">
        <v>44255</v>
      </c>
      <c r="O363" s="74">
        <f t="shared" si="32"/>
        <v>306</v>
      </c>
      <c r="P363" s="353">
        <f t="shared" si="33"/>
        <v>0.40812379110251451</v>
      </c>
    </row>
    <row r="364" spans="1:16" ht="18.75" customHeight="1">
      <c r="A364" s="739">
        <f t="shared" si="34"/>
        <v>280</v>
      </c>
      <c r="B364" s="357" t="s">
        <v>3276</v>
      </c>
      <c r="C364" s="354" t="s">
        <v>3277</v>
      </c>
      <c r="D364" s="145">
        <v>44197</v>
      </c>
      <c r="E364" s="146">
        <v>44561</v>
      </c>
      <c r="F364" s="149">
        <v>0.56043956043956045</v>
      </c>
      <c r="G364" s="354">
        <v>624766.98</v>
      </c>
      <c r="H364" s="354">
        <v>624766.98</v>
      </c>
      <c r="I364" s="358">
        <v>288557.49</v>
      </c>
      <c r="J364" s="352">
        <f t="shared" si="30"/>
        <v>0.46186418174660893</v>
      </c>
      <c r="M364" s="74">
        <f t="shared" si="31"/>
        <v>364</v>
      </c>
      <c r="N364" s="146">
        <v>44255</v>
      </c>
      <c r="O364" s="74">
        <f t="shared" si="32"/>
        <v>306</v>
      </c>
      <c r="P364" s="353">
        <f t="shared" si="33"/>
        <v>0.15934065934065933</v>
      </c>
    </row>
    <row r="365" spans="1:16" ht="18.75" customHeight="1">
      <c r="A365" s="739"/>
      <c r="B365" s="357"/>
      <c r="C365" s="354"/>
      <c r="D365" s="145"/>
      <c r="E365" s="146"/>
      <c r="F365" s="149"/>
      <c r="G365" s="354"/>
      <c r="H365" s="354"/>
      <c r="I365" s="358"/>
      <c r="J365" s="352"/>
      <c r="M365" s="74"/>
      <c r="N365" s="146"/>
      <c r="O365" s="74"/>
      <c r="P365" s="353"/>
    </row>
    <row r="366" spans="1:16" ht="18.75" customHeight="1">
      <c r="A366" s="739"/>
      <c r="B366" s="357"/>
      <c r="C366" s="354"/>
      <c r="D366" s="145"/>
      <c r="E366" s="146"/>
      <c r="F366" s="149"/>
      <c r="G366" s="354"/>
      <c r="H366" s="354"/>
      <c r="I366" s="358"/>
      <c r="J366" s="352"/>
      <c r="M366" s="74"/>
      <c r="N366" s="146"/>
      <c r="O366" s="74"/>
      <c r="P366" s="353"/>
    </row>
    <row r="367" spans="1:16" ht="18.75" customHeight="1">
      <c r="A367" s="739"/>
      <c r="B367" s="357"/>
      <c r="C367" s="354"/>
      <c r="D367" s="145"/>
      <c r="E367" s="146"/>
      <c r="F367" s="149"/>
      <c r="G367" s="354"/>
      <c r="H367" s="354"/>
      <c r="I367" s="358"/>
      <c r="J367" s="352"/>
      <c r="M367" s="74"/>
      <c r="N367" s="146"/>
      <c r="O367" s="74"/>
      <c r="P367" s="353"/>
    </row>
    <row r="368" spans="1:16" ht="18.75" customHeight="1">
      <c r="A368" s="739"/>
      <c r="B368" s="357"/>
      <c r="C368" s="354"/>
      <c r="D368" s="145"/>
      <c r="E368" s="146"/>
      <c r="F368" s="149"/>
      <c r="G368" s="354"/>
      <c r="H368" s="354"/>
      <c r="I368" s="358"/>
      <c r="J368" s="352"/>
      <c r="M368" s="74"/>
      <c r="N368" s="146"/>
      <c r="O368" s="74"/>
      <c r="P368" s="353"/>
    </row>
    <row r="369" spans="1:16" ht="18.75" customHeight="1">
      <c r="A369" s="739"/>
      <c r="B369" s="357"/>
      <c r="C369" s="354"/>
      <c r="D369" s="145"/>
      <c r="E369" s="146"/>
      <c r="F369" s="149"/>
      <c r="G369" s="354"/>
      <c r="H369" s="354"/>
      <c r="I369" s="358"/>
      <c r="J369" s="352"/>
      <c r="M369" s="74"/>
      <c r="N369" s="146"/>
      <c r="O369" s="74"/>
      <c r="P369" s="353"/>
    </row>
    <row r="370" spans="1:16" ht="18.75" customHeight="1">
      <c r="A370" s="739"/>
      <c r="B370" s="357"/>
      <c r="C370" s="354"/>
      <c r="D370" s="145"/>
      <c r="E370" s="146"/>
      <c r="F370" s="149"/>
      <c r="G370" s="354"/>
      <c r="H370" s="354"/>
      <c r="I370" s="358"/>
      <c r="J370" s="352"/>
      <c r="M370" s="74"/>
      <c r="N370" s="146"/>
      <c r="O370" s="74"/>
      <c r="P370" s="353"/>
    </row>
    <row r="371" spans="1:16" ht="18.75" customHeight="1">
      <c r="A371" s="739"/>
      <c r="B371" s="357"/>
      <c r="C371" s="354"/>
      <c r="D371" s="145"/>
      <c r="E371" s="146"/>
      <c r="F371" s="149"/>
      <c r="G371" s="354"/>
      <c r="H371" s="354"/>
      <c r="I371" s="358"/>
      <c r="J371" s="352"/>
      <c r="M371" s="74"/>
      <c r="N371" s="146"/>
      <c r="O371" s="74"/>
      <c r="P371" s="353"/>
    </row>
    <row r="372" spans="1:16" ht="18.75" customHeight="1">
      <c r="A372" s="739"/>
      <c r="B372" s="357"/>
      <c r="C372" s="354"/>
      <c r="D372" s="145"/>
      <c r="E372" s="146"/>
      <c r="F372" s="149"/>
      <c r="G372" s="354"/>
      <c r="H372" s="354"/>
      <c r="I372" s="358"/>
      <c r="J372" s="352"/>
      <c r="M372" s="74"/>
      <c r="N372" s="146"/>
      <c r="O372" s="74"/>
      <c r="P372" s="353"/>
    </row>
    <row r="373" spans="1:16" ht="18.75" customHeight="1">
      <c r="A373" s="739"/>
      <c r="B373" s="357"/>
      <c r="C373" s="354"/>
      <c r="D373" s="145"/>
      <c r="E373" s="146"/>
      <c r="F373" s="149"/>
      <c r="G373" s="354"/>
      <c r="H373" s="354"/>
      <c r="I373" s="358"/>
      <c r="J373" s="352"/>
      <c r="M373" s="74"/>
      <c r="N373" s="146"/>
      <c r="O373" s="74"/>
      <c r="P373" s="353"/>
    </row>
    <row r="374" spans="1:16" ht="18.75" customHeight="1">
      <c r="A374" s="739"/>
      <c r="B374" s="357"/>
      <c r="C374" s="354"/>
      <c r="D374" s="145"/>
      <c r="E374" s="146"/>
      <c r="F374" s="149"/>
      <c r="G374" s="354"/>
      <c r="H374" s="354"/>
      <c r="I374" s="358"/>
      <c r="J374" s="352"/>
      <c r="M374" s="74"/>
      <c r="N374" s="146"/>
      <c r="O374" s="74"/>
      <c r="P374" s="353"/>
    </row>
    <row r="375" spans="1:16" ht="18.75" customHeight="1">
      <c r="A375" s="739"/>
      <c r="B375" s="357"/>
      <c r="C375" s="354"/>
      <c r="D375" s="145"/>
      <c r="E375" s="146"/>
      <c r="F375" s="149"/>
      <c r="G375" s="354"/>
      <c r="H375" s="354"/>
      <c r="I375" s="358"/>
      <c r="J375" s="352"/>
      <c r="M375" s="74"/>
      <c r="N375" s="146"/>
      <c r="O375" s="74"/>
      <c r="P375" s="353"/>
    </row>
    <row r="376" spans="1:16" ht="18.75" customHeight="1">
      <c r="A376" s="739"/>
      <c r="B376" s="357"/>
      <c r="C376" s="354"/>
      <c r="D376" s="145"/>
      <c r="E376" s="146"/>
      <c r="F376" s="149"/>
      <c r="G376" s="354"/>
      <c r="H376" s="354"/>
      <c r="I376" s="358"/>
      <c r="J376" s="352"/>
      <c r="M376" s="74"/>
      <c r="N376" s="146"/>
      <c r="O376" s="74"/>
      <c r="P376" s="353"/>
    </row>
    <row r="377" spans="1:16" ht="18.75" customHeight="1">
      <c r="A377" s="739"/>
      <c r="B377" s="357"/>
      <c r="C377" s="354"/>
      <c r="D377" s="145"/>
      <c r="E377" s="146"/>
      <c r="F377" s="149"/>
      <c r="G377" s="354"/>
      <c r="H377" s="354"/>
      <c r="I377" s="358"/>
      <c r="J377" s="352"/>
      <c r="M377" s="74"/>
      <c r="N377" s="146"/>
      <c r="O377" s="74"/>
      <c r="P377" s="353"/>
    </row>
    <row r="378" spans="1:16" ht="18.75" customHeight="1">
      <c r="A378" s="739"/>
      <c r="B378" s="357"/>
      <c r="C378" s="354"/>
      <c r="D378" s="145"/>
      <c r="E378" s="146"/>
      <c r="F378" s="149"/>
      <c r="G378" s="354"/>
      <c r="H378" s="354"/>
      <c r="I378" s="358"/>
      <c r="J378" s="352"/>
      <c r="M378" s="74"/>
      <c r="N378" s="146"/>
      <c r="O378" s="74"/>
      <c r="P378" s="353"/>
    </row>
    <row r="379" spans="1:16" ht="18.75" customHeight="1">
      <c r="A379" s="739"/>
      <c r="B379" s="357"/>
      <c r="C379" s="354"/>
      <c r="D379" s="145"/>
      <c r="E379" s="146"/>
      <c r="F379" s="149"/>
      <c r="G379" s="354"/>
      <c r="H379" s="354"/>
      <c r="I379" s="358"/>
      <c r="J379" s="352"/>
      <c r="M379" s="74"/>
      <c r="N379" s="146"/>
      <c r="O379" s="74"/>
      <c r="P379" s="353"/>
    </row>
    <row r="380" spans="1:16" ht="18.75" customHeight="1">
      <c r="A380" s="739"/>
      <c r="B380" s="357"/>
      <c r="C380" s="354"/>
      <c r="D380" s="145"/>
      <c r="E380" s="146"/>
      <c r="F380" s="149"/>
      <c r="G380" s="354"/>
      <c r="H380" s="354"/>
      <c r="I380" s="358"/>
      <c r="J380" s="352"/>
      <c r="M380" s="74"/>
      <c r="N380" s="146"/>
      <c r="O380" s="74"/>
      <c r="P380" s="353"/>
    </row>
    <row r="381" spans="1:16" ht="18.75" customHeight="1">
      <c r="A381" s="739"/>
      <c r="B381" s="357"/>
      <c r="C381" s="354"/>
      <c r="D381" s="145"/>
      <c r="E381" s="146"/>
      <c r="F381" s="149"/>
      <c r="G381" s="354"/>
      <c r="H381" s="354"/>
      <c r="I381" s="358"/>
      <c r="J381" s="352"/>
      <c r="M381" s="74"/>
      <c r="N381" s="146"/>
      <c r="O381" s="74"/>
      <c r="P381" s="353"/>
    </row>
    <row r="382" spans="1:16" ht="18.75" customHeight="1">
      <c r="A382" s="739"/>
      <c r="B382" s="357"/>
      <c r="C382" s="354"/>
      <c r="D382" s="145"/>
      <c r="E382" s="146"/>
      <c r="F382" s="149"/>
      <c r="G382" s="354"/>
      <c r="H382" s="354"/>
      <c r="I382" s="358"/>
      <c r="J382" s="352"/>
      <c r="M382" s="74"/>
      <c r="N382" s="146"/>
      <c r="O382" s="74"/>
      <c r="P382" s="353"/>
    </row>
    <row r="383" spans="1:16" ht="18.75" customHeight="1">
      <c r="A383" s="739"/>
      <c r="B383" s="357"/>
      <c r="C383" s="354"/>
      <c r="D383" s="145"/>
      <c r="E383" s="146"/>
      <c r="F383" s="149"/>
      <c r="G383" s="354"/>
      <c r="H383" s="354"/>
      <c r="I383" s="358"/>
      <c r="J383" s="352"/>
      <c r="M383" s="74"/>
      <c r="N383" s="146"/>
      <c r="O383" s="74"/>
      <c r="P383" s="353"/>
    </row>
    <row r="384" spans="1:16" ht="18.75" customHeight="1">
      <c r="A384" s="739"/>
      <c r="B384" s="357"/>
      <c r="C384" s="354"/>
      <c r="D384" s="145"/>
      <c r="E384" s="146"/>
      <c r="F384" s="149"/>
      <c r="G384" s="354"/>
      <c r="H384" s="354"/>
      <c r="I384" s="358"/>
      <c r="J384" s="352"/>
      <c r="M384" s="74"/>
      <c r="N384" s="146"/>
      <c r="O384" s="74"/>
      <c r="P384" s="353"/>
    </row>
    <row r="385" spans="1:16" ht="18.75" customHeight="1">
      <c r="A385" s="739"/>
      <c r="B385" s="357"/>
      <c r="C385" s="354"/>
      <c r="D385" s="145"/>
      <c r="E385" s="146"/>
      <c r="F385" s="149"/>
      <c r="G385" s="354"/>
      <c r="H385" s="354"/>
      <c r="I385" s="358"/>
      <c r="J385" s="352"/>
      <c r="M385" s="74"/>
      <c r="N385" s="146"/>
      <c r="O385" s="74"/>
      <c r="P385" s="353"/>
    </row>
    <row r="386" spans="1:16" ht="18.75" customHeight="1">
      <c r="A386" s="739"/>
      <c r="B386" s="357"/>
      <c r="C386" s="354"/>
      <c r="D386" s="145"/>
      <c r="E386" s="146"/>
      <c r="F386" s="149"/>
      <c r="G386" s="354"/>
      <c r="H386" s="354"/>
      <c r="I386" s="358"/>
      <c r="J386" s="352"/>
      <c r="M386" s="74"/>
      <c r="N386" s="146"/>
      <c r="O386" s="74"/>
      <c r="P386" s="353"/>
    </row>
    <row r="387" spans="1:16" ht="18.75" customHeight="1">
      <c r="A387" s="739"/>
      <c r="B387" s="357"/>
      <c r="C387" s="354"/>
      <c r="D387" s="145"/>
      <c r="E387" s="146"/>
      <c r="F387" s="149"/>
      <c r="G387" s="354"/>
      <c r="H387" s="354"/>
      <c r="I387" s="358"/>
      <c r="J387" s="352"/>
      <c r="M387" s="74"/>
      <c r="N387" s="146"/>
      <c r="O387" s="74"/>
      <c r="P387" s="353"/>
    </row>
    <row r="388" spans="1:16" ht="18.75" customHeight="1">
      <c r="A388" s="739"/>
      <c r="B388" s="357"/>
      <c r="C388" s="354"/>
      <c r="D388" s="145"/>
      <c r="E388" s="146"/>
      <c r="F388" s="149"/>
      <c r="G388" s="354"/>
      <c r="H388" s="354"/>
      <c r="I388" s="358"/>
      <c r="J388" s="352"/>
      <c r="M388" s="74"/>
      <c r="N388" s="146"/>
      <c r="O388" s="74"/>
      <c r="P388" s="353"/>
    </row>
    <row r="389" spans="1:16" ht="18.75" customHeight="1">
      <c r="A389" s="739"/>
      <c r="B389" s="357"/>
      <c r="C389" s="354"/>
      <c r="D389" s="145"/>
      <c r="E389" s="146"/>
      <c r="F389" s="149"/>
      <c r="G389" s="354"/>
      <c r="H389" s="354"/>
      <c r="I389" s="358"/>
      <c r="J389" s="352"/>
      <c r="M389" s="74"/>
      <c r="N389" s="146"/>
      <c r="O389" s="74"/>
      <c r="P389" s="353"/>
    </row>
    <row r="390" spans="1:16" ht="18.75" customHeight="1">
      <c r="A390" s="739"/>
      <c r="B390" s="357"/>
      <c r="C390" s="354"/>
      <c r="D390" s="145"/>
      <c r="E390" s="146"/>
      <c r="F390" s="149"/>
      <c r="G390" s="354"/>
      <c r="H390" s="354"/>
      <c r="I390" s="358"/>
      <c r="J390" s="352"/>
      <c r="M390" s="74"/>
      <c r="N390" s="146"/>
      <c r="O390" s="74"/>
      <c r="P390" s="353"/>
    </row>
    <row r="391" spans="1:16" ht="18.75" customHeight="1">
      <c r="A391" s="739"/>
      <c r="B391" s="357"/>
      <c r="C391" s="354"/>
      <c r="D391" s="145"/>
      <c r="E391" s="146"/>
      <c r="F391" s="149"/>
      <c r="G391" s="354"/>
      <c r="H391" s="354"/>
      <c r="I391" s="358"/>
      <c r="J391" s="352"/>
      <c r="M391" s="74"/>
      <c r="N391" s="146"/>
      <c r="O391" s="74"/>
      <c r="P391" s="353"/>
    </row>
    <row r="392" spans="1:16" ht="18.75" customHeight="1">
      <c r="A392" s="739"/>
      <c r="B392" s="357"/>
      <c r="C392" s="354"/>
      <c r="D392" s="145"/>
      <c r="E392" s="146"/>
      <c r="F392" s="149"/>
      <c r="G392" s="354"/>
      <c r="H392" s="354"/>
      <c r="I392" s="358"/>
      <c r="J392" s="352"/>
      <c r="M392" s="74"/>
      <c r="N392" s="146"/>
      <c r="O392" s="74"/>
      <c r="P392" s="353"/>
    </row>
  </sheetData>
  <mergeCells count="28">
    <mergeCell ref="A339:J339"/>
    <mergeCell ref="A340:J340"/>
    <mergeCell ref="A282:J282"/>
    <mergeCell ref="A283:J283"/>
    <mergeCell ref="A284:J284"/>
    <mergeCell ref="A337:J337"/>
    <mergeCell ref="A338:J338"/>
    <mergeCell ref="A225:J225"/>
    <mergeCell ref="A226:J226"/>
    <mergeCell ref="A227:J227"/>
    <mergeCell ref="A228:J228"/>
    <mergeCell ref="A281:J281"/>
    <mergeCell ref="A58:J58"/>
    <mergeCell ref="A1:J1"/>
    <mergeCell ref="A2:J2"/>
    <mergeCell ref="A3:J3"/>
    <mergeCell ref="A4:J4"/>
    <mergeCell ref="A57:J57"/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</mergeCells>
  <pageMargins left="0.95" right="0.5" top="0.75" bottom="0.75" header="0.3" footer="0.3"/>
  <pageSetup scale="53" fitToHeight="0" orientation="portrait" r:id="rId1"/>
  <rowBreaks count="6" manualBreakCount="6">
    <brk id="56" max="9" man="1"/>
    <brk id="112" max="9" man="1"/>
    <brk id="168" max="9" man="1"/>
    <brk id="224" max="9" man="1"/>
    <brk id="280" max="9" man="1"/>
    <brk id="336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P385"/>
  <sheetViews>
    <sheetView zoomScaleNormal="100" workbookViewId="0">
      <selection sqref="A1:J1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  <c r="I1" s="809"/>
      <c r="J1" s="809"/>
    </row>
    <row r="2" spans="1:16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  <c r="I2" s="809"/>
      <c r="J2" s="809"/>
    </row>
    <row r="3" spans="1:16" ht="20.100000000000001" customHeight="1">
      <c r="A3" s="809" t="s">
        <v>1216</v>
      </c>
      <c r="B3" s="809"/>
      <c r="C3" s="809"/>
      <c r="D3" s="809"/>
      <c r="E3" s="809"/>
      <c r="F3" s="809"/>
      <c r="G3" s="809"/>
      <c r="H3" s="809"/>
      <c r="I3" s="809"/>
      <c r="J3" s="809"/>
    </row>
    <row r="4" spans="1:16" ht="20.100000000000001" customHeight="1">
      <c r="A4" s="808" t="str">
        <f>'Rate Case Constants'!C18</f>
        <v>AS OF JUNE 30, 2022</v>
      </c>
      <c r="B4" s="809"/>
      <c r="C4" s="809"/>
      <c r="D4" s="809"/>
      <c r="E4" s="809"/>
      <c r="F4" s="809"/>
      <c r="G4" s="809"/>
      <c r="H4" s="809"/>
      <c r="I4" s="809"/>
      <c r="J4" s="809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161</v>
      </c>
      <c r="B6" s="347"/>
      <c r="G6" s="74"/>
      <c r="H6" s="74"/>
      <c r="I6" s="74"/>
      <c r="J6" s="74" t="s">
        <v>1709</v>
      </c>
    </row>
    <row r="7" spans="1:16" ht="20.100000000000001" customHeight="1">
      <c r="A7" s="68" t="str">
        <f>'Rate Case Constants'!C29</f>
        <v>TYPE OF FILING: __X__ ORIGINAL  _____ UPDATED  _____ REVISED</v>
      </c>
      <c r="G7" s="74"/>
      <c r="H7" s="74"/>
      <c r="I7" s="74"/>
      <c r="J7" s="74" t="s">
        <v>3744</v>
      </c>
    </row>
    <row r="8" spans="1:16" ht="20.100000000000001" customHeight="1">
      <c r="A8" s="67" t="s">
        <v>1195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1219</v>
      </c>
      <c r="C10" s="76" t="s">
        <v>1220</v>
      </c>
      <c r="D10" s="142" t="s">
        <v>1222</v>
      </c>
      <c r="E10" s="142" t="s">
        <v>1223</v>
      </c>
      <c r="F10" s="76" t="s">
        <v>1224</v>
      </c>
      <c r="G10" s="76" t="s">
        <v>1225</v>
      </c>
      <c r="H10" s="76" t="s">
        <v>1226</v>
      </c>
      <c r="I10" s="76" t="s">
        <v>1227</v>
      </c>
      <c r="J10" s="76" t="s">
        <v>1228</v>
      </c>
      <c r="M10" s="150" t="s">
        <v>1236</v>
      </c>
      <c r="N10" s="150" t="s">
        <v>1237</v>
      </c>
      <c r="O10" s="150" t="s">
        <v>1238</v>
      </c>
      <c r="P10" s="150" t="s">
        <v>1224</v>
      </c>
    </row>
    <row r="11" spans="1:16" ht="23.1" customHeight="1">
      <c r="A11" s="80" t="s">
        <v>1217</v>
      </c>
      <c r="B11" s="80" t="s">
        <v>1218</v>
      </c>
      <c r="C11" s="80" t="s">
        <v>1221</v>
      </c>
      <c r="D11" s="355" t="s">
        <v>1229</v>
      </c>
      <c r="E11" s="355" t="s">
        <v>1230</v>
      </c>
      <c r="F11" s="356" t="s">
        <v>1231</v>
      </c>
      <c r="G11" s="356" t="s">
        <v>1232</v>
      </c>
      <c r="H11" s="356" t="s">
        <v>1233</v>
      </c>
      <c r="I11" s="356" t="s">
        <v>1234</v>
      </c>
      <c r="J11" s="356" t="s">
        <v>1235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2801</v>
      </c>
      <c r="C13" s="354" t="s">
        <v>2802</v>
      </c>
      <c r="D13" s="145">
        <v>43831</v>
      </c>
      <c r="E13" s="146">
        <v>44561</v>
      </c>
      <c r="F13" s="149">
        <v>1.247945205479452</v>
      </c>
      <c r="G13" s="354">
        <v>799920</v>
      </c>
      <c r="H13" s="354">
        <v>3662932.34</v>
      </c>
      <c r="I13" s="358">
        <v>-4.6566128730773926E-10</v>
      </c>
      <c r="J13" s="352">
        <f t="shared" ref="J13:J56" si="0">IFERROR(I13/H13,0)</f>
        <v>-1.2712800676731563E-16</v>
      </c>
      <c r="M13" s="74">
        <f t="shared" ref="M13:M88" si="1">E13-D13</f>
        <v>730</v>
      </c>
      <c r="N13" s="146">
        <v>44742</v>
      </c>
      <c r="O13" s="74">
        <f t="shared" ref="O13:O88" si="2">E13-N13</f>
        <v>-181</v>
      </c>
      <c r="P13" s="353">
        <f t="shared" ref="P13:P88" si="3">(M13-O13)/M13</f>
        <v>1.247945205479452</v>
      </c>
    </row>
    <row r="14" spans="1:16" ht="18.95" customHeight="1">
      <c r="A14" s="348">
        <f t="shared" ref="A14:A89" si="4">A13+1</f>
        <v>2</v>
      </c>
      <c r="B14" s="357" t="s">
        <v>2598</v>
      </c>
      <c r="C14" s="354" t="s">
        <v>2599</v>
      </c>
      <c r="D14" s="145">
        <v>43466</v>
      </c>
      <c r="E14" s="146">
        <v>44377</v>
      </c>
      <c r="F14" s="149">
        <v>1.4006586169045006</v>
      </c>
      <c r="G14" s="354">
        <v>5600000</v>
      </c>
      <c r="H14" s="354">
        <v>9154549.3900000006</v>
      </c>
      <c r="I14" s="358">
        <v>-1.862645149230957E-9</v>
      </c>
      <c r="J14" s="352">
        <f t="shared" si="0"/>
        <v>-2.0346661205035641E-16</v>
      </c>
      <c r="M14" s="74">
        <f t="shared" si="1"/>
        <v>911</v>
      </c>
      <c r="N14" s="146">
        <v>44742</v>
      </c>
      <c r="O14" s="74">
        <f t="shared" si="2"/>
        <v>-365</v>
      </c>
      <c r="P14" s="353">
        <f t="shared" si="3"/>
        <v>1.4006586169045006</v>
      </c>
    </row>
    <row r="15" spans="1:16" ht="18.95" customHeight="1">
      <c r="A15" s="348">
        <f t="shared" si="4"/>
        <v>3</v>
      </c>
      <c r="B15" s="357" t="s">
        <v>2805</v>
      </c>
      <c r="C15" s="354" t="s">
        <v>2806</v>
      </c>
      <c r="D15" s="145">
        <v>42186</v>
      </c>
      <c r="E15" s="146">
        <v>46022</v>
      </c>
      <c r="F15" s="149">
        <v>0.6663190823774765</v>
      </c>
      <c r="G15" s="354">
        <v>40000000</v>
      </c>
      <c r="H15" s="354">
        <v>740416.01</v>
      </c>
      <c r="I15" s="358">
        <v>103515.65999999999</v>
      </c>
      <c r="J15" s="352">
        <f t="shared" si="0"/>
        <v>0.13980743069021426</v>
      </c>
      <c r="M15" s="74">
        <f t="shared" si="1"/>
        <v>3836</v>
      </c>
      <c r="N15" s="146">
        <v>44742</v>
      </c>
      <c r="O15" s="74">
        <f t="shared" si="2"/>
        <v>1280</v>
      </c>
      <c r="P15" s="353">
        <f t="shared" si="3"/>
        <v>0.6663190823774765</v>
      </c>
    </row>
    <row r="16" spans="1:16" ht="18.95" customHeight="1">
      <c r="A16" s="348">
        <f t="shared" si="4"/>
        <v>4</v>
      </c>
      <c r="B16" s="357" t="s">
        <v>2563</v>
      </c>
      <c r="C16" s="354" t="s">
        <v>2564</v>
      </c>
      <c r="D16" s="145">
        <v>42186</v>
      </c>
      <c r="E16" s="146">
        <v>45838</v>
      </c>
      <c r="F16" s="149">
        <v>0.69989047097480828</v>
      </c>
      <c r="G16" s="354">
        <v>60000000</v>
      </c>
      <c r="H16" s="354">
        <v>-565934.36</v>
      </c>
      <c r="I16" s="358">
        <v>-357049.91000000003</v>
      </c>
      <c r="J16" s="352">
        <f t="shared" si="0"/>
        <v>0.63090339664126427</v>
      </c>
      <c r="M16" s="74">
        <f t="shared" si="1"/>
        <v>3652</v>
      </c>
      <c r="N16" s="146">
        <v>44742</v>
      </c>
      <c r="O16" s="74">
        <f t="shared" si="2"/>
        <v>1096</v>
      </c>
      <c r="P16" s="353">
        <f t="shared" si="3"/>
        <v>0.69989047097480828</v>
      </c>
    </row>
    <row r="17" spans="1:16" ht="18.95" customHeight="1">
      <c r="A17" s="348">
        <f t="shared" si="4"/>
        <v>5</v>
      </c>
      <c r="B17" s="357" t="s">
        <v>2565</v>
      </c>
      <c r="C17" s="354" t="s">
        <v>2566</v>
      </c>
      <c r="D17" s="145">
        <v>42186</v>
      </c>
      <c r="E17" s="146">
        <v>46022</v>
      </c>
      <c r="F17" s="149">
        <v>0.6663190823774765</v>
      </c>
      <c r="G17" s="354">
        <v>7200000</v>
      </c>
      <c r="H17" s="354">
        <v>-1909745.42</v>
      </c>
      <c r="I17" s="358">
        <v>-87160.919999999925</v>
      </c>
      <c r="J17" s="352">
        <f t="shared" si="0"/>
        <v>4.5640072800907636E-2</v>
      </c>
      <c r="M17" s="74">
        <f t="shared" si="1"/>
        <v>3836</v>
      </c>
      <c r="N17" s="146">
        <v>44742</v>
      </c>
      <c r="O17" s="74">
        <f t="shared" si="2"/>
        <v>1280</v>
      </c>
      <c r="P17" s="353">
        <f t="shared" si="3"/>
        <v>0.6663190823774765</v>
      </c>
    </row>
    <row r="18" spans="1:16" ht="18.95" customHeight="1">
      <c r="A18" s="348">
        <f t="shared" si="4"/>
        <v>6</v>
      </c>
      <c r="B18" s="357" t="s">
        <v>3278</v>
      </c>
      <c r="C18" s="354" t="s">
        <v>3279</v>
      </c>
      <c r="D18" s="145">
        <v>44562</v>
      </c>
      <c r="E18" s="146">
        <v>46022</v>
      </c>
      <c r="F18" s="149">
        <v>0.12328767123287671</v>
      </c>
      <c r="G18" s="354">
        <v>62232.78</v>
      </c>
      <c r="H18" s="354">
        <v>4799375.8499999996</v>
      </c>
      <c r="I18" s="358">
        <v>507772.67</v>
      </c>
      <c r="J18" s="352">
        <f t="shared" si="0"/>
        <v>0.10579973018783266</v>
      </c>
      <c r="M18" s="74">
        <f t="shared" si="1"/>
        <v>1460</v>
      </c>
      <c r="N18" s="146">
        <v>44742</v>
      </c>
      <c r="O18" s="74">
        <f t="shared" si="2"/>
        <v>1280</v>
      </c>
      <c r="P18" s="353">
        <f t="shared" si="3"/>
        <v>0.12328767123287671</v>
      </c>
    </row>
    <row r="19" spans="1:16" ht="18.95" customHeight="1">
      <c r="A19" s="348">
        <f t="shared" si="4"/>
        <v>7</v>
      </c>
      <c r="B19" s="357" t="s">
        <v>2813</v>
      </c>
      <c r="C19" s="354" t="s">
        <v>2814</v>
      </c>
      <c r="D19" s="145">
        <v>43831</v>
      </c>
      <c r="E19" s="146">
        <v>44926</v>
      </c>
      <c r="F19" s="149">
        <v>0.83196347031963469</v>
      </c>
      <c r="G19" s="354">
        <v>4000000</v>
      </c>
      <c r="H19" s="354">
        <v>10558635.640000001</v>
      </c>
      <c r="I19" s="358">
        <v>5358502.58</v>
      </c>
      <c r="J19" s="352">
        <f t="shared" si="0"/>
        <v>0.50749952576259183</v>
      </c>
      <c r="M19" s="74">
        <f t="shared" si="1"/>
        <v>1095</v>
      </c>
      <c r="N19" s="146">
        <v>44742</v>
      </c>
      <c r="O19" s="74">
        <f t="shared" si="2"/>
        <v>184</v>
      </c>
      <c r="P19" s="353">
        <f t="shared" si="3"/>
        <v>0.83196347031963469</v>
      </c>
    </row>
    <row r="20" spans="1:16" ht="18.95" customHeight="1">
      <c r="A20" s="348">
        <f t="shared" si="4"/>
        <v>8</v>
      </c>
      <c r="B20" s="357" t="s">
        <v>2612</v>
      </c>
      <c r="C20" s="354" t="s">
        <v>3280</v>
      </c>
      <c r="D20" s="145">
        <v>44713</v>
      </c>
      <c r="E20" s="146">
        <v>44926</v>
      </c>
      <c r="F20" s="149">
        <v>0.13615023474178403</v>
      </c>
      <c r="G20" s="354">
        <v>500000</v>
      </c>
      <c r="H20" s="354">
        <v>171799.80000000002</v>
      </c>
      <c r="I20" s="358">
        <v>70365.02</v>
      </c>
      <c r="J20" s="352">
        <f t="shared" si="0"/>
        <v>0.40957568053047788</v>
      </c>
      <c r="M20" s="74">
        <f t="shared" si="1"/>
        <v>213</v>
      </c>
      <c r="N20" s="146">
        <v>44742</v>
      </c>
      <c r="O20" s="74">
        <f t="shared" si="2"/>
        <v>184</v>
      </c>
      <c r="P20" s="353">
        <f t="shared" si="3"/>
        <v>0.13615023474178403</v>
      </c>
    </row>
    <row r="21" spans="1:16" ht="18.95" customHeight="1">
      <c r="A21" s="348">
        <f t="shared" si="4"/>
        <v>9</v>
      </c>
      <c r="B21" s="357" t="s">
        <v>2613</v>
      </c>
      <c r="C21" s="354" t="s">
        <v>2614</v>
      </c>
      <c r="D21" s="145">
        <v>43525</v>
      </c>
      <c r="E21" s="146">
        <v>45291</v>
      </c>
      <c r="F21" s="149">
        <v>0.6891279728199321</v>
      </c>
      <c r="G21" s="354">
        <v>34515000</v>
      </c>
      <c r="H21" s="354">
        <v>24446915.109999999</v>
      </c>
      <c r="I21" s="358">
        <v>16405155.720000001</v>
      </c>
      <c r="J21" s="352">
        <f t="shared" si="0"/>
        <v>0.67105218168363001</v>
      </c>
      <c r="M21" s="74">
        <f t="shared" si="1"/>
        <v>1766</v>
      </c>
      <c r="N21" s="146">
        <v>44742</v>
      </c>
      <c r="O21" s="74">
        <f t="shared" si="2"/>
        <v>549</v>
      </c>
      <c r="P21" s="353">
        <f t="shared" si="3"/>
        <v>0.6891279728199321</v>
      </c>
    </row>
    <row r="22" spans="1:16" ht="18.95" customHeight="1">
      <c r="A22" s="348">
        <f t="shared" si="4"/>
        <v>10</v>
      </c>
      <c r="B22" s="357" t="s">
        <v>3281</v>
      </c>
      <c r="C22" s="354" t="s">
        <v>3282</v>
      </c>
      <c r="D22" s="145">
        <v>44562</v>
      </c>
      <c r="E22" s="146">
        <v>44895</v>
      </c>
      <c r="F22" s="149">
        <v>0.54054054054054057</v>
      </c>
      <c r="G22" s="354">
        <v>680000</v>
      </c>
      <c r="H22" s="354">
        <v>710009.82000000007</v>
      </c>
      <c r="I22" s="358">
        <v>710009.82000000007</v>
      </c>
      <c r="J22" s="352">
        <f t="shared" si="0"/>
        <v>1</v>
      </c>
      <c r="M22" s="74">
        <f t="shared" si="1"/>
        <v>333</v>
      </c>
      <c r="N22" s="146">
        <v>44742</v>
      </c>
      <c r="O22" s="74">
        <f t="shared" si="2"/>
        <v>153</v>
      </c>
      <c r="P22" s="353">
        <f t="shared" si="3"/>
        <v>0.54054054054054057</v>
      </c>
    </row>
    <row r="23" spans="1:16" ht="18.95" customHeight="1">
      <c r="A23" s="348">
        <f t="shared" si="4"/>
        <v>11</v>
      </c>
      <c r="B23" s="357" t="s">
        <v>3283</v>
      </c>
      <c r="C23" s="354" t="s">
        <v>3284</v>
      </c>
      <c r="D23" s="145">
        <v>44562</v>
      </c>
      <c r="E23" s="146">
        <v>44926</v>
      </c>
      <c r="F23" s="149">
        <v>0.49450549450549453</v>
      </c>
      <c r="G23" s="354">
        <v>100000</v>
      </c>
      <c r="H23" s="354">
        <v>104413.21</v>
      </c>
      <c r="I23" s="358">
        <v>104413.21</v>
      </c>
      <c r="J23" s="352">
        <f t="shared" si="0"/>
        <v>1</v>
      </c>
      <c r="M23" s="74">
        <f t="shared" si="1"/>
        <v>364</v>
      </c>
      <c r="N23" s="146">
        <v>44742</v>
      </c>
      <c r="O23" s="74">
        <f t="shared" si="2"/>
        <v>184</v>
      </c>
      <c r="P23" s="353">
        <f t="shared" si="3"/>
        <v>0.49450549450549453</v>
      </c>
    </row>
    <row r="24" spans="1:16" ht="18.95" customHeight="1">
      <c r="A24" s="348">
        <f t="shared" si="4"/>
        <v>12</v>
      </c>
      <c r="B24" s="357" t="s">
        <v>3285</v>
      </c>
      <c r="C24" s="354" t="s">
        <v>3286</v>
      </c>
      <c r="D24" s="145">
        <v>44197</v>
      </c>
      <c r="E24" s="146">
        <v>44895</v>
      </c>
      <c r="F24" s="149">
        <v>0.78080229226361031</v>
      </c>
      <c r="G24" s="354">
        <v>1388934</v>
      </c>
      <c r="H24" s="354">
        <v>1121585.8900000001</v>
      </c>
      <c r="I24" s="358">
        <v>431691.65</v>
      </c>
      <c r="J24" s="352">
        <f t="shared" si="0"/>
        <v>0.38489397365724703</v>
      </c>
      <c r="M24" s="74">
        <f t="shared" si="1"/>
        <v>698</v>
      </c>
      <c r="N24" s="146">
        <v>44742</v>
      </c>
      <c r="O24" s="74">
        <f t="shared" si="2"/>
        <v>153</v>
      </c>
      <c r="P24" s="353">
        <f t="shared" si="3"/>
        <v>0.78080229226361031</v>
      </c>
    </row>
    <row r="25" spans="1:16" ht="18.95" customHeight="1">
      <c r="A25" s="348">
        <f t="shared" si="4"/>
        <v>13</v>
      </c>
      <c r="B25" s="357" t="s">
        <v>2815</v>
      </c>
      <c r="C25" s="354" t="s">
        <v>2816</v>
      </c>
      <c r="D25" s="145">
        <v>43831</v>
      </c>
      <c r="E25" s="146">
        <v>44681</v>
      </c>
      <c r="F25" s="149">
        <v>1.071764705882353</v>
      </c>
      <c r="G25" s="354">
        <v>2050000</v>
      </c>
      <c r="H25" s="354">
        <v>6221676.3699999992</v>
      </c>
      <c r="I25" s="358">
        <v>-9.3132257461547852E-10</v>
      </c>
      <c r="J25" s="352">
        <f t="shared" si="0"/>
        <v>-1.4968997408900563E-16</v>
      </c>
      <c r="M25" s="74">
        <f t="shared" si="1"/>
        <v>850</v>
      </c>
      <c r="N25" s="146">
        <v>44742</v>
      </c>
      <c r="O25" s="74">
        <f t="shared" si="2"/>
        <v>-61</v>
      </c>
      <c r="P25" s="353">
        <f t="shared" si="3"/>
        <v>1.071764705882353</v>
      </c>
    </row>
    <row r="26" spans="1:16" ht="18.95" customHeight="1">
      <c r="A26" s="348">
        <f t="shared" si="4"/>
        <v>14</v>
      </c>
      <c r="B26" s="357" t="s">
        <v>2332</v>
      </c>
      <c r="C26" s="354" t="s">
        <v>2074</v>
      </c>
      <c r="D26" s="145">
        <v>42005</v>
      </c>
      <c r="E26" s="146">
        <v>47848</v>
      </c>
      <c r="F26" s="149">
        <v>0.4684237549204176</v>
      </c>
      <c r="G26" s="354">
        <v>320000</v>
      </c>
      <c r="H26" s="354">
        <v>190850.95</v>
      </c>
      <c r="I26" s="358">
        <v>93350.95</v>
      </c>
      <c r="J26" s="352">
        <f t="shared" si="0"/>
        <v>0.4891301300831879</v>
      </c>
      <c r="M26" s="74">
        <f t="shared" si="1"/>
        <v>5843</v>
      </c>
      <c r="N26" s="146">
        <v>44742</v>
      </c>
      <c r="O26" s="74">
        <f t="shared" si="2"/>
        <v>3106</v>
      </c>
      <c r="P26" s="353">
        <f t="shared" si="3"/>
        <v>0.4684237549204176</v>
      </c>
    </row>
    <row r="27" spans="1:16" ht="18.95" customHeight="1">
      <c r="A27" s="348">
        <f t="shared" si="4"/>
        <v>15</v>
      </c>
      <c r="B27" s="357" t="s">
        <v>2603</v>
      </c>
      <c r="C27" s="354" t="s">
        <v>3287</v>
      </c>
      <c r="D27" s="145">
        <v>44562</v>
      </c>
      <c r="E27" s="146">
        <v>45107</v>
      </c>
      <c r="F27" s="149">
        <v>0.33027522935779818</v>
      </c>
      <c r="G27" s="354">
        <v>2836608</v>
      </c>
      <c r="H27" s="354">
        <v>2002708.63</v>
      </c>
      <c r="I27" s="358">
        <v>921088.63</v>
      </c>
      <c r="J27" s="352">
        <f t="shared" si="0"/>
        <v>0.45992143649972689</v>
      </c>
      <c r="M27" s="74">
        <f t="shared" si="1"/>
        <v>545</v>
      </c>
      <c r="N27" s="146">
        <v>44742</v>
      </c>
      <c r="O27" s="74">
        <f t="shared" si="2"/>
        <v>365</v>
      </c>
      <c r="P27" s="353">
        <f t="shared" si="3"/>
        <v>0.33027522935779818</v>
      </c>
    </row>
    <row r="28" spans="1:16" ht="18.95" customHeight="1">
      <c r="A28" s="348">
        <f t="shared" si="4"/>
        <v>16</v>
      </c>
      <c r="B28" s="357" t="s">
        <v>2327</v>
      </c>
      <c r="C28" s="354" t="s">
        <v>2076</v>
      </c>
      <c r="D28" s="145">
        <v>42005</v>
      </c>
      <c r="E28" s="146">
        <v>46387</v>
      </c>
      <c r="F28" s="149">
        <v>0.62460063897763574</v>
      </c>
      <c r="G28" s="354">
        <v>51000</v>
      </c>
      <c r="H28" s="354">
        <v>60000</v>
      </c>
      <c r="I28" s="358">
        <v>30000</v>
      </c>
      <c r="J28" s="352">
        <f t="shared" si="0"/>
        <v>0.5</v>
      </c>
      <c r="M28" s="74">
        <f t="shared" si="1"/>
        <v>4382</v>
      </c>
      <c r="N28" s="146">
        <v>44742</v>
      </c>
      <c r="O28" s="74">
        <f t="shared" si="2"/>
        <v>1645</v>
      </c>
      <c r="P28" s="353">
        <f t="shared" si="3"/>
        <v>0.62460063897763574</v>
      </c>
    </row>
    <row r="29" spans="1:16" ht="18.95" customHeight="1">
      <c r="A29" s="348">
        <f t="shared" si="4"/>
        <v>17</v>
      </c>
      <c r="B29" s="357" t="s">
        <v>3288</v>
      </c>
      <c r="C29" s="354" t="s">
        <v>3289</v>
      </c>
      <c r="D29" s="145">
        <v>42005</v>
      </c>
      <c r="E29" s="146">
        <v>46387</v>
      </c>
      <c r="F29" s="149">
        <v>0.62460063897763574</v>
      </c>
      <c r="G29" s="354">
        <v>2506735</v>
      </c>
      <c r="H29" s="354">
        <v>414848.85</v>
      </c>
      <c r="I29" s="358">
        <v>-1.4551915228366852E-11</v>
      </c>
      <c r="J29" s="352">
        <f t="shared" si="0"/>
        <v>-3.5077631837154308E-17</v>
      </c>
      <c r="M29" s="74">
        <f t="shared" si="1"/>
        <v>4382</v>
      </c>
      <c r="N29" s="146">
        <v>44742</v>
      </c>
      <c r="O29" s="74">
        <f t="shared" si="2"/>
        <v>1645</v>
      </c>
      <c r="P29" s="353">
        <f t="shared" si="3"/>
        <v>0.62460063897763574</v>
      </c>
    </row>
    <row r="30" spans="1:16" ht="18.95" customHeight="1">
      <c r="A30" s="348">
        <f t="shared" si="4"/>
        <v>18</v>
      </c>
      <c r="B30" s="357" t="s">
        <v>2323</v>
      </c>
      <c r="C30" s="354" t="s">
        <v>2324</v>
      </c>
      <c r="D30" s="145">
        <v>41947</v>
      </c>
      <c r="E30" s="146">
        <v>44561</v>
      </c>
      <c r="F30" s="149">
        <v>1.0692425401683243</v>
      </c>
      <c r="G30" s="354">
        <v>5400393.2599999998</v>
      </c>
      <c r="H30" s="354">
        <v>6167351.04</v>
      </c>
      <c r="I30" s="358">
        <v>-9.3132257461547852E-10</v>
      </c>
      <c r="J30" s="352">
        <f t="shared" si="0"/>
        <v>-1.5100852352576294E-16</v>
      </c>
      <c r="M30" s="74">
        <f t="shared" si="1"/>
        <v>2614</v>
      </c>
      <c r="N30" s="146">
        <v>44742</v>
      </c>
      <c r="O30" s="74">
        <f t="shared" si="2"/>
        <v>-181</v>
      </c>
      <c r="P30" s="353">
        <f t="shared" si="3"/>
        <v>1.0692425401683243</v>
      </c>
    </row>
    <row r="31" spans="1:16" ht="18.95" customHeight="1">
      <c r="A31" s="348">
        <f t="shared" si="4"/>
        <v>19</v>
      </c>
      <c r="B31" s="357" t="s">
        <v>2328</v>
      </c>
      <c r="C31" s="354" t="s">
        <v>2829</v>
      </c>
      <c r="D31" s="145">
        <v>43831</v>
      </c>
      <c r="E31" s="146">
        <v>47848</v>
      </c>
      <c r="F31" s="149">
        <v>0.22678615882499378</v>
      </c>
      <c r="G31" s="354">
        <v>10071197.5</v>
      </c>
      <c r="H31" s="354">
        <v>15708535.49</v>
      </c>
      <c r="I31" s="358">
        <v>3779316.29</v>
      </c>
      <c r="J31" s="352">
        <f t="shared" si="0"/>
        <v>0.24058998322319097</v>
      </c>
      <c r="M31" s="74">
        <f t="shared" si="1"/>
        <v>4017</v>
      </c>
      <c r="N31" s="146">
        <v>44742</v>
      </c>
      <c r="O31" s="74">
        <f t="shared" si="2"/>
        <v>3106</v>
      </c>
      <c r="P31" s="353">
        <f t="shared" si="3"/>
        <v>0.22678615882499378</v>
      </c>
    </row>
    <row r="32" spans="1:16" ht="18.95" customHeight="1">
      <c r="A32" s="348">
        <f t="shared" si="4"/>
        <v>20</v>
      </c>
      <c r="B32" s="357" t="s">
        <v>3290</v>
      </c>
      <c r="C32" s="354" t="s">
        <v>3291</v>
      </c>
      <c r="D32" s="145">
        <v>44470</v>
      </c>
      <c r="E32" s="146">
        <v>44926</v>
      </c>
      <c r="F32" s="149">
        <v>0.59649122807017541</v>
      </c>
      <c r="G32" s="354">
        <v>304000</v>
      </c>
      <c r="H32" s="354">
        <v>307740.26</v>
      </c>
      <c r="I32" s="358">
        <v>195880.58000000002</v>
      </c>
      <c r="J32" s="352">
        <f t="shared" si="0"/>
        <v>0.63651268768018854</v>
      </c>
      <c r="M32" s="74">
        <f t="shared" si="1"/>
        <v>456</v>
      </c>
      <c r="N32" s="146">
        <v>44742</v>
      </c>
      <c r="O32" s="74">
        <f t="shared" si="2"/>
        <v>184</v>
      </c>
      <c r="P32" s="353">
        <f t="shared" si="3"/>
        <v>0.59649122807017541</v>
      </c>
    </row>
    <row r="33" spans="1:16" ht="18.95" customHeight="1">
      <c r="A33" s="348">
        <f t="shared" si="4"/>
        <v>21</v>
      </c>
      <c r="B33" s="357" t="s">
        <v>2325</v>
      </c>
      <c r="C33" s="354" t="s">
        <v>2326</v>
      </c>
      <c r="D33" s="145">
        <v>42164</v>
      </c>
      <c r="E33" s="146">
        <v>46022</v>
      </c>
      <c r="F33" s="149">
        <v>0.66822187662001031</v>
      </c>
      <c r="G33" s="354">
        <v>516492.27</v>
      </c>
      <c r="H33" s="354">
        <v>5111528.76</v>
      </c>
      <c r="I33" s="358">
        <v>-4.6566128730773926E-10</v>
      </c>
      <c r="J33" s="352">
        <f t="shared" si="0"/>
        <v>-9.1100199015164936E-17</v>
      </c>
      <c r="M33" s="74">
        <f t="shared" si="1"/>
        <v>3858</v>
      </c>
      <c r="N33" s="146">
        <v>44742</v>
      </c>
      <c r="O33" s="74">
        <f t="shared" si="2"/>
        <v>1280</v>
      </c>
      <c r="P33" s="353">
        <f t="shared" si="3"/>
        <v>0.66822187662001031</v>
      </c>
    </row>
    <row r="34" spans="1:16" ht="18.95" customHeight="1">
      <c r="A34" s="348">
        <f t="shared" si="4"/>
        <v>22</v>
      </c>
      <c r="B34" s="357" t="s">
        <v>2834</v>
      </c>
      <c r="C34" s="354" t="s">
        <v>2835</v>
      </c>
      <c r="D34" s="145">
        <v>43983</v>
      </c>
      <c r="E34" s="146">
        <v>45596</v>
      </c>
      <c r="F34" s="149">
        <v>0.47055176689398637</v>
      </c>
      <c r="G34" s="354">
        <v>23118400</v>
      </c>
      <c r="H34" s="354">
        <v>16667840.620000001</v>
      </c>
      <c r="I34" s="358">
        <v>1703962.73</v>
      </c>
      <c r="J34" s="352">
        <f t="shared" si="0"/>
        <v>0.10223056296539029</v>
      </c>
      <c r="M34" s="74">
        <f t="shared" si="1"/>
        <v>1613</v>
      </c>
      <c r="N34" s="146">
        <v>44742</v>
      </c>
      <c r="O34" s="74">
        <f t="shared" si="2"/>
        <v>854</v>
      </c>
      <c r="P34" s="353">
        <f t="shared" si="3"/>
        <v>0.47055176689398637</v>
      </c>
    </row>
    <row r="35" spans="1:16" ht="18.95" customHeight="1">
      <c r="A35" s="348">
        <f t="shared" si="4"/>
        <v>23</v>
      </c>
      <c r="B35" s="357" t="s">
        <v>2331</v>
      </c>
      <c r="C35" s="354" t="s">
        <v>2836</v>
      </c>
      <c r="D35" s="145">
        <v>42370</v>
      </c>
      <c r="E35" s="146">
        <v>46387</v>
      </c>
      <c r="F35" s="149">
        <v>0.59049041573313421</v>
      </c>
      <c r="G35" s="354">
        <v>69500</v>
      </c>
      <c r="H35" s="354">
        <v>1359600.3900000001</v>
      </c>
      <c r="I35" s="358">
        <v>544598.12000000011</v>
      </c>
      <c r="J35" s="352">
        <f t="shared" si="0"/>
        <v>0.40055749027844872</v>
      </c>
      <c r="M35" s="74">
        <f t="shared" si="1"/>
        <v>4017</v>
      </c>
      <c r="N35" s="146">
        <v>44742</v>
      </c>
      <c r="O35" s="74">
        <f t="shared" si="2"/>
        <v>1645</v>
      </c>
      <c r="P35" s="353">
        <f t="shared" si="3"/>
        <v>0.59049041573313421</v>
      </c>
    </row>
    <row r="36" spans="1:16" ht="18.95" customHeight="1">
      <c r="A36" s="348">
        <f t="shared" si="4"/>
        <v>24</v>
      </c>
      <c r="B36" s="357" t="s">
        <v>2567</v>
      </c>
      <c r="C36" s="354" t="s">
        <v>2568</v>
      </c>
      <c r="D36" s="145">
        <v>42458</v>
      </c>
      <c r="E36" s="146">
        <v>46022</v>
      </c>
      <c r="F36" s="149">
        <v>0.64085297418630749</v>
      </c>
      <c r="G36" s="354">
        <v>35870036.200000003</v>
      </c>
      <c r="H36" s="354">
        <v>14022349.629999999</v>
      </c>
      <c r="I36" s="358">
        <v>48395.414346723046</v>
      </c>
      <c r="J36" s="352">
        <f t="shared" si="0"/>
        <v>3.4513056387628421E-3</v>
      </c>
      <c r="M36" s="74">
        <f t="shared" si="1"/>
        <v>3564</v>
      </c>
      <c r="N36" s="146">
        <v>44742</v>
      </c>
      <c r="O36" s="74">
        <f t="shared" si="2"/>
        <v>1280</v>
      </c>
      <c r="P36" s="353">
        <f t="shared" si="3"/>
        <v>0.64085297418630749</v>
      </c>
    </row>
    <row r="37" spans="1:16" ht="18.95" customHeight="1">
      <c r="A37" s="348">
        <f t="shared" si="4"/>
        <v>25</v>
      </c>
      <c r="B37" s="357" t="s">
        <v>3292</v>
      </c>
      <c r="C37" s="354" t="s">
        <v>3293</v>
      </c>
      <c r="D37" s="145">
        <v>42736</v>
      </c>
      <c r="E37" s="146">
        <v>45991</v>
      </c>
      <c r="F37" s="149">
        <v>0.61628264208909367</v>
      </c>
      <c r="G37" s="354">
        <v>1440000</v>
      </c>
      <c r="H37" s="354">
        <v>880879.25</v>
      </c>
      <c r="I37" s="358">
        <v>352351.7</v>
      </c>
      <c r="J37" s="352">
        <f t="shared" si="0"/>
        <v>0.4</v>
      </c>
      <c r="M37" s="74">
        <f t="shared" si="1"/>
        <v>3255</v>
      </c>
      <c r="N37" s="146">
        <v>44742</v>
      </c>
      <c r="O37" s="74">
        <f t="shared" si="2"/>
        <v>1249</v>
      </c>
      <c r="P37" s="353">
        <f t="shared" si="3"/>
        <v>0.61628264208909367</v>
      </c>
    </row>
    <row r="38" spans="1:16" ht="18.95" customHeight="1">
      <c r="A38" s="348">
        <f t="shared" si="4"/>
        <v>26</v>
      </c>
      <c r="B38" s="357" t="s">
        <v>3294</v>
      </c>
      <c r="C38" s="354" t="s">
        <v>3295</v>
      </c>
      <c r="D38" s="145">
        <v>44287</v>
      </c>
      <c r="E38" s="146">
        <v>44926</v>
      </c>
      <c r="F38" s="149">
        <v>0.7120500782472613</v>
      </c>
      <c r="G38" s="354">
        <v>1834000</v>
      </c>
      <c r="H38" s="354">
        <v>2069444</v>
      </c>
      <c r="I38" s="358">
        <v>586646</v>
      </c>
      <c r="J38" s="352">
        <f t="shared" si="0"/>
        <v>0.28348000719033711</v>
      </c>
      <c r="M38" s="74">
        <f t="shared" si="1"/>
        <v>639</v>
      </c>
      <c r="N38" s="146">
        <v>44742</v>
      </c>
      <c r="O38" s="74">
        <f t="shared" si="2"/>
        <v>184</v>
      </c>
      <c r="P38" s="353">
        <f t="shared" si="3"/>
        <v>0.7120500782472613</v>
      </c>
    </row>
    <row r="39" spans="1:16" ht="18.95" customHeight="1">
      <c r="A39" s="348">
        <f t="shared" si="4"/>
        <v>27</v>
      </c>
      <c r="B39" s="357" t="s">
        <v>2845</v>
      </c>
      <c r="C39" s="354" t="s">
        <v>2846</v>
      </c>
      <c r="D39" s="145">
        <v>43466</v>
      </c>
      <c r="E39" s="146">
        <v>47848</v>
      </c>
      <c r="F39" s="149">
        <v>0.29119123687813786</v>
      </c>
      <c r="G39" s="354">
        <v>1749000</v>
      </c>
      <c r="H39" s="354">
        <v>1104701.6000000001</v>
      </c>
      <c r="I39" s="358">
        <v>370044.98</v>
      </c>
      <c r="J39" s="352">
        <f t="shared" si="0"/>
        <v>0.33497279265278512</v>
      </c>
      <c r="M39" s="74">
        <f t="shared" si="1"/>
        <v>4382</v>
      </c>
      <c r="N39" s="146">
        <v>44742</v>
      </c>
      <c r="O39" s="74">
        <f t="shared" si="2"/>
        <v>3106</v>
      </c>
      <c r="P39" s="353">
        <f t="shared" si="3"/>
        <v>0.29119123687813786</v>
      </c>
    </row>
    <row r="40" spans="1:16" ht="18.95" customHeight="1">
      <c r="A40" s="348">
        <f t="shared" si="4"/>
        <v>28</v>
      </c>
      <c r="B40" s="357" t="s">
        <v>2569</v>
      </c>
      <c r="C40" s="354" t="s">
        <v>2570</v>
      </c>
      <c r="D40" s="145">
        <v>42558</v>
      </c>
      <c r="E40" s="146">
        <v>44651</v>
      </c>
      <c r="F40" s="149">
        <v>1.0434782608695652</v>
      </c>
      <c r="G40" s="354">
        <v>1133000</v>
      </c>
      <c r="H40" s="354">
        <v>16678965.25</v>
      </c>
      <c r="I40" s="358">
        <v>56254.42496937298</v>
      </c>
      <c r="J40" s="352">
        <f t="shared" si="0"/>
        <v>3.372776675661758E-3</v>
      </c>
      <c r="M40" s="74">
        <f t="shared" si="1"/>
        <v>2093</v>
      </c>
      <c r="N40" s="146">
        <v>44742</v>
      </c>
      <c r="O40" s="74">
        <f t="shared" si="2"/>
        <v>-91</v>
      </c>
      <c r="P40" s="353">
        <f t="shared" si="3"/>
        <v>1.0434782608695652</v>
      </c>
    </row>
    <row r="41" spans="1:16" ht="18.95" customHeight="1">
      <c r="A41" s="348">
        <f t="shared" si="4"/>
        <v>29</v>
      </c>
      <c r="B41" s="357" t="s">
        <v>2849</v>
      </c>
      <c r="C41" s="354" t="s">
        <v>2850</v>
      </c>
      <c r="D41" s="145">
        <v>42563</v>
      </c>
      <c r="E41" s="146">
        <v>45838</v>
      </c>
      <c r="F41" s="149">
        <v>0.66534351145038173</v>
      </c>
      <c r="G41" s="354">
        <v>130930037.63</v>
      </c>
      <c r="H41" s="354">
        <v>136852081.16000003</v>
      </c>
      <c r="I41" s="358">
        <v>60410948.200000003</v>
      </c>
      <c r="J41" s="352">
        <f t="shared" si="0"/>
        <v>0.44143244069025739</v>
      </c>
      <c r="M41" s="74">
        <f t="shared" si="1"/>
        <v>3275</v>
      </c>
      <c r="N41" s="146">
        <v>44742</v>
      </c>
      <c r="O41" s="74">
        <f t="shared" si="2"/>
        <v>1096</v>
      </c>
      <c r="P41" s="353">
        <f t="shared" si="3"/>
        <v>0.66534351145038173</v>
      </c>
    </row>
    <row r="42" spans="1:16" ht="18.95" customHeight="1">
      <c r="A42" s="348">
        <f t="shared" si="4"/>
        <v>30</v>
      </c>
      <c r="B42" s="357" t="s">
        <v>2851</v>
      </c>
      <c r="C42" s="354" t="s">
        <v>2852</v>
      </c>
      <c r="D42" s="145">
        <v>42563</v>
      </c>
      <c r="E42" s="146">
        <v>45657</v>
      </c>
      <c r="F42" s="149">
        <v>0.70426632191338079</v>
      </c>
      <c r="G42" s="354">
        <v>31584238.189999998</v>
      </c>
      <c r="H42" s="354">
        <v>35939451.520000003</v>
      </c>
      <c r="I42" s="358">
        <v>18576102.899999999</v>
      </c>
      <c r="J42" s="352">
        <f t="shared" si="0"/>
        <v>0.51687218681293878</v>
      </c>
      <c r="M42" s="74">
        <f t="shared" si="1"/>
        <v>3094</v>
      </c>
      <c r="N42" s="146">
        <v>44742</v>
      </c>
      <c r="O42" s="74">
        <f t="shared" si="2"/>
        <v>915</v>
      </c>
      <c r="P42" s="353">
        <f t="shared" si="3"/>
        <v>0.70426632191338079</v>
      </c>
    </row>
    <row r="43" spans="1:16" ht="18.95" customHeight="1">
      <c r="A43" s="348">
        <f t="shared" si="4"/>
        <v>31</v>
      </c>
      <c r="B43" s="357" t="s">
        <v>2853</v>
      </c>
      <c r="C43" s="354" t="s">
        <v>2854</v>
      </c>
      <c r="D43" s="145">
        <v>42736</v>
      </c>
      <c r="E43" s="146">
        <v>46387</v>
      </c>
      <c r="F43" s="149">
        <v>0.54943850999726107</v>
      </c>
      <c r="G43" s="354">
        <v>9478860</v>
      </c>
      <c r="H43" s="354">
        <v>7102339.8899999997</v>
      </c>
      <c r="I43" s="358">
        <v>4.6566128730773926E-10</v>
      </c>
      <c r="J43" s="352">
        <f t="shared" si="0"/>
        <v>6.5564489241550402E-17</v>
      </c>
      <c r="M43" s="74">
        <f t="shared" si="1"/>
        <v>3651</v>
      </c>
      <c r="N43" s="146">
        <v>44742</v>
      </c>
      <c r="O43" s="74">
        <f t="shared" si="2"/>
        <v>1645</v>
      </c>
      <c r="P43" s="353">
        <f t="shared" si="3"/>
        <v>0.54943850999726107</v>
      </c>
    </row>
    <row r="44" spans="1:16" ht="18.95" customHeight="1">
      <c r="A44" s="348">
        <f t="shared" si="4"/>
        <v>32</v>
      </c>
      <c r="B44" s="357" t="s">
        <v>3296</v>
      </c>
      <c r="C44" s="354" t="s">
        <v>3297</v>
      </c>
      <c r="D44" s="145">
        <v>42736</v>
      </c>
      <c r="E44" s="146">
        <v>46387</v>
      </c>
      <c r="F44" s="149">
        <v>0.54943850999726107</v>
      </c>
      <c r="G44" s="354">
        <v>3874105</v>
      </c>
      <c r="H44" s="354">
        <v>7623011.0399999991</v>
      </c>
      <c r="I44" s="358">
        <v>-4.6566128730773926E-10</v>
      </c>
      <c r="J44" s="352">
        <f t="shared" si="0"/>
        <v>-6.1086266944162694E-17</v>
      </c>
      <c r="M44" s="74">
        <f t="shared" si="1"/>
        <v>3651</v>
      </c>
      <c r="N44" s="146">
        <v>44742</v>
      </c>
      <c r="O44" s="74">
        <f t="shared" si="2"/>
        <v>1645</v>
      </c>
      <c r="P44" s="353">
        <f t="shared" si="3"/>
        <v>0.54943850999726107</v>
      </c>
    </row>
    <row r="45" spans="1:16" ht="18.95" customHeight="1">
      <c r="A45" s="348">
        <f t="shared" si="4"/>
        <v>33</v>
      </c>
      <c r="B45" s="357" t="s">
        <v>3298</v>
      </c>
      <c r="C45" s="354" t="s">
        <v>3299</v>
      </c>
      <c r="D45" s="145">
        <v>42736</v>
      </c>
      <c r="E45" s="146">
        <v>46387</v>
      </c>
      <c r="F45" s="149">
        <v>0.54943850999726107</v>
      </c>
      <c r="G45" s="354">
        <v>13368245</v>
      </c>
      <c r="H45" s="354">
        <v>13603382.16</v>
      </c>
      <c r="I45" s="358">
        <v>-9.3132257461547852E-10</v>
      </c>
      <c r="J45" s="352">
        <f t="shared" si="0"/>
        <v>-6.8462575237647996E-17</v>
      </c>
      <c r="M45" s="74">
        <f t="shared" si="1"/>
        <v>3651</v>
      </c>
      <c r="N45" s="146">
        <v>44742</v>
      </c>
      <c r="O45" s="74">
        <f t="shared" si="2"/>
        <v>1645</v>
      </c>
      <c r="P45" s="353">
        <f t="shared" si="3"/>
        <v>0.54943850999726107</v>
      </c>
    </row>
    <row r="46" spans="1:16" ht="18.95" customHeight="1">
      <c r="A46" s="348">
        <f t="shared" si="4"/>
        <v>34</v>
      </c>
      <c r="B46" s="357" t="s">
        <v>2855</v>
      </c>
      <c r="C46" s="354" t="s">
        <v>2856</v>
      </c>
      <c r="D46" s="145">
        <v>42736</v>
      </c>
      <c r="E46" s="146">
        <v>44926</v>
      </c>
      <c r="F46" s="149">
        <v>0.9159817351598174</v>
      </c>
      <c r="G46" s="354">
        <v>1385567.0199999998</v>
      </c>
      <c r="H46" s="354">
        <v>332901.84999999998</v>
      </c>
      <c r="I46" s="358">
        <v>332901.84999999998</v>
      </c>
      <c r="J46" s="352">
        <f t="shared" si="0"/>
        <v>1</v>
      </c>
      <c r="M46" s="74">
        <f t="shared" si="1"/>
        <v>2190</v>
      </c>
      <c r="N46" s="146">
        <v>44742</v>
      </c>
      <c r="O46" s="74">
        <f t="shared" si="2"/>
        <v>184</v>
      </c>
      <c r="P46" s="353">
        <f t="shared" si="3"/>
        <v>0.9159817351598174</v>
      </c>
    </row>
    <row r="47" spans="1:16" ht="18.95" customHeight="1">
      <c r="A47" s="348">
        <f t="shared" si="4"/>
        <v>35</v>
      </c>
      <c r="B47" s="357" t="s">
        <v>2857</v>
      </c>
      <c r="C47" s="354" t="s">
        <v>2858</v>
      </c>
      <c r="D47" s="145">
        <v>42736</v>
      </c>
      <c r="E47" s="146">
        <v>47848</v>
      </c>
      <c r="F47" s="149">
        <v>0.39241001564945227</v>
      </c>
      <c r="G47" s="354">
        <v>2582706.75</v>
      </c>
      <c r="H47" s="354">
        <v>1865579.79</v>
      </c>
      <c r="I47" s="358">
        <v>220008.96000000008</v>
      </c>
      <c r="J47" s="352">
        <f t="shared" si="0"/>
        <v>0.11793060858576307</v>
      </c>
      <c r="M47" s="74">
        <f t="shared" si="1"/>
        <v>5112</v>
      </c>
      <c r="N47" s="146">
        <v>44742</v>
      </c>
      <c r="O47" s="74">
        <f t="shared" si="2"/>
        <v>3106</v>
      </c>
      <c r="P47" s="353">
        <f t="shared" si="3"/>
        <v>0.39241001564945227</v>
      </c>
    </row>
    <row r="48" spans="1:16" ht="18.95" customHeight="1">
      <c r="A48" s="348">
        <f t="shared" si="4"/>
        <v>36</v>
      </c>
      <c r="B48" s="357" t="s">
        <v>3300</v>
      </c>
      <c r="C48" s="354" t="s">
        <v>3301</v>
      </c>
      <c r="D48" s="145">
        <v>42767</v>
      </c>
      <c r="E48" s="146">
        <v>44926</v>
      </c>
      <c r="F48" s="149">
        <v>0.91477535896248263</v>
      </c>
      <c r="G48" s="354">
        <v>35401405.880000003</v>
      </c>
      <c r="H48" s="354">
        <v>15677178.440000001</v>
      </c>
      <c r="I48" s="358">
        <v>-1.862645149230957E-9</v>
      </c>
      <c r="J48" s="352">
        <f t="shared" si="0"/>
        <v>-1.1881252461083531E-16</v>
      </c>
      <c r="M48" s="74">
        <f t="shared" si="1"/>
        <v>2159</v>
      </c>
      <c r="N48" s="146">
        <v>44742</v>
      </c>
      <c r="O48" s="74">
        <f t="shared" si="2"/>
        <v>184</v>
      </c>
      <c r="P48" s="353">
        <f t="shared" si="3"/>
        <v>0.91477535896248263</v>
      </c>
    </row>
    <row r="49" spans="1:16" ht="18.95" customHeight="1">
      <c r="A49" s="348">
        <f t="shared" si="4"/>
        <v>37</v>
      </c>
      <c r="B49" s="357" t="s">
        <v>2606</v>
      </c>
      <c r="C49" s="354" t="s">
        <v>2607</v>
      </c>
      <c r="D49" s="145">
        <v>44013</v>
      </c>
      <c r="E49" s="146">
        <v>44347</v>
      </c>
      <c r="F49" s="149">
        <v>2.182634730538922</v>
      </c>
      <c r="G49" s="354">
        <v>548443.64</v>
      </c>
      <c r="H49" s="354">
        <v>1865168.46</v>
      </c>
      <c r="I49" s="358">
        <v>-2.3283064365386963E-10</v>
      </c>
      <c r="J49" s="352">
        <f t="shared" si="0"/>
        <v>-1.2483089256928012E-16</v>
      </c>
      <c r="M49" s="74">
        <f t="shared" si="1"/>
        <v>334</v>
      </c>
      <c r="N49" s="146">
        <v>44742</v>
      </c>
      <c r="O49" s="74">
        <f t="shared" si="2"/>
        <v>-395</v>
      </c>
      <c r="P49" s="353">
        <f t="shared" si="3"/>
        <v>2.182634730538922</v>
      </c>
    </row>
    <row r="50" spans="1:16" ht="18.95" customHeight="1">
      <c r="A50" s="348">
        <f t="shared" si="4"/>
        <v>38</v>
      </c>
      <c r="B50" s="357" t="s">
        <v>2592</v>
      </c>
      <c r="C50" s="354" t="s">
        <v>2593</v>
      </c>
      <c r="D50" s="145">
        <v>43101</v>
      </c>
      <c r="E50" s="146">
        <v>46387</v>
      </c>
      <c r="F50" s="149">
        <v>0.4993913572732806</v>
      </c>
      <c r="G50" s="354">
        <v>1743646.76</v>
      </c>
      <c r="H50" s="354">
        <v>7096434.7199999997</v>
      </c>
      <c r="I50" s="358">
        <v>-4.6566128730773926E-10</v>
      </c>
      <c r="J50" s="352">
        <f t="shared" si="0"/>
        <v>-6.5619047547264594E-17</v>
      </c>
      <c r="M50" s="74">
        <f t="shared" si="1"/>
        <v>3286</v>
      </c>
      <c r="N50" s="146">
        <v>44742</v>
      </c>
      <c r="O50" s="74">
        <f t="shared" si="2"/>
        <v>1645</v>
      </c>
      <c r="P50" s="353">
        <f t="shared" si="3"/>
        <v>0.4993913572732806</v>
      </c>
    </row>
    <row r="51" spans="1:16" ht="18.95" customHeight="1">
      <c r="A51" s="348">
        <f t="shared" si="4"/>
        <v>39</v>
      </c>
      <c r="B51" s="357" t="s">
        <v>3302</v>
      </c>
      <c r="C51" s="354" t="s">
        <v>3303</v>
      </c>
      <c r="D51" s="145">
        <v>44562</v>
      </c>
      <c r="E51" s="146">
        <v>44926</v>
      </c>
      <c r="F51" s="149">
        <v>0.49450549450549453</v>
      </c>
      <c r="G51" s="354">
        <v>93000</v>
      </c>
      <c r="H51" s="354">
        <v>91757.5</v>
      </c>
      <c r="I51" s="358">
        <v>45878.7</v>
      </c>
      <c r="J51" s="352">
        <f t="shared" si="0"/>
        <v>0.49999945508541532</v>
      </c>
      <c r="M51" s="74">
        <f t="shared" si="1"/>
        <v>364</v>
      </c>
      <c r="N51" s="146">
        <v>44742</v>
      </c>
      <c r="O51" s="74">
        <f t="shared" si="2"/>
        <v>184</v>
      </c>
      <c r="P51" s="353">
        <f t="shared" si="3"/>
        <v>0.49450549450549453</v>
      </c>
    </row>
    <row r="52" spans="1:16" ht="18.95" customHeight="1">
      <c r="A52" s="348">
        <f t="shared" si="4"/>
        <v>40</v>
      </c>
      <c r="B52" s="357" t="s">
        <v>2617</v>
      </c>
      <c r="C52" s="354" t="s">
        <v>2618</v>
      </c>
      <c r="D52" s="145">
        <v>43497</v>
      </c>
      <c r="E52" s="146">
        <v>44834</v>
      </c>
      <c r="F52" s="149">
        <v>0.931189229618549</v>
      </c>
      <c r="G52" s="354">
        <v>7666475.29</v>
      </c>
      <c r="H52" s="354">
        <v>5599464.7999999998</v>
      </c>
      <c r="I52" s="358">
        <v>5192260.0200000005</v>
      </c>
      <c r="J52" s="352">
        <f t="shared" si="0"/>
        <v>0.92727791056030939</v>
      </c>
      <c r="M52" s="74">
        <f t="shared" si="1"/>
        <v>1337</v>
      </c>
      <c r="N52" s="146">
        <v>44742</v>
      </c>
      <c r="O52" s="74">
        <f t="shared" si="2"/>
        <v>92</v>
      </c>
      <c r="P52" s="353">
        <f t="shared" si="3"/>
        <v>0.931189229618549</v>
      </c>
    </row>
    <row r="53" spans="1:16" ht="18.95" customHeight="1">
      <c r="A53" s="348">
        <f t="shared" si="4"/>
        <v>41</v>
      </c>
      <c r="B53" s="357" t="s">
        <v>3304</v>
      </c>
      <c r="C53" s="354" t="s">
        <v>3305</v>
      </c>
      <c r="D53" s="145">
        <v>43466</v>
      </c>
      <c r="E53" s="146">
        <v>45291</v>
      </c>
      <c r="F53" s="149">
        <v>0.69917808219178079</v>
      </c>
      <c r="G53" s="354">
        <v>3375000.3899999997</v>
      </c>
      <c r="H53" s="354">
        <v>2534767.81</v>
      </c>
      <c r="I53" s="358">
        <v>-2.3283064365386963E-10</v>
      </c>
      <c r="J53" s="352">
        <f t="shared" si="0"/>
        <v>-9.1854821074861932E-17</v>
      </c>
      <c r="M53" s="74">
        <f t="shared" si="1"/>
        <v>1825</v>
      </c>
      <c r="N53" s="146">
        <v>44742</v>
      </c>
      <c r="O53" s="74">
        <f t="shared" si="2"/>
        <v>549</v>
      </c>
      <c r="P53" s="353">
        <f t="shared" si="3"/>
        <v>0.69917808219178079</v>
      </c>
    </row>
    <row r="54" spans="1:16" ht="18.95" customHeight="1">
      <c r="A54" s="348">
        <f t="shared" si="4"/>
        <v>42</v>
      </c>
      <c r="B54" s="357" t="s">
        <v>3306</v>
      </c>
      <c r="C54" s="354" t="s">
        <v>3307</v>
      </c>
      <c r="D54" s="145">
        <v>44562</v>
      </c>
      <c r="E54" s="146">
        <v>45291</v>
      </c>
      <c r="F54" s="149">
        <v>0.24691358024691357</v>
      </c>
      <c r="G54" s="354">
        <v>2000000</v>
      </c>
      <c r="H54" s="354">
        <v>1999998.79</v>
      </c>
      <c r="I54" s="358">
        <v>717600</v>
      </c>
      <c r="J54" s="352">
        <f t="shared" si="0"/>
        <v>0.35880021707413134</v>
      </c>
      <c r="M54" s="74">
        <f t="shared" si="1"/>
        <v>729</v>
      </c>
      <c r="N54" s="146">
        <v>44742</v>
      </c>
      <c r="O54" s="74">
        <f t="shared" si="2"/>
        <v>549</v>
      </c>
      <c r="P54" s="353">
        <f t="shared" si="3"/>
        <v>0.24691358024691357</v>
      </c>
    </row>
    <row r="55" spans="1:16" ht="18.95" customHeight="1">
      <c r="A55" s="348">
        <f t="shared" si="4"/>
        <v>43</v>
      </c>
      <c r="B55" s="357" t="s">
        <v>3308</v>
      </c>
      <c r="C55" s="354" t="s">
        <v>3309</v>
      </c>
      <c r="D55" s="145">
        <v>44562</v>
      </c>
      <c r="E55" s="146">
        <v>45626</v>
      </c>
      <c r="F55" s="149">
        <v>0.16917293233082706</v>
      </c>
      <c r="G55" s="354">
        <v>4500000.08</v>
      </c>
      <c r="H55" s="354">
        <v>1000000</v>
      </c>
      <c r="I55" s="358">
        <v>847990</v>
      </c>
      <c r="J55" s="352">
        <f t="shared" si="0"/>
        <v>0.84799000000000002</v>
      </c>
      <c r="M55" s="74">
        <f t="shared" si="1"/>
        <v>1064</v>
      </c>
      <c r="N55" s="146">
        <v>44742</v>
      </c>
      <c r="O55" s="74">
        <f t="shared" si="2"/>
        <v>884</v>
      </c>
      <c r="P55" s="353">
        <f t="shared" si="3"/>
        <v>0.16917293233082706</v>
      </c>
    </row>
    <row r="56" spans="1:16" ht="18.95" customHeight="1">
      <c r="A56" s="348">
        <f t="shared" si="4"/>
        <v>44</v>
      </c>
      <c r="B56" s="357" t="s">
        <v>2871</v>
      </c>
      <c r="C56" s="354" t="s">
        <v>2872</v>
      </c>
      <c r="D56" s="145">
        <v>43466</v>
      </c>
      <c r="E56" s="146">
        <v>46387</v>
      </c>
      <c r="F56" s="149">
        <v>0.43683669976035605</v>
      </c>
      <c r="G56" s="354">
        <v>3000032.8100000005</v>
      </c>
      <c r="H56" s="354">
        <v>2574092.33</v>
      </c>
      <c r="I56" s="358">
        <v>587981.22</v>
      </c>
      <c r="J56" s="352">
        <f t="shared" si="0"/>
        <v>0.2284227388222706</v>
      </c>
      <c r="M56" s="74">
        <f t="shared" si="1"/>
        <v>2921</v>
      </c>
      <c r="N56" s="146">
        <v>44742</v>
      </c>
      <c r="O56" s="74">
        <f t="shared" si="2"/>
        <v>1645</v>
      </c>
      <c r="P56" s="353">
        <f t="shared" si="3"/>
        <v>0.43683669976035605</v>
      </c>
    </row>
    <row r="57" spans="1:16" s="359" customFormat="1" ht="20.100000000000001" customHeight="1">
      <c r="A57" s="809" t="str">
        <f>$A$1</f>
        <v>KENTUCKY UTILITIES COMPANY</v>
      </c>
      <c r="B57" s="809"/>
      <c r="C57" s="809"/>
      <c r="D57" s="809"/>
      <c r="E57" s="809"/>
      <c r="F57" s="809"/>
      <c r="G57" s="809"/>
      <c r="H57" s="809"/>
      <c r="I57" s="809"/>
      <c r="J57" s="809"/>
    </row>
    <row r="58" spans="1:16" s="359" customFormat="1" ht="20.100000000000001" customHeight="1">
      <c r="A58" s="809" t="str">
        <f>$A$2</f>
        <v>CASE NO. 2020-00349</v>
      </c>
      <c r="B58" s="809"/>
      <c r="C58" s="809"/>
      <c r="D58" s="809"/>
      <c r="E58" s="809"/>
      <c r="F58" s="809"/>
      <c r="G58" s="809"/>
      <c r="H58" s="809"/>
      <c r="I58" s="809"/>
      <c r="J58" s="809"/>
    </row>
    <row r="59" spans="1:16" s="359" customFormat="1" ht="20.100000000000001" customHeight="1">
      <c r="A59" s="809" t="s">
        <v>1216</v>
      </c>
      <c r="B59" s="809"/>
      <c r="C59" s="809"/>
      <c r="D59" s="809"/>
      <c r="E59" s="809"/>
      <c r="F59" s="809"/>
      <c r="G59" s="809"/>
      <c r="H59" s="809"/>
      <c r="I59" s="809"/>
      <c r="J59" s="809"/>
    </row>
    <row r="60" spans="1:16" s="359" customFormat="1" ht="20.100000000000001" customHeight="1">
      <c r="A60" s="809" t="str">
        <f>$A$4</f>
        <v>AS OF JUNE 30, 2022</v>
      </c>
      <c r="B60" s="809"/>
      <c r="C60" s="809"/>
      <c r="D60" s="809"/>
      <c r="E60" s="809"/>
      <c r="F60" s="809"/>
      <c r="G60" s="809"/>
      <c r="H60" s="809"/>
      <c r="I60" s="809"/>
      <c r="J60" s="809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DATA:____BASE  PERIOD__X__FORECASTED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1709</v>
      </c>
    </row>
    <row r="63" spans="1:16" s="359" customFormat="1" ht="20.100000000000001" customHeight="1">
      <c r="A63" s="67" t="str">
        <f>$A$7</f>
        <v>TYPE OF FILING: __X__ ORIGINAL  _____ UPDATED  _____ REVISED</v>
      </c>
      <c r="B63" s="348"/>
      <c r="C63" s="68"/>
      <c r="D63" s="144"/>
      <c r="E63" s="144"/>
      <c r="F63" s="68"/>
      <c r="G63" s="74"/>
      <c r="H63" s="74"/>
      <c r="I63" s="74"/>
      <c r="J63" s="74" t="s">
        <v>3745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5.099999999999994" customHeight="1">
      <c r="A66" s="76" t="s">
        <v>131</v>
      </c>
      <c r="B66" s="76" t="s">
        <v>1219</v>
      </c>
      <c r="C66" s="76" t="s">
        <v>1220</v>
      </c>
      <c r="D66" s="142" t="s">
        <v>1222</v>
      </c>
      <c r="E66" s="142" t="s">
        <v>1223</v>
      </c>
      <c r="F66" s="76" t="s">
        <v>1224</v>
      </c>
      <c r="G66" s="76" t="s">
        <v>1225</v>
      </c>
      <c r="H66" s="76" t="s">
        <v>1226</v>
      </c>
      <c r="I66" s="76" t="s">
        <v>1227</v>
      </c>
      <c r="J66" s="76" t="s">
        <v>1228</v>
      </c>
      <c r="M66" s="360" t="s">
        <v>1236</v>
      </c>
      <c r="N66" s="360" t="s">
        <v>1237</v>
      </c>
      <c r="O66" s="360" t="s">
        <v>1238</v>
      </c>
      <c r="P66" s="360" t="s">
        <v>1224</v>
      </c>
    </row>
    <row r="67" spans="1:16" s="359" customFormat="1" ht="23.1" customHeight="1">
      <c r="A67" s="80" t="s">
        <v>1217</v>
      </c>
      <c r="B67" s="80" t="s">
        <v>1218</v>
      </c>
      <c r="C67" s="80" t="s">
        <v>1221</v>
      </c>
      <c r="D67" s="355" t="s">
        <v>1229</v>
      </c>
      <c r="E67" s="355" t="s">
        <v>1230</v>
      </c>
      <c r="F67" s="356" t="s">
        <v>1231</v>
      </c>
      <c r="G67" s="356" t="s">
        <v>1232</v>
      </c>
      <c r="H67" s="356" t="s">
        <v>1233</v>
      </c>
      <c r="I67" s="356" t="s">
        <v>1234</v>
      </c>
      <c r="J67" s="356" t="s">
        <v>1235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2619</v>
      </c>
      <c r="C69" s="354" t="s">
        <v>2620</v>
      </c>
      <c r="D69" s="145">
        <v>43891</v>
      </c>
      <c r="E69" s="146">
        <v>44500</v>
      </c>
      <c r="F69" s="149">
        <v>1.3973727422003284</v>
      </c>
      <c r="G69" s="354">
        <v>4988784.3</v>
      </c>
      <c r="H69" s="354">
        <v>4869577.62</v>
      </c>
      <c r="I69" s="358">
        <v>-9.3132257461547852E-10</v>
      </c>
      <c r="J69" s="352">
        <f t="shared" ref="J69:J112" si="5">IFERROR(I69/H69,0)</f>
        <v>-1.9125325588618064E-16</v>
      </c>
      <c r="M69" s="74">
        <f t="shared" si="1"/>
        <v>609</v>
      </c>
      <c r="N69" s="146">
        <v>44742</v>
      </c>
      <c r="O69" s="74">
        <f t="shared" si="2"/>
        <v>-242</v>
      </c>
      <c r="P69" s="353">
        <f t="shared" si="3"/>
        <v>1.3973727422003284</v>
      </c>
    </row>
    <row r="70" spans="1:16" ht="18.95" customHeight="1">
      <c r="A70" s="348">
        <f t="shared" si="4"/>
        <v>46</v>
      </c>
      <c r="B70" s="357" t="s">
        <v>2621</v>
      </c>
      <c r="C70" s="354" t="s">
        <v>2622</v>
      </c>
      <c r="D70" s="145">
        <v>43831</v>
      </c>
      <c r="E70" s="146">
        <v>44255</v>
      </c>
      <c r="F70" s="149">
        <v>2.1485849056603774</v>
      </c>
      <c r="G70" s="354">
        <v>5658439.7599999998</v>
      </c>
      <c r="H70" s="354">
        <v>4619257.13</v>
      </c>
      <c r="I70" s="358">
        <v>2.3283064365386963E-10</v>
      </c>
      <c r="J70" s="352">
        <f t="shared" si="5"/>
        <v>5.0404347950612926E-17</v>
      </c>
      <c r="M70" s="74">
        <f t="shared" si="1"/>
        <v>424</v>
      </c>
      <c r="N70" s="146">
        <v>44742</v>
      </c>
      <c r="O70" s="74">
        <f t="shared" si="2"/>
        <v>-487</v>
      </c>
      <c r="P70" s="353">
        <f t="shared" si="3"/>
        <v>2.1485849056603774</v>
      </c>
    </row>
    <row r="71" spans="1:16" ht="18.95" customHeight="1">
      <c r="A71" s="348">
        <f t="shared" si="4"/>
        <v>47</v>
      </c>
      <c r="B71" s="357" t="s">
        <v>2623</v>
      </c>
      <c r="C71" s="354" t="s">
        <v>2624</v>
      </c>
      <c r="D71" s="145">
        <v>43800</v>
      </c>
      <c r="E71" s="146">
        <v>44377</v>
      </c>
      <c r="F71" s="149">
        <v>1.6325823223570191</v>
      </c>
      <c r="G71" s="354">
        <v>3366548.1</v>
      </c>
      <c r="H71" s="354">
        <v>3100461.8400000003</v>
      </c>
      <c r="I71" s="358">
        <v>4.6566128730773926E-10</v>
      </c>
      <c r="J71" s="352">
        <f t="shared" si="5"/>
        <v>1.5019094294279049E-16</v>
      </c>
      <c r="M71" s="74">
        <f t="shared" si="1"/>
        <v>577</v>
      </c>
      <c r="N71" s="146">
        <v>44742</v>
      </c>
      <c r="O71" s="74">
        <f t="shared" si="2"/>
        <v>-365</v>
      </c>
      <c r="P71" s="353">
        <f t="shared" si="3"/>
        <v>1.6325823223570191</v>
      </c>
    </row>
    <row r="72" spans="1:16" ht="18.95" customHeight="1">
      <c r="A72" s="348">
        <f t="shared" si="4"/>
        <v>48</v>
      </c>
      <c r="B72" s="357" t="s">
        <v>3310</v>
      </c>
      <c r="C72" s="354" t="s">
        <v>3311</v>
      </c>
      <c r="D72" s="145">
        <v>44621</v>
      </c>
      <c r="E72" s="146">
        <v>44834</v>
      </c>
      <c r="F72" s="149">
        <v>0.568075117370892</v>
      </c>
      <c r="G72" s="354">
        <v>749702.82</v>
      </c>
      <c r="H72" s="354">
        <v>970941.68</v>
      </c>
      <c r="I72" s="358">
        <v>584632.05000000005</v>
      </c>
      <c r="J72" s="352">
        <f t="shared" si="5"/>
        <v>0.60212890438486477</v>
      </c>
      <c r="M72" s="74">
        <f t="shared" si="1"/>
        <v>213</v>
      </c>
      <c r="N72" s="146">
        <v>44742</v>
      </c>
      <c r="O72" s="74">
        <f t="shared" si="2"/>
        <v>92</v>
      </c>
      <c r="P72" s="353">
        <f t="shared" si="3"/>
        <v>0.568075117370892</v>
      </c>
    </row>
    <row r="73" spans="1:16" ht="18.95" customHeight="1">
      <c r="A73" s="348">
        <f t="shared" si="4"/>
        <v>49</v>
      </c>
      <c r="B73" s="357" t="s">
        <v>3312</v>
      </c>
      <c r="C73" s="354" t="s">
        <v>3313</v>
      </c>
      <c r="D73" s="145">
        <v>44562</v>
      </c>
      <c r="E73" s="146">
        <v>44926</v>
      </c>
      <c r="F73" s="149">
        <v>0.49450549450549453</v>
      </c>
      <c r="G73" s="354">
        <v>140000</v>
      </c>
      <c r="H73" s="354">
        <v>137500</v>
      </c>
      <c r="I73" s="358">
        <v>68750</v>
      </c>
      <c r="J73" s="352">
        <f t="shared" si="5"/>
        <v>0.5</v>
      </c>
      <c r="M73" s="74">
        <f t="shared" si="1"/>
        <v>364</v>
      </c>
      <c r="N73" s="146">
        <v>44742</v>
      </c>
      <c r="O73" s="74">
        <f t="shared" si="2"/>
        <v>184</v>
      </c>
      <c r="P73" s="353">
        <f t="shared" si="3"/>
        <v>0.49450549450549453</v>
      </c>
    </row>
    <row r="74" spans="1:16" ht="18.95" customHeight="1">
      <c r="A74" s="348">
        <f t="shared" si="4"/>
        <v>50</v>
      </c>
      <c r="B74" s="357" t="s">
        <v>2573</v>
      </c>
      <c r="C74" s="354" t="s">
        <v>2574</v>
      </c>
      <c r="D74" s="145">
        <v>42940</v>
      </c>
      <c r="E74" s="146">
        <v>44135</v>
      </c>
      <c r="F74" s="149">
        <v>1.507949790794979</v>
      </c>
      <c r="G74" s="354">
        <v>17358000</v>
      </c>
      <c r="H74" s="354">
        <v>948476.81</v>
      </c>
      <c r="I74" s="358">
        <v>545.74345812248998</v>
      </c>
      <c r="J74" s="352">
        <f t="shared" si="5"/>
        <v>5.7538935308549079E-4</v>
      </c>
      <c r="M74" s="74">
        <f t="shared" si="1"/>
        <v>1195</v>
      </c>
      <c r="N74" s="146">
        <v>44742</v>
      </c>
      <c r="O74" s="74">
        <f t="shared" si="2"/>
        <v>-607</v>
      </c>
      <c r="P74" s="353">
        <f t="shared" si="3"/>
        <v>1.507949790794979</v>
      </c>
    </row>
    <row r="75" spans="1:16" ht="18.95" customHeight="1">
      <c r="A75" s="348">
        <f t="shared" si="4"/>
        <v>51</v>
      </c>
      <c r="B75" s="357" t="s">
        <v>2887</v>
      </c>
      <c r="C75" s="354" t="s">
        <v>2888</v>
      </c>
      <c r="D75" s="145">
        <v>43405</v>
      </c>
      <c r="E75" s="146">
        <v>44926</v>
      </c>
      <c r="F75" s="149">
        <v>0.87902695595003288</v>
      </c>
      <c r="G75" s="354">
        <v>4453330.3</v>
      </c>
      <c r="H75" s="354">
        <v>6846821.21</v>
      </c>
      <c r="I75" s="358">
        <v>4743125.1500000004</v>
      </c>
      <c r="J75" s="352">
        <f t="shared" si="5"/>
        <v>0.69274850394406606</v>
      </c>
      <c r="M75" s="74">
        <f t="shared" si="1"/>
        <v>1521</v>
      </c>
      <c r="N75" s="146">
        <v>44742</v>
      </c>
      <c r="O75" s="74">
        <f t="shared" si="2"/>
        <v>184</v>
      </c>
      <c r="P75" s="353">
        <f t="shared" si="3"/>
        <v>0.87902695595003288</v>
      </c>
    </row>
    <row r="76" spans="1:16" ht="18.95" customHeight="1">
      <c r="A76" s="348">
        <f t="shared" si="4"/>
        <v>52</v>
      </c>
      <c r="B76" s="357" t="s">
        <v>3314</v>
      </c>
      <c r="C76" s="354" t="s">
        <v>3315</v>
      </c>
      <c r="D76" s="145">
        <v>43556</v>
      </c>
      <c r="E76" s="146">
        <v>46752</v>
      </c>
      <c r="F76" s="149">
        <v>0.37108886107634542</v>
      </c>
      <c r="G76" s="354">
        <v>41301.840000000004</v>
      </c>
      <c r="H76" s="354">
        <v>41301.840000000004</v>
      </c>
      <c r="I76" s="358">
        <v>20650.920000000002</v>
      </c>
      <c r="J76" s="352">
        <f t="shared" si="5"/>
        <v>0.5</v>
      </c>
      <c r="M76" s="74">
        <f t="shared" si="1"/>
        <v>3196</v>
      </c>
      <c r="N76" s="146">
        <v>44742</v>
      </c>
      <c r="O76" s="74">
        <f t="shared" si="2"/>
        <v>2010</v>
      </c>
      <c r="P76" s="353">
        <f t="shared" si="3"/>
        <v>0.37108886107634542</v>
      </c>
    </row>
    <row r="77" spans="1:16" ht="18.95" customHeight="1">
      <c r="A77" s="348">
        <f t="shared" si="4"/>
        <v>53</v>
      </c>
      <c r="B77" s="357" t="s">
        <v>2889</v>
      </c>
      <c r="C77" s="354" t="s">
        <v>2890</v>
      </c>
      <c r="D77" s="145">
        <v>43617</v>
      </c>
      <c r="E77" s="146">
        <v>44561</v>
      </c>
      <c r="F77" s="149">
        <v>1.1917372881355932</v>
      </c>
      <c r="G77" s="354">
        <v>8583382.129999999</v>
      </c>
      <c r="H77" s="354">
        <v>8362515.2400000002</v>
      </c>
      <c r="I77" s="358">
        <v>3.7252902984619141E-9</v>
      </c>
      <c r="J77" s="352">
        <f t="shared" si="5"/>
        <v>4.4547485912407304E-16</v>
      </c>
      <c r="M77" s="74">
        <f t="shared" si="1"/>
        <v>944</v>
      </c>
      <c r="N77" s="146">
        <v>44742</v>
      </c>
      <c r="O77" s="74">
        <f t="shared" si="2"/>
        <v>-181</v>
      </c>
      <c r="P77" s="353">
        <f t="shared" si="3"/>
        <v>1.1917372881355932</v>
      </c>
    </row>
    <row r="78" spans="1:16" ht="18.95" customHeight="1">
      <c r="A78" s="348">
        <f t="shared" si="4"/>
        <v>54</v>
      </c>
      <c r="B78" s="357" t="s">
        <v>2891</v>
      </c>
      <c r="C78" s="354" t="s">
        <v>2892</v>
      </c>
      <c r="D78" s="145">
        <v>43831</v>
      </c>
      <c r="E78" s="146">
        <v>44561</v>
      </c>
      <c r="F78" s="149">
        <v>1.247945205479452</v>
      </c>
      <c r="G78" s="354">
        <v>491232.35</v>
      </c>
      <c r="H78" s="354">
        <v>508039.47</v>
      </c>
      <c r="I78" s="358">
        <v>-5.8207660913467407E-11</v>
      </c>
      <c r="J78" s="352">
        <f t="shared" si="5"/>
        <v>-1.1457310770257163E-16</v>
      </c>
      <c r="M78" s="74">
        <f t="shared" si="1"/>
        <v>730</v>
      </c>
      <c r="N78" s="146">
        <v>44742</v>
      </c>
      <c r="O78" s="74">
        <f t="shared" si="2"/>
        <v>-181</v>
      </c>
      <c r="P78" s="353">
        <f t="shared" si="3"/>
        <v>1.247945205479452</v>
      </c>
    </row>
    <row r="79" spans="1:16" ht="18.75" customHeight="1">
      <c r="A79" s="348">
        <f t="shared" si="4"/>
        <v>55</v>
      </c>
      <c r="B79" s="357" t="s">
        <v>2895</v>
      </c>
      <c r="C79" s="354" t="s">
        <v>2896</v>
      </c>
      <c r="D79" s="145">
        <v>43831</v>
      </c>
      <c r="E79" s="146">
        <v>46022</v>
      </c>
      <c r="F79" s="149">
        <v>0.4157918758557736</v>
      </c>
      <c r="G79" s="354">
        <v>1833897.8</v>
      </c>
      <c r="H79" s="354">
        <v>2231065.59</v>
      </c>
      <c r="I79" s="358">
        <v>709345.97</v>
      </c>
      <c r="J79" s="352">
        <f t="shared" si="5"/>
        <v>0.31794043760049207</v>
      </c>
      <c r="M79" s="74">
        <f t="shared" si="1"/>
        <v>2191</v>
      </c>
      <c r="N79" s="146">
        <v>44742</v>
      </c>
      <c r="O79" s="74">
        <f t="shared" si="2"/>
        <v>1280</v>
      </c>
      <c r="P79" s="353">
        <f t="shared" si="3"/>
        <v>0.4157918758557736</v>
      </c>
    </row>
    <row r="80" spans="1:16" ht="18.75" customHeight="1">
      <c r="A80" s="348">
        <f t="shared" si="4"/>
        <v>56</v>
      </c>
      <c r="B80" s="357" t="s">
        <v>2899</v>
      </c>
      <c r="C80" s="354" t="s">
        <v>2900</v>
      </c>
      <c r="D80" s="145">
        <v>43831</v>
      </c>
      <c r="E80" s="146">
        <v>46022</v>
      </c>
      <c r="F80" s="149">
        <v>0.4157918758557736</v>
      </c>
      <c r="G80" s="354">
        <v>434642.80000000005</v>
      </c>
      <c r="H80" s="354">
        <v>843863.3</v>
      </c>
      <c r="I80" s="358">
        <v>233581.3</v>
      </c>
      <c r="J80" s="352">
        <f t="shared" si="5"/>
        <v>0.27679992719199897</v>
      </c>
      <c r="M80" s="74">
        <f t="shared" si="1"/>
        <v>2191</v>
      </c>
      <c r="N80" s="146">
        <v>44742</v>
      </c>
      <c r="O80" s="74">
        <f t="shared" si="2"/>
        <v>1280</v>
      </c>
      <c r="P80" s="353">
        <f t="shared" si="3"/>
        <v>0.4157918758557736</v>
      </c>
    </row>
    <row r="81" spans="1:16" ht="18.75" customHeight="1">
      <c r="A81" s="348">
        <f t="shared" si="4"/>
        <v>57</v>
      </c>
      <c r="B81" s="357" t="s">
        <v>2901</v>
      </c>
      <c r="C81" s="354" t="s">
        <v>2902</v>
      </c>
      <c r="D81" s="145">
        <v>44197</v>
      </c>
      <c r="E81" s="146">
        <v>45291</v>
      </c>
      <c r="F81" s="149">
        <v>0.49817184643510054</v>
      </c>
      <c r="G81" s="354">
        <v>324000</v>
      </c>
      <c r="H81" s="354">
        <v>95247.83</v>
      </c>
      <c r="I81" s="358">
        <v>95247.829999999987</v>
      </c>
      <c r="J81" s="352">
        <f t="shared" si="5"/>
        <v>0.99999999999999989</v>
      </c>
      <c r="M81" s="74">
        <f t="shared" si="1"/>
        <v>1094</v>
      </c>
      <c r="N81" s="146">
        <v>44742</v>
      </c>
      <c r="O81" s="74">
        <f t="shared" si="2"/>
        <v>549</v>
      </c>
      <c r="P81" s="353">
        <f t="shared" si="3"/>
        <v>0.49817184643510054</v>
      </c>
    </row>
    <row r="82" spans="1:16" ht="18.75" customHeight="1">
      <c r="A82" s="348">
        <f t="shared" si="4"/>
        <v>58</v>
      </c>
      <c r="B82" s="357" t="s">
        <v>2903</v>
      </c>
      <c r="C82" s="354" t="s">
        <v>2904</v>
      </c>
      <c r="D82" s="145">
        <v>44197</v>
      </c>
      <c r="E82" s="146">
        <v>44926</v>
      </c>
      <c r="F82" s="149">
        <v>0.74759945130315497</v>
      </c>
      <c r="G82" s="354">
        <v>410285.29000000004</v>
      </c>
      <c r="H82" s="354">
        <v>400375.96</v>
      </c>
      <c r="I82" s="358">
        <v>301778.14000000007</v>
      </c>
      <c r="J82" s="352">
        <f t="shared" si="5"/>
        <v>0.75373691267577614</v>
      </c>
      <c r="M82" s="74">
        <f t="shared" si="1"/>
        <v>729</v>
      </c>
      <c r="N82" s="146">
        <v>44742</v>
      </c>
      <c r="O82" s="74">
        <f t="shared" si="2"/>
        <v>184</v>
      </c>
      <c r="P82" s="353">
        <f t="shared" si="3"/>
        <v>0.74759945130315497</v>
      </c>
    </row>
    <row r="83" spans="1:16" ht="18.75" customHeight="1">
      <c r="A83" s="348">
        <f t="shared" si="4"/>
        <v>59</v>
      </c>
      <c r="B83" s="357" t="s">
        <v>3316</v>
      </c>
      <c r="C83" s="354" t="s">
        <v>3317</v>
      </c>
      <c r="D83" s="145">
        <v>44317</v>
      </c>
      <c r="E83" s="146">
        <v>45291</v>
      </c>
      <c r="F83" s="149">
        <v>0.43634496919917864</v>
      </c>
      <c r="G83" s="354">
        <v>150000</v>
      </c>
      <c r="H83" s="354">
        <v>149999.99</v>
      </c>
      <c r="I83" s="358">
        <v>149999.99</v>
      </c>
      <c r="J83" s="352">
        <f t="shared" si="5"/>
        <v>1</v>
      </c>
      <c r="M83" s="74">
        <f t="shared" si="1"/>
        <v>974</v>
      </c>
      <c r="N83" s="146">
        <v>44742</v>
      </c>
      <c r="O83" s="74">
        <f t="shared" si="2"/>
        <v>549</v>
      </c>
      <c r="P83" s="353">
        <f t="shared" si="3"/>
        <v>0.43634496919917864</v>
      </c>
    </row>
    <row r="84" spans="1:16" ht="18.75" customHeight="1">
      <c r="A84" s="348">
        <f t="shared" si="4"/>
        <v>60</v>
      </c>
      <c r="B84" s="357" t="s">
        <v>2907</v>
      </c>
      <c r="C84" s="354" t="s">
        <v>2908</v>
      </c>
      <c r="D84" s="145">
        <v>43831</v>
      </c>
      <c r="E84" s="146">
        <v>44561</v>
      </c>
      <c r="F84" s="149">
        <v>1.247945205479452</v>
      </c>
      <c r="G84" s="354">
        <v>1002521.7000000001</v>
      </c>
      <c r="H84" s="354">
        <v>4382139.2699999996</v>
      </c>
      <c r="I84" s="358">
        <v>9.3132257461547852E-10</v>
      </c>
      <c r="J84" s="352">
        <f t="shared" si="5"/>
        <v>2.1252692286420158E-16</v>
      </c>
      <c r="M84" s="74">
        <f t="shared" si="1"/>
        <v>730</v>
      </c>
      <c r="N84" s="146">
        <v>44742</v>
      </c>
      <c r="O84" s="74">
        <f t="shared" si="2"/>
        <v>-181</v>
      </c>
      <c r="P84" s="353">
        <f t="shared" si="3"/>
        <v>1.247945205479452</v>
      </c>
    </row>
    <row r="85" spans="1:16" ht="18.75" customHeight="1">
      <c r="A85" s="348">
        <f t="shared" si="4"/>
        <v>61</v>
      </c>
      <c r="B85" s="357" t="s">
        <v>2911</v>
      </c>
      <c r="C85" s="354" t="s">
        <v>2912</v>
      </c>
      <c r="D85" s="145">
        <v>43831</v>
      </c>
      <c r="E85" s="146">
        <v>44561</v>
      </c>
      <c r="F85" s="149">
        <v>1.247945205479452</v>
      </c>
      <c r="G85" s="354">
        <v>3442015.75</v>
      </c>
      <c r="H85" s="354">
        <v>3333865.2</v>
      </c>
      <c r="I85" s="358">
        <v>4.6566128730773926E-10</v>
      </c>
      <c r="J85" s="352">
        <f t="shared" si="5"/>
        <v>1.3967609947388973E-16</v>
      </c>
      <c r="M85" s="74">
        <f t="shared" si="1"/>
        <v>730</v>
      </c>
      <c r="N85" s="146">
        <v>44742</v>
      </c>
      <c r="O85" s="74">
        <f t="shared" si="2"/>
        <v>-181</v>
      </c>
      <c r="P85" s="353">
        <f t="shared" si="3"/>
        <v>1.247945205479452</v>
      </c>
    </row>
    <row r="86" spans="1:16" ht="18.75" customHeight="1">
      <c r="A86" s="348">
        <f t="shared" si="4"/>
        <v>62</v>
      </c>
      <c r="B86" s="357" t="s">
        <v>2913</v>
      </c>
      <c r="C86" s="354" t="s">
        <v>2914</v>
      </c>
      <c r="D86" s="145">
        <v>43831</v>
      </c>
      <c r="E86" s="146">
        <v>44926</v>
      </c>
      <c r="F86" s="149">
        <v>0.83196347031963469</v>
      </c>
      <c r="G86" s="354">
        <v>303843.60000000003</v>
      </c>
      <c r="H86" s="354">
        <v>197253.32</v>
      </c>
      <c r="I86" s="358">
        <v>2.9103830456733704E-11</v>
      </c>
      <c r="J86" s="352">
        <f t="shared" si="5"/>
        <v>1.475454530080087E-16</v>
      </c>
      <c r="M86" s="74">
        <f t="shared" si="1"/>
        <v>1095</v>
      </c>
      <c r="N86" s="146">
        <v>44742</v>
      </c>
      <c r="O86" s="74">
        <f t="shared" si="2"/>
        <v>184</v>
      </c>
      <c r="P86" s="353">
        <f t="shared" si="3"/>
        <v>0.83196347031963469</v>
      </c>
    </row>
    <row r="87" spans="1:16" ht="18.75" customHeight="1">
      <c r="A87" s="348">
        <f t="shared" si="4"/>
        <v>63</v>
      </c>
      <c r="B87" s="357" t="s">
        <v>3318</v>
      </c>
      <c r="C87" s="354" t="s">
        <v>3319</v>
      </c>
      <c r="D87" s="145">
        <v>43831</v>
      </c>
      <c r="E87" s="146">
        <v>44895</v>
      </c>
      <c r="F87" s="149">
        <v>0.85620300751879697</v>
      </c>
      <c r="G87" s="354">
        <v>4208945.7300000004</v>
      </c>
      <c r="H87" s="354">
        <v>4205000.54</v>
      </c>
      <c r="I87" s="358">
        <v>3941909.24</v>
      </c>
      <c r="J87" s="352">
        <f t="shared" si="5"/>
        <v>0.9374337060132697</v>
      </c>
      <c r="M87" s="74">
        <f t="shared" si="1"/>
        <v>1064</v>
      </c>
      <c r="N87" s="146">
        <v>44742</v>
      </c>
      <c r="O87" s="74">
        <f t="shared" si="2"/>
        <v>153</v>
      </c>
      <c r="P87" s="353">
        <f t="shared" si="3"/>
        <v>0.85620300751879697</v>
      </c>
    </row>
    <row r="88" spans="1:16" ht="18.75" customHeight="1">
      <c r="A88" s="348">
        <f t="shared" si="4"/>
        <v>64</v>
      </c>
      <c r="B88" s="357" t="s">
        <v>2919</v>
      </c>
      <c r="C88" s="354" t="s">
        <v>2920</v>
      </c>
      <c r="D88" s="145">
        <v>43831</v>
      </c>
      <c r="E88" s="146">
        <v>46022</v>
      </c>
      <c r="F88" s="149">
        <v>0.4157918758557736</v>
      </c>
      <c r="G88" s="354">
        <v>5287030.33</v>
      </c>
      <c r="H88" s="354">
        <v>5544120.9100000001</v>
      </c>
      <c r="I88" s="358">
        <v>1477763.93</v>
      </c>
      <c r="J88" s="352">
        <f t="shared" si="5"/>
        <v>0.26654612227784186</v>
      </c>
      <c r="M88" s="74">
        <f t="shared" si="1"/>
        <v>2191</v>
      </c>
      <c r="N88" s="146">
        <v>44742</v>
      </c>
      <c r="O88" s="74">
        <f t="shared" si="2"/>
        <v>1280</v>
      </c>
      <c r="P88" s="353">
        <f t="shared" si="3"/>
        <v>0.4157918758557736</v>
      </c>
    </row>
    <row r="89" spans="1:16" ht="18.75" customHeight="1">
      <c r="A89" s="348">
        <f t="shared" si="4"/>
        <v>65</v>
      </c>
      <c r="B89" s="357" t="s">
        <v>3320</v>
      </c>
      <c r="C89" s="354" t="s">
        <v>3321</v>
      </c>
      <c r="D89" s="145">
        <v>44652</v>
      </c>
      <c r="E89" s="146">
        <v>44804</v>
      </c>
      <c r="F89" s="149">
        <v>0.59210526315789469</v>
      </c>
      <c r="G89" s="354">
        <v>63737.23</v>
      </c>
      <c r="H89" s="354">
        <v>63737.23</v>
      </c>
      <c r="I89" s="358">
        <v>63737.23</v>
      </c>
      <c r="J89" s="352">
        <f t="shared" si="5"/>
        <v>1</v>
      </c>
      <c r="M89" s="74">
        <f t="shared" ref="M89:M164" si="6">E89-D89</f>
        <v>152</v>
      </c>
      <c r="N89" s="146">
        <v>44742</v>
      </c>
      <c r="O89" s="74">
        <f t="shared" ref="O89:O164" si="7">E89-N89</f>
        <v>62</v>
      </c>
      <c r="P89" s="353">
        <f t="shared" ref="P89:P164" si="8">(M89-O89)/M89</f>
        <v>0.59210526315789469</v>
      </c>
    </row>
    <row r="90" spans="1:16" ht="18.75" customHeight="1">
      <c r="A90" s="348">
        <f t="shared" ref="A90:A165" si="9">A89+1</f>
        <v>66</v>
      </c>
      <c r="B90" s="357" t="s">
        <v>2925</v>
      </c>
      <c r="C90" s="354" t="s">
        <v>2926</v>
      </c>
      <c r="D90" s="145">
        <v>43497</v>
      </c>
      <c r="E90" s="146">
        <v>46022</v>
      </c>
      <c r="F90" s="149">
        <v>0.49306930693069306</v>
      </c>
      <c r="G90" s="354">
        <v>49782.58</v>
      </c>
      <c r="H90" s="354">
        <v>49782.58</v>
      </c>
      <c r="I90" s="358">
        <v>49782.58</v>
      </c>
      <c r="J90" s="352">
        <f t="shared" si="5"/>
        <v>1</v>
      </c>
      <c r="M90" s="74">
        <f t="shared" si="6"/>
        <v>2525</v>
      </c>
      <c r="N90" s="146">
        <v>44742</v>
      </c>
      <c r="O90" s="74">
        <f t="shared" si="7"/>
        <v>1280</v>
      </c>
      <c r="P90" s="353">
        <f t="shared" si="8"/>
        <v>0.49306930693069306</v>
      </c>
    </row>
    <row r="91" spans="1:16" ht="18.75" customHeight="1">
      <c r="A91" s="348">
        <f t="shared" si="9"/>
        <v>67</v>
      </c>
      <c r="B91" s="357" t="s">
        <v>3322</v>
      </c>
      <c r="C91" s="354" t="s">
        <v>3323</v>
      </c>
      <c r="D91" s="145">
        <v>44652</v>
      </c>
      <c r="E91" s="146">
        <v>44804</v>
      </c>
      <c r="F91" s="149">
        <v>0.59210526315789469</v>
      </c>
      <c r="G91" s="354">
        <v>139314.45000000001</v>
      </c>
      <c r="H91" s="354">
        <v>139314.45000000001</v>
      </c>
      <c r="I91" s="358">
        <v>98210.85</v>
      </c>
      <c r="J91" s="352">
        <f t="shared" si="5"/>
        <v>0.7049581001827161</v>
      </c>
      <c r="M91" s="74">
        <f t="shared" si="6"/>
        <v>152</v>
      </c>
      <c r="N91" s="146">
        <v>44742</v>
      </c>
      <c r="O91" s="74">
        <f t="shared" si="7"/>
        <v>62</v>
      </c>
      <c r="P91" s="353">
        <f t="shared" si="8"/>
        <v>0.59210526315789469</v>
      </c>
    </row>
    <row r="92" spans="1:16" ht="18.75" customHeight="1">
      <c r="A92" s="348">
        <f t="shared" si="9"/>
        <v>68</v>
      </c>
      <c r="B92" s="357" t="s">
        <v>3324</v>
      </c>
      <c r="C92" s="354" t="s">
        <v>3325</v>
      </c>
      <c r="D92" s="145">
        <v>44562</v>
      </c>
      <c r="E92" s="146">
        <v>44926</v>
      </c>
      <c r="F92" s="149">
        <v>0.49450549450549453</v>
      </c>
      <c r="G92" s="354">
        <v>71000</v>
      </c>
      <c r="H92" s="354">
        <v>115064.42</v>
      </c>
      <c r="I92" s="358">
        <v>24920</v>
      </c>
      <c r="J92" s="352">
        <f t="shared" si="5"/>
        <v>0.21657433288239752</v>
      </c>
      <c r="M92" s="74">
        <f t="shared" si="6"/>
        <v>364</v>
      </c>
      <c r="N92" s="146">
        <v>44742</v>
      </c>
      <c r="O92" s="74">
        <f t="shared" si="7"/>
        <v>184</v>
      </c>
      <c r="P92" s="353">
        <f t="shared" si="8"/>
        <v>0.49450549450549453</v>
      </c>
    </row>
    <row r="93" spans="1:16" ht="18.75" customHeight="1">
      <c r="A93" s="348">
        <f t="shared" si="9"/>
        <v>69</v>
      </c>
      <c r="B93" s="357" t="s">
        <v>3326</v>
      </c>
      <c r="C93" s="354" t="s">
        <v>3327</v>
      </c>
      <c r="D93" s="145">
        <v>44562</v>
      </c>
      <c r="E93" s="146">
        <v>44926</v>
      </c>
      <c r="F93" s="149">
        <v>0.49450549450549453</v>
      </c>
      <c r="G93" s="354">
        <v>26000</v>
      </c>
      <c r="H93" s="354">
        <v>25423.06</v>
      </c>
      <c r="I93" s="358">
        <v>12618.84</v>
      </c>
      <c r="J93" s="352">
        <f t="shared" si="5"/>
        <v>0.49635409742178949</v>
      </c>
      <c r="M93" s="74">
        <f t="shared" si="6"/>
        <v>364</v>
      </c>
      <c r="N93" s="146">
        <v>44742</v>
      </c>
      <c r="O93" s="74">
        <f t="shared" si="7"/>
        <v>184</v>
      </c>
      <c r="P93" s="353">
        <f t="shared" si="8"/>
        <v>0.49450549450549453</v>
      </c>
    </row>
    <row r="94" spans="1:16" ht="18.75" customHeight="1">
      <c r="A94" s="348">
        <f t="shared" si="9"/>
        <v>70</v>
      </c>
      <c r="B94" s="357" t="s">
        <v>3328</v>
      </c>
      <c r="C94" s="354" t="s">
        <v>3329</v>
      </c>
      <c r="D94" s="145">
        <v>44562</v>
      </c>
      <c r="E94" s="146">
        <v>44926</v>
      </c>
      <c r="F94" s="149">
        <v>0.49450549450549453</v>
      </c>
      <c r="G94" s="354">
        <v>143000</v>
      </c>
      <c r="H94" s="354">
        <v>120995.04000000001</v>
      </c>
      <c r="I94" s="358">
        <v>50409.32</v>
      </c>
      <c r="J94" s="352">
        <f t="shared" si="5"/>
        <v>0.41662302851422667</v>
      </c>
      <c r="M94" s="74">
        <f t="shared" si="6"/>
        <v>364</v>
      </c>
      <c r="N94" s="146">
        <v>44742</v>
      </c>
      <c r="O94" s="74">
        <f t="shared" si="7"/>
        <v>184</v>
      </c>
      <c r="P94" s="353">
        <f t="shared" si="8"/>
        <v>0.49450549450549453</v>
      </c>
    </row>
    <row r="95" spans="1:16" ht="18.75" customHeight="1">
      <c r="A95" s="348">
        <f t="shared" si="9"/>
        <v>71</v>
      </c>
      <c r="B95" s="357" t="s">
        <v>3330</v>
      </c>
      <c r="C95" s="354" t="s">
        <v>3331</v>
      </c>
      <c r="D95" s="145">
        <v>44562</v>
      </c>
      <c r="E95" s="146">
        <v>44926</v>
      </c>
      <c r="F95" s="149">
        <v>0.49450549450549453</v>
      </c>
      <c r="G95" s="354">
        <v>97000</v>
      </c>
      <c r="H95" s="354">
        <v>92585.540000000008</v>
      </c>
      <c r="I95" s="358">
        <v>70350.64</v>
      </c>
      <c r="J95" s="352">
        <f t="shared" si="5"/>
        <v>0.75984478785780152</v>
      </c>
      <c r="M95" s="74">
        <f t="shared" si="6"/>
        <v>364</v>
      </c>
      <c r="N95" s="146">
        <v>44742</v>
      </c>
      <c r="O95" s="74">
        <f t="shared" si="7"/>
        <v>184</v>
      </c>
      <c r="P95" s="353">
        <f t="shared" si="8"/>
        <v>0.49450549450549453</v>
      </c>
    </row>
    <row r="96" spans="1:16" ht="18.75" customHeight="1">
      <c r="A96" s="348">
        <f t="shared" si="9"/>
        <v>72</v>
      </c>
      <c r="B96" s="357" t="s">
        <v>3332</v>
      </c>
      <c r="C96" s="354" t="s">
        <v>3333</v>
      </c>
      <c r="D96" s="145">
        <v>44562</v>
      </c>
      <c r="E96" s="146">
        <v>44926</v>
      </c>
      <c r="F96" s="149">
        <v>0.49450549450549453</v>
      </c>
      <c r="G96" s="354">
        <v>293000</v>
      </c>
      <c r="H96" s="354">
        <v>257680</v>
      </c>
      <c r="I96" s="358">
        <v>87598</v>
      </c>
      <c r="J96" s="352">
        <f t="shared" si="5"/>
        <v>0.33994877367277243</v>
      </c>
      <c r="M96" s="74">
        <f t="shared" si="6"/>
        <v>364</v>
      </c>
      <c r="N96" s="146">
        <v>44742</v>
      </c>
      <c r="O96" s="74">
        <f t="shared" si="7"/>
        <v>184</v>
      </c>
      <c r="P96" s="353">
        <f t="shared" si="8"/>
        <v>0.49450549450549453</v>
      </c>
    </row>
    <row r="97" spans="1:16" ht="18.75" customHeight="1">
      <c r="A97" s="348">
        <f t="shared" si="9"/>
        <v>73</v>
      </c>
      <c r="B97" s="357" t="s">
        <v>3334</v>
      </c>
      <c r="C97" s="354" t="s">
        <v>3335</v>
      </c>
      <c r="D97" s="145">
        <v>44562</v>
      </c>
      <c r="E97" s="146">
        <v>44926</v>
      </c>
      <c r="F97" s="149">
        <v>0.49450549450549453</v>
      </c>
      <c r="G97" s="354">
        <v>120000</v>
      </c>
      <c r="H97" s="354">
        <v>114333.51000000001</v>
      </c>
      <c r="I97" s="358">
        <v>92704.83</v>
      </c>
      <c r="J97" s="352">
        <f t="shared" si="5"/>
        <v>0.81082816402645208</v>
      </c>
      <c r="M97" s="74">
        <f t="shared" si="6"/>
        <v>364</v>
      </c>
      <c r="N97" s="146">
        <v>44742</v>
      </c>
      <c r="O97" s="74">
        <f t="shared" si="7"/>
        <v>184</v>
      </c>
      <c r="P97" s="353">
        <f t="shared" si="8"/>
        <v>0.49450549450549453</v>
      </c>
    </row>
    <row r="98" spans="1:16" ht="18.75" customHeight="1">
      <c r="A98" s="348">
        <f t="shared" si="9"/>
        <v>74</v>
      </c>
      <c r="B98" s="357" t="s">
        <v>3336</v>
      </c>
      <c r="C98" s="354" t="s">
        <v>3337</v>
      </c>
      <c r="D98" s="145">
        <v>44562</v>
      </c>
      <c r="E98" s="146">
        <v>44926</v>
      </c>
      <c r="F98" s="149">
        <v>0.49450549450549453</v>
      </c>
      <c r="G98" s="354">
        <v>220000</v>
      </c>
      <c r="H98" s="354">
        <v>235750.05000000002</v>
      </c>
      <c r="I98" s="358">
        <v>124600</v>
      </c>
      <c r="J98" s="352">
        <f t="shared" si="5"/>
        <v>0.52852586881741914</v>
      </c>
      <c r="M98" s="74">
        <f t="shared" si="6"/>
        <v>364</v>
      </c>
      <c r="N98" s="146">
        <v>44742</v>
      </c>
      <c r="O98" s="74">
        <f t="shared" si="7"/>
        <v>184</v>
      </c>
      <c r="P98" s="353">
        <f t="shared" si="8"/>
        <v>0.49450549450549453</v>
      </c>
    </row>
    <row r="99" spans="1:16" ht="18.75" customHeight="1">
      <c r="A99" s="348">
        <f t="shared" si="9"/>
        <v>75</v>
      </c>
      <c r="B99" s="357" t="s">
        <v>3338</v>
      </c>
      <c r="C99" s="354" t="s">
        <v>3339</v>
      </c>
      <c r="D99" s="145">
        <v>44562</v>
      </c>
      <c r="E99" s="146">
        <v>44926</v>
      </c>
      <c r="F99" s="149">
        <v>0.49450549450549453</v>
      </c>
      <c r="G99" s="354">
        <v>118000</v>
      </c>
      <c r="H99" s="354">
        <v>32000.030000000002</v>
      </c>
      <c r="I99" s="358">
        <v>25102.670000000002</v>
      </c>
      <c r="J99" s="352">
        <f t="shared" si="5"/>
        <v>0.78445770207090426</v>
      </c>
      <c r="M99" s="74">
        <f t="shared" si="6"/>
        <v>364</v>
      </c>
      <c r="N99" s="146">
        <v>44742</v>
      </c>
      <c r="O99" s="74">
        <f t="shared" si="7"/>
        <v>184</v>
      </c>
      <c r="P99" s="353">
        <f t="shared" si="8"/>
        <v>0.49450549450549453</v>
      </c>
    </row>
    <row r="100" spans="1:16" ht="18.75" customHeight="1">
      <c r="A100" s="348">
        <f t="shared" si="9"/>
        <v>76</v>
      </c>
      <c r="B100" s="357" t="s">
        <v>3340</v>
      </c>
      <c r="C100" s="354" t="s">
        <v>3341</v>
      </c>
      <c r="D100" s="145">
        <v>44562</v>
      </c>
      <c r="E100" s="146">
        <v>44926</v>
      </c>
      <c r="F100" s="149">
        <v>0.49450549450549453</v>
      </c>
      <c r="G100" s="354">
        <v>152000</v>
      </c>
      <c r="H100" s="354">
        <v>116186.34</v>
      </c>
      <c r="I100" s="358">
        <v>116186.34000000001</v>
      </c>
      <c r="J100" s="352">
        <f t="shared" si="5"/>
        <v>1.0000000000000002</v>
      </c>
      <c r="M100" s="74">
        <f t="shared" si="6"/>
        <v>364</v>
      </c>
      <c r="N100" s="146">
        <v>44742</v>
      </c>
      <c r="O100" s="74">
        <f t="shared" si="7"/>
        <v>184</v>
      </c>
      <c r="P100" s="353">
        <f t="shared" si="8"/>
        <v>0.49450549450549453</v>
      </c>
    </row>
    <row r="101" spans="1:16" ht="18.75" customHeight="1">
      <c r="A101" s="348">
        <f t="shared" si="9"/>
        <v>77</v>
      </c>
      <c r="B101" s="357" t="s">
        <v>3342</v>
      </c>
      <c r="C101" s="354" t="s">
        <v>3343</v>
      </c>
      <c r="D101" s="145">
        <v>44562</v>
      </c>
      <c r="E101" s="146">
        <v>44926</v>
      </c>
      <c r="F101" s="149">
        <v>0.49450549450549453</v>
      </c>
      <c r="G101" s="354">
        <v>121000</v>
      </c>
      <c r="H101" s="354">
        <v>122000.05</v>
      </c>
      <c r="I101" s="358">
        <v>63981.3</v>
      </c>
      <c r="J101" s="352">
        <f t="shared" si="5"/>
        <v>0.52443667031284003</v>
      </c>
      <c r="M101" s="74">
        <f t="shared" si="6"/>
        <v>364</v>
      </c>
      <c r="N101" s="146">
        <v>44742</v>
      </c>
      <c r="O101" s="74">
        <f t="shared" si="7"/>
        <v>184</v>
      </c>
      <c r="P101" s="353">
        <f t="shared" si="8"/>
        <v>0.49450549450549453</v>
      </c>
    </row>
    <row r="102" spans="1:16" ht="18.75" customHeight="1">
      <c r="A102" s="348">
        <f t="shared" si="9"/>
        <v>78</v>
      </c>
      <c r="B102" s="357" t="s">
        <v>3344</v>
      </c>
      <c r="C102" s="354" t="s">
        <v>3345</v>
      </c>
      <c r="D102" s="145">
        <v>44562</v>
      </c>
      <c r="E102" s="146">
        <v>44926</v>
      </c>
      <c r="F102" s="149">
        <v>0.49450549450549453</v>
      </c>
      <c r="G102" s="354">
        <v>95000</v>
      </c>
      <c r="H102" s="354">
        <v>90673.88</v>
      </c>
      <c r="I102" s="358">
        <v>53410.19</v>
      </c>
      <c r="J102" s="352">
        <f t="shared" si="5"/>
        <v>0.58903611492085706</v>
      </c>
      <c r="M102" s="74">
        <f t="shared" si="6"/>
        <v>364</v>
      </c>
      <c r="N102" s="146">
        <v>44742</v>
      </c>
      <c r="O102" s="74">
        <f t="shared" si="7"/>
        <v>184</v>
      </c>
      <c r="P102" s="353">
        <f t="shared" si="8"/>
        <v>0.49450549450549453</v>
      </c>
    </row>
    <row r="103" spans="1:16" ht="18.75" customHeight="1">
      <c r="A103" s="348">
        <f t="shared" si="9"/>
        <v>79</v>
      </c>
      <c r="B103" s="357" t="s">
        <v>3346</v>
      </c>
      <c r="C103" s="354" t="s">
        <v>3347</v>
      </c>
      <c r="D103" s="145">
        <v>44562</v>
      </c>
      <c r="E103" s="146">
        <v>44926</v>
      </c>
      <c r="F103" s="149">
        <v>0.49450549450549453</v>
      </c>
      <c r="G103" s="354">
        <v>39000</v>
      </c>
      <c r="H103" s="354">
        <v>40000.04</v>
      </c>
      <c r="I103" s="358">
        <v>33511.32</v>
      </c>
      <c r="J103" s="352">
        <f t="shared" si="5"/>
        <v>0.83778216221783774</v>
      </c>
      <c r="M103" s="74">
        <f t="shared" si="6"/>
        <v>364</v>
      </c>
      <c r="N103" s="146">
        <v>44742</v>
      </c>
      <c r="O103" s="74">
        <f t="shared" si="7"/>
        <v>184</v>
      </c>
      <c r="P103" s="353">
        <f t="shared" si="8"/>
        <v>0.49450549450549453</v>
      </c>
    </row>
    <row r="104" spans="1:16" ht="18.75" customHeight="1">
      <c r="A104" s="348">
        <f t="shared" si="9"/>
        <v>80</v>
      </c>
      <c r="B104" s="357" t="s">
        <v>3348</v>
      </c>
      <c r="C104" s="354" t="s">
        <v>3349</v>
      </c>
      <c r="D104" s="145">
        <v>44562</v>
      </c>
      <c r="E104" s="146">
        <v>44926</v>
      </c>
      <c r="F104" s="149">
        <v>0.49450549450549453</v>
      </c>
      <c r="G104" s="354">
        <v>107000</v>
      </c>
      <c r="H104" s="354">
        <v>105072.22</v>
      </c>
      <c r="I104" s="358">
        <v>55004.06</v>
      </c>
      <c r="J104" s="352">
        <f t="shared" si="5"/>
        <v>0.52348813035453134</v>
      </c>
      <c r="M104" s="74">
        <f t="shared" si="6"/>
        <v>364</v>
      </c>
      <c r="N104" s="146">
        <v>44742</v>
      </c>
      <c r="O104" s="74">
        <f t="shared" si="7"/>
        <v>184</v>
      </c>
      <c r="P104" s="353">
        <f t="shared" si="8"/>
        <v>0.49450549450549453</v>
      </c>
    </row>
    <row r="105" spans="1:16" ht="18.75" customHeight="1">
      <c r="A105" s="348">
        <f t="shared" si="9"/>
        <v>81</v>
      </c>
      <c r="B105" s="357" t="s">
        <v>2941</v>
      </c>
      <c r="C105" s="354" t="s">
        <v>2942</v>
      </c>
      <c r="D105" s="145">
        <v>43902</v>
      </c>
      <c r="E105" s="146">
        <v>45381</v>
      </c>
      <c r="F105" s="149">
        <v>0.56795131845841784</v>
      </c>
      <c r="G105" s="354">
        <v>63914278.339999996</v>
      </c>
      <c r="H105" s="354">
        <v>63914278.339999996</v>
      </c>
      <c r="I105" s="358">
        <v>36461606.399999999</v>
      </c>
      <c r="J105" s="352">
        <f t="shared" si="5"/>
        <v>0.57047669702281423</v>
      </c>
      <c r="M105" s="74">
        <f t="shared" si="6"/>
        <v>1479</v>
      </c>
      <c r="N105" s="146">
        <v>44742</v>
      </c>
      <c r="O105" s="74">
        <f t="shared" si="7"/>
        <v>639</v>
      </c>
      <c r="P105" s="353">
        <f t="shared" si="8"/>
        <v>0.56795131845841784</v>
      </c>
    </row>
    <row r="106" spans="1:16" ht="18.75" customHeight="1">
      <c r="A106" s="348">
        <f t="shared" si="9"/>
        <v>82</v>
      </c>
      <c r="B106" s="357" t="s">
        <v>2943</v>
      </c>
      <c r="C106" s="354" t="s">
        <v>2944</v>
      </c>
      <c r="D106" s="145">
        <v>43891</v>
      </c>
      <c r="E106" s="146">
        <v>44196</v>
      </c>
      <c r="F106" s="149">
        <v>2.7901639344262295</v>
      </c>
      <c r="G106" s="354">
        <v>128942.83</v>
      </c>
      <c r="H106" s="354">
        <v>128942.83</v>
      </c>
      <c r="I106" s="358">
        <v>1.4551915228366852E-11</v>
      </c>
      <c r="J106" s="352">
        <f t="shared" si="5"/>
        <v>1.1285555954035484E-16</v>
      </c>
      <c r="M106" s="74">
        <f t="shared" si="6"/>
        <v>305</v>
      </c>
      <c r="N106" s="146">
        <v>44742</v>
      </c>
      <c r="O106" s="74">
        <f t="shared" si="7"/>
        <v>-546</v>
      </c>
      <c r="P106" s="353">
        <f t="shared" si="8"/>
        <v>2.7901639344262295</v>
      </c>
    </row>
    <row r="107" spans="1:16" ht="18.75" customHeight="1">
      <c r="A107" s="348">
        <f t="shared" si="9"/>
        <v>83</v>
      </c>
      <c r="B107" s="357" t="s">
        <v>3350</v>
      </c>
      <c r="C107" s="354" t="s">
        <v>3351</v>
      </c>
      <c r="D107" s="145">
        <v>44562</v>
      </c>
      <c r="E107" s="146">
        <v>44926</v>
      </c>
      <c r="F107" s="149">
        <v>0.49450549450549453</v>
      </c>
      <c r="G107" s="354">
        <v>1135288</v>
      </c>
      <c r="H107" s="354">
        <v>1135288</v>
      </c>
      <c r="I107" s="358">
        <v>567644</v>
      </c>
      <c r="J107" s="352">
        <f t="shared" si="5"/>
        <v>0.5</v>
      </c>
      <c r="M107" s="74">
        <f t="shared" si="6"/>
        <v>364</v>
      </c>
      <c r="N107" s="146">
        <v>44742</v>
      </c>
      <c r="O107" s="74">
        <f t="shared" si="7"/>
        <v>184</v>
      </c>
      <c r="P107" s="353">
        <f t="shared" si="8"/>
        <v>0.49450549450549453</v>
      </c>
    </row>
    <row r="108" spans="1:16" ht="18.75" customHeight="1">
      <c r="A108" s="348">
        <f t="shared" si="9"/>
        <v>84</v>
      </c>
      <c r="B108" s="357" t="s">
        <v>3352</v>
      </c>
      <c r="C108" s="354" t="s">
        <v>3353</v>
      </c>
      <c r="D108" s="145">
        <v>44197</v>
      </c>
      <c r="E108" s="146">
        <v>44926</v>
      </c>
      <c r="F108" s="149">
        <v>0.74759945130315497</v>
      </c>
      <c r="G108" s="354">
        <v>286465.56</v>
      </c>
      <c r="H108" s="354">
        <v>286465.56</v>
      </c>
      <c r="I108" s="358">
        <v>238752.58999999997</v>
      </c>
      <c r="J108" s="352">
        <f t="shared" si="5"/>
        <v>0.83344256112322879</v>
      </c>
      <c r="M108" s="74">
        <f t="shared" si="6"/>
        <v>729</v>
      </c>
      <c r="N108" s="146">
        <v>44742</v>
      </c>
      <c r="O108" s="74">
        <f t="shared" si="7"/>
        <v>184</v>
      </c>
      <c r="P108" s="353">
        <f t="shared" si="8"/>
        <v>0.74759945130315497</v>
      </c>
    </row>
    <row r="109" spans="1:16" ht="18.75" customHeight="1">
      <c r="A109" s="348">
        <f t="shared" si="9"/>
        <v>85</v>
      </c>
      <c r="B109" s="357" t="s">
        <v>3354</v>
      </c>
      <c r="C109" s="354" t="s">
        <v>3355</v>
      </c>
      <c r="D109" s="145">
        <v>44197</v>
      </c>
      <c r="E109" s="146">
        <v>44926</v>
      </c>
      <c r="F109" s="149">
        <v>0.74759945130315497</v>
      </c>
      <c r="G109" s="354">
        <v>199321.82</v>
      </c>
      <c r="H109" s="354">
        <v>199321.82</v>
      </c>
      <c r="I109" s="358">
        <v>150838.84</v>
      </c>
      <c r="J109" s="352">
        <f t="shared" si="5"/>
        <v>0.75676029849617066</v>
      </c>
      <c r="M109" s="74">
        <f t="shared" si="6"/>
        <v>729</v>
      </c>
      <c r="N109" s="146">
        <v>44742</v>
      </c>
      <c r="O109" s="74">
        <f t="shared" si="7"/>
        <v>184</v>
      </c>
      <c r="P109" s="353">
        <f t="shared" si="8"/>
        <v>0.74759945130315497</v>
      </c>
    </row>
    <row r="110" spans="1:16" ht="18.75" customHeight="1">
      <c r="A110" s="348">
        <f t="shared" si="9"/>
        <v>86</v>
      </c>
      <c r="B110" s="357" t="s">
        <v>3356</v>
      </c>
      <c r="C110" s="354" t="s">
        <v>3357</v>
      </c>
      <c r="D110" s="145">
        <v>44562</v>
      </c>
      <c r="E110" s="146">
        <v>45291</v>
      </c>
      <c r="F110" s="149">
        <v>0.24691358024691357</v>
      </c>
      <c r="G110" s="354">
        <v>1249818.8799999999</v>
      </c>
      <c r="H110" s="354">
        <v>1249818.8799999999</v>
      </c>
      <c r="I110" s="358">
        <v>364887.5</v>
      </c>
      <c r="J110" s="352">
        <f t="shared" si="5"/>
        <v>0.29195230272085509</v>
      </c>
      <c r="M110" s="74">
        <f t="shared" si="6"/>
        <v>729</v>
      </c>
      <c r="N110" s="146">
        <v>44742</v>
      </c>
      <c r="O110" s="74">
        <f t="shared" si="7"/>
        <v>549</v>
      </c>
      <c r="P110" s="353">
        <f t="shared" si="8"/>
        <v>0.24691358024691357</v>
      </c>
    </row>
    <row r="111" spans="1:16" ht="18.75" customHeight="1">
      <c r="A111" s="348">
        <f t="shared" si="9"/>
        <v>87</v>
      </c>
      <c r="B111" s="357" t="s">
        <v>2957</v>
      </c>
      <c r="C111" s="354" t="s">
        <v>2958</v>
      </c>
      <c r="D111" s="145">
        <v>44197</v>
      </c>
      <c r="E111" s="146">
        <v>44926</v>
      </c>
      <c r="F111" s="149">
        <v>0.74759945130315497</v>
      </c>
      <c r="G111" s="354">
        <v>8968030.2300000004</v>
      </c>
      <c r="H111" s="354">
        <v>8968030.2300000004</v>
      </c>
      <c r="I111" s="358">
        <v>6241838.4299999997</v>
      </c>
      <c r="J111" s="352">
        <f t="shared" si="5"/>
        <v>0.69600996762028078</v>
      </c>
      <c r="M111" s="74">
        <f t="shared" si="6"/>
        <v>729</v>
      </c>
      <c r="N111" s="146">
        <v>44742</v>
      </c>
      <c r="O111" s="74">
        <f t="shared" si="7"/>
        <v>184</v>
      </c>
      <c r="P111" s="353">
        <f t="shared" si="8"/>
        <v>0.74759945130315497</v>
      </c>
    </row>
    <row r="112" spans="1:16" ht="18.75" customHeight="1">
      <c r="A112" s="348">
        <f t="shared" si="9"/>
        <v>88</v>
      </c>
      <c r="B112" s="357" t="s">
        <v>3358</v>
      </c>
      <c r="C112" s="354" t="s">
        <v>3359</v>
      </c>
      <c r="D112" s="145">
        <v>44197</v>
      </c>
      <c r="E112" s="146">
        <v>44926</v>
      </c>
      <c r="F112" s="149">
        <v>0.74759945130315497</v>
      </c>
      <c r="G112" s="354">
        <v>2196450.37</v>
      </c>
      <c r="H112" s="354">
        <v>2196450.37</v>
      </c>
      <c r="I112" s="358">
        <v>1480416.85</v>
      </c>
      <c r="J112" s="352">
        <f t="shared" si="5"/>
        <v>0.67400423438659351</v>
      </c>
      <c r="M112" s="74">
        <f t="shared" si="6"/>
        <v>729</v>
      </c>
      <c r="N112" s="146">
        <v>44742</v>
      </c>
      <c r="O112" s="74">
        <f t="shared" si="7"/>
        <v>184</v>
      </c>
      <c r="P112" s="353">
        <f t="shared" si="8"/>
        <v>0.74759945130315497</v>
      </c>
    </row>
    <row r="113" spans="1:16" s="359" customFormat="1" ht="20.100000000000001" customHeight="1">
      <c r="A113" s="809" t="str">
        <f>$A$1</f>
        <v>KENTUCKY UTILITIES COMPANY</v>
      </c>
      <c r="B113" s="809"/>
      <c r="C113" s="809"/>
      <c r="D113" s="809"/>
      <c r="E113" s="809"/>
      <c r="F113" s="809"/>
      <c r="G113" s="809"/>
      <c r="H113" s="809"/>
      <c r="I113" s="809"/>
      <c r="J113" s="809"/>
    </row>
    <row r="114" spans="1:16" s="359" customFormat="1" ht="20.100000000000001" customHeight="1">
      <c r="A114" s="809" t="str">
        <f>$A$2</f>
        <v>CASE NO. 2020-00349</v>
      </c>
      <c r="B114" s="809"/>
      <c r="C114" s="809"/>
      <c r="D114" s="809"/>
      <c r="E114" s="809"/>
      <c r="F114" s="809"/>
      <c r="G114" s="809"/>
      <c r="H114" s="809"/>
      <c r="I114" s="809"/>
      <c r="J114" s="809"/>
    </row>
    <row r="115" spans="1:16" s="359" customFormat="1" ht="20.100000000000001" customHeight="1">
      <c r="A115" s="809" t="s">
        <v>1216</v>
      </c>
      <c r="B115" s="809"/>
      <c r="C115" s="809"/>
      <c r="D115" s="809"/>
      <c r="E115" s="809"/>
      <c r="F115" s="809"/>
      <c r="G115" s="809"/>
      <c r="H115" s="809"/>
      <c r="I115" s="809"/>
      <c r="J115" s="809"/>
    </row>
    <row r="116" spans="1:16" s="359" customFormat="1" ht="20.100000000000001" customHeight="1">
      <c r="A116" s="809" t="str">
        <f>$A$4</f>
        <v>AS OF JUNE 30, 2022</v>
      </c>
      <c r="B116" s="809"/>
      <c r="C116" s="809"/>
      <c r="D116" s="809"/>
      <c r="E116" s="809"/>
      <c r="F116" s="809"/>
      <c r="G116" s="809"/>
      <c r="H116" s="809"/>
      <c r="I116" s="809"/>
      <c r="J116" s="809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DATA:____BASE  PERIOD__X__FORECASTED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1709</v>
      </c>
    </row>
    <row r="119" spans="1:16" s="359" customFormat="1" ht="20.100000000000001" customHeight="1">
      <c r="A119" s="67" t="str">
        <f>$A$7</f>
        <v>TYPE OF FILING: __X__ ORIGINAL  _____ UPDATED  _____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3746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5.099999999999994" customHeight="1">
      <c r="A122" s="76" t="s">
        <v>131</v>
      </c>
      <c r="B122" s="76" t="s">
        <v>1219</v>
      </c>
      <c r="C122" s="76" t="s">
        <v>1220</v>
      </c>
      <c r="D122" s="142" t="s">
        <v>1222</v>
      </c>
      <c r="E122" s="142" t="s">
        <v>1223</v>
      </c>
      <c r="F122" s="76" t="s">
        <v>1224</v>
      </c>
      <c r="G122" s="76" t="s">
        <v>1225</v>
      </c>
      <c r="H122" s="76" t="s">
        <v>1226</v>
      </c>
      <c r="I122" s="76" t="s">
        <v>1227</v>
      </c>
      <c r="J122" s="76" t="s">
        <v>1228</v>
      </c>
      <c r="M122" s="360" t="s">
        <v>1236</v>
      </c>
      <c r="N122" s="360" t="s">
        <v>1237</v>
      </c>
      <c r="O122" s="360" t="s">
        <v>1238</v>
      </c>
      <c r="P122" s="360" t="s">
        <v>1224</v>
      </c>
    </row>
    <row r="123" spans="1:16" s="359" customFormat="1" ht="23.1" customHeight="1">
      <c r="A123" s="80" t="s">
        <v>1217</v>
      </c>
      <c r="B123" s="80" t="s">
        <v>1218</v>
      </c>
      <c r="C123" s="80" t="s">
        <v>1221</v>
      </c>
      <c r="D123" s="355" t="s">
        <v>1229</v>
      </c>
      <c r="E123" s="355" t="s">
        <v>1230</v>
      </c>
      <c r="F123" s="356" t="s">
        <v>1231</v>
      </c>
      <c r="G123" s="356" t="s">
        <v>1232</v>
      </c>
      <c r="H123" s="356" t="s">
        <v>1233</v>
      </c>
      <c r="I123" s="356" t="s">
        <v>1234</v>
      </c>
      <c r="J123" s="356" t="s">
        <v>1235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75" customHeight="1">
      <c r="A125" s="348">
        <f>A112+1</f>
        <v>89</v>
      </c>
      <c r="B125" s="357" t="s">
        <v>3360</v>
      </c>
      <c r="C125" s="354" t="s">
        <v>3361</v>
      </c>
      <c r="D125" s="145">
        <v>44562</v>
      </c>
      <c r="E125" s="146">
        <v>45291</v>
      </c>
      <c r="F125" s="149">
        <v>0.24691358024691357</v>
      </c>
      <c r="G125" s="354">
        <v>5291359.1400000006</v>
      </c>
      <c r="H125" s="354">
        <v>5291359.1400000006</v>
      </c>
      <c r="I125" s="358">
        <v>1024216.0700000001</v>
      </c>
      <c r="J125" s="352">
        <f t="shared" ref="J125:J168" si="10">IFERROR(I125/H125,0)</f>
        <v>0.19356389216854405</v>
      </c>
      <c r="M125" s="74">
        <f t="shared" si="6"/>
        <v>729</v>
      </c>
      <c r="N125" s="146">
        <v>44742</v>
      </c>
      <c r="O125" s="74">
        <f t="shared" si="7"/>
        <v>549</v>
      </c>
      <c r="P125" s="353">
        <f t="shared" si="8"/>
        <v>0.24691358024691357</v>
      </c>
    </row>
    <row r="126" spans="1:16" ht="18.75" customHeight="1">
      <c r="A126" s="348">
        <f t="shared" si="9"/>
        <v>90</v>
      </c>
      <c r="B126" s="357" t="s">
        <v>3362</v>
      </c>
      <c r="C126" s="354" t="s">
        <v>3363</v>
      </c>
      <c r="D126" s="145">
        <v>44562</v>
      </c>
      <c r="E126" s="146">
        <v>45291</v>
      </c>
      <c r="F126" s="149">
        <v>0.24691358024691357</v>
      </c>
      <c r="G126" s="354">
        <v>1130119</v>
      </c>
      <c r="H126" s="354">
        <v>1130119</v>
      </c>
      <c r="I126" s="358">
        <v>382826.09</v>
      </c>
      <c r="J126" s="352">
        <f t="shared" si="10"/>
        <v>0.33874847693030558</v>
      </c>
      <c r="M126" s="74">
        <f t="shared" si="6"/>
        <v>729</v>
      </c>
      <c r="N126" s="146">
        <v>44742</v>
      </c>
      <c r="O126" s="74">
        <f t="shared" si="7"/>
        <v>549</v>
      </c>
      <c r="P126" s="353">
        <f t="shared" si="8"/>
        <v>0.24691358024691357</v>
      </c>
    </row>
    <row r="127" spans="1:16" ht="18.75" customHeight="1">
      <c r="A127" s="348">
        <f t="shared" si="9"/>
        <v>91</v>
      </c>
      <c r="B127" s="357" t="s">
        <v>3364</v>
      </c>
      <c r="C127" s="354" t="s">
        <v>3365</v>
      </c>
      <c r="D127" s="145">
        <v>44197</v>
      </c>
      <c r="E127" s="146">
        <v>44926</v>
      </c>
      <c r="F127" s="149">
        <v>0.74759945130315497</v>
      </c>
      <c r="G127" s="354">
        <v>599999.99</v>
      </c>
      <c r="H127" s="354">
        <v>599999.99</v>
      </c>
      <c r="I127" s="358">
        <v>599999.99</v>
      </c>
      <c r="J127" s="352">
        <f t="shared" si="10"/>
        <v>1</v>
      </c>
      <c r="M127" s="74">
        <f t="shared" si="6"/>
        <v>729</v>
      </c>
      <c r="N127" s="146">
        <v>44742</v>
      </c>
      <c r="O127" s="74">
        <f t="shared" si="7"/>
        <v>184</v>
      </c>
      <c r="P127" s="353">
        <f t="shared" si="8"/>
        <v>0.74759945130315497</v>
      </c>
    </row>
    <row r="128" spans="1:16" ht="18.75" customHeight="1">
      <c r="A128" s="348">
        <f t="shared" si="9"/>
        <v>92</v>
      </c>
      <c r="B128" s="357" t="s">
        <v>2959</v>
      </c>
      <c r="C128" s="354" t="s">
        <v>2960</v>
      </c>
      <c r="D128" s="145">
        <v>44197</v>
      </c>
      <c r="E128" s="146">
        <v>44926</v>
      </c>
      <c r="F128" s="149">
        <v>0.74759945130315497</v>
      </c>
      <c r="G128" s="354">
        <v>1637478.47</v>
      </c>
      <c r="H128" s="354">
        <v>1637478.47</v>
      </c>
      <c r="I128" s="358">
        <v>1413401.94</v>
      </c>
      <c r="J128" s="352">
        <f t="shared" si="10"/>
        <v>0.86315757177558494</v>
      </c>
      <c r="M128" s="74">
        <f t="shared" si="6"/>
        <v>729</v>
      </c>
      <c r="N128" s="146">
        <v>44742</v>
      </c>
      <c r="O128" s="74">
        <f t="shared" si="7"/>
        <v>184</v>
      </c>
      <c r="P128" s="353">
        <f t="shared" si="8"/>
        <v>0.74759945130315497</v>
      </c>
    </row>
    <row r="129" spans="1:16" ht="18.75" customHeight="1">
      <c r="A129" s="348">
        <f t="shared" si="9"/>
        <v>93</v>
      </c>
      <c r="B129" s="357" t="s">
        <v>3366</v>
      </c>
      <c r="C129" s="354" t="s">
        <v>3367</v>
      </c>
      <c r="D129" s="145">
        <v>44197</v>
      </c>
      <c r="E129" s="146">
        <v>46022</v>
      </c>
      <c r="F129" s="149">
        <v>0.29863013698630136</v>
      </c>
      <c r="G129" s="354">
        <v>7000055.9900000002</v>
      </c>
      <c r="H129" s="354">
        <v>7000055.9900000002</v>
      </c>
      <c r="I129" s="358">
        <v>2013400</v>
      </c>
      <c r="J129" s="352">
        <f t="shared" si="10"/>
        <v>0.28762627082929948</v>
      </c>
      <c r="M129" s="74">
        <f t="shared" si="6"/>
        <v>1825</v>
      </c>
      <c r="N129" s="146">
        <v>44742</v>
      </c>
      <c r="O129" s="74">
        <f t="shared" si="7"/>
        <v>1280</v>
      </c>
      <c r="P129" s="353">
        <f t="shared" si="8"/>
        <v>0.29863013698630136</v>
      </c>
    </row>
    <row r="130" spans="1:16" ht="18.75" customHeight="1">
      <c r="A130" s="348">
        <f t="shared" si="9"/>
        <v>94</v>
      </c>
      <c r="B130" s="357" t="s">
        <v>2961</v>
      </c>
      <c r="C130" s="354" t="s">
        <v>2962</v>
      </c>
      <c r="D130" s="145">
        <v>43525</v>
      </c>
      <c r="E130" s="146">
        <v>45291</v>
      </c>
      <c r="F130" s="149">
        <v>0.6891279728199321</v>
      </c>
      <c r="G130" s="354">
        <v>8964425.7800000012</v>
      </c>
      <c r="H130" s="354">
        <v>5024506.93</v>
      </c>
      <c r="I130" s="358">
        <v>-4.6566128730773926E-10</v>
      </c>
      <c r="J130" s="352">
        <f t="shared" si="10"/>
        <v>-9.2678006776625E-17</v>
      </c>
      <c r="M130" s="74">
        <f t="shared" si="6"/>
        <v>1766</v>
      </c>
      <c r="N130" s="146">
        <v>44742</v>
      </c>
      <c r="O130" s="74">
        <f t="shared" si="7"/>
        <v>549</v>
      </c>
      <c r="P130" s="353">
        <f t="shared" si="8"/>
        <v>0.6891279728199321</v>
      </c>
    </row>
    <row r="131" spans="1:16" ht="18.75" customHeight="1">
      <c r="A131" s="348">
        <f t="shared" si="9"/>
        <v>95</v>
      </c>
      <c r="B131" s="357" t="s">
        <v>2594</v>
      </c>
      <c r="C131" s="354" t="s">
        <v>2595</v>
      </c>
      <c r="D131" s="145">
        <v>43466</v>
      </c>
      <c r="E131" s="146">
        <v>46022</v>
      </c>
      <c r="F131" s="149">
        <v>0.49921752738654146</v>
      </c>
      <c r="G131" s="354">
        <v>4324800.18</v>
      </c>
      <c r="H131" s="354">
        <v>3750030.56</v>
      </c>
      <c r="I131" s="358">
        <v>2.3283064365386963E-10</v>
      </c>
      <c r="J131" s="352">
        <f t="shared" si="10"/>
        <v>6.2087665667948487E-17</v>
      </c>
      <c r="M131" s="74">
        <f t="shared" si="6"/>
        <v>2556</v>
      </c>
      <c r="N131" s="146">
        <v>44742</v>
      </c>
      <c r="O131" s="74">
        <f t="shared" si="7"/>
        <v>1280</v>
      </c>
      <c r="P131" s="353">
        <f t="shared" si="8"/>
        <v>0.49921752738654146</v>
      </c>
    </row>
    <row r="132" spans="1:16" ht="18.75" customHeight="1">
      <c r="A132" s="348">
        <f t="shared" si="9"/>
        <v>96</v>
      </c>
      <c r="B132" s="357" t="s">
        <v>2963</v>
      </c>
      <c r="C132" s="354" t="s">
        <v>2964</v>
      </c>
      <c r="D132" s="145">
        <v>44011</v>
      </c>
      <c r="E132" s="146">
        <v>44561</v>
      </c>
      <c r="F132" s="149">
        <v>1.3290909090909091</v>
      </c>
      <c r="G132" s="354">
        <v>545600</v>
      </c>
      <c r="H132" s="354">
        <v>545600</v>
      </c>
      <c r="I132" s="358">
        <v>1.1641532182693481E-10</v>
      </c>
      <c r="J132" s="352">
        <f t="shared" si="10"/>
        <v>2.1337119103177202E-16</v>
      </c>
      <c r="M132" s="74">
        <f t="shared" si="6"/>
        <v>550</v>
      </c>
      <c r="N132" s="146">
        <v>44742</v>
      </c>
      <c r="O132" s="74">
        <f t="shared" si="7"/>
        <v>-181</v>
      </c>
      <c r="P132" s="353">
        <f t="shared" si="8"/>
        <v>1.3290909090909091</v>
      </c>
    </row>
    <row r="133" spans="1:16" ht="18.75" customHeight="1">
      <c r="A133" s="348">
        <f t="shared" si="9"/>
        <v>97</v>
      </c>
      <c r="B133" s="357" t="s">
        <v>3368</v>
      </c>
      <c r="C133" s="354" t="s">
        <v>3369</v>
      </c>
      <c r="D133" s="145">
        <v>44011</v>
      </c>
      <c r="E133" s="146">
        <v>44926</v>
      </c>
      <c r="F133" s="149">
        <v>0.79890710382513663</v>
      </c>
      <c r="G133" s="354">
        <v>467599.92</v>
      </c>
      <c r="H133" s="354">
        <v>467599.92</v>
      </c>
      <c r="I133" s="358">
        <v>353957.24</v>
      </c>
      <c r="J133" s="352">
        <f t="shared" si="10"/>
        <v>0.75696599777005946</v>
      </c>
      <c r="M133" s="74">
        <f t="shared" si="6"/>
        <v>915</v>
      </c>
      <c r="N133" s="146">
        <v>44742</v>
      </c>
      <c r="O133" s="74">
        <f t="shared" si="7"/>
        <v>184</v>
      </c>
      <c r="P133" s="353">
        <f t="shared" si="8"/>
        <v>0.79890710382513663</v>
      </c>
    </row>
    <row r="134" spans="1:16" ht="18.75" customHeight="1">
      <c r="A134" s="348">
        <f t="shared" si="9"/>
        <v>98</v>
      </c>
      <c r="B134" s="357" t="s">
        <v>3370</v>
      </c>
      <c r="C134" s="354" t="s">
        <v>3371</v>
      </c>
      <c r="D134" s="145">
        <v>44012</v>
      </c>
      <c r="E134" s="146">
        <v>44926</v>
      </c>
      <c r="F134" s="149">
        <v>0.79868708971553615</v>
      </c>
      <c r="G134" s="354">
        <v>420000</v>
      </c>
      <c r="H134" s="354">
        <v>420000</v>
      </c>
      <c r="I134" s="358">
        <v>220000</v>
      </c>
      <c r="J134" s="352">
        <f t="shared" si="10"/>
        <v>0.52380952380952384</v>
      </c>
      <c r="M134" s="74">
        <f t="shared" si="6"/>
        <v>914</v>
      </c>
      <c r="N134" s="146">
        <v>44742</v>
      </c>
      <c r="O134" s="74">
        <f t="shared" si="7"/>
        <v>184</v>
      </c>
      <c r="P134" s="353">
        <f t="shared" si="8"/>
        <v>0.79868708971553615</v>
      </c>
    </row>
    <row r="135" spans="1:16" ht="18.75" customHeight="1">
      <c r="A135" s="348">
        <f t="shared" si="9"/>
        <v>99</v>
      </c>
      <c r="B135" s="357" t="s">
        <v>3372</v>
      </c>
      <c r="C135" s="354" t="s">
        <v>3373</v>
      </c>
      <c r="D135" s="145">
        <v>44562</v>
      </c>
      <c r="E135" s="146">
        <v>44926</v>
      </c>
      <c r="F135" s="149">
        <v>0.49450549450549453</v>
      </c>
      <c r="G135" s="354">
        <v>482004</v>
      </c>
      <c r="H135" s="354">
        <v>287846.53000000003</v>
      </c>
      <c r="I135" s="358">
        <v>143192.88999999998</v>
      </c>
      <c r="J135" s="352">
        <f t="shared" si="10"/>
        <v>0.49746262357235982</v>
      </c>
      <c r="M135" s="74">
        <f t="shared" si="6"/>
        <v>364</v>
      </c>
      <c r="N135" s="146">
        <v>44742</v>
      </c>
      <c r="O135" s="74">
        <f t="shared" si="7"/>
        <v>184</v>
      </c>
      <c r="P135" s="353">
        <f t="shared" si="8"/>
        <v>0.49450549450549453</v>
      </c>
    </row>
    <row r="136" spans="1:16" ht="18.75" customHeight="1">
      <c r="A136" s="348">
        <f t="shared" si="9"/>
        <v>100</v>
      </c>
      <c r="B136" s="357" t="s">
        <v>2637</v>
      </c>
      <c r="C136" s="354" t="s">
        <v>2638</v>
      </c>
      <c r="D136" s="145">
        <v>43831</v>
      </c>
      <c r="E136" s="146">
        <v>46387</v>
      </c>
      <c r="F136" s="149">
        <v>0.35641627543035992</v>
      </c>
      <c r="G136" s="354">
        <v>159000</v>
      </c>
      <c r="H136" s="354">
        <v>842138.52</v>
      </c>
      <c r="I136" s="358">
        <v>244881.52</v>
      </c>
      <c r="J136" s="352">
        <f t="shared" si="10"/>
        <v>0.29078532116070405</v>
      </c>
      <c r="M136" s="74">
        <f t="shared" si="6"/>
        <v>2556</v>
      </c>
      <c r="N136" s="146">
        <v>44742</v>
      </c>
      <c r="O136" s="74">
        <f t="shared" si="7"/>
        <v>1645</v>
      </c>
      <c r="P136" s="353">
        <f t="shared" si="8"/>
        <v>0.35641627543035992</v>
      </c>
    </row>
    <row r="137" spans="1:16" ht="18.75" customHeight="1">
      <c r="A137" s="348">
        <f t="shared" si="9"/>
        <v>101</v>
      </c>
      <c r="B137" s="357" t="s">
        <v>3374</v>
      </c>
      <c r="C137" s="354" t="s">
        <v>3375</v>
      </c>
      <c r="D137" s="145">
        <v>44197</v>
      </c>
      <c r="E137" s="146">
        <v>44500</v>
      </c>
      <c r="F137" s="149">
        <v>1.7986798679867986</v>
      </c>
      <c r="G137" s="354">
        <v>525080.01</v>
      </c>
      <c r="H137" s="354">
        <v>524883.69999999995</v>
      </c>
      <c r="I137" s="358">
        <v>1.1641532182693481E-10</v>
      </c>
      <c r="J137" s="352">
        <f t="shared" si="10"/>
        <v>2.2179260248877005E-16</v>
      </c>
      <c r="M137" s="74">
        <f t="shared" si="6"/>
        <v>303</v>
      </c>
      <c r="N137" s="146">
        <v>44742</v>
      </c>
      <c r="O137" s="74">
        <f t="shared" si="7"/>
        <v>-242</v>
      </c>
      <c r="P137" s="353">
        <f t="shared" si="8"/>
        <v>1.7986798679867986</v>
      </c>
    </row>
    <row r="138" spans="1:16" ht="18.75" customHeight="1">
      <c r="A138" s="348">
        <f t="shared" si="9"/>
        <v>102</v>
      </c>
      <c r="B138" s="357" t="s">
        <v>3376</v>
      </c>
      <c r="C138" s="354" t="s">
        <v>3377</v>
      </c>
      <c r="D138" s="145">
        <v>44562</v>
      </c>
      <c r="E138" s="146">
        <v>44895</v>
      </c>
      <c r="F138" s="149">
        <v>0.54054054054054057</v>
      </c>
      <c r="G138" s="354">
        <v>228518.21999999997</v>
      </c>
      <c r="H138" s="354">
        <v>227227.74</v>
      </c>
      <c r="I138" s="358">
        <v>151485.16</v>
      </c>
      <c r="J138" s="352">
        <f t="shared" si="10"/>
        <v>0.66666666666666674</v>
      </c>
      <c r="M138" s="74">
        <f t="shared" si="6"/>
        <v>333</v>
      </c>
      <c r="N138" s="146">
        <v>44742</v>
      </c>
      <c r="O138" s="74">
        <f t="shared" si="7"/>
        <v>153</v>
      </c>
      <c r="P138" s="353">
        <f t="shared" si="8"/>
        <v>0.54054054054054057</v>
      </c>
    </row>
    <row r="139" spans="1:16" ht="18.75" customHeight="1">
      <c r="A139" s="348">
        <f t="shared" si="9"/>
        <v>103</v>
      </c>
      <c r="B139" s="357" t="s">
        <v>3378</v>
      </c>
      <c r="C139" s="354" t="s">
        <v>3379</v>
      </c>
      <c r="D139" s="145">
        <v>43101</v>
      </c>
      <c r="E139" s="146">
        <v>47483</v>
      </c>
      <c r="F139" s="149">
        <v>0.37448653582838887</v>
      </c>
      <c r="G139" s="354">
        <v>291000</v>
      </c>
      <c r="H139" s="354">
        <v>391681.25</v>
      </c>
      <c r="I139" s="358">
        <v>-1.4551915228366852E-11</v>
      </c>
      <c r="J139" s="352">
        <f t="shared" si="10"/>
        <v>-3.7152442779343795E-17</v>
      </c>
      <c r="M139" s="74">
        <f t="shared" si="6"/>
        <v>4382</v>
      </c>
      <c r="N139" s="146">
        <v>44742</v>
      </c>
      <c r="O139" s="74">
        <f t="shared" si="7"/>
        <v>2741</v>
      </c>
      <c r="P139" s="353">
        <f t="shared" si="8"/>
        <v>0.37448653582838887</v>
      </c>
    </row>
    <row r="140" spans="1:16" ht="18.75" customHeight="1">
      <c r="A140" s="348">
        <f t="shared" si="9"/>
        <v>104</v>
      </c>
      <c r="B140" s="357" t="s">
        <v>3380</v>
      </c>
      <c r="C140" s="354" t="s">
        <v>3381</v>
      </c>
      <c r="D140" s="145">
        <v>43101</v>
      </c>
      <c r="E140" s="146">
        <v>45291</v>
      </c>
      <c r="F140" s="149">
        <v>0.74931506849315066</v>
      </c>
      <c r="G140" s="354">
        <v>152625.28</v>
      </c>
      <c r="H140" s="354">
        <v>221513.48</v>
      </c>
      <c r="I140" s="358">
        <v>110756.74</v>
      </c>
      <c r="J140" s="352">
        <f t="shared" si="10"/>
        <v>0.5</v>
      </c>
      <c r="M140" s="74">
        <f t="shared" si="6"/>
        <v>2190</v>
      </c>
      <c r="N140" s="146">
        <v>44742</v>
      </c>
      <c r="O140" s="74">
        <f t="shared" si="7"/>
        <v>549</v>
      </c>
      <c r="P140" s="353">
        <f t="shared" si="8"/>
        <v>0.74931506849315066</v>
      </c>
    </row>
    <row r="141" spans="1:16" ht="18.75" customHeight="1">
      <c r="A141" s="348">
        <f t="shared" si="9"/>
        <v>105</v>
      </c>
      <c r="B141" s="357" t="s">
        <v>3382</v>
      </c>
      <c r="C141" s="354" t="s">
        <v>3383</v>
      </c>
      <c r="D141" s="145">
        <v>42887</v>
      </c>
      <c r="E141" s="146">
        <v>47848</v>
      </c>
      <c r="F141" s="149">
        <v>0.37391654908284622</v>
      </c>
      <c r="G141" s="354">
        <v>103965.48000000001</v>
      </c>
      <c r="H141" s="354">
        <v>123184.4</v>
      </c>
      <c r="I141" s="358">
        <v>7.2759576141834259E-12</v>
      </c>
      <c r="J141" s="352">
        <f t="shared" si="10"/>
        <v>5.9065576600473976E-17</v>
      </c>
      <c r="M141" s="74">
        <f t="shared" si="6"/>
        <v>4961</v>
      </c>
      <c r="N141" s="146">
        <v>44742</v>
      </c>
      <c r="O141" s="74">
        <f t="shared" si="7"/>
        <v>3106</v>
      </c>
      <c r="P141" s="353">
        <f t="shared" si="8"/>
        <v>0.37391654908284622</v>
      </c>
    </row>
    <row r="142" spans="1:16" ht="18.75" customHeight="1">
      <c r="A142" s="348">
        <f t="shared" si="9"/>
        <v>106</v>
      </c>
      <c r="B142" s="357" t="s">
        <v>2075</v>
      </c>
      <c r="C142" s="354" t="s">
        <v>2600</v>
      </c>
      <c r="D142" s="145">
        <v>42491</v>
      </c>
      <c r="E142" s="146">
        <v>45291</v>
      </c>
      <c r="F142" s="149">
        <v>0.80392857142857144</v>
      </c>
      <c r="G142" s="354">
        <v>50955.5</v>
      </c>
      <c r="H142" s="354">
        <v>6785.93</v>
      </c>
      <c r="I142" s="358">
        <v>6785.93</v>
      </c>
      <c r="J142" s="352">
        <f t="shared" si="10"/>
        <v>1</v>
      </c>
      <c r="M142" s="74">
        <f t="shared" si="6"/>
        <v>2800</v>
      </c>
      <c r="N142" s="146">
        <v>44742</v>
      </c>
      <c r="O142" s="74">
        <f t="shared" si="7"/>
        <v>549</v>
      </c>
      <c r="P142" s="353">
        <f t="shared" si="8"/>
        <v>0.80392857142857144</v>
      </c>
    </row>
    <row r="143" spans="1:16" ht="18.75" customHeight="1">
      <c r="A143" s="348">
        <f t="shared" si="9"/>
        <v>107</v>
      </c>
      <c r="B143" s="357" t="s">
        <v>3384</v>
      </c>
      <c r="C143" s="354" t="s">
        <v>3385</v>
      </c>
      <c r="D143" s="145">
        <v>44562</v>
      </c>
      <c r="E143" s="146">
        <v>46387</v>
      </c>
      <c r="F143" s="149">
        <v>9.8630136986301367E-2</v>
      </c>
      <c r="G143" s="354">
        <v>442489</v>
      </c>
      <c r="H143" s="354">
        <v>416157.22000000003</v>
      </c>
      <c r="I143" s="358">
        <v>167991.32</v>
      </c>
      <c r="J143" s="352">
        <f t="shared" si="10"/>
        <v>0.40367272734088333</v>
      </c>
      <c r="M143" s="74">
        <f t="shared" si="6"/>
        <v>1825</v>
      </c>
      <c r="N143" s="146">
        <v>44742</v>
      </c>
      <c r="O143" s="74">
        <f t="shared" si="7"/>
        <v>1645</v>
      </c>
      <c r="P143" s="353">
        <f t="shared" si="8"/>
        <v>9.8630136986301367E-2</v>
      </c>
    </row>
    <row r="144" spans="1:16" ht="18.75" customHeight="1">
      <c r="A144" s="348">
        <f t="shared" si="9"/>
        <v>108</v>
      </c>
      <c r="B144" s="357" t="s">
        <v>3386</v>
      </c>
      <c r="C144" s="354" t="s">
        <v>3387</v>
      </c>
      <c r="D144" s="145">
        <v>43617</v>
      </c>
      <c r="E144" s="146">
        <v>45291</v>
      </c>
      <c r="F144" s="149">
        <v>0.67204301075268813</v>
      </c>
      <c r="G144" s="354">
        <v>183480</v>
      </c>
      <c r="H144" s="354">
        <v>81480.450000000012</v>
      </c>
      <c r="I144" s="358">
        <v>3.637978807091713E-12</v>
      </c>
      <c r="J144" s="352">
        <f t="shared" si="10"/>
        <v>4.4648486932653323E-17</v>
      </c>
      <c r="M144" s="74">
        <f t="shared" si="6"/>
        <v>1674</v>
      </c>
      <c r="N144" s="146">
        <v>44742</v>
      </c>
      <c r="O144" s="74">
        <f t="shared" si="7"/>
        <v>549</v>
      </c>
      <c r="P144" s="353">
        <f t="shared" si="8"/>
        <v>0.67204301075268813</v>
      </c>
    </row>
    <row r="145" spans="1:16" ht="18.75" customHeight="1">
      <c r="A145" s="348">
        <f t="shared" si="9"/>
        <v>109</v>
      </c>
      <c r="B145" s="357" t="s">
        <v>2981</v>
      </c>
      <c r="C145" s="354" t="s">
        <v>2982</v>
      </c>
      <c r="D145" s="145">
        <v>43831</v>
      </c>
      <c r="E145" s="146">
        <v>44561</v>
      </c>
      <c r="F145" s="149">
        <v>1.247945205479452</v>
      </c>
      <c r="G145" s="354">
        <v>305800</v>
      </c>
      <c r="H145" s="354">
        <v>89398.56</v>
      </c>
      <c r="I145" s="358">
        <v>1.4551915228366852E-11</v>
      </c>
      <c r="J145" s="352">
        <f t="shared" si="10"/>
        <v>1.6277572287928187E-16</v>
      </c>
      <c r="M145" s="74">
        <f t="shared" si="6"/>
        <v>730</v>
      </c>
      <c r="N145" s="146">
        <v>44742</v>
      </c>
      <c r="O145" s="74">
        <f t="shared" si="7"/>
        <v>-181</v>
      </c>
      <c r="P145" s="353">
        <f t="shared" si="8"/>
        <v>1.247945205479452</v>
      </c>
    </row>
    <row r="146" spans="1:16" ht="18.75" customHeight="1">
      <c r="A146" s="348">
        <f t="shared" si="9"/>
        <v>110</v>
      </c>
      <c r="B146" s="357" t="s">
        <v>2983</v>
      </c>
      <c r="C146" s="354" t="s">
        <v>2984</v>
      </c>
      <c r="D146" s="145">
        <v>42522</v>
      </c>
      <c r="E146" s="146">
        <v>47848</v>
      </c>
      <c r="F146" s="149">
        <v>0.41682313180623359</v>
      </c>
      <c r="G146" s="354">
        <v>4224787</v>
      </c>
      <c r="H146" s="354">
        <v>2387036.11</v>
      </c>
      <c r="I146" s="358">
        <v>833129.33000000007</v>
      </c>
      <c r="J146" s="352">
        <f t="shared" si="10"/>
        <v>0.3490225080843038</v>
      </c>
      <c r="M146" s="74">
        <f t="shared" si="6"/>
        <v>5326</v>
      </c>
      <c r="N146" s="146">
        <v>44742</v>
      </c>
      <c r="O146" s="74">
        <f t="shared" si="7"/>
        <v>3106</v>
      </c>
      <c r="P146" s="353">
        <f t="shared" si="8"/>
        <v>0.41682313180623359</v>
      </c>
    </row>
    <row r="147" spans="1:16" ht="18.75" customHeight="1">
      <c r="A147" s="348">
        <f t="shared" si="9"/>
        <v>111</v>
      </c>
      <c r="B147" s="357" t="s">
        <v>2985</v>
      </c>
      <c r="C147" s="354" t="s">
        <v>2986</v>
      </c>
      <c r="D147" s="145">
        <v>43831</v>
      </c>
      <c r="E147" s="146">
        <v>44804</v>
      </c>
      <c r="F147" s="149">
        <v>0.93627954779033917</v>
      </c>
      <c r="G147" s="354">
        <v>183480</v>
      </c>
      <c r="H147" s="354">
        <v>168221.55000000002</v>
      </c>
      <c r="I147" s="358">
        <v>159747.43</v>
      </c>
      <c r="J147" s="352">
        <f t="shared" si="10"/>
        <v>0.94962524123692815</v>
      </c>
      <c r="M147" s="74">
        <f t="shared" si="6"/>
        <v>973</v>
      </c>
      <c r="N147" s="146">
        <v>44742</v>
      </c>
      <c r="O147" s="74">
        <f t="shared" si="7"/>
        <v>62</v>
      </c>
      <c r="P147" s="353">
        <f t="shared" si="8"/>
        <v>0.93627954779033917</v>
      </c>
    </row>
    <row r="148" spans="1:16" ht="18.75" customHeight="1">
      <c r="A148" s="348">
        <f t="shared" si="9"/>
        <v>112</v>
      </c>
      <c r="B148" s="357" t="s">
        <v>2987</v>
      </c>
      <c r="C148" s="354" t="s">
        <v>2988</v>
      </c>
      <c r="D148" s="145">
        <v>44197</v>
      </c>
      <c r="E148" s="146">
        <v>44926</v>
      </c>
      <c r="F148" s="149">
        <v>0.74759945130315497</v>
      </c>
      <c r="G148" s="354">
        <v>186732</v>
      </c>
      <c r="H148" s="354">
        <v>209742.59999999998</v>
      </c>
      <c r="I148" s="358">
        <v>156447.35999999999</v>
      </c>
      <c r="J148" s="352">
        <f t="shared" si="10"/>
        <v>0.74590169092973957</v>
      </c>
      <c r="M148" s="74">
        <f t="shared" si="6"/>
        <v>729</v>
      </c>
      <c r="N148" s="146">
        <v>44742</v>
      </c>
      <c r="O148" s="74">
        <f t="shared" si="7"/>
        <v>184</v>
      </c>
      <c r="P148" s="353">
        <f t="shared" si="8"/>
        <v>0.74759945130315497</v>
      </c>
    </row>
    <row r="149" spans="1:16" ht="18.75" customHeight="1">
      <c r="A149" s="348">
        <f t="shared" si="9"/>
        <v>113</v>
      </c>
      <c r="B149" s="357" t="s">
        <v>3388</v>
      </c>
      <c r="C149" s="354" t="s">
        <v>3389</v>
      </c>
      <c r="D149" s="145">
        <v>44562</v>
      </c>
      <c r="E149" s="146">
        <v>44926</v>
      </c>
      <c r="F149" s="149">
        <v>0.49450549450549453</v>
      </c>
      <c r="G149" s="354">
        <v>310766.8</v>
      </c>
      <c r="H149" s="354">
        <v>174966.89</v>
      </c>
      <c r="I149" s="358">
        <v>174966.89</v>
      </c>
      <c r="J149" s="352">
        <f t="shared" si="10"/>
        <v>1</v>
      </c>
      <c r="M149" s="74">
        <f t="shared" si="6"/>
        <v>364</v>
      </c>
      <c r="N149" s="146">
        <v>44742</v>
      </c>
      <c r="O149" s="74">
        <f t="shared" si="7"/>
        <v>184</v>
      </c>
      <c r="P149" s="353">
        <f t="shared" si="8"/>
        <v>0.49450549450549453</v>
      </c>
    </row>
    <row r="150" spans="1:16" ht="18.75" customHeight="1">
      <c r="A150" s="348">
        <f t="shared" si="9"/>
        <v>114</v>
      </c>
      <c r="B150" s="357" t="s">
        <v>3390</v>
      </c>
      <c r="C150" s="354" t="s">
        <v>3391</v>
      </c>
      <c r="D150" s="145">
        <v>44562</v>
      </c>
      <c r="E150" s="146">
        <v>45657</v>
      </c>
      <c r="F150" s="149">
        <v>0.16438356164383561</v>
      </c>
      <c r="G150" s="354">
        <v>72000</v>
      </c>
      <c r="H150" s="354">
        <v>167504.23000000001</v>
      </c>
      <c r="I150" s="358">
        <v>81086.400000000009</v>
      </c>
      <c r="J150" s="352">
        <f t="shared" si="10"/>
        <v>0.48408568547791303</v>
      </c>
      <c r="M150" s="74">
        <f t="shared" si="6"/>
        <v>1095</v>
      </c>
      <c r="N150" s="146">
        <v>44742</v>
      </c>
      <c r="O150" s="74">
        <f t="shared" si="7"/>
        <v>915</v>
      </c>
      <c r="P150" s="353">
        <f t="shared" si="8"/>
        <v>0.16438356164383561</v>
      </c>
    </row>
    <row r="151" spans="1:16" ht="18.75" customHeight="1">
      <c r="A151" s="348">
        <f t="shared" si="9"/>
        <v>115</v>
      </c>
      <c r="B151" s="357" t="s">
        <v>2604</v>
      </c>
      <c r="C151" s="354" t="s">
        <v>2605</v>
      </c>
      <c r="D151" s="145">
        <v>44562</v>
      </c>
      <c r="E151" s="146">
        <v>44926</v>
      </c>
      <c r="F151" s="149">
        <v>0.49450549450549453</v>
      </c>
      <c r="G151" s="354">
        <v>141153.35</v>
      </c>
      <c r="H151" s="354">
        <v>140241.89000000001</v>
      </c>
      <c r="I151" s="358">
        <v>140241.89000000001</v>
      </c>
      <c r="J151" s="352">
        <f t="shared" si="10"/>
        <v>1</v>
      </c>
      <c r="M151" s="74">
        <f t="shared" si="6"/>
        <v>364</v>
      </c>
      <c r="N151" s="146">
        <v>44742</v>
      </c>
      <c r="O151" s="74">
        <f t="shared" si="7"/>
        <v>184</v>
      </c>
      <c r="P151" s="353">
        <f t="shared" si="8"/>
        <v>0.49450549450549453</v>
      </c>
    </row>
    <row r="152" spans="1:16" ht="18.75" customHeight="1">
      <c r="A152" s="348">
        <f t="shared" si="9"/>
        <v>116</v>
      </c>
      <c r="B152" s="357" t="s">
        <v>3392</v>
      </c>
      <c r="C152" s="354" t="s">
        <v>3393</v>
      </c>
      <c r="D152" s="145">
        <v>44562</v>
      </c>
      <c r="E152" s="146">
        <v>44926</v>
      </c>
      <c r="F152" s="149">
        <v>0.49450549450549453</v>
      </c>
      <c r="G152" s="354">
        <v>152457.23000000001</v>
      </c>
      <c r="H152" s="354">
        <v>307848.40000000002</v>
      </c>
      <c r="I152" s="358">
        <v>307848.40000000002</v>
      </c>
      <c r="J152" s="352">
        <f t="shared" si="10"/>
        <v>1</v>
      </c>
      <c r="M152" s="74">
        <f t="shared" si="6"/>
        <v>364</v>
      </c>
      <c r="N152" s="146">
        <v>44742</v>
      </c>
      <c r="O152" s="74">
        <f t="shared" si="7"/>
        <v>184</v>
      </c>
      <c r="P152" s="353">
        <f t="shared" si="8"/>
        <v>0.49450549450549453</v>
      </c>
    </row>
    <row r="153" spans="1:16" ht="18.75" customHeight="1">
      <c r="A153" s="348">
        <f t="shared" si="9"/>
        <v>117</v>
      </c>
      <c r="B153" s="357" t="s">
        <v>3394</v>
      </c>
      <c r="C153" s="354" t="s">
        <v>3395</v>
      </c>
      <c r="D153" s="145">
        <v>44562</v>
      </c>
      <c r="E153" s="146">
        <v>44926</v>
      </c>
      <c r="F153" s="149">
        <v>0.49450549450549453</v>
      </c>
      <c r="G153" s="354">
        <v>50819.08</v>
      </c>
      <c r="H153" s="354">
        <v>68404.5</v>
      </c>
      <c r="I153" s="358">
        <v>68404.5</v>
      </c>
      <c r="J153" s="352">
        <f t="shared" si="10"/>
        <v>1</v>
      </c>
      <c r="M153" s="74">
        <f t="shared" si="6"/>
        <v>364</v>
      </c>
      <c r="N153" s="146">
        <v>44742</v>
      </c>
      <c r="O153" s="74">
        <f t="shared" si="7"/>
        <v>184</v>
      </c>
      <c r="P153" s="353">
        <f t="shared" si="8"/>
        <v>0.49450549450549453</v>
      </c>
    </row>
    <row r="154" spans="1:16" ht="18.75" customHeight="1">
      <c r="A154" s="348">
        <f t="shared" si="9"/>
        <v>118</v>
      </c>
      <c r="B154" s="357" t="s">
        <v>3396</v>
      </c>
      <c r="C154" s="354" t="s">
        <v>3397</v>
      </c>
      <c r="D154" s="145">
        <v>44562</v>
      </c>
      <c r="E154" s="146">
        <v>44926</v>
      </c>
      <c r="F154" s="149">
        <v>0.49450549450549453</v>
      </c>
      <c r="G154" s="354">
        <v>50819.08</v>
      </c>
      <c r="H154" s="354">
        <v>68404.5</v>
      </c>
      <c r="I154" s="358">
        <v>68404.5</v>
      </c>
      <c r="J154" s="352">
        <f t="shared" si="10"/>
        <v>1</v>
      </c>
      <c r="M154" s="74">
        <f t="shared" si="6"/>
        <v>364</v>
      </c>
      <c r="N154" s="146">
        <v>44742</v>
      </c>
      <c r="O154" s="74">
        <f t="shared" si="7"/>
        <v>184</v>
      </c>
      <c r="P154" s="353">
        <f t="shared" si="8"/>
        <v>0.49450549450549453</v>
      </c>
    </row>
    <row r="155" spans="1:16" ht="18.75" customHeight="1">
      <c r="A155" s="348">
        <f t="shared" si="9"/>
        <v>119</v>
      </c>
      <c r="B155" s="357" t="s">
        <v>3398</v>
      </c>
      <c r="C155" s="354" t="s">
        <v>3399</v>
      </c>
      <c r="D155" s="145">
        <v>44562</v>
      </c>
      <c r="E155" s="146">
        <v>45291</v>
      </c>
      <c r="F155" s="149">
        <v>0.24691358024691357</v>
      </c>
      <c r="G155" s="354">
        <v>303750</v>
      </c>
      <c r="H155" s="354">
        <v>1051947</v>
      </c>
      <c r="I155" s="358">
        <v>478831.5</v>
      </c>
      <c r="J155" s="352">
        <f t="shared" si="10"/>
        <v>0.45518595518595517</v>
      </c>
      <c r="M155" s="74">
        <f t="shared" si="6"/>
        <v>729</v>
      </c>
      <c r="N155" s="146">
        <v>44742</v>
      </c>
      <c r="O155" s="74">
        <f t="shared" si="7"/>
        <v>549</v>
      </c>
      <c r="P155" s="353">
        <f t="shared" si="8"/>
        <v>0.24691358024691357</v>
      </c>
    </row>
    <row r="156" spans="1:16" ht="18.75" customHeight="1">
      <c r="A156" s="348">
        <f t="shared" si="9"/>
        <v>120</v>
      </c>
      <c r="B156" s="357" t="s">
        <v>2991</v>
      </c>
      <c r="C156" s="354" t="s">
        <v>2992</v>
      </c>
      <c r="D156" s="145">
        <v>43831</v>
      </c>
      <c r="E156" s="146">
        <v>44377</v>
      </c>
      <c r="F156" s="149">
        <v>1.6684981684981686</v>
      </c>
      <c r="G156" s="354">
        <v>3952594.8</v>
      </c>
      <c r="H156" s="354">
        <v>9884621.5700000003</v>
      </c>
      <c r="I156" s="358">
        <v>1.862645149230957E-9</v>
      </c>
      <c r="J156" s="352">
        <f t="shared" si="10"/>
        <v>1.8843869095445371E-16</v>
      </c>
      <c r="M156" s="74">
        <f t="shared" si="6"/>
        <v>546</v>
      </c>
      <c r="N156" s="146">
        <v>44742</v>
      </c>
      <c r="O156" s="74">
        <f t="shared" si="7"/>
        <v>-365</v>
      </c>
      <c r="P156" s="353">
        <f t="shared" si="8"/>
        <v>1.6684981684981686</v>
      </c>
    </row>
    <row r="157" spans="1:16" ht="18.75" customHeight="1">
      <c r="A157" s="348">
        <f t="shared" si="9"/>
        <v>121</v>
      </c>
      <c r="B157" s="357" t="s">
        <v>2995</v>
      </c>
      <c r="C157" s="354" t="s">
        <v>2996</v>
      </c>
      <c r="D157" s="145">
        <v>42887</v>
      </c>
      <c r="E157" s="146">
        <v>47848</v>
      </c>
      <c r="F157" s="149">
        <v>0.37391654908284622</v>
      </c>
      <c r="G157" s="354">
        <v>2710564.55</v>
      </c>
      <c r="H157" s="354">
        <v>3425962.54</v>
      </c>
      <c r="I157" s="358">
        <v>1546053.6</v>
      </c>
      <c r="J157" s="352">
        <f t="shared" si="10"/>
        <v>0.45127568732844348</v>
      </c>
      <c r="M157" s="74">
        <f t="shared" si="6"/>
        <v>4961</v>
      </c>
      <c r="N157" s="146">
        <v>44742</v>
      </c>
      <c r="O157" s="74">
        <f t="shared" si="7"/>
        <v>3106</v>
      </c>
      <c r="P157" s="353">
        <f t="shared" si="8"/>
        <v>0.37391654908284622</v>
      </c>
    </row>
    <row r="158" spans="1:16" ht="18.75" customHeight="1">
      <c r="A158" s="348">
        <f t="shared" si="9"/>
        <v>122</v>
      </c>
      <c r="B158" s="357" t="s">
        <v>3400</v>
      </c>
      <c r="C158" s="354" t="s">
        <v>3401</v>
      </c>
      <c r="D158" s="145">
        <v>44562</v>
      </c>
      <c r="E158" s="146">
        <v>46356</v>
      </c>
      <c r="F158" s="149">
        <v>0.10033444816053512</v>
      </c>
      <c r="G158" s="354">
        <v>83160</v>
      </c>
      <c r="H158" s="354">
        <v>205880.46000000002</v>
      </c>
      <c r="I158" s="358">
        <v>41176.090000000004</v>
      </c>
      <c r="J158" s="352">
        <f t="shared" si="10"/>
        <v>0.19999999028562496</v>
      </c>
      <c r="M158" s="74">
        <f t="shared" si="6"/>
        <v>1794</v>
      </c>
      <c r="N158" s="146">
        <v>44742</v>
      </c>
      <c r="O158" s="74">
        <f t="shared" si="7"/>
        <v>1614</v>
      </c>
      <c r="P158" s="353">
        <f t="shared" si="8"/>
        <v>0.10033444816053512</v>
      </c>
    </row>
    <row r="159" spans="1:16" ht="18.75" customHeight="1">
      <c r="A159" s="348">
        <f t="shared" si="9"/>
        <v>123</v>
      </c>
      <c r="B159" s="357" t="s">
        <v>3402</v>
      </c>
      <c r="C159" s="354" t="s">
        <v>3403</v>
      </c>
      <c r="D159" s="145">
        <v>44562</v>
      </c>
      <c r="E159" s="146">
        <v>46387</v>
      </c>
      <c r="F159" s="149">
        <v>9.8630136986301367E-2</v>
      </c>
      <c r="G159" s="354">
        <v>138600</v>
      </c>
      <c r="H159" s="354">
        <v>549014.72</v>
      </c>
      <c r="I159" s="358">
        <v>68626.84</v>
      </c>
      <c r="J159" s="352">
        <f t="shared" si="10"/>
        <v>0.125</v>
      </c>
      <c r="M159" s="74">
        <f t="shared" si="6"/>
        <v>1825</v>
      </c>
      <c r="N159" s="146">
        <v>44742</v>
      </c>
      <c r="O159" s="74">
        <f t="shared" si="7"/>
        <v>1645</v>
      </c>
      <c r="P159" s="353">
        <f t="shared" si="8"/>
        <v>9.8630136986301367E-2</v>
      </c>
    </row>
    <row r="160" spans="1:16" ht="18.75" customHeight="1">
      <c r="A160" s="348">
        <f t="shared" si="9"/>
        <v>124</v>
      </c>
      <c r="B160" s="357" t="s">
        <v>3404</v>
      </c>
      <c r="C160" s="354" t="s">
        <v>3405</v>
      </c>
      <c r="D160" s="145">
        <v>44562</v>
      </c>
      <c r="E160" s="146">
        <v>44926</v>
      </c>
      <c r="F160" s="149">
        <v>0.49450549450549453</v>
      </c>
      <c r="G160" s="354">
        <v>15960.09</v>
      </c>
      <c r="H160" s="354">
        <v>15992.04</v>
      </c>
      <c r="I160" s="358">
        <v>15992.04</v>
      </c>
      <c r="J160" s="352">
        <f t="shared" si="10"/>
        <v>1</v>
      </c>
      <c r="M160" s="74">
        <f t="shared" si="6"/>
        <v>364</v>
      </c>
      <c r="N160" s="146">
        <v>44742</v>
      </c>
      <c r="O160" s="74">
        <f t="shared" si="7"/>
        <v>184</v>
      </c>
      <c r="P160" s="353">
        <f t="shared" si="8"/>
        <v>0.49450549450549453</v>
      </c>
    </row>
    <row r="161" spans="1:16" ht="18.75" customHeight="1">
      <c r="A161" s="348">
        <f t="shared" si="9"/>
        <v>125</v>
      </c>
      <c r="B161" s="357" t="s">
        <v>2610</v>
      </c>
      <c r="C161" s="354" t="s">
        <v>2611</v>
      </c>
      <c r="D161" s="145">
        <v>43831</v>
      </c>
      <c r="E161" s="146">
        <v>47118</v>
      </c>
      <c r="F161" s="149">
        <v>0.27715241861880135</v>
      </c>
      <c r="G161" s="354">
        <v>176162.32</v>
      </c>
      <c r="H161" s="354">
        <v>82914.400000000009</v>
      </c>
      <c r="I161" s="358">
        <v>82914.400000000009</v>
      </c>
      <c r="J161" s="352">
        <f t="shared" si="10"/>
        <v>1</v>
      </c>
      <c r="M161" s="74">
        <f t="shared" si="6"/>
        <v>3287</v>
      </c>
      <c r="N161" s="146">
        <v>44742</v>
      </c>
      <c r="O161" s="74">
        <f t="shared" si="7"/>
        <v>2376</v>
      </c>
      <c r="P161" s="353">
        <f t="shared" si="8"/>
        <v>0.27715241861880135</v>
      </c>
    </row>
    <row r="162" spans="1:16" ht="18.75" customHeight="1">
      <c r="A162" s="348">
        <f t="shared" si="9"/>
        <v>126</v>
      </c>
      <c r="B162" s="357" t="s">
        <v>3406</v>
      </c>
      <c r="C162" s="354" t="s">
        <v>3407</v>
      </c>
      <c r="D162" s="145">
        <v>44197</v>
      </c>
      <c r="E162" s="146">
        <v>44926</v>
      </c>
      <c r="F162" s="149">
        <v>0.74759945130315497</v>
      </c>
      <c r="G162" s="354">
        <v>378262.92000000004</v>
      </c>
      <c r="H162" s="354">
        <v>376224.75</v>
      </c>
      <c r="I162" s="358">
        <v>376224.75</v>
      </c>
      <c r="J162" s="352">
        <f t="shared" si="10"/>
        <v>1</v>
      </c>
      <c r="M162" s="74">
        <f t="shared" si="6"/>
        <v>729</v>
      </c>
      <c r="N162" s="146">
        <v>44742</v>
      </c>
      <c r="O162" s="74">
        <f t="shared" si="7"/>
        <v>184</v>
      </c>
      <c r="P162" s="353">
        <f t="shared" si="8"/>
        <v>0.74759945130315497</v>
      </c>
    </row>
    <row r="163" spans="1:16" ht="18.75" customHeight="1">
      <c r="A163" s="348">
        <f t="shared" si="9"/>
        <v>127</v>
      </c>
      <c r="B163" s="357" t="s">
        <v>3408</v>
      </c>
      <c r="C163" s="354" t="s">
        <v>3409</v>
      </c>
      <c r="D163" s="145">
        <v>44562</v>
      </c>
      <c r="E163" s="146">
        <v>44926</v>
      </c>
      <c r="F163" s="149">
        <v>0.49450549450549453</v>
      </c>
      <c r="G163" s="354">
        <v>206325.23</v>
      </c>
      <c r="H163" s="354">
        <v>205213.5</v>
      </c>
      <c r="I163" s="358">
        <v>205213.5</v>
      </c>
      <c r="J163" s="352">
        <f t="shared" si="10"/>
        <v>1</v>
      </c>
      <c r="M163" s="74">
        <f t="shared" si="6"/>
        <v>364</v>
      </c>
      <c r="N163" s="146">
        <v>44742</v>
      </c>
      <c r="O163" s="74">
        <f t="shared" si="7"/>
        <v>184</v>
      </c>
      <c r="P163" s="353">
        <f t="shared" si="8"/>
        <v>0.49450549450549453</v>
      </c>
    </row>
    <row r="164" spans="1:16" ht="18.75" customHeight="1">
      <c r="A164" s="348">
        <f t="shared" si="9"/>
        <v>128</v>
      </c>
      <c r="B164" s="357" t="s">
        <v>3001</v>
      </c>
      <c r="C164" s="354" t="s">
        <v>3002</v>
      </c>
      <c r="D164" s="145">
        <v>43678</v>
      </c>
      <c r="E164" s="146">
        <v>44135</v>
      </c>
      <c r="F164" s="149">
        <v>2.3282275711159737</v>
      </c>
      <c r="G164" s="354">
        <v>115342.25</v>
      </c>
      <c r="H164" s="354">
        <v>115342.25</v>
      </c>
      <c r="I164" s="358">
        <v>49.331223222479998</v>
      </c>
      <c r="J164" s="352">
        <f t="shared" si="10"/>
        <v>4.2769430301975209E-4</v>
      </c>
      <c r="M164" s="74">
        <f t="shared" si="6"/>
        <v>457</v>
      </c>
      <c r="N164" s="146">
        <v>44742</v>
      </c>
      <c r="O164" s="74">
        <f t="shared" si="7"/>
        <v>-607</v>
      </c>
      <c r="P164" s="353">
        <f t="shared" si="8"/>
        <v>2.3282275711159737</v>
      </c>
    </row>
    <row r="165" spans="1:16" ht="18.75" customHeight="1">
      <c r="A165" s="771">
        <f t="shared" si="9"/>
        <v>129</v>
      </c>
      <c r="B165" s="780" t="s">
        <v>3410</v>
      </c>
      <c r="C165" s="781" t="s">
        <v>3411</v>
      </c>
      <c r="D165" s="782">
        <v>44197</v>
      </c>
      <c r="E165" s="783">
        <v>46387</v>
      </c>
      <c r="F165" s="784">
        <v>0.24885844748858446</v>
      </c>
      <c r="G165" s="781">
        <v>12567479.85</v>
      </c>
      <c r="H165" s="781">
        <v>12567479.85</v>
      </c>
      <c r="I165" s="785">
        <v>5367131.1864425261</v>
      </c>
      <c r="J165" s="786">
        <f t="shared" si="10"/>
        <v>0.42706503217051317</v>
      </c>
      <c r="M165" s="74">
        <f t="shared" ref="M165:M252" si="11">E165-D165</f>
        <v>2190</v>
      </c>
      <c r="N165" s="146">
        <v>44742</v>
      </c>
      <c r="O165" s="74">
        <f t="shared" ref="O165:O252" si="12">E165-N165</f>
        <v>1645</v>
      </c>
      <c r="P165" s="353">
        <f t="shared" ref="P165:P252" si="13">(M165-O165)/M165</f>
        <v>0.24885844748858446</v>
      </c>
    </row>
    <row r="166" spans="1:16" ht="18.75" customHeight="1">
      <c r="A166" s="771">
        <f t="shared" ref="A166:A253" si="14">A165+1</f>
        <v>130</v>
      </c>
      <c r="B166" s="780" t="s">
        <v>3412</v>
      </c>
      <c r="C166" s="781" t="s">
        <v>3413</v>
      </c>
      <c r="D166" s="782">
        <v>44197</v>
      </c>
      <c r="E166" s="783">
        <v>46387</v>
      </c>
      <c r="F166" s="784">
        <v>0.24885844748858446</v>
      </c>
      <c r="G166" s="781">
        <v>98197044.210000008</v>
      </c>
      <c r="H166" s="781">
        <v>98197044.210000008</v>
      </c>
      <c r="I166" s="785">
        <v>4317317.9145390186</v>
      </c>
      <c r="J166" s="786">
        <f t="shared" si="10"/>
        <v>4.3965864240334843E-2</v>
      </c>
      <c r="M166" s="74">
        <f t="shared" si="11"/>
        <v>2190</v>
      </c>
      <c r="N166" s="146">
        <v>44742</v>
      </c>
      <c r="O166" s="74">
        <f t="shared" si="12"/>
        <v>1645</v>
      </c>
      <c r="P166" s="353">
        <f t="shared" si="13"/>
        <v>0.24885844748858446</v>
      </c>
    </row>
    <row r="167" spans="1:16" ht="18.75" customHeight="1">
      <c r="A167" s="771">
        <f t="shared" si="14"/>
        <v>131</v>
      </c>
      <c r="B167" s="780" t="s">
        <v>3414</v>
      </c>
      <c r="C167" s="781" t="s">
        <v>3415</v>
      </c>
      <c r="D167" s="782">
        <v>44197</v>
      </c>
      <c r="E167" s="783">
        <v>46112</v>
      </c>
      <c r="F167" s="784">
        <v>0.28459530026109658</v>
      </c>
      <c r="G167" s="781">
        <v>7331474.0800000001</v>
      </c>
      <c r="H167" s="781">
        <v>7331474.0800000001</v>
      </c>
      <c r="I167" s="785">
        <v>6989255.5182934497</v>
      </c>
      <c r="J167" s="786">
        <f t="shared" si="10"/>
        <v>0.95332199800854367</v>
      </c>
      <c r="M167" s="74">
        <f t="shared" si="11"/>
        <v>1915</v>
      </c>
      <c r="N167" s="146">
        <v>44742</v>
      </c>
      <c r="O167" s="74">
        <f t="shared" si="12"/>
        <v>1370</v>
      </c>
      <c r="P167" s="353">
        <f t="shared" si="13"/>
        <v>0.28459530026109658</v>
      </c>
    </row>
    <row r="168" spans="1:16" ht="18.75" customHeight="1">
      <c r="A168" s="771">
        <f t="shared" si="14"/>
        <v>132</v>
      </c>
      <c r="B168" s="780" t="s">
        <v>3416</v>
      </c>
      <c r="C168" s="781" t="s">
        <v>3417</v>
      </c>
      <c r="D168" s="782">
        <v>44197</v>
      </c>
      <c r="E168" s="783">
        <v>46112</v>
      </c>
      <c r="F168" s="784">
        <v>0.28459530026109658</v>
      </c>
      <c r="G168" s="781">
        <v>7924265.0700000003</v>
      </c>
      <c r="H168" s="781">
        <v>7924265.0700000003</v>
      </c>
      <c r="I168" s="785">
        <v>2214099.5451991553</v>
      </c>
      <c r="J168" s="786">
        <f t="shared" si="10"/>
        <v>0.2794075571224115</v>
      </c>
      <c r="M168" s="74">
        <f t="shared" si="11"/>
        <v>1915</v>
      </c>
      <c r="N168" s="146">
        <v>44742</v>
      </c>
      <c r="O168" s="74">
        <f t="shared" si="12"/>
        <v>1370</v>
      </c>
      <c r="P168" s="353">
        <f t="shared" si="13"/>
        <v>0.28459530026109658</v>
      </c>
    </row>
    <row r="169" spans="1:16" s="359" customFormat="1" ht="20.100000000000001" customHeight="1">
      <c r="A169" s="809" t="str">
        <f>$A$1</f>
        <v>KENTUCKY UTILITIES COMPANY</v>
      </c>
      <c r="B169" s="809"/>
      <c r="C169" s="809"/>
      <c r="D169" s="809"/>
      <c r="E169" s="809"/>
      <c r="F169" s="809"/>
      <c r="G169" s="809"/>
      <c r="H169" s="809"/>
      <c r="I169" s="809"/>
      <c r="J169" s="809"/>
    </row>
    <row r="170" spans="1:16" s="359" customFormat="1" ht="20.100000000000001" customHeight="1">
      <c r="A170" s="809" t="str">
        <f>$A$2</f>
        <v>CASE NO. 2020-00349</v>
      </c>
      <c r="B170" s="809"/>
      <c r="C170" s="809"/>
      <c r="D170" s="809"/>
      <c r="E170" s="809"/>
      <c r="F170" s="809"/>
      <c r="G170" s="809"/>
      <c r="H170" s="809"/>
      <c r="I170" s="809"/>
      <c r="J170" s="809"/>
    </row>
    <row r="171" spans="1:16" s="359" customFormat="1" ht="20.100000000000001" customHeight="1">
      <c r="A171" s="809" t="s">
        <v>1216</v>
      </c>
      <c r="B171" s="809"/>
      <c r="C171" s="809"/>
      <c r="D171" s="809"/>
      <c r="E171" s="809"/>
      <c r="F171" s="809"/>
      <c r="G171" s="809"/>
      <c r="H171" s="809"/>
      <c r="I171" s="809"/>
      <c r="J171" s="809"/>
    </row>
    <row r="172" spans="1:16" s="359" customFormat="1" ht="20.100000000000001" customHeight="1">
      <c r="A172" s="809" t="str">
        <f>$A$4</f>
        <v>AS OF JUNE 30, 2022</v>
      </c>
      <c r="B172" s="809"/>
      <c r="C172" s="809"/>
      <c r="D172" s="809"/>
      <c r="E172" s="809"/>
      <c r="F172" s="809"/>
      <c r="G172" s="809"/>
      <c r="H172" s="809"/>
      <c r="I172" s="809"/>
      <c r="J172" s="809"/>
    </row>
    <row r="173" spans="1:16" s="359" customFormat="1" ht="20.100000000000001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</row>
    <row r="174" spans="1:16" s="359" customFormat="1" ht="20.100000000000001" customHeight="1">
      <c r="A174" s="67" t="str">
        <f>$A$6</f>
        <v>DATA:____BASE  PERIOD__X__FORECASTED  PERIOD</v>
      </c>
      <c r="B174" s="347"/>
      <c r="C174" s="68"/>
      <c r="D174" s="144"/>
      <c r="E174" s="144"/>
      <c r="F174" s="68"/>
      <c r="G174" s="74"/>
      <c r="H174" s="74"/>
      <c r="I174" s="74"/>
      <c r="J174" s="74" t="s">
        <v>1709</v>
      </c>
    </row>
    <row r="175" spans="1:16" s="359" customFormat="1" ht="20.100000000000001" customHeight="1">
      <c r="A175" s="67" t="str">
        <f>$A$7</f>
        <v>TYPE OF FILING: __X__ ORIGINAL  _____ UPDATED  _____ REVISED</v>
      </c>
      <c r="B175" s="348"/>
      <c r="C175" s="68"/>
      <c r="D175" s="144"/>
      <c r="E175" s="144"/>
      <c r="F175" s="68"/>
      <c r="G175" s="74"/>
      <c r="H175" s="74"/>
      <c r="I175" s="74"/>
      <c r="J175" s="74" t="s">
        <v>3747</v>
      </c>
    </row>
    <row r="176" spans="1:16" s="359" customFormat="1" ht="20.100000000000001" customHeight="1">
      <c r="A176" s="67" t="str">
        <f>$A$8</f>
        <v>WORKPAPER REFERENCE NO(S).:</v>
      </c>
      <c r="B176" s="347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348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5.099999999999994" customHeight="1">
      <c r="A178" s="76" t="s">
        <v>131</v>
      </c>
      <c r="B178" s="76" t="s">
        <v>1219</v>
      </c>
      <c r="C178" s="76" t="s">
        <v>1220</v>
      </c>
      <c r="D178" s="142" t="s">
        <v>1222</v>
      </c>
      <c r="E178" s="142" t="s">
        <v>1223</v>
      </c>
      <c r="F178" s="76" t="s">
        <v>1224</v>
      </c>
      <c r="G178" s="76" t="s">
        <v>1225</v>
      </c>
      <c r="H178" s="76" t="s">
        <v>1226</v>
      </c>
      <c r="I178" s="76" t="s">
        <v>1227</v>
      </c>
      <c r="J178" s="76" t="s">
        <v>1228</v>
      </c>
      <c r="M178" s="360" t="s">
        <v>1236</v>
      </c>
      <c r="N178" s="360" t="s">
        <v>1237</v>
      </c>
      <c r="O178" s="360" t="s">
        <v>1238</v>
      </c>
      <c r="P178" s="360" t="s">
        <v>1224</v>
      </c>
    </row>
    <row r="179" spans="1:16" s="359" customFormat="1" ht="23.1" customHeight="1">
      <c r="A179" s="80" t="s">
        <v>1217</v>
      </c>
      <c r="B179" s="80" t="s">
        <v>1218</v>
      </c>
      <c r="C179" s="80" t="s">
        <v>1221</v>
      </c>
      <c r="D179" s="355" t="s">
        <v>1229</v>
      </c>
      <c r="E179" s="355" t="s">
        <v>1230</v>
      </c>
      <c r="F179" s="356" t="s">
        <v>1231</v>
      </c>
      <c r="G179" s="356" t="s">
        <v>1232</v>
      </c>
      <c r="H179" s="356" t="s">
        <v>1233</v>
      </c>
      <c r="I179" s="356" t="s">
        <v>1234</v>
      </c>
      <c r="J179" s="356" t="s">
        <v>1235</v>
      </c>
    </row>
    <row r="180" spans="1:16" s="359" customFormat="1" ht="18.9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795">
        <f>A168+1</f>
        <v>133</v>
      </c>
      <c r="B181" s="780" t="s">
        <v>3418</v>
      </c>
      <c r="C181" s="781" t="s">
        <v>3419</v>
      </c>
      <c r="D181" s="782">
        <v>44197</v>
      </c>
      <c r="E181" s="783">
        <v>46387</v>
      </c>
      <c r="F181" s="784">
        <v>0.24885844748858446</v>
      </c>
      <c r="G181" s="781">
        <v>11075064.869999999</v>
      </c>
      <c r="H181" s="781">
        <v>11075064.869999999</v>
      </c>
      <c r="I181" s="785">
        <v>1318032.0337826177</v>
      </c>
      <c r="J181" s="786">
        <f>I181/H181</f>
        <v>0.119008967374348</v>
      </c>
      <c r="M181" s="74">
        <f>E181-D181</f>
        <v>2190</v>
      </c>
      <c r="N181" s="146">
        <v>44742</v>
      </c>
      <c r="O181" s="74">
        <f>E181-N181</f>
        <v>1645</v>
      </c>
      <c r="P181" s="353">
        <f t="shared" si="13"/>
        <v>0.24885844748858446</v>
      </c>
    </row>
    <row r="182" spans="1:16" ht="18.75" customHeight="1">
      <c r="A182" s="348">
        <f>A181+1</f>
        <v>134</v>
      </c>
      <c r="B182" s="357" t="s">
        <v>3420</v>
      </c>
      <c r="C182" s="354" t="s">
        <v>3421</v>
      </c>
      <c r="D182" s="145">
        <v>44501</v>
      </c>
      <c r="E182" s="146">
        <v>44926</v>
      </c>
      <c r="F182" s="149">
        <v>0.56705882352941173</v>
      </c>
      <c r="G182" s="354">
        <v>5159288.18</v>
      </c>
      <c r="H182" s="354">
        <v>5159288.18</v>
      </c>
      <c r="I182" s="358">
        <v>4126742.1799999997</v>
      </c>
      <c r="J182" s="352">
        <f t="shared" ref="J182:J252" si="15">I182/H182</f>
        <v>0.79986657771847902</v>
      </c>
      <c r="M182" s="74">
        <f t="shared" si="11"/>
        <v>425</v>
      </c>
      <c r="N182" s="146">
        <v>44742</v>
      </c>
      <c r="O182" s="74">
        <f t="shared" si="12"/>
        <v>184</v>
      </c>
      <c r="P182" s="353">
        <f t="shared" si="13"/>
        <v>0.56705882352941173</v>
      </c>
    </row>
    <row r="183" spans="1:16" ht="18.75" customHeight="1">
      <c r="A183" s="348">
        <f t="shared" si="14"/>
        <v>135</v>
      </c>
      <c r="B183" s="357" t="s">
        <v>3007</v>
      </c>
      <c r="C183" s="354" t="s">
        <v>3008</v>
      </c>
      <c r="D183" s="145">
        <v>44055</v>
      </c>
      <c r="E183" s="146">
        <v>44773</v>
      </c>
      <c r="F183" s="149">
        <v>0.95682451253481893</v>
      </c>
      <c r="G183" s="354">
        <v>19291229</v>
      </c>
      <c r="H183" s="354">
        <v>19291229</v>
      </c>
      <c r="I183" s="358">
        <v>18101657.630000003</v>
      </c>
      <c r="J183" s="352">
        <f t="shared" si="15"/>
        <v>0.93833615421806471</v>
      </c>
      <c r="M183" s="74">
        <f t="shared" si="11"/>
        <v>718</v>
      </c>
      <c r="N183" s="146">
        <v>44742</v>
      </c>
      <c r="O183" s="74">
        <f t="shared" si="12"/>
        <v>31</v>
      </c>
      <c r="P183" s="353">
        <f t="shared" si="13"/>
        <v>0.95682451253481893</v>
      </c>
    </row>
    <row r="184" spans="1:16" ht="18.75" customHeight="1">
      <c r="A184" s="348">
        <f t="shared" si="14"/>
        <v>136</v>
      </c>
      <c r="B184" s="357" t="s">
        <v>3422</v>
      </c>
      <c r="C184" s="354" t="s">
        <v>3423</v>
      </c>
      <c r="D184" s="145">
        <v>44075</v>
      </c>
      <c r="E184" s="146">
        <v>47848</v>
      </c>
      <c r="F184" s="149">
        <v>0.17678240127219719</v>
      </c>
      <c r="G184" s="354">
        <v>127492.45</v>
      </c>
      <c r="H184" s="354">
        <v>127492.45</v>
      </c>
      <c r="I184" s="358">
        <v>7.2759576141834259E-12</v>
      </c>
      <c r="J184" s="352">
        <f t="shared" si="15"/>
        <v>5.706971365114896E-17</v>
      </c>
      <c r="M184" s="74">
        <f t="shared" si="11"/>
        <v>3773</v>
      </c>
      <c r="N184" s="146">
        <v>44742</v>
      </c>
      <c r="O184" s="74">
        <f t="shared" si="12"/>
        <v>3106</v>
      </c>
      <c r="P184" s="353">
        <f t="shared" si="13"/>
        <v>0.17678240127219719</v>
      </c>
    </row>
    <row r="185" spans="1:16" ht="18.75" customHeight="1">
      <c r="A185" s="348">
        <f t="shared" si="14"/>
        <v>137</v>
      </c>
      <c r="B185" s="357" t="s">
        <v>3424</v>
      </c>
      <c r="C185" s="354" t="s">
        <v>3425</v>
      </c>
      <c r="D185" s="145">
        <v>44075</v>
      </c>
      <c r="E185" s="146">
        <v>47848</v>
      </c>
      <c r="F185" s="149">
        <v>0.17678240127219719</v>
      </c>
      <c r="G185" s="354">
        <v>92655.98</v>
      </c>
      <c r="H185" s="354">
        <v>92655.98</v>
      </c>
      <c r="I185" s="358">
        <v>-7.2759576141834259E-12</v>
      </c>
      <c r="J185" s="352">
        <f t="shared" si="15"/>
        <v>-7.852658419006983E-17</v>
      </c>
      <c r="M185" s="74">
        <f t="shared" si="11"/>
        <v>3773</v>
      </c>
      <c r="N185" s="146">
        <v>44742</v>
      </c>
      <c r="O185" s="74">
        <f t="shared" si="12"/>
        <v>3106</v>
      </c>
      <c r="P185" s="353">
        <f t="shared" si="13"/>
        <v>0.17678240127219719</v>
      </c>
    </row>
    <row r="186" spans="1:16" ht="18.75" customHeight="1">
      <c r="A186" s="348">
        <f t="shared" si="14"/>
        <v>138</v>
      </c>
      <c r="B186" s="357" t="s">
        <v>3426</v>
      </c>
      <c r="C186" s="354" t="s">
        <v>3427</v>
      </c>
      <c r="D186" s="145">
        <v>44075</v>
      </c>
      <c r="E186" s="146">
        <v>47848</v>
      </c>
      <c r="F186" s="149">
        <v>0.17678240127219719</v>
      </c>
      <c r="G186" s="354">
        <v>24014.58</v>
      </c>
      <c r="H186" s="354">
        <v>24014.58</v>
      </c>
      <c r="I186" s="358">
        <v>-1.8189894035458565E-12</v>
      </c>
      <c r="J186" s="352">
        <f t="shared" si="15"/>
        <v>-7.5745209932709891E-17</v>
      </c>
      <c r="M186" s="74">
        <f t="shared" si="11"/>
        <v>3773</v>
      </c>
      <c r="N186" s="146">
        <v>44742</v>
      </c>
      <c r="O186" s="74">
        <f t="shared" si="12"/>
        <v>3106</v>
      </c>
      <c r="P186" s="353">
        <f t="shared" si="13"/>
        <v>0.17678240127219719</v>
      </c>
    </row>
    <row r="187" spans="1:16" ht="18.75" customHeight="1">
      <c r="A187" s="348">
        <f t="shared" si="14"/>
        <v>139</v>
      </c>
      <c r="B187" s="357" t="s">
        <v>3428</v>
      </c>
      <c r="C187" s="354" t="s">
        <v>3429</v>
      </c>
      <c r="D187" s="145">
        <v>44075</v>
      </c>
      <c r="E187" s="146">
        <v>47848</v>
      </c>
      <c r="F187" s="149">
        <v>0.17678240127219719</v>
      </c>
      <c r="G187" s="354">
        <v>2752571.76</v>
      </c>
      <c r="H187" s="354">
        <v>2752571.76</v>
      </c>
      <c r="I187" s="358">
        <v>1.1641532182693481E-10</v>
      </c>
      <c r="J187" s="352">
        <f t="shared" si="15"/>
        <v>4.2293292228986187E-17</v>
      </c>
      <c r="M187" s="74">
        <f t="shared" si="11"/>
        <v>3773</v>
      </c>
      <c r="N187" s="146">
        <v>44742</v>
      </c>
      <c r="O187" s="74">
        <f t="shared" si="12"/>
        <v>3106</v>
      </c>
      <c r="P187" s="353">
        <f t="shared" si="13"/>
        <v>0.17678240127219719</v>
      </c>
    </row>
    <row r="188" spans="1:16" ht="18.75" customHeight="1">
      <c r="A188" s="348">
        <f t="shared" si="14"/>
        <v>140</v>
      </c>
      <c r="B188" s="357" t="s">
        <v>3430</v>
      </c>
      <c r="C188" s="354" t="s">
        <v>3431</v>
      </c>
      <c r="D188" s="145">
        <v>44075</v>
      </c>
      <c r="E188" s="146">
        <v>47848</v>
      </c>
      <c r="F188" s="149">
        <v>0.17678240127219719</v>
      </c>
      <c r="G188" s="354">
        <v>349386.58</v>
      </c>
      <c r="H188" s="354">
        <v>349386.58</v>
      </c>
      <c r="I188" s="358">
        <v>-1.4551915228366852E-11</v>
      </c>
      <c r="J188" s="352">
        <f t="shared" si="15"/>
        <v>-4.1649897452749478E-17</v>
      </c>
      <c r="M188" s="74">
        <f t="shared" si="11"/>
        <v>3773</v>
      </c>
      <c r="N188" s="146">
        <v>44742</v>
      </c>
      <c r="O188" s="74">
        <f t="shared" si="12"/>
        <v>3106</v>
      </c>
      <c r="P188" s="353">
        <f t="shared" si="13"/>
        <v>0.17678240127219719</v>
      </c>
    </row>
    <row r="189" spans="1:16" ht="18.75" customHeight="1">
      <c r="A189" s="348">
        <f t="shared" si="14"/>
        <v>141</v>
      </c>
      <c r="B189" s="357" t="s">
        <v>3432</v>
      </c>
      <c r="C189" s="354" t="s">
        <v>3433</v>
      </c>
      <c r="D189" s="145">
        <v>44075</v>
      </c>
      <c r="E189" s="146">
        <v>47848</v>
      </c>
      <c r="F189" s="149">
        <v>0.17678240127219719</v>
      </c>
      <c r="G189" s="354">
        <v>504655.04000000004</v>
      </c>
      <c r="H189" s="354">
        <v>504655.04000000004</v>
      </c>
      <c r="I189" s="358">
        <v>-2.9103830456733704E-11</v>
      </c>
      <c r="J189" s="352">
        <f t="shared" si="15"/>
        <v>-5.7670741694631056E-17</v>
      </c>
      <c r="M189" s="74">
        <f t="shared" si="11"/>
        <v>3773</v>
      </c>
      <c r="N189" s="146">
        <v>44742</v>
      </c>
      <c r="O189" s="74">
        <f t="shared" si="12"/>
        <v>3106</v>
      </c>
      <c r="P189" s="353">
        <f t="shared" si="13"/>
        <v>0.17678240127219719</v>
      </c>
    </row>
    <row r="190" spans="1:16" ht="18.75" customHeight="1">
      <c r="A190" s="348">
        <f t="shared" si="14"/>
        <v>142</v>
      </c>
      <c r="B190" s="357" t="s">
        <v>2329</v>
      </c>
      <c r="C190" s="354" t="s">
        <v>2330</v>
      </c>
      <c r="D190" s="145">
        <v>43831</v>
      </c>
      <c r="E190" s="146">
        <v>47483</v>
      </c>
      <c r="F190" s="149">
        <v>0.24945235487404163</v>
      </c>
      <c r="G190" s="354">
        <v>5000000</v>
      </c>
      <c r="H190" s="354">
        <v>2687645.71</v>
      </c>
      <c r="I190" s="358">
        <v>687645.71</v>
      </c>
      <c r="J190" s="352">
        <f t="shared" si="15"/>
        <v>0.2558542993376906</v>
      </c>
      <c r="M190" s="74">
        <f t="shared" si="11"/>
        <v>3652</v>
      </c>
      <c r="N190" s="146">
        <v>44742</v>
      </c>
      <c r="O190" s="74">
        <f t="shared" si="12"/>
        <v>2741</v>
      </c>
      <c r="P190" s="353">
        <f t="shared" si="13"/>
        <v>0.24945235487404163</v>
      </c>
    </row>
    <row r="191" spans="1:16" ht="18.75" customHeight="1">
      <c r="A191" s="348">
        <f t="shared" si="14"/>
        <v>143</v>
      </c>
      <c r="B191" s="357" t="s">
        <v>3011</v>
      </c>
      <c r="C191" s="354" t="s">
        <v>3012</v>
      </c>
      <c r="D191" s="145">
        <v>43497</v>
      </c>
      <c r="E191" s="146">
        <v>46022</v>
      </c>
      <c r="F191" s="149">
        <v>0.49306930693069306</v>
      </c>
      <c r="G191" s="354">
        <v>-4895652</v>
      </c>
      <c r="H191" s="354">
        <v>2</v>
      </c>
      <c r="I191" s="358">
        <v>2</v>
      </c>
      <c r="J191" s="352">
        <f t="shared" si="15"/>
        <v>1</v>
      </c>
      <c r="M191" s="74">
        <f t="shared" si="11"/>
        <v>2525</v>
      </c>
      <c r="N191" s="146">
        <v>44742</v>
      </c>
      <c r="O191" s="74">
        <f t="shared" si="12"/>
        <v>1280</v>
      </c>
      <c r="P191" s="353">
        <f t="shared" si="13"/>
        <v>0.49306930693069306</v>
      </c>
    </row>
    <row r="192" spans="1:16" ht="18.75" customHeight="1">
      <c r="A192" s="348">
        <f t="shared" si="14"/>
        <v>144</v>
      </c>
      <c r="B192" s="357" t="s">
        <v>3013</v>
      </c>
      <c r="C192" s="354" t="s">
        <v>3014</v>
      </c>
      <c r="D192" s="145">
        <v>43497</v>
      </c>
      <c r="E192" s="146">
        <v>46022</v>
      </c>
      <c r="F192" s="149">
        <v>0.49306930693069306</v>
      </c>
      <c r="G192" s="354">
        <v>360000</v>
      </c>
      <c r="H192" s="354">
        <v>1</v>
      </c>
      <c r="I192" s="358">
        <v>1</v>
      </c>
      <c r="J192" s="352">
        <f t="shared" si="15"/>
        <v>1</v>
      </c>
      <c r="M192" s="74">
        <f t="shared" si="11"/>
        <v>2525</v>
      </c>
      <c r="N192" s="146">
        <v>44742</v>
      </c>
      <c r="O192" s="74">
        <f t="shared" si="12"/>
        <v>1280</v>
      </c>
      <c r="P192" s="353">
        <f t="shared" si="13"/>
        <v>0.49306930693069306</v>
      </c>
    </row>
    <row r="193" spans="1:16" ht="18.75" customHeight="1">
      <c r="A193" s="348">
        <f t="shared" si="14"/>
        <v>145</v>
      </c>
      <c r="B193" s="357" t="s">
        <v>3017</v>
      </c>
      <c r="C193" s="354" t="s">
        <v>3018</v>
      </c>
      <c r="D193" s="145">
        <v>44228</v>
      </c>
      <c r="E193" s="146">
        <v>44742</v>
      </c>
      <c r="F193" s="149">
        <v>1</v>
      </c>
      <c r="G193" s="354">
        <v>472958.75</v>
      </c>
      <c r="H193" s="354">
        <v>472958.75</v>
      </c>
      <c r="I193" s="358">
        <v>5.8207660913467407E-11</v>
      </c>
      <c r="J193" s="352">
        <f t="shared" si="15"/>
        <v>1.2307132686194601E-16</v>
      </c>
      <c r="M193" s="74">
        <f t="shared" si="11"/>
        <v>514</v>
      </c>
      <c r="N193" s="146">
        <v>44742</v>
      </c>
      <c r="O193" s="74">
        <f t="shared" si="12"/>
        <v>0</v>
      </c>
      <c r="P193" s="353">
        <f t="shared" si="13"/>
        <v>1</v>
      </c>
    </row>
    <row r="194" spans="1:16" ht="18.75" customHeight="1">
      <c r="A194" s="348">
        <f t="shared" si="14"/>
        <v>146</v>
      </c>
      <c r="B194" s="357" t="s">
        <v>3019</v>
      </c>
      <c r="C194" s="354" t="s">
        <v>3020</v>
      </c>
      <c r="D194" s="145">
        <v>44228</v>
      </c>
      <c r="E194" s="146">
        <v>44742</v>
      </c>
      <c r="F194" s="149">
        <v>1</v>
      </c>
      <c r="G194" s="354">
        <v>28231.45</v>
      </c>
      <c r="H194" s="354">
        <v>28231.45</v>
      </c>
      <c r="I194" s="358">
        <v>-3.637978807091713E-12</v>
      </c>
      <c r="J194" s="352">
        <f t="shared" si="15"/>
        <v>-1.2886262686088433E-16</v>
      </c>
      <c r="M194" s="74">
        <f t="shared" si="11"/>
        <v>514</v>
      </c>
      <c r="N194" s="146">
        <v>44742</v>
      </c>
      <c r="O194" s="74">
        <f t="shared" si="12"/>
        <v>0</v>
      </c>
      <c r="P194" s="353">
        <f t="shared" si="13"/>
        <v>1</v>
      </c>
    </row>
    <row r="195" spans="1:16" ht="18.75" customHeight="1">
      <c r="A195" s="348">
        <f t="shared" si="14"/>
        <v>147</v>
      </c>
      <c r="B195" s="357" t="s">
        <v>3023</v>
      </c>
      <c r="C195" s="354" t="s">
        <v>3024</v>
      </c>
      <c r="D195" s="145">
        <v>44228</v>
      </c>
      <c r="E195" s="146">
        <v>44742</v>
      </c>
      <c r="F195" s="149">
        <v>1</v>
      </c>
      <c r="G195" s="354">
        <v>199565.14</v>
      </c>
      <c r="H195" s="354">
        <v>199565.14</v>
      </c>
      <c r="I195" s="358">
        <v>2.9103830456733704E-11</v>
      </c>
      <c r="J195" s="352">
        <f t="shared" si="15"/>
        <v>1.4583624402906091E-16</v>
      </c>
      <c r="M195" s="74">
        <f t="shared" si="11"/>
        <v>514</v>
      </c>
      <c r="N195" s="146">
        <v>44742</v>
      </c>
      <c r="O195" s="74">
        <f t="shared" si="12"/>
        <v>0</v>
      </c>
      <c r="P195" s="353">
        <f t="shared" si="13"/>
        <v>1</v>
      </c>
    </row>
    <row r="196" spans="1:16" ht="18.75" customHeight="1">
      <c r="A196" s="348">
        <f t="shared" si="14"/>
        <v>148</v>
      </c>
      <c r="B196" s="357" t="s">
        <v>3025</v>
      </c>
      <c r="C196" s="354" t="s">
        <v>3026</v>
      </c>
      <c r="D196" s="145">
        <v>44228</v>
      </c>
      <c r="E196" s="146">
        <v>44742</v>
      </c>
      <c r="F196" s="149">
        <v>1</v>
      </c>
      <c r="G196" s="354">
        <v>371104.69</v>
      </c>
      <c r="H196" s="354">
        <v>371104.69</v>
      </c>
      <c r="I196" s="358">
        <v>1.1641532182693481E-10</v>
      </c>
      <c r="J196" s="352">
        <f t="shared" si="15"/>
        <v>3.1369940872192913E-16</v>
      </c>
      <c r="M196" s="74">
        <f t="shared" si="11"/>
        <v>514</v>
      </c>
      <c r="N196" s="146">
        <v>44742</v>
      </c>
      <c r="O196" s="74">
        <f t="shared" si="12"/>
        <v>0</v>
      </c>
      <c r="P196" s="353">
        <f t="shared" si="13"/>
        <v>1</v>
      </c>
    </row>
    <row r="197" spans="1:16" ht="18.75" customHeight="1">
      <c r="A197" s="348">
        <f t="shared" si="14"/>
        <v>149</v>
      </c>
      <c r="B197" s="357" t="s">
        <v>3035</v>
      </c>
      <c r="C197" s="354" t="s">
        <v>3036</v>
      </c>
      <c r="D197" s="145">
        <v>44197</v>
      </c>
      <c r="E197" s="146">
        <v>44926</v>
      </c>
      <c r="F197" s="149">
        <v>0.74759945130315497</v>
      </c>
      <c r="G197" s="354">
        <v>2566500</v>
      </c>
      <c r="H197" s="354">
        <v>2566500</v>
      </c>
      <c r="I197" s="358">
        <v>1578250.02</v>
      </c>
      <c r="J197" s="352">
        <f t="shared" si="15"/>
        <v>0.61494253652834596</v>
      </c>
      <c r="M197" s="74">
        <f t="shared" si="11"/>
        <v>729</v>
      </c>
      <c r="N197" s="146">
        <v>44742</v>
      </c>
      <c r="O197" s="74">
        <f t="shared" si="12"/>
        <v>184</v>
      </c>
      <c r="P197" s="353">
        <f t="shared" si="13"/>
        <v>0.74759945130315497</v>
      </c>
    </row>
    <row r="198" spans="1:16" ht="18.75" customHeight="1">
      <c r="A198" s="348">
        <f t="shared" si="14"/>
        <v>150</v>
      </c>
      <c r="B198" s="357" t="s">
        <v>3434</v>
      </c>
      <c r="C198" s="354" t="s">
        <v>3435</v>
      </c>
      <c r="D198" s="145">
        <v>43920</v>
      </c>
      <c r="E198" s="146">
        <v>45688</v>
      </c>
      <c r="F198" s="149">
        <v>0.46493212669683259</v>
      </c>
      <c r="G198" s="354">
        <v>81340.930000000008</v>
      </c>
      <c r="H198" s="354">
        <v>81340.930000000008</v>
      </c>
      <c r="I198" s="358">
        <v>28551.93</v>
      </c>
      <c r="J198" s="352">
        <f t="shared" si="15"/>
        <v>0.35101553424579723</v>
      </c>
      <c r="M198" s="74">
        <f t="shared" si="11"/>
        <v>1768</v>
      </c>
      <c r="N198" s="146">
        <v>44742</v>
      </c>
      <c r="O198" s="74">
        <f t="shared" si="12"/>
        <v>946</v>
      </c>
      <c r="P198" s="353">
        <f t="shared" si="13"/>
        <v>0.46493212669683259</v>
      </c>
    </row>
    <row r="199" spans="1:16" ht="18.75" customHeight="1">
      <c r="A199" s="348">
        <f t="shared" si="14"/>
        <v>151</v>
      </c>
      <c r="B199" s="357" t="s">
        <v>2587</v>
      </c>
      <c r="C199" s="354" t="s">
        <v>3037</v>
      </c>
      <c r="D199" s="145">
        <v>42583</v>
      </c>
      <c r="E199" s="146">
        <v>46022</v>
      </c>
      <c r="F199" s="149">
        <v>0.62779877871474266</v>
      </c>
      <c r="G199" s="354">
        <v>2120249.84</v>
      </c>
      <c r="H199" s="354">
        <v>500628.2</v>
      </c>
      <c r="I199" s="358">
        <v>500628.2</v>
      </c>
      <c r="J199" s="352">
        <f t="shared" si="15"/>
        <v>1</v>
      </c>
      <c r="M199" s="74">
        <f t="shared" si="11"/>
        <v>3439</v>
      </c>
      <c r="N199" s="146">
        <v>44742</v>
      </c>
      <c r="O199" s="74">
        <f t="shared" si="12"/>
        <v>1280</v>
      </c>
      <c r="P199" s="353">
        <f t="shared" si="13"/>
        <v>0.62779877871474266</v>
      </c>
    </row>
    <row r="200" spans="1:16" ht="18.75" customHeight="1">
      <c r="A200" s="348">
        <f t="shared" si="14"/>
        <v>152</v>
      </c>
      <c r="B200" s="357" t="s">
        <v>3042</v>
      </c>
      <c r="C200" s="354" t="s">
        <v>3043</v>
      </c>
      <c r="D200" s="145">
        <v>43678</v>
      </c>
      <c r="E200" s="146">
        <v>44926</v>
      </c>
      <c r="F200" s="149">
        <v>0.85256410256410253</v>
      </c>
      <c r="G200" s="354">
        <v>626492.19999999995</v>
      </c>
      <c r="H200" s="354">
        <v>626492.19999999995</v>
      </c>
      <c r="I200" s="358">
        <v>606361.09000000008</v>
      </c>
      <c r="J200" s="352">
        <f t="shared" si="15"/>
        <v>0.9678669423178774</v>
      </c>
      <c r="M200" s="74">
        <f t="shared" si="11"/>
        <v>1248</v>
      </c>
      <c r="N200" s="146">
        <v>44742</v>
      </c>
      <c r="O200" s="74">
        <f t="shared" si="12"/>
        <v>184</v>
      </c>
      <c r="P200" s="353">
        <f t="shared" si="13"/>
        <v>0.85256410256410253</v>
      </c>
    </row>
    <row r="201" spans="1:16" ht="18.75" customHeight="1">
      <c r="A201" s="348">
        <f t="shared" si="14"/>
        <v>153</v>
      </c>
      <c r="B201" s="357" t="s">
        <v>3044</v>
      </c>
      <c r="C201" s="354" t="s">
        <v>3045</v>
      </c>
      <c r="D201" s="145">
        <v>43678</v>
      </c>
      <c r="E201" s="146">
        <v>44926</v>
      </c>
      <c r="F201" s="149">
        <v>0.85256410256410253</v>
      </c>
      <c r="G201" s="354">
        <v>220181.27000000002</v>
      </c>
      <c r="H201" s="354">
        <v>220181.27000000002</v>
      </c>
      <c r="I201" s="358">
        <v>220181.27</v>
      </c>
      <c r="J201" s="352">
        <f t="shared" si="15"/>
        <v>0.99999999999999989</v>
      </c>
      <c r="M201" s="74">
        <f t="shared" si="11"/>
        <v>1248</v>
      </c>
      <c r="N201" s="146">
        <v>44742</v>
      </c>
      <c r="O201" s="74">
        <f t="shared" si="12"/>
        <v>184</v>
      </c>
      <c r="P201" s="353">
        <f t="shared" si="13"/>
        <v>0.85256410256410253</v>
      </c>
    </row>
    <row r="202" spans="1:16" ht="18.75" customHeight="1">
      <c r="A202" s="348">
        <f t="shared" si="14"/>
        <v>154</v>
      </c>
      <c r="B202" s="357" t="s">
        <v>3436</v>
      </c>
      <c r="C202" s="354" t="s">
        <v>3437</v>
      </c>
      <c r="D202" s="145">
        <v>44562</v>
      </c>
      <c r="E202" s="146">
        <v>44926</v>
      </c>
      <c r="F202" s="149">
        <v>0.49450549450549453</v>
      </c>
      <c r="G202" s="354">
        <v>83999.95</v>
      </c>
      <c r="H202" s="354">
        <v>167045.67000000001</v>
      </c>
      <c r="I202" s="358">
        <v>143209.74</v>
      </c>
      <c r="J202" s="352">
        <f t="shared" si="15"/>
        <v>0.85730890240974211</v>
      </c>
      <c r="M202" s="74">
        <f t="shared" si="11"/>
        <v>364</v>
      </c>
      <c r="N202" s="146">
        <v>44742</v>
      </c>
      <c r="O202" s="74">
        <f t="shared" si="12"/>
        <v>184</v>
      </c>
      <c r="P202" s="353">
        <f t="shared" si="13"/>
        <v>0.49450549450549453</v>
      </c>
    </row>
    <row r="203" spans="1:16" ht="18.75" customHeight="1">
      <c r="A203" s="348">
        <f t="shared" si="14"/>
        <v>155</v>
      </c>
      <c r="B203" s="357" t="s">
        <v>2588</v>
      </c>
      <c r="C203" s="354" t="s">
        <v>2589</v>
      </c>
      <c r="D203" s="145">
        <v>43101</v>
      </c>
      <c r="E203" s="146">
        <v>44561</v>
      </c>
      <c r="F203" s="149">
        <v>1.1239726027397261</v>
      </c>
      <c r="G203" s="354">
        <v>1120000.2</v>
      </c>
      <c r="H203" s="354">
        <v>426987.16000000003</v>
      </c>
      <c r="I203" s="358">
        <v>-2.3283064365386963E-10</v>
      </c>
      <c r="J203" s="352">
        <f t="shared" si="15"/>
        <v>-5.4528722515653538E-16</v>
      </c>
      <c r="M203" s="74">
        <f t="shared" si="11"/>
        <v>1460</v>
      </c>
      <c r="N203" s="146">
        <v>44742</v>
      </c>
      <c r="O203" s="74">
        <f t="shared" si="12"/>
        <v>-181</v>
      </c>
      <c r="P203" s="353">
        <f t="shared" si="13"/>
        <v>1.1239726027397261</v>
      </c>
    </row>
    <row r="204" spans="1:16" ht="18.75" customHeight="1">
      <c r="A204" s="348">
        <f t="shared" si="14"/>
        <v>156</v>
      </c>
      <c r="B204" s="357" t="s">
        <v>2590</v>
      </c>
      <c r="C204" s="354" t="s">
        <v>2591</v>
      </c>
      <c r="D204" s="145">
        <v>43101</v>
      </c>
      <c r="E204" s="146">
        <v>44196</v>
      </c>
      <c r="F204" s="149">
        <v>1.4986301369863013</v>
      </c>
      <c r="G204" s="354">
        <v>168000</v>
      </c>
      <c r="H204" s="354">
        <v>187171.4</v>
      </c>
      <c r="I204" s="358">
        <v>2.9103830456733704E-11</v>
      </c>
      <c r="J204" s="352">
        <f t="shared" si="15"/>
        <v>1.5549293565541372E-16</v>
      </c>
      <c r="M204" s="74">
        <f t="shared" si="11"/>
        <v>1095</v>
      </c>
      <c r="N204" s="146">
        <v>44742</v>
      </c>
      <c r="O204" s="74">
        <f t="shared" si="12"/>
        <v>-546</v>
      </c>
      <c r="P204" s="353">
        <f t="shared" si="13"/>
        <v>1.4986301369863013</v>
      </c>
    </row>
    <row r="205" spans="1:16" ht="18.75" customHeight="1">
      <c r="A205" s="348">
        <f t="shared" si="14"/>
        <v>157</v>
      </c>
      <c r="B205" s="357" t="s">
        <v>3438</v>
      </c>
      <c r="C205" s="354" t="s">
        <v>3439</v>
      </c>
      <c r="D205" s="145">
        <v>44562</v>
      </c>
      <c r="E205" s="146">
        <v>44926</v>
      </c>
      <c r="F205" s="149">
        <v>0.49450549450549453</v>
      </c>
      <c r="G205" s="354">
        <v>140000</v>
      </c>
      <c r="H205" s="354">
        <v>136843.84</v>
      </c>
      <c r="I205" s="358">
        <v>41053.18</v>
      </c>
      <c r="J205" s="352">
        <f t="shared" si="15"/>
        <v>0.30000020461279076</v>
      </c>
      <c r="M205" s="74">
        <f t="shared" si="11"/>
        <v>364</v>
      </c>
      <c r="N205" s="146">
        <v>44742</v>
      </c>
      <c r="O205" s="74">
        <f t="shared" si="12"/>
        <v>184</v>
      </c>
      <c r="P205" s="353">
        <f t="shared" si="13"/>
        <v>0.49450549450549453</v>
      </c>
    </row>
    <row r="206" spans="1:16" ht="18.75" customHeight="1">
      <c r="A206" s="348">
        <f t="shared" si="14"/>
        <v>158</v>
      </c>
      <c r="B206" s="357" t="s">
        <v>3440</v>
      </c>
      <c r="C206" s="354" t="s">
        <v>3441</v>
      </c>
      <c r="D206" s="145">
        <v>44562</v>
      </c>
      <c r="E206" s="146">
        <v>44926</v>
      </c>
      <c r="F206" s="149">
        <v>0.49450549450549453</v>
      </c>
      <c r="G206" s="354">
        <v>137999.70000000001</v>
      </c>
      <c r="H206" s="354">
        <v>47000</v>
      </c>
      <c r="I206" s="358">
        <v>18800</v>
      </c>
      <c r="J206" s="352">
        <f t="shared" si="15"/>
        <v>0.4</v>
      </c>
      <c r="M206" s="74">
        <f t="shared" si="11"/>
        <v>364</v>
      </c>
      <c r="N206" s="146">
        <v>44742</v>
      </c>
      <c r="O206" s="74">
        <f t="shared" si="12"/>
        <v>184</v>
      </c>
      <c r="P206" s="353">
        <f t="shared" si="13"/>
        <v>0.49450549450549453</v>
      </c>
    </row>
    <row r="207" spans="1:16" ht="18.75" customHeight="1">
      <c r="A207" s="348">
        <f t="shared" si="14"/>
        <v>159</v>
      </c>
      <c r="B207" s="357" t="s">
        <v>2639</v>
      </c>
      <c r="C207" s="354" t="s">
        <v>3056</v>
      </c>
      <c r="D207" s="145">
        <v>43800</v>
      </c>
      <c r="E207" s="146">
        <v>44561</v>
      </c>
      <c r="F207" s="149">
        <v>1.2378449408672798</v>
      </c>
      <c r="G207" s="354">
        <v>644000.29000000027</v>
      </c>
      <c r="H207" s="354">
        <v>1246301.95</v>
      </c>
      <c r="I207" s="358">
        <v>2.3283064365386963E-10</v>
      </c>
      <c r="J207" s="352">
        <f t="shared" si="15"/>
        <v>1.8681720240738581E-16</v>
      </c>
      <c r="M207" s="74">
        <f t="shared" si="11"/>
        <v>761</v>
      </c>
      <c r="N207" s="146">
        <v>44742</v>
      </c>
      <c r="O207" s="74">
        <f t="shared" si="12"/>
        <v>-181</v>
      </c>
      <c r="P207" s="353">
        <f t="shared" si="13"/>
        <v>1.2378449408672798</v>
      </c>
    </row>
    <row r="208" spans="1:16" ht="18.75" customHeight="1">
      <c r="A208" s="348">
        <f t="shared" si="14"/>
        <v>160</v>
      </c>
      <c r="B208" s="357" t="s">
        <v>3057</v>
      </c>
      <c r="C208" s="354" t="s">
        <v>3058</v>
      </c>
      <c r="D208" s="145">
        <v>43497</v>
      </c>
      <c r="E208" s="146">
        <v>44196</v>
      </c>
      <c r="F208" s="149">
        <v>1.7811158798283262</v>
      </c>
      <c r="G208" s="354">
        <v>532000</v>
      </c>
      <c r="H208" s="354">
        <v>240822.92</v>
      </c>
      <c r="I208" s="358">
        <v>-5.8207660913467407E-11</v>
      </c>
      <c r="J208" s="352">
        <f t="shared" si="15"/>
        <v>-2.4170316061887882E-16</v>
      </c>
      <c r="M208" s="74">
        <f t="shared" si="11"/>
        <v>699</v>
      </c>
      <c r="N208" s="146">
        <v>44742</v>
      </c>
      <c r="O208" s="74">
        <f t="shared" si="12"/>
        <v>-546</v>
      </c>
      <c r="P208" s="353">
        <f t="shared" si="13"/>
        <v>1.7811158798283262</v>
      </c>
    </row>
    <row r="209" spans="1:16" ht="18.75" customHeight="1">
      <c r="A209" s="348">
        <f t="shared" si="14"/>
        <v>161</v>
      </c>
      <c r="B209" s="357" t="s">
        <v>2640</v>
      </c>
      <c r="C209" s="354" t="s">
        <v>2641</v>
      </c>
      <c r="D209" s="145">
        <v>43800</v>
      </c>
      <c r="E209" s="146">
        <v>44561</v>
      </c>
      <c r="F209" s="149">
        <v>1.2378449408672798</v>
      </c>
      <c r="G209" s="354">
        <v>10381161.629999999</v>
      </c>
      <c r="H209" s="354">
        <v>1722049.98</v>
      </c>
      <c r="I209" s="358">
        <v>2.3283064365386963E-10</v>
      </c>
      <c r="J209" s="352">
        <f t="shared" si="15"/>
        <v>1.3520550875873511E-16</v>
      </c>
      <c r="M209" s="74">
        <f t="shared" si="11"/>
        <v>761</v>
      </c>
      <c r="N209" s="146">
        <v>44742</v>
      </c>
      <c r="O209" s="74">
        <f t="shared" si="12"/>
        <v>-181</v>
      </c>
      <c r="P209" s="353">
        <f t="shared" si="13"/>
        <v>1.2378449408672798</v>
      </c>
    </row>
    <row r="210" spans="1:16" ht="18.75" customHeight="1">
      <c r="A210" s="348">
        <f t="shared" si="14"/>
        <v>162</v>
      </c>
      <c r="B210" s="357" t="s">
        <v>3061</v>
      </c>
      <c r="C210" s="354" t="s">
        <v>3062</v>
      </c>
      <c r="D210" s="145">
        <v>43831</v>
      </c>
      <c r="E210" s="146">
        <v>44196</v>
      </c>
      <c r="F210" s="149">
        <v>2.495890410958904</v>
      </c>
      <c r="G210" s="354">
        <v>69000.02</v>
      </c>
      <c r="H210" s="354">
        <v>93999.99</v>
      </c>
      <c r="I210" s="358">
        <v>-1.4551915228366852E-11</v>
      </c>
      <c r="J210" s="352">
        <f t="shared" si="15"/>
        <v>-1.5480762528130963E-16</v>
      </c>
      <c r="M210" s="74">
        <f t="shared" si="11"/>
        <v>365</v>
      </c>
      <c r="N210" s="146">
        <v>44742</v>
      </c>
      <c r="O210" s="74">
        <f t="shared" si="12"/>
        <v>-546</v>
      </c>
      <c r="P210" s="353">
        <f t="shared" si="13"/>
        <v>2.495890410958904</v>
      </c>
    </row>
    <row r="211" spans="1:16" ht="18.75" customHeight="1">
      <c r="A211" s="348">
        <f t="shared" si="14"/>
        <v>163</v>
      </c>
      <c r="B211" s="357" t="s">
        <v>3442</v>
      </c>
      <c r="C211" s="354" t="s">
        <v>3443</v>
      </c>
      <c r="D211" s="145">
        <v>44197</v>
      </c>
      <c r="E211" s="146">
        <v>44926</v>
      </c>
      <c r="F211" s="149">
        <v>0.74759945130315497</v>
      </c>
      <c r="G211" s="354">
        <v>420000</v>
      </c>
      <c r="H211" s="354">
        <v>55000</v>
      </c>
      <c r="I211" s="358">
        <v>27500</v>
      </c>
      <c r="J211" s="352">
        <f t="shared" si="15"/>
        <v>0.5</v>
      </c>
      <c r="M211" s="74">
        <f t="shared" si="11"/>
        <v>729</v>
      </c>
      <c r="N211" s="146">
        <v>44742</v>
      </c>
      <c r="O211" s="74">
        <f t="shared" si="12"/>
        <v>184</v>
      </c>
      <c r="P211" s="353">
        <f t="shared" si="13"/>
        <v>0.74759945130315497</v>
      </c>
    </row>
    <row r="212" spans="1:16" ht="18.75" customHeight="1">
      <c r="A212" s="348">
        <f t="shared" si="14"/>
        <v>164</v>
      </c>
      <c r="B212" s="357" t="s">
        <v>2642</v>
      </c>
      <c r="C212" s="354" t="s">
        <v>2643</v>
      </c>
      <c r="D212" s="145">
        <v>43831</v>
      </c>
      <c r="E212" s="146">
        <v>44408</v>
      </c>
      <c r="F212" s="149">
        <v>1.5788561525129983</v>
      </c>
      <c r="G212" s="354">
        <v>112000.1</v>
      </c>
      <c r="H212" s="354">
        <v>170499.99</v>
      </c>
      <c r="I212" s="358">
        <v>2.9103830456733704E-11</v>
      </c>
      <c r="J212" s="352">
        <f t="shared" si="15"/>
        <v>1.706969628369697E-16</v>
      </c>
      <c r="M212" s="74">
        <f t="shared" si="11"/>
        <v>577</v>
      </c>
      <c r="N212" s="146">
        <v>44742</v>
      </c>
      <c r="O212" s="74">
        <f t="shared" si="12"/>
        <v>-334</v>
      </c>
      <c r="P212" s="353">
        <f t="shared" si="13"/>
        <v>1.5788561525129983</v>
      </c>
    </row>
    <row r="213" spans="1:16" ht="18.75" customHeight="1">
      <c r="A213" s="348">
        <f t="shared" si="14"/>
        <v>165</v>
      </c>
      <c r="B213" s="357" t="s">
        <v>3444</v>
      </c>
      <c r="C213" s="354" t="s">
        <v>3445</v>
      </c>
      <c r="D213" s="145">
        <v>44562</v>
      </c>
      <c r="E213" s="146">
        <v>44926</v>
      </c>
      <c r="F213" s="149">
        <v>0.49450549450549453</v>
      </c>
      <c r="G213" s="354">
        <v>241500</v>
      </c>
      <c r="H213" s="354">
        <v>117500</v>
      </c>
      <c r="I213" s="358">
        <v>58750</v>
      </c>
      <c r="J213" s="352">
        <f t="shared" si="15"/>
        <v>0.5</v>
      </c>
      <c r="M213" s="74">
        <f t="shared" si="11"/>
        <v>364</v>
      </c>
      <c r="N213" s="146">
        <v>44742</v>
      </c>
      <c r="O213" s="74">
        <f t="shared" si="12"/>
        <v>184</v>
      </c>
      <c r="P213" s="353">
        <f t="shared" si="13"/>
        <v>0.49450549450549453</v>
      </c>
    </row>
    <row r="214" spans="1:16" ht="18.75" customHeight="1">
      <c r="A214" s="348">
        <f t="shared" si="14"/>
        <v>166</v>
      </c>
      <c r="B214" s="357" t="s">
        <v>3446</v>
      </c>
      <c r="C214" s="354" t="s">
        <v>3447</v>
      </c>
      <c r="D214" s="145">
        <v>43647</v>
      </c>
      <c r="E214" s="146">
        <v>44926</v>
      </c>
      <c r="F214" s="149">
        <v>0.85613760750586398</v>
      </c>
      <c r="G214" s="354">
        <v>24000</v>
      </c>
      <c r="H214" s="354">
        <v>58750</v>
      </c>
      <c r="I214" s="358">
        <v>35250</v>
      </c>
      <c r="J214" s="352">
        <f t="shared" si="15"/>
        <v>0.6</v>
      </c>
      <c r="M214" s="74">
        <f t="shared" si="11"/>
        <v>1279</v>
      </c>
      <c r="N214" s="146">
        <v>44742</v>
      </c>
      <c r="O214" s="74">
        <f t="shared" si="12"/>
        <v>184</v>
      </c>
      <c r="P214" s="353">
        <f t="shared" si="13"/>
        <v>0.85613760750586398</v>
      </c>
    </row>
    <row r="215" spans="1:16" ht="18.75" customHeight="1">
      <c r="A215" s="348">
        <f t="shared" si="14"/>
        <v>167</v>
      </c>
      <c r="B215" s="357" t="s">
        <v>2644</v>
      </c>
      <c r="C215" s="354" t="s">
        <v>3069</v>
      </c>
      <c r="D215" s="145">
        <v>43983</v>
      </c>
      <c r="E215" s="146">
        <v>44561</v>
      </c>
      <c r="F215" s="149">
        <v>1.3131487889273357</v>
      </c>
      <c r="G215" s="354">
        <v>224000</v>
      </c>
      <c r="H215" s="354">
        <v>182834.25</v>
      </c>
      <c r="I215" s="358">
        <v>2.9103830456733704E-11</v>
      </c>
      <c r="J215" s="352">
        <f t="shared" si="15"/>
        <v>1.5918150158809798E-16</v>
      </c>
      <c r="M215" s="74">
        <f t="shared" si="11"/>
        <v>578</v>
      </c>
      <c r="N215" s="146">
        <v>44742</v>
      </c>
      <c r="O215" s="74">
        <f t="shared" si="12"/>
        <v>-181</v>
      </c>
      <c r="P215" s="353">
        <f t="shared" si="13"/>
        <v>1.3131487889273357</v>
      </c>
    </row>
    <row r="216" spans="1:16" ht="18.75" customHeight="1">
      <c r="A216" s="348">
        <f t="shared" si="14"/>
        <v>168</v>
      </c>
      <c r="B216" s="357" t="s">
        <v>3070</v>
      </c>
      <c r="C216" s="354" t="s">
        <v>3071</v>
      </c>
      <c r="D216" s="145">
        <v>43831</v>
      </c>
      <c r="E216" s="146">
        <v>44196</v>
      </c>
      <c r="F216" s="149">
        <v>2.495890410958904</v>
      </c>
      <c r="G216" s="354">
        <v>120000</v>
      </c>
      <c r="H216" s="354">
        <v>117500.14</v>
      </c>
      <c r="I216" s="358">
        <v>-1.4551915228366852E-11</v>
      </c>
      <c r="J216" s="352">
        <f t="shared" si="15"/>
        <v>-1.2384593948881125E-16</v>
      </c>
      <c r="M216" s="74">
        <f t="shared" si="11"/>
        <v>365</v>
      </c>
      <c r="N216" s="146">
        <v>44742</v>
      </c>
      <c r="O216" s="74">
        <f t="shared" si="12"/>
        <v>-546</v>
      </c>
      <c r="P216" s="353">
        <f t="shared" si="13"/>
        <v>2.495890410958904</v>
      </c>
    </row>
    <row r="217" spans="1:16" ht="18.75" customHeight="1">
      <c r="A217" s="348">
        <f t="shared" si="14"/>
        <v>169</v>
      </c>
      <c r="B217" s="357" t="s">
        <v>3448</v>
      </c>
      <c r="C217" s="354" t="s">
        <v>3449</v>
      </c>
      <c r="D217" s="145">
        <v>44562</v>
      </c>
      <c r="E217" s="146">
        <v>44926</v>
      </c>
      <c r="F217" s="149">
        <v>0.49450549450549453</v>
      </c>
      <c r="G217" s="354">
        <v>279999.98</v>
      </c>
      <c r="H217" s="354">
        <v>279486.78000000003</v>
      </c>
      <c r="I217" s="358">
        <v>83846.040000000008</v>
      </c>
      <c r="J217" s="352">
        <f t="shared" si="15"/>
        <v>0.3000000214679206</v>
      </c>
      <c r="M217" s="74">
        <f t="shared" si="11"/>
        <v>364</v>
      </c>
      <c r="N217" s="146">
        <v>44742</v>
      </c>
      <c r="O217" s="74">
        <f t="shared" si="12"/>
        <v>184</v>
      </c>
      <c r="P217" s="353">
        <f t="shared" si="13"/>
        <v>0.49450549450549453</v>
      </c>
    </row>
    <row r="218" spans="1:16" ht="18.75" customHeight="1">
      <c r="A218" s="348">
        <f t="shared" si="14"/>
        <v>170</v>
      </c>
      <c r="B218" s="357" t="s">
        <v>3450</v>
      </c>
      <c r="C218" s="354" t="s">
        <v>3451</v>
      </c>
      <c r="D218" s="145">
        <v>44197</v>
      </c>
      <c r="E218" s="146">
        <v>44834</v>
      </c>
      <c r="F218" s="149">
        <v>0.85557299843014134</v>
      </c>
      <c r="G218" s="354">
        <v>84000</v>
      </c>
      <c r="H218" s="354">
        <v>82500.05</v>
      </c>
      <c r="I218" s="358">
        <v>35750.020000000004</v>
      </c>
      <c r="J218" s="352">
        <f t="shared" si="15"/>
        <v>0.43333331313132539</v>
      </c>
      <c r="M218" s="74">
        <f t="shared" si="11"/>
        <v>637</v>
      </c>
      <c r="N218" s="146">
        <v>44742</v>
      </c>
      <c r="O218" s="74">
        <f t="shared" si="12"/>
        <v>92</v>
      </c>
      <c r="P218" s="353">
        <f t="shared" si="13"/>
        <v>0.85557299843014134</v>
      </c>
    </row>
    <row r="219" spans="1:16" ht="18.75" customHeight="1">
      <c r="A219" s="348">
        <f t="shared" si="14"/>
        <v>171</v>
      </c>
      <c r="B219" s="357" t="s">
        <v>3452</v>
      </c>
      <c r="C219" s="354" t="s">
        <v>3453</v>
      </c>
      <c r="D219" s="145">
        <v>44256</v>
      </c>
      <c r="E219" s="146">
        <v>45291</v>
      </c>
      <c r="F219" s="149">
        <v>0.46956521739130436</v>
      </c>
      <c r="G219" s="354">
        <v>5263999.99</v>
      </c>
      <c r="H219" s="354">
        <v>8503198.6099999994</v>
      </c>
      <c r="I219" s="358">
        <v>3853609.18</v>
      </c>
      <c r="J219" s="352">
        <f t="shared" si="15"/>
        <v>0.45319524531251665</v>
      </c>
      <c r="M219" s="74">
        <f t="shared" si="11"/>
        <v>1035</v>
      </c>
      <c r="N219" s="146">
        <v>44742</v>
      </c>
      <c r="O219" s="74">
        <f t="shared" si="12"/>
        <v>549</v>
      </c>
      <c r="P219" s="353">
        <f t="shared" si="13"/>
        <v>0.46956521739130436</v>
      </c>
    </row>
    <row r="220" spans="1:16" ht="18.75" customHeight="1">
      <c r="A220" s="348">
        <f t="shared" si="14"/>
        <v>172</v>
      </c>
      <c r="B220" s="357" t="s">
        <v>3126</v>
      </c>
      <c r="C220" s="354" t="s">
        <v>3127</v>
      </c>
      <c r="D220" s="145">
        <v>44197</v>
      </c>
      <c r="E220" s="146">
        <v>44926</v>
      </c>
      <c r="F220" s="149">
        <v>0.74759945130315497</v>
      </c>
      <c r="G220" s="354">
        <v>330210.2</v>
      </c>
      <c r="H220" s="354">
        <v>330209.98</v>
      </c>
      <c r="I220" s="358">
        <v>247640.53000000003</v>
      </c>
      <c r="J220" s="352">
        <f t="shared" si="15"/>
        <v>0.74994865388381071</v>
      </c>
      <c r="M220" s="74">
        <f t="shared" si="11"/>
        <v>729</v>
      </c>
      <c r="N220" s="146">
        <v>44742</v>
      </c>
      <c r="O220" s="74">
        <f t="shared" si="12"/>
        <v>184</v>
      </c>
      <c r="P220" s="353">
        <f t="shared" si="13"/>
        <v>0.74759945130315497</v>
      </c>
    </row>
    <row r="221" spans="1:16" ht="18.75" customHeight="1">
      <c r="A221" s="348">
        <f t="shared" si="14"/>
        <v>173</v>
      </c>
      <c r="B221" s="357" t="s">
        <v>3128</v>
      </c>
      <c r="C221" s="354" t="s">
        <v>3129</v>
      </c>
      <c r="D221" s="145">
        <v>44197</v>
      </c>
      <c r="E221" s="146">
        <v>44926</v>
      </c>
      <c r="F221" s="149">
        <v>0.74759945130315497</v>
      </c>
      <c r="G221" s="354">
        <v>470726.29000000004</v>
      </c>
      <c r="H221" s="354">
        <v>470726.28</v>
      </c>
      <c r="I221" s="358">
        <v>353976.05000000005</v>
      </c>
      <c r="J221" s="352">
        <f t="shared" si="15"/>
        <v>0.75197851711189789</v>
      </c>
      <c r="M221" s="74">
        <f t="shared" si="11"/>
        <v>729</v>
      </c>
      <c r="N221" s="146">
        <v>44742</v>
      </c>
      <c r="O221" s="74">
        <f t="shared" si="12"/>
        <v>184</v>
      </c>
      <c r="P221" s="353">
        <f t="shared" si="13"/>
        <v>0.74759945130315497</v>
      </c>
    </row>
    <row r="222" spans="1:16" ht="18.75" customHeight="1">
      <c r="A222" s="348">
        <f t="shared" si="14"/>
        <v>174</v>
      </c>
      <c r="B222" s="357" t="s">
        <v>3454</v>
      </c>
      <c r="C222" s="354" t="s">
        <v>3455</v>
      </c>
      <c r="D222" s="145">
        <v>44197</v>
      </c>
      <c r="E222" s="146">
        <v>44926</v>
      </c>
      <c r="F222" s="149">
        <v>0.74759945130315497</v>
      </c>
      <c r="G222" s="354">
        <v>1237983.52</v>
      </c>
      <c r="H222" s="354">
        <v>733633.88</v>
      </c>
      <c r="I222" s="358">
        <v>1.1641532182693481E-10</v>
      </c>
      <c r="J222" s="352">
        <f t="shared" si="15"/>
        <v>1.5868313200984505E-16</v>
      </c>
      <c r="M222" s="74">
        <f t="shared" si="11"/>
        <v>729</v>
      </c>
      <c r="N222" s="146">
        <v>44742</v>
      </c>
      <c r="O222" s="74">
        <f t="shared" si="12"/>
        <v>184</v>
      </c>
      <c r="P222" s="353">
        <f t="shared" si="13"/>
        <v>0.74759945130315497</v>
      </c>
    </row>
    <row r="223" spans="1:16" ht="18.75" customHeight="1">
      <c r="A223" s="348">
        <f t="shared" si="14"/>
        <v>175</v>
      </c>
      <c r="B223" s="357" t="s">
        <v>3130</v>
      </c>
      <c r="C223" s="354" t="s">
        <v>3131</v>
      </c>
      <c r="D223" s="145">
        <v>44197</v>
      </c>
      <c r="E223" s="146">
        <v>44926</v>
      </c>
      <c r="F223" s="149">
        <v>0.74759945130315497</v>
      </c>
      <c r="G223" s="354">
        <v>481466.4</v>
      </c>
      <c r="H223" s="354">
        <v>334140.90999999997</v>
      </c>
      <c r="I223" s="358">
        <v>334140.91000000003</v>
      </c>
      <c r="J223" s="352">
        <f t="shared" si="15"/>
        <v>1.0000000000000002</v>
      </c>
      <c r="M223" s="74">
        <f t="shared" si="11"/>
        <v>729</v>
      </c>
      <c r="N223" s="146">
        <v>44742</v>
      </c>
      <c r="O223" s="74">
        <f t="shared" si="12"/>
        <v>184</v>
      </c>
      <c r="P223" s="353">
        <f t="shared" si="13"/>
        <v>0.74759945130315497</v>
      </c>
    </row>
    <row r="224" spans="1:16" ht="18.75" customHeight="1">
      <c r="A224" s="348">
        <f t="shared" si="14"/>
        <v>176</v>
      </c>
      <c r="B224" s="357" t="s">
        <v>3456</v>
      </c>
      <c r="C224" s="354" t="s">
        <v>3457</v>
      </c>
      <c r="D224" s="145">
        <v>44228</v>
      </c>
      <c r="E224" s="146">
        <v>45077</v>
      </c>
      <c r="F224" s="149">
        <v>0.60541813898704355</v>
      </c>
      <c r="G224" s="354">
        <v>1100000.04</v>
      </c>
      <c r="H224" s="354">
        <v>1100000.04</v>
      </c>
      <c r="I224" s="358">
        <v>536250</v>
      </c>
      <c r="J224" s="352">
        <f t="shared" si="15"/>
        <v>0.48749998227272789</v>
      </c>
      <c r="M224" s="74">
        <f t="shared" si="11"/>
        <v>849</v>
      </c>
      <c r="N224" s="146">
        <v>44742</v>
      </c>
      <c r="O224" s="74">
        <f t="shared" si="12"/>
        <v>335</v>
      </c>
      <c r="P224" s="353">
        <f t="shared" si="13"/>
        <v>0.60541813898704355</v>
      </c>
    </row>
    <row r="225" spans="1:16" s="359" customFormat="1" ht="20.100000000000001" customHeight="1">
      <c r="A225" s="809" t="str">
        <f>$A$1</f>
        <v>KENTUCKY UTILITIES COMPANY</v>
      </c>
      <c r="B225" s="809"/>
      <c r="C225" s="809"/>
      <c r="D225" s="809"/>
      <c r="E225" s="809"/>
      <c r="F225" s="809"/>
      <c r="G225" s="809"/>
      <c r="H225" s="809"/>
      <c r="I225" s="809"/>
      <c r="J225" s="809"/>
    </row>
    <row r="226" spans="1:16" s="359" customFormat="1" ht="20.100000000000001" customHeight="1">
      <c r="A226" s="809" t="str">
        <f>$A$2</f>
        <v>CASE NO. 2020-00349</v>
      </c>
      <c r="B226" s="809"/>
      <c r="C226" s="809"/>
      <c r="D226" s="809"/>
      <c r="E226" s="809"/>
      <c r="F226" s="809"/>
      <c r="G226" s="809"/>
      <c r="H226" s="809"/>
      <c r="I226" s="809"/>
      <c r="J226" s="809"/>
    </row>
    <row r="227" spans="1:16" s="359" customFormat="1" ht="20.100000000000001" customHeight="1">
      <c r="A227" s="809" t="s">
        <v>1216</v>
      </c>
      <c r="B227" s="809"/>
      <c r="C227" s="809"/>
      <c r="D227" s="809"/>
      <c r="E227" s="809"/>
      <c r="F227" s="809"/>
      <c r="G227" s="809"/>
      <c r="H227" s="809"/>
      <c r="I227" s="809"/>
      <c r="J227" s="809"/>
    </row>
    <row r="228" spans="1:16" s="359" customFormat="1" ht="20.100000000000001" customHeight="1">
      <c r="A228" s="809" t="str">
        <f>$A$4</f>
        <v>AS OF JUNE 30, 2022</v>
      </c>
      <c r="B228" s="809"/>
      <c r="C228" s="809"/>
      <c r="D228" s="809"/>
      <c r="E228" s="809"/>
      <c r="F228" s="809"/>
      <c r="G228" s="809"/>
      <c r="H228" s="809"/>
      <c r="I228" s="809"/>
      <c r="J228" s="809"/>
    </row>
    <row r="229" spans="1:16" s="359" customFormat="1" ht="20.100000000000001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</row>
    <row r="230" spans="1:16" s="359" customFormat="1" ht="20.100000000000001" customHeight="1">
      <c r="A230" s="67" t="str">
        <f>$A$6</f>
        <v>DATA:____BASE  PERIOD__X__FORECASTED  PERIOD</v>
      </c>
      <c r="B230" s="347"/>
      <c r="C230" s="68"/>
      <c r="D230" s="144"/>
      <c r="E230" s="144"/>
      <c r="F230" s="68"/>
      <c r="G230" s="74"/>
      <c r="H230" s="74"/>
      <c r="I230" s="74"/>
      <c r="J230" s="74" t="s">
        <v>1709</v>
      </c>
    </row>
    <row r="231" spans="1:16" s="359" customFormat="1" ht="20.100000000000001" customHeight="1">
      <c r="A231" s="67" t="str">
        <f>$A$7</f>
        <v>TYPE OF FILING: __X__ ORIGINAL  _____ UPDATED  _____ REVISED</v>
      </c>
      <c r="B231" s="348"/>
      <c r="C231" s="68"/>
      <c r="D231" s="144"/>
      <c r="E231" s="144"/>
      <c r="F231" s="68"/>
      <c r="G231" s="74"/>
      <c r="H231" s="74"/>
      <c r="I231" s="74"/>
      <c r="J231" s="74" t="s">
        <v>3748</v>
      </c>
    </row>
    <row r="232" spans="1:16" s="359" customFormat="1" ht="20.100000000000001" customHeight="1">
      <c r="A232" s="67" t="str">
        <f>$A$8</f>
        <v>WORKPAPER REFERENCE NO(S).:</v>
      </c>
      <c r="B232" s="347"/>
      <c r="C232" s="68"/>
      <c r="D232" s="144"/>
      <c r="E232" s="144"/>
      <c r="F232" s="67"/>
      <c r="G232" s="75"/>
      <c r="H232" s="75"/>
      <c r="I232" s="75"/>
      <c r="J232" s="75" t="str">
        <f>$J$8</f>
        <v>WITNESS:   C. M. GARRETT</v>
      </c>
    </row>
    <row r="233" spans="1:16" s="359" customFormat="1" ht="20.100000000000001" customHeight="1">
      <c r="A233" s="68"/>
      <c r="B233" s="348"/>
      <c r="C233" s="68"/>
      <c r="D233" s="144"/>
      <c r="E233" s="144"/>
      <c r="F233" s="68"/>
      <c r="G233" s="68"/>
      <c r="H233" s="68"/>
      <c r="I233" s="68"/>
      <c r="J233" s="68"/>
    </row>
    <row r="234" spans="1:16" s="359" customFormat="1" ht="65.099999999999994" customHeight="1">
      <c r="A234" s="76" t="s">
        <v>131</v>
      </c>
      <c r="B234" s="76" t="s">
        <v>1219</v>
      </c>
      <c r="C234" s="76" t="s">
        <v>1220</v>
      </c>
      <c r="D234" s="142" t="s">
        <v>1222</v>
      </c>
      <c r="E234" s="142" t="s">
        <v>1223</v>
      </c>
      <c r="F234" s="76" t="s">
        <v>1224</v>
      </c>
      <c r="G234" s="76" t="s">
        <v>1225</v>
      </c>
      <c r="H234" s="76" t="s">
        <v>1226</v>
      </c>
      <c r="I234" s="76" t="s">
        <v>1227</v>
      </c>
      <c r="J234" s="76" t="s">
        <v>1228</v>
      </c>
      <c r="M234" s="360" t="s">
        <v>1236</v>
      </c>
      <c r="N234" s="360" t="s">
        <v>1237</v>
      </c>
      <c r="O234" s="360" t="s">
        <v>1238</v>
      </c>
      <c r="P234" s="360" t="s">
        <v>1224</v>
      </c>
    </row>
    <row r="235" spans="1:16" s="359" customFormat="1" ht="23.1" customHeight="1">
      <c r="A235" s="80" t="s">
        <v>1217</v>
      </c>
      <c r="B235" s="80" t="s">
        <v>1218</v>
      </c>
      <c r="C235" s="80" t="s">
        <v>1221</v>
      </c>
      <c r="D235" s="355" t="s">
        <v>1229</v>
      </c>
      <c r="E235" s="355" t="s">
        <v>1230</v>
      </c>
      <c r="F235" s="356" t="s">
        <v>1231</v>
      </c>
      <c r="G235" s="356" t="s">
        <v>1232</v>
      </c>
      <c r="H235" s="356" t="s">
        <v>1233</v>
      </c>
      <c r="I235" s="356" t="s">
        <v>1234</v>
      </c>
      <c r="J235" s="356" t="s">
        <v>1235</v>
      </c>
    </row>
    <row r="236" spans="1:16" s="359" customFormat="1" ht="18.9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</row>
    <row r="237" spans="1:16" ht="18.75" customHeight="1">
      <c r="A237" s="348">
        <f>A224+1</f>
        <v>177</v>
      </c>
      <c r="B237" s="357" t="s">
        <v>3458</v>
      </c>
      <c r="C237" s="354" t="s">
        <v>3459</v>
      </c>
      <c r="D237" s="145">
        <v>44256</v>
      </c>
      <c r="E237" s="146">
        <v>44926</v>
      </c>
      <c r="F237" s="149">
        <v>0.72537313432835826</v>
      </c>
      <c r="G237" s="354">
        <v>1567499.97</v>
      </c>
      <c r="H237" s="354">
        <v>1567499.97</v>
      </c>
      <c r="I237" s="358">
        <v>1099999.95</v>
      </c>
      <c r="J237" s="352">
        <f t="shared" si="15"/>
        <v>0.70175436749769127</v>
      </c>
      <c r="M237" s="74">
        <f t="shared" si="11"/>
        <v>670</v>
      </c>
      <c r="N237" s="146">
        <v>44742</v>
      </c>
      <c r="O237" s="74">
        <f t="shared" si="12"/>
        <v>184</v>
      </c>
      <c r="P237" s="353">
        <f t="shared" si="13"/>
        <v>0.72537313432835826</v>
      </c>
    </row>
    <row r="238" spans="1:16" ht="18.75" customHeight="1">
      <c r="A238" s="348">
        <f t="shared" si="14"/>
        <v>178</v>
      </c>
      <c r="B238" s="357" t="s">
        <v>3460</v>
      </c>
      <c r="C238" s="354" t="s">
        <v>3461</v>
      </c>
      <c r="D238" s="145">
        <v>44256</v>
      </c>
      <c r="E238" s="146">
        <v>44742</v>
      </c>
      <c r="F238" s="149">
        <v>1</v>
      </c>
      <c r="G238" s="354">
        <v>557700.17999999993</v>
      </c>
      <c r="H238" s="354">
        <v>557700.17999999993</v>
      </c>
      <c r="I238" s="358">
        <v>-1.1641532182693481E-10</v>
      </c>
      <c r="J238" s="352">
        <f t="shared" si="15"/>
        <v>-2.0874176843000988E-16</v>
      </c>
      <c r="M238" s="74">
        <f t="shared" si="11"/>
        <v>486</v>
      </c>
      <c r="N238" s="146">
        <v>44742</v>
      </c>
      <c r="O238" s="74">
        <f t="shared" si="12"/>
        <v>0</v>
      </c>
      <c r="P238" s="353">
        <f t="shared" si="13"/>
        <v>1</v>
      </c>
    </row>
    <row r="239" spans="1:16" ht="18.75" customHeight="1">
      <c r="A239" s="348">
        <f t="shared" si="14"/>
        <v>179</v>
      </c>
      <c r="B239" s="357" t="s">
        <v>3462</v>
      </c>
      <c r="C239" s="354" t="s">
        <v>3463</v>
      </c>
      <c r="D239" s="145">
        <v>44562</v>
      </c>
      <c r="E239" s="146">
        <v>44926</v>
      </c>
      <c r="F239" s="149">
        <v>0.49450549450549453</v>
      </c>
      <c r="G239" s="354">
        <v>120000.22</v>
      </c>
      <c r="H239" s="354">
        <v>47127.76</v>
      </c>
      <c r="I239" s="358">
        <v>25920.25</v>
      </c>
      <c r="J239" s="352">
        <f t="shared" si="15"/>
        <v>0.54999961805950459</v>
      </c>
      <c r="M239" s="74">
        <f t="shared" si="11"/>
        <v>364</v>
      </c>
      <c r="N239" s="146">
        <v>44742</v>
      </c>
      <c r="O239" s="74">
        <f t="shared" si="12"/>
        <v>184</v>
      </c>
      <c r="P239" s="353">
        <f t="shared" si="13"/>
        <v>0.49450549450549453</v>
      </c>
    </row>
    <row r="240" spans="1:16" ht="18.75" customHeight="1">
      <c r="A240" s="348">
        <f t="shared" si="14"/>
        <v>180</v>
      </c>
      <c r="B240" s="357" t="s">
        <v>3464</v>
      </c>
      <c r="C240" s="354" t="s">
        <v>3465</v>
      </c>
      <c r="D240" s="145">
        <v>44562</v>
      </c>
      <c r="E240" s="146">
        <v>44926</v>
      </c>
      <c r="F240" s="149">
        <v>0.49450549450549453</v>
      </c>
      <c r="G240" s="354">
        <v>240000</v>
      </c>
      <c r="H240" s="354">
        <v>114078.09</v>
      </c>
      <c r="I240" s="358">
        <v>61792.3</v>
      </c>
      <c r="J240" s="352">
        <f t="shared" si="15"/>
        <v>0.54166667762407317</v>
      </c>
      <c r="M240" s="74">
        <f t="shared" si="11"/>
        <v>364</v>
      </c>
      <c r="N240" s="146">
        <v>44742</v>
      </c>
      <c r="O240" s="74">
        <f t="shared" si="12"/>
        <v>184</v>
      </c>
      <c r="P240" s="353">
        <f t="shared" si="13"/>
        <v>0.49450549450549453</v>
      </c>
    </row>
    <row r="241" spans="1:16" ht="18.75" customHeight="1">
      <c r="A241" s="348">
        <f t="shared" si="14"/>
        <v>181</v>
      </c>
      <c r="B241" s="357" t="s">
        <v>3466</v>
      </c>
      <c r="C241" s="354" t="s">
        <v>3467</v>
      </c>
      <c r="D241" s="145">
        <v>44562</v>
      </c>
      <c r="E241" s="146">
        <v>44926</v>
      </c>
      <c r="F241" s="149">
        <v>0.49450549450549453</v>
      </c>
      <c r="G241" s="354">
        <v>48000</v>
      </c>
      <c r="H241" s="354">
        <v>47000</v>
      </c>
      <c r="I241" s="358">
        <v>16450</v>
      </c>
      <c r="J241" s="352">
        <f t="shared" si="15"/>
        <v>0.35</v>
      </c>
      <c r="M241" s="74">
        <f t="shared" si="11"/>
        <v>364</v>
      </c>
      <c r="N241" s="146">
        <v>44742</v>
      </c>
      <c r="O241" s="74">
        <f t="shared" si="12"/>
        <v>184</v>
      </c>
      <c r="P241" s="353">
        <f t="shared" si="13"/>
        <v>0.49450549450549453</v>
      </c>
    </row>
    <row r="242" spans="1:16" ht="18.75" customHeight="1">
      <c r="A242" s="348">
        <f t="shared" si="14"/>
        <v>182</v>
      </c>
      <c r="B242" s="357" t="s">
        <v>3468</v>
      </c>
      <c r="C242" s="354" t="s">
        <v>3469</v>
      </c>
      <c r="D242" s="145">
        <v>44562</v>
      </c>
      <c r="E242" s="146">
        <v>44926</v>
      </c>
      <c r="F242" s="149">
        <v>0.49450549450549453</v>
      </c>
      <c r="G242" s="354">
        <v>72000</v>
      </c>
      <c r="H242" s="354">
        <v>93999.95</v>
      </c>
      <c r="I242" s="358">
        <v>42534.979999999996</v>
      </c>
      <c r="J242" s="352">
        <f t="shared" si="15"/>
        <v>0.45250002792554672</v>
      </c>
      <c r="M242" s="74">
        <f t="shared" si="11"/>
        <v>364</v>
      </c>
      <c r="N242" s="146">
        <v>44742</v>
      </c>
      <c r="O242" s="74">
        <f t="shared" si="12"/>
        <v>184</v>
      </c>
      <c r="P242" s="353">
        <f t="shared" si="13"/>
        <v>0.49450549450549453</v>
      </c>
    </row>
    <row r="243" spans="1:16" ht="18.75" customHeight="1">
      <c r="A243" s="348">
        <f t="shared" si="14"/>
        <v>183</v>
      </c>
      <c r="B243" s="357" t="s">
        <v>3470</v>
      </c>
      <c r="C243" s="354" t="s">
        <v>3471</v>
      </c>
      <c r="D243" s="145">
        <v>44562</v>
      </c>
      <c r="E243" s="146">
        <v>44926</v>
      </c>
      <c r="F243" s="149">
        <v>0.49450549450549453</v>
      </c>
      <c r="G243" s="354">
        <v>240000</v>
      </c>
      <c r="H243" s="354">
        <v>235000.12</v>
      </c>
      <c r="I243" s="358">
        <v>117500.05999999997</v>
      </c>
      <c r="J243" s="352">
        <f t="shared" si="15"/>
        <v>0.49999999999999989</v>
      </c>
      <c r="M243" s="74">
        <f t="shared" si="11"/>
        <v>364</v>
      </c>
      <c r="N243" s="146">
        <v>44742</v>
      </c>
      <c r="O243" s="74">
        <f t="shared" si="12"/>
        <v>184</v>
      </c>
      <c r="P243" s="353">
        <f t="shared" si="13"/>
        <v>0.49450549450549453</v>
      </c>
    </row>
    <row r="244" spans="1:16" ht="18.75" customHeight="1">
      <c r="A244" s="348">
        <f t="shared" si="14"/>
        <v>184</v>
      </c>
      <c r="B244" s="357" t="s">
        <v>3472</v>
      </c>
      <c r="C244" s="354" t="s">
        <v>3473</v>
      </c>
      <c r="D244" s="145">
        <v>44562</v>
      </c>
      <c r="E244" s="146">
        <v>44926</v>
      </c>
      <c r="F244" s="149">
        <v>0.49450549450549453</v>
      </c>
      <c r="G244" s="354">
        <v>192000</v>
      </c>
      <c r="H244" s="354">
        <v>190605.87</v>
      </c>
      <c r="I244" s="358">
        <v>190605.87</v>
      </c>
      <c r="J244" s="352">
        <f t="shared" si="15"/>
        <v>1</v>
      </c>
      <c r="M244" s="74">
        <f t="shared" si="11"/>
        <v>364</v>
      </c>
      <c r="N244" s="146">
        <v>44742</v>
      </c>
      <c r="O244" s="74">
        <f t="shared" si="12"/>
        <v>184</v>
      </c>
      <c r="P244" s="353">
        <f t="shared" si="13"/>
        <v>0.49450549450549453</v>
      </c>
    </row>
    <row r="245" spans="1:16" ht="18.75" customHeight="1">
      <c r="A245" s="348">
        <f t="shared" si="14"/>
        <v>185</v>
      </c>
      <c r="B245" s="357" t="s">
        <v>3474</v>
      </c>
      <c r="C245" s="354" t="s">
        <v>3475</v>
      </c>
      <c r="D245" s="145">
        <v>44562</v>
      </c>
      <c r="E245" s="146">
        <v>44926</v>
      </c>
      <c r="F245" s="149">
        <v>0.49450549450549453</v>
      </c>
      <c r="G245" s="354">
        <v>72000</v>
      </c>
      <c r="H245" s="354">
        <v>94000.040000000008</v>
      </c>
      <c r="I245" s="358">
        <v>40890.01</v>
      </c>
      <c r="J245" s="352">
        <f t="shared" si="15"/>
        <v>0.43499992127662923</v>
      </c>
      <c r="M245" s="74">
        <f t="shared" si="11"/>
        <v>364</v>
      </c>
      <c r="N245" s="146">
        <v>44742</v>
      </c>
      <c r="O245" s="74">
        <f t="shared" si="12"/>
        <v>184</v>
      </c>
      <c r="P245" s="353">
        <f t="shared" si="13"/>
        <v>0.49450549450549453</v>
      </c>
    </row>
    <row r="246" spans="1:16" ht="18.75" customHeight="1">
      <c r="A246" s="348">
        <f t="shared" si="14"/>
        <v>186</v>
      </c>
      <c r="B246" s="357" t="s">
        <v>3476</v>
      </c>
      <c r="C246" s="354" t="s">
        <v>3477</v>
      </c>
      <c r="D246" s="145">
        <v>44562</v>
      </c>
      <c r="E246" s="146">
        <v>44926</v>
      </c>
      <c r="F246" s="149">
        <v>0.49450549450549453</v>
      </c>
      <c r="G246" s="354">
        <v>250000</v>
      </c>
      <c r="H246" s="354">
        <v>172000</v>
      </c>
      <c r="I246" s="358">
        <v>78000</v>
      </c>
      <c r="J246" s="352">
        <f t="shared" si="15"/>
        <v>0.45348837209302323</v>
      </c>
      <c r="M246" s="74">
        <f t="shared" si="11"/>
        <v>364</v>
      </c>
      <c r="N246" s="146">
        <v>44742</v>
      </c>
      <c r="O246" s="74">
        <f t="shared" si="12"/>
        <v>184</v>
      </c>
      <c r="P246" s="353">
        <f t="shared" si="13"/>
        <v>0.49450549450549453</v>
      </c>
    </row>
    <row r="247" spans="1:16" ht="18.75" customHeight="1">
      <c r="A247" s="348">
        <f t="shared" si="14"/>
        <v>187</v>
      </c>
      <c r="B247" s="357" t="s">
        <v>3478</v>
      </c>
      <c r="C247" s="354" t="s">
        <v>3479</v>
      </c>
      <c r="D247" s="145">
        <v>44562</v>
      </c>
      <c r="E247" s="146">
        <v>44926</v>
      </c>
      <c r="F247" s="149">
        <v>0.49450549450549453</v>
      </c>
      <c r="G247" s="354">
        <v>216000</v>
      </c>
      <c r="H247" s="354">
        <v>215334.29</v>
      </c>
      <c r="I247" s="358">
        <v>86133.71</v>
      </c>
      <c r="J247" s="352">
        <f t="shared" si="15"/>
        <v>0.39999997213634669</v>
      </c>
      <c r="M247" s="74">
        <f t="shared" si="11"/>
        <v>364</v>
      </c>
      <c r="N247" s="146">
        <v>44742</v>
      </c>
      <c r="O247" s="74">
        <f t="shared" si="12"/>
        <v>184</v>
      </c>
      <c r="P247" s="353">
        <f t="shared" si="13"/>
        <v>0.49450549450549453</v>
      </c>
    </row>
    <row r="248" spans="1:16" ht="18.75" customHeight="1">
      <c r="A248" s="348">
        <f t="shared" si="14"/>
        <v>188</v>
      </c>
      <c r="B248" s="357" t="s">
        <v>3480</v>
      </c>
      <c r="C248" s="354" t="s">
        <v>3481</v>
      </c>
      <c r="D248" s="145">
        <v>44562</v>
      </c>
      <c r="E248" s="146">
        <v>44926</v>
      </c>
      <c r="F248" s="149">
        <v>0.49450549450549453</v>
      </c>
      <c r="G248" s="354">
        <v>24000</v>
      </c>
      <c r="H248" s="354">
        <v>23500</v>
      </c>
      <c r="I248" s="358">
        <v>9870</v>
      </c>
      <c r="J248" s="352">
        <f t="shared" si="15"/>
        <v>0.42</v>
      </c>
      <c r="M248" s="74">
        <f t="shared" si="11"/>
        <v>364</v>
      </c>
      <c r="N248" s="146">
        <v>44742</v>
      </c>
      <c r="O248" s="74">
        <f t="shared" si="12"/>
        <v>184</v>
      </c>
      <c r="P248" s="353">
        <f t="shared" si="13"/>
        <v>0.49450549450549453</v>
      </c>
    </row>
    <row r="249" spans="1:16" ht="18.75" customHeight="1">
      <c r="A249" s="348">
        <f t="shared" si="14"/>
        <v>189</v>
      </c>
      <c r="B249" s="357" t="s">
        <v>3482</v>
      </c>
      <c r="C249" s="354" t="s">
        <v>3483</v>
      </c>
      <c r="D249" s="145">
        <v>44562</v>
      </c>
      <c r="E249" s="146">
        <v>44926</v>
      </c>
      <c r="F249" s="149">
        <v>0.49450549450549453</v>
      </c>
      <c r="G249" s="354">
        <v>96000</v>
      </c>
      <c r="H249" s="354">
        <v>141000</v>
      </c>
      <c r="I249" s="358">
        <v>63449.990000000005</v>
      </c>
      <c r="J249" s="352">
        <f t="shared" si="15"/>
        <v>0.44999992907801423</v>
      </c>
      <c r="M249" s="74">
        <f t="shared" si="11"/>
        <v>364</v>
      </c>
      <c r="N249" s="146">
        <v>44742</v>
      </c>
      <c r="O249" s="74">
        <f t="shared" si="12"/>
        <v>184</v>
      </c>
      <c r="P249" s="353">
        <f t="shared" si="13"/>
        <v>0.49450549450549453</v>
      </c>
    </row>
    <row r="250" spans="1:16" ht="18.75" customHeight="1">
      <c r="A250" s="348">
        <f t="shared" si="14"/>
        <v>190</v>
      </c>
      <c r="B250" s="357" t="s">
        <v>3484</v>
      </c>
      <c r="C250" s="354" t="s">
        <v>3485</v>
      </c>
      <c r="D250" s="145">
        <v>44562</v>
      </c>
      <c r="E250" s="146">
        <v>44926</v>
      </c>
      <c r="F250" s="149">
        <v>0.49450549450549453</v>
      </c>
      <c r="G250" s="354">
        <v>60000</v>
      </c>
      <c r="H250" s="354">
        <v>58750</v>
      </c>
      <c r="I250" s="358">
        <v>33370</v>
      </c>
      <c r="J250" s="352">
        <f t="shared" si="15"/>
        <v>0.56799999999999995</v>
      </c>
      <c r="M250" s="74">
        <f t="shared" si="11"/>
        <v>364</v>
      </c>
      <c r="N250" s="146">
        <v>44742</v>
      </c>
      <c r="O250" s="74">
        <f t="shared" si="12"/>
        <v>184</v>
      </c>
      <c r="P250" s="353">
        <f t="shared" si="13"/>
        <v>0.49450549450549453</v>
      </c>
    </row>
    <row r="251" spans="1:16" ht="18.75" customHeight="1">
      <c r="A251" s="348">
        <f t="shared" si="14"/>
        <v>191</v>
      </c>
      <c r="B251" s="357" t="s">
        <v>3486</v>
      </c>
      <c r="C251" s="354" t="s">
        <v>3487</v>
      </c>
      <c r="D251" s="145">
        <v>44562</v>
      </c>
      <c r="E251" s="146">
        <v>44926</v>
      </c>
      <c r="F251" s="149">
        <v>0.49450549450549453</v>
      </c>
      <c r="G251" s="354">
        <v>72000</v>
      </c>
      <c r="H251" s="354">
        <v>70499.990000000005</v>
      </c>
      <c r="I251" s="358">
        <v>59219.99</v>
      </c>
      <c r="J251" s="352">
        <f t="shared" si="15"/>
        <v>0.83999997730496123</v>
      </c>
      <c r="M251" s="74">
        <f t="shared" si="11"/>
        <v>364</v>
      </c>
      <c r="N251" s="146">
        <v>44742</v>
      </c>
      <c r="O251" s="74">
        <f t="shared" si="12"/>
        <v>184</v>
      </c>
      <c r="P251" s="353">
        <f t="shared" si="13"/>
        <v>0.49450549450549453</v>
      </c>
    </row>
    <row r="252" spans="1:16" ht="18.75" customHeight="1">
      <c r="A252" s="348">
        <f t="shared" si="14"/>
        <v>192</v>
      </c>
      <c r="B252" s="357" t="s">
        <v>3488</v>
      </c>
      <c r="C252" s="354" t="s">
        <v>3489</v>
      </c>
      <c r="D252" s="145">
        <v>44562</v>
      </c>
      <c r="E252" s="146">
        <v>44926</v>
      </c>
      <c r="F252" s="149">
        <v>0.49450549450549453</v>
      </c>
      <c r="G252" s="354">
        <v>17520.96</v>
      </c>
      <c r="H252" s="354">
        <v>23500</v>
      </c>
      <c r="I252" s="358">
        <v>11750</v>
      </c>
      <c r="J252" s="352">
        <f t="shared" si="15"/>
        <v>0.5</v>
      </c>
      <c r="M252" s="74">
        <f t="shared" si="11"/>
        <v>364</v>
      </c>
      <c r="N252" s="146">
        <v>44742</v>
      </c>
      <c r="O252" s="74">
        <f t="shared" si="12"/>
        <v>184</v>
      </c>
      <c r="P252" s="353">
        <f t="shared" si="13"/>
        <v>0.49450549450549453</v>
      </c>
    </row>
    <row r="253" spans="1:16" ht="18.75" customHeight="1">
      <c r="A253" s="348">
        <f t="shared" si="14"/>
        <v>193</v>
      </c>
      <c r="B253" s="357" t="s">
        <v>3490</v>
      </c>
      <c r="C253" s="354" t="s">
        <v>3491</v>
      </c>
      <c r="D253" s="145">
        <v>44562</v>
      </c>
      <c r="E253" s="146">
        <v>44926</v>
      </c>
      <c r="F253" s="149">
        <v>0.49450549450549453</v>
      </c>
      <c r="G253" s="354">
        <v>18000</v>
      </c>
      <c r="H253" s="354">
        <v>17625</v>
      </c>
      <c r="I253" s="358">
        <v>17625</v>
      </c>
      <c r="J253" s="352">
        <f t="shared" ref="J253:J273" si="16">I253/H253</f>
        <v>1</v>
      </c>
      <c r="M253" s="74">
        <f t="shared" ref="M253:M273" si="17">E253-D253</f>
        <v>364</v>
      </c>
      <c r="N253" s="146">
        <v>44742</v>
      </c>
      <c r="O253" s="74">
        <f t="shared" ref="O253:O273" si="18">E253-N253</f>
        <v>184</v>
      </c>
      <c r="P253" s="353">
        <f t="shared" ref="P253:P273" si="19">(M253-O253)/M253</f>
        <v>0.49450549450549453</v>
      </c>
    </row>
    <row r="254" spans="1:16" ht="18.75" customHeight="1">
      <c r="A254" s="348">
        <f t="shared" ref="A254:A273" si="20">A253+1</f>
        <v>194</v>
      </c>
      <c r="B254" s="357" t="s">
        <v>3492</v>
      </c>
      <c r="C254" s="354" t="s">
        <v>3493</v>
      </c>
      <c r="D254" s="145">
        <v>44562</v>
      </c>
      <c r="E254" s="146">
        <v>44926</v>
      </c>
      <c r="F254" s="149">
        <v>0.49450549450549453</v>
      </c>
      <c r="G254" s="354">
        <v>28800</v>
      </c>
      <c r="H254" s="354">
        <v>60630</v>
      </c>
      <c r="I254" s="358">
        <v>60630</v>
      </c>
      <c r="J254" s="352">
        <f t="shared" si="16"/>
        <v>1</v>
      </c>
      <c r="M254" s="74">
        <f t="shared" si="17"/>
        <v>364</v>
      </c>
      <c r="N254" s="146">
        <v>44742</v>
      </c>
      <c r="O254" s="74">
        <f t="shared" si="18"/>
        <v>184</v>
      </c>
      <c r="P254" s="353">
        <f t="shared" si="19"/>
        <v>0.49450549450549453</v>
      </c>
    </row>
    <row r="255" spans="1:16" ht="18.75" customHeight="1">
      <c r="A255" s="348">
        <f t="shared" si="20"/>
        <v>195</v>
      </c>
      <c r="B255" s="357" t="s">
        <v>3494</v>
      </c>
      <c r="C255" s="354" t="s">
        <v>3495</v>
      </c>
      <c r="D255" s="145">
        <v>44562</v>
      </c>
      <c r="E255" s="146">
        <v>44926</v>
      </c>
      <c r="F255" s="149">
        <v>0.49450549450549453</v>
      </c>
      <c r="G255" s="354">
        <v>28800</v>
      </c>
      <c r="H255" s="354">
        <v>60629.99</v>
      </c>
      <c r="I255" s="358">
        <v>60629.99</v>
      </c>
      <c r="J255" s="352">
        <f t="shared" si="16"/>
        <v>1</v>
      </c>
      <c r="M255" s="74">
        <f t="shared" si="17"/>
        <v>364</v>
      </c>
      <c r="N255" s="146">
        <v>44742</v>
      </c>
      <c r="O255" s="74">
        <f t="shared" si="18"/>
        <v>184</v>
      </c>
      <c r="P255" s="353">
        <f t="shared" si="19"/>
        <v>0.49450549450549453</v>
      </c>
    </row>
    <row r="256" spans="1:16" ht="18.75" customHeight="1">
      <c r="A256" s="348">
        <f t="shared" si="20"/>
        <v>196</v>
      </c>
      <c r="B256" s="357" t="s">
        <v>3496</v>
      </c>
      <c r="C256" s="354" t="s">
        <v>3497</v>
      </c>
      <c r="D256" s="145">
        <v>44562</v>
      </c>
      <c r="E256" s="146">
        <v>44926</v>
      </c>
      <c r="F256" s="149">
        <v>0.49450549450549453</v>
      </c>
      <c r="G256" s="354">
        <v>24000.04</v>
      </c>
      <c r="H256" s="354">
        <v>23462.38</v>
      </c>
      <c r="I256" s="358">
        <v>11731.19</v>
      </c>
      <c r="J256" s="352">
        <f t="shared" si="16"/>
        <v>0.5</v>
      </c>
      <c r="M256" s="74">
        <f t="shared" si="17"/>
        <v>364</v>
      </c>
      <c r="N256" s="146">
        <v>44742</v>
      </c>
      <c r="O256" s="74">
        <f t="shared" si="18"/>
        <v>184</v>
      </c>
      <c r="P256" s="353">
        <f t="shared" si="19"/>
        <v>0.49450549450549453</v>
      </c>
    </row>
    <row r="257" spans="1:16" ht="18.75" customHeight="1">
      <c r="A257" s="348">
        <f t="shared" si="20"/>
        <v>197</v>
      </c>
      <c r="B257" s="357" t="s">
        <v>3498</v>
      </c>
      <c r="C257" s="354" t="s">
        <v>3499</v>
      </c>
      <c r="D257" s="145">
        <v>44562</v>
      </c>
      <c r="E257" s="146">
        <v>44926</v>
      </c>
      <c r="F257" s="149">
        <v>0.49450549450549453</v>
      </c>
      <c r="G257" s="354">
        <v>41040</v>
      </c>
      <c r="H257" s="354">
        <v>40504.520000000004</v>
      </c>
      <c r="I257" s="358">
        <v>40504.520000000004</v>
      </c>
      <c r="J257" s="352">
        <f t="shared" si="16"/>
        <v>1</v>
      </c>
      <c r="M257" s="74">
        <f t="shared" si="17"/>
        <v>364</v>
      </c>
      <c r="N257" s="146">
        <v>44742</v>
      </c>
      <c r="O257" s="74">
        <f t="shared" si="18"/>
        <v>184</v>
      </c>
      <c r="P257" s="353">
        <f t="shared" si="19"/>
        <v>0.49450549450549453</v>
      </c>
    </row>
    <row r="258" spans="1:16" ht="18.75" customHeight="1">
      <c r="A258" s="348">
        <f t="shared" si="20"/>
        <v>198</v>
      </c>
      <c r="B258" s="357" t="s">
        <v>3500</v>
      </c>
      <c r="C258" s="354" t="s">
        <v>3501</v>
      </c>
      <c r="D258" s="145">
        <v>44562</v>
      </c>
      <c r="E258" s="146">
        <v>44926</v>
      </c>
      <c r="F258" s="149">
        <v>0.49450549450549453</v>
      </c>
      <c r="G258" s="354">
        <v>48000</v>
      </c>
      <c r="H258" s="354">
        <v>47000</v>
      </c>
      <c r="I258" s="358">
        <v>23500</v>
      </c>
      <c r="J258" s="352">
        <f t="shared" si="16"/>
        <v>0.5</v>
      </c>
      <c r="M258" s="74">
        <f t="shared" si="17"/>
        <v>364</v>
      </c>
      <c r="N258" s="146">
        <v>44742</v>
      </c>
      <c r="O258" s="74">
        <f t="shared" si="18"/>
        <v>184</v>
      </c>
      <c r="P258" s="353">
        <f t="shared" si="19"/>
        <v>0.49450549450549453</v>
      </c>
    </row>
    <row r="259" spans="1:16" ht="18.75" customHeight="1">
      <c r="A259" s="348">
        <f t="shared" si="20"/>
        <v>199</v>
      </c>
      <c r="B259" s="357" t="s">
        <v>3502</v>
      </c>
      <c r="C259" s="354" t="s">
        <v>3503</v>
      </c>
      <c r="D259" s="145">
        <v>44562</v>
      </c>
      <c r="E259" s="146">
        <v>44926</v>
      </c>
      <c r="F259" s="149">
        <v>0.49450549450549453</v>
      </c>
      <c r="G259" s="354">
        <v>34080.480000000003</v>
      </c>
      <c r="H259" s="354">
        <v>33370.47</v>
      </c>
      <c r="I259" s="358">
        <v>23836.05</v>
      </c>
      <c r="J259" s="352">
        <f t="shared" si="16"/>
        <v>0.71428571428571419</v>
      </c>
      <c r="M259" s="74">
        <f t="shared" si="17"/>
        <v>364</v>
      </c>
      <c r="N259" s="146">
        <v>44742</v>
      </c>
      <c r="O259" s="74">
        <f t="shared" si="18"/>
        <v>184</v>
      </c>
      <c r="P259" s="353">
        <f t="shared" si="19"/>
        <v>0.49450549450549453</v>
      </c>
    </row>
    <row r="260" spans="1:16" ht="18.75" customHeight="1">
      <c r="A260" s="348">
        <f t="shared" si="20"/>
        <v>200</v>
      </c>
      <c r="B260" s="357" t="s">
        <v>3504</v>
      </c>
      <c r="C260" s="354" t="s">
        <v>3505</v>
      </c>
      <c r="D260" s="145">
        <v>44562</v>
      </c>
      <c r="E260" s="146">
        <v>44926</v>
      </c>
      <c r="F260" s="149">
        <v>0.49450549450549453</v>
      </c>
      <c r="G260" s="354">
        <v>240000</v>
      </c>
      <c r="H260" s="354">
        <v>235000</v>
      </c>
      <c r="I260" s="358">
        <v>235000</v>
      </c>
      <c r="J260" s="352">
        <f t="shared" si="16"/>
        <v>1</v>
      </c>
      <c r="M260" s="74">
        <f t="shared" si="17"/>
        <v>364</v>
      </c>
      <c r="N260" s="146">
        <v>44742</v>
      </c>
      <c r="O260" s="74">
        <f t="shared" si="18"/>
        <v>184</v>
      </c>
      <c r="P260" s="353">
        <f t="shared" si="19"/>
        <v>0.49450549450549453</v>
      </c>
    </row>
    <row r="261" spans="1:16" ht="18.75" customHeight="1">
      <c r="A261" s="348">
        <f t="shared" si="20"/>
        <v>201</v>
      </c>
      <c r="B261" s="357" t="s">
        <v>3506</v>
      </c>
      <c r="C261" s="354" t="s">
        <v>3507</v>
      </c>
      <c r="D261" s="145">
        <v>44562</v>
      </c>
      <c r="E261" s="146">
        <v>44926</v>
      </c>
      <c r="F261" s="149">
        <v>0.49450549450549453</v>
      </c>
      <c r="G261" s="354">
        <v>216000</v>
      </c>
      <c r="H261" s="354">
        <v>211500</v>
      </c>
      <c r="I261" s="358">
        <v>211500</v>
      </c>
      <c r="J261" s="352">
        <f t="shared" si="16"/>
        <v>1</v>
      </c>
      <c r="M261" s="74">
        <f t="shared" si="17"/>
        <v>364</v>
      </c>
      <c r="N261" s="146">
        <v>44742</v>
      </c>
      <c r="O261" s="74">
        <f t="shared" si="18"/>
        <v>184</v>
      </c>
      <c r="P261" s="353">
        <f t="shared" si="19"/>
        <v>0.49450549450549453</v>
      </c>
    </row>
    <row r="262" spans="1:16" ht="18.75" customHeight="1">
      <c r="A262" s="348">
        <f t="shared" si="20"/>
        <v>202</v>
      </c>
      <c r="B262" s="357" t="s">
        <v>3508</v>
      </c>
      <c r="C262" s="354" t="s">
        <v>3509</v>
      </c>
      <c r="D262" s="145">
        <v>44562</v>
      </c>
      <c r="E262" s="146">
        <v>44926</v>
      </c>
      <c r="F262" s="149">
        <v>0.49450549450549453</v>
      </c>
      <c r="G262" s="354">
        <v>72000</v>
      </c>
      <c r="H262" s="354">
        <v>69867.88</v>
      </c>
      <c r="I262" s="358">
        <v>33536.660000000003</v>
      </c>
      <c r="J262" s="352">
        <f t="shared" si="16"/>
        <v>0.4800011106677346</v>
      </c>
      <c r="M262" s="74">
        <f t="shared" si="17"/>
        <v>364</v>
      </c>
      <c r="N262" s="146">
        <v>44742</v>
      </c>
      <c r="O262" s="74">
        <f t="shared" si="18"/>
        <v>184</v>
      </c>
      <c r="P262" s="353">
        <f t="shared" si="19"/>
        <v>0.49450549450549453</v>
      </c>
    </row>
    <row r="263" spans="1:16" ht="18.75" customHeight="1">
      <c r="A263" s="348">
        <f t="shared" si="20"/>
        <v>203</v>
      </c>
      <c r="B263" s="357" t="s">
        <v>3510</v>
      </c>
      <c r="C263" s="354" t="s">
        <v>3511</v>
      </c>
      <c r="D263" s="145">
        <v>44562</v>
      </c>
      <c r="E263" s="146">
        <v>44926</v>
      </c>
      <c r="F263" s="149">
        <v>0.49450549450549453</v>
      </c>
      <c r="G263" s="354">
        <v>72000</v>
      </c>
      <c r="H263" s="354">
        <v>94000</v>
      </c>
      <c r="I263" s="358">
        <v>47000</v>
      </c>
      <c r="J263" s="352">
        <f t="shared" si="16"/>
        <v>0.5</v>
      </c>
      <c r="M263" s="74">
        <f t="shared" si="17"/>
        <v>364</v>
      </c>
      <c r="N263" s="146">
        <v>44742</v>
      </c>
      <c r="O263" s="74">
        <f t="shared" si="18"/>
        <v>184</v>
      </c>
      <c r="P263" s="353">
        <f t="shared" si="19"/>
        <v>0.49450549450549453</v>
      </c>
    </row>
    <row r="264" spans="1:16" ht="18.75" customHeight="1">
      <c r="A264" s="348">
        <f t="shared" si="20"/>
        <v>204</v>
      </c>
      <c r="B264" s="357" t="s">
        <v>3512</v>
      </c>
      <c r="C264" s="354" t="s">
        <v>3513</v>
      </c>
      <c r="D264" s="145">
        <v>44562</v>
      </c>
      <c r="E264" s="146">
        <v>44926</v>
      </c>
      <c r="F264" s="149">
        <v>0.49450549450549453</v>
      </c>
      <c r="G264" s="354">
        <v>40800</v>
      </c>
      <c r="H264" s="354">
        <v>39950</v>
      </c>
      <c r="I264" s="358">
        <v>25850</v>
      </c>
      <c r="J264" s="352">
        <f t="shared" si="16"/>
        <v>0.6470588235294118</v>
      </c>
      <c r="M264" s="74">
        <f t="shared" si="17"/>
        <v>364</v>
      </c>
      <c r="N264" s="146">
        <v>44742</v>
      </c>
      <c r="O264" s="74">
        <f t="shared" si="18"/>
        <v>184</v>
      </c>
      <c r="P264" s="353">
        <f t="shared" si="19"/>
        <v>0.49450549450549453</v>
      </c>
    </row>
    <row r="265" spans="1:16" ht="18.75" customHeight="1">
      <c r="A265" s="348">
        <f t="shared" si="20"/>
        <v>205</v>
      </c>
      <c r="B265" s="357" t="s">
        <v>3514</v>
      </c>
      <c r="C265" s="354" t="s">
        <v>3515</v>
      </c>
      <c r="D265" s="145">
        <v>44562</v>
      </c>
      <c r="E265" s="146">
        <v>44926</v>
      </c>
      <c r="F265" s="149">
        <v>0.49450549450549453</v>
      </c>
      <c r="G265" s="354">
        <v>96000</v>
      </c>
      <c r="H265" s="354">
        <v>110000</v>
      </c>
      <c r="I265" s="358">
        <v>55000</v>
      </c>
      <c r="J265" s="352">
        <f t="shared" si="16"/>
        <v>0.5</v>
      </c>
      <c r="M265" s="74">
        <f t="shared" si="17"/>
        <v>364</v>
      </c>
      <c r="N265" s="146">
        <v>44742</v>
      </c>
      <c r="O265" s="74">
        <f t="shared" si="18"/>
        <v>184</v>
      </c>
      <c r="P265" s="353">
        <f t="shared" si="19"/>
        <v>0.49450549450549453</v>
      </c>
    </row>
    <row r="266" spans="1:16" ht="18.75" customHeight="1">
      <c r="A266" s="348">
        <f t="shared" si="20"/>
        <v>206</v>
      </c>
      <c r="B266" s="357" t="s">
        <v>3516</v>
      </c>
      <c r="C266" s="354" t="s">
        <v>3517</v>
      </c>
      <c r="D266" s="145">
        <v>44562</v>
      </c>
      <c r="E266" s="146">
        <v>44926</v>
      </c>
      <c r="F266" s="149">
        <v>0.49450549450549453</v>
      </c>
      <c r="G266" s="354">
        <v>48960</v>
      </c>
      <c r="H266" s="354">
        <v>58497.14</v>
      </c>
      <c r="I266" s="358">
        <v>58497.14</v>
      </c>
      <c r="J266" s="352">
        <f t="shared" si="16"/>
        <v>1</v>
      </c>
      <c r="M266" s="74">
        <f t="shared" si="17"/>
        <v>364</v>
      </c>
      <c r="N266" s="146">
        <v>44742</v>
      </c>
      <c r="O266" s="74">
        <f t="shared" si="18"/>
        <v>184</v>
      </c>
      <c r="P266" s="353">
        <f t="shared" si="19"/>
        <v>0.49450549450549453</v>
      </c>
    </row>
    <row r="267" spans="1:16" ht="18.75" customHeight="1">
      <c r="A267" s="348">
        <f t="shared" si="20"/>
        <v>207</v>
      </c>
      <c r="B267" s="357" t="s">
        <v>3518</v>
      </c>
      <c r="C267" s="354" t="s">
        <v>3519</v>
      </c>
      <c r="D267" s="145">
        <v>44562</v>
      </c>
      <c r="E267" s="146">
        <v>44926</v>
      </c>
      <c r="F267" s="149">
        <v>0.49450549450549453</v>
      </c>
      <c r="G267" s="354">
        <v>75000</v>
      </c>
      <c r="H267" s="354">
        <v>61309.520000000004</v>
      </c>
      <c r="I267" s="358">
        <v>61309.520000000004</v>
      </c>
      <c r="J267" s="352">
        <f t="shared" si="16"/>
        <v>1</v>
      </c>
      <c r="M267" s="74">
        <f t="shared" si="17"/>
        <v>364</v>
      </c>
      <c r="N267" s="146">
        <v>44742</v>
      </c>
      <c r="O267" s="74">
        <f t="shared" si="18"/>
        <v>184</v>
      </c>
      <c r="P267" s="353">
        <f t="shared" si="19"/>
        <v>0.49450549450549453</v>
      </c>
    </row>
    <row r="268" spans="1:16" ht="18.75" customHeight="1">
      <c r="A268" s="348">
        <f t="shared" si="20"/>
        <v>208</v>
      </c>
      <c r="B268" s="357" t="s">
        <v>3520</v>
      </c>
      <c r="C268" s="354" t="s">
        <v>3521</v>
      </c>
      <c r="D268" s="145">
        <v>44562</v>
      </c>
      <c r="E268" s="146">
        <v>44926</v>
      </c>
      <c r="F268" s="149">
        <v>0.49450549450549453</v>
      </c>
      <c r="G268" s="354">
        <v>50880</v>
      </c>
      <c r="H268" s="354">
        <v>49820</v>
      </c>
      <c r="I268" s="358">
        <v>29892</v>
      </c>
      <c r="J268" s="352">
        <f t="shared" si="16"/>
        <v>0.6</v>
      </c>
      <c r="M268" s="74">
        <f t="shared" si="17"/>
        <v>364</v>
      </c>
      <c r="N268" s="146">
        <v>44742</v>
      </c>
      <c r="O268" s="74">
        <f t="shared" si="18"/>
        <v>184</v>
      </c>
      <c r="P268" s="353">
        <f t="shared" si="19"/>
        <v>0.49450549450549453</v>
      </c>
    </row>
    <row r="269" spans="1:16" ht="18.75" customHeight="1">
      <c r="A269" s="348">
        <f t="shared" si="20"/>
        <v>209</v>
      </c>
      <c r="B269" s="357" t="s">
        <v>3522</v>
      </c>
      <c r="C269" s="354" t="s">
        <v>3523</v>
      </c>
      <c r="D269" s="145">
        <v>44562</v>
      </c>
      <c r="E269" s="146">
        <v>44926</v>
      </c>
      <c r="F269" s="149">
        <v>0.49450549450549453</v>
      </c>
      <c r="G269" s="354">
        <v>19200</v>
      </c>
      <c r="H269" s="354">
        <v>18800</v>
      </c>
      <c r="I269" s="358">
        <v>11280</v>
      </c>
      <c r="J269" s="352">
        <f t="shared" si="16"/>
        <v>0.6</v>
      </c>
      <c r="M269" s="74">
        <f t="shared" si="17"/>
        <v>364</v>
      </c>
      <c r="N269" s="146">
        <v>44742</v>
      </c>
      <c r="O269" s="74">
        <f t="shared" si="18"/>
        <v>184</v>
      </c>
      <c r="P269" s="353">
        <f t="shared" si="19"/>
        <v>0.49450549450549453</v>
      </c>
    </row>
    <row r="270" spans="1:16" ht="18.75" customHeight="1">
      <c r="A270" s="348">
        <f t="shared" si="20"/>
        <v>210</v>
      </c>
      <c r="B270" s="357" t="s">
        <v>3524</v>
      </c>
      <c r="C270" s="354" t="s">
        <v>3525</v>
      </c>
      <c r="D270" s="145">
        <v>44562</v>
      </c>
      <c r="E270" s="146">
        <v>44926</v>
      </c>
      <c r="F270" s="149">
        <v>0.49450549450549453</v>
      </c>
      <c r="G270" s="354">
        <v>1280066.7699999998</v>
      </c>
      <c r="H270" s="354">
        <v>1408503.04</v>
      </c>
      <c r="I270" s="358">
        <v>768274.32</v>
      </c>
      <c r="J270" s="352">
        <f t="shared" si="16"/>
        <v>0.54545449898354492</v>
      </c>
      <c r="M270" s="74">
        <f t="shared" si="17"/>
        <v>364</v>
      </c>
      <c r="N270" s="146">
        <v>44742</v>
      </c>
      <c r="O270" s="74">
        <f t="shared" si="18"/>
        <v>184</v>
      </c>
      <c r="P270" s="353">
        <f t="shared" si="19"/>
        <v>0.49450549450549453</v>
      </c>
    </row>
    <row r="271" spans="1:16" ht="18.75" customHeight="1">
      <c r="A271" s="348">
        <f t="shared" si="20"/>
        <v>211</v>
      </c>
      <c r="B271" s="357" t="s">
        <v>3526</v>
      </c>
      <c r="C271" s="354" t="s">
        <v>3527</v>
      </c>
      <c r="D271" s="145">
        <v>44562</v>
      </c>
      <c r="E271" s="146">
        <v>44926</v>
      </c>
      <c r="F271" s="149">
        <v>0.49450549450549453</v>
      </c>
      <c r="G271" s="354">
        <v>32640</v>
      </c>
      <c r="H271" s="354">
        <v>35250</v>
      </c>
      <c r="I271" s="358">
        <v>9400</v>
      </c>
      <c r="J271" s="352">
        <f t="shared" si="16"/>
        <v>0.26666666666666666</v>
      </c>
      <c r="M271" s="74">
        <f t="shared" si="17"/>
        <v>364</v>
      </c>
      <c r="N271" s="146">
        <v>44742</v>
      </c>
      <c r="O271" s="74">
        <f t="shared" si="18"/>
        <v>184</v>
      </c>
      <c r="P271" s="353">
        <f t="shared" si="19"/>
        <v>0.49450549450549453</v>
      </c>
    </row>
    <row r="272" spans="1:16" ht="18.75" customHeight="1">
      <c r="A272" s="348">
        <f t="shared" si="20"/>
        <v>212</v>
      </c>
      <c r="B272" s="357" t="s">
        <v>3528</v>
      </c>
      <c r="C272" s="354" t="s">
        <v>3529</v>
      </c>
      <c r="D272" s="145">
        <v>44562</v>
      </c>
      <c r="E272" s="146">
        <v>44926</v>
      </c>
      <c r="F272" s="149">
        <v>0.49450549450549453</v>
      </c>
      <c r="G272" s="354">
        <v>72000</v>
      </c>
      <c r="H272" s="354">
        <v>70500</v>
      </c>
      <c r="I272" s="358">
        <v>35250</v>
      </c>
      <c r="J272" s="352">
        <f t="shared" si="16"/>
        <v>0.5</v>
      </c>
      <c r="M272" s="74">
        <f t="shared" si="17"/>
        <v>364</v>
      </c>
      <c r="N272" s="146">
        <v>44742</v>
      </c>
      <c r="O272" s="74">
        <f t="shared" si="18"/>
        <v>184</v>
      </c>
      <c r="P272" s="353">
        <f t="shared" si="19"/>
        <v>0.49450549450549453</v>
      </c>
    </row>
    <row r="273" spans="1:16" ht="18.75" customHeight="1">
      <c r="A273" s="348">
        <f t="shared" si="20"/>
        <v>213</v>
      </c>
      <c r="B273" s="357" t="s">
        <v>3530</v>
      </c>
      <c r="C273" s="354" t="s">
        <v>3531</v>
      </c>
      <c r="D273" s="145">
        <v>44562</v>
      </c>
      <c r="E273" s="146">
        <v>44926</v>
      </c>
      <c r="F273" s="149">
        <v>0.49450549450549453</v>
      </c>
      <c r="G273" s="354">
        <v>192000.96</v>
      </c>
      <c r="H273" s="354">
        <v>189310.34</v>
      </c>
      <c r="I273" s="358">
        <v>126207.04000000001</v>
      </c>
      <c r="J273" s="352">
        <f t="shared" si="16"/>
        <v>0.66666744140864154</v>
      </c>
      <c r="M273" s="74">
        <f t="shared" si="17"/>
        <v>364</v>
      </c>
      <c r="N273" s="146">
        <v>44742</v>
      </c>
      <c r="O273" s="74">
        <f t="shared" si="18"/>
        <v>184</v>
      </c>
      <c r="P273" s="353">
        <f t="shared" si="19"/>
        <v>0.49450549450549453</v>
      </c>
    </row>
    <row r="274" spans="1:16" ht="18.75" customHeight="1">
      <c r="A274" s="488">
        <f>A273+1</f>
        <v>214</v>
      </c>
      <c r="B274" s="357" t="s">
        <v>3532</v>
      </c>
      <c r="C274" s="354" t="s">
        <v>3533</v>
      </c>
      <c r="D274" s="145">
        <v>44562</v>
      </c>
      <c r="E274" s="146">
        <v>44926</v>
      </c>
      <c r="F274" s="149">
        <v>0.49450549450549453</v>
      </c>
      <c r="G274" s="354">
        <v>38400</v>
      </c>
      <c r="H274" s="354">
        <v>37600</v>
      </c>
      <c r="I274" s="358">
        <v>18800</v>
      </c>
      <c r="J274" s="352">
        <f t="shared" ref="J274" si="21">I274/H274</f>
        <v>0.5</v>
      </c>
      <c r="M274" s="74">
        <f t="shared" ref="M274" si="22">E274-D274</f>
        <v>364</v>
      </c>
      <c r="N274" s="146">
        <v>44742</v>
      </c>
      <c r="O274" s="74">
        <f t="shared" ref="O274" si="23">E274-N274</f>
        <v>184</v>
      </c>
      <c r="P274" s="353">
        <f t="shared" ref="P274" si="24">(M274-O274)/M274</f>
        <v>0.49450549450549453</v>
      </c>
    </row>
    <row r="275" spans="1:16" ht="18.75" customHeight="1">
      <c r="A275" s="635">
        <f t="shared" ref="A275:A280" si="25">A274+1</f>
        <v>215</v>
      </c>
      <c r="B275" s="357" t="s">
        <v>3534</v>
      </c>
      <c r="C275" s="354" t="s">
        <v>3535</v>
      </c>
      <c r="D275" s="145">
        <v>44562</v>
      </c>
      <c r="E275" s="146">
        <v>44926</v>
      </c>
      <c r="F275" s="149">
        <v>0.49450549450549453</v>
      </c>
      <c r="G275" s="354">
        <v>96117.119999999995</v>
      </c>
      <c r="H275" s="354">
        <v>133419.1</v>
      </c>
      <c r="I275" s="358">
        <v>66709.55</v>
      </c>
      <c r="J275" s="352">
        <f t="shared" ref="J275:J280" si="26">I275/H275</f>
        <v>0.5</v>
      </c>
      <c r="M275" s="74">
        <f t="shared" ref="M275:M280" si="27">E275-D275</f>
        <v>364</v>
      </c>
      <c r="N275" s="146">
        <v>44742</v>
      </c>
      <c r="O275" s="74">
        <f t="shared" ref="O275:O280" si="28">E275-N275</f>
        <v>184</v>
      </c>
      <c r="P275" s="353">
        <f t="shared" ref="P275:P280" si="29">(M275-O275)/M275</f>
        <v>0.49450549450549453</v>
      </c>
    </row>
    <row r="276" spans="1:16" ht="18.75" customHeight="1">
      <c r="A276" s="635">
        <f t="shared" si="25"/>
        <v>216</v>
      </c>
      <c r="B276" s="357" t="s">
        <v>3536</v>
      </c>
      <c r="C276" s="354" t="s">
        <v>3537</v>
      </c>
      <c r="D276" s="145">
        <v>44562</v>
      </c>
      <c r="E276" s="146">
        <v>44926</v>
      </c>
      <c r="F276" s="149">
        <v>0.49450549450549453</v>
      </c>
      <c r="G276" s="354">
        <v>112000.09999999999</v>
      </c>
      <c r="H276" s="354">
        <v>55000</v>
      </c>
      <c r="I276" s="358">
        <v>27500</v>
      </c>
      <c r="J276" s="352">
        <f t="shared" si="26"/>
        <v>0.5</v>
      </c>
      <c r="M276" s="74">
        <f t="shared" si="27"/>
        <v>364</v>
      </c>
      <c r="N276" s="146">
        <v>44742</v>
      </c>
      <c r="O276" s="74">
        <f t="shared" si="28"/>
        <v>184</v>
      </c>
      <c r="P276" s="353">
        <f t="shared" si="29"/>
        <v>0.49450549450549453</v>
      </c>
    </row>
    <row r="277" spans="1:16" ht="18.75" customHeight="1">
      <c r="A277" s="635">
        <f t="shared" si="25"/>
        <v>217</v>
      </c>
      <c r="B277" s="357" t="s">
        <v>3538</v>
      </c>
      <c r="C277" s="354" t="s">
        <v>3539</v>
      </c>
      <c r="D277" s="145">
        <v>44562</v>
      </c>
      <c r="E277" s="146">
        <v>44926</v>
      </c>
      <c r="F277" s="149">
        <v>0.49450549450549453</v>
      </c>
      <c r="G277" s="354">
        <v>28000</v>
      </c>
      <c r="H277" s="354">
        <v>27500</v>
      </c>
      <c r="I277" s="358">
        <v>13750</v>
      </c>
      <c r="J277" s="352">
        <f t="shared" si="26"/>
        <v>0.5</v>
      </c>
      <c r="M277" s="74">
        <f t="shared" si="27"/>
        <v>364</v>
      </c>
      <c r="N277" s="146">
        <v>44742</v>
      </c>
      <c r="O277" s="74">
        <f t="shared" si="28"/>
        <v>184</v>
      </c>
      <c r="P277" s="353">
        <f t="shared" si="29"/>
        <v>0.49450549450549453</v>
      </c>
    </row>
    <row r="278" spans="1:16" ht="18.75" customHeight="1">
      <c r="A278" s="635">
        <f t="shared" si="25"/>
        <v>218</v>
      </c>
      <c r="B278" s="357" t="s">
        <v>3540</v>
      </c>
      <c r="C278" s="354" t="s">
        <v>3541</v>
      </c>
      <c r="D278" s="145">
        <v>44562</v>
      </c>
      <c r="E278" s="146">
        <v>44926</v>
      </c>
      <c r="F278" s="149">
        <v>0.49450549450549453</v>
      </c>
      <c r="G278" s="354">
        <v>95999.98</v>
      </c>
      <c r="H278" s="354">
        <v>570428.76</v>
      </c>
      <c r="I278" s="358">
        <v>285214.38</v>
      </c>
      <c r="J278" s="352">
        <f t="shared" si="26"/>
        <v>0.5</v>
      </c>
      <c r="M278" s="74">
        <f t="shared" si="27"/>
        <v>364</v>
      </c>
      <c r="N278" s="146">
        <v>44742</v>
      </c>
      <c r="O278" s="74">
        <f t="shared" si="28"/>
        <v>184</v>
      </c>
      <c r="P278" s="353">
        <f t="shared" si="29"/>
        <v>0.49450549450549453</v>
      </c>
    </row>
    <row r="279" spans="1:16" ht="18.75" customHeight="1">
      <c r="A279" s="635">
        <f t="shared" si="25"/>
        <v>219</v>
      </c>
      <c r="B279" s="357" t="s">
        <v>3542</v>
      </c>
      <c r="C279" s="354" t="s">
        <v>3543</v>
      </c>
      <c r="D279" s="145">
        <v>44562</v>
      </c>
      <c r="E279" s="146">
        <v>45291</v>
      </c>
      <c r="F279" s="149">
        <v>0.24691358024691357</v>
      </c>
      <c r="G279" s="354">
        <v>446444.51</v>
      </c>
      <c r="H279" s="354">
        <v>110000</v>
      </c>
      <c r="I279" s="358">
        <v>11000</v>
      </c>
      <c r="J279" s="352">
        <f t="shared" si="26"/>
        <v>0.1</v>
      </c>
      <c r="M279" s="74">
        <f t="shared" si="27"/>
        <v>729</v>
      </c>
      <c r="N279" s="146">
        <v>44742</v>
      </c>
      <c r="O279" s="74">
        <f t="shared" si="28"/>
        <v>549</v>
      </c>
      <c r="P279" s="353">
        <f t="shared" si="29"/>
        <v>0.24691358024691357</v>
      </c>
    </row>
    <row r="280" spans="1:16" ht="18.75" customHeight="1">
      <c r="A280" s="635">
        <f t="shared" si="25"/>
        <v>220</v>
      </c>
      <c r="B280" s="357" t="s">
        <v>3544</v>
      </c>
      <c r="C280" s="354" t="s">
        <v>3545</v>
      </c>
      <c r="D280" s="145">
        <v>44562</v>
      </c>
      <c r="E280" s="146">
        <v>44926</v>
      </c>
      <c r="F280" s="149">
        <v>0.49450549450549453</v>
      </c>
      <c r="G280" s="354">
        <v>56000</v>
      </c>
      <c r="H280" s="354">
        <v>109999.90000000001</v>
      </c>
      <c r="I280" s="358">
        <v>54999.95</v>
      </c>
      <c r="J280" s="352">
        <f t="shared" si="26"/>
        <v>0.49999999999999994</v>
      </c>
      <c r="M280" s="74">
        <f t="shared" si="27"/>
        <v>364</v>
      </c>
      <c r="N280" s="146">
        <v>44742</v>
      </c>
      <c r="O280" s="74">
        <f t="shared" si="28"/>
        <v>184</v>
      </c>
      <c r="P280" s="353">
        <f t="shared" si="29"/>
        <v>0.49450549450549453</v>
      </c>
    </row>
    <row r="281" spans="1:16" s="359" customFormat="1" ht="20.100000000000001" customHeight="1">
      <c r="A281" s="809" t="str">
        <f>$A$1</f>
        <v>KENTUCKY UTILITIES COMPANY</v>
      </c>
      <c r="B281" s="809"/>
      <c r="C281" s="809"/>
      <c r="D281" s="809"/>
      <c r="E281" s="809"/>
      <c r="F281" s="809"/>
      <c r="G281" s="809"/>
      <c r="H281" s="809"/>
      <c r="I281" s="809"/>
      <c r="J281" s="809"/>
    </row>
    <row r="282" spans="1:16" s="359" customFormat="1" ht="20.100000000000001" customHeight="1">
      <c r="A282" s="809" t="str">
        <f>$A$2</f>
        <v>CASE NO. 2020-00349</v>
      </c>
      <c r="B282" s="809"/>
      <c r="C282" s="809"/>
      <c r="D282" s="809"/>
      <c r="E282" s="809"/>
      <c r="F282" s="809"/>
      <c r="G282" s="809"/>
      <c r="H282" s="809"/>
      <c r="I282" s="809"/>
      <c r="J282" s="809"/>
    </row>
    <row r="283" spans="1:16" s="359" customFormat="1" ht="20.100000000000001" customHeight="1">
      <c r="A283" s="809" t="s">
        <v>1216</v>
      </c>
      <c r="B283" s="809"/>
      <c r="C283" s="809"/>
      <c r="D283" s="809"/>
      <c r="E283" s="809"/>
      <c r="F283" s="809"/>
      <c r="G283" s="809"/>
      <c r="H283" s="809"/>
      <c r="I283" s="809"/>
      <c r="J283" s="809"/>
    </row>
    <row r="284" spans="1:16" s="359" customFormat="1" ht="20.100000000000001" customHeight="1">
      <c r="A284" s="809" t="str">
        <f>$A$4</f>
        <v>AS OF JUNE 30, 2022</v>
      </c>
      <c r="B284" s="809"/>
      <c r="C284" s="809"/>
      <c r="D284" s="809"/>
      <c r="E284" s="809"/>
      <c r="F284" s="809"/>
      <c r="G284" s="809"/>
      <c r="H284" s="809"/>
      <c r="I284" s="809"/>
      <c r="J284" s="809"/>
    </row>
    <row r="285" spans="1:16" s="359" customFormat="1" ht="20.100000000000001" customHeight="1">
      <c r="A285" s="633"/>
      <c r="B285" s="633"/>
      <c r="C285" s="633"/>
      <c r="D285" s="633"/>
      <c r="E285" s="633"/>
      <c r="F285" s="633"/>
      <c r="G285" s="633"/>
      <c r="H285" s="633"/>
      <c r="I285" s="633"/>
      <c r="J285" s="633"/>
    </row>
    <row r="286" spans="1:16" s="359" customFormat="1" ht="20.100000000000001" customHeight="1">
      <c r="A286" s="67" t="str">
        <f>$A$6</f>
        <v>DATA:____BASE  PERIOD__X__FORECASTED  PERIOD</v>
      </c>
      <c r="B286" s="634"/>
      <c r="C286" s="68"/>
      <c r="D286" s="144"/>
      <c r="E286" s="144"/>
      <c r="F286" s="68"/>
      <c r="G286" s="74"/>
      <c r="H286" s="74"/>
      <c r="I286" s="74"/>
      <c r="J286" s="74" t="s">
        <v>1709</v>
      </c>
    </row>
    <row r="287" spans="1:16" s="359" customFormat="1" ht="20.100000000000001" customHeight="1">
      <c r="A287" s="67" t="str">
        <f>$A$7</f>
        <v>TYPE OF FILING: __X__ ORIGINAL  _____ UPDATED  _____ REVISED</v>
      </c>
      <c r="B287" s="635"/>
      <c r="C287" s="68"/>
      <c r="D287" s="144"/>
      <c r="E287" s="144"/>
      <c r="F287" s="68"/>
      <c r="G287" s="74"/>
      <c r="H287" s="74"/>
      <c r="I287" s="74"/>
      <c r="J287" s="74" t="s">
        <v>3749</v>
      </c>
    </row>
    <row r="288" spans="1:16" s="359" customFormat="1" ht="20.100000000000001" customHeight="1">
      <c r="A288" s="67" t="str">
        <f>$A$8</f>
        <v>WORKPAPER REFERENCE NO(S).:</v>
      </c>
      <c r="B288" s="634"/>
      <c r="C288" s="68"/>
      <c r="D288" s="144"/>
      <c r="E288" s="144"/>
      <c r="F288" s="67"/>
      <c r="G288" s="75"/>
      <c r="H288" s="75"/>
      <c r="I288" s="75"/>
      <c r="J288" s="75" t="str">
        <f>$J$8</f>
        <v>WITNESS:   C. M. GARRETT</v>
      </c>
    </row>
    <row r="289" spans="1:16" s="359" customFormat="1" ht="20.100000000000001" customHeight="1">
      <c r="A289" s="68"/>
      <c r="B289" s="635"/>
      <c r="C289" s="68"/>
      <c r="D289" s="144"/>
      <c r="E289" s="144"/>
      <c r="F289" s="68"/>
      <c r="G289" s="68"/>
      <c r="H289" s="68"/>
      <c r="I289" s="68"/>
      <c r="J289" s="68"/>
    </row>
    <row r="290" spans="1:16" s="359" customFormat="1" ht="65.099999999999994" customHeight="1">
      <c r="A290" s="76" t="s">
        <v>131</v>
      </c>
      <c r="B290" s="76" t="s">
        <v>1219</v>
      </c>
      <c r="C290" s="76" t="s">
        <v>1220</v>
      </c>
      <c r="D290" s="142" t="s">
        <v>1222</v>
      </c>
      <c r="E290" s="142" t="s">
        <v>1223</v>
      </c>
      <c r="F290" s="76" t="s">
        <v>1224</v>
      </c>
      <c r="G290" s="76" t="s">
        <v>1225</v>
      </c>
      <c r="H290" s="76" t="s">
        <v>1226</v>
      </c>
      <c r="I290" s="76" t="s">
        <v>1227</v>
      </c>
      <c r="J290" s="76" t="s">
        <v>1228</v>
      </c>
      <c r="M290" s="360" t="s">
        <v>1236</v>
      </c>
      <c r="N290" s="360" t="s">
        <v>1237</v>
      </c>
      <c r="O290" s="360" t="s">
        <v>1238</v>
      </c>
      <c r="P290" s="360" t="s">
        <v>1224</v>
      </c>
    </row>
    <row r="291" spans="1:16" s="359" customFormat="1" ht="23.1" customHeight="1">
      <c r="A291" s="80" t="s">
        <v>1217</v>
      </c>
      <c r="B291" s="80" t="s">
        <v>1218</v>
      </c>
      <c r="C291" s="80" t="s">
        <v>1221</v>
      </c>
      <c r="D291" s="355" t="s">
        <v>1229</v>
      </c>
      <c r="E291" s="355" t="s">
        <v>1230</v>
      </c>
      <c r="F291" s="356" t="s">
        <v>1231</v>
      </c>
      <c r="G291" s="356" t="s">
        <v>1232</v>
      </c>
      <c r="H291" s="356" t="s">
        <v>1233</v>
      </c>
      <c r="I291" s="356" t="s">
        <v>1234</v>
      </c>
      <c r="J291" s="356" t="s">
        <v>1235</v>
      </c>
    </row>
    <row r="292" spans="1:16" s="359" customFormat="1" ht="18.9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</row>
    <row r="293" spans="1:16" ht="18.75" customHeight="1">
      <c r="A293" s="635">
        <f>A280+1</f>
        <v>221</v>
      </c>
      <c r="B293" s="357" t="s">
        <v>3546</v>
      </c>
      <c r="C293" s="354" t="s">
        <v>3547</v>
      </c>
      <c r="D293" s="145">
        <v>44562</v>
      </c>
      <c r="E293" s="146">
        <v>44926</v>
      </c>
      <c r="F293" s="149">
        <v>0.49450549450549453</v>
      </c>
      <c r="G293" s="354">
        <v>47486.97</v>
      </c>
      <c r="H293" s="354">
        <v>58952.56</v>
      </c>
      <c r="I293" s="358">
        <v>27898.58</v>
      </c>
      <c r="J293" s="352">
        <f t="shared" ref="J293:J336" si="30">I293/H293</f>
        <v>0.47323780341345656</v>
      </c>
      <c r="M293" s="74">
        <f t="shared" ref="M293:M336" si="31">E293-D293</f>
        <v>364</v>
      </c>
      <c r="N293" s="146">
        <v>44742</v>
      </c>
      <c r="O293" s="74">
        <f t="shared" ref="O293:O336" si="32">E293-N293</f>
        <v>184</v>
      </c>
      <c r="P293" s="353">
        <f t="shared" ref="P293:P336" si="33">(M293-O293)/M293</f>
        <v>0.49450549450549453</v>
      </c>
    </row>
    <row r="294" spans="1:16" ht="18.75" customHeight="1">
      <c r="A294" s="635">
        <f>A293+1</f>
        <v>222</v>
      </c>
      <c r="B294" s="357" t="s">
        <v>3548</v>
      </c>
      <c r="C294" s="354" t="s">
        <v>3549</v>
      </c>
      <c r="D294" s="145">
        <v>44562</v>
      </c>
      <c r="E294" s="146">
        <v>44926</v>
      </c>
      <c r="F294" s="149">
        <v>0.49450549450549453</v>
      </c>
      <c r="G294" s="354">
        <v>168000</v>
      </c>
      <c r="H294" s="354">
        <v>194369.4</v>
      </c>
      <c r="I294" s="358">
        <v>97184.7</v>
      </c>
      <c r="J294" s="352">
        <f t="shared" si="30"/>
        <v>0.5</v>
      </c>
      <c r="M294" s="74">
        <f t="shared" si="31"/>
        <v>364</v>
      </c>
      <c r="N294" s="146">
        <v>44742</v>
      </c>
      <c r="O294" s="74">
        <f t="shared" si="32"/>
        <v>184</v>
      </c>
      <c r="P294" s="353">
        <f t="shared" si="33"/>
        <v>0.49450549450549453</v>
      </c>
    </row>
    <row r="295" spans="1:16" ht="18.75" customHeight="1">
      <c r="A295" s="635">
        <f t="shared" ref="A295:A336" si="34">A294+1</f>
        <v>223</v>
      </c>
      <c r="B295" s="357" t="s">
        <v>3550</v>
      </c>
      <c r="C295" s="354" t="s">
        <v>3551</v>
      </c>
      <c r="D295" s="145">
        <v>44562</v>
      </c>
      <c r="E295" s="146">
        <v>44926</v>
      </c>
      <c r="F295" s="149">
        <v>0.49450549450549453</v>
      </c>
      <c r="G295" s="354">
        <v>82250</v>
      </c>
      <c r="H295" s="354">
        <v>82250</v>
      </c>
      <c r="I295" s="358">
        <v>39950</v>
      </c>
      <c r="J295" s="352">
        <f t="shared" si="30"/>
        <v>0.48571428571428571</v>
      </c>
      <c r="M295" s="74">
        <f t="shared" si="31"/>
        <v>364</v>
      </c>
      <c r="N295" s="146">
        <v>44742</v>
      </c>
      <c r="O295" s="74">
        <f t="shared" si="32"/>
        <v>184</v>
      </c>
      <c r="P295" s="353">
        <f t="shared" si="33"/>
        <v>0.49450549450549453</v>
      </c>
    </row>
    <row r="296" spans="1:16" ht="18.75" customHeight="1">
      <c r="A296" s="635">
        <f t="shared" si="34"/>
        <v>224</v>
      </c>
      <c r="B296" s="357" t="s">
        <v>3552</v>
      </c>
      <c r="C296" s="354" t="s">
        <v>3553</v>
      </c>
      <c r="D296" s="145">
        <v>44562</v>
      </c>
      <c r="E296" s="146">
        <v>44926</v>
      </c>
      <c r="F296" s="149">
        <v>0.49450549450549453</v>
      </c>
      <c r="G296" s="354">
        <v>288703.52</v>
      </c>
      <c r="H296" s="354">
        <v>381875.09</v>
      </c>
      <c r="I296" s="358">
        <v>137652.91</v>
      </c>
      <c r="J296" s="352">
        <f t="shared" si="30"/>
        <v>0.36046580047941851</v>
      </c>
      <c r="M296" s="74">
        <f t="shared" si="31"/>
        <v>364</v>
      </c>
      <c r="N296" s="146">
        <v>44742</v>
      </c>
      <c r="O296" s="74">
        <f t="shared" si="32"/>
        <v>184</v>
      </c>
      <c r="P296" s="353">
        <f t="shared" si="33"/>
        <v>0.49450549450549453</v>
      </c>
    </row>
    <row r="297" spans="1:16" ht="18.75" customHeight="1">
      <c r="A297" s="635">
        <f t="shared" si="34"/>
        <v>225</v>
      </c>
      <c r="B297" s="357" t="s">
        <v>3554</v>
      </c>
      <c r="C297" s="354" t="s">
        <v>3555</v>
      </c>
      <c r="D297" s="145">
        <v>44562</v>
      </c>
      <c r="E297" s="146">
        <v>44926</v>
      </c>
      <c r="F297" s="149">
        <v>0.49450549450549453</v>
      </c>
      <c r="G297" s="354">
        <v>96000</v>
      </c>
      <c r="H297" s="354">
        <v>94000</v>
      </c>
      <c r="I297" s="358">
        <v>47000</v>
      </c>
      <c r="J297" s="352">
        <f t="shared" si="30"/>
        <v>0.5</v>
      </c>
      <c r="M297" s="74">
        <f t="shared" si="31"/>
        <v>364</v>
      </c>
      <c r="N297" s="146">
        <v>44742</v>
      </c>
      <c r="O297" s="74">
        <f t="shared" si="32"/>
        <v>184</v>
      </c>
      <c r="P297" s="353">
        <f t="shared" si="33"/>
        <v>0.49450549450549453</v>
      </c>
    </row>
    <row r="298" spans="1:16" ht="18.75" customHeight="1">
      <c r="A298" s="635">
        <f t="shared" si="34"/>
        <v>226</v>
      </c>
      <c r="B298" s="357" t="s">
        <v>3556</v>
      </c>
      <c r="C298" s="354" t="s">
        <v>3557</v>
      </c>
      <c r="D298" s="145">
        <v>44562</v>
      </c>
      <c r="E298" s="146">
        <v>44926</v>
      </c>
      <c r="F298" s="149">
        <v>0.49450549450549453</v>
      </c>
      <c r="G298" s="354">
        <v>237434.6</v>
      </c>
      <c r="H298" s="354">
        <v>241070.9</v>
      </c>
      <c r="I298" s="358">
        <v>96428.36</v>
      </c>
      <c r="J298" s="352">
        <f t="shared" si="30"/>
        <v>0.4</v>
      </c>
      <c r="M298" s="74">
        <f t="shared" si="31"/>
        <v>364</v>
      </c>
      <c r="N298" s="146">
        <v>44742</v>
      </c>
      <c r="O298" s="74">
        <f t="shared" si="32"/>
        <v>184</v>
      </c>
      <c r="P298" s="353">
        <f t="shared" si="33"/>
        <v>0.49450549450549453</v>
      </c>
    </row>
    <row r="299" spans="1:16" ht="18.75" customHeight="1">
      <c r="A299" s="635">
        <f t="shared" si="34"/>
        <v>227</v>
      </c>
      <c r="B299" s="357" t="s">
        <v>3558</v>
      </c>
      <c r="C299" s="354" t="s">
        <v>3559</v>
      </c>
      <c r="D299" s="145">
        <v>44562</v>
      </c>
      <c r="E299" s="146">
        <v>45291</v>
      </c>
      <c r="F299" s="149">
        <v>0.24691358024691357</v>
      </c>
      <c r="G299" s="354">
        <v>644000</v>
      </c>
      <c r="H299" s="354">
        <v>169497</v>
      </c>
      <c r="I299" s="358">
        <v>42334.2</v>
      </c>
      <c r="J299" s="352">
        <f t="shared" si="30"/>
        <v>0.24976371263208197</v>
      </c>
      <c r="M299" s="74">
        <f t="shared" si="31"/>
        <v>729</v>
      </c>
      <c r="N299" s="146">
        <v>44742</v>
      </c>
      <c r="O299" s="74">
        <f t="shared" si="32"/>
        <v>549</v>
      </c>
      <c r="P299" s="353">
        <f t="shared" si="33"/>
        <v>0.24691358024691357</v>
      </c>
    </row>
    <row r="300" spans="1:16" ht="18.75" customHeight="1">
      <c r="A300" s="635">
        <f t="shared" si="34"/>
        <v>228</v>
      </c>
      <c r="B300" s="357" t="s">
        <v>3560</v>
      </c>
      <c r="C300" s="354" t="s">
        <v>3561</v>
      </c>
      <c r="D300" s="145">
        <v>44562</v>
      </c>
      <c r="E300" s="146">
        <v>44926</v>
      </c>
      <c r="F300" s="149">
        <v>0.49450549450549453</v>
      </c>
      <c r="G300" s="354">
        <v>486254.5</v>
      </c>
      <c r="H300" s="354">
        <v>93999.99</v>
      </c>
      <c r="I300" s="358">
        <v>28200</v>
      </c>
      <c r="J300" s="352">
        <f t="shared" si="30"/>
        <v>0.30000003191489699</v>
      </c>
      <c r="M300" s="74">
        <f t="shared" si="31"/>
        <v>364</v>
      </c>
      <c r="N300" s="146">
        <v>44742</v>
      </c>
      <c r="O300" s="74">
        <f t="shared" si="32"/>
        <v>184</v>
      </c>
      <c r="P300" s="353">
        <f t="shared" si="33"/>
        <v>0.49450549450549453</v>
      </c>
    </row>
    <row r="301" spans="1:16" ht="18.75" customHeight="1">
      <c r="A301" s="635">
        <f t="shared" si="34"/>
        <v>229</v>
      </c>
      <c r="B301" s="357" t="s">
        <v>3562</v>
      </c>
      <c r="C301" s="354" t="s">
        <v>3563</v>
      </c>
      <c r="D301" s="145">
        <v>44593</v>
      </c>
      <c r="E301" s="146">
        <v>44926</v>
      </c>
      <c r="F301" s="149">
        <v>0.44744744744744747</v>
      </c>
      <c r="G301" s="354">
        <v>279486.90000000002</v>
      </c>
      <c r="H301" s="354">
        <v>279486.7</v>
      </c>
      <c r="I301" s="358">
        <v>139743.35</v>
      </c>
      <c r="J301" s="352">
        <f t="shared" si="30"/>
        <v>0.5</v>
      </c>
      <c r="M301" s="74">
        <f t="shared" si="31"/>
        <v>333</v>
      </c>
      <c r="N301" s="146">
        <v>44742</v>
      </c>
      <c r="O301" s="74">
        <f t="shared" si="32"/>
        <v>184</v>
      </c>
      <c r="P301" s="353">
        <f t="shared" si="33"/>
        <v>0.44744744744744747</v>
      </c>
    </row>
    <row r="302" spans="1:16" ht="18.75" customHeight="1">
      <c r="A302" s="635">
        <f t="shared" si="34"/>
        <v>230</v>
      </c>
      <c r="B302" s="357" t="s">
        <v>3564</v>
      </c>
      <c r="C302" s="354" t="s">
        <v>3565</v>
      </c>
      <c r="D302" s="145">
        <v>44562</v>
      </c>
      <c r="E302" s="146">
        <v>44926</v>
      </c>
      <c r="F302" s="149">
        <v>0.49450549450549453</v>
      </c>
      <c r="G302" s="354">
        <v>277542.59999999998</v>
      </c>
      <c r="H302" s="354">
        <v>277542.40000000002</v>
      </c>
      <c r="I302" s="358">
        <v>138771.20000000001</v>
      </c>
      <c r="J302" s="352">
        <f t="shared" si="30"/>
        <v>0.5</v>
      </c>
      <c r="M302" s="74">
        <f t="shared" si="31"/>
        <v>364</v>
      </c>
      <c r="N302" s="146">
        <v>44742</v>
      </c>
      <c r="O302" s="74">
        <f t="shared" si="32"/>
        <v>184</v>
      </c>
      <c r="P302" s="353">
        <f t="shared" si="33"/>
        <v>0.49450549450549453</v>
      </c>
    </row>
    <row r="303" spans="1:16" ht="18.75" customHeight="1">
      <c r="A303" s="635">
        <f t="shared" si="34"/>
        <v>231</v>
      </c>
      <c r="B303" s="357" t="s">
        <v>3566</v>
      </c>
      <c r="C303" s="354" t="s">
        <v>3567</v>
      </c>
      <c r="D303" s="145">
        <v>44593</v>
      </c>
      <c r="E303" s="146">
        <v>44926</v>
      </c>
      <c r="F303" s="149">
        <v>0.44744744744744747</v>
      </c>
      <c r="G303" s="354">
        <v>47000.01</v>
      </c>
      <c r="H303" s="354">
        <v>47000</v>
      </c>
      <c r="I303" s="358">
        <v>47000</v>
      </c>
      <c r="J303" s="352">
        <f t="shared" si="30"/>
        <v>1</v>
      </c>
      <c r="M303" s="74">
        <f t="shared" si="31"/>
        <v>333</v>
      </c>
      <c r="N303" s="146">
        <v>44742</v>
      </c>
      <c r="O303" s="74">
        <f t="shared" si="32"/>
        <v>184</v>
      </c>
      <c r="P303" s="353">
        <f t="shared" si="33"/>
        <v>0.44744744744744747</v>
      </c>
    </row>
    <row r="304" spans="1:16" ht="18.75" customHeight="1">
      <c r="A304" s="635">
        <f t="shared" si="34"/>
        <v>232</v>
      </c>
      <c r="B304" s="357" t="s">
        <v>3568</v>
      </c>
      <c r="C304" s="354" t="s">
        <v>3569</v>
      </c>
      <c r="D304" s="145">
        <v>44562</v>
      </c>
      <c r="E304" s="146">
        <v>44926</v>
      </c>
      <c r="F304" s="149">
        <v>0.49450549450549453</v>
      </c>
      <c r="G304" s="354">
        <v>94000.02</v>
      </c>
      <c r="H304" s="354">
        <v>94000</v>
      </c>
      <c r="I304" s="358">
        <v>47000</v>
      </c>
      <c r="J304" s="352">
        <f t="shared" si="30"/>
        <v>0.5</v>
      </c>
      <c r="M304" s="74">
        <f t="shared" si="31"/>
        <v>364</v>
      </c>
      <c r="N304" s="146">
        <v>44742</v>
      </c>
      <c r="O304" s="74">
        <f t="shared" si="32"/>
        <v>184</v>
      </c>
      <c r="P304" s="353">
        <f t="shared" si="33"/>
        <v>0.49450549450549453</v>
      </c>
    </row>
    <row r="305" spans="1:16" ht="18.75" customHeight="1">
      <c r="A305" s="635">
        <f t="shared" si="34"/>
        <v>233</v>
      </c>
      <c r="B305" s="357" t="s">
        <v>3570</v>
      </c>
      <c r="C305" s="354" t="s">
        <v>3571</v>
      </c>
      <c r="D305" s="145">
        <v>44593</v>
      </c>
      <c r="E305" s="146">
        <v>44895</v>
      </c>
      <c r="F305" s="149">
        <v>0.49337748344370863</v>
      </c>
      <c r="G305" s="354">
        <v>47000</v>
      </c>
      <c r="H305" s="354">
        <v>47000</v>
      </c>
      <c r="I305" s="358">
        <v>47000</v>
      </c>
      <c r="J305" s="352">
        <f t="shared" si="30"/>
        <v>1</v>
      </c>
      <c r="M305" s="74">
        <f t="shared" si="31"/>
        <v>302</v>
      </c>
      <c r="N305" s="146">
        <v>44742</v>
      </c>
      <c r="O305" s="74">
        <f t="shared" si="32"/>
        <v>153</v>
      </c>
      <c r="P305" s="353">
        <f t="shared" si="33"/>
        <v>0.49337748344370863</v>
      </c>
    </row>
    <row r="306" spans="1:16" ht="18.75" customHeight="1">
      <c r="A306" s="635">
        <f t="shared" si="34"/>
        <v>234</v>
      </c>
      <c r="B306" s="357" t="s">
        <v>3572</v>
      </c>
      <c r="C306" s="354" t="s">
        <v>3573</v>
      </c>
      <c r="D306" s="145">
        <v>44593</v>
      </c>
      <c r="E306" s="146">
        <v>44804</v>
      </c>
      <c r="F306" s="149">
        <v>0.70616113744075826</v>
      </c>
      <c r="G306" s="354">
        <v>94000.06</v>
      </c>
      <c r="H306" s="354">
        <v>94000.06</v>
      </c>
      <c r="I306" s="358">
        <v>70500.05</v>
      </c>
      <c r="J306" s="352">
        <f t="shared" si="30"/>
        <v>0.75000005319145546</v>
      </c>
      <c r="M306" s="74">
        <f t="shared" si="31"/>
        <v>211</v>
      </c>
      <c r="N306" s="146">
        <v>44742</v>
      </c>
      <c r="O306" s="74">
        <f t="shared" si="32"/>
        <v>62</v>
      </c>
      <c r="P306" s="353">
        <f t="shared" si="33"/>
        <v>0.70616113744075826</v>
      </c>
    </row>
    <row r="307" spans="1:16" ht="18.75" customHeight="1">
      <c r="A307" s="635">
        <f t="shared" si="34"/>
        <v>235</v>
      </c>
      <c r="B307" s="357" t="s">
        <v>3574</v>
      </c>
      <c r="C307" s="354" t="s">
        <v>3575</v>
      </c>
      <c r="D307" s="145">
        <v>44621</v>
      </c>
      <c r="E307" s="146">
        <v>44895</v>
      </c>
      <c r="F307" s="149">
        <v>0.44160583941605841</v>
      </c>
      <c r="G307" s="354">
        <v>99000</v>
      </c>
      <c r="H307" s="354">
        <v>99000</v>
      </c>
      <c r="I307" s="358">
        <v>44000</v>
      </c>
      <c r="J307" s="352">
        <f t="shared" si="30"/>
        <v>0.44444444444444442</v>
      </c>
      <c r="M307" s="74">
        <f t="shared" si="31"/>
        <v>274</v>
      </c>
      <c r="N307" s="146">
        <v>44742</v>
      </c>
      <c r="O307" s="74">
        <f t="shared" si="32"/>
        <v>153</v>
      </c>
      <c r="P307" s="353">
        <f t="shared" si="33"/>
        <v>0.44160583941605841</v>
      </c>
    </row>
    <row r="308" spans="1:16" ht="18.75" customHeight="1">
      <c r="A308" s="635">
        <f t="shared" si="34"/>
        <v>236</v>
      </c>
      <c r="B308" s="357" t="s">
        <v>3576</v>
      </c>
      <c r="C308" s="354" t="s">
        <v>3577</v>
      </c>
      <c r="D308" s="145">
        <v>44562</v>
      </c>
      <c r="E308" s="146">
        <v>44926</v>
      </c>
      <c r="F308" s="149">
        <v>0.49450549450549453</v>
      </c>
      <c r="G308" s="354">
        <v>120000</v>
      </c>
      <c r="H308" s="354">
        <v>120000</v>
      </c>
      <c r="I308" s="358">
        <v>58000</v>
      </c>
      <c r="J308" s="352">
        <f t="shared" si="30"/>
        <v>0.48333333333333334</v>
      </c>
      <c r="M308" s="74">
        <f t="shared" si="31"/>
        <v>364</v>
      </c>
      <c r="N308" s="146">
        <v>44742</v>
      </c>
      <c r="O308" s="74">
        <f t="shared" si="32"/>
        <v>184</v>
      </c>
      <c r="P308" s="353">
        <f t="shared" si="33"/>
        <v>0.49450549450549453</v>
      </c>
    </row>
    <row r="309" spans="1:16" ht="18.75" customHeight="1">
      <c r="A309" s="635">
        <f t="shared" si="34"/>
        <v>237</v>
      </c>
      <c r="B309" s="357" t="s">
        <v>3578</v>
      </c>
      <c r="C309" s="354" t="s">
        <v>3579</v>
      </c>
      <c r="D309" s="145">
        <v>44562</v>
      </c>
      <c r="E309" s="146">
        <v>44834</v>
      </c>
      <c r="F309" s="149">
        <v>0.66176470588235292</v>
      </c>
      <c r="G309" s="354">
        <v>110000</v>
      </c>
      <c r="H309" s="354">
        <v>110000</v>
      </c>
      <c r="I309" s="358">
        <v>110000</v>
      </c>
      <c r="J309" s="352">
        <f t="shared" si="30"/>
        <v>1</v>
      </c>
      <c r="M309" s="74">
        <f t="shared" si="31"/>
        <v>272</v>
      </c>
      <c r="N309" s="146">
        <v>44742</v>
      </c>
      <c r="O309" s="74">
        <f t="shared" si="32"/>
        <v>92</v>
      </c>
      <c r="P309" s="353">
        <f t="shared" si="33"/>
        <v>0.66176470588235292</v>
      </c>
    </row>
    <row r="310" spans="1:16" ht="18.75" customHeight="1">
      <c r="A310" s="635">
        <f t="shared" si="34"/>
        <v>238</v>
      </c>
      <c r="B310" s="357" t="s">
        <v>3580</v>
      </c>
      <c r="C310" s="354" t="s">
        <v>3581</v>
      </c>
      <c r="D310" s="145">
        <v>44562</v>
      </c>
      <c r="E310" s="146">
        <v>44834</v>
      </c>
      <c r="F310" s="149">
        <v>0.66176470588235292</v>
      </c>
      <c r="G310" s="354">
        <v>47000</v>
      </c>
      <c r="H310" s="354">
        <v>47000</v>
      </c>
      <c r="I310" s="358">
        <v>43240</v>
      </c>
      <c r="J310" s="352">
        <f t="shared" si="30"/>
        <v>0.92</v>
      </c>
      <c r="M310" s="74">
        <f t="shared" si="31"/>
        <v>272</v>
      </c>
      <c r="N310" s="146">
        <v>44742</v>
      </c>
      <c r="O310" s="74">
        <f t="shared" si="32"/>
        <v>92</v>
      </c>
      <c r="P310" s="353">
        <f t="shared" si="33"/>
        <v>0.66176470588235292</v>
      </c>
    </row>
    <row r="311" spans="1:16" ht="18.75" customHeight="1">
      <c r="A311" s="635">
        <f t="shared" si="34"/>
        <v>239</v>
      </c>
      <c r="B311" s="357" t="s">
        <v>3582</v>
      </c>
      <c r="C311" s="354" t="s">
        <v>3583</v>
      </c>
      <c r="D311" s="145">
        <v>44621</v>
      </c>
      <c r="E311" s="146">
        <v>44773</v>
      </c>
      <c r="F311" s="149">
        <v>0.79605263157894735</v>
      </c>
      <c r="G311" s="354">
        <v>55000</v>
      </c>
      <c r="H311" s="354">
        <v>55000</v>
      </c>
      <c r="I311" s="358">
        <v>55000</v>
      </c>
      <c r="J311" s="352">
        <f t="shared" si="30"/>
        <v>1</v>
      </c>
      <c r="M311" s="74">
        <f t="shared" si="31"/>
        <v>152</v>
      </c>
      <c r="N311" s="146">
        <v>44742</v>
      </c>
      <c r="O311" s="74">
        <f t="shared" si="32"/>
        <v>31</v>
      </c>
      <c r="P311" s="353">
        <f t="shared" si="33"/>
        <v>0.79605263157894735</v>
      </c>
    </row>
    <row r="312" spans="1:16" ht="18.75" customHeight="1">
      <c r="A312" s="635">
        <f t="shared" si="34"/>
        <v>240</v>
      </c>
      <c r="B312" s="357" t="s">
        <v>3584</v>
      </c>
      <c r="C312" s="354" t="s">
        <v>3585</v>
      </c>
      <c r="D312" s="145">
        <v>44652</v>
      </c>
      <c r="E312" s="146">
        <v>44773</v>
      </c>
      <c r="F312" s="149">
        <v>0.74380165289256195</v>
      </c>
      <c r="G312" s="354">
        <v>25480</v>
      </c>
      <c r="H312" s="354">
        <v>25480</v>
      </c>
      <c r="I312" s="358">
        <v>20580</v>
      </c>
      <c r="J312" s="352">
        <f t="shared" si="30"/>
        <v>0.80769230769230771</v>
      </c>
      <c r="M312" s="74">
        <f t="shared" si="31"/>
        <v>121</v>
      </c>
      <c r="N312" s="146">
        <v>44742</v>
      </c>
      <c r="O312" s="74">
        <f t="shared" si="32"/>
        <v>31</v>
      </c>
      <c r="P312" s="353">
        <f t="shared" si="33"/>
        <v>0.74380165289256195</v>
      </c>
    </row>
    <row r="313" spans="1:16" ht="18.75" customHeight="1">
      <c r="A313" s="635">
        <f t="shared" si="34"/>
        <v>241</v>
      </c>
      <c r="B313" s="357" t="s">
        <v>3586</v>
      </c>
      <c r="C313" s="354" t="s">
        <v>3587</v>
      </c>
      <c r="D313" s="145">
        <v>44593</v>
      </c>
      <c r="E313" s="146">
        <v>44926</v>
      </c>
      <c r="F313" s="149">
        <v>0.44744744744744747</v>
      </c>
      <c r="G313" s="354">
        <v>123750</v>
      </c>
      <c r="H313" s="354">
        <v>123750</v>
      </c>
      <c r="I313" s="358">
        <v>52250</v>
      </c>
      <c r="J313" s="352">
        <f t="shared" si="30"/>
        <v>0.42222222222222222</v>
      </c>
      <c r="M313" s="74">
        <f t="shared" si="31"/>
        <v>333</v>
      </c>
      <c r="N313" s="146">
        <v>44742</v>
      </c>
      <c r="O313" s="74">
        <f t="shared" si="32"/>
        <v>184</v>
      </c>
      <c r="P313" s="353">
        <f t="shared" si="33"/>
        <v>0.44744744744744747</v>
      </c>
    </row>
    <row r="314" spans="1:16" ht="18.75" customHeight="1">
      <c r="A314" s="635">
        <f t="shared" si="34"/>
        <v>242</v>
      </c>
      <c r="B314" s="357" t="s">
        <v>3588</v>
      </c>
      <c r="C314" s="354" t="s">
        <v>3589</v>
      </c>
      <c r="D314" s="145">
        <v>44621</v>
      </c>
      <c r="E314" s="146">
        <v>44834</v>
      </c>
      <c r="F314" s="149">
        <v>0.568075117370892</v>
      </c>
      <c r="G314" s="354">
        <v>73500</v>
      </c>
      <c r="H314" s="354">
        <v>73500</v>
      </c>
      <c r="I314" s="358">
        <v>36750</v>
      </c>
      <c r="J314" s="352">
        <f t="shared" si="30"/>
        <v>0.5</v>
      </c>
      <c r="M314" s="74">
        <f t="shared" si="31"/>
        <v>213</v>
      </c>
      <c r="N314" s="146">
        <v>44742</v>
      </c>
      <c r="O314" s="74">
        <f t="shared" si="32"/>
        <v>92</v>
      </c>
      <c r="P314" s="353">
        <f t="shared" si="33"/>
        <v>0.568075117370892</v>
      </c>
    </row>
    <row r="315" spans="1:16" ht="18.75" customHeight="1">
      <c r="A315" s="635">
        <f t="shared" si="34"/>
        <v>243</v>
      </c>
      <c r="B315" s="357" t="s">
        <v>3590</v>
      </c>
      <c r="C315" s="354" t="s">
        <v>3591</v>
      </c>
      <c r="D315" s="145">
        <v>44621</v>
      </c>
      <c r="E315" s="146">
        <v>44804</v>
      </c>
      <c r="F315" s="149">
        <v>0.66120218579234968</v>
      </c>
      <c r="G315" s="354">
        <v>82500</v>
      </c>
      <c r="H315" s="354">
        <v>82500</v>
      </c>
      <c r="I315" s="358">
        <v>55000</v>
      </c>
      <c r="J315" s="352">
        <f t="shared" si="30"/>
        <v>0.66666666666666663</v>
      </c>
      <c r="M315" s="74">
        <f t="shared" si="31"/>
        <v>183</v>
      </c>
      <c r="N315" s="146">
        <v>44742</v>
      </c>
      <c r="O315" s="74">
        <f t="shared" si="32"/>
        <v>62</v>
      </c>
      <c r="P315" s="353">
        <f t="shared" si="33"/>
        <v>0.66120218579234968</v>
      </c>
    </row>
    <row r="316" spans="1:16" ht="18.75" customHeight="1">
      <c r="A316" s="635">
        <f t="shared" si="34"/>
        <v>244</v>
      </c>
      <c r="B316" s="357" t="s">
        <v>3592</v>
      </c>
      <c r="C316" s="354" t="s">
        <v>3593</v>
      </c>
      <c r="D316" s="145">
        <v>44682</v>
      </c>
      <c r="E316" s="146">
        <v>44926</v>
      </c>
      <c r="F316" s="149">
        <v>0.24590163934426229</v>
      </c>
      <c r="G316" s="354">
        <v>36749.97</v>
      </c>
      <c r="H316" s="354">
        <v>36749.97</v>
      </c>
      <c r="I316" s="358">
        <v>24499.98</v>
      </c>
      <c r="J316" s="352">
        <f t="shared" si="30"/>
        <v>0.66666666666666663</v>
      </c>
      <c r="M316" s="74">
        <f t="shared" si="31"/>
        <v>244</v>
      </c>
      <c r="N316" s="146">
        <v>44742</v>
      </c>
      <c r="O316" s="74">
        <f t="shared" si="32"/>
        <v>184</v>
      </c>
      <c r="P316" s="353">
        <f t="shared" si="33"/>
        <v>0.24590163934426229</v>
      </c>
    </row>
    <row r="317" spans="1:16" ht="18.75" customHeight="1">
      <c r="A317" s="635">
        <f t="shared" si="34"/>
        <v>245</v>
      </c>
      <c r="B317" s="357" t="s">
        <v>3594</v>
      </c>
      <c r="C317" s="354" t="s">
        <v>3595</v>
      </c>
      <c r="D317" s="145">
        <v>44593</v>
      </c>
      <c r="E317" s="146">
        <v>44926</v>
      </c>
      <c r="F317" s="149">
        <v>0.44744744744744747</v>
      </c>
      <c r="G317" s="354">
        <v>189832.06</v>
      </c>
      <c r="H317" s="354">
        <v>189832.06</v>
      </c>
      <c r="I317" s="358">
        <v>189832.06</v>
      </c>
      <c r="J317" s="352">
        <f t="shared" si="30"/>
        <v>1</v>
      </c>
      <c r="M317" s="74">
        <f t="shared" si="31"/>
        <v>333</v>
      </c>
      <c r="N317" s="146">
        <v>44742</v>
      </c>
      <c r="O317" s="74">
        <f t="shared" si="32"/>
        <v>184</v>
      </c>
      <c r="P317" s="353">
        <f t="shared" si="33"/>
        <v>0.44744744744744747</v>
      </c>
    </row>
    <row r="318" spans="1:16" ht="18.75" customHeight="1">
      <c r="A318" s="635">
        <f t="shared" si="34"/>
        <v>246</v>
      </c>
      <c r="B318" s="357" t="s">
        <v>3596</v>
      </c>
      <c r="C318" s="354" t="s">
        <v>3597</v>
      </c>
      <c r="D318" s="145">
        <v>44682</v>
      </c>
      <c r="E318" s="146">
        <v>45291</v>
      </c>
      <c r="F318" s="149">
        <v>9.8522167487684734E-2</v>
      </c>
      <c r="G318" s="354">
        <v>146849.99</v>
      </c>
      <c r="H318" s="354">
        <v>146849.99</v>
      </c>
      <c r="I318" s="358">
        <v>11000</v>
      </c>
      <c r="J318" s="352">
        <f t="shared" si="30"/>
        <v>7.4906372142075059E-2</v>
      </c>
      <c r="M318" s="74">
        <f t="shared" si="31"/>
        <v>609</v>
      </c>
      <c r="N318" s="146">
        <v>44742</v>
      </c>
      <c r="O318" s="74">
        <f t="shared" si="32"/>
        <v>549</v>
      </c>
      <c r="P318" s="353">
        <f t="shared" si="33"/>
        <v>9.8522167487684734E-2</v>
      </c>
    </row>
    <row r="319" spans="1:16" ht="18.75" customHeight="1">
      <c r="A319" s="635">
        <f t="shared" si="34"/>
        <v>247</v>
      </c>
      <c r="B319" s="357" t="s">
        <v>3598</v>
      </c>
      <c r="C319" s="354" t="s">
        <v>3599</v>
      </c>
      <c r="D319" s="145">
        <v>44621</v>
      </c>
      <c r="E319" s="146">
        <v>45291</v>
      </c>
      <c r="F319" s="149">
        <v>0.18059701492537314</v>
      </c>
      <c r="G319" s="354">
        <v>144000</v>
      </c>
      <c r="H319" s="354">
        <v>35250</v>
      </c>
      <c r="I319" s="358">
        <v>18800</v>
      </c>
      <c r="J319" s="352">
        <f t="shared" si="30"/>
        <v>0.53333333333333333</v>
      </c>
      <c r="M319" s="74">
        <f t="shared" si="31"/>
        <v>670</v>
      </c>
      <c r="N319" s="146">
        <v>44742</v>
      </c>
      <c r="O319" s="74">
        <f t="shared" si="32"/>
        <v>549</v>
      </c>
      <c r="P319" s="353">
        <f t="shared" si="33"/>
        <v>0.18059701492537314</v>
      </c>
    </row>
    <row r="320" spans="1:16" ht="18.75" customHeight="1">
      <c r="A320" s="635">
        <f t="shared" si="34"/>
        <v>248</v>
      </c>
      <c r="B320" s="357" t="s">
        <v>3600</v>
      </c>
      <c r="C320" s="354" t="s">
        <v>3601</v>
      </c>
      <c r="D320" s="145">
        <v>44621</v>
      </c>
      <c r="E320" s="146">
        <v>45291</v>
      </c>
      <c r="F320" s="149">
        <v>0.18059701492537314</v>
      </c>
      <c r="G320" s="354">
        <v>96000</v>
      </c>
      <c r="H320" s="354">
        <v>94000</v>
      </c>
      <c r="I320" s="358">
        <v>47000</v>
      </c>
      <c r="J320" s="352">
        <f t="shared" si="30"/>
        <v>0.5</v>
      </c>
      <c r="M320" s="74">
        <f t="shared" si="31"/>
        <v>670</v>
      </c>
      <c r="N320" s="146">
        <v>44742</v>
      </c>
      <c r="O320" s="74">
        <f t="shared" si="32"/>
        <v>549</v>
      </c>
      <c r="P320" s="353">
        <f t="shared" si="33"/>
        <v>0.18059701492537314</v>
      </c>
    </row>
    <row r="321" spans="1:16" ht="18.75" customHeight="1">
      <c r="A321" s="635">
        <f t="shared" si="34"/>
        <v>249</v>
      </c>
      <c r="B321" s="357" t="s">
        <v>3602</v>
      </c>
      <c r="C321" s="354" t="s">
        <v>3603</v>
      </c>
      <c r="D321" s="145">
        <v>44682</v>
      </c>
      <c r="E321" s="146">
        <v>45291</v>
      </c>
      <c r="F321" s="149">
        <v>9.8522167487684734E-2</v>
      </c>
      <c r="G321" s="354">
        <v>252000</v>
      </c>
      <c r="H321" s="354">
        <v>246750</v>
      </c>
      <c r="I321" s="358">
        <v>235000</v>
      </c>
      <c r="J321" s="352">
        <f t="shared" si="30"/>
        <v>0.95238095238095233</v>
      </c>
      <c r="M321" s="74">
        <f t="shared" si="31"/>
        <v>609</v>
      </c>
      <c r="N321" s="146">
        <v>44742</v>
      </c>
      <c r="O321" s="74">
        <f t="shared" si="32"/>
        <v>549</v>
      </c>
      <c r="P321" s="353">
        <f t="shared" si="33"/>
        <v>9.8522167487684734E-2</v>
      </c>
    </row>
    <row r="322" spans="1:16" ht="18.75" customHeight="1">
      <c r="A322" s="635">
        <f t="shared" si="34"/>
        <v>250</v>
      </c>
      <c r="B322" s="357" t="s">
        <v>3604</v>
      </c>
      <c r="C322" s="354" t="s">
        <v>3605</v>
      </c>
      <c r="D322" s="145">
        <v>44593</v>
      </c>
      <c r="E322" s="146">
        <v>45657</v>
      </c>
      <c r="F322" s="149">
        <v>0.14003759398496241</v>
      </c>
      <c r="G322" s="354">
        <v>23500</v>
      </c>
      <c r="H322" s="354">
        <v>47000</v>
      </c>
      <c r="I322" s="358">
        <v>21150</v>
      </c>
      <c r="J322" s="352">
        <f t="shared" si="30"/>
        <v>0.45</v>
      </c>
      <c r="M322" s="74">
        <f t="shared" si="31"/>
        <v>1064</v>
      </c>
      <c r="N322" s="146">
        <v>44742</v>
      </c>
      <c r="O322" s="74">
        <f t="shared" si="32"/>
        <v>915</v>
      </c>
      <c r="P322" s="353">
        <f t="shared" si="33"/>
        <v>0.14003759398496241</v>
      </c>
    </row>
    <row r="323" spans="1:16" ht="18.75" customHeight="1">
      <c r="A323" s="635">
        <f t="shared" si="34"/>
        <v>251</v>
      </c>
      <c r="B323" s="357" t="s">
        <v>3156</v>
      </c>
      <c r="C323" s="354" t="s">
        <v>3157</v>
      </c>
      <c r="D323" s="145">
        <v>43617</v>
      </c>
      <c r="E323" s="146">
        <v>44681</v>
      </c>
      <c r="F323" s="149">
        <v>1.0573308270676691</v>
      </c>
      <c r="G323" s="354">
        <v>1499999.8800000001</v>
      </c>
      <c r="H323" s="354">
        <v>2703196.98</v>
      </c>
      <c r="I323" s="358">
        <v>4.6566128730773926E-10</v>
      </c>
      <c r="J323" s="352">
        <f t="shared" si="30"/>
        <v>1.722631723670168E-16</v>
      </c>
      <c r="M323" s="74">
        <f t="shared" si="31"/>
        <v>1064</v>
      </c>
      <c r="N323" s="146">
        <v>44742</v>
      </c>
      <c r="O323" s="74">
        <f t="shared" si="32"/>
        <v>-61</v>
      </c>
      <c r="P323" s="353">
        <f t="shared" si="33"/>
        <v>1.0573308270676691</v>
      </c>
    </row>
    <row r="324" spans="1:16" ht="18.75" customHeight="1">
      <c r="A324" s="635">
        <f t="shared" si="34"/>
        <v>252</v>
      </c>
      <c r="B324" s="357" t="s">
        <v>3160</v>
      </c>
      <c r="C324" s="354" t="s">
        <v>3161</v>
      </c>
      <c r="D324" s="145">
        <v>43739</v>
      </c>
      <c r="E324" s="146">
        <v>44500</v>
      </c>
      <c r="F324" s="149">
        <v>1.3180026281208936</v>
      </c>
      <c r="G324" s="354">
        <v>3118674.5900000003</v>
      </c>
      <c r="H324" s="354">
        <v>3333654.54</v>
      </c>
      <c r="I324" s="358">
        <v>-4.6566128730773926E-10</v>
      </c>
      <c r="J324" s="352">
        <f t="shared" si="30"/>
        <v>-1.3968492587349474E-16</v>
      </c>
      <c r="M324" s="74">
        <f t="shared" si="31"/>
        <v>761</v>
      </c>
      <c r="N324" s="146">
        <v>44742</v>
      </c>
      <c r="O324" s="74">
        <f t="shared" si="32"/>
        <v>-242</v>
      </c>
      <c r="P324" s="353">
        <f t="shared" si="33"/>
        <v>1.3180026281208936</v>
      </c>
    </row>
    <row r="325" spans="1:16" ht="18.75" customHeight="1">
      <c r="A325" s="635">
        <f t="shared" si="34"/>
        <v>253</v>
      </c>
      <c r="B325" s="357" t="s">
        <v>3164</v>
      </c>
      <c r="C325" s="354" t="s">
        <v>3165</v>
      </c>
      <c r="D325" s="145">
        <v>43952</v>
      </c>
      <c r="E325" s="146">
        <v>44561</v>
      </c>
      <c r="F325" s="149">
        <v>1.2972085385878489</v>
      </c>
      <c r="G325" s="354">
        <v>4181737.41</v>
      </c>
      <c r="H325" s="354">
        <v>4585366.6099999994</v>
      </c>
      <c r="I325" s="358">
        <v>9.3132257461547852E-10</v>
      </c>
      <c r="J325" s="352">
        <f t="shared" si="30"/>
        <v>2.0310754925994428E-16</v>
      </c>
      <c r="M325" s="74">
        <f t="shared" si="31"/>
        <v>609</v>
      </c>
      <c r="N325" s="146">
        <v>44742</v>
      </c>
      <c r="O325" s="74">
        <f t="shared" si="32"/>
        <v>-181</v>
      </c>
      <c r="P325" s="353">
        <f t="shared" si="33"/>
        <v>1.2972085385878489</v>
      </c>
    </row>
    <row r="326" spans="1:16" ht="18.75" customHeight="1">
      <c r="A326" s="635">
        <f t="shared" si="34"/>
        <v>254</v>
      </c>
      <c r="B326" s="357" t="s">
        <v>3166</v>
      </c>
      <c r="C326" s="354" t="s">
        <v>3167</v>
      </c>
      <c r="D326" s="145">
        <v>43983</v>
      </c>
      <c r="E326" s="146">
        <v>44561</v>
      </c>
      <c r="F326" s="149">
        <v>1.3131487889273357</v>
      </c>
      <c r="G326" s="354">
        <v>2326337.6800000002</v>
      </c>
      <c r="H326" s="354">
        <v>2698408.04</v>
      </c>
      <c r="I326" s="358">
        <v>4.6566128730773926E-10</v>
      </c>
      <c r="J326" s="352">
        <f t="shared" si="30"/>
        <v>1.7256889262297754E-16</v>
      </c>
      <c r="M326" s="74">
        <f t="shared" si="31"/>
        <v>578</v>
      </c>
      <c r="N326" s="146">
        <v>44742</v>
      </c>
      <c r="O326" s="74">
        <f t="shared" si="32"/>
        <v>-181</v>
      </c>
      <c r="P326" s="353">
        <f t="shared" si="33"/>
        <v>1.3131487889273357</v>
      </c>
    </row>
    <row r="327" spans="1:16" ht="18.75" customHeight="1">
      <c r="A327" s="635">
        <f t="shared" si="34"/>
        <v>255</v>
      </c>
      <c r="B327" s="357" t="s">
        <v>3172</v>
      </c>
      <c r="C327" s="354" t="s">
        <v>3173</v>
      </c>
      <c r="D327" s="145">
        <v>43983</v>
      </c>
      <c r="E327" s="146">
        <v>44742</v>
      </c>
      <c r="F327" s="149">
        <v>1</v>
      </c>
      <c r="G327" s="354">
        <v>3891444.46</v>
      </c>
      <c r="H327" s="354">
        <v>2741113.01</v>
      </c>
      <c r="I327" s="358">
        <v>1.3969838619232178E-9</v>
      </c>
      <c r="J327" s="352">
        <f t="shared" si="30"/>
        <v>5.0964110448084663E-16</v>
      </c>
      <c r="M327" s="74">
        <f t="shared" si="31"/>
        <v>759</v>
      </c>
      <c r="N327" s="146">
        <v>44742</v>
      </c>
      <c r="O327" s="74">
        <f t="shared" si="32"/>
        <v>0</v>
      </c>
      <c r="P327" s="353">
        <f t="shared" si="33"/>
        <v>1</v>
      </c>
    </row>
    <row r="328" spans="1:16" ht="18.75" customHeight="1">
      <c r="A328" s="635">
        <f t="shared" si="34"/>
        <v>256</v>
      </c>
      <c r="B328" s="357" t="s">
        <v>3176</v>
      </c>
      <c r="C328" s="354" t="s">
        <v>3177</v>
      </c>
      <c r="D328" s="145">
        <v>43952</v>
      </c>
      <c r="E328" s="146">
        <v>44227</v>
      </c>
      <c r="F328" s="149">
        <v>2.8727272727272726</v>
      </c>
      <c r="G328" s="354">
        <v>150466.85</v>
      </c>
      <c r="H328" s="354">
        <v>268734.90000000002</v>
      </c>
      <c r="I328" s="358">
        <v>-5.8207660913467407E-11</v>
      </c>
      <c r="J328" s="352">
        <f t="shared" si="30"/>
        <v>-2.1659881509051262E-16</v>
      </c>
      <c r="M328" s="74">
        <f t="shared" si="31"/>
        <v>275</v>
      </c>
      <c r="N328" s="146">
        <v>44742</v>
      </c>
      <c r="O328" s="74">
        <f t="shared" si="32"/>
        <v>-515</v>
      </c>
      <c r="P328" s="353">
        <f t="shared" si="33"/>
        <v>2.8727272727272726</v>
      </c>
    </row>
    <row r="329" spans="1:16" ht="18.75" customHeight="1">
      <c r="A329" s="635">
        <f t="shared" si="34"/>
        <v>257</v>
      </c>
      <c r="B329" s="357" t="s">
        <v>3178</v>
      </c>
      <c r="C329" s="354" t="s">
        <v>3179</v>
      </c>
      <c r="D329" s="145">
        <v>43862</v>
      </c>
      <c r="E329" s="146">
        <v>44742</v>
      </c>
      <c r="F329" s="149">
        <v>1</v>
      </c>
      <c r="G329" s="354">
        <v>5020890.2700000005</v>
      </c>
      <c r="H329" s="354">
        <v>4931705.6500000004</v>
      </c>
      <c r="I329" s="358">
        <v>-9.3132257461547852E-10</v>
      </c>
      <c r="J329" s="352">
        <f t="shared" si="30"/>
        <v>-1.8884390933093878E-16</v>
      </c>
      <c r="M329" s="74">
        <f t="shared" si="31"/>
        <v>880</v>
      </c>
      <c r="N329" s="146">
        <v>44742</v>
      </c>
      <c r="O329" s="74">
        <f t="shared" si="32"/>
        <v>0</v>
      </c>
      <c r="P329" s="353">
        <f t="shared" si="33"/>
        <v>1</v>
      </c>
    </row>
    <row r="330" spans="1:16" ht="18.75" customHeight="1">
      <c r="A330" s="635">
        <f t="shared" si="34"/>
        <v>258</v>
      </c>
      <c r="B330" s="357" t="s">
        <v>3188</v>
      </c>
      <c r="C330" s="354" t="s">
        <v>3189</v>
      </c>
      <c r="D330" s="145">
        <v>43983</v>
      </c>
      <c r="E330" s="146">
        <v>44681</v>
      </c>
      <c r="F330" s="149">
        <v>1.0873925501432664</v>
      </c>
      <c r="G330" s="354">
        <v>2895045.52</v>
      </c>
      <c r="H330" s="354">
        <v>2980773.3400000003</v>
      </c>
      <c r="I330" s="358">
        <v>4.6566128730773926E-10</v>
      </c>
      <c r="J330" s="352">
        <f t="shared" si="30"/>
        <v>1.5622163586169863E-16</v>
      </c>
      <c r="M330" s="74">
        <f t="shared" si="31"/>
        <v>698</v>
      </c>
      <c r="N330" s="146">
        <v>44742</v>
      </c>
      <c r="O330" s="74">
        <f t="shared" si="32"/>
        <v>-61</v>
      </c>
      <c r="P330" s="353">
        <f t="shared" si="33"/>
        <v>1.0873925501432664</v>
      </c>
    </row>
    <row r="331" spans="1:16" ht="18.75" customHeight="1">
      <c r="A331" s="635">
        <f t="shared" si="34"/>
        <v>259</v>
      </c>
      <c r="B331" s="357" t="s">
        <v>3190</v>
      </c>
      <c r="C331" s="354" t="s">
        <v>3191</v>
      </c>
      <c r="D331" s="145">
        <v>43983</v>
      </c>
      <c r="E331" s="146">
        <v>44742</v>
      </c>
      <c r="F331" s="149">
        <v>1</v>
      </c>
      <c r="G331" s="354">
        <v>3261108.2399999998</v>
      </c>
      <c r="H331" s="354">
        <v>3709517.48</v>
      </c>
      <c r="I331" s="358">
        <v>-1.3969838619232178E-9</v>
      </c>
      <c r="J331" s="352">
        <f t="shared" si="30"/>
        <v>-3.765944949592791E-16</v>
      </c>
      <c r="M331" s="74">
        <f t="shared" si="31"/>
        <v>759</v>
      </c>
      <c r="N331" s="146">
        <v>44742</v>
      </c>
      <c r="O331" s="74">
        <f t="shared" si="32"/>
        <v>0</v>
      </c>
      <c r="P331" s="353">
        <f t="shared" si="33"/>
        <v>1</v>
      </c>
    </row>
    <row r="332" spans="1:16" ht="18.75" customHeight="1">
      <c r="A332" s="635">
        <f t="shared" si="34"/>
        <v>260</v>
      </c>
      <c r="B332" s="357" t="s">
        <v>3192</v>
      </c>
      <c r="C332" s="354" t="s">
        <v>3193</v>
      </c>
      <c r="D332" s="145">
        <v>43739</v>
      </c>
      <c r="E332" s="146">
        <v>44561</v>
      </c>
      <c r="F332" s="149">
        <v>1.2201946472019465</v>
      </c>
      <c r="G332" s="354">
        <v>2247694.86</v>
      </c>
      <c r="H332" s="354">
        <v>2033258.29</v>
      </c>
      <c r="I332" s="358">
        <v>-2.3283064365386963E-10</v>
      </c>
      <c r="J332" s="352">
        <f t="shared" si="30"/>
        <v>-1.1451110013862018E-16</v>
      </c>
      <c r="M332" s="74">
        <f t="shared" si="31"/>
        <v>822</v>
      </c>
      <c r="N332" s="146">
        <v>44742</v>
      </c>
      <c r="O332" s="74">
        <f t="shared" si="32"/>
        <v>-181</v>
      </c>
      <c r="P332" s="353">
        <f t="shared" si="33"/>
        <v>1.2201946472019465</v>
      </c>
    </row>
    <row r="333" spans="1:16" ht="18.75" customHeight="1">
      <c r="A333" s="635">
        <f t="shared" si="34"/>
        <v>261</v>
      </c>
      <c r="B333" s="357" t="s">
        <v>3194</v>
      </c>
      <c r="C333" s="354" t="s">
        <v>3195</v>
      </c>
      <c r="D333" s="145">
        <v>43617</v>
      </c>
      <c r="E333" s="146">
        <v>45473</v>
      </c>
      <c r="F333" s="149">
        <v>0.60614224137931039</v>
      </c>
      <c r="G333" s="354">
        <v>9719007.3200000003</v>
      </c>
      <c r="H333" s="354">
        <v>9141094.790000001</v>
      </c>
      <c r="I333" s="358">
        <v>8988322.7400000021</v>
      </c>
      <c r="J333" s="352">
        <f t="shared" si="30"/>
        <v>0.9832873355424423</v>
      </c>
      <c r="M333" s="74">
        <f t="shared" si="31"/>
        <v>1856</v>
      </c>
      <c r="N333" s="146">
        <v>44742</v>
      </c>
      <c r="O333" s="74">
        <f t="shared" si="32"/>
        <v>731</v>
      </c>
      <c r="P333" s="353">
        <f t="shared" si="33"/>
        <v>0.60614224137931039</v>
      </c>
    </row>
    <row r="334" spans="1:16" ht="18.75" customHeight="1">
      <c r="A334" s="635">
        <f t="shared" si="34"/>
        <v>262</v>
      </c>
      <c r="B334" s="357" t="s">
        <v>3196</v>
      </c>
      <c r="C334" s="354" t="s">
        <v>3197</v>
      </c>
      <c r="D334" s="145">
        <v>43617</v>
      </c>
      <c r="E334" s="146">
        <v>45473</v>
      </c>
      <c r="F334" s="149">
        <v>0.60614224137931039</v>
      </c>
      <c r="G334" s="354">
        <v>9146869.3399999999</v>
      </c>
      <c r="H334" s="354">
        <v>9226890.1400000006</v>
      </c>
      <c r="I334" s="358">
        <v>5529527.5199999996</v>
      </c>
      <c r="J334" s="352">
        <f t="shared" si="30"/>
        <v>0.59928398800681926</v>
      </c>
      <c r="M334" s="74">
        <f t="shared" si="31"/>
        <v>1856</v>
      </c>
      <c r="N334" s="146">
        <v>44742</v>
      </c>
      <c r="O334" s="74">
        <f t="shared" si="32"/>
        <v>731</v>
      </c>
      <c r="P334" s="353">
        <f t="shared" si="33"/>
        <v>0.60614224137931039</v>
      </c>
    </row>
    <row r="335" spans="1:16" ht="18.75" customHeight="1">
      <c r="A335" s="635">
        <f t="shared" si="34"/>
        <v>263</v>
      </c>
      <c r="B335" s="357" t="s">
        <v>3198</v>
      </c>
      <c r="C335" s="354" t="s">
        <v>3199</v>
      </c>
      <c r="D335" s="145">
        <v>43617</v>
      </c>
      <c r="E335" s="146">
        <v>45688</v>
      </c>
      <c r="F335" s="149">
        <v>0.54321583775953641</v>
      </c>
      <c r="G335" s="354">
        <v>9146869.0199999996</v>
      </c>
      <c r="H335" s="354">
        <v>14665056.1</v>
      </c>
      <c r="I335" s="358">
        <v>177216.48</v>
      </c>
      <c r="J335" s="352">
        <f t="shared" si="30"/>
        <v>1.2084268808218198E-2</v>
      </c>
      <c r="M335" s="74">
        <f t="shared" si="31"/>
        <v>2071</v>
      </c>
      <c r="N335" s="146">
        <v>44742</v>
      </c>
      <c r="O335" s="74">
        <f t="shared" si="32"/>
        <v>946</v>
      </c>
      <c r="P335" s="353">
        <f t="shared" si="33"/>
        <v>0.54321583775953641</v>
      </c>
    </row>
    <row r="336" spans="1:16" ht="18.75" customHeight="1">
      <c r="A336" s="635">
        <f t="shared" si="34"/>
        <v>264</v>
      </c>
      <c r="B336" s="357" t="s">
        <v>3606</v>
      </c>
      <c r="C336" s="354" t="s">
        <v>3607</v>
      </c>
      <c r="D336" s="145">
        <v>44470</v>
      </c>
      <c r="E336" s="146">
        <v>44926</v>
      </c>
      <c r="F336" s="149">
        <v>0.59649122807017541</v>
      </c>
      <c r="G336" s="354">
        <v>3015430.53</v>
      </c>
      <c r="H336" s="354">
        <v>3015430.53</v>
      </c>
      <c r="I336" s="358">
        <v>1864540.3299999998</v>
      </c>
      <c r="J336" s="352">
        <f t="shared" si="30"/>
        <v>0.61833304115283327</v>
      </c>
      <c r="M336" s="74">
        <f t="shared" si="31"/>
        <v>456</v>
      </c>
      <c r="N336" s="146">
        <v>44742</v>
      </c>
      <c r="O336" s="74">
        <f t="shared" si="32"/>
        <v>184</v>
      </c>
      <c r="P336" s="353">
        <f t="shared" si="33"/>
        <v>0.59649122807017541</v>
      </c>
    </row>
    <row r="337" spans="1:16" s="359" customFormat="1" ht="20.100000000000001" customHeight="1">
      <c r="A337" s="809" t="str">
        <f>$A$1</f>
        <v>KENTUCKY UTILITIES COMPANY</v>
      </c>
      <c r="B337" s="809"/>
      <c r="C337" s="809"/>
      <c r="D337" s="809"/>
      <c r="E337" s="809"/>
      <c r="F337" s="809"/>
      <c r="G337" s="809"/>
      <c r="H337" s="809"/>
      <c r="I337" s="809"/>
      <c r="J337" s="809"/>
    </row>
    <row r="338" spans="1:16" s="359" customFormat="1" ht="20.100000000000001" customHeight="1">
      <c r="A338" s="809" t="str">
        <f>$A$2</f>
        <v>CASE NO. 2020-00349</v>
      </c>
      <c r="B338" s="809"/>
      <c r="C338" s="809"/>
      <c r="D338" s="809"/>
      <c r="E338" s="809"/>
      <c r="F338" s="809"/>
      <c r="G338" s="809"/>
      <c r="H338" s="809"/>
      <c r="I338" s="809"/>
      <c r="J338" s="809"/>
    </row>
    <row r="339" spans="1:16" s="359" customFormat="1" ht="20.100000000000001" customHeight="1">
      <c r="A339" s="809" t="s">
        <v>1216</v>
      </c>
      <c r="B339" s="809"/>
      <c r="C339" s="809"/>
      <c r="D339" s="809"/>
      <c r="E339" s="809"/>
      <c r="F339" s="809"/>
      <c r="G339" s="809"/>
      <c r="H339" s="809"/>
      <c r="I339" s="809"/>
      <c r="J339" s="809"/>
    </row>
    <row r="340" spans="1:16" s="359" customFormat="1" ht="20.100000000000001" customHeight="1">
      <c r="A340" s="809" t="str">
        <f>$A$4</f>
        <v>AS OF JUNE 30, 2022</v>
      </c>
      <c r="B340" s="809"/>
      <c r="C340" s="809"/>
      <c r="D340" s="809"/>
      <c r="E340" s="809"/>
      <c r="F340" s="809"/>
      <c r="G340" s="809"/>
      <c r="H340" s="809"/>
      <c r="I340" s="809"/>
      <c r="J340" s="809"/>
    </row>
    <row r="341" spans="1:16" s="359" customFormat="1" ht="20.100000000000001" customHeight="1">
      <c r="A341" s="633"/>
      <c r="B341" s="633"/>
      <c r="C341" s="633"/>
      <c r="D341" s="633"/>
      <c r="E341" s="633"/>
      <c r="F341" s="633"/>
      <c r="G341" s="633"/>
      <c r="H341" s="633"/>
      <c r="I341" s="633"/>
      <c r="J341" s="633"/>
    </row>
    <row r="342" spans="1:16" s="359" customFormat="1" ht="20.100000000000001" customHeight="1">
      <c r="A342" s="67" t="str">
        <f>$A$6</f>
        <v>DATA:____BASE  PERIOD__X__FORECASTED  PERIOD</v>
      </c>
      <c r="B342" s="634"/>
      <c r="C342" s="68"/>
      <c r="D342" s="144"/>
      <c r="E342" s="144"/>
      <c r="F342" s="68"/>
      <c r="G342" s="74"/>
      <c r="H342" s="74"/>
      <c r="I342" s="74"/>
      <c r="J342" s="74" t="s">
        <v>1709</v>
      </c>
    </row>
    <row r="343" spans="1:16" s="359" customFormat="1" ht="20.100000000000001" customHeight="1">
      <c r="A343" s="67" t="str">
        <f>$A$7</f>
        <v>TYPE OF FILING: __X__ ORIGINAL  _____ UPDATED  _____ REVISED</v>
      </c>
      <c r="B343" s="635"/>
      <c r="C343" s="68"/>
      <c r="D343" s="144"/>
      <c r="E343" s="144"/>
      <c r="F343" s="68"/>
      <c r="G343" s="74"/>
      <c r="H343" s="74"/>
      <c r="I343" s="74"/>
      <c r="J343" s="74" t="s">
        <v>3750</v>
      </c>
    </row>
    <row r="344" spans="1:16" s="359" customFormat="1" ht="20.100000000000001" customHeight="1">
      <c r="A344" s="67" t="str">
        <f>$A$8</f>
        <v>WORKPAPER REFERENCE NO(S).:</v>
      </c>
      <c r="B344" s="634"/>
      <c r="C344" s="68"/>
      <c r="D344" s="144"/>
      <c r="E344" s="144"/>
      <c r="F344" s="67"/>
      <c r="G344" s="75"/>
      <c r="H344" s="75"/>
      <c r="I344" s="75"/>
      <c r="J344" s="75" t="str">
        <f>$J$8</f>
        <v>WITNESS:   C. M. GARRETT</v>
      </c>
    </row>
    <row r="345" spans="1:16" s="359" customFormat="1" ht="20.100000000000001" customHeight="1">
      <c r="A345" s="68"/>
      <c r="B345" s="635"/>
      <c r="C345" s="68"/>
      <c r="D345" s="144"/>
      <c r="E345" s="144"/>
      <c r="F345" s="68"/>
      <c r="G345" s="68"/>
      <c r="H345" s="68"/>
      <c r="I345" s="68"/>
      <c r="J345" s="68"/>
    </row>
    <row r="346" spans="1:16" s="359" customFormat="1" ht="65.099999999999994" customHeight="1">
      <c r="A346" s="76" t="s">
        <v>131</v>
      </c>
      <c r="B346" s="76" t="s">
        <v>1219</v>
      </c>
      <c r="C346" s="76" t="s">
        <v>1220</v>
      </c>
      <c r="D346" s="142" t="s">
        <v>1222</v>
      </c>
      <c r="E346" s="142" t="s">
        <v>1223</v>
      </c>
      <c r="F346" s="76" t="s">
        <v>1224</v>
      </c>
      <c r="G346" s="76" t="s">
        <v>1225</v>
      </c>
      <c r="H346" s="76" t="s">
        <v>1226</v>
      </c>
      <c r="I346" s="76" t="s">
        <v>1227</v>
      </c>
      <c r="J346" s="76" t="s">
        <v>1228</v>
      </c>
      <c r="M346" s="360" t="s">
        <v>1236</v>
      </c>
      <c r="N346" s="360" t="s">
        <v>1237</v>
      </c>
      <c r="O346" s="360" t="s">
        <v>1238</v>
      </c>
      <c r="P346" s="360" t="s">
        <v>1224</v>
      </c>
    </row>
    <row r="347" spans="1:16" s="359" customFormat="1" ht="23.1" customHeight="1">
      <c r="A347" s="80" t="s">
        <v>1217</v>
      </c>
      <c r="B347" s="80" t="s">
        <v>1218</v>
      </c>
      <c r="C347" s="80" t="s">
        <v>1221</v>
      </c>
      <c r="D347" s="355" t="s">
        <v>1229</v>
      </c>
      <c r="E347" s="355" t="s">
        <v>1230</v>
      </c>
      <c r="F347" s="356" t="s">
        <v>1231</v>
      </c>
      <c r="G347" s="356" t="s">
        <v>1232</v>
      </c>
      <c r="H347" s="356" t="s">
        <v>1233</v>
      </c>
      <c r="I347" s="356" t="s">
        <v>1234</v>
      </c>
      <c r="J347" s="356" t="s">
        <v>1235</v>
      </c>
    </row>
    <row r="348" spans="1:16" s="359" customFormat="1" ht="18.9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</row>
    <row r="349" spans="1:16" ht="18.75" customHeight="1">
      <c r="A349" s="635">
        <f>A336+1</f>
        <v>265</v>
      </c>
      <c r="B349" s="357" t="s">
        <v>3608</v>
      </c>
      <c r="C349" s="354" t="s">
        <v>3609</v>
      </c>
      <c r="D349" s="145">
        <v>44470</v>
      </c>
      <c r="E349" s="146">
        <v>44926</v>
      </c>
      <c r="F349" s="149">
        <v>0.59649122807017541</v>
      </c>
      <c r="G349" s="354">
        <v>1472676.6</v>
      </c>
      <c r="H349" s="354">
        <v>1472676.6</v>
      </c>
      <c r="I349" s="358">
        <v>729012.54</v>
      </c>
      <c r="J349" s="352">
        <f t="shared" ref="J349:J385" si="35">I349/H349</f>
        <v>0.49502554736049992</v>
      </c>
      <c r="M349" s="74">
        <f t="shared" ref="M349:M354" si="36">E349-D349</f>
        <v>456</v>
      </c>
      <c r="N349" s="146">
        <v>44742</v>
      </c>
      <c r="O349" s="74">
        <f t="shared" ref="O349:O354" si="37">E349-N349</f>
        <v>184</v>
      </c>
      <c r="P349" s="353">
        <f t="shared" ref="P349:P354" si="38">(M349-O349)/M349</f>
        <v>0.59649122807017541</v>
      </c>
    </row>
    <row r="350" spans="1:16" ht="18.75" customHeight="1">
      <c r="A350" s="635">
        <f>A349+1</f>
        <v>266</v>
      </c>
      <c r="B350" s="357" t="s">
        <v>3610</v>
      </c>
      <c r="C350" s="354" t="s">
        <v>3611</v>
      </c>
      <c r="D350" s="145">
        <v>44562</v>
      </c>
      <c r="E350" s="146">
        <v>44985</v>
      </c>
      <c r="F350" s="149">
        <v>0.42553191489361702</v>
      </c>
      <c r="G350" s="354">
        <v>5173599.04</v>
      </c>
      <c r="H350" s="354">
        <v>5173599.04</v>
      </c>
      <c r="I350" s="358">
        <v>2326214.2200000002</v>
      </c>
      <c r="J350" s="352">
        <f t="shared" si="35"/>
        <v>0.44963171711118921</v>
      </c>
      <c r="M350" s="74">
        <f t="shared" si="36"/>
        <v>423</v>
      </c>
      <c r="N350" s="146">
        <v>44742</v>
      </c>
      <c r="O350" s="74">
        <f t="shared" si="37"/>
        <v>243</v>
      </c>
      <c r="P350" s="353">
        <f t="shared" si="38"/>
        <v>0.42553191489361702</v>
      </c>
    </row>
    <row r="351" spans="1:16" ht="18.75" customHeight="1">
      <c r="A351" s="635">
        <f t="shared" ref="A351:A385" si="39">A350+1</f>
        <v>267</v>
      </c>
      <c r="B351" s="357" t="s">
        <v>3612</v>
      </c>
      <c r="C351" s="354" t="s">
        <v>3613</v>
      </c>
      <c r="D351" s="145">
        <v>44713</v>
      </c>
      <c r="E351" s="146">
        <v>45657</v>
      </c>
      <c r="F351" s="149">
        <v>3.0720338983050849E-2</v>
      </c>
      <c r="G351" s="354">
        <v>9971795.3499999996</v>
      </c>
      <c r="H351" s="354">
        <v>9971795.3499999996</v>
      </c>
      <c r="I351" s="358">
        <v>12357.93</v>
      </c>
      <c r="J351" s="352">
        <f t="shared" si="35"/>
        <v>1.2392883694710001E-3</v>
      </c>
      <c r="M351" s="74">
        <f t="shared" si="36"/>
        <v>944</v>
      </c>
      <c r="N351" s="146">
        <v>44742</v>
      </c>
      <c r="O351" s="74">
        <f t="shared" si="37"/>
        <v>915</v>
      </c>
      <c r="P351" s="353">
        <f t="shared" si="38"/>
        <v>3.0720338983050849E-2</v>
      </c>
    </row>
    <row r="352" spans="1:16" ht="18.75" customHeight="1">
      <c r="A352" s="635">
        <f t="shared" si="39"/>
        <v>268</v>
      </c>
      <c r="B352" s="357" t="s">
        <v>3614</v>
      </c>
      <c r="C352" s="354" t="s">
        <v>3615</v>
      </c>
      <c r="D352" s="145">
        <v>44470</v>
      </c>
      <c r="E352" s="146">
        <v>44712</v>
      </c>
      <c r="F352" s="149">
        <v>1.1239669421487604</v>
      </c>
      <c r="G352" s="354">
        <v>1113482.0999999999</v>
      </c>
      <c r="H352" s="354">
        <v>1113482.0999999999</v>
      </c>
      <c r="I352" s="358">
        <v>-2.3283064365386963E-10</v>
      </c>
      <c r="J352" s="352">
        <f t="shared" si="35"/>
        <v>-2.091013799448322E-16</v>
      </c>
      <c r="M352" s="74">
        <f t="shared" si="36"/>
        <v>242</v>
      </c>
      <c r="N352" s="146">
        <v>44742</v>
      </c>
      <c r="O352" s="74">
        <f t="shared" si="37"/>
        <v>-30</v>
      </c>
      <c r="P352" s="353">
        <f t="shared" si="38"/>
        <v>1.1239669421487604</v>
      </c>
    </row>
    <row r="353" spans="1:16" ht="18.75" customHeight="1">
      <c r="A353" s="635">
        <f t="shared" si="39"/>
        <v>269</v>
      </c>
      <c r="B353" s="357" t="s">
        <v>3616</v>
      </c>
      <c r="C353" s="354" t="s">
        <v>3617</v>
      </c>
      <c r="D353" s="145">
        <v>44470</v>
      </c>
      <c r="E353" s="146">
        <v>44712</v>
      </c>
      <c r="F353" s="149">
        <v>1.1239669421487604</v>
      </c>
      <c r="G353" s="354">
        <v>430466.48</v>
      </c>
      <c r="H353" s="354">
        <v>430466.48</v>
      </c>
      <c r="I353" s="358">
        <v>-5.8207660913467407E-11</v>
      </c>
      <c r="J353" s="352">
        <f t="shared" si="35"/>
        <v>-1.3521996164130458E-16</v>
      </c>
      <c r="M353" s="74">
        <f t="shared" si="36"/>
        <v>242</v>
      </c>
      <c r="N353" s="146">
        <v>44742</v>
      </c>
      <c r="O353" s="74">
        <f t="shared" si="37"/>
        <v>-30</v>
      </c>
      <c r="P353" s="353">
        <f t="shared" si="38"/>
        <v>1.1239669421487604</v>
      </c>
    </row>
    <row r="354" spans="1:16" ht="18.75" customHeight="1">
      <c r="A354" s="635">
        <f t="shared" si="39"/>
        <v>270</v>
      </c>
      <c r="B354" s="357" t="s">
        <v>3208</v>
      </c>
      <c r="C354" s="354" t="s">
        <v>3209</v>
      </c>
      <c r="D354" s="145">
        <v>43891</v>
      </c>
      <c r="E354" s="146">
        <v>44530</v>
      </c>
      <c r="F354" s="149">
        <v>1.3317683881064162</v>
      </c>
      <c r="G354" s="354">
        <v>3011419.1799999997</v>
      </c>
      <c r="H354" s="354">
        <v>3011419.1799999997</v>
      </c>
      <c r="I354" s="358">
        <v>4.6566128730773926E-10</v>
      </c>
      <c r="J354" s="352">
        <f t="shared" si="35"/>
        <v>1.5463183949958746E-16</v>
      </c>
      <c r="M354" s="74">
        <f t="shared" si="36"/>
        <v>639</v>
      </c>
      <c r="N354" s="146">
        <v>44742</v>
      </c>
      <c r="O354" s="74">
        <f t="shared" si="37"/>
        <v>-212</v>
      </c>
      <c r="P354" s="353">
        <f t="shared" si="38"/>
        <v>1.3317683881064162</v>
      </c>
    </row>
    <row r="355" spans="1:16" ht="18.75" customHeight="1">
      <c r="A355" s="739">
        <f t="shared" si="39"/>
        <v>271</v>
      </c>
      <c r="B355" s="357" t="s">
        <v>3618</v>
      </c>
      <c r="C355" s="354" t="s">
        <v>3619</v>
      </c>
      <c r="D355" s="145">
        <v>44713</v>
      </c>
      <c r="E355" s="146">
        <v>44865</v>
      </c>
      <c r="F355" s="149">
        <v>0.19736842105263158</v>
      </c>
      <c r="G355" s="354">
        <v>707686.9</v>
      </c>
      <c r="H355" s="354">
        <v>707686.9</v>
      </c>
      <c r="I355" s="358">
        <v>265668.14</v>
      </c>
      <c r="J355" s="352">
        <f t="shared" si="35"/>
        <v>0.37540350118110144</v>
      </c>
      <c r="M355" s="74">
        <f t="shared" ref="M355:M385" si="40">E355-D355</f>
        <v>152</v>
      </c>
      <c r="N355" s="146">
        <v>44742</v>
      </c>
      <c r="O355" s="74">
        <f t="shared" ref="O355:O385" si="41">E355-N355</f>
        <v>123</v>
      </c>
      <c r="P355" s="353">
        <f t="shared" ref="P355:P385" si="42">(M355-O355)/M355</f>
        <v>0.19078947368421054</v>
      </c>
    </row>
    <row r="356" spans="1:16" ht="18.75" customHeight="1">
      <c r="A356" s="739">
        <f t="shared" si="39"/>
        <v>272</v>
      </c>
      <c r="B356" s="357" t="s">
        <v>3224</v>
      </c>
      <c r="C356" s="354" t="s">
        <v>3225</v>
      </c>
      <c r="D356" s="145">
        <v>43709</v>
      </c>
      <c r="E356" s="146">
        <v>44377</v>
      </c>
      <c r="F356" s="149">
        <v>1.5494011976047903</v>
      </c>
      <c r="G356" s="354">
        <v>249999.96</v>
      </c>
      <c r="H356" s="354">
        <v>446297.87</v>
      </c>
      <c r="I356" s="358">
        <v>5.8207660913467407E-11</v>
      </c>
      <c r="J356" s="352">
        <f t="shared" si="35"/>
        <v>1.3042334464528682E-16</v>
      </c>
      <c r="M356" s="74">
        <f t="shared" si="40"/>
        <v>668</v>
      </c>
      <c r="N356" s="146">
        <v>44742</v>
      </c>
      <c r="O356" s="74">
        <f t="shared" si="41"/>
        <v>-365</v>
      </c>
      <c r="P356" s="353">
        <f t="shared" si="42"/>
        <v>1.5464071856287425</v>
      </c>
    </row>
    <row r="357" spans="1:16" ht="18.75" customHeight="1">
      <c r="A357" s="739">
        <f t="shared" si="39"/>
        <v>273</v>
      </c>
      <c r="B357" s="357" t="s">
        <v>2627</v>
      </c>
      <c r="C357" s="354" t="s">
        <v>2628</v>
      </c>
      <c r="D357" s="145">
        <v>43586</v>
      </c>
      <c r="E357" s="146">
        <v>44865</v>
      </c>
      <c r="F357" s="149">
        <v>0.90617670054730259</v>
      </c>
      <c r="G357" s="354">
        <v>1800000</v>
      </c>
      <c r="H357" s="354">
        <v>4116495.1399999997</v>
      </c>
      <c r="I357" s="358">
        <v>3283715.6400000006</v>
      </c>
      <c r="J357" s="352">
        <f t="shared" si="35"/>
        <v>0.79769695537646157</v>
      </c>
      <c r="M357" s="74">
        <f t="shared" si="40"/>
        <v>1279</v>
      </c>
      <c r="N357" s="146">
        <v>44742</v>
      </c>
      <c r="O357" s="74">
        <f t="shared" si="41"/>
        <v>123</v>
      </c>
      <c r="P357" s="353">
        <f t="shared" si="42"/>
        <v>0.90383111806098515</v>
      </c>
    </row>
    <row r="358" spans="1:16" ht="18.75" customHeight="1">
      <c r="A358" s="739">
        <f t="shared" si="39"/>
        <v>274</v>
      </c>
      <c r="B358" s="357" t="s">
        <v>3620</v>
      </c>
      <c r="C358" s="354" t="s">
        <v>3621</v>
      </c>
      <c r="D358" s="145">
        <v>44713</v>
      </c>
      <c r="E358" s="146">
        <v>45473</v>
      </c>
      <c r="F358" s="149">
        <v>4.3421052631578951E-2</v>
      </c>
      <c r="G358" s="354">
        <v>933057.85</v>
      </c>
      <c r="H358" s="354">
        <v>933057.85</v>
      </c>
      <c r="I358" s="358">
        <v>4320.38</v>
      </c>
      <c r="J358" s="352">
        <f t="shared" si="35"/>
        <v>4.6303452674451E-3</v>
      </c>
      <c r="M358" s="74">
        <f t="shared" si="40"/>
        <v>760</v>
      </c>
      <c r="N358" s="146">
        <v>44742</v>
      </c>
      <c r="O358" s="74">
        <f t="shared" si="41"/>
        <v>731</v>
      </c>
      <c r="P358" s="353">
        <f t="shared" si="42"/>
        <v>3.8157894736842106E-2</v>
      </c>
    </row>
    <row r="359" spans="1:16" ht="18.75" customHeight="1">
      <c r="A359" s="739">
        <f t="shared" si="39"/>
        <v>275</v>
      </c>
      <c r="B359" s="357" t="s">
        <v>3230</v>
      </c>
      <c r="C359" s="354" t="s">
        <v>3231</v>
      </c>
      <c r="D359" s="145">
        <v>43831</v>
      </c>
      <c r="E359" s="146">
        <v>44316</v>
      </c>
      <c r="F359" s="149">
        <v>1.8886597938144329</v>
      </c>
      <c r="G359" s="354">
        <v>108202.98</v>
      </c>
      <c r="H359" s="354">
        <v>225515.90000000002</v>
      </c>
      <c r="I359" s="358">
        <v>2.9103830456733704E-11</v>
      </c>
      <c r="J359" s="352">
        <f t="shared" si="35"/>
        <v>1.2905445007085399E-16</v>
      </c>
      <c r="M359" s="74">
        <f t="shared" si="40"/>
        <v>485</v>
      </c>
      <c r="N359" s="146">
        <v>44742</v>
      </c>
      <c r="O359" s="74">
        <f t="shared" si="41"/>
        <v>-426</v>
      </c>
      <c r="P359" s="353">
        <f t="shared" si="42"/>
        <v>1.8783505154639175</v>
      </c>
    </row>
    <row r="360" spans="1:16" ht="18.75" customHeight="1">
      <c r="A360" s="739">
        <f t="shared" si="39"/>
        <v>276</v>
      </c>
      <c r="B360" s="357" t="s">
        <v>3232</v>
      </c>
      <c r="C360" s="354" t="s">
        <v>3233</v>
      </c>
      <c r="D360" s="145">
        <v>44013</v>
      </c>
      <c r="E360" s="146">
        <v>45291</v>
      </c>
      <c r="F360" s="149">
        <v>0.57511737089201875</v>
      </c>
      <c r="G360" s="354">
        <v>1389806.89</v>
      </c>
      <c r="H360" s="354">
        <v>3945284.7700000005</v>
      </c>
      <c r="I360" s="358">
        <v>1143052.3400000001</v>
      </c>
      <c r="J360" s="352">
        <f t="shared" si="35"/>
        <v>0.28972619383315135</v>
      </c>
      <c r="M360" s="74">
        <f t="shared" si="40"/>
        <v>1278</v>
      </c>
      <c r="N360" s="146">
        <v>44742</v>
      </c>
      <c r="O360" s="74">
        <f t="shared" si="41"/>
        <v>549</v>
      </c>
      <c r="P360" s="353">
        <f t="shared" si="42"/>
        <v>0.57042253521126762</v>
      </c>
    </row>
    <row r="361" spans="1:16" ht="18.75" customHeight="1">
      <c r="A361" s="739">
        <f t="shared" si="39"/>
        <v>277</v>
      </c>
      <c r="B361" s="357" t="s">
        <v>3234</v>
      </c>
      <c r="C361" s="354" t="s">
        <v>3235</v>
      </c>
      <c r="D361" s="145">
        <v>44013</v>
      </c>
      <c r="E361" s="146">
        <v>44804</v>
      </c>
      <c r="F361" s="149">
        <v>0.93046776232616946</v>
      </c>
      <c r="G361" s="354">
        <v>1297526.32</v>
      </c>
      <c r="H361" s="354">
        <v>3144210.01</v>
      </c>
      <c r="I361" s="358">
        <v>2597791.65</v>
      </c>
      <c r="J361" s="352">
        <f t="shared" si="35"/>
        <v>0.82621442007304091</v>
      </c>
      <c r="M361" s="74">
        <f t="shared" si="40"/>
        <v>791</v>
      </c>
      <c r="N361" s="146">
        <v>44742</v>
      </c>
      <c r="O361" s="74">
        <f t="shared" si="41"/>
        <v>62</v>
      </c>
      <c r="P361" s="353">
        <f t="shared" si="42"/>
        <v>0.92161820480404555</v>
      </c>
    </row>
    <row r="362" spans="1:16" ht="18.75" customHeight="1">
      <c r="A362" s="739">
        <f t="shared" si="39"/>
        <v>278</v>
      </c>
      <c r="B362" s="357" t="s">
        <v>3242</v>
      </c>
      <c r="C362" s="354" t="s">
        <v>3243</v>
      </c>
      <c r="D362" s="145">
        <v>44197</v>
      </c>
      <c r="E362" s="146">
        <v>44895</v>
      </c>
      <c r="F362" s="149">
        <v>0.79226361031518622</v>
      </c>
      <c r="G362" s="354">
        <v>884809.41</v>
      </c>
      <c r="H362" s="354">
        <v>1811231.0899999999</v>
      </c>
      <c r="I362" s="358">
        <v>992592.26</v>
      </c>
      <c r="J362" s="352">
        <f t="shared" si="35"/>
        <v>0.54802077188284137</v>
      </c>
      <c r="M362" s="74">
        <f t="shared" si="40"/>
        <v>698</v>
      </c>
      <c r="N362" s="146">
        <v>44742</v>
      </c>
      <c r="O362" s="74">
        <f t="shared" si="41"/>
        <v>153</v>
      </c>
      <c r="P362" s="353">
        <f t="shared" si="42"/>
        <v>0.78080229226361031</v>
      </c>
    </row>
    <row r="363" spans="1:16" ht="18.75" customHeight="1">
      <c r="A363" s="739">
        <f t="shared" si="39"/>
        <v>279</v>
      </c>
      <c r="B363" s="357" t="s">
        <v>2635</v>
      </c>
      <c r="C363" s="354" t="s">
        <v>2636</v>
      </c>
      <c r="D363" s="145">
        <v>44228</v>
      </c>
      <c r="E363" s="146">
        <v>44957</v>
      </c>
      <c r="F363" s="149">
        <v>0.71742112482853226</v>
      </c>
      <c r="G363" s="354">
        <v>1525229.96</v>
      </c>
      <c r="H363" s="354">
        <v>4817329.29</v>
      </c>
      <c r="I363" s="358">
        <v>1457166.86</v>
      </c>
      <c r="J363" s="352">
        <f t="shared" si="35"/>
        <v>0.30248437926484367</v>
      </c>
      <c r="M363" s="74">
        <f t="shared" si="40"/>
        <v>729</v>
      </c>
      <c r="N363" s="146">
        <v>44742</v>
      </c>
      <c r="O363" s="74">
        <f t="shared" si="41"/>
        <v>215</v>
      </c>
      <c r="P363" s="353">
        <f t="shared" si="42"/>
        <v>0.70507544581618653</v>
      </c>
    </row>
    <row r="364" spans="1:16" ht="18.75" customHeight="1">
      <c r="A364" s="739">
        <f t="shared" si="39"/>
        <v>280</v>
      </c>
      <c r="B364" s="357" t="s">
        <v>3250</v>
      </c>
      <c r="C364" s="354" t="s">
        <v>3251</v>
      </c>
      <c r="D364" s="145">
        <v>43831</v>
      </c>
      <c r="E364" s="146">
        <v>44561</v>
      </c>
      <c r="F364" s="149">
        <v>1.2616438356164383</v>
      </c>
      <c r="G364" s="354">
        <v>177721.86000000002</v>
      </c>
      <c r="H364" s="354">
        <v>868851.24</v>
      </c>
      <c r="I364" s="358">
        <v>1.1641532182693481E-10</v>
      </c>
      <c r="J364" s="352">
        <f t="shared" si="35"/>
        <v>1.3398763386346186E-16</v>
      </c>
      <c r="M364" s="74">
        <f t="shared" si="40"/>
        <v>730</v>
      </c>
      <c r="N364" s="146">
        <v>44742</v>
      </c>
      <c r="O364" s="74">
        <f t="shared" si="41"/>
        <v>-181</v>
      </c>
      <c r="P364" s="353">
        <f t="shared" si="42"/>
        <v>1.247945205479452</v>
      </c>
    </row>
    <row r="365" spans="1:16" ht="18.75" customHeight="1">
      <c r="A365" s="739">
        <f t="shared" si="39"/>
        <v>281</v>
      </c>
      <c r="B365" s="357" t="s">
        <v>3252</v>
      </c>
      <c r="C365" s="354" t="s">
        <v>3253</v>
      </c>
      <c r="D365" s="145">
        <v>43831</v>
      </c>
      <c r="E365" s="146">
        <v>44316</v>
      </c>
      <c r="F365" s="149">
        <v>1.9010309278350515</v>
      </c>
      <c r="G365" s="354">
        <v>177721.86000000002</v>
      </c>
      <c r="H365" s="354">
        <v>236506.05</v>
      </c>
      <c r="I365" s="358">
        <v>-2.9103830456733704E-11</v>
      </c>
      <c r="J365" s="352">
        <f t="shared" si="35"/>
        <v>-1.230574459162195E-16</v>
      </c>
      <c r="M365" s="74">
        <f t="shared" si="40"/>
        <v>485</v>
      </c>
      <c r="N365" s="146">
        <v>44742</v>
      </c>
      <c r="O365" s="74">
        <f t="shared" si="41"/>
        <v>-426</v>
      </c>
      <c r="P365" s="353">
        <f t="shared" si="42"/>
        <v>1.8783505154639175</v>
      </c>
    </row>
    <row r="366" spans="1:16" ht="18.75" customHeight="1">
      <c r="A366" s="739">
        <f t="shared" si="39"/>
        <v>282</v>
      </c>
      <c r="B366" s="357" t="s">
        <v>3256</v>
      </c>
      <c r="C366" s="354" t="s">
        <v>3257</v>
      </c>
      <c r="D366" s="145">
        <v>43770</v>
      </c>
      <c r="E366" s="146">
        <v>44926</v>
      </c>
      <c r="F366" s="149">
        <v>0.85121107266435991</v>
      </c>
      <c r="G366" s="354">
        <v>1156867.08</v>
      </c>
      <c r="H366" s="354">
        <v>2648401.84</v>
      </c>
      <c r="I366" s="358">
        <v>-4.6566128730773926E-10</v>
      </c>
      <c r="J366" s="352">
        <f t="shared" si="35"/>
        <v>-1.7582727827576925E-16</v>
      </c>
      <c r="M366" s="74">
        <f t="shared" si="40"/>
        <v>1156</v>
      </c>
      <c r="N366" s="146">
        <v>44742</v>
      </c>
      <c r="O366" s="74">
        <f t="shared" si="41"/>
        <v>184</v>
      </c>
      <c r="P366" s="353">
        <f t="shared" si="42"/>
        <v>0.84083044982698962</v>
      </c>
    </row>
    <row r="367" spans="1:16" ht="18.75" customHeight="1">
      <c r="A367" s="739">
        <f t="shared" si="39"/>
        <v>283</v>
      </c>
      <c r="B367" s="357" t="s">
        <v>3622</v>
      </c>
      <c r="C367" s="354" t="s">
        <v>3623</v>
      </c>
      <c r="D367" s="145">
        <v>44105</v>
      </c>
      <c r="E367" s="146">
        <v>44712</v>
      </c>
      <c r="F367" s="149">
        <v>1.0708401976935749</v>
      </c>
      <c r="G367" s="354">
        <v>166711.59</v>
      </c>
      <c r="H367" s="354">
        <v>353881.68000000005</v>
      </c>
      <c r="I367" s="358">
        <v>186684.47000000003</v>
      </c>
      <c r="J367" s="352">
        <f t="shared" si="35"/>
        <v>0.52753358128061334</v>
      </c>
      <c r="M367" s="74">
        <f t="shared" si="40"/>
        <v>607</v>
      </c>
      <c r="N367" s="146">
        <v>44742</v>
      </c>
      <c r="O367" s="74">
        <f t="shared" si="41"/>
        <v>-30</v>
      </c>
      <c r="P367" s="353">
        <f t="shared" si="42"/>
        <v>1.0494233937397035</v>
      </c>
    </row>
    <row r="368" spans="1:16" ht="18.75" customHeight="1">
      <c r="A368" s="739">
        <f t="shared" si="39"/>
        <v>284</v>
      </c>
      <c r="B368" s="357" t="s">
        <v>3258</v>
      </c>
      <c r="C368" s="354" t="s">
        <v>3259</v>
      </c>
      <c r="D368" s="145">
        <v>43831</v>
      </c>
      <c r="E368" s="146">
        <v>44561</v>
      </c>
      <c r="F368" s="149">
        <v>1.2671232876712328</v>
      </c>
      <c r="G368" s="354">
        <v>1261922.5900000001</v>
      </c>
      <c r="H368" s="354">
        <v>1048377.17</v>
      </c>
      <c r="I368" s="358">
        <v>1.1641532182693481E-10</v>
      </c>
      <c r="J368" s="352">
        <f t="shared" si="35"/>
        <v>1.1104335840023568E-16</v>
      </c>
      <c r="M368" s="74">
        <f t="shared" si="40"/>
        <v>730</v>
      </c>
      <c r="N368" s="146">
        <v>44742</v>
      </c>
      <c r="O368" s="74">
        <f t="shared" si="41"/>
        <v>-181</v>
      </c>
      <c r="P368" s="353">
        <f t="shared" si="42"/>
        <v>1.247945205479452</v>
      </c>
    </row>
    <row r="369" spans="1:16" ht="18.75" customHeight="1">
      <c r="A369" s="739">
        <f t="shared" si="39"/>
        <v>285</v>
      </c>
      <c r="B369" s="357" t="s">
        <v>3260</v>
      </c>
      <c r="C369" s="354" t="s">
        <v>3261</v>
      </c>
      <c r="D369" s="145">
        <v>44044</v>
      </c>
      <c r="E369" s="146">
        <v>44834</v>
      </c>
      <c r="F369" s="149">
        <v>0.90253164556962029</v>
      </c>
      <c r="G369" s="354">
        <v>303152.77</v>
      </c>
      <c r="H369" s="354">
        <v>362039.26</v>
      </c>
      <c r="I369" s="358">
        <v>280221.41000000003</v>
      </c>
      <c r="J369" s="352">
        <f t="shared" si="35"/>
        <v>0.77400834926024331</v>
      </c>
      <c r="M369" s="74">
        <f t="shared" si="40"/>
        <v>790</v>
      </c>
      <c r="N369" s="146">
        <v>44742</v>
      </c>
      <c r="O369" s="74">
        <f t="shared" si="41"/>
        <v>92</v>
      </c>
      <c r="P369" s="353">
        <f t="shared" si="42"/>
        <v>0.8835443037974684</v>
      </c>
    </row>
    <row r="370" spans="1:16" ht="18.75" customHeight="1">
      <c r="A370" s="739">
        <f t="shared" si="39"/>
        <v>286</v>
      </c>
      <c r="B370" s="357" t="s">
        <v>3624</v>
      </c>
      <c r="C370" s="354" t="s">
        <v>3625</v>
      </c>
      <c r="D370" s="145">
        <v>44470</v>
      </c>
      <c r="E370" s="146">
        <v>44681</v>
      </c>
      <c r="F370" s="149">
        <v>1.3649289099526067</v>
      </c>
      <c r="G370" s="354">
        <v>177767.09</v>
      </c>
      <c r="H370" s="354">
        <v>326134.48</v>
      </c>
      <c r="I370" s="358">
        <v>-5.8207660913467407E-11</v>
      </c>
      <c r="J370" s="352">
        <f t="shared" si="35"/>
        <v>-1.7847748239765208E-16</v>
      </c>
      <c r="M370" s="74">
        <f t="shared" si="40"/>
        <v>211</v>
      </c>
      <c r="N370" s="146">
        <v>44742</v>
      </c>
      <c r="O370" s="74">
        <f t="shared" si="41"/>
        <v>-61</v>
      </c>
      <c r="P370" s="353">
        <f t="shared" si="42"/>
        <v>1.2890995260663507</v>
      </c>
    </row>
    <row r="371" spans="1:16" ht="18.75" customHeight="1">
      <c r="A371" s="739">
        <f t="shared" si="39"/>
        <v>287</v>
      </c>
      <c r="B371" s="357" t="s">
        <v>3626</v>
      </c>
      <c r="C371" s="354" t="s">
        <v>3627</v>
      </c>
      <c r="D371" s="145">
        <v>44531</v>
      </c>
      <c r="E371" s="146">
        <v>45626</v>
      </c>
      <c r="F371" s="149">
        <v>0.20821917808219179</v>
      </c>
      <c r="G371" s="354">
        <v>70544.98000000001</v>
      </c>
      <c r="H371" s="354">
        <v>70544.98000000001</v>
      </c>
      <c r="I371" s="358">
        <v>13745.33</v>
      </c>
      <c r="J371" s="352">
        <f t="shared" si="35"/>
        <v>0.19484490604434218</v>
      </c>
      <c r="M371" s="74">
        <f t="shared" si="40"/>
        <v>1095</v>
      </c>
      <c r="N371" s="146">
        <v>44742</v>
      </c>
      <c r="O371" s="74">
        <f t="shared" si="41"/>
        <v>884</v>
      </c>
      <c r="P371" s="353">
        <f t="shared" si="42"/>
        <v>0.19269406392694063</v>
      </c>
    </row>
    <row r="372" spans="1:16" ht="18.75" customHeight="1">
      <c r="A372" s="739">
        <f t="shared" si="39"/>
        <v>288</v>
      </c>
      <c r="B372" s="357" t="s">
        <v>3270</v>
      </c>
      <c r="C372" s="354" t="s">
        <v>3271</v>
      </c>
      <c r="D372" s="145">
        <v>44197</v>
      </c>
      <c r="E372" s="146">
        <v>44865</v>
      </c>
      <c r="F372" s="149">
        <v>0.84281437125748504</v>
      </c>
      <c r="G372" s="354">
        <v>147913.30000000002</v>
      </c>
      <c r="H372" s="354">
        <v>147913.30000000002</v>
      </c>
      <c r="I372" s="358">
        <v>92384.85</v>
      </c>
      <c r="J372" s="352">
        <f t="shared" si="35"/>
        <v>0.62458784977415815</v>
      </c>
      <c r="M372" s="74">
        <f t="shared" si="40"/>
        <v>668</v>
      </c>
      <c r="N372" s="146">
        <v>44742</v>
      </c>
      <c r="O372" s="74">
        <f t="shared" si="41"/>
        <v>123</v>
      </c>
      <c r="P372" s="353">
        <f t="shared" si="42"/>
        <v>0.81586826347305386</v>
      </c>
    </row>
    <row r="373" spans="1:16" ht="18.75" customHeight="1">
      <c r="A373" s="739">
        <f t="shared" si="39"/>
        <v>289</v>
      </c>
      <c r="B373" s="357" t="s">
        <v>3628</v>
      </c>
      <c r="C373" s="354" t="s">
        <v>3629</v>
      </c>
      <c r="D373" s="145">
        <v>44562</v>
      </c>
      <c r="E373" s="146">
        <v>45291</v>
      </c>
      <c r="F373" s="149">
        <v>0.27297668038408779</v>
      </c>
      <c r="G373" s="354">
        <v>266091.15000000002</v>
      </c>
      <c r="H373" s="354">
        <v>266091.15000000002</v>
      </c>
      <c r="I373" s="358">
        <v>15143.45</v>
      </c>
      <c r="J373" s="352">
        <f t="shared" si="35"/>
        <v>5.6910761594288269E-2</v>
      </c>
      <c r="M373" s="74">
        <f t="shared" si="40"/>
        <v>729</v>
      </c>
      <c r="N373" s="146">
        <v>44742</v>
      </c>
      <c r="O373" s="74">
        <f t="shared" si="41"/>
        <v>549</v>
      </c>
      <c r="P373" s="353">
        <f t="shared" si="42"/>
        <v>0.24691358024691357</v>
      </c>
    </row>
    <row r="374" spans="1:16" ht="18.75" customHeight="1">
      <c r="A374" s="739">
        <f t="shared" si="39"/>
        <v>290</v>
      </c>
      <c r="B374" s="357" t="s">
        <v>3630</v>
      </c>
      <c r="C374" s="354" t="s">
        <v>3631</v>
      </c>
      <c r="D374" s="145">
        <v>44562</v>
      </c>
      <c r="E374" s="146">
        <v>45291</v>
      </c>
      <c r="F374" s="149">
        <v>0.27434842249657065</v>
      </c>
      <c r="G374" s="354">
        <v>348018.9</v>
      </c>
      <c r="H374" s="354">
        <v>348018.9</v>
      </c>
      <c r="I374" s="358">
        <v>16728</v>
      </c>
      <c r="J374" s="352">
        <f t="shared" si="35"/>
        <v>4.8066355016925799E-2</v>
      </c>
      <c r="M374" s="74">
        <f t="shared" si="40"/>
        <v>729</v>
      </c>
      <c r="N374" s="146">
        <v>44742</v>
      </c>
      <c r="O374" s="74">
        <f t="shared" si="41"/>
        <v>549</v>
      </c>
      <c r="P374" s="353">
        <f t="shared" si="42"/>
        <v>0.24691358024691357</v>
      </c>
    </row>
    <row r="375" spans="1:16" ht="18.75" customHeight="1">
      <c r="A375" s="739">
        <f t="shared" si="39"/>
        <v>291</v>
      </c>
      <c r="B375" s="357" t="s">
        <v>3632</v>
      </c>
      <c r="C375" s="354" t="s">
        <v>3633</v>
      </c>
      <c r="D375" s="145">
        <v>44562</v>
      </c>
      <c r="E375" s="146">
        <v>45291</v>
      </c>
      <c r="F375" s="149">
        <v>0.27572016460905352</v>
      </c>
      <c r="G375" s="354">
        <v>653212.93000000005</v>
      </c>
      <c r="H375" s="354">
        <v>653212.93000000005</v>
      </c>
      <c r="I375" s="358">
        <v>-33900.620000000003</v>
      </c>
      <c r="J375" s="352">
        <f t="shared" si="35"/>
        <v>-5.1898268455892321E-2</v>
      </c>
      <c r="M375" s="74">
        <f t="shared" si="40"/>
        <v>729</v>
      </c>
      <c r="N375" s="146">
        <v>44742</v>
      </c>
      <c r="O375" s="74">
        <f t="shared" si="41"/>
        <v>549</v>
      </c>
      <c r="P375" s="353">
        <f t="shared" si="42"/>
        <v>0.24691358024691357</v>
      </c>
    </row>
    <row r="376" spans="1:16" ht="18.75" customHeight="1">
      <c r="A376" s="739">
        <f t="shared" si="39"/>
        <v>292</v>
      </c>
      <c r="B376" s="357" t="s">
        <v>3634</v>
      </c>
      <c r="C376" s="354" t="s">
        <v>3635</v>
      </c>
      <c r="D376" s="145">
        <v>44562</v>
      </c>
      <c r="E376" s="146">
        <v>45291</v>
      </c>
      <c r="F376" s="149">
        <v>0.27709190672153633</v>
      </c>
      <c r="G376" s="354">
        <v>773991.13</v>
      </c>
      <c r="H376" s="354">
        <v>773991.13</v>
      </c>
      <c r="I376" s="358">
        <v>40757.930000000008</v>
      </c>
      <c r="J376" s="352">
        <f t="shared" si="35"/>
        <v>5.2659427763726452E-2</v>
      </c>
      <c r="M376" s="74">
        <f t="shared" si="40"/>
        <v>729</v>
      </c>
      <c r="N376" s="146">
        <v>44742</v>
      </c>
      <c r="O376" s="74">
        <f t="shared" si="41"/>
        <v>549</v>
      </c>
      <c r="P376" s="353">
        <f t="shared" si="42"/>
        <v>0.24691358024691357</v>
      </c>
    </row>
    <row r="377" spans="1:16" ht="18.75" customHeight="1">
      <c r="A377" s="739">
        <f t="shared" si="39"/>
        <v>293</v>
      </c>
      <c r="B377" s="357" t="s">
        <v>3636</v>
      </c>
      <c r="C377" s="354" t="s">
        <v>3637</v>
      </c>
      <c r="D377" s="145">
        <v>44562</v>
      </c>
      <c r="E377" s="146">
        <v>45291</v>
      </c>
      <c r="F377" s="149">
        <v>0.2784636488340192</v>
      </c>
      <c r="G377" s="354">
        <v>2001476.42</v>
      </c>
      <c r="H377" s="354">
        <v>2001476.42</v>
      </c>
      <c r="I377" s="358">
        <v>-100509.34000000001</v>
      </c>
      <c r="J377" s="352">
        <f t="shared" si="35"/>
        <v>-5.0217598866340883E-2</v>
      </c>
      <c r="M377" s="74">
        <f t="shared" si="40"/>
        <v>729</v>
      </c>
      <c r="N377" s="146">
        <v>44742</v>
      </c>
      <c r="O377" s="74">
        <f t="shared" si="41"/>
        <v>549</v>
      </c>
      <c r="P377" s="353">
        <f t="shared" si="42"/>
        <v>0.24691358024691357</v>
      </c>
    </row>
    <row r="378" spans="1:16" ht="18.75" customHeight="1">
      <c r="A378" s="739">
        <f t="shared" si="39"/>
        <v>294</v>
      </c>
      <c r="B378" s="357" t="s">
        <v>3638</v>
      </c>
      <c r="C378" s="354" t="s">
        <v>3639</v>
      </c>
      <c r="D378" s="145">
        <v>44562</v>
      </c>
      <c r="E378" s="146">
        <v>45291</v>
      </c>
      <c r="F378" s="149">
        <v>0.27983539094650206</v>
      </c>
      <c r="G378" s="354">
        <v>735419.72</v>
      </c>
      <c r="H378" s="354">
        <v>735419.72</v>
      </c>
      <c r="I378" s="358">
        <v>-33935.409999999996</v>
      </c>
      <c r="J378" s="352">
        <f t="shared" si="35"/>
        <v>-4.6144275271813487E-2</v>
      </c>
      <c r="M378" s="74">
        <f t="shared" si="40"/>
        <v>729</v>
      </c>
      <c r="N378" s="146">
        <v>44742</v>
      </c>
      <c r="O378" s="74">
        <f t="shared" si="41"/>
        <v>549</v>
      </c>
      <c r="P378" s="353">
        <f t="shared" si="42"/>
        <v>0.24691358024691357</v>
      </c>
    </row>
    <row r="379" spans="1:16" ht="18.75" customHeight="1">
      <c r="A379" s="739">
        <f t="shared" si="39"/>
        <v>295</v>
      </c>
      <c r="B379" s="357" t="s">
        <v>3640</v>
      </c>
      <c r="C379" s="354" t="s">
        <v>3641</v>
      </c>
      <c r="D379" s="145">
        <v>44562</v>
      </c>
      <c r="E379" s="146">
        <v>45291</v>
      </c>
      <c r="F379" s="149">
        <v>0.28120713305898493</v>
      </c>
      <c r="G379" s="354">
        <v>626875.36</v>
      </c>
      <c r="H379" s="354">
        <v>626875.36</v>
      </c>
      <c r="I379" s="358">
        <v>-32595.23</v>
      </c>
      <c r="J379" s="352">
        <f t="shared" si="35"/>
        <v>-5.1996349003093696E-2</v>
      </c>
      <c r="M379" s="74">
        <f t="shared" si="40"/>
        <v>729</v>
      </c>
      <c r="N379" s="146">
        <v>44742</v>
      </c>
      <c r="O379" s="74">
        <f t="shared" si="41"/>
        <v>549</v>
      </c>
      <c r="P379" s="353">
        <f t="shared" si="42"/>
        <v>0.24691358024691357</v>
      </c>
    </row>
    <row r="380" spans="1:16" ht="18.75" customHeight="1">
      <c r="A380" s="739">
        <f t="shared" si="39"/>
        <v>296</v>
      </c>
      <c r="B380" s="357" t="s">
        <v>3642</v>
      </c>
      <c r="C380" s="354" t="s">
        <v>3643</v>
      </c>
      <c r="D380" s="145">
        <v>44562</v>
      </c>
      <c r="E380" s="146">
        <v>45291</v>
      </c>
      <c r="F380" s="149">
        <v>0.28257887517146779</v>
      </c>
      <c r="G380" s="354">
        <v>1069780.1499999999</v>
      </c>
      <c r="H380" s="354">
        <v>1069780.1499999999</v>
      </c>
      <c r="I380" s="358">
        <v>-57051.009999999995</v>
      </c>
      <c r="J380" s="352">
        <f t="shared" si="35"/>
        <v>-5.3329658434959744E-2</v>
      </c>
      <c r="M380" s="74">
        <f t="shared" si="40"/>
        <v>729</v>
      </c>
      <c r="N380" s="146">
        <v>44742</v>
      </c>
      <c r="O380" s="74">
        <f t="shared" si="41"/>
        <v>549</v>
      </c>
      <c r="P380" s="353">
        <f t="shared" si="42"/>
        <v>0.24691358024691357</v>
      </c>
    </row>
    <row r="381" spans="1:16" ht="18.75" customHeight="1">
      <c r="A381" s="739">
        <f t="shared" si="39"/>
        <v>297</v>
      </c>
      <c r="B381" s="357" t="s">
        <v>3644</v>
      </c>
      <c r="C381" s="354" t="s">
        <v>3645</v>
      </c>
      <c r="D381" s="145">
        <v>44562</v>
      </c>
      <c r="E381" s="146">
        <v>45291</v>
      </c>
      <c r="F381" s="149">
        <v>0.2839506172839506</v>
      </c>
      <c r="G381" s="354">
        <v>790664.2</v>
      </c>
      <c r="H381" s="354">
        <v>790664.2</v>
      </c>
      <c r="I381" s="358">
        <v>-42199.51</v>
      </c>
      <c r="J381" s="352">
        <f t="shared" si="35"/>
        <v>-5.3372228058384333E-2</v>
      </c>
      <c r="M381" s="74">
        <f t="shared" si="40"/>
        <v>729</v>
      </c>
      <c r="N381" s="146">
        <v>44742</v>
      </c>
      <c r="O381" s="74">
        <f t="shared" si="41"/>
        <v>549</v>
      </c>
      <c r="P381" s="353">
        <f t="shared" si="42"/>
        <v>0.24691358024691357</v>
      </c>
    </row>
    <row r="382" spans="1:16" ht="18.75" customHeight="1">
      <c r="A382" s="739">
        <f t="shared" si="39"/>
        <v>298</v>
      </c>
      <c r="B382" s="357" t="s">
        <v>3646</v>
      </c>
      <c r="C382" s="354" t="s">
        <v>3647</v>
      </c>
      <c r="D382" s="145">
        <v>44562</v>
      </c>
      <c r="E382" s="146">
        <v>45291</v>
      </c>
      <c r="F382" s="149">
        <v>0.28532235939643347</v>
      </c>
      <c r="G382" s="354">
        <v>1943173.5899999999</v>
      </c>
      <c r="H382" s="354">
        <v>1943173.5899999999</v>
      </c>
      <c r="I382" s="358">
        <v>-100266.23</v>
      </c>
      <c r="J382" s="352">
        <f t="shared" si="35"/>
        <v>-5.1599214046543315E-2</v>
      </c>
      <c r="M382" s="74">
        <f t="shared" si="40"/>
        <v>729</v>
      </c>
      <c r="N382" s="146">
        <v>44742</v>
      </c>
      <c r="O382" s="74">
        <f t="shared" si="41"/>
        <v>549</v>
      </c>
      <c r="P382" s="353">
        <f t="shared" si="42"/>
        <v>0.24691358024691357</v>
      </c>
    </row>
    <row r="383" spans="1:16" ht="18.75" customHeight="1">
      <c r="A383" s="739">
        <f t="shared" si="39"/>
        <v>299</v>
      </c>
      <c r="B383" s="357" t="s">
        <v>3648</v>
      </c>
      <c r="C383" s="354" t="s">
        <v>3649</v>
      </c>
      <c r="D383" s="145">
        <v>44197</v>
      </c>
      <c r="E383" s="146">
        <v>44926</v>
      </c>
      <c r="F383" s="149">
        <v>0.78737997256515779</v>
      </c>
      <c r="G383" s="354">
        <v>244449.67</v>
      </c>
      <c r="H383" s="354">
        <v>244449.67</v>
      </c>
      <c r="I383" s="358">
        <v>203029.99000000002</v>
      </c>
      <c r="J383" s="352">
        <f t="shared" si="35"/>
        <v>0.8305594767217318</v>
      </c>
      <c r="M383" s="74">
        <f t="shared" si="40"/>
        <v>729</v>
      </c>
      <c r="N383" s="146">
        <v>44742</v>
      </c>
      <c r="O383" s="74">
        <f t="shared" si="41"/>
        <v>184</v>
      </c>
      <c r="P383" s="353">
        <f t="shared" si="42"/>
        <v>0.74759945130315497</v>
      </c>
    </row>
    <row r="384" spans="1:16" ht="18.75" customHeight="1">
      <c r="A384" s="739">
        <f t="shared" si="39"/>
        <v>300</v>
      </c>
      <c r="B384" s="357" t="s">
        <v>3274</v>
      </c>
      <c r="C384" s="354" t="s">
        <v>3275</v>
      </c>
      <c r="D384" s="145">
        <v>44044</v>
      </c>
      <c r="E384" s="146">
        <v>44561</v>
      </c>
      <c r="F384" s="149">
        <v>1.4081237911025144</v>
      </c>
      <c r="G384" s="354">
        <v>164728.22999999998</v>
      </c>
      <c r="H384" s="354">
        <v>164728.22999999998</v>
      </c>
      <c r="I384" s="358">
        <v>-2.9103830456733704E-11</v>
      </c>
      <c r="J384" s="352">
        <f t="shared" si="35"/>
        <v>-1.7667785574296346E-16</v>
      </c>
      <c r="M384" s="74">
        <f t="shared" si="40"/>
        <v>517</v>
      </c>
      <c r="N384" s="146">
        <v>44742</v>
      </c>
      <c r="O384" s="74">
        <f t="shared" si="41"/>
        <v>-181</v>
      </c>
      <c r="P384" s="353">
        <f t="shared" si="42"/>
        <v>1.3500967117988394</v>
      </c>
    </row>
    <row r="385" spans="1:16" ht="18.75" customHeight="1">
      <c r="A385" s="739">
        <f t="shared" si="39"/>
        <v>301</v>
      </c>
      <c r="B385" s="357" t="s">
        <v>3650</v>
      </c>
      <c r="C385" s="354" t="s">
        <v>3651</v>
      </c>
      <c r="D385" s="145">
        <v>44562</v>
      </c>
      <c r="E385" s="146">
        <v>44926</v>
      </c>
      <c r="F385" s="149">
        <v>0.57967032967032972</v>
      </c>
      <c r="G385" s="354">
        <v>1361078.99</v>
      </c>
      <c r="H385" s="354">
        <v>1361078.99</v>
      </c>
      <c r="I385" s="358">
        <v>680539.74000000011</v>
      </c>
      <c r="J385" s="352">
        <f t="shared" si="35"/>
        <v>0.50000018000424806</v>
      </c>
      <c r="M385" s="74">
        <f t="shared" si="40"/>
        <v>364</v>
      </c>
      <c r="N385" s="146">
        <v>44742</v>
      </c>
      <c r="O385" s="74">
        <f t="shared" si="41"/>
        <v>184</v>
      </c>
      <c r="P385" s="353">
        <f t="shared" si="42"/>
        <v>0.49450549450549453</v>
      </c>
    </row>
  </sheetData>
  <mergeCells count="28">
    <mergeCell ref="A338:J338"/>
    <mergeCell ref="A339:J339"/>
    <mergeCell ref="A340:J340"/>
    <mergeCell ref="A281:J281"/>
    <mergeCell ref="A282:J282"/>
    <mergeCell ref="A283:J283"/>
    <mergeCell ref="A284:J284"/>
    <mergeCell ref="A337:J337"/>
    <mergeCell ref="A169:J169"/>
    <mergeCell ref="A170:J170"/>
    <mergeCell ref="A171:J171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  <mergeCell ref="A172:J172"/>
    <mergeCell ref="A225:J225"/>
    <mergeCell ref="A226:J226"/>
    <mergeCell ref="A227:J227"/>
    <mergeCell ref="A228:J228"/>
  </mergeCells>
  <pageMargins left="0.95" right="0.5" top="0.75" bottom="0.75" header="0.3" footer="0.3"/>
  <pageSetup scale="53" fitToHeight="0" orientation="portrait" r:id="rId1"/>
  <rowBreaks count="6" manualBreakCount="6">
    <brk id="56" max="9" man="1"/>
    <brk id="112" max="9" man="1"/>
    <brk id="168" max="9" man="1"/>
    <brk id="224" max="9" man="1"/>
    <brk id="280" max="9" man="1"/>
    <brk id="336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pageSetUpPr fitToPage="1"/>
  </sheetPr>
  <dimension ref="A1:G53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40.75" style="69" customWidth="1"/>
    <col min="3" max="3" width="32.75" style="69" customWidth="1"/>
    <col min="4" max="4" width="15.75" style="69" customWidth="1"/>
    <col min="5" max="5" width="14.25" style="69" customWidth="1"/>
    <col min="6" max="6" width="13.625" style="69" customWidth="1"/>
    <col min="7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</row>
    <row r="2" spans="1:7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</row>
    <row r="3" spans="1:7" s="68" customFormat="1" ht="20.100000000000001" customHeight="1">
      <c r="A3" s="809" t="s">
        <v>1414</v>
      </c>
      <c r="B3" s="809"/>
      <c r="C3" s="809"/>
      <c r="D3" s="809"/>
      <c r="E3" s="809"/>
      <c r="F3" s="809"/>
      <c r="G3" s="809"/>
    </row>
    <row r="4" spans="1:7" s="68" customFormat="1" ht="20.100000000000001" customHeight="1">
      <c r="A4" s="808" t="str">
        <f>'Rate Case Constants'!C14</f>
        <v>FROM MARCH 1, 2020 TO FEBRUARY 28, 2021</v>
      </c>
      <c r="B4" s="814"/>
      <c r="C4" s="814"/>
      <c r="D4" s="814"/>
      <c r="E4" s="814"/>
      <c r="F4" s="814"/>
      <c r="G4" s="814"/>
    </row>
    <row r="5" spans="1:7" s="68" customFormat="1" ht="20.100000000000001" customHeight="1">
      <c r="A5" s="138"/>
      <c r="B5" s="138"/>
      <c r="C5" s="138"/>
      <c r="D5" s="138"/>
      <c r="E5" s="138"/>
      <c r="F5" s="138"/>
      <c r="G5" s="138"/>
    </row>
    <row r="6" spans="1:7" s="68" customFormat="1" ht="20.100000000000001" customHeight="1">
      <c r="A6" s="67" t="s">
        <v>133</v>
      </c>
      <c r="D6" s="74"/>
      <c r="E6" s="74"/>
      <c r="G6" s="74" t="s">
        <v>1415</v>
      </c>
    </row>
    <row r="7" spans="1:7" s="68" customFormat="1" ht="20.100000000000001" customHeight="1">
      <c r="A7" s="68" t="str">
        <f>'Rate Case Constants'!C29</f>
        <v>TYPE OF FILING: __X__ ORIGINAL  _____ UPDATED  _____ REVISED</v>
      </c>
      <c r="D7" s="74"/>
      <c r="E7" s="74"/>
      <c r="G7" s="74" t="s">
        <v>176</v>
      </c>
    </row>
    <row r="8" spans="1:7" s="68" customFormat="1" ht="20.100000000000001" customHeight="1">
      <c r="A8" s="67" t="s">
        <v>1195</v>
      </c>
      <c r="D8" s="75"/>
      <c r="E8" s="75"/>
      <c r="G8" s="75" t="str">
        <f>'Rate Case Constants'!C36</f>
        <v>WITNESS:   C. M. GARRETT</v>
      </c>
    </row>
    <row r="9" spans="1:7" s="68" customFormat="1" ht="20.100000000000001" customHeight="1"/>
    <row r="10" spans="1:7" ht="47.25" customHeight="1">
      <c r="A10" s="159" t="s">
        <v>131</v>
      </c>
      <c r="B10" s="160" t="s">
        <v>1416</v>
      </c>
      <c r="C10" s="159" t="s">
        <v>1417</v>
      </c>
      <c r="D10" s="159" t="s">
        <v>218</v>
      </c>
      <c r="E10" s="159" t="s">
        <v>1199</v>
      </c>
      <c r="F10" s="159" t="s">
        <v>223</v>
      </c>
      <c r="G10" s="159" t="s">
        <v>1418</v>
      </c>
    </row>
    <row r="11" spans="1:7" ht="23.1" customHeight="1">
      <c r="A11" s="80"/>
      <c r="B11" s="81"/>
      <c r="C11" s="82"/>
      <c r="D11" s="82"/>
      <c r="E11" s="82" t="s">
        <v>142</v>
      </c>
      <c r="F11" s="82"/>
      <c r="G11" s="82" t="s">
        <v>142</v>
      </c>
    </row>
    <row r="12" spans="1:7" ht="23.1" customHeight="1">
      <c r="A12" s="73"/>
      <c r="B12" s="78" t="s">
        <v>1169</v>
      </c>
      <c r="C12" s="78"/>
      <c r="D12" s="78"/>
      <c r="E12" s="95"/>
      <c r="F12" s="95"/>
      <c r="G12" s="95"/>
    </row>
    <row r="13" spans="1:7" ht="18.95" customHeight="1">
      <c r="A13" s="70">
        <v>1</v>
      </c>
      <c r="B13" s="78" t="s">
        <v>1419</v>
      </c>
      <c r="C13" s="78" t="s">
        <v>1425</v>
      </c>
      <c r="D13" s="71" t="s">
        <v>1426</v>
      </c>
      <c r="E13" s="86">
        <f>'SCH B-5.1'!C14</f>
        <v>59919403.999999993</v>
      </c>
      <c r="F13" s="130">
        <f>G13/E13</f>
        <v>0.94182569268505689</v>
      </c>
      <c r="G13" s="86">
        <f>'SCH B-5.1'!E14</f>
        <v>56433634.17757576</v>
      </c>
    </row>
    <row r="14" spans="1:7" ht="18.95" customHeight="1">
      <c r="A14" s="70"/>
      <c r="B14" s="78"/>
      <c r="C14" s="78"/>
      <c r="D14" s="78"/>
      <c r="E14" s="86"/>
      <c r="F14" s="130"/>
      <c r="G14" s="86"/>
    </row>
    <row r="15" spans="1:7" ht="18.95" customHeight="1">
      <c r="A15" s="70">
        <v>2</v>
      </c>
      <c r="B15" s="78" t="s">
        <v>1420</v>
      </c>
      <c r="C15" s="78" t="s">
        <v>1425</v>
      </c>
      <c r="D15" s="71" t="s">
        <v>1426</v>
      </c>
      <c r="E15" s="86">
        <f>'SCH B-5.1'!C16</f>
        <v>62390116</v>
      </c>
      <c r="F15" s="130">
        <f>G15/E15</f>
        <v>0.92978140422616196</v>
      </c>
      <c r="G15" s="86">
        <f>'SCH B-5.1'!E16</f>
        <v>58009169.664313138</v>
      </c>
    </row>
    <row r="16" spans="1:7" ht="18.95" customHeight="1">
      <c r="A16" s="70"/>
      <c r="B16" s="78"/>
      <c r="C16" s="78"/>
      <c r="D16" s="78"/>
      <c r="E16" s="86"/>
      <c r="F16" s="86"/>
      <c r="G16" s="86"/>
    </row>
    <row r="17" spans="1:7" ht="18.95" customHeight="1">
      <c r="A17" s="70">
        <v>3</v>
      </c>
      <c r="B17" s="78" t="s">
        <v>1423</v>
      </c>
      <c r="C17" s="78" t="s">
        <v>1425</v>
      </c>
      <c r="D17" s="71" t="s">
        <v>1426</v>
      </c>
      <c r="E17" s="86">
        <f>'SCH B-5.1'!C18</f>
        <v>19186402.650761645</v>
      </c>
      <c r="F17" s="130">
        <f>G17/E17</f>
        <v>0.98601356449057009</v>
      </c>
      <c r="G17" s="86">
        <f>'SCH B-5.1'!E18</f>
        <v>18918053.267428812</v>
      </c>
    </row>
    <row r="18" spans="1:7" ht="18.95" customHeight="1">
      <c r="A18" s="70"/>
      <c r="B18" s="78"/>
      <c r="C18" s="78"/>
      <c r="D18" s="78"/>
      <c r="E18" s="86"/>
      <c r="F18" s="86"/>
      <c r="G18" s="86"/>
    </row>
    <row r="19" spans="1:7" ht="18.95" customHeight="1">
      <c r="A19" s="70">
        <v>4</v>
      </c>
      <c r="B19" s="78" t="s">
        <v>2078</v>
      </c>
      <c r="C19" s="78" t="s">
        <v>1425</v>
      </c>
      <c r="D19" s="71" t="s">
        <v>1426</v>
      </c>
      <c r="E19" s="86">
        <f>ROUND('SCH B-5.1'!C20,0)</f>
        <v>0</v>
      </c>
      <c r="F19" s="130">
        <f>'ECR ALLOW'!$O$6</f>
        <v>0.93811298816770394</v>
      </c>
      <c r="G19" s="86">
        <f>ROUND('SCH B-5.1'!E20,0)</f>
        <v>0</v>
      </c>
    </row>
    <row r="20" spans="1:7" ht="18.95" customHeight="1">
      <c r="A20" s="70"/>
      <c r="B20" s="78"/>
      <c r="C20" s="78"/>
      <c r="D20" s="78"/>
      <c r="E20" s="86"/>
      <c r="F20" s="86"/>
      <c r="G20" s="86"/>
    </row>
    <row r="21" spans="1:7" ht="31.5" customHeight="1">
      <c r="A21" s="70">
        <v>5</v>
      </c>
      <c r="B21" s="78" t="s">
        <v>1421</v>
      </c>
      <c r="C21" s="78" t="s">
        <v>2525</v>
      </c>
      <c r="D21" s="71" t="s">
        <v>1427</v>
      </c>
      <c r="E21" s="131">
        <f>'JURISSEP B'!$E$29</f>
        <v>125889277.68395811</v>
      </c>
      <c r="F21" s="130">
        <f ca="1">G21/E21</f>
        <v>0.90246104663534032</v>
      </c>
      <c r="G21" s="131">
        <f ca="1">'SCH B-5.2 B (1)'!$Q$82</f>
        <v>113610169.29883184</v>
      </c>
    </row>
    <row r="22" spans="1:7" ht="18.95" customHeight="1">
      <c r="A22" s="70"/>
      <c r="B22" s="78"/>
      <c r="C22" s="78"/>
      <c r="D22" s="78"/>
      <c r="E22" s="86"/>
      <c r="F22" s="86"/>
      <c r="G22" s="86"/>
    </row>
    <row r="23" spans="1:7" ht="18.95" customHeight="1" thickBot="1">
      <c r="A23" s="70">
        <v>6</v>
      </c>
      <c r="B23" s="78" t="s">
        <v>1422</v>
      </c>
      <c r="C23" s="78"/>
      <c r="D23" s="78"/>
      <c r="E23" s="94">
        <f>SUM(E13:E21)</f>
        <v>267385200.33471975</v>
      </c>
      <c r="F23" s="86"/>
      <c r="G23" s="94">
        <f ca="1">SUM(G13:G21)</f>
        <v>246971026.40814954</v>
      </c>
    </row>
    <row r="24" spans="1:7" ht="18.95" customHeight="1" thickTop="1">
      <c r="A24" s="70"/>
      <c r="B24" s="78"/>
      <c r="C24" s="78"/>
      <c r="D24" s="78"/>
      <c r="E24" s="86"/>
      <c r="F24" s="86"/>
      <c r="G24" s="86"/>
    </row>
    <row r="25" spans="1:7" ht="18.95" customHeight="1">
      <c r="A25" s="70"/>
      <c r="B25" s="67" t="s">
        <v>1424</v>
      </c>
      <c r="C25" s="78"/>
      <c r="D25" s="78"/>
      <c r="E25" s="86"/>
      <c r="F25" s="86"/>
      <c r="G25" s="86"/>
    </row>
    <row r="26" spans="1:7" ht="18.95" customHeight="1">
      <c r="A26" s="70"/>
      <c r="B26" s="67" t="s">
        <v>2079</v>
      </c>
      <c r="C26" s="86"/>
      <c r="D26" s="86"/>
      <c r="E26" s="86"/>
      <c r="F26" s="86"/>
      <c r="G26" s="86"/>
    </row>
    <row r="27" spans="1:7" s="68" customFormat="1" ht="20.100000000000001" customHeight="1">
      <c r="A27" s="809" t="str">
        <f>$A$1</f>
        <v>KENTUCKY UTILITIES COMPANY</v>
      </c>
      <c r="B27" s="809"/>
      <c r="C27" s="809"/>
      <c r="D27" s="809"/>
      <c r="E27" s="809"/>
      <c r="F27" s="809"/>
      <c r="G27" s="809"/>
    </row>
    <row r="28" spans="1:7" s="68" customFormat="1" ht="20.100000000000001" customHeight="1">
      <c r="A28" s="809" t="str">
        <f>$A$2</f>
        <v>CASE NO. 2020-00349</v>
      </c>
      <c r="B28" s="809"/>
      <c r="C28" s="809"/>
      <c r="D28" s="809"/>
      <c r="E28" s="809"/>
      <c r="F28" s="809"/>
      <c r="G28" s="809"/>
    </row>
    <row r="29" spans="1:7" s="68" customFormat="1" ht="20.100000000000001" customHeight="1">
      <c r="A29" s="809" t="str">
        <f>$A$3</f>
        <v>ALLOWANCE FOR WORKING CAPITAL</v>
      </c>
      <c r="B29" s="809"/>
      <c r="C29" s="809"/>
      <c r="D29" s="809"/>
      <c r="E29" s="809"/>
      <c r="F29" s="809"/>
      <c r="G29" s="809"/>
    </row>
    <row r="30" spans="1:7" s="68" customFormat="1" ht="20.100000000000001" customHeight="1">
      <c r="A30" s="808" t="str">
        <f>'Rate Case Constants'!C20</f>
        <v>FROM JULY 1, 2021 TO JUNE 30, 2022</v>
      </c>
      <c r="B30" s="814"/>
      <c r="C30" s="814"/>
      <c r="D30" s="814"/>
      <c r="E30" s="814"/>
      <c r="F30" s="814"/>
      <c r="G30" s="814"/>
    </row>
    <row r="31" spans="1:7" s="68" customFormat="1" ht="20.100000000000001" customHeight="1">
      <c r="A31" s="138"/>
      <c r="B31" s="138"/>
      <c r="C31" s="138"/>
      <c r="D31" s="138"/>
      <c r="E31" s="138"/>
      <c r="F31" s="138"/>
      <c r="G31" s="138"/>
    </row>
    <row r="32" spans="1:7" s="68" customFormat="1" ht="20.100000000000001" customHeight="1">
      <c r="A32" s="67" t="s">
        <v>161</v>
      </c>
      <c r="D32" s="74"/>
      <c r="E32" s="74"/>
      <c r="G32" s="74" t="s">
        <v>1415</v>
      </c>
    </row>
    <row r="33" spans="1:7" s="68" customFormat="1" ht="20.100000000000001" customHeight="1">
      <c r="A33" s="67" t="str">
        <f>$A$7</f>
        <v>TYPE OF FILING: __X__ ORIGINAL  _____ UPDATED  _____ REVISED</v>
      </c>
      <c r="D33" s="74"/>
      <c r="E33" s="74"/>
      <c r="G33" s="74" t="s">
        <v>184</v>
      </c>
    </row>
    <row r="34" spans="1:7" s="68" customFormat="1" ht="20.100000000000001" customHeight="1">
      <c r="A34" s="67" t="str">
        <f>$A$8</f>
        <v>WORKPAPER REFERENCE NO(S).:</v>
      </c>
      <c r="D34" s="75"/>
      <c r="E34" s="75"/>
      <c r="G34" s="75" t="str">
        <f>$G$8</f>
        <v>WITNESS:   C. M. GARRETT</v>
      </c>
    </row>
    <row r="35" spans="1:7" s="68" customFormat="1" ht="20.100000000000001" customHeight="1"/>
    <row r="36" spans="1:7" ht="47.25" customHeight="1">
      <c r="A36" s="159" t="s">
        <v>131</v>
      </c>
      <c r="B36" s="160" t="s">
        <v>1416</v>
      </c>
      <c r="C36" s="159" t="s">
        <v>1417</v>
      </c>
      <c r="D36" s="159" t="s">
        <v>218</v>
      </c>
      <c r="E36" s="159" t="s">
        <v>1199</v>
      </c>
      <c r="F36" s="159" t="s">
        <v>223</v>
      </c>
      <c r="G36" s="159" t="s">
        <v>1418</v>
      </c>
    </row>
    <row r="37" spans="1:7" ht="23.1" customHeight="1">
      <c r="A37" s="80"/>
      <c r="B37" s="81"/>
      <c r="C37" s="82"/>
      <c r="D37" s="82"/>
      <c r="E37" s="82" t="s">
        <v>142</v>
      </c>
      <c r="F37" s="82"/>
      <c r="G37" s="82" t="s">
        <v>142</v>
      </c>
    </row>
    <row r="38" spans="1:7" ht="23.1" customHeight="1">
      <c r="A38" s="73"/>
      <c r="B38" s="78" t="s">
        <v>1169</v>
      </c>
      <c r="C38" s="78"/>
      <c r="D38" s="78"/>
      <c r="E38" s="95"/>
      <c r="F38" s="95"/>
      <c r="G38" s="95"/>
    </row>
    <row r="39" spans="1:7" ht="18.95" customHeight="1">
      <c r="A39" s="70">
        <v>1</v>
      </c>
      <c r="B39" s="78" t="s">
        <v>1419</v>
      </c>
      <c r="C39" s="78" t="s">
        <v>1425</v>
      </c>
      <c r="D39" s="71" t="s">
        <v>1426</v>
      </c>
      <c r="E39" s="86">
        <f>'SCH B-5.1'!C39</f>
        <v>66398898</v>
      </c>
      <c r="F39" s="130">
        <f>G39/E39</f>
        <v>0.94182569268505678</v>
      </c>
      <c r="G39" s="86">
        <f>'SCH B-5.1'!E39</f>
        <v>62536188.102374434</v>
      </c>
    </row>
    <row r="40" spans="1:7" ht="18.95" customHeight="1">
      <c r="A40" s="70"/>
      <c r="B40" s="78"/>
      <c r="C40" s="78"/>
      <c r="D40" s="78"/>
      <c r="E40" s="86"/>
      <c r="F40" s="130"/>
      <c r="G40" s="86"/>
    </row>
    <row r="41" spans="1:7" ht="18.95" customHeight="1">
      <c r="A41" s="70">
        <v>2</v>
      </c>
      <c r="B41" s="78" t="s">
        <v>1420</v>
      </c>
      <c r="C41" s="78" t="s">
        <v>1425</v>
      </c>
      <c r="D41" s="71" t="s">
        <v>1426</v>
      </c>
      <c r="E41" s="86">
        <f>'SCH B-5.1'!C41</f>
        <v>64509936.000000007</v>
      </c>
      <c r="F41" s="130">
        <f>G41/E41</f>
        <v>0.92839621923138316</v>
      </c>
      <c r="G41" s="86">
        <f>'SCH B-5.1'!E41</f>
        <v>59890780.6852585</v>
      </c>
    </row>
    <row r="42" spans="1:7" ht="18.95" customHeight="1">
      <c r="A42" s="70"/>
      <c r="B42" s="78"/>
      <c r="C42" s="78"/>
      <c r="D42" s="78"/>
      <c r="E42" s="86"/>
      <c r="F42" s="86"/>
      <c r="G42" s="86"/>
    </row>
    <row r="43" spans="1:7" ht="18.95" customHeight="1">
      <c r="A43" s="70">
        <v>3</v>
      </c>
      <c r="B43" s="78" t="s">
        <v>1423</v>
      </c>
      <c r="C43" s="78" t="s">
        <v>1425</v>
      </c>
      <c r="D43" s="71" t="s">
        <v>1426</v>
      </c>
      <c r="E43" s="86">
        <f>'SCH B-5.1'!C43</f>
        <v>19279556.74023141</v>
      </c>
      <c r="F43" s="130">
        <f>G43/E43</f>
        <v>0.98675071927934566</v>
      </c>
      <c r="G43" s="86">
        <f>'SCH B-5.1'!E43</f>
        <v>19024116.4808103</v>
      </c>
    </row>
    <row r="44" spans="1:7" ht="18.95" customHeight="1">
      <c r="A44" s="70"/>
      <c r="B44" s="78"/>
      <c r="C44" s="78"/>
      <c r="D44" s="78"/>
      <c r="E44" s="86"/>
      <c r="F44" s="86"/>
      <c r="G44" s="86"/>
    </row>
    <row r="45" spans="1:7" ht="18.95" customHeight="1">
      <c r="A45" s="70">
        <v>4</v>
      </c>
      <c r="B45" s="78" t="s">
        <v>2078</v>
      </c>
      <c r="C45" s="78" t="s">
        <v>1425</v>
      </c>
      <c r="D45" s="71" t="s">
        <v>1426</v>
      </c>
      <c r="E45" s="86">
        <f>ROUND('SCH B-5.1'!C45,0)</f>
        <v>0</v>
      </c>
      <c r="F45" s="130">
        <f>'ECR ALLOW'!$AF$6</f>
        <v>0.93811298816770394</v>
      </c>
      <c r="G45" s="86">
        <f>ROUND('SCH B-5.1'!E45,0)</f>
        <v>0</v>
      </c>
    </row>
    <row r="46" spans="1:7" ht="18.95" customHeight="1">
      <c r="A46" s="70"/>
      <c r="B46" s="78"/>
      <c r="C46" s="78"/>
      <c r="D46" s="78"/>
      <c r="E46" s="86"/>
      <c r="F46" s="86"/>
      <c r="G46" s="86"/>
    </row>
    <row r="47" spans="1:7" ht="31.5" customHeight="1">
      <c r="A47" s="70">
        <v>5</v>
      </c>
      <c r="B47" s="78" t="s">
        <v>1421</v>
      </c>
      <c r="C47" s="78" t="s">
        <v>2525</v>
      </c>
      <c r="D47" s="71" t="s">
        <v>1427</v>
      </c>
      <c r="E47" s="131">
        <f>'JURISSEP F'!$E$29</f>
        <v>141138202.09120801</v>
      </c>
      <c r="F47" s="130">
        <f>G47/E47</f>
        <v>0.92163632038027798</v>
      </c>
      <c r="G47" s="131">
        <f>'SCH B-5.2 F (1)'!$Q$82</f>
        <v>130078093.24042901</v>
      </c>
    </row>
    <row r="48" spans="1:7" ht="18.95" customHeight="1">
      <c r="A48" s="70"/>
      <c r="B48" s="78"/>
      <c r="C48" s="78"/>
      <c r="D48" s="78"/>
      <c r="E48" s="86"/>
      <c r="F48" s="86"/>
      <c r="G48" s="86"/>
    </row>
    <row r="49" spans="1:7" ht="18.95" customHeight="1" thickBot="1">
      <c r="A49" s="70">
        <v>6</v>
      </c>
      <c r="B49" s="78" t="s">
        <v>1422</v>
      </c>
      <c r="C49" s="78"/>
      <c r="D49" s="78"/>
      <c r="E49" s="94">
        <f>SUM(E39:E47)</f>
        <v>291326592.83143938</v>
      </c>
      <c r="F49" s="86"/>
      <c r="G49" s="94">
        <f>SUM(G39:G47)</f>
        <v>271529178.50887227</v>
      </c>
    </row>
    <row r="50" spans="1:7" ht="18.95" customHeight="1" thickTop="1">
      <c r="A50" s="70"/>
      <c r="B50" s="78"/>
      <c r="C50" s="78"/>
      <c r="D50" s="78"/>
      <c r="E50" s="86"/>
      <c r="F50" s="86"/>
      <c r="G50" s="86"/>
    </row>
    <row r="51" spans="1:7" ht="18.95" customHeight="1">
      <c r="A51" s="70"/>
      <c r="B51" s="67" t="s">
        <v>1424</v>
      </c>
      <c r="C51" s="78"/>
      <c r="D51" s="78"/>
      <c r="E51" s="86"/>
      <c r="F51" s="86"/>
      <c r="G51" s="86"/>
    </row>
    <row r="52" spans="1:7" ht="18.95" customHeight="1">
      <c r="B52" s="67" t="s">
        <v>2079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0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E51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38.375" style="69" customWidth="1"/>
    <col min="3" max="3" width="14.25" style="69" customWidth="1"/>
    <col min="4" max="4" width="13.625" style="69" customWidth="1"/>
    <col min="5" max="5" width="15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</row>
    <row r="2" spans="1:5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</row>
    <row r="3" spans="1:5" s="68" customFormat="1" ht="20.100000000000001" customHeight="1">
      <c r="A3" s="809" t="s">
        <v>1431</v>
      </c>
      <c r="B3" s="809"/>
      <c r="C3" s="809"/>
      <c r="D3" s="809"/>
      <c r="E3" s="809"/>
    </row>
    <row r="4" spans="1:5" s="68" customFormat="1" ht="20.100000000000001" customHeight="1">
      <c r="A4" s="808" t="str">
        <f>'Rate Case Constants'!C14</f>
        <v>FROM MARCH 1, 2020 TO FEBRUARY 28, 2021</v>
      </c>
      <c r="B4" s="809"/>
      <c r="C4" s="809"/>
      <c r="D4" s="809"/>
      <c r="E4" s="809"/>
    </row>
    <row r="5" spans="1:5" s="68" customFormat="1" ht="20.100000000000001" customHeight="1">
      <c r="A5" s="138"/>
      <c r="B5" s="138"/>
      <c r="C5" s="138"/>
      <c r="D5" s="138"/>
      <c r="E5" s="138"/>
    </row>
    <row r="6" spans="1:5" s="68" customFormat="1" ht="20.100000000000001" customHeight="1">
      <c r="A6" s="67" t="s">
        <v>133</v>
      </c>
      <c r="C6" s="74"/>
      <c r="E6" s="74" t="s">
        <v>1428</v>
      </c>
    </row>
    <row r="7" spans="1:5" s="68" customFormat="1" ht="20.100000000000001" customHeight="1">
      <c r="A7" s="68" t="str">
        <f>'Rate Case Constants'!C29</f>
        <v>TYPE OF FILING: __X__ ORIGINAL  _____ UPDATED  _____ REVISED</v>
      </c>
      <c r="C7" s="74"/>
      <c r="E7" s="74" t="s">
        <v>176</v>
      </c>
    </row>
    <row r="8" spans="1:5" s="68" customFormat="1" ht="20.100000000000001" customHeight="1">
      <c r="A8" s="67" t="s">
        <v>1195</v>
      </c>
      <c r="C8" s="75"/>
      <c r="E8" s="75" t="str">
        <f>'Rate Case Constants'!C36</f>
        <v>WITNESS:   C. M. GARRETT</v>
      </c>
    </row>
    <row r="9" spans="1:5" s="68" customFormat="1" ht="20.100000000000001" customHeight="1"/>
    <row r="10" spans="1:5" s="68" customFormat="1" ht="20.100000000000001" customHeight="1">
      <c r="A10" s="96"/>
      <c r="B10" s="96"/>
      <c r="C10" s="813" t="s">
        <v>1429</v>
      </c>
      <c r="D10" s="813"/>
      <c r="E10" s="813"/>
    </row>
    <row r="11" spans="1:5" ht="39.75" customHeight="1">
      <c r="A11" s="98" t="s">
        <v>131</v>
      </c>
      <c r="B11" s="161" t="s">
        <v>204</v>
      </c>
      <c r="C11" s="98" t="s">
        <v>1199</v>
      </c>
      <c r="D11" s="98" t="s">
        <v>223</v>
      </c>
      <c r="E11" s="98" t="s">
        <v>1418</v>
      </c>
    </row>
    <row r="12" spans="1:5" ht="23.1" customHeight="1">
      <c r="A12" s="80"/>
      <c r="B12" s="81"/>
      <c r="C12" s="82" t="s">
        <v>142</v>
      </c>
      <c r="D12" s="82"/>
      <c r="E12" s="82" t="s">
        <v>142</v>
      </c>
    </row>
    <row r="13" spans="1:5" ht="23.1" customHeight="1">
      <c r="A13" s="73"/>
      <c r="B13" s="78" t="s">
        <v>1169</v>
      </c>
      <c r="C13" s="95"/>
      <c r="D13" s="95"/>
      <c r="E13" s="95"/>
    </row>
    <row r="14" spans="1:5" ht="18.95" customHeight="1">
      <c r="A14" s="70">
        <v>1</v>
      </c>
      <c r="B14" s="78" t="s">
        <v>1419</v>
      </c>
      <c r="C14" s="86">
        <f>'JURISSEP B'!$E$311</f>
        <v>59919403.999999993</v>
      </c>
      <c r="D14" s="130">
        <f>E14/C14</f>
        <v>0.94182569268505689</v>
      </c>
      <c r="E14" s="86">
        <f>'JURISSEP B'!$G$311</f>
        <v>56433634.17757576</v>
      </c>
    </row>
    <row r="15" spans="1:5" ht="18.95" customHeight="1">
      <c r="A15" s="70"/>
      <c r="B15" s="78"/>
      <c r="C15" s="86"/>
      <c r="D15" s="130"/>
      <c r="E15" s="86"/>
    </row>
    <row r="16" spans="1:5" ht="18.95" customHeight="1">
      <c r="A16" s="70">
        <v>2</v>
      </c>
      <c r="B16" s="78" t="s">
        <v>1420</v>
      </c>
      <c r="C16" s="86">
        <f>'JURISSEP B'!$E$318</f>
        <v>62390116</v>
      </c>
      <c r="D16" s="130">
        <f>E16/C16</f>
        <v>0.92978140422616196</v>
      </c>
      <c r="E16" s="86">
        <f>'JURISSEP B'!$G$318</f>
        <v>58009169.664313138</v>
      </c>
    </row>
    <row r="17" spans="1:5" ht="18.95" customHeight="1">
      <c r="A17" s="70"/>
      <c r="B17" s="78"/>
      <c r="C17" s="86"/>
      <c r="D17" s="86"/>
      <c r="E17" s="86"/>
    </row>
    <row r="18" spans="1:5" ht="18.95" customHeight="1">
      <c r="A18" s="70">
        <v>3</v>
      </c>
      <c r="B18" s="78" t="s">
        <v>1423</v>
      </c>
      <c r="C18" s="86">
        <f>'JURISSEP B'!$E$322</f>
        <v>19186402.650761645</v>
      </c>
      <c r="D18" s="130">
        <f>E18/C18</f>
        <v>0.98601356449057009</v>
      </c>
      <c r="E18" s="86">
        <f>'JURISSEP B'!$G$322</f>
        <v>18918053.267428812</v>
      </c>
    </row>
    <row r="19" spans="1:5" ht="18.95" customHeight="1">
      <c r="A19" s="70"/>
      <c r="B19" s="78"/>
      <c r="C19" s="86"/>
      <c r="D19" s="86"/>
      <c r="E19" s="86"/>
    </row>
    <row r="20" spans="1:5" ht="18.95" customHeight="1">
      <c r="A20" s="70">
        <v>4</v>
      </c>
      <c r="B20" s="78" t="s">
        <v>2078</v>
      </c>
      <c r="C20" s="131">
        <f>ROUND('JURISSEP B'!$E$330-'ECR ALLOW'!O5*1000,0)</f>
        <v>0</v>
      </c>
      <c r="D20" s="130">
        <f>'ECR ALLOW'!$O$6</f>
        <v>0.93811298816770394</v>
      </c>
      <c r="E20" s="131">
        <f>ROUND('JURISSEP B'!$G$330-'ECR ALLOW'!O7*1000,0)</f>
        <v>0</v>
      </c>
    </row>
    <row r="21" spans="1:5" ht="18.95" customHeight="1">
      <c r="A21" s="70"/>
      <c r="B21" s="78"/>
      <c r="C21" s="86"/>
      <c r="D21" s="86"/>
      <c r="E21" s="86"/>
    </row>
    <row r="22" spans="1:5" ht="18.95" customHeight="1" thickBot="1">
      <c r="A22" s="70">
        <v>5</v>
      </c>
      <c r="B22" s="78" t="s">
        <v>1430</v>
      </c>
      <c r="C22" s="94">
        <f>SUM(C14:C20)</f>
        <v>141495922.65076163</v>
      </c>
      <c r="D22" s="86"/>
      <c r="E22" s="94">
        <f>SUM(E14:E20)</f>
        <v>133360857.10931772</v>
      </c>
    </row>
    <row r="23" spans="1:5" ht="18.95" customHeight="1" thickTop="1">
      <c r="A23" s="70"/>
      <c r="B23" s="78"/>
      <c r="C23" s="86"/>
      <c r="D23" s="86"/>
      <c r="E23" s="86"/>
    </row>
    <row r="24" spans="1:5" ht="18.95" customHeight="1">
      <c r="A24" s="70"/>
      <c r="B24" s="67" t="s">
        <v>1424</v>
      </c>
      <c r="C24" s="86"/>
      <c r="D24" s="86"/>
      <c r="E24" s="86"/>
    </row>
    <row r="25" spans="1:5" ht="18.95" customHeight="1">
      <c r="A25" s="70"/>
      <c r="B25" s="67" t="s">
        <v>2079</v>
      </c>
      <c r="C25" s="86"/>
      <c r="D25" s="86"/>
      <c r="E25" s="86"/>
    </row>
    <row r="26" spans="1:5" s="68" customFormat="1" ht="20.100000000000001" customHeight="1">
      <c r="A26" s="809" t="str">
        <f>$A$1</f>
        <v>KENTUCKY UTILITIES COMPANY</v>
      </c>
      <c r="B26" s="809"/>
      <c r="C26" s="809"/>
      <c r="D26" s="809"/>
      <c r="E26" s="809"/>
    </row>
    <row r="27" spans="1:5" s="68" customFormat="1" ht="20.100000000000001" customHeight="1">
      <c r="A27" s="809" t="str">
        <f>$A$2</f>
        <v>CASE NO. 2020-00349</v>
      </c>
      <c r="B27" s="809"/>
      <c r="C27" s="809"/>
      <c r="D27" s="809"/>
      <c r="E27" s="809"/>
    </row>
    <row r="28" spans="1:5" s="68" customFormat="1" ht="20.100000000000001" customHeight="1">
      <c r="A28" s="809" t="str">
        <f>$A$3</f>
        <v>OTHER WORKING CAPITAL COMPONENTS</v>
      </c>
      <c r="B28" s="809"/>
      <c r="C28" s="809"/>
      <c r="D28" s="809"/>
      <c r="E28" s="809"/>
    </row>
    <row r="29" spans="1:5" s="68" customFormat="1" ht="20.100000000000001" customHeight="1">
      <c r="A29" s="808" t="str">
        <f>'Rate Case Constants'!C20</f>
        <v>FROM JULY 1, 2021 TO JUNE 30, 2022</v>
      </c>
      <c r="B29" s="814"/>
      <c r="C29" s="814"/>
      <c r="D29" s="814"/>
      <c r="E29" s="814"/>
    </row>
    <row r="30" spans="1:5" s="68" customFormat="1" ht="20.100000000000001" customHeight="1">
      <c r="A30" s="138"/>
      <c r="B30" s="138"/>
      <c r="C30" s="138"/>
      <c r="D30" s="138"/>
      <c r="E30" s="138"/>
    </row>
    <row r="31" spans="1:5" s="68" customFormat="1" ht="20.100000000000001" customHeight="1">
      <c r="A31" s="67" t="s">
        <v>161</v>
      </c>
      <c r="C31" s="74"/>
      <c r="E31" s="74" t="s">
        <v>1428</v>
      </c>
    </row>
    <row r="32" spans="1:5" s="68" customFormat="1" ht="20.100000000000001" customHeight="1">
      <c r="A32" s="67" t="str">
        <f>$A$7</f>
        <v>TYPE OF FILING: __X__ ORIGINAL  _____ UPDATED  _____ REVISED</v>
      </c>
      <c r="C32" s="74"/>
      <c r="E32" s="74" t="s">
        <v>184</v>
      </c>
    </row>
    <row r="33" spans="1:5" s="68" customFormat="1" ht="20.100000000000001" customHeight="1">
      <c r="A33" s="67" t="str">
        <f>$A$8</f>
        <v>WORKPAPER REFERENCE NO(S).:</v>
      </c>
      <c r="C33" s="75"/>
      <c r="E33" s="75" t="str">
        <f>$E$8</f>
        <v>WITNESS:   C. M. GARRETT</v>
      </c>
    </row>
    <row r="34" spans="1:5" s="68" customFormat="1" ht="20.100000000000001" customHeight="1"/>
    <row r="35" spans="1:5" s="68" customFormat="1" ht="20.100000000000001" customHeight="1">
      <c r="A35" s="96"/>
      <c r="B35" s="96"/>
      <c r="C35" s="813" t="s">
        <v>1429</v>
      </c>
      <c r="D35" s="813"/>
      <c r="E35" s="813"/>
    </row>
    <row r="36" spans="1:5" ht="39.75" customHeight="1">
      <c r="A36" s="98" t="s">
        <v>131</v>
      </c>
      <c r="B36" s="161" t="s">
        <v>204</v>
      </c>
      <c r="C36" s="98" t="s">
        <v>1199</v>
      </c>
      <c r="D36" s="98" t="s">
        <v>223</v>
      </c>
      <c r="E36" s="98" t="s">
        <v>1418</v>
      </c>
    </row>
    <row r="37" spans="1:5" ht="23.1" customHeight="1">
      <c r="A37" s="80"/>
      <c r="B37" s="81"/>
      <c r="C37" s="82" t="s">
        <v>142</v>
      </c>
      <c r="D37" s="82"/>
      <c r="E37" s="82" t="s">
        <v>142</v>
      </c>
    </row>
    <row r="38" spans="1:5" ht="23.1" customHeight="1">
      <c r="A38" s="73"/>
      <c r="B38" s="78" t="s">
        <v>1169</v>
      </c>
      <c r="C38" s="95"/>
      <c r="D38" s="95"/>
      <c r="E38" s="95"/>
    </row>
    <row r="39" spans="1:5" ht="18.95" customHeight="1">
      <c r="A39" s="70">
        <v>1</v>
      </c>
      <c r="B39" s="78" t="s">
        <v>1419</v>
      </c>
      <c r="C39" s="86">
        <f>'JURISSEP F'!$E$316</f>
        <v>66398898</v>
      </c>
      <c r="D39" s="130">
        <f>E39/C39</f>
        <v>0.94182569268505678</v>
      </c>
      <c r="E39" s="86">
        <f>'JURISSEP F'!$G$316</f>
        <v>62536188.102374434</v>
      </c>
    </row>
    <row r="40" spans="1:5" ht="18.95" customHeight="1">
      <c r="A40" s="70"/>
      <c r="B40" s="78"/>
      <c r="C40" s="86"/>
      <c r="D40" s="130"/>
      <c r="E40" s="86"/>
    </row>
    <row r="41" spans="1:5" ht="18.95" customHeight="1">
      <c r="A41" s="70">
        <v>2</v>
      </c>
      <c r="B41" s="78" t="s">
        <v>1420</v>
      </c>
      <c r="C41" s="86">
        <f>'JURISSEP F'!$E$323</f>
        <v>64509936.000000007</v>
      </c>
      <c r="D41" s="130">
        <f>E41/C41</f>
        <v>0.92839621923138316</v>
      </c>
      <c r="E41" s="86">
        <f>'JURISSEP F'!$G$323</f>
        <v>59890780.6852585</v>
      </c>
    </row>
    <row r="42" spans="1:5" ht="18.95" customHeight="1">
      <c r="A42" s="70"/>
      <c r="B42" s="78"/>
      <c r="C42" s="86"/>
      <c r="D42" s="86"/>
      <c r="E42" s="86"/>
    </row>
    <row r="43" spans="1:5" ht="18.95" customHeight="1">
      <c r="A43" s="70">
        <v>3</v>
      </c>
      <c r="B43" s="78" t="s">
        <v>1423</v>
      </c>
      <c r="C43" s="86">
        <f>'JURISSEP F'!$E$327</f>
        <v>19279556.74023141</v>
      </c>
      <c r="D43" s="130">
        <f>E43/C43</f>
        <v>0.98675071927934566</v>
      </c>
      <c r="E43" s="86">
        <f>'JURISSEP F'!$G$327</f>
        <v>19024116.4808103</v>
      </c>
    </row>
    <row r="44" spans="1:5" ht="18.95" customHeight="1">
      <c r="A44" s="70"/>
      <c r="B44" s="78"/>
      <c r="C44" s="86"/>
      <c r="D44" s="86"/>
      <c r="E44" s="86"/>
    </row>
    <row r="45" spans="1:5" ht="18.95" customHeight="1">
      <c r="A45" s="70">
        <v>4</v>
      </c>
      <c r="B45" s="78" t="s">
        <v>2078</v>
      </c>
      <c r="C45" s="131">
        <f>ROUND('JURISSEP F'!$E$335-'ECR ALLOW'!AF5*1000,0)</f>
        <v>0</v>
      </c>
      <c r="D45" s="130">
        <f>'ECR ALLOW'!$AF$6</f>
        <v>0.93811298816770394</v>
      </c>
      <c r="E45" s="131">
        <f>ROUND('JURISSEP F'!$G$335-'ECR ALLOW'!AF7*1000,0)</f>
        <v>0</v>
      </c>
    </row>
    <row r="46" spans="1:5" ht="18.95" customHeight="1">
      <c r="A46" s="70"/>
      <c r="B46" s="78"/>
      <c r="C46" s="86"/>
      <c r="D46" s="86"/>
      <c r="E46" s="86"/>
    </row>
    <row r="47" spans="1:5" ht="18.95" customHeight="1" thickBot="1">
      <c r="A47" s="70">
        <v>5</v>
      </c>
      <c r="B47" s="78" t="s">
        <v>1430</v>
      </c>
      <c r="C47" s="94">
        <f>SUM(C39:C45)</f>
        <v>150188390.74023139</v>
      </c>
      <c r="D47" s="86"/>
      <c r="E47" s="94">
        <f>SUM(E39:E45)</f>
        <v>141451085.26844323</v>
      </c>
    </row>
    <row r="48" spans="1:5" ht="18.95" customHeight="1" thickTop="1">
      <c r="A48" s="70"/>
      <c r="B48" s="78"/>
      <c r="C48" s="86"/>
      <c r="D48" s="86"/>
      <c r="E48" s="86"/>
    </row>
    <row r="49" spans="1:5" ht="18.95" customHeight="1">
      <c r="A49" s="70"/>
      <c r="B49" s="67" t="s">
        <v>1424</v>
      </c>
      <c r="C49" s="86"/>
      <c r="D49" s="86"/>
      <c r="E49" s="86"/>
    </row>
    <row r="50" spans="1:5" ht="18.95" customHeight="1">
      <c r="B50" s="67" t="s">
        <v>2079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639" customWidth="1"/>
    <col min="2" max="2" width="42.125" style="574" bestFit="1" customWidth="1"/>
    <col min="3" max="3" width="14.75" style="577" customWidth="1"/>
    <col min="4" max="4" width="2.125" style="577" customWidth="1"/>
    <col min="5" max="5" width="9.25" style="578" customWidth="1"/>
    <col min="6" max="6" width="2" style="578" customWidth="1"/>
    <col min="7" max="7" width="14.75" style="577" customWidth="1"/>
    <col min="8" max="8" width="2.25" style="577" customWidth="1"/>
    <col min="9" max="9" width="10.375" style="577" customWidth="1"/>
    <col min="10" max="10" width="2.5" style="577" customWidth="1"/>
    <col min="11" max="11" width="8.75" style="577" customWidth="1"/>
    <col min="12" max="12" width="2" style="577" customWidth="1"/>
    <col min="13" max="13" width="9.75" style="579" customWidth="1"/>
    <col min="14" max="14" width="2.125" style="579" customWidth="1"/>
    <col min="15" max="15" width="9.75" style="577" customWidth="1"/>
    <col min="16" max="16" width="2.5" style="577" customWidth="1"/>
    <col min="17" max="17" width="13.75" style="577" customWidth="1"/>
    <col min="18" max="18" width="10.875" style="574" customWidth="1"/>
    <col min="19" max="19" width="8.875" style="574"/>
    <col min="20" max="20" width="14" style="574" customWidth="1"/>
    <col min="21" max="16384" width="8.875" style="574"/>
  </cols>
  <sheetData>
    <row r="1" spans="1:18" ht="15.95" customHeight="1">
      <c r="A1" s="815" t="str">
        <f>'Rate Case Constants'!C9</f>
        <v>KENTUCKY UTILITIES COMPANY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573"/>
    </row>
    <row r="2" spans="1:18" ht="15.95" customHeight="1">
      <c r="A2" s="815" t="str">
        <f>'Rate Case Constants'!C10</f>
        <v>CASE NO. 2020-00349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573"/>
    </row>
    <row r="3" spans="1:18" ht="15.95" customHeight="1">
      <c r="A3" s="815" t="s">
        <v>1432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573"/>
    </row>
    <row r="4" spans="1:18" ht="15.95" customHeight="1">
      <c r="A4" s="815" t="str">
        <f>'Rate Case Constants'!C15</f>
        <v>BASE YEAR FOR THE 12 MONTHS ENDED FEBRUARY 28, 2021</v>
      </c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573"/>
    </row>
    <row r="5" spans="1:18" ht="15.95" customHeight="1">
      <c r="A5" s="638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573"/>
    </row>
    <row r="6" spans="1:18" ht="15.95" customHeight="1">
      <c r="A6" s="67" t="s">
        <v>133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75" t="s">
        <v>1433</v>
      </c>
      <c r="R6" s="573"/>
    </row>
    <row r="7" spans="1:18" ht="15.95" customHeight="1">
      <c r="A7" s="67" t="str">
        <f>'Rate Case Constants'!C29</f>
        <v>TYPE OF FILING: __X__ ORIGINAL  _____ UPDATED  _____ REVISED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75" t="s">
        <v>172</v>
      </c>
      <c r="R7" s="573"/>
    </row>
    <row r="8" spans="1:18" ht="15.95" customHeight="1">
      <c r="A8" s="67" t="s">
        <v>1195</v>
      </c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75" t="str">
        <f>'Rate Case Constants'!C36</f>
        <v>WITNESS:   C. M. GARRETT</v>
      </c>
      <c r="R8" s="576"/>
    </row>
    <row r="9" spans="1:18" ht="15.95" customHeight="1"/>
    <row r="10" spans="1:18" s="580" customFormat="1" ht="50.1" customHeight="1">
      <c r="A10" s="159" t="s">
        <v>131</v>
      </c>
      <c r="B10" s="159" t="s">
        <v>204</v>
      </c>
      <c r="C10" s="159" t="s">
        <v>2522</v>
      </c>
      <c r="D10" s="160"/>
      <c r="E10" s="159" t="s">
        <v>2449</v>
      </c>
      <c r="F10" s="160"/>
      <c r="G10" s="159" t="s">
        <v>2527</v>
      </c>
      <c r="H10" s="160"/>
      <c r="I10" s="159" t="s">
        <v>2451</v>
      </c>
      <c r="J10" s="160"/>
      <c r="K10" s="159" t="s">
        <v>2452</v>
      </c>
      <c r="L10" s="160"/>
      <c r="M10" s="159" t="s">
        <v>2453</v>
      </c>
      <c r="N10" s="160"/>
      <c r="O10" s="159" t="s">
        <v>2454</v>
      </c>
      <c r="P10" s="160"/>
      <c r="Q10" s="159" t="s">
        <v>2455</v>
      </c>
    </row>
    <row r="11" spans="1:18" ht="15.95" customHeight="1">
      <c r="B11" s="574" t="s">
        <v>2456</v>
      </c>
    </row>
    <row r="12" spans="1:18" ht="15.95" customHeight="1">
      <c r="A12" s="639">
        <v>1</v>
      </c>
      <c r="B12" s="581" t="s">
        <v>2457</v>
      </c>
      <c r="C12" s="582">
        <v>336569120.93283254</v>
      </c>
      <c r="D12" s="583"/>
      <c r="E12" s="584">
        <v>0.94182569268505678</v>
      </c>
      <c r="F12" s="585"/>
      <c r="G12" s="582">
        <v>316989445.45896566</v>
      </c>
      <c r="H12" s="586"/>
      <c r="I12" s="586">
        <v>868464.23413415253</v>
      </c>
      <c r="K12" s="579">
        <v>45.5</v>
      </c>
      <c r="L12" s="579"/>
      <c r="M12" s="579">
        <v>-27.28</v>
      </c>
      <c r="O12" s="579">
        <f>K12+M12</f>
        <v>18.22</v>
      </c>
      <c r="P12" s="579"/>
      <c r="Q12" s="586">
        <f>I12*O12</f>
        <v>15823418.345924258</v>
      </c>
    </row>
    <row r="13" spans="1:18" ht="15.95" customHeight="1">
      <c r="A13" s="639">
        <f>A12+1</f>
        <v>2</v>
      </c>
      <c r="B13" s="581" t="s">
        <v>2458</v>
      </c>
      <c r="C13" s="582">
        <v>113908308.80709343</v>
      </c>
      <c r="D13" s="583"/>
      <c r="E13" s="584">
        <v>0.94182569268505678</v>
      </c>
      <c r="F13" s="585"/>
      <c r="G13" s="582">
        <v>107281771.84482412</v>
      </c>
      <c r="H13" s="586"/>
      <c r="I13" s="586">
        <v>293922.66258855921</v>
      </c>
      <c r="K13" s="579">
        <v>45.5</v>
      </c>
      <c r="L13" s="579"/>
      <c r="M13" s="579">
        <v>-39.32</v>
      </c>
      <c r="O13" s="579">
        <f t="shared" ref="O13:O26" si="0">K13+M13</f>
        <v>6.18</v>
      </c>
      <c r="P13" s="579"/>
      <c r="Q13" s="586">
        <f t="shared" ref="Q13:Q26" si="1">I13*O13</f>
        <v>1816442.0547972957</v>
      </c>
    </row>
    <row r="14" spans="1:18" ht="15.95" customHeight="1">
      <c r="A14" s="639">
        <f>A13+1</f>
        <v>3</v>
      </c>
      <c r="B14" s="581" t="s">
        <v>2459</v>
      </c>
      <c r="C14" s="582">
        <v>2369926.12</v>
      </c>
      <c r="D14" s="583"/>
      <c r="E14" s="584">
        <v>0.94182569268505678</v>
      </c>
      <c r="F14" s="585"/>
      <c r="G14" s="582">
        <v>2232057.3095814092</v>
      </c>
      <c r="H14" s="586"/>
      <c r="I14" s="586">
        <v>6115.2255057024913</v>
      </c>
      <c r="K14" s="579">
        <v>45.5</v>
      </c>
      <c r="L14" s="579"/>
      <c r="M14" s="579">
        <v>-17.32</v>
      </c>
      <c r="O14" s="579">
        <f t="shared" si="0"/>
        <v>28.18</v>
      </c>
      <c r="P14" s="579"/>
      <c r="Q14" s="586">
        <f t="shared" si="1"/>
        <v>172327.0547506962</v>
      </c>
    </row>
    <row r="15" spans="1:18" ht="15.95" customHeight="1">
      <c r="A15" s="639">
        <f>A14+1</f>
        <v>4</v>
      </c>
      <c r="B15" s="581" t="s">
        <v>2460</v>
      </c>
      <c r="C15" s="582">
        <v>23641072.100000001</v>
      </c>
      <c r="D15" s="583"/>
      <c r="E15" s="584">
        <v>0.94182569268505678</v>
      </c>
      <c r="F15" s="585"/>
      <c r="G15" s="582">
        <v>22265769.106399871</v>
      </c>
      <c r="H15" s="586"/>
      <c r="I15" s="586">
        <v>61002.107140821565</v>
      </c>
      <c r="K15" s="579">
        <v>45.5</v>
      </c>
      <c r="L15" s="579"/>
      <c r="M15" s="579">
        <v>-27.76</v>
      </c>
      <c r="O15" s="579">
        <f t="shared" si="0"/>
        <v>17.739999999999998</v>
      </c>
      <c r="P15" s="579"/>
      <c r="Q15" s="586">
        <f t="shared" si="1"/>
        <v>1082177.3806781746</v>
      </c>
    </row>
    <row r="16" spans="1:18" ht="15.95" customHeight="1">
      <c r="A16" s="639">
        <f>A15+1</f>
        <v>5</v>
      </c>
      <c r="B16" s="581" t="s">
        <v>2461</v>
      </c>
      <c r="C16" s="587">
        <v>38361341.579972401</v>
      </c>
      <c r="D16" s="583"/>
      <c r="E16" s="584">
        <v>0.94089455966391544</v>
      </c>
      <c r="F16" s="585"/>
      <c r="G16" s="587">
        <v>36093977.594005182</v>
      </c>
      <c r="H16" s="586"/>
      <c r="I16" s="586">
        <v>98887.609846589534</v>
      </c>
      <c r="K16" s="579">
        <v>45.5</v>
      </c>
      <c r="L16" s="579"/>
      <c r="M16" s="579">
        <v>-23.664370061149086</v>
      </c>
      <c r="O16" s="579">
        <f t="shared" si="0"/>
        <v>21.835629938850914</v>
      </c>
      <c r="P16" s="579"/>
      <c r="Q16" s="586">
        <f t="shared" si="1"/>
        <v>2159273.254147599</v>
      </c>
    </row>
    <row r="17" spans="1:17" ht="15.95" customHeight="1">
      <c r="A17" s="639">
        <f>A16+1</f>
        <v>6</v>
      </c>
      <c r="B17" s="581" t="s">
        <v>2462</v>
      </c>
      <c r="C17" s="582">
        <v>40179593.989999995</v>
      </c>
      <c r="D17" s="583"/>
      <c r="E17" s="584">
        <v>0.94120216334583617</v>
      </c>
      <c r="F17" s="585"/>
      <c r="G17" s="582">
        <v>37817120.785745353</v>
      </c>
      <c r="H17" s="586"/>
      <c r="I17" s="586">
        <v>103608.55009793247</v>
      </c>
      <c r="K17" s="579">
        <v>45.5</v>
      </c>
      <c r="L17" s="579"/>
      <c r="M17" s="579">
        <v>-13.010845763287058</v>
      </c>
      <c r="O17" s="579">
        <f t="shared" si="0"/>
        <v>32.489154236712942</v>
      </c>
      <c r="P17" s="579"/>
      <c r="Q17" s="586">
        <f t="shared" si="1"/>
        <v>3366154.1643739277</v>
      </c>
    </row>
    <row r="18" spans="1:17" ht="15.95" customHeight="1">
      <c r="A18" s="639">
        <f t="shared" ref="A18:A24" si="2">A17+1</f>
        <v>7</v>
      </c>
      <c r="B18" s="581" t="s">
        <v>2463</v>
      </c>
      <c r="C18" s="582">
        <v>-312156</v>
      </c>
      <c r="D18" s="583"/>
      <c r="E18" s="584">
        <v>0.94120216334583617</v>
      </c>
      <c r="F18" s="585"/>
      <c r="G18" s="582">
        <v>-293801.90250138287</v>
      </c>
      <c r="H18" s="586"/>
      <c r="I18" s="586">
        <v>-804.9367191818709</v>
      </c>
      <c r="K18" s="579">
        <v>45.5</v>
      </c>
      <c r="L18" s="579"/>
      <c r="M18" s="579">
        <v>0</v>
      </c>
      <c r="O18" s="579">
        <f t="shared" si="0"/>
        <v>45.5</v>
      </c>
      <c r="P18" s="579"/>
      <c r="Q18" s="586">
        <f t="shared" si="1"/>
        <v>-36624.620722775129</v>
      </c>
    </row>
    <row r="19" spans="1:17" ht="15.95" customHeight="1">
      <c r="A19" s="639">
        <f t="shared" si="2"/>
        <v>8</v>
      </c>
      <c r="B19" s="581" t="s">
        <v>2464</v>
      </c>
      <c r="C19" s="582">
        <v>-192959</v>
      </c>
      <c r="D19" s="583"/>
      <c r="E19" s="584">
        <v>0.94120216334583617</v>
      </c>
      <c r="F19" s="585"/>
      <c r="G19" s="582">
        <v>-181613.4282370492</v>
      </c>
      <c r="H19" s="586"/>
      <c r="I19" s="586">
        <v>-497.57103626588821</v>
      </c>
      <c r="K19" s="579">
        <v>45.5</v>
      </c>
      <c r="L19" s="579"/>
      <c r="M19" s="579">
        <v>0</v>
      </c>
      <c r="O19" s="579">
        <f t="shared" si="0"/>
        <v>45.5</v>
      </c>
      <c r="P19" s="579"/>
      <c r="Q19" s="586">
        <f t="shared" si="1"/>
        <v>-22639.482150097912</v>
      </c>
    </row>
    <row r="20" spans="1:17" ht="15.95" customHeight="1">
      <c r="A20" s="639">
        <f>A19+1</f>
        <v>9</v>
      </c>
      <c r="B20" s="581" t="s">
        <v>2465</v>
      </c>
      <c r="C20" s="582">
        <v>3180175</v>
      </c>
      <c r="D20" s="583"/>
      <c r="E20" s="584">
        <v>0.94120216334583617</v>
      </c>
      <c r="F20" s="585"/>
      <c r="G20" s="582">
        <v>2993187.5898183445</v>
      </c>
      <c r="H20" s="586"/>
      <c r="I20" s="586">
        <v>8200.5139447077927</v>
      </c>
      <c r="K20" s="579">
        <v>45.5</v>
      </c>
      <c r="L20" s="579"/>
      <c r="M20" s="579">
        <v>-244.79</v>
      </c>
      <c r="O20" s="579">
        <f t="shared" si="0"/>
        <v>-199.29</v>
      </c>
      <c r="P20" s="579"/>
      <c r="Q20" s="586">
        <f t="shared" si="1"/>
        <v>-1634280.424040816</v>
      </c>
    </row>
    <row r="21" spans="1:17" ht="15.95" customHeight="1">
      <c r="A21" s="639">
        <f>A20+1</f>
        <v>10</v>
      </c>
      <c r="B21" s="581" t="s">
        <v>2466</v>
      </c>
      <c r="C21" s="582">
        <v>1042969.59</v>
      </c>
      <c r="D21" s="583"/>
      <c r="E21" s="584">
        <v>0.94120216334583617</v>
      </c>
      <c r="F21" s="585"/>
      <c r="G21" s="582">
        <v>981645.23441191972</v>
      </c>
      <c r="H21" s="586"/>
      <c r="I21" s="586">
        <v>2689.4389983888213</v>
      </c>
      <c r="K21" s="579">
        <v>45.5</v>
      </c>
      <c r="L21" s="579"/>
      <c r="M21" s="579">
        <v>-22.558255780356177</v>
      </c>
      <c r="O21" s="579">
        <f t="shared" si="0"/>
        <v>22.941744219643823</v>
      </c>
      <c r="P21" s="579"/>
      <c r="Q21" s="586">
        <f t="shared" si="1"/>
        <v>61700.421595371416</v>
      </c>
    </row>
    <row r="22" spans="1:17" ht="15.95" customHeight="1">
      <c r="A22" s="639">
        <f t="shared" si="2"/>
        <v>11</v>
      </c>
      <c r="B22" s="581" t="s">
        <v>2467</v>
      </c>
      <c r="C22" s="582">
        <v>923285</v>
      </c>
      <c r="D22" s="583"/>
      <c r="E22" s="584">
        <v>0.94120216334583617</v>
      </c>
      <c r="F22" s="585"/>
      <c r="G22" s="582">
        <v>868997.83938476036</v>
      </c>
      <c r="H22" s="586"/>
      <c r="I22" s="586">
        <v>2380.8159983144119</v>
      </c>
      <c r="K22" s="579">
        <v>45.5</v>
      </c>
      <c r="L22" s="579"/>
      <c r="M22" s="579">
        <v>-283.5</v>
      </c>
      <c r="O22" s="579">
        <f t="shared" si="0"/>
        <v>-238</v>
      </c>
      <c r="P22" s="579"/>
      <c r="Q22" s="586">
        <f t="shared" si="1"/>
        <v>-566634.20759882999</v>
      </c>
    </row>
    <row r="23" spans="1:17" ht="15.95" customHeight="1">
      <c r="A23" s="639">
        <f t="shared" si="2"/>
        <v>12</v>
      </c>
      <c r="B23" s="581" t="s">
        <v>2468</v>
      </c>
      <c r="C23" s="587">
        <v>5556033.0999999996</v>
      </c>
      <c r="E23" s="584">
        <v>0.9509900206560824</v>
      </c>
      <c r="F23" s="585"/>
      <c r="G23" s="582">
        <v>5283732.0325348768</v>
      </c>
      <c r="H23" s="586"/>
      <c r="I23" s="586">
        <v>14475.97817132843</v>
      </c>
      <c r="K23" s="579">
        <v>45.5</v>
      </c>
      <c r="L23" s="579"/>
      <c r="M23" s="579">
        <v>-131.69914670445385</v>
      </c>
      <c r="O23" s="579">
        <f t="shared" si="0"/>
        <v>-86.199146704453852</v>
      </c>
      <c r="P23" s="579"/>
      <c r="Q23" s="586">
        <f t="shared" si="1"/>
        <v>-1247816.9660808109</v>
      </c>
    </row>
    <row r="24" spans="1:17" ht="15.95" customHeight="1">
      <c r="A24" s="639">
        <f t="shared" si="2"/>
        <v>13</v>
      </c>
      <c r="B24" s="581" t="s">
        <v>2469</v>
      </c>
      <c r="C24" s="582">
        <v>2183268.4800000004</v>
      </c>
      <c r="E24" s="584">
        <v>0.94266363179266044</v>
      </c>
      <c r="F24" s="585"/>
      <c r="G24" s="582">
        <v>2058087.7945352418</v>
      </c>
      <c r="H24" s="586"/>
      <c r="I24" s="586">
        <v>5638.5966973568266</v>
      </c>
      <c r="K24" s="579">
        <v>45.5</v>
      </c>
      <c r="L24" s="579"/>
      <c r="M24" s="579">
        <v>-41.741641520962055</v>
      </c>
      <c r="O24" s="579">
        <f t="shared" si="0"/>
        <v>3.7583584790379447</v>
      </c>
      <c r="P24" s="579"/>
      <c r="Q24" s="586">
        <f t="shared" si="1"/>
        <v>21191.86770738638</v>
      </c>
    </row>
    <row r="25" spans="1:17" ht="15.95" customHeight="1">
      <c r="A25" s="639">
        <f>A24+1</f>
        <v>14</v>
      </c>
      <c r="B25" s="581" t="s">
        <v>2470</v>
      </c>
      <c r="C25" s="582">
        <v>190990889.11000001</v>
      </c>
      <c r="E25" s="584">
        <v>0.93876239345854817</v>
      </c>
      <c r="F25" s="585"/>
      <c r="G25" s="582">
        <v>179295064.18967977</v>
      </c>
      <c r="H25" s="586"/>
      <c r="I25" s="586">
        <v>491219.35394432815</v>
      </c>
      <c r="K25" s="579">
        <v>45.5</v>
      </c>
      <c r="L25" s="579"/>
      <c r="M25" s="579">
        <v>-25.38804860890605</v>
      </c>
      <c r="O25" s="579">
        <f t="shared" si="0"/>
        <v>20.11195139109395</v>
      </c>
      <c r="P25" s="579"/>
      <c r="Q25" s="586">
        <f t="shared" si="1"/>
        <v>9879379.768892901</v>
      </c>
    </row>
    <row r="26" spans="1:17" ht="15.95" customHeight="1">
      <c r="A26" s="639">
        <f>A25+1</f>
        <v>15</v>
      </c>
      <c r="B26" s="581" t="s">
        <v>2471</v>
      </c>
      <c r="C26" s="599">
        <v>97483660.059998751</v>
      </c>
      <c r="D26" s="588"/>
      <c r="E26" s="584">
        <v>0.91996699962151651</v>
      </c>
      <c r="F26" s="585"/>
      <c r="G26" s="599">
        <v>89681750.257520914</v>
      </c>
      <c r="H26" s="589"/>
      <c r="I26" s="586">
        <v>245703.425363071</v>
      </c>
      <c r="K26" s="579">
        <v>45.5</v>
      </c>
      <c r="L26" s="579"/>
      <c r="M26" s="579">
        <v>-48.047788467578023</v>
      </c>
      <c r="O26" s="579">
        <f t="shared" si="0"/>
        <v>-2.5477884675780231</v>
      </c>
      <c r="P26" s="579"/>
      <c r="Q26" s="590">
        <f t="shared" si="1"/>
        <v>-626000.35358444985</v>
      </c>
    </row>
    <row r="27" spans="1:17" ht="15.95" customHeight="1">
      <c r="A27" s="639">
        <f>A26+1</f>
        <v>16</v>
      </c>
      <c r="B27" s="591" t="s">
        <v>2472</v>
      </c>
      <c r="C27" s="582">
        <v>855884528.86989725</v>
      </c>
      <c r="D27" s="592"/>
      <c r="E27" s="584"/>
      <c r="F27" s="585"/>
      <c r="G27" s="582">
        <v>803367191.70666897</v>
      </c>
      <c r="H27" s="586"/>
      <c r="I27" s="586"/>
      <c r="K27" s="579"/>
      <c r="L27" s="579"/>
      <c r="O27" s="579"/>
      <c r="P27" s="579"/>
      <c r="Q27" s="586">
        <f>SUM(Q12:Q26)</f>
        <v>30248068.258689832</v>
      </c>
    </row>
    <row r="28" spans="1:17" ht="15.95" customHeight="1">
      <c r="B28" s="591"/>
      <c r="C28" s="593">
        <v>0</v>
      </c>
      <c r="D28" s="592"/>
      <c r="E28" s="584"/>
      <c r="F28" s="585"/>
      <c r="G28" s="582">
        <v>0</v>
      </c>
      <c r="I28" s="594"/>
      <c r="K28" s="579"/>
      <c r="L28" s="579"/>
      <c r="O28" s="579"/>
      <c r="P28" s="579"/>
    </row>
    <row r="29" spans="1:17" ht="15.95" customHeight="1">
      <c r="A29" s="639">
        <f>A27+1</f>
        <v>17</v>
      </c>
      <c r="B29" s="574" t="s">
        <v>2473</v>
      </c>
      <c r="C29" s="595"/>
      <c r="E29" s="584"/>
      <c r="F29" s="585"/>
      <c r="G29" s="595"/>
      <c r="I29" s="586"/>
      <c r="K29" s="579"/>
      <c r="L29" s="579"/>
      <c r="O29" s="579"/>
      <c r="P29" s="579"/>
      <c r="Q29" s="586"/>
    </row>
    <row r="30" spans="1:17" ht="15.95" customHeight="1">
      <c r="A30" s="639">
        <f>A29+1</f>
        <v>18</v>
      </c>
      <c r="B30" s="581" t="s">
        <v>2474</v>
      </c>
      <c r="C30" s="582">
        <v>338908014.67533129</v>
      </c>
      <c r="E30" s="584">
        <v>0.93558680357094071</v>
      </c>
      <c r="F30" s="585"/>
      <c r="G30" s="582">
        <v>317077866.15466666</v>
      </c>
      <c r="I30" s="586">
        <v>868706.48261552514</v>
      </c>
      <c r="K30" s="579">
        <v>45.5</v>
      </c>
      <c r="L30" s="579"/>
      <c r="M30" s="579">
        <v>0</v>
      </c>
      <c r="O30" s="579">
        <f>K30+M30</f>
        <v>45.5</v>
      </c>
      <c r="P30" s="579"/>
      <c r="Q30" s="586">
        <f>I30*O30</f>
        <v>39526144.959006391</v>
      </c>
    </row>
    <row r="31" spans="1:17" ht="15.95" customHeight="1">
      <c r="A31" s="639">
        <f>A30+1</f>
        <v>19</v>
      </c>
      <c r="B31" s="581" t="s">
        <v>2475</v>
      </c>
      <c r="C31" s="582">
        <v>12336694.960949101</v>
      </c>
      <c r="E31" s="584">
        <v>0.9404350823031562</v>
      </c>
      <c r="F31" s="585"/>
      <c r="G31" s="582">
        <v>11601860.7409491</v>
      </c>
      <c r="I31" s="586">
        <v>31785.919838216712</v>
      </c>
      <c r="K31" s="579">
        <v>45.5</v>
      </c>
      <c r="L31" s="579"/>
      <c r="M31" s="579">
        <v>0</v>
      </c>
      <c r="O31" s="579">
        <f>K31+M31</f>
        <v>45.5</v>
      </c>
      <c r="P31" s="579"/>
      <c r="Q31" s="586">
        <f>I31*O31</f>
        <v>1446259.3526388605</v>
      </c>
    </row>
    <row r="32" spans="1:17" ht="15.95" customHeight="1">
      <c r="A32" s="639">
        <f>A31+1</f>
        <v>20</v>
      </c>
      <c r="B32" s="581" t="s">
        <v>3710</v>
      </c>
      <c r="C32" s="582">
        <v>4976211.4800000004</v>
      </c>
      <c r="E32" s="584">
        <v>1</v>
      </c>
      <c r="F32" s="585"/>
      <c r="G32" s="582">
        <v>4976211.4800000004</v>
      </c>
      <c r="I32" s="586">
        <v>13633.456109589042</v>
      </c>
      <c r="K32" s="579">
        <v>45.5</v>
      </c>
      <c r="L32" s="579"/>
      <c r="M32" s="579">
        <v>0</v>
      </c>
      <c r="O32" s="579">
        <f>K32+M32</f>
        <v>45.5</v>
      </c>
      <c r="P32" s="579"/>
      <c r="Q32" s="586">
        <f>I32*O32</f>
        <v>620322.25298630144</v>
      </c>
    </row>
    <row r="33" spans="1:20" ht="15.95" customHeight="1">
      <c r="A33" s="639">
        <f>A32+1</f>
        <v>21</v>
      </c>
      <c r="B33" s="581" t="s">
        <v>3711</v>
      </c>
      <c r="C33" s="582">
        <v>-3261298.94</v>
      </c>
      <c r="E33" s="584">
        <v>1</v>
      </c>
      <c r="F33" s="585"/>
      <c r="G33" s="582">
        <v>-3261298.94</v>
      </c>
      <c r="I33" s="586">
        <v>-8935.0655890410962</v>
      </c>
      <c r="K33" s="579">
        <v>45.5</v>
      </c>
      <c r="L33" s="579"/>
      <c r="M33" s="579">
        <v>0</v>
      </c>
      <c r="O33" s="579">
        <f>K33+M33</f>
        <v>45.5</v>
      </c>
      <c r="P33" s="579"/>
      <c r="Q33" s="586">
        <f>I33*O33</f>
        <v>-406545.48430136987</v>
      </c>
    </row>
    <row r="34" spans="1:20" ht="15.95" customHeight="1">
      <c r="A34" s="639">
        <f>A33+1</f>
        <v>22</v>
      </c>
      <c r="B34" s="591" t="s">
        <v>2476</v>
      </c>
      <c r="C34" s="596">
        <v>352959622.17628044</v>
      </c>
      <c r="D34" s="592"/>
      <c r="E34" s="584"/>
      <c r="F34" s="585"/>
      <c r="G34" s="596">
        <v>330394639.43561578</v>
      </c>
      <c r="H34" s="586"/>
      <c r="I34" s="586"/>
      <c r="K34" s="579"/>
      <c r="L34" s="579"/>
      <c r="O34" s="579"/>
      <c r="P34" s="579"/>
      <c r="Q34" s="596">
        <f>SUM(Q30:Q33)</f>
        <v>41186181.080330186</v>
      </c>
    </row>
    <row r="35" spans="1:20" ht="15.95" customHeight="1">
      <c r="C35" s="597"/>
      <c r="E35" s="584"/>
      <c r="F35" s="585"/>
      <c r="I35" s="594"/>
      <c r="K35" s="579"/>
      <c r="L35" s="579"/>
      <c r="O35" s="579"/>
      <c r="P35" s="579"/>
    </row>
    <row r="36" spans="1:20" ht="15.95" customHeight="1">
      <c r="A36" s="639">
        <f>A34+1</f>
        <v>23</v>
      </c>
      <c r="B36" s="574" t="s">
        <v>2477</v>
      </c>
      <c r="C36" s="597"/>
      <c r="E36" s="584"/>
      <c r="F36" s="585"/>
      <c r="I36" s="594"/>
      <c r="K36" s="579"/>
      <c r="L36" s="579"/>
      <c r="O36" s="579"/>
      <c r="P36" s="579"/>
      <c r="T36" s="598"/>
    </row>
    <row r="37" spans="1:20" ht="15.95" customHeight="1">
      <c r="A37" s="639">
        <f>A36+1</f>
        <v>24</v>
      </c>
      <c r="B37" s="581" t="s">
        <v>2478</v>
      </c>
      <c r="C37" s="582">
        <v>37892407.992814511</v>
      </c>
      <c r="D37" s="583"/>
      <c r="E37" s="584">
        <v>0.94847962107436967</v>
      </c>
      <c r="F37" s="585"/>
      <c r="G37" s="582">
        <v>35940176.774620123</v>
      </c>
      <c r="H37" s="586"/>
      <c r="I37" s="586">
        <v>98466.237738685275</v>
      </c>
      <c r="K37" s="579">
        <v>45.5</v>
      </c>
      <c r="L37" s="579"/>
      <c r="M37" s="579">
        <v>-37.5</v>
      </c>
      <c r="O37" s="579">
        <f>K37+M37</f>
        <v>8</v>
      </c>
      <c r="P37" s="579"/>
      <c r="Q37" s="586">
        <f>I37*O37</f>
        <v>787729.9019094822</v>
      </c>
      <c r="T37" s="587"/>
    </row>
    <row r="38" spans="1:20" ht="15.95" customHeight="1">
      <c r="A38" s="639">
        <f>A37+1</f>
        <v>25</v>
      </c>
      <c r="B38" s="581" t="s">
        <v>2479</v>
      </c>
      <c r="C38" s="582">
        <v>4379780.8155065831</v>
      </c>
      <c r="D38" s="583"/>
      <c r="E38" s="584">
        <v>0.94847962107436956</v>
      </c>
      <c r="F38" s="585"/>
      <c r="G38" s="582">
        <v>4154132.8482804773</v>
      </c>
      <c r="H38" s="586"/>
      <c r="I38" s="586">
        <v>11381.185885699939</v>
      </c>
      <c r="K38" s="579">
        <v>45.5</v>
      </c>
      <c r="L38" s="579"/>
      <c r="M38" s="579">
        <v>-37.5</v>
      </c>
      <c r="O38" s="579">
        <f>K38+M38</f>
        <v>8</v>
      </c>
      <c r="P38" s="579"/>
      <c r="Q38" s="586">
        <f>I38*O38</f>
        <v>91049.48708559951</v>
      </c>
      <c r="T38" s="587"/>
    </row>
    <row r="39" spans="1:20" ht="15.95" customHeight="1">
      <c r="A39" s="639">
        <f>A38+1</f>
        <v>26</v>
      </c>
      <c r="B39" s="581" t="s">
        <v>2480</v>
      </c>
      <c r="C39" s="599">
        <v>26652550.128343496</v>
      </c>
      <c r="D39" s="600"/>
      <c r="E39" s="584">
        <v>0.94847962107436967</v>
      </c>
      <c r="F39" s="585"/>
      <c r="G39" s="599">
        <v>25279400.646396883</v>
      </c>
      <c r="H39" s="589"/>
      <c r="I39" s="586">
        <v>69258.631907936666</v>
      </c>
      <c r="K39" s="579">
        <v>45.5</v>
      </c>
      <c r="L39" s="579"/>
      <c r="M39" s="579">
        <v>0</v>
      </c>
      <c r="O39" s="579">
        <f>K39+M39</f>
        <v>45.5</v>
      </c>
      <c r="P39" s="579"/>
      <c r="Q39" s="590">
        <f>I39*O39</f>
        <v>3151267.7518111183</v>
      </c>
      <c r="T39" s="587"/>
    </row>
    <row r="40" spans="1:20" ht="15.95" customHeight="1">
      <c r="A40" s="639">
        <f>A39+1</f>
        <v>27</v>
      </c>
      <c r="B40" s="591" t="s">
        <v>2481</v>
      </c>
      <c r="C40" s="596">
        <v>68924739.700000003</v>
      </c>
      <c r="D40" s="592"/>
      <c r="E40" s="584"/>
      <c r="F40" s="585"/>
      <c r="G40" s="596">
        <v>65373710.993305564</v>
      </c>
      <c r="H40" s="586"/>
      <c r="I40" s="586"/>
      <c r="K40" s="579"/>
      <c r="L40" s="579"/>
      <c r="O40" s="579"/>
      <c r="P40" s="579"/>
      <c r="Q40" s="586">
        <f>SUM(Q37:Q39)</f>
        <v>4030047.1408062</v>
      </c>
      <c r="T40" s="601"/>
    </row>
    <row r="41" spans="1:20" ht="15.95" customHeight="1">
      <c r="B41" s="591"/>
      <c r="C41" s="592"/>
      <c r="D41" s="592"/>
      <c r="E41" s="584"/>
      <c r="F41" s="585"/>
      <c r="G41" s="592">
        <v>-0.72400808334350586</v>
      </c>
      <c r="I41" s="594"/>
      <c r="K41" s="579"/>
      <c r="L41" s="579"/>
      <c r="O41" s="579"/>
      <c r="P41" s="579"/>
    </row>
    <row r="42" spans="1:20" ht="15.95" customHeight="1">
      <c r="A42" s="639">
        <f>A40+1</f>
        <v>28</v>
      </c>
      <c r="B42" s="574" t="s">
        <v>2482</v>
      </c>
      <c r="C42" s="597"/>
      <c r="E42" s="584"/>
      <c r="F42" s="585"/>
      <c r="I42" s="594"/>
      <c r="K42" s="579"/>
      <c r="L42" s="579"/>
      <c r="O42" s="579"/>
      <c r="P42" s="579"/>
    </row>
    <row r="43" spans="1:20" ht="15.95" customHeight="1">
      <c r="A43" s="639">
        <f>A42+1</f>
        <v>29</v>
      </c>
      <c r="B43" s="581" t="s">
        <v>2483</v>
      </c>
      <c r="C43" s="582">
        <v>33922258.061244085</v>
      </c>
      <c r="D43" s="583"/>
      <c r="E43" s="584">
        <v>0.9379067301495424</v>
      </c>
      <c r="F43" s="585"/>
      <c r="G43" s="582">
        <v>31815914.137510397</v>
      </c>
      <c r="H43" s="586"/>
      <c r="I43" s="586">
        <v>87166.888047973684</v>
      </c>
      <c r="K43" s="579">
        <v>45.5</v>
      </c>
      <c r="L43" s="579"/>
      <c r="M43" s="579">
        <v>-157.56749538820867</v>
      </c>
      <c r="O43" s="579">
        <f>K43+M43</f>
        <v>-112.06749538820867</v>
      </c>
      <c r="P43" s="579"/>
      <c r="Q43" s="586">
        <f>I43*O43</f>
        <v>-9768574.8243207913</v>
      </c>
    </row>
    <row r="44" spans="1:20" ht="15.95" customHeight="1">
      <c r="A44" s="639">
        <f>A43+1</f>
        <v>30</v>
      </c>
      <c r="B44" s="581" t="s">
        <v>2484</v>
      </c>
      <c r="C44" s="582">
        <v>10039206.720000001</v>
      </c>
      <c r="D44" s="583"/>
      <c r="E44" s="584">
        <v>0.94120216334583617</v>
      </c>
      <c r="F44" s="585"/>
      <c r="G44" s="582">
        <v>9448923.0831400566</v>
      </c>
      <c r="H44" s="586"/>
      <c r="I44" s="586">
        <v>25887.46050175358</v>
      </c>
      <c r="K44" s="579">
        <v>45.5</v>
      </c>
      <c r="L44" s="579"/>
      <c r="M44" s="579">
        <v>-35.635795614897127</v>
      </c>
      <c r="O44" s="579">
        <f>K44+M44</f>
        <v>9.8642043851028731</v>
      </c>
      <c r="P44" s="579"/>
      <c r="Q44" s="586">
        <f>I44*O44</f>
        <v>255359.20140057508</v>
      </c>
    </row>
    <row r="45" spans="1:20" ht="15.95" customHeight="1">
      <c r="A45" s="639">
        <f>A44+1</f>
        <v>31</v>
      </c>
      <c r="B45" s="581" t="s">
        <v>2485</v>
      </c>
      <c r="C45" s="599">
        <v>3390641.15</v>
      </c>
      <c r="D45" s="600"/>
      <c r="E45" s="584">
        <v>0.99868522832975826</v>
      </c>
      <c r="F45" s="585"/>
      <c r="G45" s="599">
        <v>3386183.231072024</v>
      </c>
      <c r="H45" s="589"/>
      <c r="I45" s="586">
        <v>9277.2143317041755</v>
      </c>
      <c r="K45" s="579">
        <v>45.5</v>
      </c>
      <c r="L45" s="579"/>
      <c r="M45" s="579">
        <v>152.00463677122599</v>
      </c>
      <c r="O45" s="579">
        <f>K45+M45</f>
        <v>197.50463677122599</v>
      </c>
      <c r="P45" s="579"/>
      <c r="Q45" s="590">
        <f>I45*O45</f>
        <v>1832292.8468320454</v>
      </c>
    </row>
    <row r="46" spans="1:20" ht="15.95" customHeight="1">
      <c r="A46" s="639">
        <f>A45+1</f>
        <v>32</v>
      </c>
      <c r="B46" s="591" t="s">
        <v>2486</v>
      </c>
      <c r="C46" s="582">
        <v>47352105.931244083</v>
      </c>
      <c r="D46" s="592"/>
      <c r="E46" s="584"/>
      <c r="F46" s="585"/>
      <c r="G46" s="596">
        <v>44651020.451722473</v>
      </c>
      <c r="H46" s="586"/>
      <c r="I46" s="586"/>
      <c r="K46" s="579"/>
      <c r="L46" s="579"/>
      <c r="O46" s="579"/>
      <c r="P46" s="579"/>
      <c r="Q46" s="586">
        <f>SUM(Q43:Q45)</f>
        <v>-7680922.7760881716</v>
      </c>
    </row>
    <row r="47" spans="1:20" ht="15.95" customHeight="1">
      <c r="C47" s="597"/>
      <c r="E47" s="584"/>
      <c r="F47" s="585"/>
      <c r="I47" s="594"/>
      <c r="K47" s="579"/>
      <c r="L47" s="579"/>
      <c r="O47" s="579"/>
      <c r="P47" s="579"/>
    </row>
    <row r="48" spans="1:20" ht="15.95" customHeight="1">
      <c r="A48" s="639">
        <f>A46+1</f>
        <v>33</v>
      </c>
      <c r="B48" s="574" t="s">
        <v>785</v>
      </c>
      <c r="C48" s="582">
        <v>-39899.011345943713</v>
      </c>
      <c r="E48" s="584">
        <v>0</v>
      </c>
      <c r="F48" s="585"/>
      <c r="G48" s="582">
        <v>0</v>
      </c>
      <c r="H48" s="586"/>
      <c r="I48" s="602">
        <v>0</v>
      </c>
      <c r="K48" s="579">
        <v>45.5</v>
      </c>
      <c r="L48" s="579"/>
      <c r="M48" s="579">
        <v>-45.5</v>
      </c>
      <c r="O48" s="579">
        <f>K48+M48</f>
        <v>0</v>
      </c>
      <c r="P48" s="579"/>
      <c r="Q48" s="586">
        <f>I48*O48</f>
        <v>0</v>
      </c>
    </row>
    <row r="49" spans="1:17" ht="15.95" customHeight="1">
      <c r="C49" s="597"/>
      <c r="E49" s="584"/>
      <c r="F49" s="585"/>
      <c r="I49" s="594"/>
      <c r="K49" s="579"/>
      <c r="L49" s="579"/>
      <c r="O49" s="579"/>
      <c r="P49" s="579"/>
    </row>
    <row r="50" spans="1:17" ht="15.95" customHeight="1">
      <c r="A50" s="639">
        <f>A48+1</f>
        <v>34</v>
      </c>
      <c r="B50" s="574" t="s">
        <v>2487</v>
      </c>
      <c r="C50" s="582">
        <v>-2190.5399999999941</v>
      </c>
      <c r="E50" s="584">
        <v>0</v>
      </c>
      <c r="F50" s="585"/>
      <c r="G50" s="582">
        <v>0</v>
      </c>
      <c r="H50" s="586"/>
      <c r="I50" s="602">
        <v>0</v>
      </c>
      <c r="K50" s="579">
        <v>45.5</v>
      </c>
      <c r="L50" s="579"/>
      <c r="M50" s="579">
        <v>-45.5</v>
      </c>
      <c r="O50" s="579">
        <f>K50+M50</f>
        <v>0</v>
      </c>
      <c r="P50" s="579"/>
      <c r="Q50" s="586">
        <f>I50*O50</f>
        <v>0</v>
      </c>
    </row>
    <row r="51" spans="1:17" ht="15.95" customHeight="1">
      <c r="C51" s="597"/>
      <c r="E51" s="584"/>
      <c r="F51" s="585"/>
      <c r="G51" s="586"/>
      <c r="H51" s="586"/>
      <c r="I51" s="586"/>
      <c r="K51" s="579"/>
      <c r="L51" s="579"/>
      <c r="O51" s="579"/>
      <c r="P51" s="579"/>
      <c r="Q51" s="586"/>
    </row>
    <row r="52" spans="1:17" ht="15.95" customHeight="1">
      <c r="A52" s="639">
        <f>A50+1</f>
        <v>35</v>
      </c>
      <c r="B52" s="574" t="s">
        <v>2488</v>
      </c>
      <c r="C52" s="582">
        <v>13833.71</v>
      </c>
      <c r="E52" s="584">
        <v>0.93811298816770394</v>
      </c>
      <c r="F52" s="585"/>
      <c r="G52" s="582">
        <v>12977.583025545448</v>
      </c>
      <c r="H52" s="586"/>
      <c r="I52" s="602">
        <v>35.555021987795747</v>
      </c>
      <c r="K52" s="579">
        <v>45.5</v>
      </c>
      <c r="L52" s="579"/>
      <c r="M52" s="579">
        <v>-45.5</v>
      </c>
      <c r="O52" s="579">
        <f>K52+M52</f>
        <v>0</v>
      </c>
      <c r="P52" s="579"/>
      <c r="Q52" s="586">
        <f>I52*O52</f>
        <v>0</v>
      </c>
    </row>
    <row r="53" spans="1:17" ht="15.95" customHeight="1">
      <c r="C53" s="597"/>
      <c r="E53" s="584"/>
      <c r="F53" s="585"/>
      <c r="G53" s="586"/>
      <c r="H53" s="586"/>
      <c r="I53" s="586"/>
      <c r="K53" s="579"/>
      <c r="L53" s="579"/>
      <c r="O53" s="579"/>
      <c r="P53" s="579"/>
      <c r="Q53" s="586"/>
    </row>
    <row r="54" spans="1:17" ht="15.95" customHeight="1">
      <c r="A54" s="639">
        <f>A52+1</f>
        <v>36</v>
      </c>
      <c r="B54" s="574" t="s">
        <v>2489</v>
      </c>
      <c r="C54" s="582">
        <v>362248.99999999994</v>
      </c>
      <c r="E54" s="584">
        <v>0</v>
      </c>
      <c r="F54" s="585"/>
      <c r="G54" s="582">
        <v>0</v>
      </c>
      <c r="H54" s="586"/>
      <c r="I54" s="602">
        <v>0</v>
      </c>
      <c r="K54" s="579">
        <v>45.5</v>
      </c>
      <c r="L54" s="579"/>
      <c r="M54" s="579">
        <v>-45.5</v>
      </c>
      <c r="O54" s="579">
        <f>K54+M54</f>
        <v>0</v>
      </c>
      <c r="P54" s="579"/>
      <c r="Q54" s="586">
        <f>I54*O54</f>
        <v>0</v>
      </c>
    </row>
    <row r="55" spans="1:17" ht="15.95" customHeight="1">
      <c r="C55" s="597"/>
      <c r="E55" s="584"/>
      <c r="F55" s="585"/>
      <c r="G55" s="586"/>
      <c r="H55" s="586"/>
      <c r="I55" s="586"/>
      <c r="K55" s="579"/>
      <c r="L55" s="579"/>
      <c r="O55" s="579"/>
      <c r="P55" s="579"/>
      <c r="Q55" s="586"/>
    </row>
    <row r="56" spans="1:17" ht="15.95" customHeight="1">
      <c r="A56" s="639">
        <f>A54+1</f>
        <v>37</v>
      </c>
      <c r="B56" s="574" t="s">
        <v>2490</v>
      </c>
      <c r="C56" s="582">
        <v>552516.76613099989</v>
      </c>
      <c r="E56" s="584">
        <v>0</v>
      </c>
      <c r="F56" s="585"/>
      <c r="G56" s="582">
        <v>0</v>
      </c>
      <c r="H56" s="586"/>
      <c r="I56" s="602">
        <v>0</v>
      </c>
      <c r="K56" s="579">
        <v>0</v>
      </c>
      <c r="L56" s="579"/>
      <c r="M56" s="579">
        <v>0</v>
      </c>
      <c r="O56" s="579">
        <f>K56+M56</f>
        <v>0</v>
      </c>
      <c r="P56" s="579"/>
      <c r="Q56" s="586">
        <f>I56*O56</f>
        <v>0</v>
      </c>
    </row>
    <row r="57" spans="1:17" ht="15.95" customHeight="1">
      <c r="C57" s="597"/>
      <c r="E57" s="584"/>
      <c r="F57" s="585"/>
      <c r="G57" s="586"/>
      <c r="H57" s="586"/>
      <c r="I57" s="586"/>
      <c r="K57" s="579"/>
      <c r="L57" s="579"/>
      <c r="O57" s="579"/>
      <c r="P57" s="579"/>
      <c r="Q57" s="586"/>
    </row>
    <row r="58" spans="1:17" ht="15.95" customHeight="1">
      <c r="A58" s="639">
        <f>A56+1</f>
        <v>38</v>
      </c>
      <c r="B58" s="574" t="s">
        <v>2491</v>
      </c>
      <c r="C58" s="582">
        <v>-2182256.2939655758</v>
      </c>
      <c r="E58" s="584">
        <v>0</v>
      </c>
      <c r="F58" s="585"/>
      <c r="G58" s="582">
        <v>0</v>
      </c>
      <c r="H58" s="586"/>
      <c r="I58" s="602">
        <v>0</v>
      </c>
      <c r="K58" s="579">
        <v>45.5</v>
      </c>
      <c r="L58" s="579"/>
      <c r="M58" s="579">
        <v>-45.5</v>
      </c>
      <c r="O58" s="579">
        <f>K58+M58</f>
        <v>0</v>
      </c>
      <c r="P58" s="579"/>
      <c r="Q58" s="586">
        <f>I58*O58</f>
        <v>0</v>
      </c>
    </row>
    <row r="59" spans="1:17" ht="15.95" customHeight="1">
      <c r="C59" s="597"/>
      <c r="E59" s="584"/>
      <c r="F59" s="585"/>
      <c r="G59" s="586"/>
      <c r="H59" s="586"/>
      <c r="I59" s="586"/>
      <c r="K59" s="579"/>
      <c r="L59" s="579"/>
      <c r="O59" s="579"/>
      <c r="P59" s="579"/>
      <c r="Q59" s="586"/>
    </row>
    <row r="60" spans="1:17" ht="15.95" customHeight="1">
      <c r="A60" s="639">
        <f>A58+1</f>
        <v>39</v>
      </c>
      <c r="B60" s="574" t="s">
        <v>2492</v>
      </c>
      <c r="C60" s="582">
        <v>-202106.20655036991</v>
      </c>
      <c r="E60" s="584">
        <v>0</v>
      </c>
      <c r="F60" s="585"/>
      <c r="G60" s="582">
        <v>0</v>
      </c>
      <c r="H60" s="586"/>
      <c r="I60" s="602">
        <v>0</v>
      </c>
      <c r="K60" s="579">
        <v>45.5</v>
      </c>
      <c r="L60" s="579"/>
      <c r="M60" s="579">
        <v>-45.5</v>
      </c>
      <c r="O60" s="579">
        <f>K60+M60</f>
        <v>0</v>
      </c>
      <c r="P60" s="579"/>
      <c r="Q60" s="586">
        <f>I60*O60</f>
        <v>0</v>
      </c>
    </row>
    <row r="61" spans="1:17" ht="15.95" customHeight="1">
      <c r="C61" s="597"/>
      <c r="E61" s="584"/>
      <c r="F61" s="585"/>
      <c r="G61" s="586"/>
      <c r="H61" s="586"/>
      <c r="I61" s="586"/>
      <c r="K61" s="579"/>
      <c r="L61" s="579"/>
      <c r="O61" s="579"/>
      <c r="P61" s="579"/>
      <c r="Q61" s="586"/>
    </row>
    <row r="62" spans="1:17" ht="15.95" customHeight="1">
      <c r="A62" s="639">
        <f>A60+1</f>
        <v>40</v>
      </c>
      <c r="B62" s="574" t="s">
        <v>2493</v>
      </c>
      <c r="C62" s="582">
        <v>111848302.24521494</v>
      </c>
      <c r="E62" s="584">
        <v>0.93708826324620531</v>
      </c>
      <c r="F62" s="585"/>
      <c r="G62" s="582">
        <v>104811731.29800512</v>
      </c>
      <c r="H62" s="586"/>
      <c r="I62" s="586">
        <v>287155.42821371264</v>
      </c>
      <c r="K62" s="579">
        <v>45.5</v>
      </c>
      <c r="L62" s="579"/>
      <c r="M62" s="579">
        <v>-88.649999999999991</v>
      </c>
      <c r="O62" s="579">
        <f>K62+M62</f>
        <v>-43.149999999999991</v>
      </c>
      <c r="P62" s="579"/>
      <c r="Q62" s="586">
        <f>I62*O62</f>
        <v>-12390756.727421697</v>
      </c>
    </row>
    <row r="63" spans="1:17" ht="15.95" customHeight="1">
      <c r="C63" s="597"/>
      <c r="E63" s="584"/>
      <c r="F63" s="585"/>
      <c r="G63" s="586"/>
      <c r="H63" s="586"/>
      <c r="I63" s="586"/>
      <c r="K63" s="579"/>
      <c r="L63" s="579"/>
      <c r="O63" s="579"/>
      <c r="P63" s="579"/>
      <c r="Q63" s="586"/>
    </row>
    <row r="64" spans="1:17" ht="15.95" customHeight="1">
      <c r="A64" s="639">
        <f>A62+1</f>
        <v>41</v>
      </c>
      <c r="B64" s="574" t="s">
        <v>2494</v>
      </c>
      <c r="C64" s="599">
        <v>273166821.54568851</v>
      </c>
      <c r="D64" s="588"/>
      <c r="E64" s="584"/>
      <c r="F64" s="585"/>
      <c r="G64" s="599">
        <v>258022644.45224428</v>
      </c>
      <c r="H64" s="589"/>
      <c r="I64" s="586">
        <v>706911.35466368299</v>
      </c>
      <c r="J64" s="588"/>
      <c r="K64" s="579">
        <v>45.5</v>
      </c>
      <c r="L64" s="579"/>
      <c r="M64" s="579">
        <v>-45.5</v>
      </c>
      <c r="O64" s="579">
        <f>K64+M64</f>
        <v>0</v>
      </c>
      <c r="P64" s="579"/>
      <c r="Q64" s="590">
        <f>I64*O64</f>
        <v>0</v>
      </c>
    </row>
    <row r="65" spans="1:17" ht="15.95" customHeight="1">
      <c r="C65" s="597"/>
      <c r="E65" s="584"/>
      <c r="F65" s="585"/>
      <c r="G65" s="586"/>
      <c r="H65" s="586"/>
      <c r="I65" s="586"/>
      <c r="K65" s="579"/>
      <c r="L65" s="579"/>
      <c r="O65" s="579"/>
      <c r="P65" s="579"/>
      <c r="Q65" s="586"/>
    </row>
    <row r="66" spans="1:17" ht="15.95" customHeight="1">
      <c r="A66" s="639">
        <f>A64+1</f>
        <v>42</v>
      </c>
      <c r="B66" s="574" t="s">
        <v>2013</v>
      </c>
      <c r="C66" s="586">
        <v>1708638267.8925943</v>
      </c>
      <c r="E66" s="584"/>
      <c r="F66" s="585"/>
      <c r="G66" s="586">
        <v>1606633915.9205878</v>
      </c>
      <c r="I66" s="586">
        <v>994102.33789938339</v>
      </c>
      <c r="O66" s="579"/>
      <c r="P66" s="579"/>
      <c r="Q66" s="586">
        <f>Q27+Q34+Q40+Q46+Q48+Q50+Q52+Q54+Q56+Q58+Q60+Q62+Q64</f>
        <v>55392616.976316333</v>
      </c>
    </row>
    <row r="67" spans="1:17" ht="15.95" customHeight="1">
      <c r="C67" s="597"/>
      <c r="E67" s="584"/>
      <c r="F67" s="585"/>
      <c r="O67" s="579"/>
      <c r="P67" s="579"/>
      <c r="Q67" s="586"/>
    </row>
    <row r="68" spans="1:17" ht="15.95" customHeight="1">
      <c r="A68" s="639">
        <f>A66+1</f>
        <v>43</v>
      </c>
      <c r="B68" s="574" t="s">
        <v>2495</v>
      </c>
      <c r="C68" s="582">
        <v>35721289.339999996</v>
      </c>
      <c r="E68" s="584">
        <v>1</v>
      </c>
      <c r="F68" s="585"/>
      <c r="G68" s="582">
        <v>35721289.339999996</v>
      </c>
      <c r="I68" s="586">
        <v>97866.54613698629</v>
      </c>
      <c r="K68" s="579">
        <v>45.5</v>
      </c>
      <c r="L68" s="579"/>
      <c r="M68" s="579">
        <v>-39.803821524307487</v>
      </c>
      <c r="O68" s="579">
        <f>K68+M68</f>
        <v>5.6961784756925127</v>
      </c>
      <c r="P68" s="579"/>
      <c r="Q68" s="586">
        <f>I68*O68</f>
        <v>557465.31359586958</v>
      </c>
    </row>
    <row r="69" spans="1:17" ht="15.95" customHeight="1">
      <c r="C69" s="597"/>
      <c r="E69" s="584"/>
      <c r="F69" s="585"/>
      <c r="O69" s="579"/>
      <c r="P69" s="579"/>
      <c r="Q69" s="586"/>
    </row>
    <row r="70" spans="1:17" ht="15.95" customHeight="1">
      <c r="A70" s="639">
        <f>A68+1</f>
        <v>44</v>
      </c>
      <c r="B70" s="574" t="s">
        <v>2496</v>
      </c>
      <c r="C70" s="582">
        <v>40622083.970000006</v>
      </c>
      <c r="E70" s="584">
        <v>1</v>
      </c>
      <c r="F70" s="585"/>
      <c r="G70" s="582">
        <v>40622083.970000006</v>
      </c>
      <c r="I70" s="586">
        <v>111293.38073972604</v>
      </c>
      <c r="K70" s="579">
        <v>45.5</v>
      </c>
      <c r="L70" s="579"/>
      <c r="M70" s="579">
        <v>-34.949170045269938</v>
      </c>
      <c r="O70" s="579">
        <f>K70+M70</f>
        <v>10.550829954730062</v>
      </c>
      <c r="P70" s="579"/>
      <c r="Q70" s="586">
        <f>I70*O70</f>
        <v>1174237.5352718793</v>
      </c>
    </row>
    <row r="71" spans="1:17" ht="15.95" customHeight="1">
      <c r="C71" s="597"/>
      <c r="E71" s="584"/>
      <c r="F71" s="585"/>
      <c r="K71" s="579"/>
      <c r="L71" s="579"/>
      <c r="O71" s="579"/>
      <c r="P71" s="579"/>
      <c r="Q71" s="586"/>
    </row>
    <row r="72" spans="1:17" ht="15.95" customHeight="1">
      <c r="A72" s="639">
        <f>A70+1</f>
        <v>45</v>
      </c>
      <c r="B72" s="574" t="s">
        <v>2497</v>
      </c>
      <c r="C72" s="582">
        <v>30285530.350000001</v>
      </c>
      <c r="E72" s="584">
        <v>1</v>
      </c>
      <c r="F72" s="585"/>
      <c r="G72" s="582">
        <v>30285530.350000001</v>
      </c>
      <c r="I72" s="586">
        <v>82974.055753424662</v>
      </c>
      <c r="K72" s="579">
        <v>45.5</v>
      </c>
      <c r="L72" s="579"/>
      <c r="M72" s="579">
        <v>-67.158413809956485</v>
      </c>
      <c r="O72" s="579">
        <f>K72+M72</f>
        <v>-21.658413809956485</v>
      </c>
      <c r="P72" s="579"/>
      <c r="Q72" s="590">
        <f>I72*O72</f>
        <v>-1797086.434998072</v>
      </c>
    </row>
    <row r="73" spans="1:17" ht="15.95" customHeight="1">
      <c r="E73" s="585"/>
      <c r="F73" s="585"/>
      <c r="Q73" s="586"/>
    </row>
    <row r="74" spans="1:17" ht="15.95" customHeight="1">
      <c r="A74" s="639">
        <f>A72+1</f>
        <v>46</v>
      </c>
      <c r="B74" s="574" t="s">
        <v>2498</v>
      </c>
      <c r="E74" s="585"/>
      <c r="F74" s="585"/>
      <c r="Q74" s="589">
        <f>SUM(Q66:Q72)</f>
        <v>55327233.390186004</v>
      </c>
    </row>
    <row r="75" spans="1:17" ht="15.95" customHeight="1">
      <c r="E75" s="585"/>
      <c r="F75" s="585"/>
      <c r="Q75" s="586"/>
    </row>
    <row r="76" spans="1:17" ht="15.95" customHeight="1">
      <c r="A76" s="639">
        <f>A74+1</f>
        <v>47</v>
      </c>
      <c r="B76" s="574" t="s">
        <v>2499</v>
      </c>
      <c r="E76" s="585"/>
      <c r="F76" s="585"/>
      <c r="Q76" s="590">
        <f>'SCH B-5.2 B (2)'!W38</f>
        <v>60551810.079999983</v>
      </c>
    </row>
    <row r="77" spans="1:17" ht="15.95" customHeight="1">
      <c r="E77" s="585"/>
      <c r="F77" s="585"/>
      <c r="Q77" s="586"/>
    </row>
    <row r="78" spans="1:17" ht="15.95" customHeight="1" thickBot="1">
      <c r="A78" s="639">
        <f>A76+1</f>
        <v>48</v>
      </c>
      <c r="B78" s="574" t="s">
        <v>2500</v>
      </c>
      <c r="E78" s="585"/>
      <c r="F78" s="585"/>
      <c r="Q78" s="603">
        <f>SUM(Q74:Q76)</f>
        <v>115879043.470186</v>
      </c>
    </row>
    <row r="79" spans="1:17" ht="15.95" customHeight="1" thickTop="1">
      <c r="E79" s="585"/>
      <c r="F79" s="585"/>
      <c r="Q79" s="586"/>
    </row>
    <row r="80" spans="1:17" ht="15.95" customHeight="1" thickBot="1">
      <c r="A80" s="639">
        <f>A78+1</f>
        <v>49</v>
      </c>
      <c r="B80" s="574" t="s">
        <v>2501</v>
      </c>
      <c r="E80" s="585"/>
      <c r="F80" s="585"/>
      <c r="Q80" s="603">
        <f ca="1">'SCH B-5.2 B (2)'!W66</f>
        <v>2268874.1713541653</v>
      </c>
    </row>
    <row r="81" spans="1:18" ht="15.95" customHeight="1" thickTop="1">
      <c r="E81" s="585"/>
      <c r="F81" s="585"/>
      <c r="Q81" s="586"/>
    </row>
    <row r="82" spans="1:18" ht="15.95" customHeight="1" thickBot="1">
      <c r="A82" s="639">
        <f>A80+1</f>
        <v>50</v>
      </c>
      <c r="B82" s="574" t="s">
        <v>2502</v>
      </c>
      <c r="E82" s="585"/>
      <c r="F82" s="585"/>
      <c r="Q82" s="603">
        <f ca="1">Q78-Q80</f>
        <v>113610169.29883184</v>
      </c>
      <c r="R82" s="586"/>
    </row>
    <row r="83" spans="1:18" ht="15.95" customHeight="1" thickTop="1">
      <c r="E83" s="585"/>
      <c r="F83" s="585"/>
      <c r="Q83" s="589"/>
    </row>
    <row r="84" spans="1:18" ht="15.95" customHeight="1">
      <c r="Q84" s="574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F9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575" customWidth="1"/>
    <col min="2" max="2" width="9.875" style="574" customWidth="1"/>
    <col min="3" max="3" width="58.875" style="609" customWidth="1"/>
    <col min="4" max="4" width="12.75" style="574" hidden="1" customWidth="1" outlineLevel="1"/>
    <col min="5" max="16" width="12.75" style="574" hidden="1" customWidth="1" outlineLevel="2"/>
    <col min="17" max="17" width="15.75" style="574" customWidth="1" collapsed="1"/>
    <col min="18" max="18" width="2.875" style="574" customWidth="1"/>
    <col min="19" max="19" width="11" style="578" customWidth="1"/>
    <col min="20" max="20" width="2.875" style="610" hidden="1" customWidth="1"/>
    <col min="21" max="21" width="13.75" style="611" hidden="1" customWidth="1"/>
    <col min="22" max="22" width="2.875" style="578" customWidth="1"/>
    <col min="23" max="23" width="15.75" style="574" customWidth="1"/>
    <col min="24" max="24" width="16.625" style="574" customWidth="1"/>
    <col min="25" max="26" width="8.875" style="574"/>
    <col min="27" max="27" width="14" style="574" customWidth="1"/>
    <col min="28" max="28" width="12.5" style="574" customWidth="1"/>
    <col min="29" max="29" width="8.875" style="574"/>
    <col min="30" max="30" width="13" style="574" customWidth="1"/>
    <col min="31" max="31" width="12.625" style="574" customWidth="1"/>
    <col min="32" max="16384" width="8.875" style="574"/>
  </cols>
  <sheetData>
    <row r="1" spans="1:25" ht="18.95" customHeight="1">
      <c r="A1" s="816" t="str">
        <f>'Rate Case Constants'!C9</f>
        <v>KENTUCKY UTILITIES COMPANY</v>
      </c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20"/>
      <c r="U1" s="820"/>
      <c r="V1" s="819"/>
      <c r="W1" s="819"/>
      <c r="X1" s="604"/>
    </row>
    <row r="2" spans="1:25" ht="18.95" customHeight="1">
      <c r="A2" s="816" t="str">
        <f>'Rate Case Constants'!C10</f>
        <v>CASE NO. 2020-00349</v>
      </c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20"/>
      <c r="U2" s="820"/>
      <c r="V2" s="819"/>
      <c r="W2" s="819"/>
      <c r="X2" s="604"/>
    </row>
    <row r="3" spans="1:25" ht="18.95" customHeight="1">
      <c r="A3" s="819" t="s">
        <v>1432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20"/>
      <c r="U3" s="820"/>
      <c r="V3" s="819"/>
      <c r="W3" s="819"/>
      <c r="X3" s="605"/>
    </row>
    <row r="4" spans="1:25" ht="18.95" customHeight="1">
      <c r="A4" s="816" t="str">
        <f>'Rate Case Constants'!C15</f>
        <v>BASE YEAR FOR THE 12 MONTHS ENDED FEBRUARY 28, 2021</v>
      </c>
      <c r="B4" s="819"/>
      <c r="C4" s="819"/>
      <c r="D4" s="819"/>
      <c r="E4" s="819"/>
      <c r="F4" s="819"/>
      <c r="G4" s="819"/>
      <c r="H4" s="819"/>
      <c r="I4" s="819"/>
      <c r="J4" s="819"/>
      <c r="K4" s="819"/>
      <c r="L4" s="819"/>
      <c r="M4" s="819"/>
      <c r="N4" s="819"/>
      <c r="O4" s="819"/>
      <c r="P4" s="819"/>
      <c r="Q4" s="819"/>
      <c r="R4" s="819"/>
      <c r="S4" s="819"/>
      <c r="T4" s="820"/>
      <c r="U4" s="820"/>
      <c r="V4" s="819"/>
      <c r="W4" s="819"/>
      <c r="X4" s="605"/>
    </row>
    <row r="5" spans="1:25" ht="18.95" customHeight="1">
      <c r="A5" s="606"/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8"/>
      <c r="U5" s="608"/>
      <c r="V5" s="607"/>
      <c r="W5" s="607"/>
      <c r="X5" s="605"/>
    </row>
    <row r="6" spans="1:25" ht="18.95" customHeight="1">
      <c r="A6" s="67" t="s">
        <v>133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8"/>
      <c r="U6" s="608"/>
      <c r="V6" s="607"/>
      <c r="W6" s="74" t="s">
        <v>1433</v>
      </c>
      <c r="X6" s="605"/>
    </row>
    <row r="7" spans="1:25" ht="18.95" customHeight="1">
      <c r="A7" s="68" t="str">
        <f>'Rate Case Constants'!C29</f>
        <v>TYPE OF FILING: __X__ ORIGINAL  _____ UPDATED  _____ REVISED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8"/>
      <c r="U7" s="608"/>
      <c r="V7" s="607"/>
      <c r="W7" s="74" t="s">
        <v>171</v>
      </c>
      <c r="X7" s="605"/>
    </row>
    <row r="8" spans="1:25" ht="18.95" customHeight="1">
      <c r="A8" s="67" t="s">
        <v>1195</v>
      </c>
      <c r="W8" s="75" t="str">
        <f>'Rate Case Constants'!C36</f>
        <v>WITNESS:   C. M. GARRETT</v>
      </c>
    </row>
    <row r="9" spans="1:25" ht="18.95" customHeight="1">
      <c r="A9" s="612"/>
    </row>
    <row r="10" spans="1:25" ht="38.25">
      <c r="A10" s="159" t="s">
        <v>131</v>
      </c>
      <c r="B10" s="159" t="s">
        <v>134</v>
      </c>
      <c r="C10" s="159" t="s">
        <v>204</v>
      </c>
      <c r="D10" s="613" t="s">
        <v>2697</v>
      </c>
      <c r="E10" s="613" t="s">
        <v>2698</v>
      </c>
      <c r="F10" s="613" t="s">
        <v>2699</v>
      </c>
      <c r="G10" s="613" t="s">
        <v>2700</v>
      </c>
      <c r="H10" s="613" t="s">
        <v>2701</v>
      </c>
      <c r="I10" s="613" t="s">
        <v>2702</v>
      </c>
      <c r="J10" s="613" t="s">
        <v>2703</v>
      </c>
      <c r="K10" s="613" t="s">
        <v>2704</v>
      </c>
      <c r="L10" s="613" t="s">
        <v>2705</v>
      </c>
      <c r="M10" s="613" t="s">
        <v>2706</v>
      </c>
      <c r="N10" s="613" t="s">
        <v>2707</v>
      </c>
      <c r="O10" s="613" t="s">
        <v>2708</v>
      </c>
      <c r="P10" s="613" t="s">
        <v>2709</v>
      </c>
      <c r="Q10" s="159" t="s">
        <v>2503</v>
      </c>
      <c r="R10" s="159"/>
      <c r="S10" s="159" t="s">
        <v>223</v>
      </c>
      <c r="T10" s="614"/>
      <c r="U10" s="615" t="s">
        <v>2504</v>
      </c>
      <c r="V10" s="159"/>
      <c r="W10" s="159" t="s">
        <v>1418</v>
      </c>
      <c r="X10" s="616"/>
    </row>
    <row r="11" spans="1:25" ht="18.95" customHeight="1"/>
    <row r="12" spans="1:25" ht="18.95" customHeight="1">
      <c r="C12" s="609" t="s">
        <v>2505</v>
      </c>
    </row>
    <row r="13" spans="1:25" ht="18.95" customHeight="1"/>
    <row r="14" spans="1:25" ht="18.95" customHeight="1">
      <c r="A14" s="575">
        <v>1</v>
      </c>
      <c r="B14" s="575">
        <v>128</v>
      </c>
      <c r="C14" s="609" t="s">
        <v>2506</v>
      </c>
      <c r="D14" s="86">
        <v>30690207.859999999</v>
      </c>
      <c r="E14" s="86">
        <v>31690207.859999999</v>
      </c>
      <c r="F14" s="86">
        <v>30690207.859999999</v>
      </c>
      <c r="G14" s="86">
        <v>30690207.859999999</v>
      </c>
      <c r="H14" s="86">
        <v>28539927.859999999</v>
      </c>
      <c r="I14" s="86">
        <v>27539927.859999999</v>
      </c>
      <c r="J14" s="86">
        <v>28539927.859999999</v>
      </c>
      <c r="K14" s="86">
        <v>29273061.5266666</v>
      </c>
      <c r="L14" s="86">
        <v>30006195.193333302</v>
      </c>
      <c r="M14" s="86">
        <v>30739328.860000003</v>
      </c>
      <c r="N14" s="86">
        <v>31472462.5266666</v>
      </c>
      <c r="O14" s="86">
        <v>34198239.693333298</v>
      </c>
      <c r="P14" s="86">
        <v>34924016.860000007</v>
      </c>
      <c r="Q14" s="86">
        <f t="shared" ref="Q14:Q19" si="0">AVERAGE(D14:P14)</f>
        <v>30691839.9753846</v>
      </c>
      <c r="R14" s="577"/>
      <c r="S14" s="617">
        <f>'JURISSEP B'!G1255</f>
        <v>0.94120216334583617</v>
      </c>
      <c r="T14" s="618"/>
      <c r="U14" s="619">
        <v>1</v>
      </c>
      <c r="W14" s="86">
        <f t="shared" ref="W14:W19" si="1">ROUND($Q14*$S14*$U14,2)</f>
        <v>28887226.18</v>
      </c>
      <c r="X14" s="586"/>
      <c r="Y14" s="198"/>
    </row>
    <row r="15" spans="1:25" ht="18.95" customHeight="1">
      <c r="A15" s="575">
        <f>A14+1</f>
        <v>2</v>
      </c>
      <c r="B15" s="575">
        <v>182</v>
      </c>
      <c r="C15" s="609" t="s">
        <v>2507</v>
      </c>
      <c r="D15" s="86">
        <v>127086016.75</v>
      </c>
      <c r="E15" s="86">
        <v>125795198.75</v>
      </c>
      <c r="F15" s="86">
        <v>125795198.75</v>
      </c>
      <c r="G15" s="86">
        <v>125795198.75</v>
      </c>
      <c r="H15" s="86">
        <v>127805188.75</v>
      </c>
      <c r="I15" s="86">
        <v>127805188.75</v>
      </c>
      <c r="J15" s="86">
        <v>126814942.75</v>
      </c>
      <c r="K15" s="86">
        <v>126600818.01945801</v>
      </c>
      <c r="L15" s="86">
        <v>125875558.175201</v>
      </c>
      <c r="M15" s="86">
        <v>125150298.330945</v>
      </c>
      <c r="N15" s="86">
        <v>130419142.60793699</v>
      </c>
      <c r="O15" s="86">
        <v>129564111.73488</v>
      </c>
      <c r="P15" s="86">
        <v>128709080.86182399</v>
      </c>
      <c r="Q15" s="86">
        <f t="shared" si="0"/>
        <v>127170457.15232655</v>
      </c>
      <c r="R15" s="577"/>
      <c r="S15" s="617">
        <f>'JURISSEP B'!G1255</f>
        <v>0.94120216334583617</v>
      </c>
      <c r="T15" s="618"/>
      <c r="U15" s="619">
        <v>1</v>
      </c>
      <c r="W15" s="86">
        <f t="shared" si="1"/>
        <v>119693109.39</v>
      </c>
      <c r="X15" s="586"/>
      <c r="Y15" s="198"/>
    </row>
    <row r="16" spans="1:25" ht="18.95" customHeight="1">
      <c r="A16" s="629">
        <f t="shared" ref="A16:A19" si="2">A15+1</f>
        <v>3</v>
      </c>
      <c r="B16" s="575">
        <v>183</v>
      </c>
      <c r="C16" s="609" t="s">
        <v>2508</v>
      </c>
      <c r="D16" s="86">
        <v>2580187.2499999898</v>
      </c>
      <c r="E16" s="86">
        <v>2466403.1099999901</v>
      </c>
      <c r="F16" s="86">
        <v>2581190.96</v>
      </c>
      <c r="G16" s="86">
        <v>2647430.9499999997</v>
      </c>
      <c r="H16" s="86">
        <v>2573933.6800000002</v>
      </c>
      <c r="I16" s="86">
        <v>2529833.16</v>
      </c>
      <c r="J16" s="86">
        <v>2091581.6300000001</v>
      </c>
      <c r="K16" s="86">
        <v>2091581.6300000001</v>
      </c>
      <c r="L16" s="86">
        <v>2091581.6300000001</v>
      </c>
      <c r="M16" s="86">
        <v>2091581.6300000001</v>
      </c>
      <c r="N16" s="86">
        <v>2091581.6300000001</v>
      </c>
      <c r="O16" s="86">
        <v>2091581.6300000001</v>
      </c>
      <c r="P16" s="86">
        <v>2091581.6300000001</v>
      </c>
      <c r="Q16" s="86">
        <f>AVERAGE(D16:P16)</f>
        <v>2309234.6553846132</v>
      </c>
      <c r="R16" s="588"/>
      <c r="S16" s="617">
        <f>'JURISSEP B'!G1310</f>
        <v>0.93708826324620531</v>
      </c>
      <c r="T16" s="620"/>
      <c r="U16" s="619">
        <v>1</v>
      </c>
      <c r="W16" s="86">
        <f t="shared" si="1"/>
        <v>2163956.69</v>
      </c>
      <c r="X16" s="586"/>
      <c r="Y16" s="198"/>
    </row>
    <row r="17" spans="1:25" ht="18.95" customHeight="1">
      <c r="A17" s="629">
        <f t="shared" si="2"/>
        <v>4</v>
      </c>
      <c r="B17" s="629">
        <v>184</v>
      </c>
      <c r="C17" s="609" t="s">
        <v>2528</v>
      </c>
      <c r="D17" s="86">
        <v>-138917.92000000001</v>
      </c>
      <c r="E17" s="86">
        <v>1612181.1400000001</v>
      </c>
      <c r="F17" s="86">
        <v>-200560.66999999998</v>
      </c>
      <c r="G17" s="86">
        <v>-264454.43</v>
      </c>
      <c r="H17" s="86">
        <v>4401825.9099999992</v>
      </c>
      <c r="I17" s="86">
        <v>-242040.06</v>
      </c>
      <c r="J17" s="86">
        <v>5869764.73999999</v>
      </c>
      <c r="K17" s="86">
        <v>5869764.73999999</v>
      </c>
      <c r="L17" s="86">
        <v>5869764.73999999</v>
      </c>
      <c r="M17" s="86">
        <v>5869764.73999999</v>
      </c>
      <c r="N17" s="86">
        <v>5869764.73999999</v>
      </c>
      <c r="O17" s="86">
        <v>5869764.73999999</v>
      </c>
      <c r="P17" s="86">
        <v>5869764.73999999</v>
      </c>
      <c r="Q17" s="86">
        <f t="shared" ref="Q17" si="3">AVERAGE(D17:P17)</f>
        <v>3558183.6269230712</v>
      </c>
      <c r="R17" s="588"/>
      <c r="S17" s="617">
        <f>S14</f>
        <v>0.94120216334583617</v>
      </c>
      <c r="T17" s="618"/>
      <c r="U17" s="619">
        <v>1</v>
      </c>
      <c r="W17" s="86">
        <f t="shared" si="1"/>
        <v>3348970.13</v>
      </c>
      <c r="X17" s="586"/>
      <c r="Y17" s="198"/>
    </row>
    <row r="18" spans="1:25" ht="18.95" customHeight="1">
      <c r="A18" s="629">
        <f t="shared" si="2"/>
        <v>5</v>
      </c>
      <c r="B18" s="575">
        <v>186</v>
      </c>
      <c r="C18" s="609" t="s">
        <v>2509</v>
      </c>
      <c r="D18" s="86">
        <v>25086315.530000001</v>
      </c>
      <c r="E18" s="86">
        <v>6729526.79</v>
      </c>
      <c r="F18" s="86">
        <v>7108741.1100000003</v>
      </c>
      <c r="G18" s="86">
        <v>7609055.8499999996</v>
      </c>
      <c r="H18" s="86">
        <v>8159572.0700000003</v>
      </c>
      <c r="I18" s="86">
        <v>8846741.2000000011</v>
      </c>
      <c r="J18" s="86">
        <v>9423653.1600000001</v>
      </c>
      <c r="K18" s="86">
        <v>9919516.7492420487</v>
      </c>
      <c r="L18" s="86">
        <v>10435562.1107614</v>
      </c>
      <c r="M18" s="86">
        <v>10925472.3360034</v>
      </c>
      <c r="N18" s="86">
        <v>17005449.5791228</v>
      </c>
      <c r="O18" s="86">
        <v>17503275.554872502</v>
      </c>
      <c r="P18" s="86">
        <v>17983112.983545002</v>
      </c>
      <c r="Q18" s="86">
        <f t="shared" si="0"/>
        <v>12056615.001811322</v>
      </c>
      <c r="R18" s="588"/>
      <c r="S18" s="617">
        <f>S14</f>
        <v>0.94120216334583617</v>
      </c>
      <c r="T18" s="618"/>
      <c r="U18" s="619">
        <v>1</v>
      </c>
      <c r="W18" s="86">
        <f t="shared" si="1"/>
        <v>11347712.119999999</v>
      </c>
      <c r="X18" s="586"/>
      <c r="Y18" s="198"/>
    </row>
    <row r="19" spans="1:25" ht="18.95" customHeight="1">
      <c r="A19" s="629">
        <f t="shared" si="2"/>
        <v>6</v>
      </c>
      <c r="B19" s="575">
        <v>188</v>
      </c>
      <c r="C19" s="609" t="s">
        <v>2510</v>
      </c>
      <c r="D19" s="86">
        <v>606441.01999999897</v>
      </c>
      <c r="E19" s="86">
        <v>580183.68999999901</v>
      </c>
      <c r="F19" s="86">
        <v>553926.35999999905</v>
      </c>
      <c r="G19" s="86">
        <v>527669.02999999898</v>
      </c>
      <c r="H19" s="86">
        <v>501411.69999999896</v>
      </c>
      <c r="I19" s="86">
        <v>475154.36999999901</v>
      </c>
      <c r="J19" s="86">
        <v>448897.03999999899</v>
      </c>
      <c r="K19" s="86">
        <v>422639.70999999903</v>
      </c>
      <c r="L19" s="86">
        <v>396382.37999999902</v>
      </c>
      <c r="M19" s="86">
        <v>370125.049999999</v>
      </c>
      <c r="N19" s="86">
        <v>343867.71999999898</v>
      </c>
      <c r="O19" s="86">
        <v>317610.38999999897</v>
      </c>
      <c r="P19" s="86">
        <v>291353.05999999901</v>
      </c>
      <c r="Q19" s="131">
        <f t="shared" si="0"/>
        <v>448897.03999999899</v>
      </c>
      <c r="R19" s="588"/>
      <c r="S19" s="617">
        <f>S14</f>
        <v>0.94120216334583617</v>
      </c>
      <c r="T19" s="618"/>
      <c r="U19" s="619">
        <v>1</v>
      </c>
      <c r="W19" s="131">
        <f t="shared" si="1"/>
        <v>422502.87</v>
      </c>
      <c r="X19" s="586"/>
      <c r="Y19" s="198"/>
    </row>
    <row r="20" spans="1:25" ht="18.95" customHeight="1">
      <c r="Y20" s="198"/>
    </row>
    <row r="21" spans="1:25" ht="18.95" customHeight="1" thickBot="1">
      <c r="A21" s="575">
        <f>A19+1</f>
        <v>7</v>
      </c>
      <c r="C21" s="574" t="s">
        <v>2511</v>
      </c>
      <c r="Q21" s="94">
        <f>SUM(Q14:Q19)</f>
        <v>176235227.45183015</v>
      </c>
      <c r="R21" s="577"/>
      <c r="T21" s="618"/>
      <c r="W21" s="94">
        <f>SUM(W14:W19)</f>
        <v>165863477.38</v>
      </c>
      <c r="X21" s="589"/>
      <c r="Y21" s="198"/>
    </row>
    <row r="22" spans="1:25" ht="18.95" customHeight="1" thickTop="1">
      <c r="Y22" s="198"/>
    </row>
    <row r="23" spans="1:25" ht="18.95" customHeight="1">
      <c r="A23" s="612"/>
      <c r="Y23" s="198"/>
    </row>
    <row r="24" spans="1:25" ht="38.25">
      <c r="A24" s="159" t="s">
        <v>131</v>
      </c>
      <c r="B24" s="159" t="s">
        <v>134</v>
      </c>
      <c r="C24" s="159" t="s">
        <v>204</v>
      </c>
      <c r="D24" s="613" t="str">
        <f t="shared" ref="D24:P24" si="4">D10</f>
        <v>a-Feb 2020</v>
      </c>
      <c r="E24" s="613" t="str">
        <f t="shared" si="4"/>
        <v>a-Mar 2020</v>
      </c>
      <c r="F24" s="613" t="str">
        <f t="shared" si="4"/>
        <v>a-Apr 2020</v>
      </c>
      <c r="G24" s="613" t="str">
        <f t="shared" si="4"/>
        <v>a-May 2020</v>
      </c>
      <c r="H24" s="613" t="str">
        <f t="shared" si="4"/>
        <v>a-Jun 2020</v>
      </c>
      <c r="I24" s="613" t="str">
        <f t="shared" si="4"/>
        <v>a-Jul 2020</v>
      </c>
      <c r="J24" s="613" t="str">
        <f t="shared" si="4"/>
        <v>a-Aug 2020</v>
      </c>
      <c r="K24" s="613" t="str">
        <f t="shared" si="4"/>
        <v>Sep 2020</v>
      </c>
      <c r="L24" s="613" t="str">
        <f t="shared" si="4"/>
        <v>Oct 2020</v>
      </c>
      <c r="M24" s="613" t="str">
        <f t="shared" si="4"/>
        <v>Nov 2020</v>
      </c>
      <c r="N24" s="613" t="str">
        <f t="shared" si="4"/>
        <v>Dec 2020</v>
      </c>
      <c r="O24" s="613" t="str">
        <f t="shared" si="4"/>
        <v>Jan 2021</v>
      </c>
      <c r="P24" s="613" t="str">
        <f t="shared" si="4"/>
        <v>Feb 2021</v>
      </c>
      <c r="Q24" s="159" t="s">
        <v>2503</v>
      </c>
      <c r="R24" s="159"/>
      <c r="S24" s="159" t="s">
        <v>223</v>
      </c>
      <c r="T24" s="614"/>
      <c r="U24" s="615" t="s">
        <v>2504</v>
      </c>
      <c r="V24" s="159"/>
      <c r="W24" s="159" t="s">
        <v>1418</v>
      </c>
      <c r="X24" s="616"/>
    </row>
    <row r="25" spans="1:25" ht="18.95" customHeight="1">
      <c r="Y25" s="198"/>
    </row>
    <row r="26" spans="1:25" ht="18.95" customHeight="1">
      <c r="C26" s="609" t="s">
        <v>2512</v>
      </c>
      <c r="Y26" s="198"/>
    </row>
    <row r="27" spans="1:25" ht="18.95" customHeight="1">
      <c r="Y27" s="198"/>
    </row>
    <row r="28" spans="1:25" ht="18.95" customHeight="1">
      <c r="A28" s="575">
        <f>A21+1</f>
        <v>8</v>
      </c>
      <c r="B28" s="575">
        <v>228.2</v>
      </c>
      <c r="C28" s="609" t="s">
        <v>2513</v>
      </c>
      <c r="D28" s="86">
        <v>-3336647.55</v>
      </c>
      <c r="E28" s="86">
        <v>-3179736.33</v>
      </c>
      <c r="F28" s="86">
        <v>-3179736.33</v>
      </c>
      <c r="G28" s="86">
        <v>-3179736.33</v>
      </c>
      <c r="H28" s="86">
        <v>-3142502.9299999997</v>
      </c>
      <c r="I28" s="86">
        <v>-3142502.9299999997</v>
      </c>
      <c r="J28" s="86">
        <v>-3316595.73</v>
      </c>
      <c r="K28" s="86">
        <v>-3316595.73</v>
      </c>
      <c r="L28" s="86">
        <v>-3316595.73</v>
      </c>
      <c r="M28" s="86">
        <v>-3316595.73</v>
      </c>
      <c r="N28" s="86">
        <v>-3316595.73</v>
      </c>
      <c r="O28" s="86">
        <v>-3316595.73</v>
      </c>
      <c r="P28" s="86">
        <v>-3316595.73</v>
      </c>
      <c r="Q28" s="86">
        <f>AVERAGE(D28:P28)</f>
        <v>-3259771.7315384606</v>
      </c>
      <c r="R28" s="577"/>
      <c r="S28" s="617">
        <f>S14</f>
        <v>0.94120216334583617</v>
      </c>
      <c r="T28" s="618"/>
      <c r="U28" s="619">
        <v>1</v>
      </c>
      <c r="W28" s="86">
        <f t="shared" ref="W28:W34" si="5">ROUND($Q28*$S28*$U28,2)</f>
        <v>-3068104.21</v>
      </c>
      <c r="X28" s="586"/>
      <c r="Y28" s="198"/>
    </row>
    <row r="29" spans="1:25" ht="18.95" customHeight="1">
      <c r="A29" s="575">
        <f t="shared" ref="A29:A34" si="6">A28+1</f>
        <v>9</v>
      </c>
      <c r="B29" s="575">
        <v>228.3</v>
      </c>
      <c r="C29" s="609" t="s">
        <v>2514</v>
      </c>
      <c r="D29" s="86">
        <v>-19660255.66</v>
      </c>
      <c r="E29" s="86">
        <v>-20710874.41</v>
      </c>
      <c r="F29" s="86">
        <v>-18353357.449999999</v>
      </c>
      <c r="G29" s="86">
        <v>-18415286.859999999</v>
      </c>
      <c r="H29" s="86">
        <v>-21263731.879999902</v>
      </c>
      <c r="I29" s="86">
        <v>-15762427.970000001</v>
      </c>
      <c r="J29" s="86">
        <v>-20827871.539999999</v>
      </c>
      <c r="K29" s="86">
        <v>-20704907.400899798</v>
      </c>
      <c r="L29" s="86">
        <v>-20704065.817566399</v>
      </c>
      <c r="M29" s="86">
        <v>-20703224.2342331</v>
      </c>
      <c r="N29" s="86">
        <v>-20580260.095132902</v>
      </c>
      <c r="O29" s="86">
        <v>-20603918.845132899</v>
      </c>
      <c r="P29" s="86">
        <v>-20627577.595132902</v>
      </c>
      <c r="Q29" s="86">
        <f t="shared" ref="Q29:Q34" si="7">AVERAGE(D29:P29)</f>
        <v>-19916750.750622913</v>
      </c>
      <c r="R29" s="577"/>
      <c r="S29" s="617">
        <f>S14</f>
        <v>0.94120216334583617</v>
      </c>
      <c r="T29" s="618"/>
      <c r="U29" s="619">
        <v>1</v>
      </c>
      <c r="W29" s="86">
        <f t="shared" si="5"/>
        <v>-18745688.890000001</v>
      </c>
      <c r="X29" s="586"/>
      <c r="Y29" s="198"/>
    </row>
    <row r="30" spans="1:25" ht="18.95" customHeight="1">
      <c r="A30" s="575">
        <f t="shared" si="6"/>
        <v>10</v>
      </c>
      <c r="B30" s="575">
        <v>242</v>
      </c>
      <c r="C30" s="609" t="s">
        <v>2515</v>
      </c>
      <c r="D30" s="86">
        <v>-17556789.199999999</v>
      </c>
      <c r="E30" s="86">
        <v>-18538843.109999988</v>
      </c>
      <c r="F30" s="86">
        <v>-15966063.559999999</v>
      </c>
      <c r="G30" s="86">
        <v>-17570529</v>
      </c>
      <c r="H30" s="86">
        <v>-20854827.250000004</v>
      </c>
      <c r="I30" s="86">
        <v>-17914852.210000001</v>
      </c>
      <c r="J30" s="86">
        <v>-18935266.739999998</v>
      </c>
      <c r="K30" s="86">
        <v>-19014425.834948786</v>
      </c>
      <c r="L30" s="86">
        <v>-19107536.533595927</v>
      </c>
      <c r="M30" s="86">
        <v>-19171674.919791739</v>
      </c>
      <c r="N30" s="86">
        <v>-19234629.994168237</v>
      </c>
      <c r="O30" s="86">
        <v>-19340398.86709572</v>
      </c>
      <c r="P30" s="86">
        <v>-19446658.237346098</v>
      </c>
      <c r="Q30" s="86">
        <f t="shared" si="7"/>
        <v>-18665576.573611267</v>
      </c>
      <c r="R30" s="577"/>
      <c r="S30" s="617">
        <f>S14</f>
        <v>0.94120216334583617</v>
      </c>
      <c r="T30" s="618"/>
      <c r="U30" s="619">
        <v>1</v>
      </c>
      <c r="W30" s="86">
        <f t="shared" si="5"/>
        <v>-17568081.050000001</v>
      </c>
      <c r="X30" s="586"/>
      <c r="Y30" s="198"/>
    </row>
    <row r="31" spans="1:25" ht="18.95" customHeight="1">
      <c r="A31" s="575">
        <f t="shared" si="6"/>
        <v>11</v>
      </c>
      <c r="B31" s="575">
        <v>253</v>
      </c>
      <c r="C31" s="609" t="s">
        <v>2516</v>
      </c>
      <c r="D31" s="86">
        <v>-4570542.8099999996</v>
      </c>
      <c r="E31" s="86">
        <v>-1665316.3</v>
      </c>
      <c r="F31" s="86">
        <v>-2778019.08</v>
      </c>
      <c r="G31" s="86">
        <v>-4399606.7199999895</v>
      </c>
      <c r="H31" s="86">
        <v>-2256374.0999999898</v>
      </c>
      <c r="I31" s="86">
        <v>-2312432.62</v>
      </c>
      <c r="J31" s="86">
        <v>-2123965.0099999998</v>
      </c>
      <c r="K31" s="86">
        <v>-2123965.0099999998</v>
      </c>
      <c r="L31" s="86">
        <v>-2123965.0099999998</v>
      </c>
      <c r="M31" s="86">
        <v>-2123965.0099999998</v>
      </c>
      <c r="N31" s="86">
        <v>-2123965.0099999998</v>
      </c>
      <c r="O31" s="86">
        <v>-2123965.0099999998</v>
      </c>
      <c r="P31" s="86">
        <v>-2123965.0099999998</v>
      </c>
      <c r="Q31" s="86">
        <f t="shared" si="7"/>
        <v>-2526926.6692307666</v>
      </c>
      <c r="R31" s="588"/>
      <c r="S31" s="617">
        <f>S16</f>
        <v>0.93708826324620531</v>
      </c>
      <c r="T31" s="620"/>
      <c r="U31" s="619">
        <v>1</v>
      </c>
      <c r="W31" s="86">
        <f t="shared" si="5"/>
        <v>-2367953.3199999998</v>
      </c>
      <c r="X31" s="586"/>
      <c r="Y31" s="198"/>
    </row>
    <row r="32" spans="1:25" ht="18.95" customHeight="1">
      <c r="A32" s="575">
        <f t="shared" si="6"/>
        <v>12</v>
      </c>
      <c r="B32" s="575">
        <v>254</v>
      </c>
      <c r="C32" s="609" t="s">
        <v>2523</v>
      </c>
      <c r="D32" s="86">
        <v>-34131728</v>
      </c>
      <c r="E32" s="86">
        <v>-34210526</v>
      </c>
      <c r="F32" s="86">
        <v>-34210526</v>
      </c>
      <c r="G32" s="86">
        <v>-34210526</v>
      </c>
      <c r="H32" s="86">
        <v>-33832727</v>
      </c>
      <c r="I32" s="86">
        <v>-33832727</v>
      </c>
      <c r="J32" s="86">
        <v>-33834514</v>
      </c>
      <c r="K32" s="86">
        <v>-33835407.333333299</v>
      </c>
      <c r="L32" s="86">
        <v>-33836300.666666597</v>
      </c>
      <c r="M32" s="86">
        <v>-33837194</v>
      </c>
      <c r="N32" s="86">
        <v>-33838087.333333299</v>
      </c>
      <c r="O32" s="86">
        <v>-33872119.666666597</v>
      </c>
      <c r="P32" s="86">
        <v>-33906152</v>
      </c>
      <c r="Q32" s="86">
        <f t="shared" si="7"/>
        <v>-33952964.23076921</v>
      </c>
      <c r="R32" s="577"/>
      <c r="S32" s="617">
        <f>S14</f>
        <v>0.94120216334583617</v>
      </c>
      <c r="T32" s="618"/>
      <c r="U32" s="619">
        <v>1</v>
      </c>
      <c r="W32" s="86">
        <f t="shared" si="5"/>
        <v>-31956603.390000001</v>
      </c>
      <c r="X32" s="586"/>
      <c r="Y32" s="198"/>
    </row>
    <row r="33" spans="1:32" ht="18.95" customHeight="1">
      <c r="A33" s="575">
        <f t="shared" si="6"/>
        <v>13</v>
      </c>
      <c r="B33" s="621" t="s">
        <v>2517</v>
      </c>
      <c r="C33" s="609" t="s">
        <v>2518</v>
      </c>
      <c r="D33" s="86">
        <v>-31035950.005518436</v>
      </c>
      <c r="E33" s="86">
        <v>-21774491.802289903</v>
      </c>
      <c r="F33" s="86">
        <v>-24799063.788158678</v>
      </c>
      <c r="G33" s="86">
        <v>-26662146.487880412</v>
      </c>
      <c r="H33" s="86">
        <v>-25423088.245073423</v>
      </c>
      <c r="I33" s="86">
        <v>-28209061.389587682</v>
      </c>
      <c r="J33" s="86">
        <v>-28157444.070106875</v>
      </c>
      <c r="K33" s="86">
        <v>-22244842.939107534</v>
      </c>
      <c r="L33" s="86">
        <v>-31668961.542634428</v>
      </c>
      <c r="M33" s="86">
        <v>-38772883.822252564</v>
      </c>
      <c r="N33" s="86">
        <v>-46569628.493725345</v>
      </c>
      <c r="O33" s="86">
        <v>-31886377.657695588</v>
      </c>
      <c r="P33" s="86">
        <v>-54196964.398452833</v>
      </c>
      <c r="Q33" s="86">
        <f t="shared" si="7"/>
        <v>-31646223.434037209</v>
      </c>
      <c r="R33" s="588"/>
      <c r="S33" s="617">
        <f>S16</f>
        <v>0.93708826324620531</v>
      </c>
      <c r="T33" s="622"/>
      <c r="U33" s="623">
        <v>1</v>
      </c>
      <c r="W33" s="86">
        <f t="shared" si="5"/>
        <v>-29655304.559999999</v>
      </c>
      <c r="X33" s="586"/>
      <c r="Y33" s="617"/>
    </row>
    <row r="34" spans="1:32" ht="18.95" customHeight="1">
      <c r="A34" s="575">
        <f t="shared" si="6"/>
        <v>14</v>
      </c>
      <c r="B34" s="621" t="s">
        <v>2517</v>
      </c>
      <c r="C34" s="609" t="s">
        <v>2519</v>
      </c>
      <c r="D34" s="86">
        <v>-1676620.4915406278</v>
      </c>
      <c r="E34" s="86">
        <v>-1306567.2439272942</v>
      </c>
      <c r="F34" s="86">
        <v>-1586861.096334731</v>
      </c>
      <c r="G34" s="86">
        <v>-1737759.540368462</v>
      </c>
      <c r="H34" s="86">
        <v>-1346207.204247517</v>
      </c>
      <c r="I34" s="86">
        <v>-1083258.9010685906</v>
      </c>
      <c r="J34" s="86">
        <v>-1778549.184027055</v>
      </c>
      <c r="K34" s="86">
        <v>-1587846.9806162834</v>
      </c>
      <c r="L34" s="86">
        <v>-2126247.0452934215</v>
      </c>
      <c r="M34" s="86">
        <v>-2563658.4992393744</v>
      </c>
      <c r="N34" s="86">
        <v>-3751936.4843303543</v>
      </c>
      <c r="O34" s="86">
        <v>-2722144.6052552257</v>
      </c>
      <c r="P34" s="86">
        <v>-3783278.5285007604</v>
      </c>
      <c r="Q34" s="131">
        <f t="shared" si="7"/>
        <v>-2080841.2157499765</v>
      </c>
      <c r="R34" s="588"/>
      <c r="S34" s="617">
        <f>S16</f>
        <v>0.93708826324620531</v>
      </c>
      <c r="T34" s="618"/>
      <c r="U34" s="619">
        <v>1</v>
      </c>
      <c r="W34" s="131">
        <f t="shared" si="5"/>
        <v>-1949931.88</v>
      </c>
      <c r="X34" s="586"/>
      <c r="Y34" s="617"/>
    </row>
    <row r="35" spans="1:32" ht="18.95" customHeight="1">
      <c r="X35" s="586"/>
    </row>
    <row r="36" spans="1:32" ht="18.95" customHeight="1" thickBot="1">
      <c r="A36" s="575">
        <f>A34+1</f>
        <v>15</v>
      </c>
      <c r="C36" s="574" t="s">
        <v>2520</v>
      </c>
      <c r="Q36" s="94">
        <f>SUM(Q28:Q34)</f>
        <v>-112049054.6055598</v>
      </c>
      <c r="R36" s="577"/>
      <c r="T36" s="618"/>
      <c r="W36" s="94">
        <f>SUM(W28:W34)</f>
        <v>-105311667.30000001</v>
      </c>
      <c r="X36" s="589"/>
    </row>
    <row r="37" spans="1:32" ht="18.95" customHeight="1" thickTop="1">
      <c r="W37" s="586"/>
      <c r="X37" s="586"/>
    </row>
    <row r="38" spans="1:32" ht="18.95" customHeight="1" thickBot="1">
      <c r="A38" s="575">
        <f>A36+1</f>
        <v>16</v>
      </c>
      <c r="B38" s="574" t="s">
        <v>2647</v>
      </c>
      <c r="C38" s="574"/>
      <c r="Q38" s="94">
        <f>Q21+Q36</f>
        <v>64186172.846270353</v>
      </c>
      <c r="R38" s="577"/>
      <c r="T38" s="618"/>
      <c r="W38" s="94">
        <f>W21+W36</f>
        <v>60551810.079999983</v>
      </c>
      <c r="X38" s="589"/>
    </row>
    <row r="39" spans="1:32" ht="13.5" thickTop="1"/>
    <row r="41" spans="1:32" ht="15" customHeight="1">
      <c r="B41" s="575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7"/>
      <c r="S41" s="617"/>
      <c r="T41" s="626"/>
      <c r="U41" s="623"/>
      <c r="W41" s="586"/>
      <c r="X41" s="586"/>
      <c r="Y41" s="198"/>
      <c r="AB41" s="575"/>
      <c r="AC41" s="575"/>
      <c r="AD41" s="575"/>
    </row>
    <row r="42" spans="1:32" ht="15" customHeight="1">
      <c r="B42" s="575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7"/>
      <c r="S42" s="617"/>
      <c r="T42" s="626"/>
      <c r="U42" s="623"/>
      <c r="W42" s="586"/>
      <c r="X42" s="586"/>
      <c r="Y42" s="198"/>
      <c r="AA42" s="621"/>
      <c r="AB42" s="621"/>
      <c r="AD42" s="621"/>
      <c r="AE42" s="621"/>
    </row>
    <row r="43" spans="1:32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7"/>
      <c r="U43" s="628"/>
      <c r="AA43" s="575"/>
      <c r="AB43" s="575"/>
      <c r="AD43" s="575"/>
      <c r="AE43" s="575"/>
    </row>
    <row r="44" spans="1:32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7"/>
      <c r="U44" s="628"/>
      <c r="AB44" s="575"/>
      <c r="AC44" s="575"/>
      <c r="AD44" s="575"/>
      <c r="AF44" s="575"/>
    </row>
    <row r="45" spans="1:32" ht="15" customHeight="1">
      <c r="B45" s="57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7"/>
      <c r="S45" s="617"/>
      <c r="T45" s="626"/>
      <c r="U45" s="623"/>
      <c r="W45" s="586"/>
      <c r="X45" s="586"/>
      <c r="Y45" s="198"/>
      <c r="AA45" s="586"/>
      <c r="AB45" s="586"/>
      <c r="AC45" s="624"/>
      <c r="AD45" s="586"/>
      <c r="AE45" s="586"/>
      <c r="AF45" s="625"/>
    </row>
    <row r="46" spans="1:32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7"/>
      <c r="U46" s="628"/>
      <c r="AA46" s="586"/>
      <c r="AB46" s="586"/>
      <c r="AC46" s="624"/>
      <c r="AD46" s="586"/>
      <c r="AE46" s="586"/>
      <c r="AF46" s="625"/>
    </row>
    <row r="47" spans="1:32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16" t="str">
        <f>$A1</f>
        <v>KENTUCKY UTILITIES COMPANY</v>
      </c>
      <c r="B49" s="819"/>
      <c r="C49" s="819"/>
      <c r="D49" s="819"/>
      <c r="E49" s="819"/>
      <c r="F49" s="819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19"/>
      <c r="S49" s="819"/>
      <c r="T49" s="820"/>
      <c r="U49" s="820"/>
      <c r="V49" s="819"/>
      <c r="W49" s="819"/>
      <c r="X49" s="604"/>
    </row>
    <row r="50" spans="1:24" ht="18.95" customHeight="1">
      <c r="A50" s="816" t="str">
        <f>$A2</f>
        <v>CASE NO. 2020-00349</v>
      </c>
      <c r="B50" s="819"/>
      <c r="C50" s="819"/>
      <c r="D50" s="819"/>
      <c r="E50" s="819"/>
      <c r="F50" s="819"/>
      <c r="G50" s="819"/>
      <c r="H50" s="819"/>
      <c r="I50" s="819"/>
      <c r="J50" s="819"/>
      <c r="K50" s="819"/>
      <c r="L50" s="819"/>
      <c r="M50" s="819"/>
      <c r="N50" s="819"/>
      <c r="O50" s="819"/>
      <c r="P50" s="819"/>
      <c r="Q50" s="819"/>
      <c r="R50" s="819"/>
      <c r="S50" s="819"/>
      <c r="T50" s="820"/>
      <c r="U50" s="820"/>
      <c r="V50" s="819"/>
      <c r="W50" s="819"/>
      <c r="X50" s="604"/>
    </row>
    <row r="51" spans="1:24" ht="18.95" customHeight="1">
      <c r="A51" s="816" t="s">
        <v>1432</v>
      </c>
      <c r="B51" s="817"/>
      <c r="C51" s="817"/>
      <c r="D51" s="817"/>
      <c r="E51" s="817"/>
      <c r="F51" s="817"/>
      <c r="G51" s="817"/>
      <c r="H51" s="817"/>
      <c r="I51" s="817"/>
      <c r="J51" s="817"/>
      <c r="K51" s="817"/>
      <c r="L51" s="817"/>
      <c r="M51" s="817"/>
      <c r="N51" s="817"/>
      <c r="O51" s="817"/>
      <c r="P51" s="817"/>
      <c r="Q51" s="817"/>
      <c r="R51" s="817"/>
      <c r="S51" s="817"/>
      <c r="T51" s="818"/>
      <c r="U51" s="818"/>
      <c r="V51" s="817"/>
      <c r="W51" s="817"/>
      <c r="X51" s="605"/>
    </row>
    <row r="52" spans="1:24" ht="18.95" customHeight="1">
      <c r="A52" s="816" t="str">
        <f>$A4</f>
        <v>BASE YEAR FOR THE 12 MONTHS ENDED FEBRUARY 28, 2021</v>
      </c>
      <c r="B52" s="819"/>
      <c r="C52" s="819"/>
      <c r="D52" s="819"/>
      <c r="E52" s="819"/>
      <c r="F52" s="819"/>
      <c r="G52" s="819"/>
      <c r="H52" s="819"/>
      <c r="I52" s="819"/>
      <c r="J52" s="819"/>
      <c r="K52" s="819"/>
      <c r="L52" s="819"/>
      <c r="M52" s="819"/>
      <c r="N52" s="819"/>
      <c r="O52" s="819"/>
      <c r="P52" s="819"/>
      <c r="Q52" s="819"/>
      <c r="R52" s="819"/>
      <c r="S52" s="819"/>
      <c r="T52" s="820"/>
      <c r="U52" s="820"/>
      <c r="V52" s="819"/>
      <c r="W52" s="819"/>
      <c r="X52" s="605"/>
    </row>
    <row r="53" spans="1:24" ht="18.95" customHeight="1">
      <c r="A53" s="606"/>
      <c r="B53" s="607"/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8"/>
      <c r="U53" s="608"/>
      <c r="V53" s="607"/>
      <c r="W53" s="607"/>
      <c r="X53" s="605"/>
    </row>
    <row r="54" spans="1:24" ht="18.95" customHeight="1">
      <c r="A54" s="67" t="str">
        <f>A6</f>
        <v>DATA:__X__BASE  PERIOD____FORECASTED  PERIOD</v>
      </c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8"/>
      <c r="U54" s="608"/>
      <c r="V54" s="607"/>
      <c r="W54" s="74" t="s">
        <v>1433</v>
      </c>
      <c r="X54" s="605"/>
    </row>
    <row r="55" spans="1:24" ht="18.95" customHeight="1">
      <c r="A55" s="68" t="str">
        <f>A7</f>
        <v>TYPE OF FILING: __X__ ORIGINAL  _____ UPDATED  _____ REVISED</v>
      </c>
      <c r="B55" s="607"/>
      <c r="C55" s="607"/>
      <c r="D55" s="607"/>
      <c r="E55" s="607"/>
      <c r="F55" s="607"/>
      <c r="G55" s="607"/>
      <c r="H55" s="607"/>
      <c r="I55" s="607"/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8"/>
      <c r="U55" s="608"/>
      <c r="V55" s="607"/>
      <c r="W55" s="74" t="s">
        <v>170</v>
      </c>
      <c r="X55" s="605"/>
    </row>
    <row r="56" spans="1:24" ht="18.95" customHeight="1">
      <c r="A56" s="67" t="s">
        <v>1195</v>
      </c>
      <c r="W56" s="75" t="str">
        <f>W8</f>
        <v>WITNESS:   C. M. GARRETT</v>
      </c>
    </row>
    <row r="57" spans="1:24" ht="18.95" customHeight="1">
      <c r="A57" s="612"/>
    </row>
    <row r="58" spans="1:24" ht="38.25">
      <c r="A58" s="159" t="s">
        <v>131</v>
      </c>
      <c r="B58" s="159"/>
      <c r="C58" s="159" t="s">
        <v>204</v>
      </c>
      <c r="D58" s="613" t="str">
        <f>D10</f>
        <v>a-Feb 2020</v>
      </c>
      <c r="E58" s="613" t="str">
        <f t="shared" ref="E58:P58" si="8">E10</f>
        <v>a-Mar 2020</v>
      </c>
      <c r="F58" s="613" t="str">
        <f t="shared" si="8"/>
        <v>a-Apr 2020</v>
      </c>
      <c r="G58" s="613" t="str">
        <f t="shared" si="8"/>
        <v>a-May 2020</v>
      </c>
      <c r="H58" s="613" t="str">
        <f t="shared" si="8"/>
        <v>a-Jun 2020</v>
      </c>
      <c r="I58" s="613" t="str">
        <f t="shared" si="8"/>
        <v>a-Jul 2020</v>
      </c>
      <c r="J58" s="613" t="str">
        <f t="shared" si="8"/>
        <v>a-Aug 2020</v>
      </c>
      <c r="K58" s="613" t="str">
        <f t="shared" si="8"/>
        <v>Sep 2020</v>
      </c>
      <c r="L58" s="613" t="str">
        <f t="shared" si="8"/>
        <v>Oct 2020</v>
      </c>
      <c r="M58" s="613" t="str">
        <f t="shared" si="8"/>
        <v>Nov 2020</v>
      </c>
      <c r="N58" s="613" t="str">
        <f t="shared" si="8"/>
        <v>Dec 2020</v>
      </c>
      <c r="O58" s="613" t="str">
        <f t="shared" si="8"/>
        <v>Jan 2021</v>
      </c>
      <c r="P58" s="613" t="str">
        <f t="shared" si="8"/>
        <v>Feb 2021</v>
      </c>
      <c r="Q58" s="159" t="s">
        <v>1199</v>
      </c>
      <c r="R58" s="159"/>
      <c r="S58" s="159" t="s">
        <v>223</v>
      </c>
      <c r="T58" s="614"/>
      <c r="U58" s="615" t="s">
        <v>2504</v>
      </c>
      <c r="V58" s="159"/>
      <c r="W58" s="159" t="s">
        <v>1418</v>
      </c>
      <c r="X58" s="616"/>
    </row>
    <row r="59" spans="1:24" ht="18.95" customHeight="1"/>
    <row r="60" spans="1:24" ht="18.95" customHeight="1">
      <c r="A60" s="70">
        <v>1</v>
      </c>
      <c r="C60" s="78" t="s">
        <v>2524</v>
      </c>
      <c r="E60" s="86">
        <f ca="1">'ECR EXP B'!C24*1000</f>
        <v>1192550.7341666666</v>
      </c>
      <c r="F60" s="86">
        <f ca="1">'ECR EXP B'!D24*1000</f>
        <v>1216955.6383333334</v>
      </c>
      <c r="G60" s="86">
        <f ca="1">'ECR EXP B'!E24*1000</f>
        <v>1130364.6083333334</v>
      </c>
      <c r="H60" s="86">
        <f ca="1">'ECR EXP B'!F24*1000</f>
        <v>1290693.0991666666</v>
      </c>
      <c r="I60" s="86">
        <f ca="1">'ECR EXP B'!G24*1000</f>
        <v>1216027.7591666668</v>
      </c>
      <c r="J60" s="86">
        <f ca="1">'ECR EXP B'!H24*1000</f>
        <v>1480460.5316666665</v>
      </c>
      <c r="K60" s="86">
        <f>'ECR EXP B'!I24*1000</f>
        <v>1847389.9999999998</v>
      </c>
      <c r="L60" s="86">
        <f>'ECR EXP B'!J24*1000</f>
        <v>1633041</v>
      </c>
      <c r="M60" s="86">
        <f>'ECR EXP B'!K24*1000</f>
        <v>1520178</v>
      </c>
      <c r="N60" s="86">
        <f>'ECR EXP B'!L24*1000</f>
        <v>2776120.9999999902</v>
      </c>
      <c r="O60" s="86">
        <f>'ECR EXP B'!M24*1000</f>
        <v>1419688.9999999988</v>
      </c>
      <c r="P60" s="86">
        <f>'ECR EXP B'!N24*1000</f>
        <v>1427521.9999999991</v>
      </c>
      <c r="Q60" s="86">
        <f ca="1">SUM(E60:P60)</f>
        <v>18150993.370833322</v>
      </c>
      <c r="S60" s="578">
        <v>1</v>
      </c>
      <c r="W60" s="86">
        <f ca="1">Q60*S60</f>
        <v>18150993.370833322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1434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8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1435</v>
      </c>
      <c r="Q64" s="94">
        <f ca="1">Q60-Q62</f>
        <v>18150993.370833322</v>
      </c>
      <c r="W64" s="94">
        <f ca="1">W60-W62</f>
        <v>18150993.370833322</v>
      </c>
    </row>
    <row r="65" spans="1:32" ht="18.95" customHeight="1" thickTop="1">
      <c r="A65" s="70"/>
      <c r="C65" s="78"/>
      <c r="Q65" s="86"/>
      <c r="W65" s="86"/>
    </row>
    <row r="66" spans="1:32" ht="18.95" customHeight="1" thickBot="1">
      <c r="A66" s="70">
        <v>4</v>
      </c>
      <c r="C66" s="78" t="s">
        <v>2521</v>
      </c>
      <c r="Q66" s="94">
        <f ca="1">Q64*0.125</f>
        <v>2268874.1713541653</v>
      </c>
      <c r="W66" s="94">
        <f ca="1">W64*0.125</f>
        <v>2268874.1713541653</v>
      </c>
    </row>
    <row r="67" spans="1:32" s="575" customFormat="1" ht="18.95" customHeight="1" thickTop="1">
      <c r="B67" s="574"/>
      <c r="C67" s="609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8"/>
      <c r="T67" s="610"/>
      <c r="U67" s="611"/>
      <c r="V67" s="578"/>
      <c r="W67" s="574"/>
      <c r="X67" s="574"/>
      <c r="Y67" s="574"/>
      <c r="Z67" s="574"/>
      <c r="AA67" s="574"/>
      <c r="AB67" s="574"/>
      <c r="AC67" s="574"/>
      <c r="AD67" s="574"/>
      <c r="AE67" s="574"/>
      <c r="AF67" s="574"/>
    </row>
    <row r="68" spans="1:32" s="575" customFormat="1" ht="18.95" customHeight="1">
      <c r="B68" s="574"/>
      <c r="C68" s="609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8"/>
      <c r="T68" s="610"/>
      <c r="U68" s="611"/>
      <c r="V68" s="578"/>
      <c r="W68" s="574"/>
      <c r="X68" s="574"/>
      <c r="Y68" s="574"/>
      <c r="Z68" s="574"/>
      <c r="AA68" s="574"/>
      <c r="AB68" s="574"/>
      <c r="AC68" s="574"/>
      <c r="AD68" s="574"/>
      <c r="AE68" s="574"/>
      <c r="AF68" s="574"/>
    </row>
    <row r="69" spans="1:32" s="575" customFormat="1" ht="18.95" customHeight="1">
      <c r="B69" s="574"/>
      <c r="C69" s="609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8"/>
      <c r="T69" s="610"/>
      <c r="U69" s="611"/>
      <c r="V69" s="578"/>
      <c r="W69" s="574"/>
      <c r="X69" s="574"/>
      <c r="Y69" s="574"/>
      <c r="Z69" s="574"/>
      <c r="AA69" s="574"/>
      <c r="AB69" s="574"/>
      <c r="AC69" s="574"/>
      <c r="AD69" s="574"/>
      <c r="AE69" s="574"/>
      <c r="AF69" s="574"/>
    </row>
    <row r="70" spans="1:32" s="575" customFormat="1" ht="18.95" customHeight="1">
      <c r="B70" s="574"/>
      <c r="C70" s="609"/>
      <c r="D70" s="574"/>
      <c r="E70" s="574"/>
      <c r="F70" s="574"/>
      <c r="G70" s="574"/>
      <c r="H70" s="574"/>
      <c r="I70" s="574"/>
      <c r="J70" s="574"/>
      <c r="K70" s="574"/>
      <c r="L70" s="574"/>
      <c r="M70" s="574"/>
      <c r="N70" s="574"/>
      <c r="O70" s="574"/>
      <c r="P70" s="574"/>
      <c r="Q70" s="574"/>
      <c r="R70" s="574"/>
      <c r="S70" s="578"/>
      <c r="T70" s="610"/>
      <c r="U70" s="611"/>
      <c r="V70" s="578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</row>
    <row r="71" spans="1:32" s="575" customFormat="1" ht="18.95" customHeight="1">
      <c r="B71" s="574"/>
      <c r="C71" s="609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  <c r="P71" s="574"/>
      <c r="Q71" s="574"/>
      <c r="R71" s="574"/>
      <c r="S71" s="578"/>
      <c r="T71" s="610"/>
      <c r="U71" s="611"/>
      <c r="V71" s="578"/>
      <c r="W71" s="574"/>
      <c r="X71" s="574"/>
      <c r="Y71" s="574"/>
      <c r="Z71" s="574"/>
      <c r="AA71" s="574"/>
      <c r="AB71" s="574"/>
      <c r="AC71" s="574"/>
      <c r="AD71" s="574"/>
      <c r="AE71" s="574"/>
      <c r="AF71" s="574"/>
    </row>
    <row r="72" spans="1:32" s="575" customFormat="1" ht="18.95" customHeight="1">
      <c r="B72" s="574"/>
      <c r="C72" s="609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8"/>
      <c r="T72" s="610"/>
      <c r="U72" s="611"/>
      <c r="V72" s="578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</row>
    <row r="73" spans="1:32" s="575" customFormat="1" ht="18.95" customHeight="1">
      <c r="B73" s="574"/>
      <c r="C73" s="609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8"/>
      <c r="T73" s="610"/>
      <c r="U73" s="611"/>
      <c r="V73" s="578"/>
      <c r="W73" s="574"/>
      <c r="X73" s="574"/>
      <c r="Y73" s="574"/>
      <c r="Z73" s="574"/>
      <c r="AA73" s="574"/>
      <c r="AB73" s="574"/>
      <c r="AC73" s="574"/>
      <c r="AD73" s="574"/>
      <c r="AE73" s="574"/>
      <c r="AF73" s="574"/>
    </row>
    <row r="74" spans="1:32" s="575" customFormat="1" ht="18.95" customHeight="1">
      <c r="B74" s="574"/>
      <c r="C74" s="609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8"/>
      <c r="T74" s="610"/>
      <c r="U74" s="611"/>
      <c r="V74" s="578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</row>
    <row r="75" spans="1:32" s="575" customFormat="1" ht="18.95" customHeight="1">
      <c r="B75" s="574"/>
      <c r="C75" s="609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8"/>
      <c r="T75" s="610"/>
      <c r="U75" s="611"/>
      <c r="V75" s="578"/>
      <c r="W75" s="574"/>
      <c r="X75" s="574"/>
      <c r="Y75" s="574"/>
      <c r="Z75" s="574"/>
      <c r="AA75" s="574"/>
      <c r="AB75" s="574"/>
      <c r="AC75" s="574"/>
      <c r="AD75" s="574"/>
      <c r="AE75" s="574"/>
      <c r="AF75" s="574"/>
    </row>
    <row r="76" spans="1:32" s="575" customFormat="1" ht="18.95" customHeight="1">
      <c r="B76" s="574"/>
      <c r="C76" s="609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8"/>
      <c r="T76" s="610"/>
      <c r="U76" s="611"/>
      <c r="V76" s="578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</row>
    <row r="77" spans="1:32" s="575" customFormat="1" ht="18.95" customHeight="1">
      <c r="B77" s="574"/>
      <c r="C77" s="609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8"/>
      <c r="T77" s="610"/>
      <c r="U77" s="611"/>
      <c r="V77" s="578"/>
      <c r="W77" s="574"/>
      <c r="X77" s="574"/>
      <c r="Y77" s="574"/>
      <c r="Z77" s="574"/>
      <c r="AA77" s="574"/>
      <c r="AB77" s="574"/>
      <c r="AC77" s="574"/>
      <c r="AD77" s="574"/>
      <c r="AE77" s="574"/>
      <c r="AF77" s="574"/>
    </row>
    <row r="78" spans="1:32" s="575" customFormat="1" ht="18.95" customHeight="1">
      <c r="B78" s="574"/>
      <c r="C78" s="609"/>
      <c r="D78" s="574"/>
      <c r="E78" s="574"/>
      <c r="F78" s="574"/>
      <c r="G78" s="574"/>
      <c r="H78" s="574"/>
      <c r="I78" s="574"/>
      <c r="J78" s="574"/>
      <c r="K78" s="574"/>
      <c r="L78" s="574"/>
      <c r="M78" s="574"/>
      <c r="N78" s="574"/>
      <c r="O78" s="574"/>
      <c r="P78" s="574"/>
      <c r="Q78" s="574"/>
      <c r="R78" s="574"/>
      <c r="S78" s="578"/>
      <c r="T78" s="610"/>
      <c r="U78" s="611"/>
      <c r="V78" s="578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</row>
    <row r="79" spans="1:32" s="575" customFormat="1" ht="18.95" customHeight="1">
      <c r="B79" s="574"/>
      <c r="C79" s="609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8"/>
      <c r="T79" s="610"/>
      <c r="U79" s="611"/>
      <c r="V79" s="578"/>
      <c r="W79" s="574"/>
      <c r="X79" s="574"/>
      <c r="Y79" s="574"/>
      <c r="Z79" s="574"/>
      <c r="AA79" s="574"/>
      <c r="AB79" s="574"/>
      <c r="AC79" s="574"/>
      <c r="AD79" s="574"/>
      <c r="AE79" s="574"/>
      <c r="AF79" s="574"/>
    </row>
    <row r="80" spans="1:32" s="575" customFormat="1" ht="18.95" customHeight="1">
      <c r="B80" s="574"/>
      <c r="C80" s="609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8"/>
      <c r="T80" s="610"/>
      <c r="U80" s="611"/>
      <c r="V80" s="578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</row>
    <row r="81" spans="2:32" s="575" customFormat="1" ht="18.95" customHeight="1">
      <c r="B81" s="574"/>
      <c r="C81" s="609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8"/>
      <c r="T81" s="610"/>
      <c r="U81" s="611"/>
      <c r="V81" s="578"/>
      <c r="W81" s="574"/>
      <c r="X81" s="574"/>
      <c r="Y81" s="574"/>
      <c r="Z81" s="574"/>
      <c r="AA81" s="574"/>
      <c r="AB81" s="574"/>
      <c r="AC81" s="574"/>
      <c r="AD81" s="574"/>
      <c r="AE81" s="574"/>
      <c r="AF81" s="574"/>
    </row>
    <row r="82" spans="2:32" s="575" customFormat="1" ht="18.95" customHeight="1">
      <c r="B82" s="574"/>
      <c r="C82" s="609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8"/>
      <c r="T82" s="610"/>
      <c r="U82" s="611"/>
      <c r="V82" s="578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</row>
    <row r="83" spans="2:32" s="575" customFormat="1" ht="18.95" customHeight="1">
      <c r="B83" s="574"/>
      <c r="C83" s="609"/>
      <c r="D83" s="574"/>
      <c r="E83" s="574"/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8"/>
      <c r="T83" s="610"/>
      <c r="U83" s="611"/>
      <c r="V83" s="578"/>
      <c r="W83" s="574"/>
      <c r="X83" s="574"/>
      <c r="Y83" s="574"/>
      <c r="Z83" s="574"/>
      <c r="AA83" s="574"/>
      <c r="AB83" s="574"/>
      <c r="AC83" s="574"/>
      <c r="AD83" s="574"/>
      <c r="AE83" s="574"/>
      <c r="AF83" s="574"/>
    </row>
    <row r="84" spans="2:32" s="575" customFormat="1" ht="18.95" customHeight="1">
      <c r="B84" s="574"/>
      <c r="C84" s="609"/>
      <c r="D84" s="574"/>
      <c r="E84" s="574"/>
      <c r="F84" s="574"/>
      <c r="G84" s="574"/>
      <c r="H84" s="574"/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8"/>
      <c r="T84" s="610"/>
      <c r="U84" s="611"/>
      <c r="V84" s="578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</row>
    <row r="85" spans="2:32" s="575" customFormat="1" ht="18.95" customHeight="1">
      <c r="B85" s="574"/>
      <c r="C85" s="609"/>
      <c r="D85" s="574"/>
      <c r="E85" s="574"/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8"/>
      <c r="T85" s="610"/>
      <c r="U85" s="611"/>
      <c r="V85" s="578"/>
      <c r="W85" s="574"/>
      <c r="X85" s="574"/>
      <c r="Y85" s="574"/>
      <c r="Z85" s="574"/>
      <c r="AA85" s="574"/>
      <c r="AB85" s="574"/>
      <c r="AC85" s="574"/>
      <c r="AD85" s="574"/>
      <c r="AE85" s="574"/>
      <c r="AF85" s="574"/>
    </row>
    <row r="86" spans="2:32" s="575" customFormat="1" ht="18.95" customHeight="1">
      <c r="B86" s="574"/>
      <c r="C86" s="609"/>
      <c r="D86" s="574"/>
      <c r="E86" s="574"/>
      <c r="F86" s="574"/>
      <c r="G86" s="574"/>
      <c r="H86" s="574"/>
      <c r="I86" s="574"/>
      <c r="J86" s="574"/>
      <c r="K86" s="574"/>
      <c r="L86" s="574"/>
      <c r="M86" s="574"/>
      <c r="N86" s="574"/>
      <c r="O86" s="574"/>
      <c r="P86" s="574"/>
      <c r="Q86" s="574"/>
      <c r="R86" s="574"/>
      <c r="S86" s="578"/>
      <c r="T86" s="610"/>
      <c r="U86" s="611"/>
      <c r="V86" s="578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</row>
    <row r="87" spans="2:32" s="575" customFormat="1" ht="18.95" customHeight="1">
      <c r="B87" s="574"/>
      <c r="C87" s="609"/>
      <c r="D87" s="574"/>
      <c r="E87" s="574"/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8"/>
      <c r="T87" s="610"/>
      <c r="U87" s="611"/>
      <c r="V87" s="578"/>
      <c r="W87" s="574"/>
      <c r="X87" s="574"/>
      <c r="Y87" s="574"/>
      <c r="Z87" s="574"/>
      <c r="AA87" s="574"/>
      <c r="AB87" s="574"/>
      <c r="AC87" s="574"/>
      <c r="AD87" s="574"/>
      <c r="AE87" s="574"/>
      <c r="AF87" s="574"/>
    </row>
    <row r="88" spans="2:32" s="575" customFormat="1" ht="18.95" customHeight="1">
      <c r="B88" s="574"/>
      <c r="C88" s="609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8"/>
      <c r="T88" s="610"/>
      <c r="U88" s="611"/>
      <c r="V88" s="578"/>
      <c r="W88" s="574"/>
      <c r="X88" s="574"/>
      <c r="Y88" s="574"/>
      <c r="Z88" s="574"/>
      <c r="AA88" s="574"/>
      <c r="AB88" s="574"/>
      <c r="AC88" s="574"/>
      <c r="AD88" s="574"/>
      <c r="AE88" s="574"/>
      <c r="AF88" s="574"/>
    </row>
    <row r="89" spans="2:32" s="575" customFormat="1" ht="18.95" customHeight="1">
      <c r="B89" s="574"/>
      <c r="C89" s="609"/>
      <c r="D89" s="574"/>
      <c r="E89" s="574"/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8"/>
      <c r="T89" s="610"/>
      <c r="U89" s="611"/>
      <c r="V89" s="578"/>
      <c r="W89" s="574"/>
      <c r="X89" s="574"/>
      <c r="Y89" s="574"/>
      <c r="Z89" s="574"/>
      <c r="AA89" s="574"/>
      <c r="AB89" s="574"/>
      <c r="AC89" s="574"/>
      <c r="AD89" s="574"/>
      <c r="AE89" s="574"/>
      <c r="AF89" s="574"/>
    </row>
    <row r="90" spans="2:32" s="575" customFormat="1" ht="18.95" customHeight="1">
      <c r="B90" s="574"/>
      <c r="C90" s="609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8"/>
      <c r="T90" s="610"/>
      <c r="U90" s="611"/>
      <c r="V90" s="578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</row>
    <row r="91" spans="2:32" s="575" customFormat="1" ht="18.95" customHeight="1">
      <c r="B91" s="574"/>
      <c r="C91" s="609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8"/>
      <c r="T91" s="610"/>
      <c r="U91" s="611"/>
      <c r="V91" s="578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41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639" customWidth="1"/>
    <col min="2" max="2" width="42.125" style="574" bestFit="1" customWidth="1"/>
    <col min="3" max="3" width="14.75" style="577" customWidth="1"/>
    <col min="4" max="4" width="2.125" style="577" customWidth="1"/>
    <col min="5" max="5" width="9.25" style="578" customWidth="1"/>
    <col min="6" max="6" width="2" style="578" customWidth="1"/>
    <col min="7" max="7" width="14.75" style="577" customWidth="1"/>
    <col min="8" max="8" width="2.25" style="577" customWidth="1"/>
    <col min="9" max="9" width="10.375" style="577" customWidth="1"/>
    <col min="10" max="10" width="2.5" style="577" customWidth="1"/>
    <col min="11" max="11" width="8.75" style="577" customWidth="1"/>
    <col min="12" max="12" width="2" style="577" customWidth="1"/>
    <col min="13" max="13" width="9.75" style="579" customWidth="1"/>
    <col min="14" max="14" width="2.125" style="579" customWidth="1"/>
    <col min="15" max="15" width="9.75" style="577" customWidth="1"/>
    <col min="16" max="16" width="2.5" style="577" customWidth="1"/>
    <col min="17" max="17" width="13.75" style="577" customWidth="1"/>
    <col min="18" max="18" width="10.875" style="574" customWidth="1"/>
    <col min="19" max="19" width="8.875" style="574"/>
    <col min="20" max="20" width="14" style="574" customWidth="1"/>
    <col min="21" max="16384" width="8.875" style="574"/>
  </cols>
  <sheetData>
    <row r="1" spans="1:18" ht="15.95" customHeight="1">
      <c r="A1" s="815" t="str">
        <f>'Rate Case Constants'!C9</f>
        <v>KENTUCKY UTILITIES COMPANY</v>
      </c>
      <c r="B1" s="815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573"/>
    </row>
    <row r="2" spans="1:18" ht="15.95" customHeight="1">
      <c r="A2" s="815" t="str">
        <f>'Rate Case Constants'!C10</f>
        <v>CASE NO. 2020-00349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573"/>
    </row>
    <row r="3" spans="1:18" ht="15.95" customHeight="1">
      <c r="A3" s="815" t="s">
        <v>1432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573"/>
    </row>
    <row r="4" spans="1:18" ht="15.95" customHeight="1">
      <c r="A4" s="815" t="str">
        <f>'Rate Case Constants'!C21</f>
        <v>FORECAST PERIOD FOR THE 12 MONTHS ENDED JUNE 30, 2022</v>
      </c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573"/>
    </row>
    <row r="5" spans="1:18" ht="15.95" customHeight="1">
      <c r="A5" s="638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573"/>
    </row>
    <row r="6" spans="1:18" ht="15.95" customHeight="1">
      <c r="A6" s="67" t="s">
        <v>161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75" t="s">
        <v>1433</v>
      </c>
      <c r="R6" s="573"/>
    </row>
    <row r="7" spans="1:18" ht="15.95" customHeight="1">
      <c r="A7" s="67" t="str">
        <f>'Rate Case Constants'!C29</f>
        <v>TYPE OF FILING: __X__ ORIGINAL  _____ UPDATED  _____ REVISED</v>
      </c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75" t="s">
        <v>167</v>
      </c>
      <c r="R7" s="573"/>
    </row>
    <row r="8" spans="1:18" ht="15.95" customHeight="1">
      <c r="A8" s="67" t="s">
        <v>1195</v>
      </c>
      <c r="B8" s="639"/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75" t="str">
        <f>'Rate Case Constants'!C36</f>
        <v>WITNESS:   C. M. GARRETT</v>
      </c>
      <c r="R8" s="576"/>
    </row>
    <row r="9" spans="1:18" ht="15.95" customHeight="1"/>
    <row r="10" spans="1:18" s="580" customFormat="1" ht="50.1" customHeight="1">
      <c r="A10" s="159" t="s">
        <v>131</v>
      </c>
      <c r="B10" s="159" t="s">
        <v>204</v>
      </c>
      <c r="C10" s="159" t="s">
        <v>2522</v>
      </c>
      <c r="D10" s="160"/>
      <c r="E10" s="159" t="s">
        <v>2449</v>
      </c>
      <c r="F10" s="160"/>
      <c r="G10" s="159" t="s">
        <v>2450</v>
      </c>
      <c r="H10" s="160"/>
      <c r="I10" s="159" t="s">
        <v>2451</v>
      </c>
      <c r="J10" s="160"/>
      <c r="K10" s="159" t="s">
        <v>2452</v>
      </c>
      <c r="L10" s="160"/>
      <c r="M10" s="159" t="s">
        <v>2453</v>
      </c>
      <c r="N10" s="160"/>
      <c r="O10" s="159" t="s">
        <v>2454</v>
      </c>
      <c r="P10" s="160"/>
      <c r="Q10" s="159" t="s">
        <v>2455</v>
      </c>
    </row>
    <row r="11" spans="1:18" ht="15.95" customHeight="1">
      <c r="B11" s="574" t="s">
        <v>2456</v>
      </c>
    </row>
    <row r="12" spans="1:18" ht="15.95" customHeight="1">
      <c r="A12" s="639">
        <v>1</v>
      </c>
      <c r="B12" s="581" t="s">
        <v>2457</v>
      </c>
      <c r="C12" s="582">
        <v>282908273.95685464</v>
      </c>
      <c r="D12" s="583"/>
      <c r="E12" s="584">
        <v>0.94182569268505678</v>
      </c>
      <c r="F12" s="585"/>
      <c r="G12" s="582">
        <v>266450281.08574843</v>
      </c>
      <c r="H12" s="586"/>
      <c r="I12" s="586">
        <v>728006.23247472255</v>
      </c>
      <c r="K12" s="579">
        <v>45.498333333333335</v>
      </c>
      <c r="L12" s="579"/>
      <c r="M12" s="579">
        <v>-27.28</v>
      </c>
      <c r="O12" s="579">
        <f>K12+M12</f>
        <v>18.218333333333334</v>
      </c>
      <c r="P12" s="579"/>
      <c r="Q12" s="586">
        <f>I12*O12</f>
        <v>13263060.211968655</v>
      </c>
    </row>
    <row r="13" spans="1:18" ht="15.95" customHeight="1">
      <c r="A13" s="639">
        <f>A12+1</f>
        <v>2</v>
      </c>
      <c r="B13" s="581" t="s">
        <v>2458</v>
      </c>
      <c r="C13" s="582">
        <v>115054264.14106338</v>
      </c>
      <c r="D13" s="583"/>
      <c r="E13" s="584">
        <v>0.94182569268505678</v>
      </c>
      <c r="F13" s="585"/>
      <c r="G13" s="582">
        <v>108361062.02102651</v>
      </c>
      <c r="H13" s="586"/>
      <c r="I13" s="586">
        <v>296068.47546728555</v>
      </c>
      <c r="K13" s="579">
        <v>45.498333333333335</v>
      </c>
      <c r="L13" s="579"/>
      <c r="M13" s="579">
        <v>-39.32</v>
      </c>
      <c r="O13" s="579">
        <f t="shared" ref="O13:O26" si="0">K13+M13</f>
        <v>6.1783333333333346</v>
      </c>
      <c r="P13" s="579"/>
      <c r="Q13" s="586">
        <f t="shared" ref="Q13:Q26" si="1">I13*O13</f>
        <v>1829209.730928713</v>
      </c>
    </row>
    <row r="14" spans="1:18" ht="15.95" customHeight="1">
      <c r="A14" s="639">
        <f>A13+1</f>
        <v>3</v>
      </c>
      <c r="B14" s="581" t="s">
        <v>2459</v>
      </c>
      <c r="C14" s="582">
        <v>1606166.0000000005</v>
      </c>
      <c r="D14" s="583"/>
      <c r="E14" s="584">
        <v>0.94182569268505678</v>
      </c>
      <c r="F14" s="585"/>
      <c r="G14" s="582">
        <v>1512728.4055171874</v>
      </c>
      <c r="H14" s="586"/>
      <c r="I14" s="586">
        <v>4133.1377199923154</v>
      </c>
      <c r="K14" s="579">
        <v>45.498333333333335</v>
      </c>
      <c r="L14" s="579"/>
      <c r="M14" s="579">
        <v>-17.32</v>
      </c>
      <c r="O14" s="579">
        <f t="shared" si="0"/>
        <v>28.178333333333335</v>
      </c>
      <c r="P14" s="579"/>
      <c r="Q14" s="586">
        <f t="shared" si="1"/>
        <v>116464.9323865168</v>
      </c>
    </row>
    <row r="15" spans="1:18" ht="15.95" customHeight="1">
      <c r="A15" s="639">
        <f>A14+1</f>
        <v>4</v>
      </c>
      <c r="B15" s="581" t="s">
        <v>2460</v>
      </c>
      <c r="C15" s="582">
        <v>18854987</v>
      </c>
      <c r="D15" s="583"/>
      <c r="E15" s="584">
        <v>0.94182569268505678</v>
      </c>
      <c r="F15" s="585"/>
      <c r="G15" s="582">
        <v>17758111.191842742</v>
      </c>
      <c r="H15" s="586"/>
      <c r="I15" s="586">
        <v>48519.429485909131</v>
      </c>
      <c r="K15" s="579">
        <v>45.498333333333335</v>
      </c>
      <c r="L15" s="579"/>
      <c r="M15" s="579">
        <v>-27.76</v>
      </c>
      <c r="O15" s="579">
        <f t="shared" si="0"/>
        <v>17.738333333333333</v>
      </c>
      <c r="P15" s="579"/>
      <c r="Q15" s="586">
        <f t="shared" si="1"/>
        <v>860653.81336421811</v>
      </c>
    </row>
    <row r="16" spans="1:18" ht="15.95" customHeight="1">
      <c r="A16" s="639">
        <f>A15+1</f>
        <v>5</v>
      </c>
      <c r="B16" s="581" t="s">
        <v>2461</v>
      </c>
      <c r="C16" s="587">
        <v>51756700.650522575</v>
      </c>
      <c r="D16" s="583"/>
      <c r="E16" s="584">
        <v>0.94109124339129502</v>
      </c>
      <c r="F16" s="585"/>
      <c r="G16" s="587">
        <v>48707777.769031338</v>
      </c>
      <c r="H16" s="586"/>
      <c r="I16" s="586">
        <v>133081.36002467579</v>
      </c>
      <c r="K16" s="579">
        <v>45.498333333333335</v>
      </c>
      <c r="L16" s="579"/>
      <c r="M16" s="579">
        <v>-23.664370061149086</v>
      </c>
      <c r="O16" s="579">
        <f t="shared" si="0"/>
        <v>21.833963272184249</v>
      </c>
      <c r="P16" s="579"/>
      <c r="Q16" s="586">
        <f t="shared" si="1"/>
        <v>2905693.5269911001</v>
      </c>
    </row>
    <row r="17" spans="1:17" ht="15.95" customHeight="1">
      <c r="A17" s="639">
        <f>A16+1</f>
        <v>6</v>
      </c>
      <c r="B17" s="581" t="s">
        <v>2462</v>
      </c>
      <c r="C17" s="582">
        <v>45553210</v>
      </c>
      <c r="D17" s="583"/>
      <c r="E17" s="584">
        <v>0.94097187891892597</v>
      </c>
      <c r="F17" s="585"/>
      <c r="G17" s="582">
        <v>42864289.60448841</v>
      </c>
      <c r="H17" s="586"/>
      <c r="I17" s="586">
        <v>117115.54536745467</v>
      </c>
      <c r="K17" s="579">
        <v>45.498333333333335</v>
      </c>
      <c r="L17" s="579"/>
      <c r="M17" s="579">
        <v>-13.010845763287058</v>
      </c>
      <c r="O17" s="579">
        <f t="shared" si="0"/>
        <v>32.487487570046277</v>
      </c>
      <c r="P17" s="579"/>
      <c r="Q17" s="586">
        <f t="shared" si="1"/>
        <v>3804789.8243843745</v>
      </c>
    </row>
    <row r="18" spans="1:17" ht="15.95" customHeight="1">
      <c r="A18" s="639">
        <f t="shared" ref="A18:A24" si="2">A17+1</f>
        <v>7</v>
      </c>
      <c r="B18" s="581" t="s">
        <v>2463</v>
      </c>
      <c r="C18" s="582">
        <v>681293</v>
      </c>
      <c r="D18" s="583"/>
      <c r="E18" s="584">
        <v>0.94097187891892597</v>
      </c>
      <c r="F18" s="585"/>
      <c r="G18" s="582">
        <v>641077.55430431187</v>
      </c>
      <c r="H18" s="586"/>
      <c r="I18" s="586">
        <v>1751.5780172248958</v>
      </c>
      <c r="K18" s="579">
        <v>45.498333333333335</v>
      </c>
      <c r="L18" s="579"/>
      <c r="M18" s="579">
        <v>0</v>
      </c>
      <c r="O18" s="579">
        <f t="shared" si="0"/>
        <v>45.498333333333335</v>
      </c>
      <c r="P18" s="579"/>
      <c r="Q18" s="586">
        <f t="shared" si="1"/>
        <v>79693.880487037386</v>
      </c>
    </row>
    <row r="19" spans="1:17" ht="15.95" customHeight="1">
      <c r="A19" s="639">
        <f t="shared" si="2"/>
        <v>8</v>
      </c>
      <c r="B19" s="581" t="s">
        <v>2464</v>
      </c>
      <c r="C19" s="582">
        <v>750057</v>
      </c>
      <c r="D19" s="583"/>
      <c r="E19" s="584">
        <v>0.94097187891892597</v>
      </c>
      <c r="F19" s="585"/>
      <c r="G19" s="582">
        <v>705782.54458629282</v>
      </c>
      <c r="H19" s="586"/>
      <c r="I19" s="586">
        <v>1928.36760815927</v>
      </c>
      <c r="K19" s="579">
        <v>45.498333333333335</v>
      </c>
      <c r="L19" s="579"/>
      <c r="M19" s="579">
        <v>0</v>
      </c>
      <c r="O19" s="579">
        <f t="shared" si="0"/>
        <v>45.498333333333335</v>
      </c>
      <c r="P19" s="579"/>
      <c r="Q19" s="586">
        <f t="shared" si="1"/>
        <v>87737.512225233193</v>
      </c>
    </row>
    <row r="20" spans="1:17" ht="15.95" customHeight="1">
      <c r="A20" s="639">
        <f>A19+1</f>
        <v>9</v>
      </c>
      <c r="B20" s="581" t="s">
        <v>2465</v>
      </c>
      <c r="C20" s="582">
        <v>3610028.9944800003</v>
      </c>
      <c r="D20" s="583"/>
      <c r="E20" s="584">
        <v>0.94097187891892597</v>
      </c>
      <c r="F20" s="585"/>
      <c r="G20" s="582">
        <v>3396935.7658876469</v>
      </c>
      <c r="H20" s="586"/>
      <c r="I20" s="586">
        <v>9281.245261988106</v>
      </c>
      <c r="K20" s="579">
        <v>45.498333333333335</v>
      </c>
      <c r="L20" s="579"/>
      <c r="M20" s="579">
        <v>-244.79</v>
      </c>
      <c r="O20" s="579">
        <f t="shared" si="0"/>
        <v>-199.29166666666666</v>
      </c>
      <c r="P20" s="579"/>
      <c r="Q20" s="586">
        <f t="shared" si="1"/>
        <v>-1849674.8370037128</v>
      </c>
    </row>
    <row r="21" spans="1:17" ht="15.95" customHeight="1">
      <c r="A21" s="639">
        <f>A20+1</f>
        <v>10</v>
      </c>
      <c r="B21" s="581" t="s">
        <v>2466</v>
      </c>
      <c r="C21" s="582">
        <v>1776162</v>
      </c>
      <c r="D21" s="583"/>
      <c r="E21" s="584">
        <v>0.94097187891892597</v>
      </c>
      <c r="F21" s="585"/>
      <c r="G21" s="582">
        <v>1671318.4944043974</v>
      </c>
      <c r="H21" s="586"/>
      <c r="I21" s="586">
        <v>4566.4439737825069</v>
      </c>
      <c r="K21" s="579">
        <v>45.498333333333335</v>
      </c>
      <c r="L21" s="579"/>
      <c r="M21" s="579">
        <v>-22.558255780356177</v>
      </c>
      <c r="O21" s="579">
        <f t="shared" si="0"/>
        <v>22.940077552977158</v>
      </c>
      <c r="P21" s="579"/>
      <c r="Q21" s="586">
        <f t="shared" si="1"/>
        <v>104754.5788998959</v>
      </c>
    </row>
    <row r="22" spans="1:17" ht="15.95" customHeight="1">
      <c r="A22" s="639">
        <f t="shared" si="2"/>
        <v>11</v>
      </c>
      <c r="B22" s="581" t="s">
        <v>2467</v>
      </c>
      <c r="C22" s="582">
        <v>1343588</v>
      </c>
      <c r="D22" s="583"/>
      <c r="E22" s="584">
        <v>0.94097187891892597</v>
      </c>
      <c r="F22" s="585"/>
      <c r="G22" s="582">
        <v>1264278.524852922</v>
      </c>
      <c r="H22" s="586"/>
      <c r="I22" s="586">
        <v>3454.312909434213</v>
      </c>
      <c r="K22" s="579">
        <v>45.498333333333335</v>
      </c>
      <c r="L22" s="579"/>
      <c r="M22" s="579">
        <v>-283.5</v>
      </c>
      <c r="O22" s="579">
        <f t="shared" si="0"/>
        <v>-238.00166666666667</v>
      </c>
      <c r="P22" s="579"/>
      <c r="Q22" s="586">
        <f t="shared" si="1"/>
        <v>-822132.22963352513</v>
      </c>
    </row>
    <row r="23" spans="1:17" ht="15.95" customHeight="1">
      <c r="A23" s="639">
        <f t="shared" si="2"/>
        <v>12</v>
      </c>
      <c r="B23" s="581" t="s">
        <v>2468</v>
      </c>
      <c r="C23" s="587">
        <v>4885488</v>
      </c>
      <c r="E23" s="584">
        <v>0.95098968265419803</v>
      </c>
      <c r="F23" s="585"/>
      <c r="G23" s="582">
        <v>4646048.6827308927</v>
      </c>
      <c r="H23" s="586"/>
      <c r="I23" s="586">
        <v>12694.122083964188</v>
      </c>
      <c r="K23" s="579">
        <v>45.498333333333335</v>
      </c>
      <c r="L23" s="579"/>
      <c r="M23" s="579">
        <v>-131.69914670445385</v>
      </c>
      <c r="O23" s="579">
        <f t="shared" si="0"/>
        <v>-86.200813371120518</v>
      </c>
      <c r="P23" s="579"/>
      <c r="Q23" s="586">
        <f t="shared" si="1"/>
        <v>-1094243.6486700166</v>
      </c>
    </row>
    <row r="24" spans="1:17" ht="15.95" customHeight="1">
      <c r="A24" s="639">
        <f t="shared" si="2"/>
        <v>13</v>
      </c>
      <c r="B24" s="581" t="s">
        <v>2469</v>
      </c>
      <c r="C24" s="582">
        <v>3029323.54</v>
      </c>
      <c r="E24" s="584">
        <v>0.93716305348328977</v>
      </c>
      <c r="F24" s="585"/>
      <c r="G24" s="582">
        <v>2838970.0987352086</v>
      </c>
      <c r="H24" s="586"/>
      <c r="I24" s="586">
        <v>7756.7489036481111</v>
      </c>
      <c r="K24" s="579">
        <v>45.498333333333335</v>
      </c>
      <c r="L24" s="579"/>
      <c r="M24" s="579">
        <v>-41.741641520962055</v>
      </c>
      <c r="O24" s="579">
        <f t="shared" si="0"/>
        <v>3.7566918123712796</v>
      </c>
      <c r="P24" s="579"/>
      <c r="Q24" s="586">
        <f t="shared" si="1"/>
        <v>29139.715096954758</v>
      </c>
    </row>
    <row r="25" spans="1:17" ht="15.95" customHeight="1">
      <c r="A25" s="639">
        <f>A24+1</f>
        <v>14</v>
      </c>
      <c r="B25" s="581" t="s">
        <v>2470</v>
      </c>
      <c r="C25" s="582">
        <v>210662341.91</v>
      </c>
      <c r="E25" s="584">
        <v>0.93935081200811021</v>
      </c>
      <c r="F25" s="585"/>
      <c r="G25" s="582">
        <v>197885841.93268865</v>
      </c>
      <c r="H25" s="586"/>
      <c r="I25" s="586">
        <v>540671.69926964107</v>
      </c>
      <c r="K25" s="579">
        <v>45.498333333333335</v>
      </c>
      <c r="L25" s="579"/>
      <c r="M25" s="579">
        <v>-25.38804860890605</v>
      </c>
      <c r="O25" s="579">
        <f t="shared" si="0"/>
        <v>20.110284724427284</v>
      </c>
      <c r="P25" s="579"/>
      <c r="Q25" s="586">
        <f t="shared" si="1"/>
        <v>10873061.814752406</v>
      </c>
    </row>
    <row r="26" spans="1:17" ht="15.95" customHeight="1">
      <c r="A26" s="639">
        <f>A25+1</f>
        <v>15</v>
      </c>
      <c r="B26" s="581" t="s">
        <v>2471</v>
      </c>
      <c r="C26" s="599">
        <v>187338766.23551822</v>
      </c>
      <c r="D26" s="588"/>
      <c r="E26" s="584">
        <v>0.93065683602597038</v>
      </c>
      <c r="F26" s="585"/>
      <c r="G26" s="599">
        <v>174348103.44975626</v>
      </c>
      <c r="H26" s="589"/>
      <c r="I26" s="586">
        <v>476360.93838731217</v>
      </c>
      <c r="K26" s="579">
        <v>45.498333333333335</v>
      </c>
      <c r="L26" s="579"/>
      <c r="M26" s="579">
        <v>-48.047788467578023</v>
      </c>
      <c r="O26" s="579">
        <f t="shared" si="0"/>
        <v>-2.5494551342446883</v>
      </c>
      <c r="P26" s="579"/>
      <c r="Q26" s="590">
        <f t="shared" si="1"/>
        <v>-1214460.8401251507</v>
      </c>
    </row>
    <row r="27" spans="1:17" ht="15.95" customHeight="1">
      <c r="A27" s="639">
        <f>A26+1</f>
        <v>16</v>
      </c>
      <c r="B27" s="591" t="s">
        <v>2472</v>
      </c>
      <c r="C27" s="582">
        <v>929810650.4284389</v>
      </c>
      <c r="D27" s="592"/>
      <c r="E27" s="584"/>
      <c r="F27" s="585"/>
      <c r="G27" s="582">
        <v>873052607.12560117</v>
      </c>
      <c r="H27" s="586"/>
      <c r="I27" s="586"/>
      <c r="K27" s="579"/>
      <c r="L27" s="579"/>
      <c r="O27" s="579"/>
      <c r="P27" s="579"/>
      <c r="Q27" s="586">
        <f>SUM(Q12:Q26)</f>
        <v>28973747.986052699</v>
      </c>
    </row>
    <row r="28" spans="1:17" ht="15.95" customHeight="1">
      <c r="B28" s="591"/>
      <c r="C28" s="593">
        <v>0</v>
      </c>
      <c r="D28" s="592"/>
      <c r="E28" s="584"/>
      <c r="F28" s="585"/>
      <c r="G28" s="582">
        <v>0</v>
      </c>
      <c r="I28" s="594"/>
      <c r="K28" s="579"/>
      <c r="L28" s="579"/>
      <c r="O28" s="579"/>
      <c r="P28" s="579"/>
    </row>
    <row r="29" spans="1:17" ht="15.95" customHeight="1">
      <c r="A29" s="639">
        <f>A27+1</f>
        <v>17</v>
      </c>
      <c r="B29" s="574" t="s">
        <v>2473</v>
      </c>
      <c r="C29" s="595"/>
      <c r="E29" s="584"/>
      <c r="F29" s="585"/>
      <c r="G29" s="595"/>
      <c r="I29" s="586"/>
      <c r="K29" s="579"/>
      <c r="L29" s="579"/>
      <c r="O29" s="579"/>
      <c r="P29" s="579"/>
      <c r="Q29" s="586"/>
    </row>
    <row r="30" spans="1:17" ht="15.95" customHeight="1">
      <c r="A30" s="639">
        <f>A29+1</f>
        <v>18</v>
      </c>
      <c r="B30" s="581" t="s">
        <v>2474</v>
      </c>
      <c r="C30" s="582">
        <v>415869665.36114585</v>
      </c>
      <c r="E30" s="584">
        <v>0.93569989822936772</v>
      </c>
      <c r="F30" s="585"/>
      <c r="G30" s="582">
        <v>389129203.55510539</v>
      </c>
      <c r="I30" s="586">
        <v>1063194.5452325284</v>
      </c>
      <c r="K30" s="579">
        <v>45.498333333333335</v>
      </c>
      <c r="L30" s="579"/>
      <c r="M30" s="579">
        <v>0</v>
      </c>
      <c r="O30" s="579">
        <f>K30+M30</f>
        <v>45.498333333333335</v>
      </c>
      <c r="P30" s="579"/>
      <c r="Q30" s="586">
        <f>I30*O30</f>
        <v>48373579.81717132</v>
      </c>
    </row>
    <row r="31" spans="1:17" ht="15.95" customHeight="1">
      <c r="A31" s="639">
        <f>A30+1</f>
        <v>19</v>
      </c>
      <c r="B31" s="581" t="s">
        <v>2475</v>
      </c>
      <c r="C31" s="582">
        <v>15097734.217080034</v>
      </c>
      <c r="E31" s="584">
        <v>0.95444213787883447</v>
      </c>
      <c r="F31" s="585"/>
      <c r="G31" s="582">
        <v>14409913.723276298</v>
      </c>
      <c r="I31" s="586">
        <v>39371.348970700266</v>
      </c>
      <c r="K31" s="579">
        <v>45.498333333333335</v>
      </c>
      <c r="L31" s="579"/>
      <c r="M31" s="579">
        <v>0</v>
      </c>
      <c r="O31" s="579">
        <f>K31+M31</f>
        <v>45.498333333333335</v>
      </c>
      <c r="P31" s="579"/>
      <c r="Q31" s="586">
        <f>I31*O31</f>
        <v>1791330.759251911</v>
      </c>
    </row>
    <row r="32" spans="1:17" ht="15.95" customHeight="1">
      <c r="A32" s="639">
        <f>A31+1</f>
        <v>20</v>
      </c>
      <c r="B32" s="581" t="s">
        <v>3710</v>
      </c>
      <c r="C32" s="582">
        <v>901323.12</v>
      </c>
      <c r="E32" s="584">
        <v>1</v>
      </c>
      <c r="F32" s="585"/>
      <c r="G32" s="582">
        <v>901323.12</v>
      </c>
      <c r="I32" s="586">
        <v>2462.6314754098362</v>
      </c>
      <c r="K32" s="579">
        <v>45.498333333333335</v>
      </c>
      <c r="L32" s="579"/>
      <c r="M32" s="579">
        <v>0</v>
      </c>
      <c r="O32" s="579">
        <f>K32+M32</f>
        <v>45.498333333333335</v>
      </c>
      <c r="P32" s="579"/>
      <c r="Q32" s="586">
        <f>I32*O32</f>
        <v>112045.6277453552</v>
      </c>
    </row>
    <row r="33" spans="1:20" ht="15.95" customHeight="1">
      <c r="A33" s="639">
        <f>A32+1</f>
        <v>21</v>
      </c>
      <c r="B33" s="581" t="s">
        <v>3711</v>
      </c>
      <c r="C33" s="582">
        <v>5129794.2</v>
      </c>
      <c r="E33" s="584">
        <v>1</v>
      </c>
      <c r="F33" s="585"/>
      <c r="G33" s="582">
        <v>5129794.2</v>
      </c>
      <c r="I33" s="586">
        <v>14015.831147540985</v>
      </c>
      <c r="K33" s="579">
        <v>45.498333333333335</v>
      </c>
      <c r="L33" s="579"/>
      <c r="M33" s="579">
        <v>0</v>
      </c>
      <c r="O33" s="579">
        <f>K33+M33</f>
        <v>45.498333333333335</v>
      </c>
      <c r="P33" s="579"/>
      <c r="Q33" s="586">
        <f>I33*O33</f>
        <v>637696.9574945356</v>
      </c>
    </row>
    <row r="34" spans="1:20" ht="15.95" customHeight="1">
      <c r="A34" s="639">
        <f>A33+1</f>
        <v>22</v>
      </c>
      <c r="B34" s="591" t="s">
        <v>2476</v>
      </c>
      <c r="C34" s="596">
        <v>436998516.8982259</v>
      </c>
      <c r="D34" s="592"/>
      <c r="E34" s="584"/>
      <c r="F34" s="585"/>
      <c r="G34" s="596">
        <v>409570234.5983817</v>
      </c>
      <c r="H34" s="586"/>
      <c r="I34" s="586"/>
      <c r="K34" s="579"/>
      <c r="L34" s="579"/>
      <c r="O34" s="579"/>
      <c r="P34" s="579"/>
      <c r="Q34" s="596">
        <f>SUM(Q30:Q33)</f>
        <v>50914653.161663115</v>
      </c>
    </row>
    <row r="35" spans="1:20" ht="15.95" customHeight="1">
      <c r="C35" s="597"/>
      <c r="E35" s="584"/>
      <c r="F35" s="585"/>
      <c r="I35" s="594"/>
      <c r="K35" s="579"/>
      <c r="L35" s="579"/>
      <c r="O35" s="579"/>
      <c r="P35" s="579"/>
    </row>
    <row r="36" spans="1:20" ht="15.95" customHeight="1">
      <c r="A36" s="639">
        <f>A34+1</f>
        <v>23</v>
      </c>
      <c r="B36" s="574" t="s">
        <v>2477</v>
      </c>
      <c r="C36" s="597"/>
      <c r="E36" s="584"/>
      <c r="F36" s="585"/>
      <c r="I36" s="594"/>
      <c r="K36" s="579"/>
      <c r="L36" s="579"/>
      <c r="O36" s="579"/>
      <c r="P36" s="579"/>
      <c r="T36" s="598"/>
    </row>
    <row r="37" spans="1:20" ht="15.95" customHeight="1">
      <c r="A37" s="639">
        <f>A36+1</f>
        <v>24</v>
      </c>
      <c r="B37" s="581" t="s">
        <v>2478</v>
      </c>
      <c r="C37" s="582">
        <v>39711002.244655192</v>
      </c>
      <c r="D37" s="583"/>
      <c r="E37" s="584">
        <v>0.96847196262980428</v>
      </c>
      <c r="F37" s="585"/>
      <c r="G37" s="582">
        <v>38458992.281877778</v>
      </c>
      <c r="H37" s="586"/>
      <c r="I37" s="586">
        <v>105079.21388491197</v>
      </c>
      <c r="K37" s="579">
        <v>45.498333333333335</v>
      </c>
      <c r="L37" s="579"/>
      <c r="M37" s="579">
        <v>-37.5</v>
      </c>
      <c r="O37" s="579">
        <f>K37+M37</f>
        <v>7.9983333333333348</v>
      </c>
      <c r="P37" s="579"/>
      <c r="Q37" s="586">
        <f>I37*O37</f>
        <v>840458.57905615435</v>
      </c>
      <c r="T37" s="587"/>
    </row>
    <row r="38" spans="1:20" ht="15.95" customHeight="1">
      <c r="A38" s="639">
        <f>A37+1</f>
        <v>25</v>
      </c>
      <c r="B38" s="581" t="s">
        <v>2479</v>
      </c>
      <c r="C38" s="582">
        <v>4083851.20078352</v>
      </c>
      <c r="D38" s="583"/>
      <c r="E38" s="584">
        <v>0.96847196262980428</v>
      </c>
      <c r="F38" s="585"/>
      <c r="G38" s="582">
        <v>3955095.3875108985</v>
      </c>
      <c r="H38" s="586"/>
      <c r="I38" s="586">
        <v>10806.271550576226</v>
      </c>
      <c r="K38" s="579">
        <v>45.498333333333335</v>
      </c>
      <c r="L38" s="579"/>
      <c r="M38" s="579">
        <v>-37.5</v>
      </c>
      <c r="O38" s="579">
        <f>K38+M38</f>
        <v>7.9983333333333348</v>
      </c>
      <c r="P38" s="579"/>
      <c r="Q38" s="586">
        <f>I38*O38</f>
        <v>86432.161952025534</v>
      </c>
      <c r="T38" s="587"/>
    </row>
    <row r="39" spans="1:20" ht="15.95" customHeight="1">
      <c r="A39" s="639">
        <f>A38+1</f>
        <v>26</v>
      </c>
      <c r="B39" s="581" t="s">
        <v>2480</v>
      </c>
      <c r="C39" s="599">
        <v>-20916381.172851149</v>
      </c>
      <c r="D39" s="600"/>
      <c r="E39" s="584">
        <v>0.96847196262980428</v>
      </c>
      <c r="F39" s="585"/>
      <c r="G39" s="599">
        <v>-20256928.725584239</v>
      </c>
      <c r="H39" s="589"/>
      <c r="I39" s="586">
        <v>-55346.79979667825</v>
      </c>
      <c r="K39" s="579">
        <v>45.498333333333335</v>
      </c>
      <c r="L39" s="579"/>
      <c r="M39" s="579">
        <v>0</v>
      </c>
      <c r="O39" s="579">
        <f>K39+M39</f>
        <v>45.498333333333335</v>
      </c>
      <c r="P39" s="579"/>
      <c r="Q39" s="590">
        <f>I39*O39</f>
        <v>-2518187.1460825326</v>
      </c>
      <c r="T39" s="587"/>
    </row>
    <row r="40" spans="1:20" ht="15.95" customHeight="1">
      <c r="A40" s="639">
        <f>A39+1</f>
        <v>27</v>
      </c>
      <c r="B40" s="591" t="s">
        <v>2481</v>
      </c>
      <c r="C40" s="596">
        <v>22878471.35218589</v>
      </c>
      <c r="D40" s="592"/>
      <c r="E40" s="584"/>
      <c r="F40" s="585"/>
      <c r="G40" s="596">
        <v>22157158.05242122</v>
      </c>
      <c r="H40" s="586"/>
      <c r="I40" s="586"/>
      <c r="K40" s="579"/>
      <c r="L40" s="579"/>
      <c r="O40" s="579"/>
      <c r="P40" s="579"/>
      <c r="Q40" s="586">
        <f>SUM(Q37:Q39)</f>
        <v>-1591296.4050743529</v>
      </c>
      <c r="T40" s="601"/>
    </row>
    <row r="41" spans="1:20" ht="15.95" customHeight="1">
      <c r="B41" s="591"/>
      <c r="C41" s="592"/>
      <c r="D41" s="592"/>
      <c r="E41" s="584"/>
      <c r="F41" s="585"/>
      <c r="G41" s="592">
        <v>0.89138321578502655</v>
      </c>
      <c r="I41" s="594"/>
      <c r="K41" s="579"/>
      <c r="L41" s="579"/>
      <c r="O41" s="579"/>
      <c r="P41" s="579"/>
    </row>
    <row r="42" spans="1:20" ht="15.95" customHeight="1">
      <c r="A42" s="639">
        <f>A40+1</f>
        <v>28</v>
      </c>
      <c r="B42" s="574" t="s">
        <v>2482</v>
      </c>
      <c r="C42" s="597"/>
      <c r="E42" s="584"/>
      <c r="F42" s="585"/>
      <c r="I42" s="594"/>
      <c r="K42" s="579"/>
      <c r="L42" s="579"/>
      <c r="O42" s="579"/>
      <c r="P42" s="579"/>
    </row>
    <row r="43" spans="1:20" ht="15.95" customHeight="1">
      <c r="A43" s="639">
        <f>A42+1</f>
        <v>29</v>
      </c>
      <c r="B43" s="581" t="s">
        <v>2483</v>
      </c>
      <c r="C43" s="582">
        <v>38987960.675990246</v>
      </c>
      <c r="D43" s="583"/>
      <c r="E43" s="584">
        <v>0.93626023749015197</v>
      </c>
      <c r="F43" s="585"/>
      <c r="G43" s="582">
        <v>36502877.321759336</v>
      </c>
      <c r="H43" s="586"/>
      <c r="I43" s="586">
        <v>99734.637491145724</v>
      </c>
      <c r="K43" s="579">
        <v>45.498333333333335</v>
      </c>
      <c r="L43" s="579"/>
      <c r="M43" s="579">
        <v>-157.56749538820867</v>
      </c>
      <c r="O43" s="579">
        <f>K43+M43</f>
        <v>-112.06916205487533</v>
      </c>
      <c r="P43" s="579"/>
      <c r="Q43" s="586">
        <f>I43*O43</f>
        <v>-11177177.251479456</v>
      </c>
    </row>
    <row r="44" spans="1:20" ht="15.95" customHeight="1">
      <c r="A44" s="639">
        <f>A43+1</f>
        <v>30</v>
      </c>
      <c r="B44" s="581" t="s">
        <v>2484</v>
      </c>
      <c r="C44" s="582">
        <v>10962201</v>
      </c>
      <c r="D44" s="583"/>
      <c r="E44" s="584">
        <v>0.94097187891892597</v>
      </c>
      <c r="F44" s="585"/>
      <c r="G44" s="582">
        <v>10315122.872056929</v>
      </c>
      <c r="H44" s="586"/>
      <c r="I44" s="586">
        <v>28183.395825292158</v>
      </c>
      <c r="K44" s="579">
        <v>45.498333333333335</v>
      </c>
      <c r="L44" s="579"/>
      <c r="M44" s="579">
        <v>-35.635795614897127</v>
      </c>
      <c r="O44" s="579">
        <f>K44+M44</f>
        <v>9.862537718436208</v>
      </c>
      <c r="P44" s="579"/>
      <c r="Q44" s="586">
        <f>I44*O44</f>
        <v>277959.80436056148</v>
      </c>
    </row>
    <row r="45" spans="1:20" ht="15.95" customHeight="1">
      <c r="A45" s="639">
        <f>A44+1</f>
        <v>31</v>
      </c>
      <c r="B45" s="581" t="s">
        <v>2485</v>
      </c>
      <c r="C45" s="599">
        <v>3334056</v>
      </c>
      <c r="D45" s="600"/>
      <c r="E45" s="584">
        <v>1</v>
      </c>
      <c r="F45" s="585"/>
      <c r="G45" s="599">
        <v>3334056</v>
      </c>
      <c r="H45" s="589"/>
      <c r="I45" s="586">
        <v>9109.442622950819</v>
      </c>
      <c r="K45" s="579">
        <v>45.498333333333335</v>
      </c>
      <c r="L45" s="579"/>
      <c r="M45" s="579">
        <v>152.00463677122599</v>
      </c>
      <c r="O45" s="579">
        <f>K45+M45</f>
        <v>197.50297010455932</v>
      </c>
      <c r="P45" s="579"/>
      <c r="Q45" s="590">
        <f>I45*O45</f>
        <v>1799141.9740298542</v>
      </c>
    </row>
    <row r="46" spans="1:20" ht="15.95" customHeight="1">
      <c r="A46" s="639">
        <f>A45+1</f>
        <v>32</v>
      </c>
      <c r="B46" s="591" t="s">
        <v>2486</v>
      </c>
      <c r="C46" s="582">
        <v>53284217.675990246</v>
      </c>
      <c r="D46" s="592"/>
      <c r="E46" s="584"/>
      <c r="F46" s="585"/>
      <c r="G46" s="596">
        <v>50152056.193816267</v>
      </c>
      <c r="H46" s="586"/>
      <c r="I46" s="586"/>
      <c r="K46" s="579"/>
      <c r="L46" s="579"/>
      <c r="O46" s="579"/>
      <c r="P46" s="579"/>
      <c r="Q46" s="586">
        <f>SUM(Q43:Q45)</f>
        <v>-9100075.4730890412</v>
      </c>
    </row>
    <row r="47" spans="1:20" ht="15.95" customHeight="1">
      <c r="C47" s="597"/>
      <c r="E47" s="584"/>
      <c r="F47" s="585"/>
      <c r="I47" s="594"/>
      <c r="K47" s="579"/>
      <c r="L47" s="579"/>
      <c r="O47" s="579"/>
      <c r="P47" s="579"/>
    </row>
    <row r="48" spans="1:20" ht="15.95" customHeight="1">
      <c r="A48" s="639">
        <f>A46+1</f>
        <v>33</v>
      </c>
      <c r="B48" s="574" t="s">
        <v>785</v>
      </c>
      <c r="C48" s="582">
        <v>-192881</v>
      </c>
      <c r="E48" s="584">
        <v>0.89501641305654622</v>
      </c>
      <c r="F48" s="585"/>
      <c r="G48" s="582">
        <v>-172631.66076675968</v>
      </c>
      <c r="H48" s="586"/>
      <c r="I48" s="602">
        <v>-471.67120428076419</v>
      </c>
      <c r="K48" s="579">
        <v>45.498333333333335</v>
      </c>
      <c r="L48" s="579"/>
      <c r="M48" s="579">
        <v>-45.498333333333335</v>
      </c>
      <c r="O48" s="579">
        <f>K48+M48</f>
        <v>0</v>
      </c>
      <c r="P48" s="579"/>
      <c r="Q48" s="586">
        <f>I48*O48</f>
        <v>0</v>
      </c>
    </row>
    <row r="49" spans="1:17" ht="15.95" customHeight="1">
      <c r="C49" s="597"/>
      <c r="E49" s="584"/>
      <c r="F49" s="585"/>
      <c r="I49" s="594"/>
      <c r="K49" s="579"/>
      <c r="L49" s="579"/>
      <c r="O49" s="579"/>
      <c r="P49" s="579"/>
    </row>
    <row r="50" spans="1:17" ht="15.95" customHeight="1">
      <c r="A50" s="639">
        <f>A48+1</f>
        <v>34</v>
      </c>
      <c r="B50" s="574" t="s">
        <v>2487</v>
      </c>
      <c r="C50" s="582">
        <v>0</v>
      </c>
      <c r="E50" s="584">
        <v>0</v>
      </c>
      <c r="F50" s="585"/>
      <c r="G50" s="582">
        <v>0</v>
      </c>
      <c r="H50" s="586"/>
      <c r="I50" s="602">
        <v>0</v>
      </c>
      <c r="K50" s="579">
        <v>45.498333333333335</v>
      </c>
      <c r="L50" s="579"/>
      <c r="M50" s="579">
        <v>-45.498333333333335</v>
      </c>
      <c r="O50" s="579">
        <f>K50+M50</f>
        <v>0</v>
      </c>
      <c r="P50" s="579"/>
      <c r="Q50" s="586">
        <f>I50*O50</f>
        <v>0</v>
      </c>
    </row>
    <row r="51" spans="1:17" ht="15.95" customHeight="1">
      <c r="C51" s="597"/>
      <c r="E51" s="584"/>
      <c r="F51" s="585"/>
      <c r="G51" s="586"/>
      <c r="H51" s="586"/>
      <c r="I51" s="586"/>
      <c r="K51" s="579"/>
      <c r="L51" s="579"/>
      <c r="O51" s="579"/>
      <c r="P51" s="579"/>
      <c r="Q51" s="586"/>
    </row>
    <row r="52" spans="1:17" ht="15.95" customHeight="1">
      <c r="A52" s="639">
        <f>A50+1</f>
        <v>35</v>
      </c>
      <c r="B52" s="574" t="s">
        <v>2488</v>
      </c>
      <c r="C52" s="582">
        <v>0</v>
      </c>
      <c r="E52" s="584">
        <v>0</v>
      </c>
      <c r="F52" s="585"/>
      <c r="G52" s="582">
        <v>0</v>
      </c>
      <c r="H52" s="586"/>
      <c r="I52" s="602">
        <v>0</v>
      </c>
      <c r="K52" s="579">
        <v>45.498333333333335</v>
      </c>
      <c r="L52" s="579"/>
      <c r="M52" s="579">
        <v>-45.498333333333335</v>
      </c>
      <c r="O52" s="579">
        <f>K52+M52</f>
        <v>0</v>
      </c>
      <c r="P52" s="579"/>
      <c r="Q52" s="586">
        <f>I52*O52</f>
        <v>0</v>
      </c>
    </row>
    <row r="53" spans="1:17" ht="15.95" customHeight="1">
      <c r="C53" s="597"/>
      <c r="E53" s="584"/>
      <c r="F53" s="585"/>
      <c r="G53" s="586"/>
      <c r="H53" s="586"/>
      <c r="I53" s="586"/>
      <c r="K53" s="579"/>
      <c r="L53" s="579"/>
      <c r="O53" s="579"/>
      <c r="P53" s="579"/>
      <c r="Q53" s="586"/>
    </row>
    <row r="54" spans="1:17" ht="15.95" customHeight="1">
      <c r="A54" s="639">
        <f>A52+1</f>
        <v>36</v>
      </c>
      <c r="B54" s="574" t="s">
        <v>2489</v>
      </c>
      <c r="C54" s="582">
        <v>262502</v>
      </c>
      <c r="E54" s="584">
        <v>0</v>
      </c>
      <c r="F54" s="585"/>
      <c r="G54" s="582">
        <v>0</v>
      </c>
      <c r="H54" s="586"/>
      <c r="I54" s="602">
        <v>0</v>
      </c>
      <c r="K54" s="579">
        <v>45.498333333333335</v>
      </c>
      <c r="L54" s="579"/>
      <c r="M54" s="579">
        <v>-45.498333333333335</v>
      </c>
      <c r="O54" s="579">
        <f>K54+M54</f>
        <v>0</v>
      </c>
      <c r="P54" s="579"/>
      <c r="Q54" s="586">
        <f>I54*O54</f>
        <v>0</v>
      </c>
    </row>
    <row r="55" spans="1:17" ht="15.95" customHeight="1">
      <c r="C55" s="597"/>
      <c r="E55" s="584"/>
      <c r="F55" s="585"/>
      <c r="G55" s="586"/>
      <c r="H55" s="586"/>
      <c r="I55" s="586"/>
      <c r="K55" s="579"/>
      <c r="L55" s="579"/>
      <c r="O55" s="579"/>
      <c r="P55" s="579"/>
      <c r="Q55" s="586"/>
    </row>
    <row r="56" spans="1:17" ht="15.95" customHeight="1">
      <c r="A56" s="639">
        <f>A54+1</f>
        <v>37</v>
      </c>
      <c r="B56" s="574" t="s">
        <v>2490</v>
      </c>
      <c r="C56" s="582">
        <v>532644</v>
      </c>
      <c r="E56" s="584">
        <v>0</v>
      </c>
      <c r="F56" s="585"/>
      <c r="G56" s="582">
        <v>0</v>
      </c>
      <c r="H56" s="586"/>
      <c r="I56" s="602">
        <v>0</v>
      </c>
      <c r="K56" s="579">
        <v>0</v>
      </c>
      <c r="L56" s="579"/>
      <c r="M56" s="579">
        <v>0</v>
      </c>
      <c r="O56" s="579">
        <f>K56+M56</f>
        <v>0</v>
      </c>
      <c r="P56" s="579"/>
      <c r="Q56" s="586">
        <f>I56*O56</f>
        <v>0</v>
      </c>
    </row>
    <row r="57" spans="1:17" ht="15.95" customHeight="1">
      <c r="C57" s="597"/>
      <c r="E57" s="584"/>
      <c r="F57" s="585"/>
      <c r="G57" s="586"/>
      <c r="H57" s="586"/>
      <c r="I57" s="586"/>
      <c r="K57" s="579"/>
      <c r="L57" s="579"/>
      <c r="O57" s="579"/>
      <c r="P57" s="579"/>
      <c r="Q57" s="586"/>
    </row>
    <row r="58" spans="1:17" ht="15.95" customHeight="1">
      <c r="A58" s="639">
        <f>A56+1</f>
        <v>38</v>
      </c>
      <c r="B58" s="574" t="s">
        <v>2491</v>
      </c>
      <c r="C58" s="582">
        <v>-2590371.6107502775</v>
      </c>
      <c r="E58" s="584">
        <v>0</v>
      </c>
      <c r="F58" s="585"/>
      <c r="G58" s="582">
        <v>0</v>
      </c>
      <c r="H58" s="586"/>
      <c r="I58" s="602">
        <v>0</v>
      </c>
      <c r="K58" s="579">
        <v>45.498333333333335</v>
      </c>
      <c r="L58" s="579"/>
      <c r="M58" s="579">
        <v>-45.498333333333335</v>
      </c>
      <c r="O58" s="579">
        <f>K58+M58</f>
        <v>0</v>
      </c>
      <c r="P58" s="579"/>
      <c r="Q58" s="586">
        <f>I58*O58</f>
        <v>0</v>
      </c>
    </row>
    <row r="59" spans="1:17" ht="15.95" customHeight="1">
      <c r="C59" s="597"/>
      <c r="E59" s="584"/>
      <c r="F59" s="585"/>
      <c r="G59" s="586"/>
      <c r="H59" s="586"/>
      <c r="I59" s="586"/>
      <c r="K59" s="579"/>
      <c r="L59" s="579"/>
      <c r="O59" s="579"/>
      <c r="P59" s="579"/>
      <c r="Q59" s="586"/>
    </row>
    <row r="60" spans="1:17" ht="15.95" customHeight="1">
      <c r="A60" s="639">
        <f>A58+1</f>
        <v>39</v>
      </c>
      <c r="B60" s="574" t="s">
        <v>2492</v>
      </c>
      <c r="C60" s="582">
        <v>0.27237868309020996</v>
      </c>
      <c r="E60" s="584">
        <v>0</v>
      </c>
      <c r="F60" s="585"/>
      <c r="G60" s="582">
        <v>0</v>
      </c>
      <c r="H60" s="586"/>
      <c r="I60" s="602">
        <v>0</v>
      </c>
      <c r="K60" s="579">
        <v>45.498333333333335</v>
      </c>
      <c r="L60" s="579"/>
      <c r="M60" s="579">
        <v>-45.498333333333335</v>
      </c>
      <c r="O60" s="579">
        <f>K60+M60</f>
        <v>0</v>
      </c>
      <c r="P60" s="579"/>
      <c r="Q60" s="586">
        <f>I60*O60</f>
        <v>0</v>
      </c>
    </row>
    <row r="61" spans="1:17" ht="15.95" customHeight="1">
      <c r="C61" s="597"/>
      <c r="E61" s="584"/>
      <c r="F61" s="585"/>
      <c r="G61" s="586"/>
      <c r="H61" s="586"/>
      <c r="I61" s="586"/>
      <c r="K61" s="579"/>
      <c r="L61" s="579"/>
      <c r="O61" s="579"/>
      <c r="P61" s="579"/>
      <c r="Q61" s="586"/>
    </row>
    <row r="62" spans="1:17" ht="15.95" customHeight="1">
      <c r="A62" s="639">
        <f>A60+1</f>
        <v>40</v>
      </c>
      <c r="B62" s="574" t="s">
        <v>2493</v>
      </c>
      <c r="C62" s="582">
        <v>117281038</v>
      </c>
      <c r="E62" s="584">
        <v>0.9363240823636807</v>
      </c>
      <c r="F62" s="585"/>
      <c r="G62" s="582">
        <v>109813060.28400996</v>
      </c>
      <c r="H62" s="586"/>
      <c r="I62" s="586">
        <v>300035.68383609282</v>
      </c>
      <c r="K62" s="579">
        <v>45.498333333333335</v>
      </c>
      <c r="L62" s="579"/>
      <c r="M62" s="579">
        <v>-88.649999999999991</v>
      </c>
      <c r="O62" s="579">
        <f>K62+M62</f>
        <v>-43.151666666666657</v>
      </c>
      <c r="P62" s="579"/>
      <c r="Q62" s="586">
        <f>I62*O62</f>
        <v>-12947039.817000462</v>
      </c>
    </row>
    <row r="63" spans="1:17" ht="15.95" customHeight="1">
      <c r="C63" s="597"/>
      <c r="E63" s="584"/>
      <c r="F63" s="585"/>
      <c r="G63" s="586"/>
      <c r="H63" s="586"/>
      <c r="I63" s="586"/>
      <c r="K63" s="579"/>
      <c r="L63" s="579"/>
      <c r="O63" s="579"/>
      <c r="P63" s="579"/>
      <c r="Q63" s="586"/>
    </row>
    <row r="64" spans="1:17" ht="15.95" customHeight="1">
      <c r="A64" s="639">
        <f>A62+1</f>
        <v>41</v>
      </c>
      <c r="B64" s="574" t="s">
        <v>2494</v>
      </c>
      <c r="C64" s="599">
        <v>188768382.4071666</v>
      </c>
      <c r="D64" s="588"/>
      <c r="E64" s="584"/>
      <c r="F64" s="585"/>
      <c r="G64" s="599">
        <v>179410572.33079374</v>
      </c>
      <c r="H64" s="589"/>
      <c r="I64" s="586">
        <v>490192.8205759392</v>
      </c>
      <c r="J64" s="588"/>
      <c r="K64" s="579">
        <v>45.498333333333335</v>
      </c>
      <c r="L64" s="579"/>
      <c r="M64" s="579">
        <v>-45.498333333333335</v>
      </c>
      <c r="O64" s="579">
        <f>K64+M64</f>
        <v>0</v>
      </c>
      <c r="P64" s="579"/>
      <c r="Q64" s="590">
        <f>I64*O64</f>
        <v>0</v>
      </c>
    </row>
    <row r="65" spans="1:17" ht="15.95" customHeight="1">
      <c r="C65" s="597"/>
      <c r="E65" s="584"/>
      <c r="F65" s="585"/>
      <c r="G65" s="586"/>
      <c r="H65" s="586"/>
      <c r="I65" s="586"/>
      <c r="K65" s="579"/>
      <c r="L65" s="579"/>
      <c r="O65" s="579"/>
      <c r="P65" s="579"/>
      <c r="Q65" s="586"/>
    </row>
    <row r="66" spans="1:17" ht="15.95" customHeight="1">
      <c r="A66" s="639">
        <f>A64+1</f>
        <v>42</v>
      </c>
      <c r="B66" s="574" t="s">
        <v>2013</v>
      </c>
      <c r="C66" s="586">
        <v>1747033170.4236364</v>
      </c>
      <c r="E66" s="584"/>
      <c r="F66" s="585"/>
      <c r="G66" s="586">
        <v>1643983056.9242573</v>
      </c>
      <c r="I66" s="586">
        <v>789756.83320775128</v>
      </c>
      <c r="O66" s="579"/>
      <c r="P66" s="579"/>
      <c r="Q66" s="586">
        <f>Q27+Q34+Q40+Q46+Q48+Q50+Q52+Q54+Q56+Q58+Q60+Q62+Q64</f>
        <v>56249989.452551946</v>
      </c>
    </row>
    <row r="67" spans="1:17" ht="15.95" customHeight="1">
      <c r="C67" s="597"/>
      <c r="E67" s="584"/>
      <c r="F67" s="585"/>
      <c r="O67" s="579"/>
      <c r="P67" s="579"/>
      <c r="Q67" s="586"/>
    </row>
    <row r="68" spans="1:17" ht="15.95" customHeight="1">
      <c r="A68" s="639">
        <f>A66+1</f>
        <v>43</v>
      </c>
      <c r="B68" s="574" t="s">
        <v>2495</v>
      </c>
      <c r="C68" s="582">
        <v>35721289.339999996</v>
      </c>
      <c r="E68" s="584">
        <v>1</v>
      </c>
      <c r="F68" s="585"/>
      <c r="G68" s="582">
        <v>35721289.339999996</v>
      </c>
      <c r="I68" s="586">
        <v>97599.151202185778</v>
      </c>
      <c r="K68" s="579">
        <v>45.498333333333335</v>
      </c>
      <c r="L68" s="579"/>
      <c r="M68" s="579">
        <v>-39.803821524307487</v>
      </c>
      <c r="O68" s="579">
        <f>K68+M68</f>
        <v>5.6945118090258475</v>
      </c>
      <c r="P68" s="579"/>
      <c r="Q68" s="586">
        <f>I68*O68</f>
        <v>555779.51907174615</v>
      </c>
    </row>
    <row r="69" spans="1:17" ht="15.95" customHeight="1">
      <c r="C69" s="597"/>
      <c r="E69" s="584"/>
      <c r="F69" s="585"/>
      <c r="O69" s="579"/>
      <c r="P69" s="579"/>
      <c r="Q69" s="586"/>
    </row>
    <row r="70" spans="1:17" ht="15.95" customHeight="1">
      <c r="A70" s="639">
        <f>A68+1</f>
        <v>44</v>
      </c>
      <c r="B70" s="574" t="s">
        <v>2496</v>
      </c>
      <c r="C70" s="582">
        <v>40622083.970000006</v>
      </c>
      <c r="E70" s="584">
        <v>1</v>
      </c>
      <c r="F70" s="585"/>
      <c r="G70" s="582">
        <v>40622083.970000006</v>
      </c>
      <c r="I70" s="586">
        <v>110989.3004644809</v>
      </c>
      <c r="K70" s="579">
        <v>45.498333333333335</v>
      </c>
      <c r="L70" s="579"/>
      <c r="M70" s="579">
        <v>-34.949170045269938</v>
      </c>
      <c r="O70" s="579">
        <f>K70+M70</f>
        <v>10.549163288063397</v>
      </c>
      <c r="P70" s="579"/>
      <c r="Q70" s="586">
        <f>I70*O70</f>
        <v>1170844.2538277397</v>
      </c>
    </row>
    <row r="71" spans="1:17" ht="15.95" customHeight="1">
      <c r="C71" s="597"/>
      <c r="E71" s="584"/>
      <c r="F71" s="585"/>
      <c r="K71" s="579"/>
      <c r="L71" s="579"/>
      <c r="O71" s="579"/>
      <c r="P71" s="579"/>
      <c r="Q71" s="586"/>
    </row>
    <row r="72" spans="1:17" ht="15.95" customHeight="1">
      <c r="A72" s="639">
        <f>A70+1</f>
        <v>45</v>
      </c>
      <c r="B72" s="574" t="s">
        <v>2497</v>
      </c>
      <c r="C72" s="582">
        <v>30285530.350000001</v>
      </c>
      <c r="E72" s="584">
        <v>1</v>
      </c>
      <c r="F72" s="585"/>
      <c r="G72" s="582">
        <v>30285530.350000001</v>
      </c>
      <c r="I72" s="586">
        <v>82747.350683060111</v>
      </c>
      <c r="K72" s="579">
        <v>45.498333333333335</v>
      </c>
      <c r="L72" s="579"/>
      <c r="M72" s="579">
        <v>-67.158413809956485</v>
      </c>
      <c r="O72" s="579">
        <f>K72+M72</f>
        <v>-21.660080476623151</v>
      </c>
      <c r="P72" s="579"/>
      <c r="Q72" s="590">
        <f>I72*O72</f>
        <v>-1792314.2750224397</v>
      </c>
    </row>
    <row r="73" spans="1:17" ht="15.95" customHeight="1">
      <c r="E73" s="585"/>
      <c r="F73" s="585"/>
      <c r="Q73" s="586"/>
    </row>
    <row r="74" spans="1:17" ht="15.95" customHeight="1">
      <c r="A74" s="639">
        <f>A72+1</f>
        <v>46</v>
      </c>
      <c r="B74" s="574" t="s">
        <v>2498</v>
      </c>
      <c r="E74" s="585"/>
      <c r="F74" s="585"/>
      <c r="Q74" s="589">
        <f>SUM(Q66:Q72)</f>
        <v>56184298.950428993</v>
      </c>
    </row>
    <row r="75" spans="1:17" ht="15.95" customHeight="1">
      <c r="E75" s="585"/>
      <c r="F75" s="585"/>
      <c r="Q75" s="586"/>
    </row>
    <row r="76" spans="1:17" ht="15.95" customHeight="1">
      <c r="A76" s="639">
        <f>A74+1</f>
        <v>47</v>
      </c>
      <c r="B76" s="574" t="s">
        <v>3712</v>
      </c>
      <c r="E76" s="585"/>
      <c r="F76" s="585"/>
      <c r="Q76" s="590">
        <f>'SCH B-5.2 F (2)'!W38</f>
        <v>73749576.040000021</v>
      </c>
    </row>
    <row r="77" spans="1:17" ht="15.95" customHeight="1">
      <c r="E77" s="585"/>
      <c r="F77" s="585"/>
      <c r="Q77" s="586"/>
    </row>
    <row r="78" spans="1:17" ht="15.95" customHeight="1" thickBot="1">
      <c r="A78" s="639">
        <f>A76+1</f>
        <v>48</v>
      </c>
      <c r="B78" s="574" t="s">
        <v>2500</v>
      </c>
      <c r="E78" s="585"/>
      <c r="F78" s="585"/>
      <c r="Q78" s="603">
        <f>SUM(Q74:Q76)</f>
        <v>129933874.99042901</v>
      </c>
    </row>
    <row r="79" spans="1:17" ht="15.95" customHeight="1" thickTop="1">
      <c r="E79" s="585"/>
      <c r="F79" s="585"/>
      <c r="Q79" s="586"/>
    </row>
    <row r="80" spans="1:17" ht="15.95" customHeight="1" thickBot="1">
      <c r="A80" s="639">
        <f>A78+1</f>
        <v>49</v>
      </c>
      <c r="B80" s="574" t="s">
        <v>2646</v>
      </c>
      <c r="E80" s="585"/>
      <c r="F80" s="585"/>
      <c r="Q80" s="603">
        <f>'SCH B-5.2 F (2)'!W66</f>
        <v>-144218.25</v>
      </c>
    </row>
    <row r="81" spans="1:18" ht="15.95" customHeight="1" thickTop="1">
      <c r="E81" s="585"/>
      <c r="F81" s="585"/>
      <c r="Q81" s="586"/>
    </row>
    <row r="82" spans="1:18" ht="15.95" customHeight="1" thickBot="1">
      <c r="A82" s="639">
        <f>A80+1</f>
        <v>50</v>
      </c>
      <c r="B82" s="574" t="s">
        <v>2502</v>
      </c>
      <c r="E82" s="585"/>
      <c r="F82" s="585"/>
      <c r="Q82" s="603">
        <f>Q78-Q80</f>
        <v>130078093.24042901</v>
      </c>
      <c r="R82" s="586"/>
    </row>
    <row r="83" spans="1:18" ht="15.95" customHeight="1" thickTop="1">
      <c r="E83" s="585"/>
      <c r="F83" s="585"/>
      <c r="Q83" s="589"/>
    </row>
    <row r="84" spans="1:18" ht="15.95" customHeight="1">
      <c r="Q84" s="574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F9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575" customWidth="1"/>
    <col min="2" max="2" width="9.875" style="574" customWidth="1"/>
    <col min="3" max="3" width="58.875" style="609" customWidth="1"/>
    <col min="4" max="4" width="12.75" style="574" hidden="1" customWidth="1" outlineLevel="1"/>
    <col min="5" max="16" width="12.75" style="574" hidden="1" customWidth="1" outlineLevel="2"/>
    <col min="17" max="17" width="15.75" style="574" customWidth="1" collapsed="1"/>
    <col min="18" max="18" width="2.875" style="574" customWidth="1"/>
    <col min="19" max="19" width="11" style="578" customWidth="1"/>
    <col min="20" max="20" width="2.875" style="610" hidden="1" customWidth="1"/>
    <col min="21" max="21" width="13.75" style="611" hidden="1" customWidth="1"/>
    <col min="22" max="22" width="2.875" style="578" customWidth="1"/>
    <col min="23" max="23" width="15.75" style="574" customWidth="1"/>
    <col min="24" max="24" width="16.625" style="574" customWidth="1"/>
    <col min="25" max="26" width="8.875" style="574"/>
    <col min="27" max="27" width="14" style="574" customWidth="1"/>
    <col min="28" max="28" width="12.5" style="574" customWidth="1"/>
    <col min="29" max="29" width="8.875" style="574"/>
    <col min="30" max="30" width="13" style="574" customWidth="1"/>
    <col min="31" max="31" width="12.625" style="574" customWidth="1"/>
    <col min="32" max="16384" width="8.875" style="574"/>
  </cols>
  <sheetData>
    <row r="1" spans="1:25" ht="18.95" customHeight="1">
      <c r="A1" s="816" t="str">
        <f>'Rate Case Constants'!C9</f>
        <v>KENTUCKY UTILITIES COMPANY</v>
      </c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20"/>
      <c r="U1" s="820"/>
      <c r="V1" s="819"/>
      <c r="W1" s="819"/>
      <c r="X1" s="604"/>
    </row>
    <row r="2" spans="1:25" ht="18.95" customHeight="1">
      <c r="A2" s="816" t="str">
        <f>'Rate Case Constants'!C10</f>
        <v>CASE NO. 2020-00349</v>
      </c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20"/>
      <c r="U2" s="820"/>
      <c r="V2" s="819"/>
      <c r="W2" s="819"/>
      <c r="X2" s="604"/>
    </row>
    <row r="3" spans="1:25" ht="18.95" customHeight="1">
      <c r="A3" s="819" t="s">
        <v>1432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20"/>
      <c r="U3" s="820"/>
      <c r="V3" s="819"/>
      <c r="W3" s="819"/>
      <c r="X3" s="605"/>
    </row>
    <row r="4" spans="1:25" ht="18.95" customHeight="1">
      <c r="A4" s="816" t="str">
        <f>'Rate Case Constants'!C21</f>
        <v>FORECAST PERIOD FOR THE 12 MONTHS ENDED JUNE 30, 2022</v>
      </c>
      <c r="B4" s="819"/>
      <c r="C4" s="819"/>
      <c r="D4" s="819"/>
      <c r="E4" s="819"/>
      <c r="F4" s="819"/>
      <c r="G4" s="819"/>
      <c r="H4" s="819"/>
      <c r="I4" s="819"/>
      <c r="J4" s="819"/>
      <c r="K4" s="819"/>
      <c r="L4" s="819"/>
      <c r="M4" s="819"/>
      <c r="N4" s="819"/>
      <c r="O4" s="819"/>
      <c r="P4" s="819"/>
      <c r="Q4" s="819"/>
      <c r="R4" s="819"/>
      <c r="S4" s="819"/>
      <c r="T4" s="820"/>
      <c r="U4" s="820"/>
      <c r="V4" s="819"/>
      <c r="W4" s="819"/>
      <c r="X4" s="605"/>
    </row>
    <row r="5" spans="1:25" ht="18.95" customHeight="1">
      <c r="A5" s="606"/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8"/>
      <c r="U5" s="608"/>
      <c r="V5" s="607"/>
      <c r="W5" s="607"/>
      <c r="X5" s="605"/>
    </row>
    <row r="6" spans="1:25" ht="18.95" customHeight="1">
      <c r="A6" s="67" t="s">
        <v>161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8"/>
      <c r="U6" s="608"/>
      <c r="V6" s="607"/>
      <c r="W6" s="74" t="s">
        <v>1433</v>
      </c>
      <c r="X6" s="605"/>
    </row>
    <row r="7" spans="1:25" ht="18.95" customHeight="1">
      <c r="A7" s="68" t="str">
        <f>'Rate Case Constants'!C29</f>
        <v>TYPE OF FILING: __X__ ORIGINAL  _____ UPDATED  _____ REVISED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8"/>
      <c r="U7" s="608"/>
      <c r="V7" s="607"/>
      <c r="W7" s="74" t="s">
        <v>168</v>
      </c>
      <c r="X7" s="605"/>
    </row>
    <row r="8" spans="1:25" ht="18.95" customHeight="1">
      <c r="A8" s="67" t="s">
        <v>1195</v>
      </c>
      <c r="W8" s="75" t="str">
        <f>'Rate Case Constants'!C36</f>
        <v>WITNESS:   C. M. GARRETT</v>
      </c>
    </row>
    <row r="9" spans="1:25" ht="18.95" customHeight="1">
      <c r="A9" s="612"/>
    </row>
    <row r="10" spans="1:25" ht="38.25">
      <c r="A10" s="159" t="s">
        <v>131</v>
      </c>
      <c r="B10" s="159" t="s">
        <v>134</v>
      </c>
      <c r="C10" s="159" t="s">
        <v>204</v>
      </c>
      <c r="D10" s="613" t="s">
        <v>2721</v>
      </c>
      <c r="E10" s="613" t="s">
        <v>2722</v>
      </c>
      <c r="F10" s="613" t="s">
        <v>2723</v>
      </c>
      <c r="G10" s="613" t="s">
        <v>2724</v>
      </c>
      <c r="H10" s="613" t="s">
        <v>2725</v>
      </c>
      <c r="I10" s="613" t="s">
        <v>2726</v>
      </c>
      <c r="J10" s="613" t="s">
        <v>2727</v>
      </c>
      <c r="K10" s="613" t="s">
        <v>2728</v>
      </c>
      <c r="L10" s="613" t="s">
        <v>2729</v>
      </c>
      <c r="M10" s="613" t="s">
        <v>2730</v>
      </c>
      <c r="N10" s="613" t="s">
        <v>2731</v>
      </c>
      <c r="O10" s="613" t="s">
        <v>2732</v>
      </c>
      <c r="P10" s="613" t="s">
        <v>2733</v>
      </c>
      <c r="Q10" s="159" t="s">
        <v>2503</v>
      </c>
      <c r="R10" s="159"/>
      <c r="S10" s="159" t="s">
        <v>223</v>
      </c>
      <c r="T10" s="614"/>
      <c r="U10" s="615" t="s">
        <v>2504</v>
      </c>
      <c r="V10" s="159"/>
      <c r="W10" s="159" t="s">
        <v>1418</v>
      </c>
      <c r="X10" s="616"/>
    </row>
    <row r="11" spans="1:25" ht="18.95" customHeight="1"/>
    <row r="12" spans="1:25" ht="18.95" customHeight="1">
      <c r="C12" s="609" t="s">
        <v>2505</v>
      </c>
    </row>
    <row r="13" spans="1:25" ht="18.95" customHeight="1"/>
    <row r="14" spans="1:25" ht="18.95" customHeight="1">
      <c r="A14" s="575">
        <v>1</v>
      </c>
      <c r="B14" s="575">
        <v>128</v>
      </c>
      <c r="C14" s="609" t="s">
        <v>2506</v>
      </c>
      <c r="D14" s="86">
        <v>37827125.526666597</v>
      </c>
      <c r="E14" s="86">
        <v>38552902.693333298</v>
      </c>
      <c r="F14" s="86">
        <v>39278679.859999999</v>
      </c>
      <c r="G14" s="86">
        <v>40004457.026666597</v>
      </c>
      <c r="H14" s="86">
        <v>40730234.193333298</v>
      </c>
      <c r="I14" s="86">
        <v>41456011.359999999</v>
      </c>
      <c r="J14" s="86">
        <v>42181788.526666597</v>
      </c>
      <c r="K14" s="86">
        <v>43970085.109999999</v>
      </c>
      <c r="L14" s="86">
        <v>44758381.693333298</v>
      </c>
      <c r="M14" s="86">
        <v>45546678.276666597</v>
      </c>
      <c r="N14" s="86">
        <v>46334974.859999999</v>
      </c>
      <c r="O14" s="86">
        <v>47123271.443333305</v>
      </c>
      <c r="P14" s="86">
        <v>47911568.026666604</v>
      </c>
      <c r="Q14" s="86">
        <f t="shared" ref="Q14:Q19" si="0">AVERAGE(D14:P14)</f>
        <v>42744319.89205125</v>
      </c>
      <c r="R14" s="577"/>
      <c r="S14" s="617">
        <f>'JURISSEP F'!G1272</f>
        <v>0.94097187891892597</v>
      </c>
      <c r="T14" s="618"/>
      <c r="U14" s="619">
        <v>1</v>
      </c>
      <c r="W14" s="86">
        <f t="shared" ref="W14:W19" si="1">ROUND($Q14*$S14*$U14,2)</f>
        <v>40221203</v>
      </c>
      <c r="X14" s="586"/>
      <c r="Y14" s="198"/>
    </row>
    <row r="15" spans="1:25" ht="18.95" customHeight="1">
      <c r="A15" s="575">
        <f>A14+1</f>
        <v>2</v>
      </c>
      <c r="B15" s="575">
        <v>182</v>
      </c>
      <c r="C15" s="609" t="s">
        <v>2507</v>
      </c>
      <c r="D15" s="86">
        <v>126397998.846242</v>
      </c>
      <c r="E15" s="86">
        <v>125542967.973186</v>
      </c>
      <c r="F15" s="86">
        <v>124687937.10012899</v>
      </c>
      <c r="G15" s="86">
        <v>124387426.965395</v>
      </c>
      <c r="H15" s="86">
        <v>123532396.092338</v>
      </c>
      <c r="I15" s="86">
        <v>122677365.219282</v>
      </c>
      <c r="J15" s="86">
        <v>122376855.08454801</v>
      </c>
      <c r="K15" s="86">
        <v>121522003.323768</v>
      </c>
      <c r="L15" s="86">
        <v>120667151.562988</v>
      </c>
      <c r="M15" s="86">
        <v>120143564.91359401</v>
      </c>
      <c r="N15" s="86">
        <v>119288713.152814</v>
      </c>
      <c r="O15" s="86">
        <v>118433861.39203399</v>
      </c>
      <c r="P15" s="86">
        <v>117910274.74264</v>
      </c>
      <c r="Q15" s="86">
        <f t="shared" si="0"/>
        <v>122120655.10530446</v>
      </c>
      <c r="R15" s="577"/>
      <c r="S15" s="617">
        <f>S14</f>
        <v>0.94097187891892597</v>
      </c>
      <c r="T15" s="618"/>
      <c r="U15" s="619">
        <v>1</v>
      </c>
      <c r="W15" s="86">
        <f t="shared" si="1"/>
        <v>114912102.29000001</v>
      </c>
      <c r="X15" s="586"/>
      <c r="Y15" s="198"/>
    </row>
    <row r="16" spans="1:25" ht="18.95" customHeight="1">
      <c r="A16" s="629">
        <f t="shared" ref="A16:A19" si="2">A15+1</f>
        <v>3</v>
      </c>
      <c r="B16" s="575">
        <v>183</v>
      </c>
      <c r="C16" s="609" t="s">
        <v>2508</v>
      </c>
      <c r="D16" s="86">
        <v>2091581.6300000001</v>
      </c>
      <c r="E16" s="86">
        <v>2091581.6300000001</v>
      </c>
      <c r="F16" s="86">
        <v>2091581.6300000001</v>
      </c>
      <c r="G16" s="86">
        <v>2091581.6300000001</v>
      </c>
      <c r="H16" s="86">
        <v>2091581.6300000001</v>
      </c>
      <c r="I16" s="86">
        <v>2091581.6300000001</v>
      </c>
      <c r="J16" s="86">
        <v>2091581.6300000001</v>
      </c>
      <c r="K16" s="86">
        <v>2091581.6300000001</v>
      </c>
      <c r="L16" s="86">
        <v>2091581.6300000001</v>
      </c>
      <c r="M16" s="86">
        <v>2091581.6300000001</v>
      </c>
      <c r="N16" s="86">
        <v>2091581.6300000001</v>
      </c>
      <c r="O16" s="86">
        <v>2091581.6300000001</v>
      </c>
      <c r="P16" s="86">
        <v>2091581.6300000001</v>
      </c>
      <c r="Q16" s="86">
        <f>AVERAGE(D16:P16)</f>
        <v>2091581.63</v>
      </c>
      <c r="R16" s="588"/>
      <c r="S16" s="617">
        <f>'JURISSEP F'!G1327</f>
        <v>0.9363240823636807</v>
      </c>
      <c r="T16" s="620"/>
      <c r="U16" s="619">
        <v>1</v>
      </c>
      <c r="W16" s="86">
        <f t="shared" si="1"/>
        <v>1958398.25</v>
      </c>
      <c r="X16" s="586"/>
      <c r="Y16" s="198"/>
    </row>
    <row r="17" spans="1:25" ht="18.95" customHeight="1">
      <c r="A17" s="629">
        <f t="shared" si="2"/>
        <v>4</v>
      </c>
      <c r="B17" s="629">
        <v>184</v>
      </c>
      <c r="C17" s="609" t="s">
        <v>2528</v>
      </c>
      <c r="D17" s="86">
        <v>5869764.73999999</v>
      </c>
      <c r="E17" s="86">
        <v>5869764.73999999</v>
      </c>
      <c r="F17" s="86">
        <v>5869764.73999999</v>
      </c>
      <c r="G17" s="86">
        <v>5869764.73999999</v>
      </c>
      <c r="H17" s="86">
        <v>5869764.73999999</v>
      </c>
      <c r="I17" s="86">
        <v>5869764.73999999</v>
      </c>
      <c r="J17" s="86">
        <v>5869764.73999999</v>
      </c>
      <c r="K17" s="86">
        <v>5869764.73999999</v>
      </c>
      <c r="L17" s="86">
        <v>5869764.73999999</v>
      </c>
      <c r="M17" s="86">
        <v>5869764.73999999</v>
      </c>
      <c r="N17" s="86">
        <v>5869764.73999999</v>
      </c>
      <c r="O17" s="86">
        <v>5869764.73999999</v>
      </c>
      <c r="P17" s="86">
        <v>5869764.73999999</v>
      </c>
      <c r="Q17" s="86">
        <f t="shared" ref="Q17" si="3">AVERAGE(D17:P17)</f>
        <v>5869764.739999989</v>
      </c>
      <c r="R17" s="588"/>
      <c r="S17" s="617">
        <f>S14</f>
        <v>0.94097187891892597</v>
      </c>
      <c r="T17" s="618"/>
      <c r="U17" s="619">
        <v>1</v>
      </c>
      <c r="W17" s="86">
        <f t="shared" si="1"/>
        <v>5523283.5599999996</v>
      </c>
      <c r="X17" s="586"/>
      <c r="Y17" s="198"/>
    </row>
    <row r="18" spans="1:25" ht="18.95" customHeight="1">
      <c r="A18" s="629">
        <f t="shared" si="2"/>
        <v>5</v>
      </c>
      <c r="B18" s="575">
        <v>186</v>
      </c>
      <c r="C18" s="609" t="s">
        <v>2509</v>
      </c>
      <c r="D18" s="86">
        <v>20328805.330364101</v>
      </c>
      <c r="E18" s="86">
        <v>20872617.400581501</v>
      </c>
      <c r="F18" s="86">
        <v>21468181.8334672</v>
      </c>
      <c r="G18" s="86">
        <v>21887580.096721202</v>
      </c>
      <c r="H18" s="86">
        <v>16592384.208603002</v>
      </c>
      <c r="I18" s="86">
        <v>13055722.6817594</v>
      </c>
      <c r="J18" s="86">
        <v>13558590.251493201</v>
      </c>
      <c r="K18" s="86">
        <v>14063351.0067208</v>
      </c>
      <c r="L18" s="86">
        <v>14550170.029672399</v>
      </c>
      <c r="M18" s="86">
        <v>15070909.036690701</v>
      </c>
      <c r="N18" s="86">
        <v>15574073.627566101</v>
      </c>
      <c r="O18" s="86">
        <v>16080946.4505591</v>
      </c>
      <c r="P18" s="86">
        <v>16918015.361138202</v>
      </c>
      <c r="Q18" s="86">
        <f t="shared" si="0"/>
        <v>16924719.024256688</v>
      </c>
      <c r="R18" s="588"/>
      <c r="S18" s="617">
        <f>S14</f>
        <v>0.94097187891892597</v>
      </c>
      <c r="T18" s="618"/>
      <c r="U18" s="619">
        <v>1</v>
      </c>
      <c r="W18" s="86">
        <f t="shared" si="1"/>
        <v>15925684.66</v>
      </c>
      <c r="X18" s="586"/>
      <c r="Y18" s="198"/>
    </row>
    <row r="19" spans="1:25" ht="18.95" customHeight="1">
      <c r="A19" s="629">
        <f t="shared" si="2"/>
        <v>6</v>
      </c>
      <c r="B19" s="575">
        <v>188</v>
      </c>
      <c r="C19" s="609" t="s">
        <v>2510</v>
      </c>
      <c r="D19" s="86">
        <v>186323.739999999</v>
      </c>
      <c r="E19" s="86">
        <v>160066.40999999898</v>
      </c>
      <c r="F19" s="86">
        <v>133809.079999999</v>
      </c>
      <c r="G19" s="86">
        <v>107551.74999999901</v>
      </c>
      <c r="H19" s="86">
        <v>81294.419999999402</v>
      </c>
      <c r="I19" s="86">
        <v>55037.0899999994</v>
      </c>
      <c r="J19" s="86">
        <v>28779.759999999398</v>
      </c>
      <c r="K19" s="86">
        <v>2522.6099999994599</v>
      </c>
      <c r="L19" s="86">
        <v>2522.6099999994599</v>
      </c>
      <c r="M19" s="86">
        <v>2522.6099999994599</v>
      </c>
      <c r="N19" s="86">
        <v>2522.6099999994599</v>
      </c>
      <c r="O19" s="86">
        <v>2522.6099999994599</v>
      </c>
      <c r="P19" s="86">
        <v>2522.6099999994599</v>
      </c>
      <c r="Q19" s="131">
        <f t="shared" si="0"/>
        <v>59076.762307691592</v>
      </c>
      <c r="R19" s="588"/>
      <c r="S19" s="617">
        <f>S14</f>
        <v>0.94097187891892597</v>
      </c>
      <c r="T19" s="618"/>
      <c r="U19" s="619">
        <v>1</v>
      </c>
      <c r="W19" s="131">
        <f t="shared" si="1"/>
        <v>55589.57</v>
      </c>
      <c r="X19" s="586"/>
      <c r="Y19" s="198"/>
    </row>
    <row r="20" spans="1:25" ht="18.95" customHeight="1">
      <c r="Y20" s="198"/>
    </row>
    <row r="21" spans="1:25" ht="18.95" customHeight="1" thickBot="1">
      <c r="A21" s="575">
        <f>A19+1</f>
        <v>7</v>
      </c>
      <c r="C21" s="574" t="s">
        <v>2511</v>
      </c>
      <c r="Q21" s="94">
        <f>SUM(Q14:Q19)</f>
        <v>189810117.15392005</v>
      </c>
      <c r="R21" s="577"/>
      <c r="T21" s="618"/>
      <c r="W21" s="94">
        <f>SUM(W14:W19)</f>
        <v>178596261.33000001</v>
      </c>
      <c r="X21" s="589"/>
      <c r="Y21" s="198"/>
    </row>
    <row r="22" spans="1:25" ht="18.95" customHeight="1" thickTop="1">
      <c r="Y22" s="198"/>
    </row>
    <row r="23" spans="1:25" ht="18.95" customHeight="1">
      <c r="A23" s="612"/>
      <c r="Y23" s="198"/>
    </row>
    <row r="24" spans="1:25" ht="38.25">
      <c r="A24" s="159" t="s">
        <v>131</v>
      </c>
      <c r="B24" s="159" t="s">
        <v>134</v>
      </c>
      <c r="C24" s="159" t="s">
        <v>204</v>
      </c>
      <c r="D24" s="613" t="str">
        <f t="shared" ref="D24:P24" si="4">D10</f>
        <v>Jun 2021</v>
      </c>
      <c r="E24" s="613" t="str">
        <f t="shared" si="4"/>
        <v>Jul 2021</v>
      </c>
      <c r="F24" s="613" t="str">
        <f t="shared" si="4"/>
        <v>Aug 2021</v>
      </c>
      <c r="G24" s="613" t="str">
        <f t="shared" si="4"/>
        <v>Sep 2021</v>
      </c>
      <c r="H24" s="613" t="str">
        <f t="shared" si="4"/>
        <v>Oct 2021</v>
      </c>
      <c r="I24" s="613" t="str">
        <f t="shared" si="4"/>
        <v>Nov 2021</v>
      </c>
      <c r="J24" s="613" t="str">
        <f t="shared" si="4"/>
        <v>Dec 2021</v>
      </c>
      <c r="K24" s="613" t="str">
        <f t="shared" si="4"/>
        <v>Jan 2022</v>
      </c>
      <c r="L24" s="613" t="str">
        <f t="shared" si="4"/>
        <v>Feb 2022</v>
      </c>
      <c r="M24" s="613" t="str">
        <f t="shared" si="4"/>
        <v>Mar 2022</v>
      </c>
      <c r="N24" s="613" t="str">
        <f t="shared" si="4"/>
        <v>Apr 2022</v>
      </c>
      <c r="O24" s="613" t="str">
        <f t="shared" si="4"/>
        <v>May 2022</v>
      </c>
      <c r="P24" s="613" t="str">
        <f t="shared" si="4"/>
        <v>Jun 2022</v>
      </c>
      <c r="Q24" s="159" t="s">
        <v>2503</v>
      </c>
      <c r="R24" s="159"/>
      <c r="S24" s="159" t="s">
        <v>223</v>
      </c>
      <c r="T24" s="614"/>
      <c r="U24" s="615" t="s">
        <v>2504</v>
      </c>
      <c r="V24" s="159"/>
      <c r="W24" s="159" t="s">
        <v>1418</v>
      </c>
      <c r="X24" s="616"/>
    </row>
    <row r="25" spans="1:25" ht="18.95" customHeight="1">
      <c r="Y25" s="198"/>
    </row>
    <row r="26" spans="1:25" ht="18.95" customHeight="1">
      <c r="C26" s="609" t="s">
        <v>2512</v>
      </c>
      <c r="Y26" s="198"/>
    </row>
    <row r="27" spans="1:25" ht="18.95" customHeight="1">
      <c r="Y27" s="198"/>
    </row>
    <row r="28" spans="1:25" ht="18.95" customHeight="1">
      <c r="A28" s="575">
        <f>A21+1</f>
        <v>8</v>
      </c>
      <c r="B28" s="575">
        <v>228.2</v>
      </c>
      <c r="C28" s="609" t="s">
        <v>2513</v>
      </c>
      <c r="D28" s="86">
        <v>-3316595.73</v>
      </c>
      <c r="E28" s="86">
        <v>-3316595.73</v>
      </c>
      <c r="F28" s="86">
        <v>-3316595.73</v>
      </c>
      <c r="G28" s="86">
        <v>-3316595.73</v>
      </c>
      <c r="H28" s="86">
        <v>-3316595.73</v>
      </c>
      <c r="I28" s="86">
        <v>-3316595.73</v>
      </c>
      <c r="J28" s="86">
        <v>-3316595.73</v>
      </c>
      <c r="K28" s="86">
        <v>-3316595.73</v>
      </c>
      <c r="L28" s="86">
        <v>-3316595.73</v>
      </c>
      <c r="M28" s="86">
        <v>-3316595.73</v>
      </c>
      <c r="N28" s="86">
        <v>-3316595.73</v>
      </c>
      <c r="O28" s="86">
        <v>-3316595.73</v>
      </c>
      <c r="P28" s="86">
        <v>-3316595.73</v>
      </c>
      <c r="Q28" s="86">
        <f>AVERAGE(D28:P28)</f>
        <v>-3316595.7299999995</v>
      </c>
      <c r="R28" s="577"/>
      <c r="S28" s="617">
        <f>S14</f>
        <v>0.94097187891892597</v>
      </c>
      <c r="T28" s="618"/>
      <c r="U28" s="619">
        <v>1</v>
      </c>
      <c r="W28" s="86">
        <f t="shared" ref="W28:W34" si="5">ROUND($Q28*$S28*$U28,2)</f>
        <v>-3120823.32</v>
      </c>
      <c r="X28" s="586"/>
      <c r="Y28" s="198"/>
    </row>
    <row r="29" spans="1:25" ht="18.95" customHeight="1">
      <c r="A29" s="575">
        <f t="shared" ref="A29:A34" si="6">A28+1</f>
        <v>9</v>
      </c>
      <c r="B29" s="575">
        <v>228.3</v>
      </c>
      <c r="C29" s="609" t="s">
        <v>2514</v>
      </c>
      <c r="D29" s="86">
        <v>-20467080.2409718</v>
      </c>
      <c r="E29" s="86">
        <v>-20490738.9909718</v>
      </c>
      <c r="F29" s="86">
        <v>-20514397.7409718</v>
      </c>
      <c r="G29" s="86">
        <v>-20410490.313891299</v>
      </c>
      <c r="H29" s="86">
        <v>-20434149.063891299</v>
      </c>
      <c r="I29" s="86">
        <v>-20457807.813891299</v>
      </c>
      <c r="J29" s="86">
        <v>-20353900.386810698</v>
      </c>
      <c r="K29" s="86">
        <v>-20376261.803477399</v>
      </c>
      <c r="L29" s="86">
        <v>-20398623.220144</v>
      </c>
      <c r="M29" s="86">
        <v>-20288488.397809401</v>
      </c>
      <c r="N29" s="86">
        <v>-20310849.814476002</v>
      </c>
      <c r="O29" s="86">
        <v>-20333211.2311427</v>
      </c>
      <c r="P29" s="86">
        <v>-20223076.408808</v>
      </c>
      <c r="Q29" s="86">
        <f t="shared" ref="Q29:Q34" si="7">AVERAGE(D29:P29)</f>
        <v>-20389159.648250576</v>
      </c>
      <c r="R29" s="577"/>
      <c r="S29" s="617">
        <f>S14</f>
        <v>0.94097187891892597</v>
      </c>
      <c r="T29" s="618"/>
      <c r="U29" s="619">
        <v>1</v>
      </c>
      <c r="W29" s="86">
        <f t="shared" si="5"/>
        <v>-19185625.859999999</v>
      </c>
      <c r="X29" s="586"/>
      <c r="Y29" s="198"/>
    </row>
    <row r="30" spans="1:25" ht="18.95" customHeight="1">
      <c r="A30" s="575">
        <f t="shared" si="6"/>
        <v>10</v>
      </c>
      <c r="B30" s="575">
        <v>242</v>
      </c>
      <c r="C30" s="609" t="s">
        <v>2515</v>
      </c>
      <c r="D30" s="86">
        <v>-18333626.019553121</v>
      </c>
      <c r="E30" s="86">
        <v>-18436856.648981243</v>
      </c>
      <c r="F30" s="86">
        <v>-18554496.198295768</v>
      </c>
      <c r="G30" s="86">
        <v>-18666175.136515498</v>
      </c>
      <c r="H30" s="86">
        <v>-18775298.546281181</v>
      </c>
      <c r="I30" s="86">
        <v>-18875869.296354212</v>
      </c>
      <c r="J30" s="86">
        <v>-18969203.367542244</v>
      </c>
      <c r="K30" s="86">
        <v>-19088254.182905812</v>
      </c>
      <c r="L30" s="86">
        <v>-19207718.047592621</v>
      </c>
      <c r="M30" s="86">
        <v>-17593503.021467336</v>
      </c>
      <c r="N30" s="86">
        <v>-17709117.818377241</v>
      </c>
      <c r="O30" s="86">
        <v>-17829530.70317382</v>
      </c>
      <c r="P30" s="86">
        <v>-17951316.048761379</v>
      </c>
      <c r="Q30" s="86">
        <f t="shared" si="7"/>
        <v>-18460843.464292422</v>
      </c>
      <c r="R30" s="577"/>
      <c r="S30" s="617">
        <f>S14</f>
        <v>0.94097187891892597</v>
      </c>
      <c r="T30" s="618"/>
      <c r="U30" s="619">
        <v>1</v>
      </c>
      <c r="W30" s="86">
        <f t="shared" si="5"/>
        <v>-17371134.559999999</v>
      </c>
      <c r="X30" s="586"/>
      <c r="Y30" s="198"/>
    </row>
    <row r="31" spans="1:25" ht="18.95" customHeight="1">
      <c r="A31" s="575">
        <f t="shared" si="6"/>
        <v>11</v>
      </c>
      <c r="B31" s="575">
        <v>253</v>
      </c>
      <c r="C31" s="609" t="s">
        <v>2516</v>
      </c>
      <c r="D31" s="86">
        <v>-2123965.0099999998</v>
      </c>
      <c r="E31" s="86">
        <v>-2123965.0099999998</v>
      </c>
      <c r="F31" s="86">
        <v>-2123965.0099999998</v>
      </c>
      <c r="G31" s="86">
        <v>-2123965.0099999998</v>
      </c>
      <c r="H31" s="86">
        <v>-2123965.0099999998</v>
      </c>
      <c r="I31" s="86">
        <v>-2123965.0099999998</v>
      </c>
      <c r="J31" s="86">
        <v>-2123965.0099999998</v>
      </c>
      <c r="K31" s="86">
        <v>-2123965.0099999998</v>
      </c>
      <c r="L31" s="86">
        <v>-2123965.0099999998</v>
      </c>
      <c r="M31" s="86">
        <v>-2123965.0099999998</v>
      </c>
      <c r="N31" s="86">
        <v>-2123965.0099999998</v>
      </c>
      <c r="O31" s="86">
        <v>-2123965.0099999998</v>
      </c>
      <c r="P31" s="86">
        <v>-2123965.0099999998</v>
      </c>
      <c r="Q31" s="86">
        <f t="shared" si="7"/>
        <v>-2123965.0099999988</v>
      </c>
      <c r="R31" s="588"/>
      <c r="S31" s="617">
        <f>S16</f>
        <v>0.9363240823636807</v>
      </c>
      <c r="T31" s="620"/>
      <c r="U31" s="619">
        <v>1</v>
      </c>
      <c r="W31" s="86">
        <f t="shared" si="5"/>
        <v>-1988719.59</v>
      </c>
      <c r="X31" s="586"/>
      <c r="Y31" s="198"/>
    </row>
    <row r="32" spans="1:25" ht="18.95" customHeight="1">
      <c r="A32" s="575">
        <f t="shared" si="6"/>
        <v>12</v>
      </c>
      <c r="B32" s="575">
        <v>254</v>
      </c>
      <c r="C32" s="609" t="s">
        <v>2523</v>
      </c>
      <c r="D32" s="86">
        <v>-34042281.333333306</v>
      </c>
      <c r="E32" s="86">
        <v>-34076313.666666605</v>
      </c>
      <c r="F32" s="86">
        <v>-34110346</v>
      </c>
      <c r="G32" s="86">
        <v>-34144378.333333299</v>
      </c>
      <c r="H32" s="86">
        <v>-34178410.666666701</v>
      </c>
      <c r="I32" s="86">
        <v>-34212443</v>
      </c>
      <c r="J32" s="86">
        <v>-34246475.333333299</v>
      </c>
      <c r="K32" s="86">
        <v>-34280507.666666701</v>
      </c>
      <c r="L32" s="86">
        <v>-34314540</v>
      </c>
      <c r="M32" s="86">
        <v>-34348572.333333299</v>
      </c>
      <c r="N32" s="86">
        <v>-34382604.666666701</v>
      </c>
      <c r="O32" s="86">
        <v>-34416637</v>
      </c>
      <c r="P32" s="86">
        <v>-34450669.333333306</v>
      </c>
      <c r="Q32" s="86">
        <f t="shared" ref="Q32" si="8">AVERAGE(D32:P32)</f>
        <v>-34246475.333333321</v>
      </c>
      <c r="R32" s="577"/>
      <c r="S32" s="617">
        <f>S14</f>
        <v>0.94097187891892597</v>
      </c>
      <c r="T32" s="618"/>
      <c r="U32" s="619">
        <v>1</v>
      </c>
      <c r="W32" s="86">
        <f t="shared" si="5"/>
        <v>-32224970.239999998</v>
      </c>
      <c r="X32" s="586"/>
      <c r="Y32" s="198"/>
    </row>
    <row r="33" spans="1:32" ht="18.95" customHeight="1">
      <c r="A33" s="575">
        <f t="shared" si="6"/>
        <v>13</v>
      </c>
      <c r="B33" s="621" t="s">
        <v>2517</v>
      </c>
      <c r="C33" s="609" t="s">
        <v>2518</v>
      </c>
      <c r="D33" s="86">
        <v>-29008805.451350357</v>
      </c>
      <c r="E33" s="86">
        <v>-31445170.192968536</v>
      </c>
      <c r="F33" s="86">
        <v>-26581086.682581119</v>
      </c>
      <c r="G33" s="86">
        <v>-30067893.934375871</v>
      </c>
      <c r="H33" s="86">
        <v>-33404431.482680526</v>
      </c>
      <c r="I33" s="86">
        <v>-35886325.176188886</v>
      </c>
      <c r="J33" s="86">
        <v>-30142389.200786114</v>
      </c>
      <c r="K33" s="86">
        <v>-30530295.017019335</v>
      </c>
      <c r="L33" s="86">
        <v>-27416857.81535472</v>
      </c>
      <c r="M33" s="86">
        <v>-29208604.781963322</v>
      </c>
      <c r="N33" s="86">
        <v>-35018561.98778531</v>
      </c>
      <c r="O33" s="86">
        <v>-27794163.829173729</v>
      </c>
      <c r="P33" s="86">
        <v>-29008805.451350357</v>
      </c>
      <c r="Q33" s="86">
        <f t="shared" si="7"/>
        <v>-30424107.000275239</v>
      </c>
      <c r="R33" s="588"/>
      <c r="S33" s="617">
        <f>S16</f>
        <v>0.9363240823636807</v>
      </c>
      <c r="T33" s="622"/>
      <c r="U33" s="623">
        <v>1</v>
      </c>
      <c r="W33" s="86">
        <f t="shared" si="5"/>
        <v>-28486824.07</v>
      </c>
      <c r="X33" s="586"/>
      <c r="Y33" s="617"/>
    </row>
    <row r="34" spans="1:32" ht="18.95" customHeight="1">
      <c r="A34" s="575">
        <f t="shared" si="6"/>
        <v>14</v>
      </c>
      <c r="B34" s="621" t="s">
        <v>2517</v>
      </c>
      <c r="C34" s="609" t="s">
        <v>2519</v>
      </c>
      <c r="D34" s="86">
        <v>-2923000.5608959598</v>
      </c>
      <c r="E34" s="86">
        <v>-2666094.0330649144</v>
      </c>
      <c r="F34" s="86">
        <v>-2155191.9990222692</v>
      </c>
      <c r="G34" s="86">
        <v>-2697993.6911508036</v>
      </c>
      <c r="H34" s="86">
        <v>-3479704.1991508123</v>
      </c>
      <c r="I34" s="86">
        <v>-2146580.9843612676</v>
      </c>
      <c r="J34" s="86">
        <v>-2552417.9115845403</v>
      </c>
      <c r="K34" s="86">
        <v>-3096834.6914443336</v>
      </c>
      <c r="L34" s="86">
        <v>-3118759.8854966797</v>
      </c>
      <c r="M34" s="86">
        <v>-1928507.3708500422</v>
      </c>
      <c r="N34" s="86">
        <v>-2238669.9764081878</v>
      </c>
      <c r="O34" s="86">
        <v>-2347316.6177265593</v>
      </c>
      <c r="P34" s="86">
        <v>-2923000.5608959598</v>
      </c>
      <c r="Q34" s="131">
        <f t="shared" si="7"/>
        <v>-2636467.1140040252</v>
      </c>
      <c r="R34" s="588"/>
      <c r="S34" s="617">
        <f>S16</f>
        <v>0.9363240823636807</v>
      </c>
      <c r="T34" s="618"/>
      <c r="U34" s="619">
        <v>1</v>
      </c>
      <c r="W34" s="131">
        <f t="shared" si="5"/>
        <v>-2468587.65</v>
      </c>
      <c r="X34" s="586"/>
      <c r="Y34" s="617"/>
    </row>
    <row r="35" spans="1:32" ht="18.95" customHeight="1">
      <c r="X35" s="586"/>
    </row>
    <row r="36" spans="1:32" ht="18.95" customHeight="1" thickBot="1">
      <c r="A36" s="575">
        <f>A34+1</f>
        <v>15</v>
      </c>
      <c r="C36" s="574" t="s">
        <v>2520</v>
      </c>
      <c r="Q36" s="94">
        <f>SUM(Q28:Q34)</f>
        <v>-111597613.30015558</v>
      </c>
      <c r="R36" s="577"/>
      <c r="T36" s="618"/>
      <c r="W36" s="94">
        <f>SUM(W28:W34)</f>
        <v>-104846685.28999999</v>
      </c>
      <c r="X36" s="589"/>
    </row>
    <row r="37" spans="1:32" ht="18.95" customHeight="1" thickTop="1">
      <c r="W37" s="586"/>
      <c r="X37" s="586"/>
    </row>
    <row r="38" spans="1:32" ht="18.95" customHeight="1" thickBot="1">
      <c r="A38" s="575">
        <f>A36+1</f>
        <v>16</v>
      </c>
      <c r="B38" s="574" t="s">
        <v>2647</v>
      </c>
      <c r="C38" s="574"/>
      <c r="Q38" s="94">
        <f>Q21+Q36</f>
        <v>78212503.853764474</v>
      </c>
      <c r="R38" s="577"/>
      <c r="T38" s="618"/>
      <c r="W38" s="94">
        <f>W21+W36</f>
        <v>73749576.040000021</v>
      </c>
      <c r="X38" s="589"/>
    </row>
    <row r="39" spans="1:32" ht="13.5" thickTop="1"/>
    <row r="41" spans="1:32" ht="15" customHeight="1">
      <c r="B41" s="575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7"/>
      <c r="S41" s="617"/>
      <c r="T41" s="626"/>
      <c r="U41" s="623"/>
      <c r="W41" s="586"/>
      <c r="X41" s="586"/>
      <c r="Y41" s="198"/>
      <c r="AB41" s="575"/>
      <c r="AC41" s="575"/>
      <c r="AD41" s="575"/>
    </row>
    <row r="42" spans="1:32" ht="15" customHeight="1">
      <c r="B42" s="575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7"/>
      <c r="S42" s="617"/>
      <c r="T42" s="626"/>
      <c r="U42" s="623"/>
      <c r="W42" s="586"/>
      <c r="X42" s="586"/>
      <c r="Y42" s="198"/>
      <c r="AA42" s="621"/>
      <c r="AB42" s="621"/>
      <c r="AD42" s="621"/>
      <c r="AE42" s="621"/>
    </row>
    <row r="43" spans="1:32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7"/>
      <c r="U43" s="628"/>
      <c r="AA43" s="575"/>
      <c r="AB43" s="575"/>
      <c r="AD43" s="575"/>
      <c r="AE43" s="575"/>
    </row>
    <row r="44" spans="1:32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7"/>
      <c r="U44" s="628"/>
      <c r="AB44" s="575"/>
      <c r="AC44" s="575"/>
      <c r="AD44" s="575"/>
      <c r="AF44" s="575"/>
    </row>
    <row r="45" spans="1:32" ht="15" customHeight="1">
      <c r="B45" s="57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7"/>
      <c r="S45" s="617"/>
      <c r="T45" s="626"/>
      <c r="U45" s="623"/>
      <c r="W45" s="586"/>
      <c r="X45" s="586"/>
      <c r="Y45" s="198"/>
      <c r="AA45" s="586"/>
      <c r="AB45" s="586"/>
      <c r="AC45" s="624"/>
      <c r="AD45" s="586"/>
      <c r="AE45" s="586"/>
      <c r="AF45" s="625"/>
    </row>
    <row r="46" spans="1:32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7"/>
      <c r="U46" s="628"/>
      <c r="AA46" s="586"/>
      <c r="AB46" s="586"/>
      <c r="AC46" s="624"/>
      <c r="AD46" s="586"/>
      <c r="AE46" s="586"/>
      <c r="AF46" s="625"/>
    </row>
    <row r="47" spans="1:32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16" t="str">
        <f>$A1</f>
        <v>KENTUCKY UTILITIES COMPANY</v>
      </c>
      <c r="B49" s="819"/>
      <c r="C49" s="819"/>
      <c r="D49" s="819"/>
      <c r="E49" s="819"/>
      <c r="F49" s="819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19"/>
      <c r="S49" s="819"/>
      <c r="T49" s="820"/>
      <c r="U49" s="820"/>
      <c r="V49" s="819"/>
      <c r="W49" s="819"/>
      <c r="X49" s="604"/>
    </row>
    <row r="50" spans="1:24" ht="18.95" customHeight="1">
      <c r="A50" s="816" t="str">
        <f>$A2</f>
        <v>CASE NO. 2020-00349</v>
      </c>
      <c r="B50" s="819"/>
      <c r="C50" s="819"/>
      <c r="D50" s="819"/>
      <c r="E50" s="819"/>
      <c r="F50" s="819"/>
      <c r="G50" s="819"/>
      <c r="H50" s="819"/>
      <c r="I50" s="819"/>
      <c r="J50" s="819"/>
      <c r="K50" s="819"/>
      <c r="L50" s="819"/>
      <c r="M50" s="819"/>
      <c r="N50" s="819"/>
      <c r="O50" s="819"/>
      <c r="P50" s="819"/>
      <c r="Q50" s="819"/>
      <c r="R50" s="819"/>
      <c r="S50" s="819"/>
      <c r="T50" s="820"/>
      <c r="U50" s="820"/>
      <c r="V50" s="819"/>
      <c r="W50" s="819"/>
      <c r="X50" s="604"/>
    </row>
    <row r="51" spans="1:24" ht="18.95" customHeight="1">
      <c r="A51" s="816" t="s">
        <v>1432</v>
      </c>
      <c r="B51" s="817"/>
      <c r="C51" s="817"/>
      <c r="D51" s="817"/>
      <c r="E51" s="817"/>
      <c r="F51" s="817"/>
      <c r="G51" s="817"/>
      <c r="H51" s="817"/>
      <c r="I51" s="817"/>
      <c r="J51" s="817"/>
      <c r="K51" s="817"/>
      <c r="L51" s="817"/>
      <c r="M51" s="817"/>
      <c r="N51" s="817"/>
      <c r="O51" s="817"/>
      <c r="P51" s="817"/>
      <c r="Q51" s="817"/>
      <c r="R51" s="817"/>
      <c r="S51" s="817"/>
      <c r="T51" s="818"/>
      <c r="U51" s="818"/>
      <c r="V51" s="817"/>
      <c r="W51" s="817"/>
      <c r="X51" s="605"/>
    </row>
    <row r="52" spans="1:24" ht="18.95" customHeight="1">
      <c r="A52" s="816" t="str">
        <f>$A4</f>
        <v>FORECAST PERIOD FOR THE 12 MONTHS ENDED JUNE 30, 2022</v>
      </c>
      <c r="B52" s="819"/>
      <c r="C52" s="819"/>
      <c r="D52" s="819"/>
      <c r="E52" s="819"/>
      <c r="F52" s="819"/>
      <c r="G52" s="819"/>
      <c r="H52" s="819"/>
      <c r="I52" s="819"/>
      <c r="J52" s="819"/>
      <c r="K52" s="819"/>
      <c r="L52" s="819"/>
      <c r="M52" s="819"/>
      <c r="N52" s="819"/>
      <c r="O52" s="819"/>
      <c r="P52" s="819"/>
      <c r="Q52" s="819"/>
      <c r="R52" s="819"/>
      <c r="S52" s="819"/>
      <c r="T52" s="820"/>
      <c r="U52" s="820"/>
      <c r="V52" s="819"/>
      <c r="W52" s="819"/>
      <c r="X52" s="605"/>
    </row>
    <row r="53" spans="1:24" ht="18.95" customHeight="1">
      <c r="A53" s="606"/>
      <c r="B53" s="607"/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8"/>
      <c r="U53" s="608"/>
      <c r="V53" s="607"/>
      <c r="W53" s="607"/>
      <c r="X53" s="605"/>
    </row>
    <row r="54" spans="1:24" ht="18.95" customHeight="1">
      <c r="A54" s="67" t="str">
        <f>A6</f>
        <v>DATA:____BASE  PERIOD__X__FORECASTED  PERIOD</v>
      </c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8"/>
      <c r="U54" s="608"/>
      <c r="V54" s="607"/>
      <c r="W54" s="74" t="s">
        <v>1433</v>
      </c>
      <c r="X54" s="605"/>
    </row>
    <row r="55" spans="1:24" ht="18.95" customHeight="1">
      <c r="A55" s="68" t="str">
        <f>A7</f>
        <v>TYPE OF FILING: __X__ ORIGINAL  _____ UPDATED  _____ REVISED</v>
      </c>
      <c r="B55" s="607"/>
      <c r="C55" s="607"/>
      <c r="D55" s="607"/>
      <c r="E55" s="607"/>
      <c r="F55" s="607"/>
      <c r="G55" s="607"/>
      <c r="H55" s="607"/>
      <c r="I55" s="607"/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8"/>
      <c r="U55" s="608"/>
      <c r="V55" s="607"/>
      <c r="W55" s="74" t="s">
        <v>169</v>
      </c>
      <c r="X55" s="605"/>
    </row>
    <row r="56" spans="1:24" ht="18.95" customHeight="1">
      <c r="A56" s="67" t="s">
        <v>1195</v>
      </c>
      <c r="W56" s="75" t="str">
        <f>W8</f>
        <v>WITNESS:   C. M. GARRETT</v>
      </c>
    </row>
    <row r="57" spans="1:24" ht="18.95" customHeight="1">
      <c r="A57" s="612"/>
    </row>
    <row r="58" spans="1:24" ht="38.25">
      <c r="A58" s="159" t="s">
        <v>131</v>
      </c>
      <c r="B58" s="159"/>
      <c r="C58" s="159" t="s">
        <v>204</v>
      </c>
      <c r="D58" s="613" t="str">
        <f>D10</f>
        <v>Jun 2021</v>
      </c>
      <c r="E58" s="613" t="str">
        <f t="shared" ref="E58:P58" si="9">E10</f>
        <v>Jul 2021</v>
      </c>
      <c r="F58" s="613" t="str">
        <f t="shared" si="9"/>
        <v>Aug 2021</v>
      </c>
      <c r="G58" s="613" t="str">
        <f t="shared" si="9"/>
        <v>Sep 2021</v>
      </c>
      <c r="H58" s="613" t="str">
        <f t="shared" si="9"/>
        <v>Oct 2021</v>
      </c>
      <c r="I58" s="613" t="str">
        <f t="shared" si="9"/>
        <v>Nov 2021</v>
      </c>
      <c r="J58" s="613" t="str">
        <f t="shared" si="9"/>
        <v>Dec 2021</v>
      </c>
      <c r="K58" s="613" t="str">
        <f t="shared" si="9"/>
        <v>Jan 2022</v>
      </c>
      <c r="L58" s="613" t="str">
        <f t="shared" si="9"/>
        <v>Feb 2022</v>
      </c>
      <c r="M58" s="613" t="str">
        <f t="shared" si="9"/>
        <v>Mar 2022</v>
      </c>
      <c r="N58" s="613" t="str">
        <f t="shared" si="9"/>
        <v>Apr 2022</v>
      </c>
      <c r="O58" s="613" t="str">
        <f t="shared" si="9"/>
        <v>May 2022</v>
      </c>
      <c r="P58" s="613" t="str">
        <f t="shared" si="9"/>
        <v>Jun 2022</v>
      </c>
      <c r="Q58" s="159" t="s">
        <v>1199</v>
      </c>
      <c r="R58" s="159"/>
      <c r="S58" s="159" t="s">
        <v>223</v>
      </c>
      <c r="T58" s="614"/>
      <c r="U58" s="615" t="s">
        <v>2504</v>
      </c>
      <c r="V58" s="159"/>
      <c r="W58" s="159" t="s">
        <v>1418</v>
      </c>
      <c r="X58" s="616"/>
    </row>
    <row r="59" spans="1:24" ht="18.95" customHeight="1"/>
    <row r="60" spans="1:24" ht="18.95" customHeight="1">
      <c r="A60" s="70">
        <v>1</v>
      </c>
      <c r="C60" s="78" t="s">
        <v>2524</v>
      </c>
      <c r="E60" s="86">
        <f>'ECR EXP F'!B24*1000</f>
        <v>-92142.000000000015</v>
      </c>
      <c r="F60" s="86">
        <f>'ECR EXP F'!C24*1000</f>
        <v>-91063.000000000102</v>
      </c>
      <c r="G60" s="86">
        <f>'ECR EXP F'!D24*1000</f>
        <v>-96059</v>
      </c>
      <c r="H60" s="86">
        <f>'ECR EXP F'!E24*1000</f>
        <v>-91684</v>
      </c>
      <c r="I60" s="86">
        <f>'ECR EXP F'!F24*1000</f>
        <v>-92433</v>
      </c>
      <c r="J60" s="86">
        <f>'ECR EXP F'!G24*1000</f>
        <v>-97899</v>
      </c>
      <c r="K60" s="86">
        <f>'ECR EXP F'!H24*1000</f>
        <v>-97334</v>
      </c>
      <c r="L60" s="86">
        <f>'ECR EXP F'!I24*1000</f>
        <v>-97299</v>
      </c>
      <c r="M60" s="86">
        <f>'ECR EXP F'!J24*1000</f>
        <v>-101215</v>
      </c>
      <c r="N60" s="86">
        <f>'ECR EXP F'!K24*1000</f>
        <v>-97074.000000000015</v>
      </c>
      <c r="O60" s="86">
        <f>'ECR EXP F'!L24*1000</f>
        <v>-97266</v>
      </c>
      <c r="P60" s="86">
        <f>'ECR EXP F'!M24*1000</f>
        <v>-102278</v>
      </c>
      <c r="Q60" s="86">
        <f>SUM(E60:P60)</f>
        <v>-1153746</v>
      </c>
      <c r="S60" s="578">
        <v>1</v>
      </c>
      <c r="W60" s="86">
        <f>Q60*S60</f>
        <v>-1153746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1434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8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1435</v>
      </c>
      <c r="Q64" s="94">
        <f>Q60-Q62</f>
        <v>-1153746</v>
      </c>
      <c r="W64" s="94">
        <f>W60-W62</f>
        <v>-1153746</v>
      </c>
    </row>
    <row r="65" spans="1:32" ht="18.95" customHeight="1" thickTop="1">
      <c r="A65" s="70"/>
      <c r="C65" s="78"/>
      <c r="Q65" s="86"/>
      <c r="W65" s="86"/>
    </row>
    <row r="66" spans="1:32" ht="18.95" customHeight="1" thickBot="1">
      <c r="A66" s="70">
        <v>4</v>
      </c>
      <c r="C66" s="78" t="s">
        <v>2521</v>
      </c>
      <c r="Q66" s="94">
        <f>Q64*0.125</f>
        <v>-144218.25</v>
      </c>
      <c r="W66" s="94">
        <f>W64*0.125</f>
        <v>-144218.25</v>
      </c>
    </row>
    <row r="67" spans="1:32" s="575" customFormat="1" ht="18.95" customHeight="1" thickTop="1">
      <c r="B67" s="574"/>
      <c r="C67" s="609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8"/>
      <c r="T67" s="610"/>
      <c r="U67" s="611"/>
      <c r="V67" s="578"/>
      <c r="W67" s="574"/>
      <c r="X67" s="574"/>
      <c r="Y67" s="574"/>
      <c r="Z67" s="574"/>
      <c r="AA67" s="574"/>
      <c r="AB67" s="574"/>
      <c r="AC67" s="574"/>
      <c r="AD67" s="574"/>
      <c r="AE67" s="574"/>
      <c r="AF67" s="574"/>
    </row>
    <row r="68" spans="1:32" s="575" customFormat="1" ht="18.95" customHeight="1">
      <c r="B68" s="574"/>
      <c r="C68" s="609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8"/>
      <c r="T68" s="610"/>
      <c r="U68" s="611"/>
      <c r="V68" s="578"/>
      <c r="W68" s="574"/>
      <c r="X68" s="574"/>
      <c r="Y68" s="574"/>
      <c r="Z68" s="574"/>
      <c r="AA68" s="574"/>
      <c r="AB68" s="574"/>
      <c r="AC68" s="574"/>
      <c r="AD68" s="574"/>
      <c r="AE68" s="574"/>
      <c r="AF68" s="574"/>
    </row>
    <row r="69" spans="1:32" s="575" customFormat="1" ht="18.95" customHeight="1">
      <c r="B69" s="574"/>
      <c r="C69" s="609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8"/>
      <c r="T69" s="610"/>
      <c r="U69" s="611"/>
      <c r="V69" s="578"/>
      <c r="W69" s="574"/>
      <c r="X69" s="574"/>
      <c r="Y69" s="574"/>
      <c r="Z69" s="574"/>
      <c r="AA69" s="574"/>
      <c r="AB69" s="574"/>
      <c r="AC69" s="574"/>
      <c r="AD69" s="574"/>
      <c r="AE69" s="574"/>
      <c r="AF69" s="574"/>
    </row>
    <row r="70" spans="1:32" s="575" customFormat="1" ht="18.95" customHeight="1">
      <c r="B70" s="574"/>
      <c r="C70" s="609"/>
      <c r="D70" s="574"/>
      <c r="E70" s="574"/>
      <c r="F70" s="574"/>
      <c r="G70" s="574"/>
      <c r="H70" s="574"/>
      <c r="I70" s="574"/>
      <c r="J70" s="574"/>
      <c r="K70" s="574"/>
      <c r="L70" s="574"/>
      <c r="M70" s="574"/>
      <c r="N70" s="574"/>
      <c r="O70" s="574"/>
      <c r="P70" s="574"/>
      <c r="Q70" s="574"/>
      <c r="R70" s="574"/>
      <c r="S70" s="578"/>
      <c r="T70" s="610"/>
      <c r="U70" s="611"/>
      <c r="V70" s="578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</row>
    <row r="71" spans="1:32" s="575" customFormat="1" ht="18.95" customHeight="1">
      <c r="B71" s="574"/>
      <c r="C71" s="609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  <c r="P71" s="574"/>
      <c r="Q71" s="574"/>
      <c r="R71" s="574"/>
      <c r="S71" s="578"/>
      <c r="T71" s="610"/>
      <c r="U71" s="611"/>
      <c r="V71" s="578"/>
      <c r="W71" s="574"/>
      <c r="X71" s="574"/>
      <c r="Y71" s="574"/>
      <c r="Z71" s="574"/>
      <c r="AA71" s="574"/>
      <c r="AB71" s="574"/>
      <c r="AC71" s="574"/>
      <c r="AD71" s="574"/>
      <c r="AE71" s="574"/>
      <c r="AF71" s="574"/>
    </row>
    <row r="72" spans="1:32" s="575" customFormat="1" ht="18.95" customHeight="1">
      <c r="B72" s="574"/>
      <c r="C72" s="609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8"/>
      <c r="T72" s="610"/>
      <c r="U72" s="611"/>
      <c r="V72" s="578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</row>
    <row r="73" spans="1:32" s="575" customFormat="1" ht="18.95" customHeight="1">
      <c r="B73" s="574"/>
      <c r="C73" s="609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8"/>
      <c r="T73" s="610"/>
      <c r="U73" s="611"/>
      <c r="V73" s="578"/>
      <c r="W73" s="574"/>
      <c r="X73" s="574"/>
      <c r="Y73" s="574"/>
      <c r="Z73" s="574"/>
      <c r="AA73" s="574"/>
      <c r="AB73" s="574"/>
      <c r="AC73" s="574"/>
      <c r="AD73" s="574"/>
      <c r="AE73" s="574"/>
      <c r="AF73" s="574"/>
    </row>
    <row r="74" spans="1:32" s="575" customFormat="1" ht="18.95" customHeight="1">
      <c r="B74" s="574"/>
      <c r="C74" s="609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8"/>
      <c r="T74" s="610"/>
      <c r="U74" s="611"/>
      <c r="V74" s="578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</row>
    <row r="75" spans="1:32" s="575" customFormat="1" ht="18.95" customHeight="1">
      <c r="B75" s="574"/>
      <c r="C75" s="609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8"/>
      <c r="T75" s="610"/>
      <c r="U75" s="611"/>
      <c r="V75" s="578"/>
      <c r="W75" s="574"/>
      <c r="X75" s="574"/>
      <c r="Y75" s="574"/>
      <c r="Z75" s="574"/>
      <c r="AA75" s="574"/>
      <c r="AB75" s="574"/>
      <c r="AC75" s="574"/>
      <c r="AD75" s="574"/>
      <c r="AE75" s="574"/>
      <c r="AF75" s="574"/>
    </row>
    <row r="76" spans="1:32" s="575" customFormat="1" ht="18.95" customHeight="1">
      <c r="B76" s="574"/>
      <c r="C76" s="609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8"/>
      <c r="T76" s="610"/>
      <c r="U76" s="611"/>
      <c r="V76" s="578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</row>
    <row r="77" spans="1:32" s="575" customFormat="1" ht="18.95" customHeight="1">
      <c r="B77" s="574"/>
      <c r="C77" s="609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8"/>
      <c r="T77" s="610"/>
      <c r="U77" s="611"/>
      <c r="V77" s="578"/>
      <c r="W77" s="574"/>
      <c r="X77" s="574"/>
      <c r="Y77" s="574"/>
      <c r="Z77" s="574"/>
      <c r="AA77" s="574"/>
      <c r="AB77" s="574"/>
      <c r="AC77" s="574"/>
      <c r="AD77" s="574"/>
      <c r="AE77" s="574"/>
      <c r="AF77" s="574"/>
    </row>
    <row r="78" spans="1:32" s="575" customFormat="1" ht="18.95" customHeight="1">
      <c r="B78" s="574"/>
      <c r="C78" s="609"/>
      <c r="D78" s="574"/>
      <c r="E78" s="574"/>
      <c r="F78" s="574"/>
      <c r="G78" s="574"/>
      <c r="H78" s="574"/>
      <c r="I78" s="574"/>
      <c r="J78" s="574"/>
      <c r="K78" s="574"/>
      <c r="L78" s="574"/>
      <c r="M78" s="574"/>
      <c r="N78" s="574"/>
      <c r="O78" s="574"/>
      <c r="P78" s="574"/>
      <c r="Q78" s="574"/>
      <c r="R78" s="574"/>
      <c r="S78" s="578"/>
      <c r="T78" s="610"/>
      <c r="U78" s="611"/>
      <c r="V78" s="578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</row>
    <row r="79" spans="1:32" s="575" customFormat="1" ht="18.95" customHeight="1">
      <c r="B79" s="574"/>
      <c r="C79" s="609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8"/>
      <c r="T79" s="610"/>
      <c r="U79" s="611"/>
      <c r="V79" s="578"/>
      <c r="W79" s="574"/>
      <c r="X79" s="574"/>
      <c r="Y79" s="574"/>
      <c r="Z79" s="574"/>
      <c r="AA79" s="574"/>
      <c r="AB79" s="574"/>
      <c r="AC79" s="574"/>
      <c r="AD79" s="574"/>
      <c r="AE79" s="574"/>
      <c r="AF79" s="574"/>
    </row>
    <row r="80" spans="1:32" s="575" customFormat="1" ht="18.95" customHeight="1">
      <c r="B80" s="574"/>
      <c r="C80" s="609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8"/>
      <c r="T80" s="610"/>
      <c r="U80" s="611"/>
      <c r="V80" s="578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</row>
    <row r="81" spans="2:32" s="575" customFormat="1" ht="18.95" customHeight="1">
      <c r="B81" s="574"/>
      <c r="C81" s="609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8"/>
      <c r="T81" s="610"/>
      <c r="U81" s="611"/>
      <c r="V81" s="578"/>
      <c r="W81" s="574"/>
      <c r="X81" s="574"/>
      <c r="Y81" s="574"/>
      <c r="Z81" s="574"/>
      <c r="AA81" s="574"/>
      <c r="AB81" s="574"/>
      <c r="AC81" s="574"/>
      <c r="AD81" s="574"/>
      <c r="AE81" s="574"/>
      <c r="AF81" s="574"/>
    </row>
    <row r="82" spans="2:32" s="575" customFormat="1" ht="18.95" customHeight="1">
      <c r="B82" s="574"/>
      <c r="C82" s="609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8"/>
      <c r="T82" s="610"/>
      <c r="U82" s="611"/>
      <c r="V82" s="578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</row>
    <row r="83" spans="2:32" s="575" customFormat="1" ht="18.95" customHeight="1">
      <c r="B83" s="574"/>
      <c r="C83" s="609"/>
      <c r="D83" s="574"/>
      <c r="E83" s="574"/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8"/>
      <c r="T83" s="610"/>
      <c r="U83" s="611"/>
      <c r="V83" s="578"/>
      <c r="W83" s="574"/>
      <c r="X83" s="574"/>
      <c r="Y83" s="574"/>
      <c r="Z83" s="574"/>
      <c r="AA83" s="574"/>
      <c r="AB83" s="574"/>
      <c r="AC83" s="574"/>
      <c r="AD83" s="574"/>
      <c r="AE83" s="574"/>
      <c r="AF83" s="574"/>
    </row>
    <row r="84" spans="2:32" s="575" customFormat="1" ht="18.95" customHeight="1">
      <c r="B84" s="574"/>
      <c r="C84" s="609"/>
      <c r="D84" s="574"/>
      <c r="E84" s="574"/>
      <c r="F84" s="574"/>
      <c r="G84" s="574"/>
      <c r="H84" s="574"/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8"/>
      <c r="T84" s="610"/>
      <c r="U84" s="611"/>
      <c r="V84" s="578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</row>
    <row r="85" spans="2:32" s="575" customFormat="1" ht="18.95" customHeight="1">
      <c r="B85" s="574"/>
      <c r="C85" s="609"/>
      <c r="D85" s="574"/>
      <c r="E85" s="574"/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8"/>
      <c r="T85" s="610"/>
      <c r="U85" s="611"/>
      <c r="V85" s="578"/>
      <c r="W85" s="574"/>
      <c r="X85" s="574"/>
      <c r="Y85" s="574"/>
      <c r="Z85" s="574"/>
      <c r="AA85" s="574"/>
      <c r="AB85" s="574"/>
      <c r="AC85" s="574"/>
      <c r="AD85" s="574"/>
      <c r="AE85" s="574"/>
      <c r="AF85" s="574"/>
    </row>
    <row r="86" spans="2:32" s="575" customFormat="1" ht="18.95" customHeight="1">
      <c r="B86" s="574"/>
      <c r="C86" s="609"/>
      <c r="D86" s="574"/>
      <c r="E86" s="574"/>
      <c r="F86" s="574"/>
      <c r="G86" s="574"/>
      <c r="H86" s="574"/>
      <c r="I86" s="574"/>
      <c r="J86" s="574"/>
      <c r="K86" s="574"/>
      <c r="L86" s="574"/>
      <c r="M86" s="574"/>
      <c r="N86" s="574"/>
      <c r="O86" s="574"/>
      <c r="P86" s="574"/>
      <c r="Q86" s="574"/>
      <c r="R86" s="574"/>
      <c r="S86" s="578"/>
      <c r="T86" s="610"/>
      <c r="U86" s="611"/>
      <c r="V86" s="578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</row>
    <row r="87" spans="2:32" s="575" customFormat="1" ht="18.95" customHeight="1">
      <c r="B87" s="574"/>
      <c r="C87" s="609"/>
      <c r="D87" s="574"/>
      <c r="E87" s="574"/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8"/>
      <c r="T87" s="610"/>
      <c r="U87" s="611"/>
      <c r="V87" s="578"/>
      <c r="W87" s="574"/>
      <c r="X87" s="574"/>
      <c r="Y87" s="574"/>
      <c r="Z87" s="574"/>
      <c r="AA87" s="574"/>
      <c r="AB87" s="574"/>
      <c r="AC87" s="574"/>
      <c r="AD87" s="574"/>
      <c r="AE87" s="574"/>
      <c r="AF87" s="574"/>
    </row>
    <row r="88" spans="2:32" s="575" customFormat="1" ht="18.95" customHeight="1">
      <c r="B88" s="574"/>
      <c r="C88" s="609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8"/>
      <c r="T88" s="610"/>
      <c r="U88" s="611"/>
      <c r="V88" s="578"/>
      <c r="W88" s="574"/>
      <c r="X88" s="574"/>
      <c r="Y88" s="574"/>
      <c r="Z88" s="574"/>
      <c r="AA88" s="574"/>
      <c r="AB88" s="574"/>
      <c r="AC88" s="574"/>
      <c r="AD88" s="574"/>
      <c r="AE88" s="574"/>
      <c r="AF88" s="574"/>
    </row>
    <row r="89" spans="2:32" s="575" customFormat="1" ht="18.95" customHeight="1">
      <c r="B89" s="574"/>
      <c r="C89" s="609"/>
      <c r="D89" s="574"/>
      <c r="E89" s="574"/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8"/>
      <c r="T89" s="610"/>
      <c r="U89" s="611"/>
      <c r="V89" s="578"/>
      <c r="W89" s="574"/>
      <c r="X89" s="574"/>
      <c r="Y89" s="574"/>
      <c r="Z89" s="574"/>
      <c r="AA89" s="574"/>
      <c r="AB89" s="574"/>
      <c r="AC89" s="574"/>
      <c r="AD89" s="574"/>
      <c r="AE89" s="574"/>
      <c r="AF89" s="574"/>
    </row>
    <row r="90" spans="2:32" s="575" customFormat="1" ht="18.95" customHeight="1">
      <c r="B90" s="574"/>
      <c r="C90" s="609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8"/>
      <c r="T90" s="610"/>
      <c r="U90" s="611"/>
      <c r="V90" s="578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</row>
    <row r="91" spans="2:32" s="575" customFormat="1" ht="18.95" customHeight="1">
      <c r="B91" s="574"/>
      <c r="C91" s="609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8"/>
      <c r="T91" s="610"/>
      <c r="U91" s="611"/>
      <c r="V91" s="578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4">
    <pageSetUpPr fitToPage="1"/>
  </sheetPr>
  <dimension ref="A1:J43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16.375" style="69" customWidth="1"/>
    <col min="3" max="3" width="34.25" style="69" customWidth="1"/>
    <col min="4" max="4" width="16.75" style="69" customWidth="1"/>
    <col min="5" max="5" width="13.625" style="69" customWidth="1"/>
    <col min="6" max="6" width="15.75" style="69" customWidth="1"/>
    <col min="7" max="7" width="14.75" style="69" customWidth="1"/>
    <col min="8" max="8" width="13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8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8" s="68" customFormat="1" ht="20.100000000000001" customHeight="1">
      <c r="A3" s="809" t="s">
        <v>1437</v>
      </c>
      <c r="B3" s="809"/>
      <c r="C3" s="809"/>
      <c r="D3" s="809"/>
      <c r="E3" s="809"/>
      <c r="F3" s="809"/>
      <c r="G3" s="809"/>
      <c r="H3" s="809"/>
    </row>
    <row r="4" spans="1:8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</row>
    <row r="5" spans="1:8" s="68" customFormat="1" ht="20.100000000000001" customHeight="1">
      <c r="A5" s="138"/>
      <c r="B5" s="138"/>
      <c r="C5" s="138"/>
      <c r="D5" s="138"/>
      <c r="E5" s="138"/>
      <c r="F5" s="138"/>
      <c r="G5" s="138"/>
      <c r="H5" s="138"/>
    </row>
    <row r="6" spans="1:8" s="68" customFormat="1" ht="20.100000000000001" customHeight="1">
      <c r="A6" s="67" t="s">
        <v>133</v>
      </c>
      <c r="B6" s="67"/>
      <c r="G6" s="74"/>
      <c r="H6" s="74" t="s">
        <v>1436</v>
      </c>
    </row>
    <row r="7" spans="1:8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176</v>
      </c>
    </row>
    <row r="8" spans="1:8" s="68" customFormat="1" ht="20.100000000000001" customHeight="1">
      <c r="A8" s="67" t="s">
        <v>1412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204</v>
      </c>
      <c r="D10" s="76" t="s">
        <v>222</v>
      </c>
      <c r="E10" s="76" t="s">
        <v>223</v>
      </c>
      <c r="F10" s="76" t="s">
        <v>224</v>
      </c>
      <c r="G10" s="76" t="s">
        <v>225</v>
      </c>
      <c r="H10" s="76" t="s">
        <v>226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>
        <v>252</v>
      </c>
      <c r="C12" s="78" t="s">
        <v>1188</v>
      </c>
      <c r="D12" s="86">
        <f>'JURISSEP B'!$E$372</f>
        <v>1719771.5899999999</v>
      </c>
      <c r="E12" s="130">
        <f>F12/D12</f>
        <v>0.99560637798336149</v>
      </c>
      <c r="F12" s="86">
        <f>'JURISSEP B'!$G$372</f>
        <v>1712215.5636785864</v>
      </c>
      <c r="G12" s="86">
        <v>0</v>
      </c>
      <c r="H12" s="86">
        <f>SUM(F12:G12)</f>
        <v>1712215.5636785864</v>
      </c>
    </row>
    <row r="13" spans="1:8" ht="18.95" customHeight="1">
      <c r="A13" s="70"/>
      <c r="B13" s="71"/>
      <c r="C13" s="78"/>
      <c r="D13" s="86"/>
      <c r="E13" s="130"/>
      <c r="F13" s="86"/>
      <c r="G13" s="86"/>
      <c r="H13" s="86"/>
    </row>
    <row r="14" spans="1:8" ht="18.95" customHeight="1">
      <c r="A14" s="70">
        <v>2</v>
      </c>
      <c r="B14" s="71">
        <v>255</v>
      </c>
      <c r="C14" s="78" t="s">
        <v>1438</v>
      </c>
      <c r="D14" s="86">
        <f>'JURISSEP B'!$E$370</f>
        <v>87909987.86999999</v>
      </c>
      <c r="E14" s="130">
        <f>F14/D14</f>
        <v>0.93605396899428051</v>
      </c>
      <c r="F14" s="86">
        <f>'JURISSEP B'!$G$370</f>
        <v>82288493.059952542</v>
      </c>
      <c r="G14" s="86">
        <v>0</v>
      </c>
      <c r="H14" s="86">
        <f t="shared" ref="H14" si="0">SUM(F14:G14)</f>
        <v>82288493.059952542</v>
      </c>
    </row>
    <row r="15" spans="1:8" ht="18.95" customHeight="1">
      <c r="A15" s="70"/>
      <c r="B15" s="71"/>
      <c r="C15" s="78"/>
      <c r="D15" s="86"/>
      <c r="E15" s="130"/>
      <c r="F15" s="86"/>
      <c r="G15" s="86"/>
      <c r="H15" s="86"/>
    </row>
    <row r="16" spans="1:8" ht="18.95" customHeight="1">
      <c r="A16" s="70">
        <v>3</v>
      </c>
      <c r="B16" s="70" t="s">
        <v>1448</v>
      </c>
      <c r="C16" s="78" t="s">
        <v>2003</v>
      </c>
      <c r="D16" s="86">
        <f>'JURISSEP B'!$E$361</f>
        <v>1443601765.3862419</v>
      </c>
      <c r="E16" s="130">
        <f>F16/D16</f>
        <v>0.93769156333789405</v>
      </c>
      <c r="F16" s="86">
        <f>'JURISSEP B'!$G$361</f>
        <v>1353653196.222369</v>
      </c>
      <c r="G16" s="86">
        <f>'ECR DEFTAX'!$M4+'DSM DEFTAX'!$M2</f>
        <v>-341379670.06000274</v>
      </c>
      <c r="H16" s="86">
        <f t="shared" ref="H16" si="1">SUM(F16:G16)</f>
        <v>1012273526.1623662</v>
      </c>
    </row>
    <row r="17" spans="1:8" ht="18.95" customHeight="1">
      <c r="A17" s="70"/>
      <c r="B17" s="71"/>
      <c r="C17" s="78"/>
      <c r="D17" s="86"/>
      <c r="E17" s="461"/>
      <c r="F17" s="86"/>
      <c r="G17" s="86"/>
      <c r="H17" s="86"/>
    </row>
    <row r="18" spans="1:8" ht="18.75" customHeight="1">
      <c r="A18" s="70">
        <v>4</v>
      </c>
      <c r="B18" s="70" t="s">
        <v>2245</v>
      </c>
      <c r="C18" s="78" t="s">
        <v>2246</v>
      </c>
      <c r="D18" s="86">
        <f>-'JURISSEP B'!$E$332</f>
        <v>-157279615.09390604</v>
      </c>
      <c r="E18" s="130">
        <f>F18/D18</f>
        <v>0.95657947732241977</v>
      </c>
      <c r="F18" s="86">
        <f>-'JURISSEP B'!$G$332</f>
        <v>-150450452</v>
      </c>
      <c r="G18" s="86">
        <f>-F18</f>
        <v>150450452</v>
      </c>
      <c r="H18" s="86">
        <f t="shared" ref="H18" si="2">SUM(F18:G18)</f>
        <v>0</v>
      </c>
    </row>
    <row r="19" spans="1:8" ht="18.95" customHeight="1">
      <c r="A19" s="70"/>
      <c r="B19" s="70"/>
      <c r="C19" s="78"/>
      <c r="D19" s="86"/>
      <c r="E19" s="130"/>
      <c r="F19" s="86"/>
      <c r="G19" s="86"/>
      <c r="H19" s="86"/>
    </row>
    <row r="20" spans="1:8" ht="18.95" customHeight="1">
      <c r="A20" s="70"/>
      <c r="B20" s="70"/>
      <c r="C20" s="67" t="s">
        <v>2247</v>
      </c>
      <c r="D20" s="86"/>
      <c r="E20" s="86"/>
      <c r="F20" s="86"/>
      <c r="G20" s="86"/>
      <c r="H20" s="86"/>
    </row>
    <row r="21" spans="1:8" ht="18.95" customHeight="1">
      <c r="A21" s="70"/>
      <c r="B21" s="70"/>
      <c r="C21" s="78"/>
      <c r="D21" s="86"/>
      <c r="E21" s="86"/>
      <c r="F21" s="86"/>
      <c r="G21" s="86"/>
      <c r="H21" s="86"/>
    </row>
    <row r="22" spans="1:8" s="68" customFormat="1" ht="20.100000000000001" customHeight="1">
      <c r="A22" s="809" t="str">
        <f>$A$1</f>
        <v>KENTUCKY UTILITIES COMPANY</v>
      </c>
      <c r="B22" s="809"/>
      <c r="C22" s="809"/>
      <c r="D22" s="809"/>
      <c r="E22" s="809"/>
      <c r="F22" s="809"/>
      <c r="G22" s="809"/>
      <c r="H22" s="809"/>
    </row>
    <row r="23" spans="1:8" s="68" customFormat="1" ht="20.100000000000001" customHeight="1">
      <c r="A23" s="809" t="str">
        <f>$A$2</f>
        <v>CASE NO. 2020-00349</v>
      </c>
      <c r="B23" s="809"/>
      <c r="C23" s="809"/>
      <c r="D23" s="809"/>
      <c r="E23" s="809"/>
      <c r="F23" s="809"/>
      <c r="G23" s="809"/>
      <c r="H23" s="809"/>
    </row>
    <row r="24" spans="1:8" s="68" customFormat="1" ht="20.100000000000001" customHeight="1">
      <c r="A24" s="809" t="str">
        <f>A3</f>
        <v>CERTAIN DEFERRED CREDITS AND ACCUMULATED DEFERRED INCOME TAXES</v>
      </c>
      <c r="B24" s="809"/>
      <c r="C24" s="809"/>
      <c r="D24" s="809"/>
      <c r="E24" s="809"/>
      <c r="F24" s="809"/>
      <c r="G24" s="809"/>
      <c r="H24" s="809"/>
    </row>
    <row r="25" spans="1:8" s="68" customFormat="1" ht="20.100000000000001" customHeight="1">
      <c r="A25" s="808" t="str">
        <f>'Rate Case Constants'!C20</f>
        <v>FROM JULY 1, 2021 TO JUNE 30, 2022</v>
      </c>
      <c r="B25" s="814"/>
      <c r="C25" s="814"/>
      <c r="D25" s="814"/>
      <c r="E25" s="814"/>
      <c r="F25" s="814"/>
      <c r="G25" s="814"/>
      <c r="H25" s="814"/>
    </row>
    <row r="26" spans="1:8" s="68" customFormat="1" ht="20.100000000000001" customHeight="1">
      <c r="A26" s="138"/>
      <c r="B26" s="138"/>
      <c r="C26" s="138"/>
      <c r="D26" s="138"/>
      <c r="E26" s="138"/>
      <c r="F26" s="138"/>
      <c r="G26" s="138"/>
      <c r="H26" s="138"/>
    </row>
    <row r="27" spans="1:8" s="68" customFormat="1" ht="20.100000000000001" customHeight="1">
      <c r="A27" s="67" t="s">
        <v>161</v>
      </c>
      <c r="B27" s="67"/>
      <c r="G27" s="74"/>
      <c r="H27" s="74" t="s">
        <v>1436</v>
      </c>
    </row>
    <row r="28" spans="1:8" s="68" customFormat="1" ht="20.100000000000001" customHeight="1">
      <c r="A28" s="68" t="str">
        <f>$A$7</f>
        <v>TYPE OF FILING: __X__ ORIGINAL  _____ UPDATED  _____ REVISED</v>
      </c>
      <c r="G28" s="74"/>
      <c r="H28" s="74" t="s">
        <v>184</v>
      </c>
    </row>
    <row r="29" spans="1:8" s="68" customFormat="1" ht="20.100000000000001" customHeight="1">
      <c r="A29" s="67" t="s">
        <v>1412</v>
      </c>
      <c r="B29" s="67"/>
      <c r="F29" s="67"/>
      <c r="G29" s="75"/>
      <c r="H29" s="75" t="str">
        <f>$H$8</f>
        <v>WITNESS:   C. M. GARRETT</v>
      </c>
    </row>
    <row r="30" spans="1:8" s="68" customFormat="1" ht="20.100000000000001" customHeight="1"/>
    <row r="31" spans="1:8" s="68" customFormat="1" ht="21.75" customHeight="1">
      <c r="A31" s="96"/>
      <c r="B31" s="96"/>
      <c r="C31" s="96"/>
      <c r="D31" s="813" t="s">
        <v>2243</v>
      </c>
      <c r="E31" s="813"/>
      <c r="F31" s="813"/>
      <c r="G31" s="813"/>
      <c r="H31" s="813"/>
    </row>
    <row r="32" spans="1:8" ht="53.25" customHeight="1">
      <c r="A32" s="98" t="s">
        <v>131</v>
      </c>
      <c r="B32" s="98" t="s">
        <v>134</v>
      </c>
      <c r="C32" s="161" t="s">
        <v>204</v>
      </c>
      <c r="D32" s="98" t="s">
        <v>2652</v>
      </c>
      <c r="E32" s="98" t="s">
        <v>223</v>
      </c>
      <c r="F32" s="98" t="s">
        <v>224</v>
      </c>
      <c r="G32" s="98" t="s">
        <v>225</v>
      </c>
      <c r="H32" s="98" t="s">
        <v>226</v>
      </c>
    </row>
    <row r="33" spans="1:10" ht="23.1" customHeight="1">
      <c r="A33" s="73"/>
      <c r="B33" s="73"/>
      <c r="C33" s="132"/>
      <c r="D33" s="95" t="s">
        <v>142</v>
      </c>
      <c r="E33" s="95"/>
      <c r="F33" s="95" t="s">
        <v>142</v>
      </c>
      <c r="G33" s="95" t="s">
        <v>142</v>
      </c>
      <c r="H33" s="95" t="s">
        <v>142</v>
      </c>
    </row>
    <row r="34" spans="1:10" ht="23.1" customHeight="1">
      <c r="A34" s="73">
        <v>1</v>
      </c>
      <c r="B34" s="73">
        <v>252</v>
      </c>
      <c r="C34" s="78" t="s">
        <v>1188</v>
      </c>
      <c r="D34" s="86">
        <f>'JURISSEP F'!$E$380</f>
        <v>1719771.59</v>
      </c>
      <c r="E34" s="130">
        <f>F34/D34</f>
        <v>0.99560637798336138</v>
      </c>
      <c r="F34" s="86">
        <f>'JURISSEP F'!$G$380</f>
        <v>1712215.5636785864</v>
      </c>
      <c r="G34" s="86">
        <v>0</v>
      </c>
      <c r="H34" s="86">
        <f>SUM(F34:G34)</f>
        <v>1712215.5636785864</v>
      </c>
    </row>
    <row r="35" spans="1:10" ht="18.95" customHeight="1">
      <c r="A35" s="70"/>
      <c r="B35" s="71"/>
      <c r="C35" s="78"/>
      <c r="D35" s="86"/>
      <c r="E35" s="130"/>
      <c r="F35" s="86"/>
      <c r="G35" s="86"/>
      <c r="H35" s="86"/>
    </row>
    <row r="36" spans="1:10" ht="18.95" customHeight="1">
      <c r="A36" s="70">
        <v>2</v>
      </c>
      <c r="B36" s="71">
        <v>255</v>
      </c>
      <c r="C36" s="78" t="s">
        <v>1438</v>
      </c>
      <c r="D36" s="86">
        <f>'JURISSEP F'!$E$378</f>
        <v>86323268.203333288</v>
      </c>
      <c r="E36" s="130">
        <f>F36/D36</f>
        <v>0.93748750083276422</v>
      </c>
      <c r="F36" s="86">
        <f>'JURISSEP F'!$G$378</f>
        <v>80926984.971659347</v>
      </c>
      <c r="G36" s="86">
        <v>0</v>
      </c>
      <c r="H36" s="86">
        <f t="shared" ref="H36" si="3">SUM(F36:G36)</f>
        <v>80926984.971659347</v>
      </c>
    </row>
    <row r="37" spans="1:10" ht="18.95" customHeight="1">
      <c r="A37" s="70"/>
      <c r="B37" s="71"/>
      <c r="C37" s="78"/>
      <c r="D37" s="86"/>
      <c r="E37" s="130"/>
      <c r="F37" s="86"/>
      <c r="G37" s="86"/>
      <c r="H37" s="86"/>
    </row>
    <row r="38" spans="1:10" ht="18.95" customHeight="1">
      <c r="A38" s="70">
        <v>3</v>
      </c>
      <c r="B38" s="70" t="s">
        <v>1448</v>
      </c>
      <c r="C38" s="78" t="s">
        <v>2003</v>
      </c>
      <c r="D38" s="86">
        <f>'JURISSEP F'!$E$369</f>
        <v>1438518389.5100257</v>
      </c>
      <c r="E38" s="130">
        <f>F38/D38</f>
        <v>0.93308534889239303</v>
      </c>
      <c r="F38" s="86">
        <f>'JURISSEP F'!$G$369</f>
        <v>1342260433.3640857</v>
      </c>
      <c r="G38" s="86">
        <f>'ECR DEFTAX'!$AD4+'DSM DEFTAX'!$AD2-'JURISSEP F'!G366-'JURISSEP F'!G362</f>
        <v>-60194199.222686432</v>
      </c>
      <c r="H38" s="86">
        <f t="shared" ref="H38" si="4">SUM(F38:G38)</f>
        <v>1282066234.1413991</v>
      </c>
      <c r="J38" s="69" t="s">
        <v>3721</v>
      </c>
    </row>
    <row r="39" spans="1:10" ht="18.95" customHeight="1">
      <c r="A39" s="70"/>
      <c r="B39" s="71"/>
      <c r="C39" s="78"/>
      <c r="D39" s="86"/>
      <c r="E39" s="461"/>
      <c r="F39" s="86"/>
      <c r="G39" s="86"/>
      <c r="H39" s="86"/>
    </row>
    <row r="40" spans="1:10" ht="18.75" customHeight="1">
      <c r="A40" s="70">
        <v>4</v>
      </c>
      <c r="B40" s="70" t="s">
        <v>2245</v>
      </c>
      <c r="C40" s="78" t="s">
        <v>2246</v>
      </c>
      <c r="D40" s="86">
        <f>-'JURISSEP F'!$E$337</f>
        <v>-183002470.17830518</v>
      </c>
      <c r="E40" s="130">
        <f>F40/D40</f>
        <v>0.95392531494197963</v>
      </c>
      <c r="F40" s="86">
        <f>-'JURISSEP F'!$G$337</f>
        <v>-174570689</v>
      </c>
      <c r="G40" s="86">
        <f>-F40</f>
        <v>174570689</v>
      </c>
      <c r="H40" s="86">
        <f t="shared" ref="H40" si="5">SUM(F40:G40)</f>
        <v>0</v>
      </c>
    </row>
    <row r="41" spans="1:10" ht="18.95" customHeight="1">
      <c r="A41" s="70"/>
      <c r="B41" s="70"/>
      <c r="C41" s="78"/>
      <c r="D41" s="86"/>
      <c r="E41" s="130"/>
      <c r="F41" s="86"/>
      <c r="G41" s="86"/>
      <c r="H41" s="86"/>
    </row>
    <row r="42" spans="1:10" ht="18.95" customHeight="1">
      <c r="A42" s="70"/>
      <c r="B42" s="70"/>
      <c r="C42" s="67" t="s">
        <v>3720</v>
      </c>
      <c r="D42" s="86"/>
      <c r="E42" s="86"/>
      <c r="F42" s="86"/>
      <c r="G42" s="86"/>
      <c r="H42" s="86"/>
    </row>
    <row r="43" spans="1:10" ht="18.95" customHeight="1">
      <c r="A43" s="70"/>
      <c r="B43" s="70"/>
      <c r="C43" s="78"/>
      <c r="D43" s="86"/>
      <c r="E43" s="86"/>
      <c r="F43" s="86"/>
      <c r="G43" s="86"/>
      <c r="H43" s="86"/>
    </row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F263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1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</row>
    <row r="2" spans="1:6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</row>
    <row r="3" spans="1:6" s="68" customFormat="1" ht="20.100000000000001" customHeight="1">
      <c r="A3" s="809" t="s">
        <v>1451</v>
      </c>
      <c r="B3" s="809"/>
      <c r="C3" s="809"/>
      <c r="D3" s="809"/>
      <c r="E3" s="809"/>
      <c r="F3" s="809"/>
    </row>
    <row r="4" spans="1:6" s="68" customFormat="1" ht="20.100000000000001" customHeight="1">
      <c r="A4" s="808" t="str">
        <f>'Rate Case Constants'!C15</f>
        <v>BASE YEAR FOR THE 12 MONTHS ENDED FEBRUARY 28, 2021</v>
      </c>
      <c r="B4" s="808"/>
      <c r="C4" s="808"/>
      <c r="D4" s="808"/>
      <c r="E4" s="808"/>
      <c r="F4" s="808"/>
    </row>
    <row r="5" spans="1:6" s="68" customFormat="1" ht="20.100000000000001" customHeight="1">
      <c r="A5" s="378"/>
      <c r="B5" s="378"/>
      <c r="C5" s="378"/>
      <c r="D5" s="378"/>
      <c r="E5" s="378"/>
      <c r="F5" s="378"/>
    </row>
    <row r="6" spans="1:6" s="68" customFormat="1" ht="20.100000000000001" customHeight="1">
      <c r="A6" s="67" t="s">
        <v>133</v>
      </c>
      <c r="B6" s="67"/>
      <c r="E6" s="379"/>
      <c r="F6" s="74" t="s">
        <v>1450</v>
      </c>
    </row>
    <row r="7" spans="1:6" s="68" customFormat="1" ht="20.100000000000001" customHeight="1">
      <c r="A7" s="68" t="str">
        <f>'Rate Case Constants'!C29</f>
        <v>TYPE OF FILING: __X__ ORIGINAL  _____ UPDATED  _____ REVISED</v>
      </c>
      <c r="E7" s="379"/>
      <c r="F7" s="74" t="s">
        <v>2157</v>
      </c>
    </row>
    <row r="8" spans="1:6" s="68" customFormat="1" ht="20.100000000000001" customHeight="1">
      <c r="A8" s="67" t="s">
        <v>1412</v>
      </c>
      <c r="B8" s="67"/>
      <c r="E8" s="379"/>
      <c r="F8" s="75" t="str">
        <f>'Rate Case Constants'!C37</f>
        <v>WITNESS:   C. M. GARRETT</v>
      </c>
    </row>
    <row r="9" spans="1:6" s="68" customFormat="1" ht="20.100000000000001" customHeight="1">
      <c r="E9" s="379"/>
    </row>
    <row r="10" spans="1:6" ht="58.5" customHeight="1">
      <c r="A10" s="76" t="s">
        <v>131</v>
      </c>
      <c r="B10" s="76" t="s">
        <v>134</v>
      </c>
      <c r="C10" s="79" t="s">
        <v>2086</v>
      </c>
      <c r="D10" s="76" t="s">
        <v>223</v>
      </c>
      <c r="E10" s="76" t="s">
        <v>2088</v>
      </c>
      <c r="F10" s="76" t="s">
        <v>1449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2101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1615</v>
      </c>
      <c r="C14" s="78" t="s">
        <v>1616</v>
      </c>
      <c r="D14" s="130">
        <f>'JURISSEP B'!G1253</f>
        <v>0.93492051078927074</v>
      </c>
      <c r="E14" s="362" t="s">
        <v>295</v>
      </c>
      <c r="F14" s="375" t="s">
        <v>2089</v>
      </c>
    </row>
    <row r="15" spans="1:6" ht="18.95" customHeight="1">
      <c r="A15" s="70">
        <f t="shared" ref="A15:A48" si="0">A14+1</f>
        <v>4</v>
      </c>
      <c r="B15" s="71" t="s">
        <v>1617</v>
      </c>
      <c r="C15" s="78" t="s">
        <v>1618</v>
      </c>
      <c r="D15" s="130">
        <v>1</v>
      </c>
      <c r="E15" s="362" t="s">
        <v>297</v>
      </c>
      <c r="F15" s="375" t="s">
        <v>2100</v>
      </c>
    </row>
    <row r="16" spans="1:6" ht="18.95" customHeight="1">
      <c r="A16" s="70">
        <f t="shared" si="0"/>
        <v>5</v>
      </c>
      <c r="B16" s="71" t="s">
        <v>1619</v>
      </c>
      <c r="C16" s="78" t="s">
        <v>1620</v>
      </c>
      <c r="D16" s="130">
        <f>D14</f>
        <v>0.93492051078927074</v>
      </c>
      <c r="E16" s="362" t="s">
        <v>295</v>
      </c>
      <c r="F16" s="375" t="s">
        <v>2089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5" t="s">
        <v>72</v>
      </c>
      <c r="D18" s="130"/>
    </row>
    <row r="19" spans="1:6" ht="18.95" customHeight="1">
      <c r="A19" s="70">
        <f t="shared" si="0"/>
        <v>7</v>
      </c>
      <c r="B19" s="71" t="s">
        <v>1621</v>
      </c>
      <c r="C19" s="78" t="s">
        <v>154</v>
      </c>
      <c r="D19" s="130">
        <f>'JURISSEP B'!G1161</f>
        <v>0.93811298816770394</v>
      </c>
      <c r="E19" s="362" t="s">
        <v>303</v>
      </c>
      <c r="F19" s="375" t="s">
        <v>2092</v>
      </c>
    </row>
    <row r="20" spans="1:6" ht="18.95" customHeight="1">
      <c r="A20" s="70">
        <f t="shared" si="0"/>
        <v>8</v>
      </c>
      <c r="B20" s="71" t="s">
        <v>1622</v>
      </c>
      <c r="C20" s="78" t="s">
        <v>148</v>
      </c>
      <c r="D20" s="130">
        <f>D$19</f>
        <v>0.93811298816770394</v>
      </c>
      <c r="E20" s="362" t="s">
        <v>303</v>
      </c>
      <c r="F20" s="375" t="s">
        <v>2092</v>
      </c>
    </row>
    <row r="21" spans="1:6" ht="18.95" customHeight="1">
      <c r="A21" s="70">
        <f t="shared" si="0"/>
        <v>9</v>
      </c>
      <c r="B21" s="71" t="s">
        <v>1623</v>
      </c>
      <c r="C21" s="78" t="s">
        <v>1624</v>
      </c>
      <c r="D21" s="130">
        <f t="shared" ref="D21:D26" si="1">D$19</f>
        <v>0.93811298816770394</v>
      </c>
      <c r="E21" s="362" t="s">
        <v>303</v>
      </c>
      <c r="F21" s="375" t="s">
        <v>2092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303</v>
      </c>
      <c r="F22" s="375" t="s">
        <v>2092</v>
      </c>
    </row>
    <row r="23" spans="1:6" ht="18.95" customHeight="1">
      <c r="A23" s="70">
        <f>A21+1</f>
        <v>10</v>
      </c>
      <c r="B23" s="71" t="s">
        <v>1625</v>
      </c>
      <c r="C23" s="78" t="s">
        <v>1626</v>
      </c>
      <c r="D23" s="130">
        <f t="shared" si="1"/>
        <v>0.93811298816770394</v>
      </c>
      <c r="E23" s="362" t="s">
        <v>303</v>
      </c>
      <c r="F23" s="375" t="s">
        <v>2092</v>
      </c>
    </row>
    <row r="24" spans="1:6" ht="18.95" customHeight="1">
      <c r="A24" s="70">
        <f t="shared" si="0"/>
        <v>11</v>
      </c>
      <c r="B24" s="71" t="s">
        <v>1627</v>
      </c>
      <c r="C24" s="78" t="s">
        <v>1628</v>
      </c>
      <c r="D24" s="130">
        <f t="shared" si="1"/>
        <v>0.93811298816770394</v>
      </c>
      <c r="E24" s="362" t="s">
        <v>303</v>
      </c>
      <c r="F24" s="375" t="s">
        <v>2092</v>
      </c>
    </row>
    <row r="25" spans="1:6" ht="18.95" customHeight="1">
      <c r="A25" s="70">
        <f t="shared" si="0"/>
        <v>12</v>
      </c>
      <c r="B25" s="71" t="s">
        <v>1629</v>
      </c>
      <c r="C25" s="78" t="s">
        <v>1630</v>
      </c>
      <c r="D25" s="130">
        <f t="shared" si="1"/>
        <v>0.93811298816770394</v>
      </c>
      <c r="E25" s="362" t="s">
        <v>303</v>
      </c>
      <c r="F25" s="375" t="s">
        <v>2092</v>
      </c>
    </row>
    <row r="26" spans="1:6" ht="18.95" customHeight="1">
      <c r="A26" s="70">
        <f>A25+1</f>
        <v>13</v>
      </c>
      <c r="B26" s="71" t="s">
        <v>1631</v>
      </c>
      <c r="C26" s="78" t="s">
        <v>1650</v>
      </c>
      <c r="D26" s="130">
        <f t="shared" si="1"/>
        <v>0.93811298816770394</v>
      </c>
      <c r="E26" s="362" t="s">
        <v>303</v>
      </c>
      <c r="F26" s="375" t="s">
        <v>2092</v>
      </c>
    </row>
    <row r="27" spans="1:6" ht="18.95" customHeight="1">
      <c r="A27" s="70">
        <f>A26+1</f>
        <v>14</v>
      </c>
      <c r="B27" s="383" t="s">
        <v>2107</v>
      </c>
      <c r="C27" s="78" t="s">
        <v>2087</v>
      </c>
      <c r="D27" s="130">
        <v>0</v>
      </c>
      <c r="E27" s="362" t="s">
        <v>311</v>
      </c>
      <c r="F27" s="687" t="s">
        <v>2090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5" t="s">
        <v>47</v>
      </c>
      <c r="D29" s="130"/>
    </row>
    <row r="30" spans="1:6" ht="18.95" customHeight="1">
      <c r="A30" s="70">
        <f t="shared" si="0"/>
        <v>16</v>
      </c>
      <c r="B30" s="71" t="s">
        <v>1632</v>
      </c>
      <c r="C30" s="78" t="s">
        <v>154</v>
      </c>
      <c r="D30" s="130">
        <f t="shared" ref="D30:D37" si="2">D$19</f>
        <v>0.93811298816770394</v>
      </c>
      <c r="E30" s="362" t="s">
        <v>303</v>
      </c>
      <c r="F30" s="375" t="s">
        <v>2092</v>
      </c>
    </row>
    <row r="31" spans="1:6" ht="18.95" customHeight="1">
      <c r="A31" s="70">
        <f t="shared" si="0"/>
        <v>17</v>
      </c>
      <c r="B31" s="71" t="s">
        <v>1633</v>
      </c>
      <c r="C31" s="78" t="s">
        <v>148</v>
      </c>
      <c r="D31" s="130">
        <f t="shared" si="2"/>
        <v>0.93811298816770394</v>
      </c>
      <c r="E31" s="362" t="s">
        <v>303</v>
      </c>
      <c r="F31" s="375" t="s">
        <v>2092</v>
      </c>
    </row>
    <row r="32" spans="1:6" ht="18.95" customHeight="1">
      <c r="A32" s="70">
        <f t="shared" si="0"/>
        <v>18</v>
      </c>
      <c r="B32" s="71" t="s">
        <v>1634</v>
      </c>
      <c r="C32" s="78" t="s">
        <v>1635</v>
      </c>
      <c r="D32" s="130">
        <f t="shared" si="2"/>
        <v>0.93811298816770394</v>
      </c>
      <c r="E32" s="362" t="s">
        <v>303</v>
      </c>
      <c r="F32" s="375" t="s">
        <v>2092</v>
      </c>
    </row>
    <row r="33" spans="1:6" ht="18.95" customHeight="1">
      <c r="A33" s="70">
        <f t="shared" si="0"/>
        <v>19</v>
      </c>
      <c r="B33" s="71" t="s">
        <v>1636</v>
      </c>
      <c r="C33" s="78" t="s">
        <v>1637</v>
      </c>
      <c r="D33" s="130">
        <f t="shared" si="2"/>
        <v>0.93811298816770394</v>
      </c>
      <c r="E33" s="362" t="s">
        <v>303</v>
      </c>
      <c r="F33" s="375" t="s">
        <v>2092</v>
      </c>
    </row>
    <row r="34" spans="1:6" ht="18.95" customHeight="1">
      <c r="A34" s="70">
        <f t="shared" si="0"/>
        <v>20</v>
      </c>
      <c r="B34" s="71" t="s">
        <v>1638</v>
      </c>
      <c r="C34" s="78" t="s">
        <v>1628</v>
      </c>
      <c r="D34" s="130">
        <f t="shared" si="2"/>
        <v>0.93811298816770394</v>
      </c>
      <c r="E34" s="362" t="s">
        <v>303</v>
      </c>
      <c r="F34" s="375" t="s">
        <v>2092</v>
      </c>
    </row>
    <row r="35" spans="1:6" ht="18.95" customHeight="1">
      <c r="A35" s="70">
        <f t="shared" si="0"/>
        <v>21</v>
      </c>
      <c r="B35" s="71" t="s">
        <v>1639</v>
      </c>
      <c r="C35" s="78" t="s">
        <v>1640</v>
      </c>
      <c r="D35" s="130">
        <f t="shared" si="2"/>
        <v>0.93811298816770394</v>
      </c>
      <c r="E35" s="362" t="s">
        <v>303</v>
      </c>
      <c r="F35" s="375" t="s">
        <v>2092</v>
      </c>
    </row>
    <row r="36" spans="1:6" ht="18.95" customHeight="1">
      <c r="A36" s="70">
        <f t="shared" si="0"/>
        <v>22</v>
      </c>
      <c r="B36" s="71" t="s">
        <v>1641</v>
      </c>
      <c r="C36" s="78" t="s">
        <v>1642</v>
      </c>
      <c r="D36" s="130">
        <f t="shared" si="2"/>
        <v>0.93811298816770394</v>
      </c>
      <c r="E36" s="362" t="s">
        <v>303</v>
      </c>
      <c r="F36" s="375" t="s">
        <v>2092</v>
      </c>
    </row>
    <row r="37" spans="1:6" ht="18.95" customHeight="1">
      <c r="A37" s="70">
        <f t="shared" si="0"/>
        <v>23</v>
      </c>
      <c r="B37" s="71" t="s">
        <v>1643</v>
      </c>
      <c r="C37" s="78" t="s">
        <v>1651</v>
      </c>
      <c r="D37" s="130">
        <f t="shared" si="2"/>
        <v>0.93811298816770394</v>
      </c>
      <c r="E37" s="362" t="s">
        <v>303</v>
      </c>
      <c r="F37" s="375" t="s">
        <v>2092</v>
      </c>
    </row>
    <row r="38" spans="1:6" ht="18.95" customHeight="1">
      <c r="A38" s="70">
        <f>A37+1</f>
        <v>24</v>
      </c>
      <c r="B38" s="383" t="s">
        <v>2108</v>
      </c>
      <c r="C38" s="78" t="s">
        <v>2087</v>
      </c>
      <c r="D38" s="130">
        <v>0</v>
      </c>
      <c r="E38" s="362" t="s">
        <v>311</v>
      </c>
      <c r="F38" s="687" t="s">
        <v>2090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5" t="s">
        <v>61</v>
      </c>
      <c r="D40" s="130"/>
    </row>
    <row r="41" spans="1:6" ht="18.95" customHeight="1">
      <c r="A41" s="70">
        <f t="shared" si="0"/>
        <v>26</v>
      </c>
      <c r="B41" s="71" t="s">
        <v>1644</v>
      </c>
      <c r="C41" s="78" t="s">
        <v>154</v>
      </c>
      <c r="D41" s="130">
        <f t="shared" ref="D41:D48" si="3">D$19</f>
        <v>0.93811298816770394</v>
      </c>
      <c r="E41" s="362" t="s">
        <v>303</v>
      </c>
      <c r="F41" s="375" t="s">
        <v>2092</v>
      </c>
    </row>
    <row r="42" spans="1:6" ht="18.95" customHeight="1">
      <c r="A42" s="70">
        <f t="shared" si="0"/>
        <v>27</v>
      </c>
      <c r="B42" s="71" t="s">
        <v>1645</v>
      </c>
      <c r="C42" s="78" t="s">
        <v>148</v>
      </c>
      <c r="D42" s="130">
        <f t="shared" si="3"/>
        <v>0.93811298816770394</v>
      </c>
      <c r="E42" s="362" t="s">
        <v>303</v>
      </c>
      <c r="F42" s="375" t="s">
        <v>2092</v>
      </c>
    </row>
    <row r="43" spans="1:6" ht="18.95" customHeight="1">
      <c r="A43" s="70">
        <f t="shared" si="0"/>
        <v>28</v>
      </c>
      <c r="B43" s="71" t="s">
        <v>1646</v>
      </c>
      <c r="C43" s="78" t="s">
        <v>1647</v>
      </c>
      <c r="D43" s="130">
        <f t="shared" si="3"/>
        <v>0.93811298816770394</v>
      </c>
      <c r="E43" s="362" t="s">
        <v>303</v>
      </c>
      <c r="F43" s="375" t="s">
        <v>2092</v>
      </c>
    </row>
    <row r="44" spans="1:6" ht="18.95" customHeight="1">
      <c r="A44" s="70">
        <f t="shared" si="0"/>
        <v>29</v>
      </c>
      <c r="B44" s="71" t="s">
        <v>1648</v>
      </c>
      <c r="C44" s="78" t="s">
        <v>1649</v>
      </c>
      <c r="D44" s="130">
        <f t="shared" si="3"/>
        <v>0.93811298816770394</v>
      </c>
      <c r="E44" s="362" t="s">
        <v>303</v>
      </c>
      <c r="F44" s="375" t="s">
        <v>2092</v>
      </c>
    </row>
    <row r="45" spans="1:6" ht="18.95" customHeight="1">
      <c r="A45" s="70">
        <f>A44+1</f>
        <v>30</v>
      </c>
      <c r="B45" s="71" t="s">
        <v>1652</v>
      </c>
      <c r="C45" s="78" t="s">
        <v>1653</v>
      </c>
      <c r="D45" s="130">
        <f t="shared" si="3"/>
        <v>0.93811298816770394</v>
      </c>
      <c r="E45" s="362" t="s">
        <v>303</v>
      </c>
      <c r="F45" s="375" t="s">
        <v>2092</v>
      </c>
    </row>
    <row r="46" spans="1:6" ht="18.95" customHeight="1">
      <c r="A46" s="70">
        <f t="shared" si="0"/>
        <v>31</v>
      </c>
      <c r="B46" s="71" t="s">
        <v>1654</v>
      </c>
      <c r="C46" s="78" t="s">
        <v>1628</v>
      </c>
      <c r="D46" s="130">
        <f t="shared" si="3"/>
        <v>0.93811298816770394</v>
      </c>
      <c r="E46" s="362" t="s">
        <v>303</v>
      </c>
      <c r="F46" s="375" t="s">
        <v>2092</v>
      </c>
    </row>
    <row r="47" spans="1:6" ht="18.95" customHeight="1">
      <c r="A47" s="70">
        <f t="shared" si="0"/>
        <v>32</v>
      </c>
      <c r="B47" s="71" t="s">
        <v>1655</v>
      </c>
      <c r="C47" s="78" t="s">
        <v>1640</v>
      </c>
      <c r="D47" s="130">
        <f t="shared" si="3"/>
        <v>0.93811298816770394</v>
      </c>
      <c r="E47" s="362" t="s">
        <v>303</v>
      </c>
      <c r="F47" s="375" t="s">
        <v>2092</v>
      </c>
    </row>
    <row r="48" spans="1:6" ht="18.95" customHeight="1">
      <c r="A48" s="70">
        <f t="shared" si="0"/>
        <v>33</v>
      </c>
      <c r="B48" s="71" t="s">
        <v>1656</v>
      </c>
      <c r="C48" s="78" t="s">
        <v>1691</v>
      </c>
      <c r="D48" s="130">
        <f t="shared" si="3"/>
        <v>0.93811298816770394</v>
      </c>
      <c r="E48" s="362" t="s">
        <v>303</v>
      </c>
      <c r="F48" s="375" t="s">
        <v>2092</v>
      </c>
    </row>
    <row r="49" spans="1:6" ht="18.95" customHeight="1">
      <c r="A49" s="70">
        <f>A48+1</f>
        <v>34</v>
      </c>
      <c r="B49" s="383" t="s">
        <v>2109</v>
      </c>
      <c r="C49" s="78" t="s">
        <v>2087</v>
      </c>
      <c r="D49" s="130">
        <v>0</v>
      </c>
      <c r="E49" s="362" t="s">
        <v>311</v>
      </c>
      <c r="F49" s="687" t="s">
        <v>2090</v>
      </c>
    </row>
    <row r="50" spans="1:6" ht="18.95" customHeight="1">
      <c r="D50" s="130"/>
    </row>
    <row r="51" spans="1:6" ht="18.95" customHeight="1">
      <c r="A51" s="70">
        <f>A49+1</f>
        <v>35</v>
      </c>
      <c r="C51" s="385" t="s">
        <v>84</v>
      </c>
      <c r="D51" s="130"/>
    </row>
    <row r="52" spans="1:6" ht="18.95" customHeight="1">
      <c r="A52" s="70">
        <f>A51+1</f>
        <v>36</v>
      </c>
      <c r="C52" s="386" t="s">
        <v>2091</v>
      </c>
      <c r="D52" s="130"/>
    </row>
    <row r="53" spans="1:6" ht="18.95" customHeight="1">
      <c r="A53" s="70">
        <f>A52+1</f>
        <v>37</v>
      </c>
      <c r="B53" s="71" t="s">
        <v>1657</v>
      </c>
      <c r="C53" s="78" t="s">
        <v>154</v>
      </c>
      <c r="D53" s="130">
        <f>'JURISSEP B'!G1170</f>
        <v>0.956674275012947</v>
      </c>
      <c r="E53" s="362" t="s">
        <v>340</v>
      </c>
      <c r="F53" s="375" t="s">
        <v>2093</v>
      </c>
    </row>
    <row r="54" spans="1:6" ht="18.95" customHeight="1">
      <c r="A54" s="70">
        <f t="shared" ref="A54:A98" si="4">A53+1</f>
        <v>38</v>
      </c>
      <c r="B54" s="71" t="s">
        <v>1658</v>
      </c>
      <c r="C54" s="78" t="s">
        <v>148</v>
      </c>
      <c r="D54" s="130">
        <f>D$53</f>
        <v>0.956674275012947</v>
      </c>
      <c r="E54" s="362" t="s">
        <v>340</v>
      </c>
      <c r="F54" s="375" t="s">
        <v>2093</v>
      </c>
    </row>
    <row r="55" spans="1:6" ht="18.95" customHeight="1">
      <c r="A55" s="70">
        <f t="shared" si="4"/>
        <v>39</v>
      </c>
      <c r="B55" s="71" t="s">
        <v>1659</v>
      </c>
      <c r="C55" s="78" t="s">
        <v>149</v>
      </c>
      <c r="D55" s="130">
        <f t="shared" ref="D55:D60" si="5">D$53</f>
        <v>0.956674275012947</v>
      </c>
      <c r="E55" s="362" t="s">
        <v>340</v>
      </c>
      <c r="F55" s="375" t="s">
        <v>2093</v>
      </c>
    </row>
    <row r="56" spans="1:6" ht="18.95" customHeight="1">
      <c r="A56" s="70">
        <f t="shared" si="4"/>
        <v>40</v>
      </c>
      <c r="B56" s="71" t="s">
        <v>1660</v>
      </c>
      <c r="C56" s="78" t="s">
        <v>1661</v>
      </c>
      <c r="D56" s="130">
        <f t="shared" si="5"/>
        <v>0.956674275012947</v>
      </c>
      <c r="E56" s="362" t="s">
        <v>340</v>
      </c>
      <c r="F56" s="375" t="s">
        <v>2093</v>
      </c>
    </row>
    <row r="57" spans="1:6" ht="18.95" customHeight="1">
      <c r="A57" s="70">
        <f t="shared" si="4"/>
        <v>41</v>
      </c>
      <c r="B57" s="71" t="s">
        <v>1662</v>
      </c>
      <c r="C57" s="78" t="s">
        <v>1663</v>
      </c>
      <c r="D57" s="130">
        <f t="shared" si="5"/>
        <v>0.956674275012947</v>
      </c>
      <c r="E57" s="362" t="s">
        <v>340</v>
      </c>
      <c r="F57" s="375" t="s">
        <v>2093</v>
      </c>
    </row>
    <row r="58" spans="1:6" ht="18.95" customHeight="1">
      <c r="A58" s="70">
        <f t="shared" si="4"/>
        <v>42</v>
      </c>
      <c r="B58" s="71" t="s">
        <v>1664</v>
      </c>
      <c r="C58" s="78" t="s">
        <v>1665</v>
      </c>
      <c r="D58" s="130">
        <f t="shared" si="5"/>
        <v>0.956674275012947</v>
      </c>
      <c r="E58" s="362" t="s">
        <v>340</v>
      </c>
      <c r="F58" s="375" t="s">
        <v>2093</v>
      </c>
    </row>
    <row r="59" spans="1:6" ht="18.95" customHeight="1">
      <c r="A59" s="70">
        <f t="shared" si="4"/>
        <v>43</v>
      </c>
      <c r="B59" s="71" t="s">
        <v>1666</v>
      </c>
      <c r="C59" s="78" t="s">
        <v>1667</v>
      </c>
      <c r="D59" s="130">
        <f t="shared" si="5"/>
        <v>0.956674275012947</v>
      </c>
      <c r="E59" s="362" t="s">
        <v>340</v>
      </c>
      <c r="F59" s="375" t="s">
        <v>2093</v>
      </c>
    </row>
    <row r="60" spans="1:6" ht="18.95" customHeight="1">
      <c r="A60" s="70">
        <f t="shared" si="4"/>
        <v>44</v>
      </c>
      <c r="B60" s="71" t="s">
        <v>1668</v>
      </c>
      <c r="C60" s="78" t="s">
        <v>1669</v>
      </c>
      <c r="D60" s="130">
        <f t="shared" si="5"/>
        <v>0.956674275012947</v>
      </c>
      <c r="E60" s="362" t="s">
        <v>340</v>
      </c>
      <c r="F60" s="375" t="s">
        <v>2093</v>
      </c>
    </row>
    <row r="61" spans="1:6" s="68" customFormat="1" ht="20.100000000000001" customHeight="1">
      <c r="A61" s="809" t="str">
        <f>A$1</f>
        <v>KENTUCKY UTILITIES COMPANY</v>
      </c>
      <c r="B61" s="809"/>
      <c r="C61" s="809"/>
      <c r="D61" s="809"/>
      <c r="E61" s="809"/>
      <c r="F61" s="809"/>
    </row>
    <row r="62" spans="1:6" s="68" customFormat="1" ht="20.100000000000001" customHeight="1">
      <c r="A62" s="809" t="str">
        <f>A$2</f>
        <v>CASE NO. 2020-00349</v>
      </c>
      <c r="B62" s="809"/>
      <c r="C62" s="809"/>
      <c r="D62" s="809"/>
      <c r="E62" s="809"/>
      <c r="F62" s="809"/>
    </row>
    <row r="63" spans="1:6" s="68" customFormat="1" ht="20.100000000000001" customHeight="1">
      <c r="A63" s="809" t="s">
        <v>1451</v>
      </c>
      <c r="B63" s="809"/>
      <c r="C63" s="809"/>
      <c r="D63" s="809"/>
      <c r="E63" s="809"/>
      <c r="F63" s="809"/>
    </row>
    <row r="64" spans="1:6" s="68" customFormat="1" ht="20.100000000000001" customHeight="1">
      <c r="A64" s="808" t="str">
        <f>A$4</f>
        <v>BASE YEAR FOR THE 12 MONTHS ENDED FEBRUARY 28, 2021</v>
      </c>
      <c r="B64" s="809"/>
      <c r="C64" s="809"/>
      <c r="D64" s="809"/>
      <c r="E64" s="809"/>
      <c r="F64" s="809"/>
    </row>
    <row r="65" spans="1:6" s="68" customFormat="1" ht="20.100000000000001" customHeight="1">
      <c r="A65" s="378"/>
      <c r="B65" s="378"/>
      <c r="C65" s="378"/>
      <c r="D65" s="378"/>
      <c r="E65" s="378"/>
      <c r="F65" s="378"/>
    </row>
    <row r="66" spans="1:6" s="68" customFormat="1" ht="20.100000000000001" customHeight="1">
      <c r="A66" s="67" t="str">
        <f>A$6</f>
        <v>DATA:__X__BASE  PERIOD____FORECASTED  PERIOD</v>
      </c>
      <c r="B66" s="67"/>
      <c r="E66" s="379"/>
      <c r="F66" s="74" t="s">
        <v>1450</v>
      </c>
    </row>
    <row r="67" spans="1:6" s="68" customFormat="1" ht="20.100000000000001" customHeight="1">
      <c r="A67" s="67" t="str">
        <f>A$7</f>
        <v>TYPE OF FILING: __X__ ORIGINAL  _____ UPDATED  _____ REVISED</v>
      </c>
      <c r="E67" s="379"/>
      <c r="F67" s="74" t="s">
        <v>2158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9"/>
      <c r="F68" s="75" t="str">
        <f>F$8</f>
        <v>WITNESS:   C. M. GARRETT</v>
      </c>
    </row>
    <row r="69" spans="1:6" s="68" customFormat="1" ht="20.100000000000001" customHeight="1">
      <c r="E69" s="379"/>
    </row>
    <row r="70" spans="1:6" ht="58.5" customHeight="1">
      <c r="A70" s="76" t="s">
        <v>131</v>
      </c>
      <c r="B70" s="76" t="s">
        <v>134</v>
      </c>
      <c r="C70" s="79" t="s">
        <v>2086</v>
      </c>
      <c r="D70" s="76" t="s">
        <v>223</v>
      </c>
      <c r="E70" s="76" t="s">
        <v>2088</v>
      </c>
      <c r="F70" s="76" t="s">
        <v>1449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1670</v>
      </c>
      <c r="C72" s="78" t="s">
        <v>152</v>
      </c>
      <c r="D72" s="130">
        <f t="shared" ref="D72" si="6">D$53</f>
        <v>0.956674275012947</v>
      </c>
      <c r="E72" s="362" t="s">
        <v>340</v>
      </c>
      <c r="F72" s="375" t="s">
        <v>2093</v>
      </c>
    </row>
    <row r="73" spans="1:6" ht="18.95" customHeight="1">
      <c r="A73" s="70">
        <f>A72+1</f>
        <v>46</v>
      </c>
      <c r="B73" s="383" t="s">
        <v>2110</v>
      </c>
      <c r="C73" s="78" t="s">
        <v>2087</v>
      </c>
      <c r="D73" s="130">
        <v>0</v>
      </c>
      <c r="E73" s="362" t="s">
        <v>311</v>
      </c>
      <c r="F73" s="687" t="s">
        <v>2090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6" t="s">
        <v>2095</v>
      </c>
      <c r="D75" s="130"/>
    </row>
    <row r="76" spans="1:6" ht="18.95" customHeight="1">
      <c r="A76" s="70">
        <f>A75+1</f>
        <v>48</v>
      </c>
      <c r="B76" s="71" t="s">
        <v>1657</v>
      </c>
      <c r="C76" s="78" t="s">
        <v>154</v>
      </c>
      <c r="D76" s="130">
        <v>0</v>
      </c>
      <c r="E76" s="362" t="s">
        <v>732</v>
      </c>
      <c r="F76" s="375" t="s">
        <v>2094</v>
      </c>
    </row>
    <row r="77" spans="1:6" ht="18.95" customHeight="1">
      <c r="A77" s="70">
        <f t="shared" si="4"/>
        <v>49</v>
      </c>
      <c r="B77" s="71" t="s">
        <v>1658</v>
      </c>
      <c r="C77" s="78" t="s">
        <v>148</v>
      </c>
      <c r="D77" s="130">
        <v>0</v>
      </c>
      <c r="E77" s="362" t="s">
        <v>732</v>
      </c>
      <c r="F77" s="375" t="s">
        <v>2094</v>
      </c>
    </row>
    <row r="78" spans="1:6" ht="18.95" customHeight="1">
      <c r="A78" s="70">
        <f t="shared" si="4"/>
        <v>50</v>
      </c>
      <c r="B78" s="71" t="s">
        <v>1659</v>
      </c>
      <c r="C78" s="78" t="s">
        <v>149</v>
      </c>
      <c r="D78" s="130">
        <v>0</v>
      </c>
      <c r="E78" s="362" t="s">
        <v>732</v>
      </c>
      <c r="F78" s="375" t="s">
        <v>2094</v>
      </c>
    </row>
    <row r="79" spans="1:6" ht="18.95" customHeight="1">
      <c r="A79" s="70">
        <f t="shared" si="4"/>
        <v>51</v>
      </c>
      <c r="B79" s="71" t="s">
        <v>1660</v>
      </c>
      <c r="C79" s="78" t="s">
        <v>1661</v>
      </c>
      <c r="D79" s="130">
        <v>0</v>
      </c>
      <c r="E79" s="362" t="s">
        <v>732</v>
      </c>
      <c r="F79" s="375" t="s">
        <v>2094</v>
      </c>
    </row>
    <row r="80" spans="1:6" ht="18.95" customHeight="1">
      <c r="A80" s="70">
        <f t="shared" si="4"/>
        <v>52</v>
      </c>
      <c r="B80" s="71" t="s">
        <v>1662</v>
      </c>
      <c r="C80" s="78" t="s">
        <v>1663</v>
      </c>
      <c r="D80" s="130">
        <v>0</v>
      </c>
      <c r="E80" s="362" t="s">
        <v>732</v>
      </c>
      <c r="F80" s="375" t="s">
        <v>2094</v>
      </c>
    </row>
    <row r="81" spans="1:6" ht="18.95" customHeight="1">
      <c r="A81" s="70">
        <f t="shared" si="4"/>
        <v>53</v>
      </c>
      <c r="B81" s="71" t="s">
        <v>1664</v>
      </c>
      <c r="C81" s="78" t="s">
        <v>1665</v>
      </c>
      <c r="D81" s="130">
        <v>0</v>
      </c>
      <c r="E81" s="362" t="s">
        <v>732</v>
      </c>
      <c r="F81" s="375" t="s">
        <v>2094</v>
      </c>
    </row>
    <row r="82" spans="1:6" ht="18.95" customHeight="1">
      <c r="A82" s="70">
        <f>A81+1</f>
        <v>54</v>
      </c>
      <c r="B82" s="383" t="s">
        <v>2111</v>
      </c>
      <c r="C82" s="78" t="s">
        <v>2087</v>
      </c>
      <c r="D82" s="130">
        <v>0</v>
      </c>
      <c r="E82" s="362" t="s">
        <v>732</v>
      </c>
      <c r="F82" s="375" t="s">
        <v>2094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250</v>
      </c>
      <c r="C84" s="385" t="s">
        <v>16</v>
      </c>
      <c r="D84" s="130"/>
    </row>
    <row r="85" spans="1:6" ht="18.95" customHeight="1">
      <c r="A85" s="70">
        <f>A84+1</f>
        <v>48</v>
      </c>
      <c r="C85" s="386" t="s">
        <v>2091</v>
      </c>
      <c r="D85" s="130"/>
    </row>
    <row r="86" spans="1:6" ht="18.95" customHeight="1">
      <c r="A86" s="70">
        <f>A85+1</f>
        <v>49</v>
      </c>
      <c r="B86" s="71" t="s">
        <v>1671</v>
      </c>
      <c r="C86" s="78" t="s">
        <v>154</v>
      </c>
      <c r="D86" s="130">
        <f>'JURISSEP B'!G1175</f>
        <v>0.99897404357814712</v>
      </c>
      <c r="E86" s="362" t="s">
        <v>732</v>
      </c>
      <c r="F86" s="375" t="s">
        <v>2098</v>
      </c>
    </row>
    <row r="87" spans="1:6" ht="18.95" customHeight="1">
      <c r="A87" s="70">
        <f t="shared" si="4"/>
        <v>50</v>
      </c>
      <c r="B87" s="71" t="s">
        <v>1672</v>
      </c>
      <c r="C87" s="78" t="s">
        <v>148</v>
      </c>
      <c r="D87" s="130">
        <f>'JURISSEP B'!G1176</f>
        <v>0.98681491454806902</v>
      </c>
      <c r="E87" s="362" t="s">
        <v>732</v>
      </c>
      <c r="F87" s="375" t="s">
        <v>2098</v>
      </c>
    </row>
    <row r="88" spans="1:6" ht="18.95" customHeight="1">
      <c r="A88" s="70">
        <f t="shared" si="4"/>
        <v>51</v>
      </c>
      <c r="B88" s="71" t="s">
        <v>1673</v>
      </c>
      <c r="C88" s="78" t="s">
        <v>1674</v>
      </c>
      <c r="D88" s="130">
        <f>'JURISSEP B'!G1177</f>
        <v>0.98884582504055396</v>
      </c>
      <c r="E88" s="362" t="s">
        <v>732</v>
      </c>
      <c r="F88" s="375" t="s">
        <v>2098</v>
      </c>
    </row>
    <row r="89" spans="1:6" ht="18.95" customHeight="1">
      <c r="A89" s="70">
        <f t="shared" si="4"/>
        <v>52</v>
      </c>
      <c r="B89" s="71" t="s">
        <v>1675</v>
      </c>
      <c r="C89" s="78" t="s">
        <v>1676</v>
      </c>
      <c r="D89" s="130">
        <f>'JURISSEP B'!G1178</f>
        <v>1</v>
      </c>
      <c r="E89" s="362" t="s">
        <v>732</v>
      </c>
      <c r="F89" s="375" t="s">
        <v>2097</v>
      </c>
    </row>
    <row r="90" spans="1:6" ht="18.95" customHeight="1">
      <c r="A90" s="70">
        <f t="shared" si="4"/>
        <v>53</v>
      </c>
      <c r="B90" s="71" t="s">
        <v>1677</v>
      </c>
      <c r="C90" s="78" t="s">
        <v>1665</v>
      </c>
      <c r="D90" s="130">
        <f>'JURISSEP B'!G1179</f>
        <v>1</v>
      </c>
      <c r="E90" s="362" t="s">
        <v>732</v>
      </c>
      <c r="F90" s="375" t="s">
        <v>2097</v>
      </c>
    </row>
    <row r="91" spans="1:6" ht="18.95" customHeight="1">
      <c r="A91" s="70">
        <f t="shared" si="4"/>
        <v>54</v>
      </c>
      <c r="B91" s="71" t="s">
        <v>1678</v>
      </c>
      <c r="C91" s="78" t="s">
        <v>1667</v>
      </c>
      <c r="D91" s="130">
        <f>'JURISSEP B'!G1180</f>
        <v>1</v>
      </c>
      <c r="E91" s="362" t="s">
        <v>732</v>
      </c>
      <c r="F91" s="375" t="s">
        <v>2097</v>
      </c>
    </row>
    <row r="92" spans="1:6" ht="18.95" customHeight="1">
      <c r="A92" s="70">
        <f t="shared" si="4"/>
        <v>55</v>
      </c>
      <c r="B92" s="71" t="s">
        <v>1679</v>
      </c>
      <c r="C92" s="78" t="s">
        <v>1669</v>
      </c>
      <c r="D92" s="130">
        <f>'JURISSEP B'!G1181</f>
        <v>1</v>
      </c>
      <c r="E92" s="362" t="s">
        <v>732</v>
      </c>
      <c r="F92" s="375" t="s">
        <v>2097</v>
      </c>
    </row>
    <row r="93" spans="1:6" ht="18.95" customHeight="1">
      <c r="A93" s="70">
        <f t="shared" si="4"/>
        <v>56</v>
      </c>
      <c r="B93" s="71" t="s">
        <v>1680</v>
      </c>
      <c r="C93" s="78" t="s">
        <v>1681</v>
      </c>
      <c r="D93" s="130">
        <f>'JURISSEP B'!G171/'JURISSEP B'!E171</f>
        <v>1</v>
      </c>
      <c r="E93" s="362" t="s">
        <v>732</v>
      </c>
      <c r="F93" s="375" t="s">
        <v>2097</v>
      </c>
    </row>
    <row r="94" spans="1:6" ht="18.95" customHeight="1">
      <c r="A94" s="70">
        <f t="shared" si="4"/>
        <v>57</v>
      </c>
      <c r="B94" s="71" t="s">
        <v>1682</v>
      </c>
      <c r="C94" s="78" t="s">
        <v>1683</v>
      </c>
      <c r="D94" s="130">
        <f>'JURISSEP B'!G172/'JURISSEP B'!E172</f>
        <v>1</v>
      </c>
      <c r="E94" s="362" t="s">
        <v>732</v>
      </c>
      <c r="F94" s="375" t="s">
        <v>2097</v>
      </c>
    </row>
    <row r="95" spans="1:6" ht="18.95" customHeight="1">
      <c r="A95" s="70">
        <f>A94+1</f>
        <v>58</v>
      </c>
      <c r="B95" s="71" t="s">
        <v>1684</v>
      </c>
      <c r="C95" s="78" t="s">
        <v>1685</v>
      </c>
      <c r="D95" s="130">
        <f>'JURISSEP B'!G173/'JURISSEP B'!E173</f>
        <v>0.9993795122795669</v>
      </c>
      <c r="E95" s="362" t="s">
        <v>732</v>
      </c>
      <c r="F95" s="375" t="s">
        <v>2098</v>
      </c>
    </row>
    <row r="96" spans="1:6" ht="18.95" customHeight="1">
      <c r="A96" s="70">
        <f t="shared" si="4"/>
        <v>59</v>
      </c>
      <c r="B96" s="71" t="s">
        <v>1686</v>
      </c>
      <c r="C96" s="78" t="s">
        <v>1687</v>
      </c>
      <c r="D96" s="130">
        <f>'JURISSEP B'!G174/'JURISSEP B'!E174</f>
        <v>1</v>
      </c>
      <c r="E96" s="362" t="s">
        <v>732</v>
      </c>
      <c r="F96" s="375" t="s">
        <v>2097</v>
      </c>
    </row>
    <row r="97" spans="1:6" ht="18.95" customHeight="1">
      <c r="A97" s="70">
        <f t="shared" si="4"/>
        <v>60</v>
      </c>
      <c r="B97" s="71" t="s">
        <v>1688</v>
      </c>
      <c r="C97" s="78" t="s">
        <v>1689</v>
      </c>
      <c r="D97" s="130">
        <f>'JURISSEP B'!G175/'JURISSEP B'!E175</f>
        <v>1</v>
      </c>
      <c r="E97" s="362" t="s">
        <v>732</v>
      </c>
      <c r="F97" s="375" t="s">
        <v>2097</v>
      </c>
    </row>
    <row r="98" spans="1:6" ht="18.95" customHeight="1">
      <c r="A98" s="70">
        <f t="shared" si="4"/>
        <v>61</v>
      </c>
      <c r="B98" s="71" t="s">
        <v>1690</v>
      </c>
      <c r="C98" s="78" t="s">
        <v>151</v>
      </c>
      <c r="D98" s="130">
        <f>'JURISSEP B'!G176/'JURISSEP B'!E176</f>
        <v>1</v>
      </c>
      <c r="E98" s="362" t="s">
        <v>732</v>
      </c>
      <c r="F98" s="375" t="s">
        <v>2097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6" t="s">
        <v>2095</v>
      </c>
      <c r="D100" s="130"/>
    </row>
    <row r="101" spans="1:6" ht="18.95" customHeight="1">
      <c r="A101" s="70">
        <f>A100+1</f>
        <v>63</v>
      </c>
      <c r="B101" s="71" t="s">
        <v>1671</v>
      </c>
      <c r="C101" s="78" t="s">
        <v>154</v>
      </c>
      <c r="D101" s="130">
        <v>0</v>
      </c>
      <c r="E101" s="362" t="s">
        <v>732</v>
      </c>
      <c r="F101" s="375" t="s">
        <v>2094</v>
      </c>
    </row>
    <row r="102" spans="1:6" ht="18.95" customHeight="1">
      <c r="A102" s="70">
        <f t="shared" ref="A102:A112" si="7">A101+1</f>
        <v>64</v>
      </c>
      <c r="B102" s="71" t="s">
        <v>1672</v>
      </c>
      <c r="C102" s="78" t="s">
        <v>148</v>
      </c>
      <c r="D102" s="130">
        <v>0</v>
      </c>
      <c r="E102" s="362" t="s">
        <v>732</v>
      </c>
      <c r="F102" s="375" t="s">
        <v>2094</v>
      </c>
    </row>
    <row r="103" spans="1:6" ht="18.95" customHeight="1">
      <c r="A103" s="70">
        <f t="shared" si="7"/>
        <v>65</v>
      </c>
      <c r="B103" s="71" t="s">
        <v>1673</v>
      </c>
      <c r="C103" s="78" t="s">
        <v>1674</v>
      </c>
      <c r="D103" s="130">
        <v>0</v>
      </c>
      <c r="E103" s="362" t="s">
        <v>732</v>
      </c>
      <c r="F103" s="375" t="s">
        <v>2094</v>
      </c>
    </row>
    <row r="104" spans="1:6" ht="18.95" customHeight="1">
      <c r="A104" s="70">
        <f t="shared" si="7"/>
        <v>66</v>
      </c>
      <c r="B104" s="71" t="s">
        <v>1675</v>
      </c>
      <c r="C104" s="78" t="s">
        <v>1676</v>
      </c>
      <c r="D104" s="130">
        <v>0</v>
      </c>
      <c r="E104" s="362" t="s">
        <v>732</v>
      </c>
      <c r="F104" s="375" t="s">
        <v>2094</v>
      </c>
    </row>
    <row r="105" spans="1:6" ht="18.95" customHeight="1">
      <c r="A105" s="70">
        <f t="shared" si="7"/>
        <v>67</v>
      </c>
      <c r="B105" s="71" t="s">
        <v>1677</v>
      </c>
      <c r="C105" s="78" t="s">
        <v>1665</v>
      </c>
      <c r="D105" s="130">
        <v>0</v>
      </c>
      <c r="E105" s="362" t="s">
        <v>732</v>
      </c>
      <c r="F105" s="375" t="s">
        <v>2094</v>
      </c>
    </row>
    <row r="106" spans="1:6" ht="18.95" customHeight="1">
      <c r="A106" s="70">
        <f t="shared" si="7"/>
        <v>68</v>
      </c>
      <c r="B106" s="71" t="s">
        <v>1678</v>
      </c>
      <c r="C106" s="78" t="s">
        <v>1667</v>
      </c>
      <c r="D106" s="130">
        <v>0</v>
      </c>
      <c r="E106" s="362" t="s">
        <v>732</v>
      </c>
      <c r="F106" s="375" t="s">
        <v>2094</v>
      </c>
    </row>
    <row r="107" spans="1:6" ht="18.95" customHeight="1">
      <c r="A107" s="70">
        <f t="shared" si="7"/>
        <v>69</v>
      </c>
      <c r="B107" s="71" t="s">
        <v>1679</v>
      </c>
      <c r="C107" s="78" t="s">
        <v>1669</v>
      </c>
      <c r="D107" s="130">
        <v>0</v>
      </c>
      <c r="E107" s="362" t="s">
        <v>732</v>
      </c>
      <c r="F107" s="375" t="s">
        <v>2094</v>
      </c>
    </row>
    <row r="108" spans="1:6" ht="18.95" customHeight="1">
      <c r="A108" s="70">
        <f t="shared" si="7"/>
        <v>70</v>
      </c>
      <c r="B108" s="71" t="s">
        <v>1680</v>
      </c>
      <c r="C108" s="78" t="s">
        <v>1681</v>
      </c>
      <c r="D108" s="130">
        <v>0</v>
      </c>
      <c r="E108" s="362" t="s">
        <v>732</v>
      </c>
      <c r="F108" s="375" t="s">
        <v>2094</v>
      </c>
    </row>
    <row r="109" spans="1:6" ht="18.95" customHeight="1">
      <c r="A109" s="70">
        <f t="shared" si="7"/>
        <v>71</v>
      </c>
      <c r="B109" s="71" t="s">
        <v>1682</v>
      </c>
      <c r="C109" s="78" t="s">
        <v>1683</v>
      </c>
      <c r="D109" s="130">
        <v>0</v>
      </c>
      <c r="E109" s="362" t="s">
        <v>732</v>
      </c>
      <c r="F109" s="375" t="s">
        <v>2094</v>
      </c>
    </row>
    <row r="110" spans="1:6" ht="18.95" customHeight="1">
      <c r="A110" s="70">
        <f>A109+1</f>
        <v>72</v>
      </c>
      <c r="B110" s="71" t="s">
        <v>1684</v>
      </c>
      <c r="C110" s="78" t="s">
        <v>1685</v>
      </c>
      <c r="D110" s="130">
        <v>0</v>
      </c>
      <c r="E110" s="362" t="s">
        <v>732</v>
      </c>
      <c r="F110" s="375" t="s">
        <v>2094</v>
      </c>
    </row>
    <row r="111" spans="1:6" ht="18.95" customHeight="1">
      <c r="A111" s="70">
        <f t="shared" si="7"/>
        <v>73</v>
      </c>
      <c r="B111" s="71" t="s">
        <v>1686</v>
      </c>
      <c r="C111" s="78" t="s">
        <v>1687</v>
      </c>
      <c r="D111" s="130">
        <v>0</v>
      </c>
      <c r="E111" s="362" t="s">
        <v>732</v>
      </c>
      <c r="F111" s="375" t="s">
        <v>2094</v>
      </c>
    </row>
    <row r="112" spans="1:6" ht="18.95" customHeight="1">
      <c r="A112" s="70">
        <f t="shared" si="7"/>
        <v>74</v>
      </c>
      <c r="B112" s="71" t="s">
        <v>1688</v>
      </c>
      <c r="C112" s="78" t="s">
        <v>1689</v>
      </c>
      <c r="D112" s="130">
        <v>0</v>
      </c>
      <c r="E112" s="362" t="s">
        <v>732</v>
      </c>
      <c r="F112" s="375" t="s">
        <v>2094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6" t="s">
        <v>2096</v>
      </c>
      <c r="D114" s="130"/>
    </row>
    <row r="115" spans="1:6" ht="18.95" customHeight="1">
      <c r="A115" s="70">
        <f>A114+1</f>
        <v>76</v>
      </c>
      <c r="B115" s="71" t="s">
        <v>1671</v>
      </c>
      <c r="C115" s="78" t="s">
        <v>154</v>
      </c>
      <c r="D115" s="130">
        <v>0</v>
      </c>
      <c r="E115" s="362" t="s">
        <v>732</v>
      </c>
      <c r="F115" s="375" t="s">
        <v>2099</v>
      </c>
    </row>
    <row r="116" spans="1:6" ht="18.95" customHeight="1">
      <c r="A116" s="70">
        <f t="shared" ref="A116:A136" si="8">A115+1</f>
        <v>77</v>
      </c>
      <c r="B116" s="71" t="s">
        <v>1672</v>
      </c>
      <c r="C116" s="78" t="s">
        <v>148</v>
      </c>
      <c r="D116" s="130">
        <v>0</v>
      </c>
      <c r="E116" s="362" t="s">
        <v>732</v>
      </c>
      <c r="F116" s="375" t="s">
        <v>2099</v>
      </c>
    </row>
    <row r="117" spans="1:6" ht="18.95" customHeight="1">
      <c r="A117" s="70">
        <f t="shared" si="8"/>
        <v>78</v>
      </c>
      <c r="B117" s="71" t="s">
        <v>1673</v>
      </c>
      <c r="C117" s="78" t="s">
        <v>1674</v>
      </c>
      <c r="D117" s="130">
        <v>0</v>
      </c>
      <c r="E117" s="362" t="s">
        <v>732</v>
      </c>
      <c r="F117" s="375" t="s">
        <v>2099</v>
      </c>
    </row>
    <row r="118" spans="1:6" ht="18.95" customHeight="1">
      <c r="A118" s="70">
        <f t="shared" si="8"/>
        <v>79</v>
      </c>
      <c r="B118" s="71" t="s">
        <v>1675</v>
      </c>
      <c r="C118" s="78" t="s">
        <v>1676</v>
      </c>
      <c r="D118" s="130">
        <v>0</v>
      </c>
      <c r="E118" s="362" t="s">
        <v>732</v>
      </c>
      <c r="F118" s="375" t="s">
        <v>2099</v>
      </c>
    </row>
    <row r="119" spans="1:6" ht="18.95" customHeight="1">
      <c r="A119" s="70">
        <f t="shared" si="8"/>
        <v>80</v>
      </c>
      <c r="B119" s="71" t="s">
        <v>1677</v>
      </c>
      <c r="C119" s="78" t="s">
        <v>1665</v>
      </c>
      <c r="D119" s="130">
        <v>0</v>
      </c>
      <c r="E119" s="362" t="s">
        <v>732</v>
      </c>
      <c r="F119" s="375" t="s">
        <v>2099</v>
      </c>
    </row>
    <row r="120" spans="1:6" ht="18.95" customHeight="1">
      <c r="A120" s="70">
        <f t="shared" si="8"/>
        <v>81</v>
      </c>
      <c r="B120" s="71" t="s">
        <v>1678</v>
      </c>
      <c r="C120" s="78" t="s">
        <v>1667</v>
      </c>
      <c r="D120" s="130">
        <v>0</v>
      </c>
      <c r="E120" s="362" t="s">
        <v>732</v>
      </c>
      <c r="F120" s="375" t="s">
        <v>2099</v>
      </c>
    </row>
    <row r="121" spans="1:6" ht="18.95" customHeight="1">
      <c r="A121" s="70">
        <f t="shared" si="8"/>
        <v>82</v>
      </c>
      <c r="B121" s="71" t="s">
        <v>1679</v>
      </c>
      <c r="C121" s="78" t="s">
        <v>1669</v>
      </c>
      <c r="D121" s="130">
        <v>0</v>
      </c>
      <c r="E121" s="362" t="s">
        <v>732</v>
      </c>
      <c r="F121" s="375" t="s">
        <v>2099</v>
      </c>
    </row>
    <row r="122" spans="1:6" s="68" customFormat="1" ht="20.100000000000001" customHeight="1">
      <c r="A122" s="809" t="str">
        <f>A$1</f>
        <v>KENTUCKY UTILITIES COMPANY</v>
      </c>
      <c r="B122" s="809"/>
      <c r="C122" s="809"/>
      <c r="D122" s="809"/>
      <c r="E122" s="809"/>
      <c r="F122" s="809"/>
    </row>
    <row r="123" spans="1:6" s="68" customFormat="1" ht="20.100000000000001" customHeight="1">
      <c r="A123" s="809" t="str">
        <f>A$2</f>
        <v>CASE NO. 2020-00349</v>
      </c>
      <c r="B123" s="809"/>
      <c r="C123" s="809"/>
      <c r="D123" s="809"/>
      <c r="E123" s="809"/>
      <c r="F123" s="809"/>
    </row>
    <row r="124" spans="1:6" s="68" customFormat="1" ht="20.100000000000001" customHeight="1">
      <c r="A124" s="809" t="s">
        <v>1451</v>
      </c>
      <c r="B124" s="809"/>
      <c r="C124" s="809"/>
      <c r="D124" s="809"/>
      <c r="E124" s="809"/>
      <c r="F124" s="809"/>
    </row>
    <row r="125" spans="1:6" s="68" customFormat="1" ht="20.100000000000001" customHeight="1">
      <c r="A125" s="808" t="str">
        <f>A$4</f>
        <v>BASE YEAR FOR THE 12 MONTHS ENDED FEBRUARY 28, 2021</v>
      </c>
      <c r="B125" s="809"/>
      <c r="C125" s="809"/>
      <c r="D125" s="809"/>
      <c r="E125" s="809"/>
      <c r="F125" s="809"/>
    </row>
    <row r="126" spans="1:6" s="68" customFormat="1" ht="20.100000000000001" customHeight="1">
      <c r="A126" s="378"/>
      <c r="B126" s="378"/>
      <c r="C126" s="378"/>
      <c r="D126" s="378"/>
      <c r="E126" s="378"/>
      <c r="F126" s="378"/>
    </row>
    <row r="127" spans="1:6" s="68" customFormat="1" ht="20.100000000000001" customHeight="1">
      <c r="A127" s="67" t="str">
        <f>A$6</f>
        <v>DATA:__X__BASE  PERIOD____FORECASTED  PERIOD</v>
      </c>
      <c r="B127" s="67"/>
      <c r="E127" s="379"/>
      <c r="F127" s="74" t="s">
        <v>1450</v>
      </c>
    </row>
    <row r="128" spans="1:6" s="68" customFormat="1" ht="20.100000000000001" customHeight="1">
      <c r="A128" s="67" t="str">
        <f>A$7</f>
        <v>TYPE OF FILING: __X__ ORIGINAL  _____ UPDATED  _____ REVISED</v>
      </c>
      <c r="E128" s="379"/>
      <c r="F128" s="74" t="s">
        <v>2159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9"/>
      <c r="F129" s="75" t="str">
        <f>F$8</f>
        <v>WITNESS:   C. M. GARRETT</v>
      </c>
    </row>
    <row r="130" spans="1:6" s="68" customFormat="1" ht="20.100000000000001" customHeight="1">
      <c r="E130" s="379"/>
    </row>
    <row r="131" spans="1:6" ht="58.5" customHeight="1">
      <c r="A131" s="76" t="s">
        <v>131</v>
      </c>
      <c r="B131" s="76" t="s">
        <v>134</v>
      </c>
      <c r="C131" s="79" t="s">
        <v>2086</v>
      </c>
      <c r="D131" s="76" t="s">
        <v>223</v>
      </c>
      <c r="E131" s="76" t="s">
        <v>2088</v>
      </c>
      <c r="F131" s="76" t="s">
        <v>1449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1680</v>
      </c>
      <c r="C133" s="78" t="s">
        <v>1681</v>
      </c>
      <c r="D133" s="130">
        <v>0</v>
      </c>
      <c r="E133" s="362" t="s">
        <v>732</v>
      </c>
      <c r="F133" s="375" t="s">
        <v>2099</v>
      </c>
    </row>
    <row r="134" spans="1:6" ht="18.95" customHeight="1">
      <c r="A134" s="70">
        <f t="shared" si="8"/>
        <v>84</v>
      </c>
      <c r="B134" s="71" t="s">
        <v>1682</v>
      </c>
      <c r="C134" s="78" t="s">
        <v>1683</v>
      </c>
      <c r="D134" s="130">
        <v>0</v>
      </c>
      <c r="E134" s="362" t="s">
        <v>732</v>
      </c>
      <c r="F134" s="375" t="s">
        <v>2099</v>
      </c>
    </row>
    <row r="135" spans="1:6" ht="18.95" customHeight="1">
      <c r="A135" s="70">
        <f>A134+1</f>
        <v>85</v>
      </c>
      <c r="B135" s="71" t="s">
        <v>1684</v>
      </c>
      <c r="C135" s="78" t="s">
        <v>1685</v>
      </c>
      <c r="D135" s="130">
        <v>0</v>
      </c>
      <c r="E135" s="362" t="s">
        <v>732</v>
      </c>
      <c r="F135" s="375" t="s">
        <v>2099</v>
      </c>
    </row>
    <row r="136" spans="1:6" ht="18.95" customHeight="1">
      <c r="A136" s="70">
        <f t="shared" si="8"/>
        <v>86</v>
      </c>
      <c r="B136" s="71" t="s">
        <v>1686</v>
      </c>
      <c r="C136" s="78" t="s">
        <v>1687</v>
      </c>
      <c r="D136" s="130">
        <v>0</v>
      </c>
      <c r="E136" s="362" t="s">
        <v>732</v>
      </c>
      <c r="F136" s="375" t="s">
        <v>2099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5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1692</v>
      </c>
      <c r="C139" s="78" t="s">
        <v>154</v>
      </c>
      <c r="D139" s="130">
        <f>'JURISSEP B'!G213/'JURISSEP B'!E213</f>
        <v>0.94120216334583628</v>
      </c>
      <c r="E139" s="362" t="s">
        <v>418</v>
      </c>
      <c r="F139" s="375" t="s">
        <v>2102</v>
      </c>
    </row>
    <row r="140" spans="1:6" ht="18.95" customHeight="1">
      <c r="A140" s="70">
        <f t="shared" si="9"/>
        <v>89</v>
      </c>
      <c r="B140" s="71" t="s">
        <v>1693</v>
      </c>
      <c r="C140" s="78" t="s">
        <v>148</v>
      </c>
      <c r="D140" s="130">
        <f>'JURISSEP B'!G214/'JURISSEP B'!E214</f>
        <v>0.94120216334583628</v>
      </c>
      <c r="E140" s="362" t="s">
        <v>418</v>
      </c>
      <c r="F140" s="375" t="s">
        <v>2102</v>
      </c>
    </row>
    <row r="141" spans="1:6" ht="18.95" customHeight="1">
      <c r="A141" s="70">
        <f t="shared" si="9"/>
        <v>90</v>
      </c>
      <c r="B141" s="71" t="s">
        <v>1694</v>
      </c>
      <c r="C141" s="78" t="s">
        <v>156</v>
      </c>
      <c r="D141" s="130">
        <f>'JURISSEP B'!G215/'JURISSEP B'!E215</f>
        <v>0.94120216334583628</v>
      </c>
      <c r="E141" s="362" t="s">
        <v>418</v>
      </c>
      <c r="F141" s="375" t="s">
        <v>2102</v>
      </c>
    </row>
    <row r="142" spans="1:6" ht="18.95" customHeight="1">
      <c r="A142" s="70">
        <f t="shared" si="9"/>
        <v>91</v>
      </c>
      <c r="B142" s="71" t="s">
        <v>1695</v>
      </c>
      <c r="C142" s="78" t="s">
        <v>155</v>
      </c>
      <c r="D142" s="130">
        <f>'JURISSEP B'!G216/'JURISSEP B'!E216</f>
        <v>0.94120216334583617</v>
      </c>
      <c r="E142" s="362" t="s">
        <v>418</v>
      </c>
      <c r="F142" s="375" t="s">
        <v>2102</v>
      </c>
    </row>
    <row r="143" spans="1:6" ht="18.95" customHeight="1">
      <c r="A143" s="70">
        <f t="shared" si="9"/>
        <v>92</v>
      </c>
      <c r="B143" s="71" t="s">
        <v>1696</v>
      </c>
      <c r="C143" s="78" t="s">
        <v>1697</v>
      </c>
      <c r="D143" s="130">
        <f>'JURISSEP B'!G217/'JURISSEP B'!E217</f>
        <v>0.9412021633458364</v>
      </c>
      <c r="E143" s="362" t="s">
        <v>418</v>
      </c>
      <c r="F143" s="375" t="s">
        <v>2102</v>
      </c>
    </row>
    <row r="144" spans="1:6" ht="18.95" customHeight="1">
      <c r="A144" s="70">
        <f t="shared" si="9"/>
        <v>93</v>
      </c>
      <c r="B144" s="71" t="s">
        <v>1698</v>
      </c>
      <c r="C144" s="78" t="s">
        <v>1699</v>
      </c>
      <c r="D144" s="130">
        <f>'JURISSEP B'!G218/'JURISSEP B'!E218</f>
        <v>0.94120216334583628</v>
      </c>
      <c r="E144" s="362" t="s">
        <v>418</v>
      </c>
      <c r="F144" s="375" t="s">
        <v>2102</v>
      </c>
    </row>
    <row r="145" spans="1:6" ht="18.95" customHeight="1">
      <c r="A145" s="70">
        <f t="shared" si="9"/>
        <v>94</v>
      </c>
      <c r="B145" s="71" t="s">
        <v>1700</v>
      </c>
      <c r="C145" s="78" t="s">
        <v>1701</v>
      </c>
      <c r="D145" s="130">
        <f>D139</f>
        <v>0.94120216334583628</v>
      </c>
      <c r="E145" s="362" t="s">
        <v>418</v>
      </c>
      <c r="F145" s="375" t="s">
        <v>2102</v>
      </c>
    </row>
    <row r="146" spans="1:6" ht="18.95" customHeight="1">
      <c r="A146" s="70">
        <f>A145+1</f>
        <v>95</v>
      </c>
      <c r="B146" s="71" t="s">
        <v>1702</v>
      </c>
      <c r="C146" s="78" t="s">
        <v>1703</v>
      </c>
      <c r="D146" s="130">
        <f>'JURISSEP B'!G220/'JURISSEP B'!E220</f>
        <v>0.94120216334583628</v>
      </c>
      <c r="E146" s="362" t="s">
        <v>418</v>
      </c>
      <c r="F146" s="375" t="s">
        <v>2102</v>
      </c>
    </row>
    <row r="147" spans="1:6" ht="18.95" customHeight="1">
      <c r="A147" s="70">
        <f t="shared" si="9"/>
        <v>96</v>
      </c>
      <c r="B147" s="71" t="s">
        <v>1704</v>
      </c>
      <c r="C147" s="78" t="s">
        <v>157</v>
      </c>
      <c r="D147" s="130">
        <f>'JURISSEP B'!G224/'JURISSEP B'!E224</f>
        <v>0.94750801191441203</v>
      </c>
      <c r="E147" s="362" t="s">
        <v>2103</v>
      </c>
      <c r="F147" s="375" t="s">
        <v>2104</v>
      </c>
    </row>
    <row r="148" spans="1:6" ht="18.95" customHeight="1">
      <c r="A148" s="70">
        <f>A147+1</f>
        <v>97</v>
      </c>
      <c r="B148" s="71" t="s">
        <v>1705</v>
      </c>
      <c r="C148" s="78" t="s">
        <v>1706</v>
      </c>
      <c r="D148" s="130">
        <f>D139</f>
        <v>0.94120216334583628</v>
      </c>
      <c r="E148" s="362" t="s">
        <v>418</v>
      </c>
      <c r="F148" s="375" t="s">
        <v>2102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1197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1618</v>
      </c>
      <c r="D151" s="130">
        <f>'JURISSEP B'!G275/'JURISSEP B'!E275</f>
        <v>1</v>
      </c>
      <c r="E151" s="362" t="s">
        <v>469</v>
      </c>
      <c r="F151" s="375" t="s">
        <v>2105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1620</v>
      </c>
      <c r="D152" s="130">
        <f>'JURISSEP B'!G276/'JURISSEP B'!E276</f>
        <v>0.93492051078927074</v>
      </c>
      <c r="E152" s="362" t="s">
        <v>471</v>
      </c>
      <c r="F152" s="375" t="s">
        <v>2106</v>
      </c>
    </row>
    <row r="153" spans="1:6" ht="18.95" customHeight="1">
      <c r="A153" s="70">
        <f>A152+1</f>
        <v>101</v>
      </c>
      <c r="B153" s="383" t="s">
        <v>2112</v>
      </c>
      <c r="C153" s="387" t="s">
        <v>72</v>
      </c>
      <c r="D153" s="130">
        <f>'JURISSEP B'!G$1257</f>
        <v>0.93811298816770394</v>
      </c>
      <c r="E153" s="362" t="s">
        <v>443</v>
      </c>
      <c r="F153" s="375" t="s">
        <v>2113</v>
      </c>
    </row>
    <row r="154" spans="1:6" ht="18.95" customHeight="1">
      <c r="A154" s="70">
        <f>A153+1</f>
        <v>102</v>
      </c>
      <c r="B154" s="383" t="s">
        <v>2115</v>
      </c>
      <c r="C154" s="387" t="s">
        <v>47</v>
      </c>
      <c r="D154" s="130">
        <f>'JURISSEP B'!G1258</f>
        <v>0.93811298816770394</v>
      </c>
      <c r="E154" s="362" t="s">
        <v>448</v>
      </c>
      <c r="F154" s="375" t="s">
        <v>2116</v>
      </c>
    </row>
    <row r="155" spans="1:6" ht="18.95" customHeight="1">
      <c r="A155" s="70">
        <f>A154+1</f>
        <v>103</v>
      </c>
      <c r="B155" s="383" t="s">
        <v>2118</v>
      </c>
      <c r="C155" s="387" t="s">
        <v>61</v>
      </c>
      <c r="D155" s="130">
        <f>'JURISSEP B'!G1259</f>
        <v>0.93826469975444682</v>
      </c>
      <c r="E155" s="362" t="s">
        <v>451</v>
      </c>
      <c r="F155" s="375" t="s">
        <v>2117</v>
      </c>
    </row>
    <row r="156" spans="1:6" ht="18.95" customHeight="1">
      <c r="A156" s="70">
        <f t="shared" ref="A156:A159" si="11">A155+1</f>
        <v>104</v>
      </c>
      <c r="B156" s="383" t="s">
        <v>2121</v>
      </c>
      <c r="C156" s="387" t="s">
        <v>2119</v>
      </c>
      <c r="D156" s="130">
        <f>'JURISSEP B'!G1260</f>
        <v>0.95457377236854957</v>
      </c>
      <c r="E156" s="362" t="s">
        <v>1003</v>
      </c>
      <c r="F156" s="375" t="s">
        <v>2123</v>
      </c>
    </row>
    <row r="157" spans="1:6" ht="18.95" customHeight="1">
      <c r="A157" s="70">
        <f t="shared" si="11"/>
        <v>105</v>
      </c>
      <c r="B157" s="383" t="s">
        <v>2122</v>
      </c>
      <c r="C157" s="387" t="s">
        <v>2120</v>
      </c>
      <c r="D157" s="130">
        <f>'JURISSEP B'!G1280</f>
        <v>9.9967139406268682E-2</v>
      </c>
      <c r="E157" s="362" t="s">
        <v>458</v>
      </c>
      <c r="F157" s="375" t="s">
        <v>2141</v>
      </c>
    </row>
    <row r="158" spans="1:6" ht="18.95" customHeight="1">
      <c r="A158" s="70">
        <f t="shared" si="11"/>
        <v>106</v>
      </c>
      <c r="B158" s="383" t="s">
        <v>2127</v>
      </c>
      <c r="C158" s="387" t="s">
        <v>2125</v>
      </c>
      <c r="D158" s="130">
        <f>'JURISSEP B'!G270/'JURISSEP B'!E270</f>
        <v>0.99831546498914481</v>
      </c>
      <c r="E158" s="362" t="s">
        <v>2128</v>
      </c>
      <c r="F158" s="375" t="s">
        <v>2129</v>
      </c>
    </row>
    <row r="159" spans="1:6" ht="18.95" customHeight="1">
      <c r="A159" s="70">
        <f t="shared" si="11"/>
        <v>107</v>
      </c>
      <c r="B159" s="383" t="s">
        <v>2126</v>
      </c>
      <c r="C159" s="387" t="s">
        <v>2124</v>
      </c>
      <c r="D159" s="130">
        <v>0</v>
      </c>
      <c r="E159" s="362" t="s">
        <v>463</v>
      </c>
      <c r="F159" s="375" t="s">
        <v>2130</v>
      </c>
    </row>
    <row r="160" spans="1:6" ht="18.95" customHeight="1">
      <c r="A160" s="70">
        <f>A159+1</f>
        <v>108</v>
      </c>
      <c r="B160" s="383" t="s">
        <v>2131</v>
      </c>
      <c r="C160" s="387" t="s">
        <v>2132</v>
      </c>
      <c r="D160" s="130">
        <f>'JURISSEP B'!G273/'JURISSEP B'!E273</f>
        <v>0.94299332433917149</v>
      </c>
      <c r="E160" s="362" t="s">
        <v>467</v>
      </c>
      <c r="F160" s="375" t="s">
        <v>2133</v>
      </c>
    </row>
    <row r="161" spans="1:6" ht="18.95" customHeight="1">
      <c r="A161" s="70">
        <f>A160+1</f>
        <v>109</v>
      </c>
      <c r="B161" s="383" t="s">
        <v>2114</v>
      </c>
      <c r="C161" s="78" t="s">
        <v>2087</v>
      </c>
      <c r="D161" s="130">
        <v>0</v>
      </c>
      <c r="E161" s="362" t="s">
        <v>311</v>
      </c>
      <c r="F161" s="687" t="s">
        <v>2090</v>
      </c>
    </row>
    <row r="162" spans="1:6" ht="18.95" customHeight="1">
      <c r="A162" s="70"/>
      <c r="B162" s="383"/>
      <c r="C162" s="387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475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2138</v>
      </c>
      <c r="C164" s="78" t="s">
        <v>2134</v>
      </c>
      <c r="D164" s="130">
        <f>'JURISSEP B'!G1268</f>
        <v>0.93813774178066944</v>
      </c>
      <c r="E164" s="362" t="s">
        <v>477</v>
      </c>
      <c r="F164" s="375" t="s">
        <v>2136</v>
      </c>
    </row>
    <row r="165" spans="1:6" ht="18.95" customHeight="1">
      <c r="A165" s="70">
        <f t="shared" ref="A165:A170" si="12">A164+1</f>
        <v>112</v>
      </c>
      <c r="B165" s="383" t="s">
        <v>2121</v>
      </c>
      <c r="C165" s="387" t="s">
        <v>2119</v>
      </c>
      <c r="D165" s="130">
        <f>'JURISSEP B'!G$1352</f>
        <v>0.95596726483052474</v>
      </c>
      <c r="E165" s="362" t="s">
        <v>1003</v>
      </c>
      <c r="F165" s="375" t="s">
        <v>2123</v>
      </c>
    </row>
    <row r="166" spans="1:6" ht="18.95" customHeight="1">
      <c r="A166" s="70">
        <f t="shared" si="12"/>
        <v>113</v>
      </c>
      <c r="B166" s="383" t="s">
        <v>2122</v>
      </c>
      <c r="C166" s="387" t="s">
        <v>2120</v>
      </c>
      <c r="D166" s="130">
        <v>0</v>
      </c>
      <c r="E166" s="362" t="s">
        <v>483</v>
      </c>
      <c r="F166" s="375" t="s">
        <v>2140</v>
      </c>
    </row>
    <row r="167" spans="1:6" ht="18.95" customHeight="1">
      <c r="A167" s="70">
        <f t="shared" si="12"/>
        <v>114</v>
      </c>
      <c r="B167" s="383" t="s">
        <v>2127</v>
      </c>
      <c r="C167" s="387" t="s">
        <v>2125</v>
      </c>
      <c r="D167" s="130">
        <f>'JURISSEP B'!G1283</f>
        <v>1</v>
      </c>
      <c r="E167" s="362" t="s">
        <v>488</v>
      </c>
      <c r="F167" s="375" t="s">
        <v>2139</v>
      </c>
    </row>
    <row r="168" spans="1:6" ht="18.95" customHeight="1">
      <c r="A168" s="70">
        <f t="shared" si="12"/>
        <v>115</v>
      </c>
      <c r="B168" s="383" t="s">
        <v>2126</v>
      </c>
      <c r="C168" s="387" t="s">
        <v>2124</v>
      </c>
      <c r="D168" s="130">
        <v>0</v>
      </c>
      <c r="E168" s="362" t="s">
        <v>486</v>
      </c>
      <c r="F168" s="375" t="s">
        <v>2137</v>
      </c>
    </row>
    <row r="169" spans="1:6" ht="18.95" customHeight="1">
      <c r="A169" s="70">
        <f t="shared" si="12"/>
        <v>116</v>
      </c>
      <c r="B169" s="383" t="s">
        <v>2131</v>
      </c>
      <c r="C169" s="387" t="s">
        <v>2132</v>
      </c>
      <c r="D169" s="130">
        <f>'JURISSEP B'!G1265</f>
        <v>0.9429933243391716</v>
      </c>
      <c r="E169" s="362" t="s">
        <v>467</v>
      </c>
      <c r="F169" s="375" t="s">
        <v>2133</v>
      </c>
    </row>
    <row r="170" spans="1:6" ht="18.95" customHeight="1">
      <c r="A170" s="70">
        <f t="shared" si="12"/>
        <v>117</v>
      </c>
      <c r="B170" s="71" t="s">
        <v>2114</v>
      </c>
      <c r="C170" s="78" t="s">
        <v>2087</v>
      </c>
      <c r="D170" s="130">
        <v>0</v>
      </c>
      <c r="E170" s="362" t="s">
        <v>311</v>
      </c>
      <c r="F170" s="687" t="s">
        <v>2090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491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2142</v>
      </c>
      <c r="D173" s="130">
        <f>'JURISSEP B'!G1218</f>
        <v>0.94182569268505678</v>
      </c>
      <c r="E173" s="362" t="s">
        <v>494</v>
      </c>
      <c r="F173" s="375" t="s">
        <v>2143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2144</v>
      </c>
      <c r="D174" s="130">
        <f>'JURISSEP B'!G$1272</f>
        <v>0.92978140422616196</v>
      </c>
      <c r="E174" s="362" t="s">
        <v>2145</v>
      </c>
      <c r="F174" s="375" t="s">
        <v>2146</v>
      </c>
    </row>
    <row r="175" spans="1:6" ht="18.95" customHeight="1">
      <c r="A175" s="70">
        <f t="shared" si="13"/>
        <v>121</v>
      </c>
      <c r="B175" s="71">
        <v>158</v>
      </c>
      <c r="C175" s="78" t="s">
        <v>2147</v>
      </c>
      <c r="D175" s="130">
        <f t="shared" ref="D175" si="14">D$19</f>
        <v>0.93811298816770394</v>
      </c>
      <c r="E175" s="362" t="s">
        <v>303</v>
      </c>
      <c r="F175" s="375" t="s">
        <v>2092</v>
      </c>
    </row>
    <row r="176" spans="1:6" ht="18.95" customHeight="1">
      <c r="A176" s="70">
        <f t="shared" si="13"/>
        <v>122</v>
      </c>
      <c r="B176" s="71">
        <v>163</v>
      </c>
      <c r="C176" s="78" t="s">
        <v>2148</v>
      </c>
      <c r="D176" s="130">
        <f>'JURISSEP B'!G$1272</f>
        <v>0.92978140422616196</v>
      </c>
      <c r="E176" s="362" t="s">
        <v>2149</v>
      </c>
      <c r="F176" s="375" t="s">
        <v>2150</v>
      </c>
    </row>
    <row r="177" spans="1:6" ht="18.95" customHeight="1">
      <c r="A177" s="70">
        <f t="shared" si="13"/>
        <v>123</v>
      </c>
      <c r="B177" s="71">
        <v>165</v>
      </c>
      <c r="C177" s="78" t="s">
        <v>1517</v>
      </c>
      <c r="D177" s="130">
        <f>'JURISSEP B'!G1273</f>
        <v>0.93701103768102212</v>
      </c>
      <c r="E177" s="362" t="s">
        <v>2151</v>
      </c>
      <c r="F177" s="375" t="s">
        <v>2152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6.75" customHeight="1">
      <c r="A179" s="70">
        <f>A177+1</f>
        <v>124</v>
      </c>
      <c r="B179" s="71"/>
      <c r="C179" s="380" t="s">
        <v>2250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1448</v>
      </c>
      <c r="C180" s="78" t="s">
        <v>2134</v>
      </c>
      <c r="D180" s="130">
        <f>D164</f>
        <v>0.93813774178066944</v>
      </c>
      <c r="E180" s="362" t="s">
        <v>477</v>
      </c>
      <c r="F180" s="375" t="s">
        <v>2136</v>
      </c>
    </row>
    <row r="181" spans="1:6" ht="18.95" customHeight="1">
      <c r="A181" s="70">
        <f t="shared" ref="A181:A197" si="15">A180+1</f>
        <v>126</v>
      </c>
      <c r="B181" s="70" t="s">
        <v>1448</v>
      </c>
      <c r="C181" s="387" t="s">
        <v>2119</v>
      </c>
      <c r="D181" s="130">
        <f>D165</f>
        <v>0.95596726483052474</v>
      </c>
      <c r="E181" s="362" t="s">
        <v>1003</v>
      </c>
      <c r="F181" s="375" t="s">
        <v>2123</v>
      </c>
    </row>
    <row r="182" spans="1:6" ht="18.95" customHeight="1">
      <c r="A182" s="70">
        <f t="shared" si="15"/>
        <v>127</v>
      </c>
      <c r="B182" s="70" t="s">
        <v>1448</v>
      </c>
      <c r="C182" s="387" t="s">
        <v>2120</v>
      </c>
      <c r="D182" s="130">
        <v>0</v>
      </c>
      <c r="E182" s="362" t="s">
        <v>483</v>
      </c>
      <c r="F182" s="375" t="s">
        <v>2140</v>
      </c>
    </row>
    <row r="183" spans="1:6" s="68" customFormat="1" ht="20.100000000000001" customHeight="1">
      <c r="A183" s="809" t="str">
        <f>A$1</f>
        <v>KENTUCKY UTILITIES COMPANY</v>
      </c>
      <c r="B183" s="809"/>
      <c r="C183" s="809"/>
      <c r="D183" s="809"/>
      <c r="E183" s="809"/>
      <c r="F183" s="809"/>
    </row>
    <row r="184" spans="1:6" s="68" customFormat="1" ht="20.100000000000001" customHeight="1">
      <c r="A184" s="809" t="str">
        <f>A$2</f>
        <v>CASE NO. 2020-00349</v>
      </c>
      <c r="B184" s="809"/>
      <c r="C184" s="809"/>
      <c r="D184" s="809"/>
      <c r="E184" s="809"/>
      <c r="F184" s="809"/>
    </row>
    <row r="185" spans="1:6" s="68" customFormat="1" ht="20.100000000000001" customHeight="1">
      <c r="A185" s="809" t="s">
        <v>1451</v>
      </c>
      <c r="B185" s="809"/>
      <c r="C185" s="809"/>
      <c r="D185" s="809"/>
      <c r="E185" s="809"/>
      <c r="F185" s="809"/>
    </row>
    <row r="186" spans="1:6" s="68" customFormat="1" ht="20.100000000000001" customHeight="1">
      <c r="A186" s="808" t="str">
        <f>A$4</f>
        <v>BASE YEAR FOR THE 12 MONTHS ENDED FEBRUARY 28, 2021</v>
      </c>
      <c r="B186" s="809"/>
      <c r="C186" s="809"/>
      <c r="D186" s="809"/>
      <c r="E186" s="809"/>
      <c r="F186" s="809"/>
    </row>
    <row r="187" spans="1:6" s="68" customFormat="1" ht="20.100000000000001" customHeight="1">
      <c r="A187" s="378"/>
      <c r="B187" s="378"/>
      <c r="C187" s="378"/>
      <c r="D187" s="378"/>
      <c r="E187" s="378"/>
      <c r="F187" s="378"/>
    </row>
    <row r="188" spans="1:6" s="68" customFormat="1" ht="20.100000000000001" customHeight="1">
      <c r="A188" s="67" t="str">
        <f>A$6</f>
        <v>DATA:__X__BASE  PERIOD____FORECASTED  PERIOD</v>
      </c>
      <c r="B188" s="67"/>
      <c r="E188" s="379"/>
      <c r="F188" s="74" t="s">
        <v>1450</v>
      </c>
    </row>
    <row r="189" spans="1:6" s="68" customFormat="1" ht="20.100000000000001" customHeight="1">
      <c r="A189" s="67" t="str">
        <f>A$7</f>
        <v>TYPE OF FILING: __X__ ORIGINAL  _____ UPDATED  _____ REVISED</v>
      </c>
      <c r="E189" s="379"/>
      <c r="F189" s="74" t="s">
        <v>2160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9"/>
      <c r="F190" s="75" t="str">
        <f>F$8</f>
        <v>WITNESS:   C. M. GARRETT</v>
      </c>
    </row>
    <row r="191" spans="1:6" s="68" customFormat="1" ht="20.100000000000001" customHeight="1">
      <c r="E191" s="379"/>
    </row>
    <row r="192" spans="1:6" ht="58.5" customHeight="1">
      <c r="A192" s="76" t="s">
        <v>131</v>
      </c>
      <c r="B192" s="76" t="s">
        <v>134</v>
      </c>
      <c r="C192" s="79" t="s">
        <v>2086</v>
      </c>
      <c r="D192" s="76" t="s">
        <v>223</v>
      </c>
      <c r="E192" s="76" t="s">
        <v>2088</v>
      </c>
      <c r="F192" s="76" t="s">
        <v>1449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1448</v>
      </c>
      <c r="C194" s="387" t="s">
        <v>2154</v>
      </c>
      <c r="D194" s="130">
        <f>D167</f>
        <v>1</v>
      </c>
      <c r="E194" s="362" t="s">
        <v>488</v>
      </c>
      <c r="F194" s="375" t="s">
        <v>2139</v>
      </c>
    </row>
    <row r="195" spans="1:6" ht="18.95" customHeight="1">
      <c r="A195" s="70">
        <f t="shared" si="15"/>
        <v>129</v>
      </c>
      <c r="B195" s="70" t="s">
        <v>1448</v>
      </c>
      <c r="C195" s="387" t="s">
        <v>2153</v>
      </c>
      <c r="D195" s="130">
        <v>0</v>
      </c>
      <c r="E195" s="362" t="s">
        <v>486</v>
      </c>
      <c r="F195" s="375" t="s">
        <v>2155</v>
      </c>
    </row>
    <row r="196" spans="1:6" ht="18.95" customHeight="1">
      <c r="A196" s="70">
        <f t="shared" si="15"/>
        <v>130</v>
      </c>
      <c r="B196" s="70" t="s">
        <v>1448</v>
      </c>
      <c r="C196" s="387" t="s">
        <v>2132</v>
      </c>
      <c r="D196" s="130">
        <f>D169</f>
        <v>0.9429933243391716</v>
      </c>
      <c r="E196" s="362" t="s">
        <v>467</v>
      </c>
      <c r="F196" s="375" t="s">
        <v>2133</v>
      </c>
    </row>
    <row r="197" spans="1:6" ht="18.95" customHeight="1">
      <c r="A197" s="70">
        <f t="shared" si="15"/>
        <v>131</v>
      </c>
      <c r="B197" s="70" t="s">
        <v>1448</v>
      </c>
      <c r="C197" s="78" t="s">
        <v>2087</v>
      </c>
      <c r="D197" s="130">
        <v>0</v>
      </c>
      <c r="E197" s="362" t="s">
        <v>311</v>
      </c>
      <c r="F197" s="687" t="s">
        <v>2090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1188</v>
      </c>
      <c r="D199" s="130">
        <f>'JURISSEP B'!G1229</f>
        <v>0.99560637798336138</v>
      </c>
      <c r="E199" s="362" t="s">
        <v>536</v>
      </c>
      <c r="F199" s="375" t="s">
        <v>2156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1438</v>
      </c>
      <c r="D201" s="130">
        <f>'JURISSEP B'!G1269</f>
        <v>0.93605396899428039</v>
      </c>
      <c r="E201" s="362" t="s">
        <v>497</v>
      </c>
      <c r="F201" s="375" t="s">
        <v>2135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2245</v>
      </c>
      <c r="C203" s="78" t="s">
        <v>2249</v>
      </c>
      <c r="D203" s="130">
        <f t="shared" ref="D203" si="16">D$19</f>
        <v>0.93811298816770394</v>
      </c>
      <c r="E203" s="362" t="s">
        <v>303</v>
      </c>
      <c r="F203" s="375" t="s">
        <v>2092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 ht="18.95" customHeight="1">
      <c r="A260" s="70"/>
      <c r="B260" s="71"/>
      <c r="C260" s="78"/>
      <c r="D260" s="130"/>
      <c r="E260" s="362"/>
      <c r="F260" s="375"/>
    </row>
    <row r="261" spans="1:6" ht="18.95" customHeight="1">
      <c r="A261" s="70"/>
      <c r="B261" s="71"/>
      <c r="C261" s="78"/>
      <c r="D261" s="130"/>
      <c r="E261" s="362"/>
      <c r="F261" s="375"/>
    </row>
    <row r="262" spans="1:6">
      <c r="D262" s="130"/>
    </row>
    <row r="263" spans="1:6">
      <c r="D263" s="130"/>
    </row>
  </sheetData>
  <mergeCells count="16">
    <mergeCell ref="A125:F125"/>
    <mergeCell ref="A183:F183"/>
    <mergeCell ref="A184:F184"/>
    <mergeCell ref="A185:F185"/>
    <mergeCell ref="A186:F186"/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pageSetUpPr fitToPage="1"/>
  </sheetPr>
  <dimension ref="A1:F261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</row>
    <row r="2" spans="1:6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</row>
    <row r="3" spans="1:6" s="68" customFormat="1" ht="20.100000000000001" customHeight="1">
      <c r="A3" s="809" t="s">
        <v>1451</v>
      </c>
      <c r="B3" s="809"/>
      <c r="C3" s="809"/>
      <c r="D3" s="809"/>
      <c r="E3" s="809"/>
      <c r="F3" s="809"/>
    </row>
    <row r="4" spans="1:6" s="68" customFormat="1" ht="20.100000000000001" customHeight="1">
      <c r="A4" s="808" t="str">
        <f>'Rate Case Constants'!C21</f>
        <v>FORECAST PERIOD FOR THE 12 MONTHS ENDED JUNE 30, 2022</v>
      </c>
      <c r="B4" s="808"/>
      <c r="C4" s="808"/>
      <c r="D4" s="808"/>
      <c r="E4" s="808"/>
      <c r="F4" s="808"/>
    </row>
    <row r="5" spans="1:6" s="68" customFormat="1" ht="20.100000000000001" customHeight="1">
      <c r="A5" s="138"/>
      <c r="B5" s="138"/>
      <c r="C5" s="138"/>
      <c r="D5" s="138"/>
      <c r="E5" s="371"/>
      <c r="F5" s="138"/>
    </row>
    <row r="6" spans="1:6" s="68" customFormat="1" ht="20.100000000000001" customHeight="1">
      <c r="A6" s="67" t="s">
        <v>161</v>
      </c>
      <c r="B6" s="67"/>
      <c r="E6" s="372"/>
      <c r="F6" s="74" t="s">
        <v>1450</v>
      </c>
    </row>
    <row r="7" spans="1:6" s="68" customFormat="1" ht="20.100000000000001" customHeight="1">
      <c r="A7" s="68" t="str">
        <f>'Rate Case Constants'!C29</f>
        <v>TYPE OF FILING: __X__ ORIGINAL  _____ UPDATED  _____ REVISED</v>
      </c>
      <c r="E7" s="372"/>
      <c r="F7" s="74" t="s">
        <v>2162</v>
      </c>
    </row>
    <row r="8" spans="1:6" s="68" customFormat="1" ht="20.100000000000001" customHeight="1">
      <c r="A8" s="67" t="s">
        <v>1412</v>
      </c>
      <c r="B8" s="67"/>
      <c r="E8" s="372"/>
      <c r="F8" s="75" t="str">
        <f>'Rate Case Constants'!C37</f>
        <v>WITNESS:   C. M. GARRETT</v>
      </c>
    </row>
    <row r="9" spans="1:6" s="68" customFormat="1" ht="20.100000000000001" customHeight="1">
      <c r="E9" s="372"/>
    </row>
    <row r="10" spans="1:6" ht="58.5" customHeight="1">
      <c r="A10" s="76" t="s">
        <v>131</v>
      </c>
      <c r="B10" s="76" t="s">
        <v>134</v>
      </c>
      <c r="C10" s="79" t="s">
        <v>2086</v>
      </c>
      <c r="D10" s="76" t="s">
        <v>223</v>
      </c>
      <c r="E10" s="76" t="s">
        <v>2088</v>
      </c>
      <c r="F10" s="76" t="s">
        <v>1449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2101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1615</v>
      </c>
      <c r="C14" s="78" t="s">
        <v>1616</v>
      </c>
      <c r="D14" s="130">
        <f>'JURISSEP F'!G1270</f>
        <v>0.93467512424058485</v>
      </c>
      <c r="E14" s="362" t="s">
        <v>295</v>
      </c>
      <c r="F14" s="375" t="s">
        <v>2089</v>
      </c>
    </row>
    <row r="15" spans="1:6" ht="18.95" customHeight="1">
      <c r="A15" s="70">
        <f t="shared" ref="A15:A48" si="0">A14+1</f>
        <v>4</v>
      </c>
      <c r="B15" s="71" t="s">
        <v>1617</v>
      </c>
      <c r="C15" s="78" t="s">
        <v>1618</v>
      </c>
      <c r="D15" s="130">
        <v>1</v>
      </c>
      <c r="E15" s="362" t="s">
        <v>297</v>
      </c>
      <c r="F15" s="375" t="s">
        <v>2100</v>
      </c>
    </row>
    <row r="16" spans="1:6" ht="18.95" customHeight="1">
      <c r="A16" s="70">
        <f t="shared" si="0"/>
        <v>5</v>
      </c>
      <c r="B16" s="71" t="s">
        <v>1619</v>
      </c>
      <c r="C16" s="78" t="s">
        <v>1620</v>
      </c>
      <c r="D16" s="130">
        <f>D14</f>
        <v>0.93467512424058485</v>
      </c>
      <c r="E16" s="362" t="s">
        <v>295</v>
      </c>
      <c r="F16" s="375" t="s">
        <v>2089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1" t="s">
        <v>72</v>
      </c>
      <c r="D18" s="130"/>
    </row>
    <row r="19" spans="1:6" ht="18.95" customHeight="1">
      <c r="A19" s="70">
        <f t="shared" si="0"/>
        <v>7</v>
      </c>
      <c r="B19" s="71" t="s">
        <v>1621</v>
      </c>
      <c r="C19" s="78" t="s">
        <v>154</v>
      </c>
      <c r="D19" s="130">
        <f>'JURISSEP F'!G1173</f>
        <v>0.93811298816770394</v>
      </c>
      <c r="E19" s="362" t="s">
        <v>303</v>
      </c>
      <c r="F19" s="375" t="s">
        <v>2092</v>
      </c>
    </row>
    <row r="20" spans="1:6" ht="18.95" customHeight="1">
      <c r="A20" s="70">
        <f t="shared" si="0"/>
        <v>8</v>
      </c>
      <c r="B20" s="71" t="s">
        <v>1622</v>
      </c>
      <c r="C20" s="78" t="s">
        <v>148</v>
      </c>
      <c r="D20" s="130">
        <f>D$19</f>
        <v>0.93811298816770394</v>
      </c>
      <c r="E20" s="362" t="s">
        <v>303</v>
      </c>
      <c r="F20" s="375" t="s">
        <v>2092</v>
      </c>
    </row>
    <row r="21" spans="1:6" ht="18.95" customHeight="1">
      <c r="A21" s="70">
        <f t="shared" si="0"/>
        <v>9</v>
      </c>
      <c r="B21" s="71" t="s">
        <v>1623</v>
      </c>
      <c r="C21" s="78" t="s">
        <v>1624</v>
      </c>
      <c r="D21" s="130">
        <f t="shared" ref="D21:D26" si="1">D$19</f>
        <v>0.93811298816770394</v>
      </c>
      <c r="E21" s="362" t="s">
        <v>303</v>
      </c>
      <c r="F21" s="375" t="s">
        <v>2092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303</v>
      </c>
      <c r="F22" s="375" t="s">
        <v>2092</v>
      </c>
    </row>
    <row r="23" spans="1:6" ht="18.95" customHeight="1">
      <c r="A23" s="70">
        <f>A21+1</f>
        <v>10</v>
      </c>
      <c r="B23" s="71" t="s">
        <v>1625</v>
      </c>
      <c r="C23" s="78" t="s">
        <v>1626</v>
      </c>
      <c r="D23" s="130">
        <f t="shared" si="1"/>
        <v>0.93811298816770394</v>
      </c>
      <c r="E23" s="362" t="s">
        <v>303</v>
      </c>
      <c r="F23" s="375" t="s">
        <v>2092</v>
      </c>
    </row>
    <row r="24" spans="1:6" ht="18.95" customHeight="1">
      <c r="A24" s="70">
        <f t="shared" si="0"/>
        <v>11</v>
      </c>
      <c r="B24" s="71" t="s">
        <v>1627</v>
      </c>
      <c r="C24" s="78" t="s">
        <v>1628</v>
      </c>
      <c r="D24" s="130">
        <f t="shared" si="1"/>
        <v>0.93811298816770394</v>
      </c>
      <c r="E24" s="362" t="s">
        <v>303</v>
      </c>
      <c r="F24" s="375" t="s">
        <v>2092</v>
      </c>
    </row>
    <row r="25" spans="1:6" ht="18.95" customHeight="1">
      <c r="A25" s="70">
        <f t="shared" si="0"/>
        <v>12</v>
      </c>
      <c r="B25" s="71" t="s">
        <v>1629</v>
      </c>
      <c r="C25" s="78" t="s">
        <v>1630</v>
      </c>
      <c r="D25" s="130">
        <f t="shared" si="1"/>
        <v>0.93811298816770394</v>
      </c>
      <c r="E25" s="362" t="s">
        <v>303</v>
      </c>
      <c r="F25" s="375" t="s">
        <v>2092</v>
      </c>
    </row>
    <row r="26" spans="1:6" ht="18.95" customHeight="1">
      <c r="A26" s="70">
        <f>A25+1</f>
        <v>13</v>
      </c>
      <c r="B26" s="71" t="s">
        <v>1631</v>
      </c>
      <c r="C26" s="78" t="s">
        <v>1650</v>
      </c>
      <c r="D26" s="130">
        <f t="shared" si="1"/>
        <v>0.93811298816770394</v>
      </c>
      <c r="E26" s="362" t="s">
        <v>303</v>
      </c>
      <c r="F26" s="375" t="s">
        <v>2092</v>
      </c>
    </row>
    <row r="27" spans="1:6" ht="18.95" customHeight="1">
      <c r="A27" s="70">
        <f>A26+1</f>
        <v>14</v>
      </c>
      <c r="B27" s="383" t="s">
        <v>2107</v>
      </c>
      <c r="C27" s="78" t="s">
        <v>2087</v>
      </c>
      <c r="D27" s="130">
        <f>('JURISSEP F'!G$86+'JURISSEP F'!G$87)/('JURISSEP F'!E$86+'JURISSEP F'!E$87)</f>
        <v>0.62528181072963362</v>
      </c>
      <c r="E27" s="362" t="s">
        <v>311</v>
      </c>
      <c r="F27" s="687" t="s">
        <v>2645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1" t="s">
        <v>47</v>
      </c>
      <c r="D29" s="130"/>
    </row>
    <row r="30" spans="1:6" ht="18.95" customHeight="1">
      <c r="A30" s="70">
        <f t="shared" si="0"/>
        <v>16</v>
      </c>
      <c r="B30" s="71" t="s">
        <v>1632</v>
      </c>
      <c r="C30" s="78" t="s">
        <v>154</v>
      </c>
      <c r="D30" s="130">
        <f t="shared" ref="D30:D37" si="2">D$19</f>
        <v>0.93811298816770394</v>
      </c>
      <c r="E30" s="362" t="s">
        <v>303</v>
      </c>
      <c r="F30" s="375" t="s">
        <v>2092</v>
      </c>
    </row>
    <row r="31" spans="1:6" ht="18.95" customHeight="1">
      <c r="A31" s="70">
        <f t="shared" si="0"/>
        <v>17</v>
      </c>
      <c r="B31" s="71" t="s">
        <v>1633</v>
      </c>
      <c r="C31" s="78" t="s">
        <v>148</v>
      </c>
      <c r="D31" s="130">
        <f t="shared" si="2"/>
        <v>0.93811298816770394</v>
      </c>
      <c r="E31" s="362" t="s">
        <v>303</v>
      </c>
      <c r="F31" s="375" t="s">
        <v>2092</v>
      </c>
    </row>
    <row r="32" spans="1:6" ht="18.95" customHeight="1">
      <c r="A32" s="70">
        <f t="shared" si="0"/>
        <v>18</v>
      </c>
      <c r="B32" s="71" t="s">
        <v>1634</v>
      </c>
      <c r="C32" s="78" t="s">
        <v>1635</v>
      </c>
      <c r="D32" s="130">
        <f t="shared" si="2"/>
        <v>0.93811298816770394</v>
      </c>
      <c r="E32" s="362" t="s">
        <v>303</v>
      </c>
      <c r="F32" s="375" t="s">
        <v>2092</v>
      </c>
    </row>
    <row r="33" spans="1:6" ht="18.95" customHeight="1">
      <c r="A33" s="70">
        <f t="shared" si="0"/>
        <v>19</v>
      </c>
      <c r="B33" s="71" t="s">
        <v>1636</v>
      </c>
      <c r="C33" s="78" t="s">
        <v>1637</v>
      </c>
      <c r="D33" s="130">
        <f t="shared" si="2"/>
        <v>0.93811298816770394</v>
      </c>
      <c r="E33" s="362" t="s">
        <v>303</v>
      </c>
      <c r="F33" s="375" t="s">
        <v>2092</v>
      </c>
    </row>
    <row r="34" spans="1:6" ht="18.95" customHeight="1">
      <c r="A34" s="70">
        <f t="shared" si="0"/>
        <v>20</v>
      </c>
      <c r="B34" s="71" t="s">
        <v>1638</v>
      </c>
      <c r="C34" s="78" t="s">
        <v>1628</v>
      </c>
      <c r="D34" s="130">
        <f t="shared" si="2"/>
        <v>0.93811298816770394</v>
      </c>
      <c r="E34" s="362" t="s">
        <v>303</v>
      </c>
      <c r="F34" s="375" t="s">
        <v>2092</v>
      </c>
    </row>
    <row r="35" spans="1:6" ht="18.95" customHeight="1">
      <c r="A35" s="70">
        <f t="shared" si="0"/>
        <v>21</v>
      </c>
      <c r="B35" s="71" t="s">
        <v>1639</v>
      </c>
      <c r="C35" s="78" t="s">
        <v>1640</v>
      </c>
      <c r="D35" s="130">
        <f t="shared" si="2"/>
        <v>0.93811298816770394</v>
      </c>
      <c r="E35" s="362" t="s">
        <v>303</v>
      </c>
      <c r="F35" s="375" t="s">
        <v>2092</v>
      </c>
    </row>
    <row r="36" spans="1:6" ht="18.95" customHeight="1">
      <c r="A36" s="70">
        <f t="shared" si="0"/>
        <v>22</v>
      </c>
      <c r="B36" s="71" t="s">
        <v>1641</v>
      </c>
      <c r="C36" s="78" t="s">
        <v>1642</v>
      </c>
      <c r="D36" s="130">
        <f t="shared" si="2"/>
        <v>0.93811298816770394</v>
      </c>
      <c r="E36" s="362" t="s">
        <v>303</v>
      </c>
      <c r="F36" s="375" t="s">
        <v>2092</v>
      </c>
    </row>
    <row r="37" spans="1:6" ht="18.95" customHeight="1">
      <c r="A37" s="70">
        <f t="shared" si="0"/>
        <v>23</v>
      </c>
      <c r="B37" s="71" t="s">
        <v>1643</v>
      </c>
      <c r="C37" s="78" t="s">
        <v>1651</v>
      </c>
      <c r="D37" s="130">
        <f t="shared" si="2"/>
        <v>0.93811298816770394</v>
      </c>
      <c r="E37" s="362" t="s">
        <v>303</v>
      </c>
      <c r="F37" s="375" t="s">
        <v>2092</v>
      </c>
    </row>
    <row r="38" spans="1:6" ht="18.95" customHeight="1">
      <c r="A38" s="70">
        <f>A37+1</f>
        <v>24</v>
      </c>
      <c r="B38" s="383" t="s">
        <v>2108</v>
      </c>
      <c r="C38" s="78" t="s">
        <v>2087</v>
      </c>
      <c r="D38" s="130">
        <f>('JURISSEP F'!G$99+'JURISSEP F'!G$100)/('JURISSEP F'!E$99+'JURISSEP F'!E$100)</f>
        <v>0.76753265887811606</v>
      </c>
      <c r="E38" s="362" t="s">
        <v>311</v>
      </c>
      <c r="F38" s="687" t="s">
        <v>2645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1" t="s">
        <v>61</v>
      </c>
      <c r="D40" s="130"/>
    </row>
    <row r="41" spans="1:6" ht="18.95" customHeight="1">
      <c r="A41" s="70">
        <f t="shared" si="0"/>
        <v>26</v>
      </c>
      <c r="B41" s="71" t="s">
        <v>1644</v>
      </c>
      <c r="C41" s="78" t="s">
        <v>154</v>
      </c>
      <c r="D41" s="130">
        <f t="shared" ref="D41:D48" si="3">D$19</f>
        <v>0.93811298816770394</v>
      </c>
      <c r="E41" s="362" t="s">
        <v>303</v>
      </c>
      <c r="F41" s="375" t="s">
        <v>2092</v>
      </c>
    </row>
    <row r="42" spans="1:6" ht="18.95" customHeight="1">
      <c r="A42" s="70">
        <f t="shared" si="0"/>
        <v>27</v>
      </c>
      <c r="B42" s="71" t="s">
        <v>1645</v>
      </c>
      <c r="C42" s="78" t="s">
        <v>148</v>
      </c>
      <c r="D42" s="130">
        <f t="shared" si="3"/>
        <v>0.93811298816770394</v>
      </c>
      <c r="E42" s="362" t="s">
        <v>303</v>
      </c>
      <c r="F42" s="375" t="s">
        <v>2092</v>
      </c>
    </row>
    <row r="43" spans="1:6" ht="18.95" customHeight="1">
      <c r="A43" s="70">
        <f t="shared" si="0"/>
        <v>28</v>
      </c>
      <c r="B43" s="71" t="s">
        <v>1646</v>
      </c>
      <c r="C43" s="78" t="s">
        <v>1647</v>
      </c>
      <c r="D43" s="130">
        <f t="shared" si="3"/>
        <v>0.93811298816770394</v>
      </c>
      <c r="E43" s="362" t="s">
        <v>303</v>
      </c>
      <c r="F43" s="375" t="s">
        <v>2092</v>
      </c>
    </row>
    <row r="44" spans="1:6" ht="18.95" customHeight="1">
      <c r="A44" s="70">
        <f t="shared" si="0"/>
        <v>29</v>
      </c>
      <c r="B44" s="71" t="s">
        <v>1648</v>
      </c>
      <c r="C44" s="78" t="s">
        <v>1649</v>
      </c>
      <c r="D44" s="130">
        <f t="shared" si="3"/>
        <v>0.93811298816770394</v>
      </c>
      <c r="E44" s="362" t="s">
        <v>303</v>
      </c>
      <c r="F44" s="375" t="s">
        <v>2092</v>
      </c>
    </row>
    <row r="45" spans="1:6" ht="18.95" customHeight="1">
      <c r="A45" s="70">
        <f>A44+1</f>
        <v>30</v>
      </c>
      <c r="B45" s="71" t="s">
        <v>1652</v>
      </c>
      <c r="C45" s="78" t="s">
        <v>1653</v>
      </c>
      <c r="D45" s="130">
        <f t="shared" si="3"/>
        <v>0.93811298816770394</v>
      </c>
      <c r="E45" s="362" t="s">
        <v>303</v>
      </c>
      <c r="F45" s="375" t="s">
        <v>2092</v>
      </c>
    </row>
    <row r="46" spans="1:6" ht="18.95" customHeight="1">
      <c r="A46" s="70">
        <f t="shared" si="0"/>
        <v>31</v>
      </c>
      <c r="B46" s="71" t="s">
        <v>1654</v>
      </c>
      <c r="C46" s="78" t="s">
        <v>1628</v>
      </c>
      <c r="D46" s="130">
        <f t="shared" si="3"/>
        <v>0.93811298816770394</v>
      </c>
      <c r="E46" s="362" t="s">
        <v>303</v>
      </c>
      <c r="F46" s="375" t="s">
        <v>2092</v>
      </c>
    </row>
    <row r="47" spans="1:6" ht="18.95" customHeight="1">
      <c r="A47" s="70">
        <f t="shared" si="0"/>
        <v>32</v>
      </c>
      <c r="B47" s="71" t="s">
        <v>1655</v>
      </c>
      <c r="C47" s="78" t="s">
        <v>1640</v>
      </c>
      <c r="D47" s="130">
        <f t="shared" si="3"/>
        <v>0.93811298816770394</v>
      </c>
      <c r="E47" s="362" t="s">
        <v>303</v>
      </c>
      <c r="F47" s="375" t="s">
        <v>2092</v>
      </c>
    </row>
    <row r="48" spans="1:6" ht="18.95" customHeight="1">
      <c r="A48" s="70">
        <f t="shared" si="0"/>
        <v>33</v>
      </c>
      <c r="B48" s="71" t="s">
        <v>1656</v>
      </c>
      <c r="C48" s="78" t="s">
        <v>1691</v>
      </c>
      <c r="D48" s="130">
        <f t="shared" si="3"/>
        <v>0.93811298816770394</v>
      </c>
      <c r="E48" s="362" t="s">
        <v>303</v>
      </c>
      <c r="F48" s="375" t="s">
        <v>2092</v>
      </c>
    </row>
    <row r="49" spans="1:6" ht="18.95" customHeight="1">
      <c r="A49" s="70">
        <f>A48+1</f>
        <v>34</v>
      </c>
      <c r="B49" s="383" t="s">
        <v>2109</v>
      </c>
      <c r="C49" s="78" t="s">
        <v>2087</v>
      </c>
      <c r="D49" s="130">
        <f>('JURISSEP F'!G$112+'JURISSEP F'!G$113)/('JURISSEP F'!E$112+'JURISSEP F'!E$113)</f>
        <v>0.77139818234059854</v>
      </c>
      <c r="E49" s="362" t="s">
        <v>311</v>
      </c>
      <c r="F49" s="687" t="s">
        <v>2645</v>
      </c>
    </row>
    <row r="50" spans="1:6" ht="18.95" customHeight="1">
      <c r="D50" s="130"/>
    </row>
    <row r="51" spans="1:6" ht="18.95" customHeight="1">
      <c r="A51" s="70">
        <f>A49+1</f>
        <v>35</v>
      </c>
      <c r="C51" s="381" t="s">
        <v>84</v>
      </c>
      <c r="D51" s="130"/>
    </row>
    <row r="52" spans="1:6" ht="18.95" customHeight="1">
      <c r="A52" s="70">
        <f>A51+1</f>
        <v>36</v>
      </c>
      <c r="C52" s="382" t="s">
        <v>2091</v>
      </c>
      <c r="D52" s="130"/>
    </row>
    <row r="53" spans="1:6" ht="18.95" customHeight="1">
      <c r="A53" s="70">
        <f>A52+1</f>
        <v>37</v>
      </c>
      <c r="B53" s="71" t="s">
        <v>1657</v>
      </c>
      <c r="C53" s="78" t="s">
        <v>154</v>
      </c>
      <c r="D53" s="130">
        <f>'JURISSEP F'!G1182</f>
        <v>0.956674275012947</v>
      </c>
      <c r="E53" s="362" t="s">
        <v>340</v>
      </c>
      <c r="F53" s="375" t="s">
        <v>2093</v>
      </c>
    </row>
    <row r="54" spans="1:6" ht="18.95" customHeight="1">
      <c r="A54" s="70">
        <f t="shared" ref="A54:A98" si="4">A53+1</f>
        <v>38</v>
      </c>
      <c r="B54" s="71" t="s">
        <v>1658</v>
      </c>
      <c r="C54" s="78" t="s">
        <v>148</v>
      </c>
      <c r="D54" s="130">
        <f>D$53</f>
        <v>0.956674275012947</v>
      </c>
      <c r="E54" s="362" t="s">
        <v>340</v>
      </c>
      <c r="F54" s="375" t="s">
        <v>2093</v>
      </c>
    </row>
    <row r="55" spans="1:6" ht="18.95" customHeight="1">
      <c r="A55" s="70">
        <f t="shared" si="4"/>
        <v>39</v>
      </c>
      <c r="B55" s="71" t="s">
        <v>1659</v>
      </c>
      <c r="C55" s="78" t="s">
        <v>149</v>
      </c>
      <c r="D55" s="130">
        <f t="shared" ref="D55:D60" si="5">D$53</f>
        <v>0.956674275012947</v>
      </c>
      <c r="E55" s="362" t="s">
        <v>340</v>
      </c>
      <c r="F55" s="375" t="s">
        <v>2093</v>
      </c>
    </row>
    <row r="56" spans="1:6" ht="18.95" customHeight="1">
      <c r="A56" s="70">
        <f t="shared" si="4"/>
        <v>40</v>
      </c>
      <c r="B56" s="71" t="s">
        <v>1660</v>
      </c>
      <c r="C56" s="78" t="s">
        <v>1661</v>
      </c>
      <c r="D56" s="130">
        <f t="shared" si="5"/>
        <v>0.956674275012947</v>
      </c>
      <c r="E56" s="362" t="s">
        <v>340</v>
      </c>
      <c r="F56" s="375" t="s">
        <v>2093</v>
      </c>
    </row>
    <row r="57" spans="1:6" ht="18.95" customHeight="1">
      <c r="A57" s="70">
        <f t="shared" si="4"/>
        <v>41</v>
      </c>
      <c r="B57" s="71" t="s">
        <v>1662</v>
      </c>
      <c r="C57" s="78" t="s">
        <v>1663</v>
      </c>
      <c r="D57" s="130">
        <f t="shared" si="5"/>
        <v>0.956674275012947</v>
      </c>
      <c r="E57" s="362" t="s">
        <v>340</v>
      </c>
      <c r="F57" s="375" t="s">
        <v>2093</v>
      </c>
    </row>
    <row r="58" spans="1:6" ht="18.95" customHeight="1">
      <c r="A58" s="70">
        <f t="shared" si="4"/>
        <v>42</v>
      </c>
      <c r="B58" s="71" t="s">
        <v>1664</v>
      </c>
      <c r="C58" s="78" t="s">
        <v>1665</v>
      </c>
      <c r="D58" s="130">
        <f t="shared" si="5"/>
        <v>0.956674275012947</v>
      </c>
      <c r="E58" s="362" t="s">
        <v>340</v>
      </c>
      <c r="F58" s="375" t="s">
        <v>2093</v>
      </c>
    </row>
    <row r="59" spans="1:6" ht="18.95" customHeight="1">
      <c r="A59" s="70">
        <f t="shared" si="4"/>
        <v>43</v>
      </c>
      <c r="B59" s="71" t="s">
        <v>1666</v>
      </c>
      <c r="C59" s="78" t="s">
        <v>1667</v>
      </c>
      <c r="D59" s="130">
        <f t="shared" si="5"/>
        <v>0.956674275012947</v>
      </c>
      <c r="E59" s="362" t="s">
        <v>340</v>
      </c>
      <c r="F59" s="375" t="s">
        <v>2093</v>
      </c>
    </row>
    <row r="60" spans="1:6" ht="18.95" customHeight="1">
      <c r="A60" s="70">
        <f t="shared" si="4"/>
        <v>44</v>
      </c>
      <c r="B60" s="71" t="s">
        <v>1668</v>
      </c>
      <c r="C60" s="78" t="s">
        <v>1669</v>
      </c>
      <c r="D60" s="130">
        <f t="shared" si="5"/>
        <v>0.956674275012947</v>
      </c>
      <c r="E60" s="362" t="s">
        <v>340</v>
      </c>
      <c r="F60" s="375" t="s">
        <v>2093</v>
      </c>
    </row>
    <row r="61" spans="1:6" s="68" customFormat="1" ht="20.100000000000001" customHeight="1">
      <c r="A61" s="809" t="str">
        <f>A$1</f>
        <v>KENTUCKY UTILITIES COMPANY</v>
      </c>
      <c r="B61" s="809"/>
      <c r="C61" s="809"/>
      <c r="D61" s="809"/>
      <c r="E61" s="809"/>
      <c r="F61" s="809"/>
    </row>
    <row r="62" spans="1:6" s="68" customFormat="1" ht="20.100000000000001" customHeight="1">
      <c r="A62" s="809" t="str">
        <f>A$2</f>
        <v>CASE NO. 2020-00349</v>
      </c>
      <c r="B62" s="809"/>
      <c r="C62" s="809"/>
      <c r="D62" s="809"/>
      <c r="E62" s="809"/>
      <c r="F62" s="809"/>
    </row>
    <row r="63" spans="1:6" s="68" customFormat="1" ht="20.100000000000001" customHeight="1">
      <c r="A63" s="809" t="s">
        <v>1451</v>
      </c>
      <c r="B63" s="809"/>
      <c r="C63" s="809"/>
      <c r="D63" s="809"/>
      <c r="E63" s="809"/>
      <c r="F63" s="809"/>
    </row>
    <row r="64" spans="1:6" s="68" customFormat="1" ht="20.100000000000001" customHeight="1">
      <c r="A64" s="808" t="str">
        <f>A$4</f>
        <v>FORECAST PERIOD FOR THE 12 MONTHS ENDED JUNE 30, 2022</v>
      </c>
      <c r="B64" s="809"/>
      <c r="C64" s="809"/>
      <c r="D64" s="809"/>
      <c r="E64" s="809"/>
      <c r="F64" s="809"/>
    </row>
    <row r="65" spans="1:6" s="68" customFormat="1" ht="20.100000000000001" customHeight="1">
      <c r="A65" s="373"/>
      <c r="B65" s="373"/>
      <c r="C65" s="373"/>
      <c r="D65" s="373"/>
      <c r="E65" s="373"/>
      <c r="F65" s="373"/>
    </row>
    <row r="66" spans="1:6" s="68" customFormat="1" ht="20.100000000000001" customHeight="1">
      <c r="A66" s="67" t="str">
        <f>A$6</f>
        <v>DATA:____BASE  PERIOD__X__FORECASTED  PERIOD</v>
      </c>
      <c r="B66" s="67"/>
      <c r="E66" s="374"/>
      <c r="F66" s="74" t="s">
        <v>1450</v>
      </c>
    </row>
    <row r="67" spans="1:6" s="68" customFormat="1" ht="20.100000000000001" customHeight="1">
      <c r="A67" s="67" t="str">
        <f>A$7</f>
        <v>TYPE OF FILING: __X__ ORIGINAL  _____ UPDATED  _____ REVISED</v>
      </c>
      <c r="E67" s="374"/>
      <c r="F67" s="74" t="s">
        <v>2161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4"/>
      <c r="F68" s="75" t="str">
        <f>F$8</f>
        <v>WITNESS:   C. M. GARRETT</v>
      </c>
    </row>
    <row r="69" spans="1:6" s="68" customFormat="1" ht="20.100000000000001" customHeight="1">
      <c r="E69" s="374"/>
    </row>
    <row r="70" spans="1:6" ht="58.5" customHeight="1">
      <c r="A70" s="76" t="s">
        <v>131</v>
      </c>
      <c r="B70" s="76" t="s">
        <v>134</v>
      </c>
      <c r="C70" s="79" t="s">
        <v>2086</v>
      </c>
      <c r="D70" s="76" t="s">
        <v>223</v>
      </c>
      <c r="E70" s="76" t="s">
        <v>2088</v>
      </c>
      <c r="F70" s="76" t="s">
        <v>1449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1670</v>
      </c>
      <c r="C72" s="78" t="s">
        <v>152</v>
      </c>
      <c r="D72" s="130">
        <f t="shared" ref="D72" si="6">D$53</f>
        <v>0.956674275012947</v>
      </c>
      <c r="E72" s="362" t="s">
        <v>340</v>
      </c>
      <c r="F72" s="375" t="s">
        <v>2093</v>
      </c>
    </row>
    <row r="73" spans="1:6" ht="18.95" customHeight="1">
      <c r="A73" s="70">
        <f>A72+1</f>
        <v>46</v>
      </c>
      <c r="B73" s="383" t="s">
        <v>2110</v>
      </c>
      <c r="C73" s="78" t="s">
        <v>2087</v>
      </c>
      <c r="D73" s="130">
        <f>('JURISSEP F'!G$131+'JURISSEP F'!G$132)/('JURISSEP F'!E$131+'JURISSEP F'!E$132)</f>
        <v>0.5637218396749718</v>
      </c>
      <c r="E73" s="362" t="s">
        <v>311</v>
      </c>
      <c r="F73" s="687" t="s">
        <v>2645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2" t="s">
        <v>2095</v>
      </c>
      <c r="D75" s="130"/>
    </row>
    <row r="76" spans="1:6" ht="18.95" customHeight="1">
      <c r="A76" s="70">
        <f>A75+1</f>
        <v>48</v>
      </c>
      <c r="B76" s="71" t="s">
        <v>1657</v>
      </c>
      <c r="C76" s="78" t="s">
        <v>154</v>
      </c>
      <c r="D76" s="130">
        <v>0</v>
      </c>
      <c r="E76" s="362" t="s">
        <v>732</v>
      </c>
      <c r="F76" s="375" t="s">
        <v>2094</v>
      </c>
    </row>
    <row r="77" spans="1:6" ht="18.95" customHeight="1">
      <c r="A77" s="70">
        <f t="shared" si="4"/>
        <v>49</v>
      </c>
      <c r="B77" s="71" t="s">
        <v>1658</v>
      </c>
      <c r="C77" s="78" t="s">
        <v>148</v>
      </c>
      <c r="D77" s="130">
        <v>0</v>
      </c>
      <c r="E77" s="362" t="s">
        <v>732</v>
      </c>
      <c r="F77" s="375" t="s">
        <v>2094</v>
      </c>
    </row>
    <row r="78" spans="1:6" ht="18.95" customHeight="1">
      <c r="A78" s="70">
        <f t="shared" si="4"/>
        <v>50</v>
      </c>
      <c r="B78" s="71" t="s">
        <v>1659</v>
      </c>
      <c r="C78" s="78" t="s">
        <v>149</v>
      </c>
      <c r="D78" s="130">
        <v>0</v>
      </c>
      <c r="E78" s="362" t="s">
        <v>732</v>
      </c>
      <c r="F78" s="375" t="s">
        <v>2094</v>
      </c>
    </row>
    <row r="79" spans="1:6" ht="18.95" customHeight="1">
      <c r="A79" s="70">
        <f t="shared" si="4"/>
        <v>51</v>
      </c>
      <c r="B79" s="71" t="s">
        <v>1660</v>
      </c>
      <c r="C79" s="78" t="s">
        <v>1661</v>
      </c>
      <c r="D79" s="130">
        <v>0</v>
      </c>
      <c r="E79" s="362" t="s">
        <v>732</v>
      </c>
      <c r="F79" s="375" t="s">
        <v>2094</v>
      </c>
    </row>
    <row r="80" spans="1:6" ht="18.95" customHeight="1">
      <c r="A80" s="70">
        <f t="shared" si="4"/>
        <v>52</v>
      </c>
      <c r="B80" s="71" t="s">
        <v>1662</v>
      </c>
      <c r="C80" s="78" t="s">
        <v>1663</v>
      </c>
      <c r="D80" s="130">
        <v>0</v>
      </c>
      <c r="E80" s="362" t="s">
        <v>732</v>
      </c>
      <c r="F80" s="375" t="s">
        <v>2094</v>
      </c>
    </row>
    <row r="81" spans="1:6" ht="18.95" customHeight="1">
      <c r="A81" s="70">
        <f t="shared" si="4"/>
        <v>53</v>
      </c>
      <c r="B81" s="71" t="s">
        <v>1664</v>
      </c>
      <c r="C81" s="78" t="s">
        <v>1665</v>
      </c>
      <c r="D81" s="130">
        <v>0</v>
      </c>
      <c r="E81" s="362" t="s">
        <v>732</v>
      </c>
      <c r="F81" s="375" t="s">
        <v>2094</v>
      </c>
    </row>
    <row r="82" spans="1:6" ht="18.95" customHeight="1">
      <c r="A82" s="70">
        <f>A81+1</f>
        <v>54</v>
      </c>
      <c r="B82" s="383" t="s">
        <v>2111</v>
      </c>
      <c r="C82" s="78" t="s">
        <v>2087</v>
      </c>
      <c r="D82" s="130">
        <v>0</v>
      </c>
      <c r="E82" s="362" t="s">
        <v>732</v>
      </c>
      <c r="F82" s="375" t="s">
        <v>2094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250</v>
      </c>
      <c r="C84" s="381" t="s">
        <v>16</v>
      </c>
      <c r="D84" s="130"/>
    </row>
    <row r="85" spans="1:6" ht="18.95" customHeight="1">
      <c r="A85" s="70">
        <f>A84+1</f>
        <v>48</v>
      </c>
      <c r="C85" s="382" t="s">
        <v>2091</v>
      </c>
      <c r="D85" s="130"/>
    </row>
    <row r="86" spans="1:6" ht="18.95" customHeight="1">
      <c r="A86" s="70">
        <f>A85+1</f>
        <v>49</v>
      </c>
      <c r="B86" s="71" t="s">
        <v>1671</v>
      </c>
      <c r="C86" s="78" t="s">
        <v>154</v>
      </c>
      <c r="D86" s="130">
        <f>'JURISSEP F'!G1187</f>
        <v>0.99900408521798989</v>
      </c>
      <c r="E86" s="362" t="s">
        <v>732</v>
      </c>
      <c r="F86" s="375" t="s">
        <v>2098</v>
      </c>
    </row>
    <row r="87" spans="1:6" ht="18.95" customHeight="1">
      <c r="A87" s="70">
        <f t="shared" si="4"/>
        <v>50</v>
      </c>
      <c r="B87" s="71" t="s">
        <v>1672</v>
      </c>
      <c r="C87" s="78" t="s">
        <v>148</v>
      </c>
      <c r="D87" s="130">
        <f>'JURISSEP F'!G1188</f>
        <v>0.98801677095666574</v>
      </c>
      <c r="E87" s="362" t="s">
        <v>732</v>
      </c>
      <c r="F87" s="375" t="s">
        <v>2098</v>
      </c>
    </row>
    <row r="88" spans="1:6" ht="18.95" customHeight="1">
      <c r="A88" s="70">
        <f t="shared" si="4"/>
        <v>51</v>
      </c>
      <c r="B88" s="71" t="s">
        <v>1673</v>
      </c>
      <c r="C88" s="78" t="s">
        <v>1674</v>
      </c>
      <c r="D88" s="130">
        <f>'JURISSEP F'!G1189</f>
        <v>0.98983138632190681</v>
      </c>
      <c r="E88" s="362" t="s">
        <v>732</v>
      </c>
      <c r="F88" s="375" t="s">
        <v>2098</v>
      </c>
    </row>
    <row r="89" spans="1:6" ht="18.95" customHeight="1">
      <c r="A89" s="70">
        <f t="shared" si="4"/>
        <v>52</v>
      </c>
      <c r="B89" s="71" t="s">
        <v>1675</v>
      </c>
      <c r="C89" s="78" t="s">
        <v>1676</v>
      </c>
      <c r="D89" s="130">
        <f>'JURISSEP F'!G1190</f>
        <v>1</v>
      </c>
      <c r="E89" s="362" t="s">
        <v>732</v>
      </c>
      <c r="F89" s="375" t="s">
        <v>2097</v>
      </c>
    </row>
    <row r="90" spans="1:6" ht="18.95" customHeight="1">
      <c r="A90" s="70">
        <f t="shared" si="4"/>
        <v>53</v>
      </c>
      <c r="B90" s="71" t="s">
        <v>1677</v>
      </c>
      <c r="C90" s="78" t="s">
        <v>1665</v>
      </c>
      <c r="D90" s="130">
        <f>'JURISSEP F'!G1191</f>
        <v>1</v>
      </c>
      <c r="E90" s="362" t="s">
        <v>732</v>
      </c>
      <c r="F90" s="375" t="s">
        <v>2097</v>
      </c>
    </row>
    <row r="91" spans="1:6" ht="18.95" customHeight="1">
      <c r="A91" s="70">
        <f t="shared" si="4"/>
        <v>54</v>
      </c>
      <c r="B91" s="71" t="s">
        <v>1678</v>
      </c>
      <c r="C91" s="78" t="s">
        <v>1667</v>
      </c>
      <c r="D91" s="130">
        <f>'JURISSEP F'!G1192</f>
        <v>1</v>
      </c>
      <c r="E91" s="362" t="s">
        <v>732</v>
      </c>
      <c r="F91" s="375" t="s">
        <v>2097</v>
      </c>
    </row>
    <row r="92" spans="1:6" ht="18.95" customHeight="1">
      <c r="A92" s="70">
        <f t="shared" si="4"/>
        <v>55</v>
      </c>
      <c r="B92" s="71" t="s">
        <v>1679</v>
      </c>
      <c r="C92" s="78" t="s">
        <v>1669</v>
      </c>
      <c r="D92" s="130">
        <f>'JURISSEP F'!G1193</f>
        <v>1</v>
      </c>
      <c r="E92" s="362" t="s">
        <v>732</v>
      </c>
      <c r="F92" s="375" t="s">
        <v>2097</v>
      </c>
    </row>
    <row r="93" spans="1:6" ht="18.95" customHeight="1">
      <c r="A93" s="70">
        <f t="shared" si="4"/>
        <v>56</v>
      </c>
      <c r="B93" s="71" t="s">
        <v>1680</v>
      </c>
      <c r="C93" s="78" t="s">
        <v>1681</v>
      </c>
      <c r="D93" s="130">
        <f>'JURISSEP F'!G171/'JURISSEP F'!E171</f>
        <v>1</v>
      </c>
      <c r="E93" s="362" t="s">
        <v>732</v>
      </c>
      <c r="F93" s="375" t="s">
        <v>2097</v>
      </c>
    </row>
    <row r="94" spans="1:6" ht="18.95" customHeight="1">
      <c r="A94" s="70">
        <f t="shared" si="4"/>
        <v>57</v>
      </c>
      <c r="B94" s="71" t="s">
        <v>1682</v>
      </c>
      <c r="C94" s="78" t="s">
        <v>1683</v>
      </c>
      <c r="D94" s="130">
        <f>'JURISSEP F'!G172/'JURISSEP F'!E172</f>
        <v>1</v>
      </c>
      <c r="E94" s="362" t="s">
        <v>732</v>
      </c>
      <c r="F94" s="375" t="s">
        <v>2097</v>
      </c>
    </row>
    <row r="95" spans="1:6" ht="18.95" customHeight="1">
      <c r="A95" s="70">
        <f>A94+1</f>
        <v>58</v>
      </c>
      <c r="B95" s="71" t="s">
        <v>1684</v>
      </c>
      <c r="C95" s="78" t="s">
        <v>1685</v>
      </c>
      <c r="D95" s="130">
        <f>'JURISSEP F'!G173/'JURISSEP F'!E173</f>
        <v>0.99938720795025537</v>
      </c>
      <c r="E95" s="362" t="s">
        <v>732</v>
      </c>
      <c r="F95" s="375" t="s">
        <v>2098</v>
      </c>
    </row>
    <row r="96" spans="1:6" ht="18.95" customHeight="1">
      <c r="A96" s="70">
        <f t="shared" si="4"/>
        <v>59</v>
      </c>
      <c r="B96" s="71" t="s">
        <v>1686</v>
      </c>
      <c r="C96" s="78" t="s">
        <v>1687</v>
      </c>
      <c r="D96" s="130">
        <f>'JURISSEP F'!G174/'JURISSEP F'!E174</f>
        <v>1</v>
      </c>
      <c r="E96" s="362" t="s">
        <v>732</v>
      </c>
      <c r="F96" s="375" t="s">
        <v>2097</v>
      </c>
    </row>
    <row r="97" spans="1:6" ht="18.95" customHeight="1">
      <c r="A97" s="70">
        <f t="shared" si="4"/>
        <v>60</v>
      </c>
      <c r="B97" s="71" t="s">
        <v>1688</v>
      </c>
      <c r="C97" s="78" t="s">
        <v>1689</v>
      </c>
      <c r="D97" s="130">
        <f>'JURISSEP F'!G175/'JURISSEP F'!E175</f>
        <v>1</v>
      </c>
      <c r="E97" s="362" t="s">
        <v>732</v>
      </c>
      <c r="F97" s="375" t="s">
        <v>2097</v>
      </c>
    </row>
    <row r="98" spans="1:6" ht="18.95" customHeight="1">
      <c r="A98" s="70">
        <f t="shared" si="4"/>
        <v>61</v>
      </c>
      <c r="B98" s="71" t="s">
        <v>1690</v>
      </c>
      <c r="C98" s="78" t="s">
        <v>151</v>
      </c>
      <c r="D98" s="130">
        <f>'JURISSEP F'!G176/'JURISSEP F'!E176</f>
        <v>1</v>
      </c>
      <c r="E98" s="362" t="s">
        <v>732</v>
      </c>
      <c r="F98" s="375" t="s">
        <v>2097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2" t="s">
        <v>2095</v>
      </c>
      <c r="D100" s="130"/>
    </row>
    <row r="101" spans="1:6" ht="18.95" customHeight="1">
      <c r="A101" s="70">
        <f>A100+1</f>
        <v>63</v>
      </c>
      <c r="B101" s="71" t="s">
        <v>1671</v>
      </c>
      <c r="C101" s="78" t="s">
        <v>154</v>
      </c>
      <c r="D101" s="130">
        <v>0</v>
      </c>
      <c r="E101" s="362" t="s">
        <v>732</v>
      </c>
      <c r="F101" s="375" t="s">
        <v>2094</v>
      </c>
    </row>
    <row r="102" spans="1:6" ht="18.95" customHeight="1">
      <c r="A102" s="70">
        <f t="shared" ref="A102:A112" si="7">A101+1</f>
        <v>64</v>
      </c>
      <c r="B102" s="71" t="s">
        <v>1672</v>
      </c>
      <c r="C102" s="78" t="s">
        <v>148</v>
      </c>
      <c r="D102" s="130">
        <v>0</v>
      </c>
      <c r="E102" s="362" t="s">
        <v>732</v>
      </c>
      <c r="F102" s="375" t="s">
        <v>2094</v>
      </c>
    </row>
    <row r="103" spans="1:6" ht="18.95" customHeight="1">
      <c r="A103" s="70">
        <f t="shared" si="7"/>
        <v>65</v>
      </c>
      <c r="B103" s="71" t="s">
        <v>1673</v>
      </c>
      <c r="C103" s="78" t="s">
        <v>1674</v>
      </c>
      <c r="D103" s="130">
        <v>0</v>
      </c>
      <c r="E103" s="362" t="s">
        <v>732</v>
      </c>
      <c r="F103" s="375" t="s">
        <v>2094</v>
      </c>
    </row>
    <row r="104" spans="1:6" ht="18.95" customHeight="1">
      <c r="A104" s="70">
        <f t="shared" si="7"/>
        <v>66</v>
      </c>
      <c r="B104" s="71" t="s">
        <v>1675</v>
      </c>
      <c r="C104" s="78" t="s">
        <v>1676</v>
      </c>
      <c r="D104" s="130">
        <v>0</v>
      </c>
      <c r="E104" s="362" t="s">
        <v>732</v>
      </c>
      <c r="F104" s="375" t="s">
        <v>2094</v>
      </c>
    </row>
    <row r="105" spans="1:6" ht="18.95" customHeight="1">
      <c r="A105" s="70">
        <f t="shared" si="7"/>
        <v>67</v>
      </c>
      <c r="B105" s="71" t="s">
        <v>1677</v>
      </c>
      <c r="C105" s="78" t="s">
        <v>1665</v>
      </c>
      <c r="D105" s="130">
        <v>0</v>
      </c>
      <c r="E105" s="362" t="s">
        <v>732</v>
      </c>
      <c r="F105" s="375" t="s">
        <v>2094</v>
      </c>
    </row>
    <row r="106" spans="1:6" ht="18.95" customHeight="1">
      <c r="A106" s="70">
        <f t="shared" si="7"/>
        <v>68</v>
      </c>
      <c r="B106" s="71" t="s">
        <v>1678</v>
      </c>
      <c r="C106" s="78" t="s">
        <v>1667</v>
      </c>
      <c r="D106" s="130">
        <v>0</v>
      </c>
      <c r="E106" s="362" t="s">
        <v>732</v>
      </c>
      <c r="F106" s="375" t="s">
        <v>2094</v>
      </c>
    </row>
    <row r="107" spans="1:6" ht="18.95" customHeight="1">
      <c r="A107" s="70">
        <f t="shared" si="7"/>
        <v>69</v>
      </c>
      <c r="B107" s="71" t="s">
        <v>1679</v>
      </c>
      <c r="C107" s="78" t="s">
        <v>1669</v>
      </c>
      <c r="D107" s="130">
        <v>0</v>
      </c>
      <c r="E107" s="362" t="s">
        <v>732</v>
      </c>
      <c r="F107" s="375" t="s">
        <v>2094</v>
      </c>
    </row>
    <row r="108" spans="1:6" ht="18.95" customHeight="1">
      <c r="A108" s="70">
        <f t="shared" si="7"/>
        <v>70</v>
      </c>
      <c r="B108" s="71" t="s">
        <v>1680</v>
      </c>
      <c r="C108" s="78" t="s">
        <v>1681</v>
      </c>
      <c r="D108" s="130">
        <v>0</v>
      </c>
      <c r="E108" s="362" t="s">
        <v>732</v>
      </c>
      <c r="F108" s="375" t="s">
        <v>2094</v>
      </c>
    </row>
    <row r="109" spans="1:6" ht="18.95" customHeight="1">
      <c r="A109" s="70">
        <f t="shared" si="7"/>
        <v>71</v>
      </c>
      <c r="B109" s="71" t="s">
        <v>1682</v>
      </c>
      <c r="C109" s="78" t="s">
        <v>1683</v>
      </c>
      <c r="D109" s="130">
        <v>0</v>
      </c>
      <c r="E109" s="362" t="s">
        <v>732</v>
      </c>
      <c r="F109" s="375" t="s">
        <v>2094</v>
      </c>
    </row>
    <row r="110" spans="1:6" ht="18.95" customHeight="1">
      <c r="A110" s="70">
        <f>A109+1</f>
        <v>72</v>
      </c>
      <c r="B110" s="71" t="s">
        <v>1684</v>
      </c>
      <c r="C110" s="78" t="s">
        <v>1685</v>
      </c>
      <c r="D110" s="130">
        <v>0</v>
      </c>
      <c r="E110" s="362" t="s">
        <v>732</v>
      </c>
      <c r="F110" s="375" t="s">
        <v>2094</v>
      </c>
    </row>
    <row r="111" spans="1:6" ht="18.95" customHeight="1">
      <c r="A111" s="70">
        <f t="shared" si="7"/>
        <v>73</v>
      </c>
      <c r="B111" s="71" t="s">
        <v>1686</v>
      </c>
      <c r="C111" s="78" t="s">
        <v>1687</v>
      </c>
      <c r="D111" s="130">
        <v>0</v>
      </c>
      <c r="E111" s="362" t="s">
        <v>732</v>
      </c>
      <c r="F111" s="375" t="s">
        <v>2094</v>
      </c>
    </row>
    <row r="112" spans="1:6" ht="18.95" customHeight="1">
      <c r="A112" s="70">
        <f t="shared" si="7"/>
        <v>74</v>
      </c>
      <c r="B112" s="71" t="s">
        <v>1688</v>
      </c>
      <c r="C112" s="78" t="s">
        <v>1689</v>
      </c>
      <c r="D112" s="130">
        <v>0</v>
      </c>
      <c r="E112" s="362" t="s">
        <v>732</v>
      </c>
      <c r="F112" s="375" t="s">
        <v>2094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2" t="s">
        <v>2096</v>
      </c>
      <c r="D114" s="130"/>
    </row>
    <row r="115" spans="1:6" ht="18.95" customHeight="1">
      <c r="A115" s="70">
        <f>A114+1</f>
        <v>76</v>
      </c>
      <c r="B115" s="71" t="s">
        <v>1671</v>
      </c>
      <c r="C115" s="78" t="s">
        <v>154</v>
      </c>
      <c r="D115" s="130">
        <v>0</v>
      </c>
      <c r="E115" s="362" t="s">
        <v>732</v>
      </c>
      <c r="F115" s="375" t="s">
        <v>2099</v>
      </c>
    </row>
    <row r="116" spans="1:6" ht="18.95" customHeight="1">
      <c r="A116" s="70">
        <f t="shared" ref="A116:A136" si="8">A115+1</f>
        <v>77</v>
      </c>
      <c r="B116" s="71" t="s">
        <v>1672</v>
      </c>
      <c r="C116" s="78" t="s">
        <v>148</v>
      </c>
      <c r="D116" s="130">
        <v>0</v>
      </c>
      <c r="E116" s="362" t="s">
        <v>732</v>
      </c>
      <c r="F116" s="375" t="s">
        <v>2099</v>
      </c>
    </row>
    <row r="117" spans="1:6" ht="18.95" customHeight="1">
      <c r="A117" s="70">
        <f t="shared" si="8"/>
        <v>78</v>
      </c>
      <c r="B117" s="71" t="s">
        <v>1673</v>
      </c>
      <c r="C117" s="78" t="s">
        <v>1674</v>
      </c>
      <c r="D117" s="130">
        <v>0</v>
      </c>
      <c r="E117" s="362" t="s">
        <v>732</v>
      </c>
      <c r="F117" s="375" t="s">
        <v>2099</v>
      </c>
    </row>
    <row r="118" spans="1:6" ht="18.95" customHeight="1">
      <c r="A118" s="70">
        <f t="shared" si="8"/>
        <v>79</v>
      </c>
      <c r="B118" s="71" t="s">
        <v>1675</v>
      </c>
      <c r="C118" s="78" t="s">
        <v>1676</v>
      </c>
      <c r="D118" s="130">
        <v>0</v>
      </c>
      <c r="E118" s="362" t="s">
        <v>732</v>
      </c>
      <c r="F118" s="375" t="s">
        <v>2099</v>
      </c>
    </row>
    <row r="119" spans="1:6" ht="18.95" customHeight="1">
      <c r="A119" s="70">
        <f t="shared" si="8"/>
        <v>80</v>
      </c>
      <c r="B119" s="71" t="s">
        <v>1677</v>
      </c>
      <c r="C119" s="78" t="s">
        <v>1665</v>
      </c>
      <c r="D119" s="130">
        <v>0</v>
      </c>
      <c r="E119" s="362" t="s">
        <v>732</v>
      </c>
      <c r="F119" s="375" t="s">
        <v>2099</v>
      </c>
    </row>
    <row r="120" spans="1:6" ht="18.95" customHeight="1">
      <c r="A120" s="70">
        <f t="shared" si="8"/>
        <v>81</v>
      </c>
      <c r="B120" s="71" t="s">
        <v>1678</v>
      </c>
      <c r="C120" s="78" t="s">
        <v>1667</v>
      </c>
      <c r="D120" s="130">
        <v>0</v>
      </c>
      <c r="E120" s="362" t="s">
        <v>732</v>
      </c>
      <c r="F120" s="375" t="s">
        <v>2099</v>
      </c>
    </row>
    <row r="121" spans="1:6" ht="18.95" customHeight="1">
      <c r="A121" s="70">
        <f t="shared" si="8"/>
        <v>82</v>
      </c>
      <c r="B121" s="71" t="s">
        <v>1679</v>
      </c>
      <c r="C121" s="78" t="s">
        <v>1669</v>
      </c>
      <c r="D121" s="130">
        <v>0</v>
      </c>
      <c r="E121" s="362" t="s">
        <v>732</v>
      </c>
      <c r="F121" s="375" t="s">
        <v>2099</v>
      </c>
    </row>
    <row r="122" spans="1:6" s="68" customFormat="1" ht="20.100000000000001" customHeight="1">
      <c r="A122" s="809" t="str">
        <f>A$1</f>
        <v>KENTUCKY UTILITIES COMPANY</v>
      </c>
      <c r="B122" s="809"/>
      <c r="C122" s="809"/>
      <c r="D122" s="809"/>
      <c r="E122" s="809"/>
      <c r="F122" s="809"/>
    </row>
    <row r="123" spans="1:6" s="68" customFormat="1" ht="20.100000000000001" customHeight="1">
      <c r="A123" s="809" t="str">
        <f>A$2</f>
        <v>CASE NO. 2020-00349</v>
      </c>
      <c r="B123" s="809"/>
      <c r="C123" s="809"/>
      <c r="D123" s="809"/>
      <c r="E123" s="809"/>
      <c r="F123" s="809"/>
    </row>
    <row r="124" spans="1:6" s="68" customFormat="1" ht="20.100000000000001" customHeight="1">
      <c r="A124" s="809" t="s">
        <v>1451</v>
      </c>
      <c r="B124" s="809"/>
      <c r="C124" s="809"/>
      <c r="D124" s="809"/>
      <c r="E124" s="809"/>
      <c r="F124" s="809"/>
    </row>
    <row r="125" spans="1:6" s="68" customFormat="1" ht="20.100000000000001" customHeight="1">
      <c r="A125" s="808" t="str">
        <f>A$4</f>
        <v>FORECAST PERIOD FOR THE 12 MONTHS ENDED JUNE 30, 2022</v>
      </c>
      <c r="B125" s="809"/>
      <c r="C125" s="809"/>
      <c r="D125" s="809"/>
      <c r="E125" s="809"/>
      <c r="F125" s="809"/>
    </row>
    <row r="126" spans="1:6" s="68" customFormat="1" ht="20.100000000000001" customHeight="1">
      <c r="A126" s="373"/>
      <c r="B126" s="373"/>
      <c r="C126" s="373"/>
      <c r="D126" s="373"/>
      <c r="E126" s="373"/>
      <c r="F126" s="373"/>
    </row>
    <row r="127" spans="1:6" s="68" customFormat="1" ht="20.100000000000001" customHeight="1">
      <c r="A127" s="67" t="str">
        <f>A$6</f>
        <v>DATA:____BASE  PERIOD__X__FORECASTED  PERIOD</v>
      </c>
      <c r="B127" s="67"/>
      <c r="E127" s="374"/>
      <c r="F127" s="74" t="s">
        <v>1450</v>
      </c>
    </row>
    <row r="128" spans="1:6" s="68" customFormat="1" ht="20.100000000000001" customHeight="1">
      <c r="A128" s="67" t="str">
        <f>A$7</f>
        <v>TYPE OF FILING: __X__ ORIGINAL  _____ UPDATED  _____ REVISED</v>
      </c>
      <c r="E128" s="374"/>
      <c r="F128" s="74" t="s">
        <v>2163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4"/>
      <c r="F129" s="75" t="str">
        <f>F$8</f>
        <v>WITNESS:   C. M. GARRETT</v>
      </c>
    </row>
    <row r="130" spans="1:6" s="68" customFormat="1" ht="20.100000000000001" customHeight="1">
      <c r="E130" s="374"/>
    </row>
    <row r="131" spans="1:6" ht="58.5" customHeight="1">
      <c r="A131" s="76" t="s">
        <v>131</v>
      </c>
      <c r="B131" s="76" t="s">
        <v>134</v>
      </c>
      <c r="C131" s="79" t="s">
        <v>2086</v>
      </c>
      <c r="D131" s="76" t="s">
        <v>223</v>
      </c>
      <c r="E131" s="76" t="s">
        <v>2088</v>
      </c>
      <c r="F131" s="76" t="s">
        <v>1449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1680</v>
      </c>
      <c r="C133" s="78" t="s">
        <v>1681</v>
      </c>
      <c r="D133" s="130">
        <v>0</v>
      </c>
      <c r="E133" s="362" t="s">
        <v>732</v>
      </c>
      <c r="F133" s="375" t="s">
        <v>2099</v>
      </c>
    </row>
    <row r="134" spans="1:6" ht="18.95" customHeight="1">
      <c r="A134" s="70">
        <f t="shared" si="8"/>
        <v>84</v>
      </c>
      <c r="B134" s="71" t="s">
        <v>1682</v>
      </c>
      <c r="C134" s="78" t="s">
        <v>1683</v>
      </c>
      <c r="D134" s="130">
        <v>0</v>
      </c>
      <c r="E134" s="362" t="s">
        <v>732</v>
      </c>
      <c r="F134" s="375" t="s">
        <v>2099</v>
      </c>
    </row>
    <row r="135" spans="1:6" ht="18.95" customHeight="1">
      <c r="A135" s="70">
        <f>A134+1</f>
        <v>85</v>
      </c>
      <c r="B135" s="71" t="s">
        <v>1684</v>
      </c>
      <c r="C135" s="78" t="s">
        <v>1685</v>
      </c>
      <c r="D135" s="130">
        <v>0</v>
      </c>
      <c r="E135" s="362" t="s">
        <v>732</v>
      </c>
      <c r="F135" s="375" t="s">
        <v>2099</v>
      </c>
    </row>
    <row r="136" spans="1:6" ht="18.95" customHeight="1">
      <c r="A136" s="70">
        <f t="shared" si="8"/>
        <v>86</v>
      </c>
      <c r="B136" s="71" t="s">
        <v>1686</v>
      </c>
      <c r="C136" s="78" t="s">
        <v>1687</v>
      </c>
      <c r="D136" s="130">
        <v>0</v>
      </c>
      <c r="E136" s="362" t="s">
        <v>732</v>
      </c>
      <c r="F136" s="375" t="s">
        <v>2099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1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1692</v>
      </c>
      <c r="C139" s="78" t="s">
        <v>154</v>
      </c>
      <c r="D139" s="130">
        <f>'JURISSEP F'!G213/'JURISSEP F'!E213</f>
        <v>0.94097187891892597</v>
      </c>
      <c r="E139" s="362" t="s">
        <v>418</v>
      </c>
      <c r="F139" s="375" t="s">
        <v>2102</v>
      </c>
    </row>
    <row r="140" spans="1:6" ht="18.95" customHeight="1">
      <c r="A140" s="70">
        <f t="shared" si="9"/>
        <v>89</v>
      </c>
      <c r="B140" s="71" t="s">
        <v>1693</v>
      </c>
      <c r="C140" s="78" t="s">
        <v>148</v>
      </c>
      <c r="D140" s="130">
        <f>'JURISSEP F'!G214/'JURISSEP F'!E214</f>
        <v>0.9409718789189262</v>
      </c>
      <c r="E140" s="362" t="s">
        <v>418</v>
      </c>
      <c r="F140" s="375" t="s">
        <v>2102</v>
      </c>
    </row>
    <row r="141" spans="1:6" ht="18.95" customHeight="1">
      <c r="A141" s="70">
        <f t="shared" si="9"/>
        <v>90</v>
      </c>
      <c r="B141" s="71" t="s">
        <v>1694</v>
      </c>
      <c r="C141" s="78" t="s">
        <v>156</v>
      </c>
      <c r="D141" s="130">
        <f>'JURISSEP F'!G215/'JURISSEP F'!E215</f>
        <v>0.94097187891892597</v>
      </c>
      <c r="E141" s="362" t="s">
        <v>418</v>
      </c>
      <c r="F141" s="375" t="s">
        <v>2102</v>
      </c>
    </row>
    <row r="142" spans="1:6" ht="18.95" customHeight="1">
      <c r="A142" s="70">
        <f t="shared" si="9"/>
        <v>91</v>
      </c>
      <c r="B142" s="71" t="s">
        <v>1695</v>
      </c>
      <c r="C142" s="78" t="s">
        <v>155</v>
      </c>
      <c r="D142" s="130">
        <f>'JURISSEP F'!G216/'JURISSEP F'!E216</f>
        <v>0.94097187891892597</v>
      </c>
      <c r="E142" s="362" t="s">
        <v>418</v>
      </c>
      <c r="F142" s="375" t="s">
        <v>2102</v>
      </c>
    </row>
    <row r="143" spans="1:6" ht="18.95" customHeight="1">
      <c r="A143" s="70">
        <f t="shared" si="9"/>
        <v>92</v>
      </c>
      <c r="B143" s="71" t="s">
        <v>1696</v>
      </c>
      <c r="C143" s="78" t="s">
        <v>1697</v>
      </c>
      <c r="D143" s="130">
        <f>'JURISSEP F'!G217/'JURISSEP F'!E217</f>
        <v>0.94097187891892597</v>
      </c>
      <c r="E143" s="362" t="s">
        <v>418</v>
      </c>
      <c r="F143" s="375" t="s">
        <v>2102</v>
      </c>
    </row>
    <row r="144" spans="1:6" ht="18.95" customHeight="1">
      <c r="A144" s="70">
        <f t="shared" si="9"/>
        <v>93</v>
      </c>
      <c r="B144" s="71" t="s">
        <v>1698</v>
      </c>
      <c r="C144" s="78" t="s">
        <v>1699</v>
      </c>
      <c r="D144" s="130">
        <f>'JURISSEP F'!G218/'JURISSEP F'!E218</f>
        <v>0.94097187891892597</v>
      </c>
      <c r="E144" s="362" t="s">
        <v>418</v>
      </c>
      <c r="F144" s="375" t="s">
        <v>2102</v>
      </c>
    </row>
    <row r="145" spans="1:6" ht="18.95" customHeight="1">
      <c r="A145" s="70">
        <f t="shared" si="9"/>
        <v>94</v>
      </c>
      <c r="B145" s="71" t="s">
        <v>1700</v>
      </c>
      <c r="C145" s="78" t="s">
        <v>1701</v>
      </c>
      <c r="D145" s="130">
        <f>D139</f>
        <v>0.94097187891892597</v>
      </c>
      <c r="E145" s="362" t="s">
        <v>418</v>
      </c>
      <c r="F145" s="375" t="s">
        <v>2102</v>
      </c>
    </row>
    <row r="146" spans="1:6" ht="18.95" customHeight="1">
      <c r="A146" s="70">
        <f>A145+1</f>
        <v>95</v>
      </c>
      <c r="B146" s="71" t="s">
        <v>1702</v>
      </c>
      <c r="C146" s="78" t="s">
        <v>1703</v>
      </c>
      <c r="D146" s="130">
        <f>'JURISSEP F'!G220/'JURISSEP F'!E220</f>
        <v>0.94097187891892597</v>
      </c>
      <c r="E146" s="362" t="s">
        <v>418</v>
      </c>
      <c r="F146" s="375" t="s">
        <v>2102</v>
      </c>
    </row>
    <row r="147" spans="1:6" ht="18.95" customHeight="1">
      <c r="A147" s="70">
        <f t="shared" si="9"/>
        <v>96</v>
      </c>
      <c r="B147" s="71" t="s">
        <v>1704</v>
      </c>
      <c r="C147" s="78" t="s">
        <v>157</v>
      </c>
      <c r="D147" s="130">
        <f>'JURISSEP F'!G224/'JURISSEP F'!E224</f>
        <v>0.94681283582333309</v>
      </c>
      <c r="E147" s="362" t="s">
        <v>2103</v>
      </c>
      <c r="F147" s="375" t="s">
        <v>2104</v>
      </c>
    </row>
    <row r="148" spans="1:6" ht="18.95" customHeight="1">
      <c r="A148" s="70">
        <f>A147+1</f>
        <v>97</v>
      </c>
      <c r="B148" s="71" t="s">
        <v>1705</v>
      </c>
      <c r="C148" s="78" t="s">
        <v>1706</v>
      </c>
      <c r="D148" s="130">
        <f>D139</f>
        <v>0.94097187891892597</v>
      </c>
      <c r="E148" s="362" t="s">
        <v>418</v>
      </c>
      <c r="F148" s="375" t="s">
        <v>2102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1197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1618</v>
      </c>
      <c r="D151" s="130">
        <f>'JURISSEP F'!G275/'JURISSEP F'!E275</f>
        <v>1</v>
      </c>
      <c r="E151" s="362"/>
      <c r="F151" s="375" t="s">
        <v>2105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1620</v>
      </c>
      <c r="D152" s="130">
        <f>'JURISSEP F'!G276/'JURISSEP F'!E276</f>
        <v>0.93467512424058485</v>
      </c>
      <c r="E152" s="362"/>
      <c r="F152" s="375" t="s">
        <v>2106</v>
      </c>
    </row>
    <row r="153" spans="1:6" ht="18.95" customHeight="1">
      <c r="A153" s="70">
        <f>A152+1</f>
        <v>101</v>
      </c>
      <c r="B153" s="383" t="s">
        <v>2112</v>
      </c>
      <c r="C153" s="384" t="s">
        <v>72</v>
      </c>
      <c r="D153" s="130">
        <f>'JURISSEP F'!G$1274</f>
        <v>0.93811298816770394</v>
      </c>
      <c r="E153" s="362" t="s">
        <v>443</v>
      </c>
      <c r="F153" s="375" t="s">
        <v>2113</v>
      </c>
    </row>
    <row r="154" spans="1:6" ht="18.95" customHeight="1">
      <c r="A154" s="70">
        <f>A153+1</f>
        <v>102</v>
      </c>
      <c r="B154" s="383" t="s">
        <v>2115</v>
      </c>
      <c r="C154" s="384" t="s">
        <v>47</v>
      </c>
      <c r="D154" s="130">
        <f>'JURISSEP F'!G1275</f>
        <v>0.93811298816770405</v>
      </c>
      <c r="E154" s="362" t="s">
        <v>448</v>
      </c>
      <c r="F154" s="375" t="s">
        <v>2116</v>
      </c>
    </row>
    <row r="155" spans="1:6" ht="18.95" customHeight="1">
      <c r="A155" s="70">
        <f>A154+1</f>
        <v>103</v>
      </c>
      <c r="B155" s="383" t="s">
        <v>2118</v>
      </c>
      <c r="C155" s="384" t="s">
        <v>61</v>
      </c>
      <c r="D155" s="130">
        <f>'JURISSEP F'!G1276</f>
        <v>0.93829092026579541</v>
      </c>
      <c r="E155" s="362" t="s">
        <v>451</v>
      </c>
      <c r="F155" s="375" t="s">
        <v>2117</v>
      </c>
    </row>
    <row r="156" spans="1:6" ht="18.95" customHeight="1">
      <c r="A156" s="70">
        <f t="shared" ref="A156:A159" si="11">A155+1</f>
        <v>104</v>
      </c>
      <c r="B156" s="383" t="s">
        <v>2121</v>
      </c>
      <c r="C156" s="384" t="s">
        <v>2119</v>
      </c>
      <c r="D156" s="130">
        <f>'JURISSEP F'!G1277</f>
        <v>0.95541806479663316</v>
      </c>
      <c r="E156" s="362" t="s">
        <v>1003</v>
      </c>
      <c r="F156" s="375" t="s">
        <v>2123</v>
      </c>
    </row>
    <row r="157" spans="1:6" ht="18.95" customHeight="1">
      <c r="A157" s="70">
        <f t="shared" si="11"/>
        <v>105</v>
      </c>
      <c r="B157" s="383" t="s">
        <v>2122</v>
      </c>
      <c r="C157" s="384" t="s">
        <v>2120</v>
      </c>
      <c r="D157" s="130">
        <f>'JURISSEP F'!G1297</f>
        <v>8.013452375818407E-2</v>
      </c>
      <c r="E157" s="362" t="s">
        <v>458</v>
      </c>
      <c r="F157" s="375" t="s">
        <v>2141</v>
      </c>
    </row>
    <row r="158" spans="1:6" ht="18.95" customHeight="1">
      <c r="A158" s="70">
        <f t="shared" si="11"/>
        <v>106</v>
      </c>
      <c r="B158" s="383" t="s">
        <v>2127</v>
      </c>
      <c r="C158" s="384" t="s">
        <v>2125</v>
      </c>
      <c r="D158" s="130">
        <f>'JURISSEP F'!G270/'JURISSEP F'!E270</f>
        <v>0.99838664753834283</v>
      </c>
      <c r="E158" s="362" t="s">
        <v>2128</v>
      </c>
      <c r="F158" s="375" t="s">
        <v>2129</v>
      </c>
    </row>
    <row r="159" spans="1:6" ht="18.95" customHeight="1">
      <c r="A159" s="70">
        <f t="shared" si="11"/>
        <v>107</v>
      </c>
      <c r="B159" s="383" t="s">
        <v>2126</v>
      </c>
      <c r="C159" s="384" t="s">
        <v>2124</v>
      </c>
      <c r="D159" s="130">
        <v>0</v>
      </c>
      <c r="E159" s="362" t="s">
        <v>463</v>
      </c>
      <c r="F159" s="375" t="s">
        <v>2130</v>
      </c>
    </row>
    <row r="160" spans="1:6" ht="18.95" customHeight="1">
      <c r="A160" s="70">
        <f>A159+1</f>
        <v>108</v>
      </c>
      <c r="B160" s="383" t="s">
        <v>2131</v>
      </c>
      <c r="C160" s="384" t="s">
        <v>2132</v>
      </c>
      <c r="D160" s="130">
        <f>'JURISSEP F'!G273/'JURISSEP F'!E273</f>
        <v>0.94265467008784742</v>
      </c>
      <c r="E160" s="362" t="s">
        <v>467</v>
      </c>
      <c r="F160" s="375" t="s">
        <v>2133</v>
      </c>
    </row>
    <row r="161" spans="1:6" ht="18.95" customHeight="1">
      <c r="A161" s="70">
        <f>A160+1</f>
        <v>109</v>
      </c>
      <c r="B161" s="383" t="s">
        <v>2114</v>
      </c>
      <c r="C161" s="78" t="s">
        <v>2087</v>
      </c>
      <c r="D161" s="130">
        <f>SUM('JURISSEP F'!G244,'JURISSEP F'!G245,'JURISSEP F'!G250,'JURISSEP F'!G251,'JURISSEP F'!G256,'JURISSEP F'!G257,'JURISSEP F'!G265,'JURISSEP F'!G266)/SUM('JURISSEP F'!E244,'JURISSEP F'!E245,'JURISSEP F'!E250,'JURISSEP F'!E251,'JURISSEP F'!E256,'JURISSEP F'!E257,'JURISSEP F'!E265,'JURISSEP F'!E266)</f>
        <v>0.56487244616125365</v>
      </c>
      <c r="E161" s="362" t="s">
        <v>311</v>
      </c>
      <c r="F161" s="687" t="s">
        <v>2645</v>
      </c>
    </row>
    <row r="162" spans="1:6" ht="18.95" customHeight="1">
      <c r="A162" s="70"/>
      <c r="B162" s="383"/>
      <c r="C162" s="384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475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2138</v>
      </c>
      <c r="C164" s="78" t="s">
        <v>2134</v>
      </c>
      <c r="D164" s="130">
        <f>'JURISSEP F'!G1285</f>
        <v>0.93814212321985047</v>
      </c>
      <c r="E164" s="362" t="s">
        <v>477</v>
      </c>
      <c r="F164" s="375" t="s">
        <v>2136</v>
      </c>
    </row>
    <row r="165" spans="1:6" ht="18.95" customHeight="1">
      <c r="A165" s="70">
        <f t="shared" ref="A165:A170" si="12">A164+1</f>
        <v>112</v>
      </c>
      <c r="B165" s="383" t="s">
        <v>2121</v>
      </c>
      <c r="C165" s="384" t="s">
        <v>2119</v>
      </c>
      <c r="D165" s="130">
        <f>'JURISSEP F'!G$1369</f>
        <v>0.95638533437416107</v>
      </c>
      <c r="E165" s="362" t="s">
        <v>456</v>
      </c>
      <c r="F165" s="375" t="s">
        <v>2123</v>
      </c>
    </row>
    <row r="166" spans="1:6" ht="18.95" customHeight="1">
      <c r="A166" s="70">
        <f t="shared" si="12"/>
        <v>113</v>
      </c>
      <c r="B166" s="383" t="s">
        <v>2122</v>
      </c>
      <c r="C166" s="384" t="s">
        <v>2120</v>
      </c>
      <c r="D166" s="130">
        <v>0</v>
      </c>
      <c r="E166" s="362" t="s">
        <v>483</v>
      </c>
      <c r="F166" s="375" t="s">
        <v>2140</v>
      </c>
    </row>
    <row r="167" spans="1:6" ht="18.95" customHeight="1">
      <c r="A167" s="70">
        <f t="shared" si="12"/>
        <v>114</v>
      </c>
      <c r="B167" s="383" t="s">
        <v>2127</v>
      </c>
      <c r="C167" s="384" t="s">
        <v>2125</v>
      </c>
      <c r="D167" s="130">
        <f>'JURISSEP F'!G1300</f>
        <v>1</v>
      </c>
      <c r="E167" s="362" t="s">
        <v>488</v>
      </c>
      <c r="F167" s="375" t="s">
        <v>2139</v>
      </c>
    </row>
    <row r="168" spans="1:6" ht="18.95" customHeight="1">
      <c r="A168" s="70">
        <f t="shared" si="12"/>
        <v>115</v>
      </c>
      <c r="B168" s="383" t="s">
        <v>2126</v>
      </c>
      <c r="C168" s="384" t="s">
        <v>2124</v>
      </c>
      <c r="D168" s="130">
        <v>0</v>
      </c>
      <c r="E168" s="362" t="s">
        <v>486</v>
      </c>
      <c r="F168" s="375" t="s">
        <v>2137</v>
      </c>
    </row>
    <row r="169" spans="1:6" ht="18.95" customHeight="1">
      <c r="A169" s="70">
        <f t="shared" si="12"/>
        <v>116</v>
      </c>
      <c r="B169" s="383" t="s">
        <v>2131</v>
      </c>
      <c r="C169" s="384" t="s">
        <v>2132</v>
      </c>
      <c r="D169" s="130">
        <f>'JURISSEP F'!G1282</f>
        <v>0.94265467008784731</v>
      </c>
      <c r="E169" s="362" t="s">
        <v>467</v>
      </c>
      <c r="F169" s="375" t="s">
        <v>2133</v>
      </c>
    </row>
    <row r="170" spans="1:6" ht="18.95" customHeight="1">
      <c r="A170" s="70">
        <f t="shared" si="12"/>
        <v>117</v>
      </c>
      <c r="B170" s="71" t="s">
        <v>2114</v>
      </c>
      <c r="C170" s="78" t="s">
        <v>2087</v>
      </c>
      <c r="D170" s="130">
        <f>('JURISSEP F'!G$290)/('JURISSEP F'!E$290)</f>
        <v>0.77161431863697205</v>
      </c>
      <c r="E170" s="362" t="s">
        <v>311</v>
      </c>
      <c r="F170" s="687" t="s">
        <v>2645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491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2142</v>
      </c>
      <c r="D173" s="130">
        <f>'JURISSEP F'!G1235</f>
        <v>0.94182569268505678</v>
      </c>
      <c r="E173" s="362" t="s">
        <v>494</v>
      </c>
      <c r="F173" s="375" t="s">
        <v>2143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2144</v>
      </c>
      <c r="D174" s="130">
        <f>'JURISSEP F'!G$1289</f>
        <v>0.92839621923138316</v>
      </c>
      <c r="E174" s="362" t="s">
        <v>2145</v>
      </c>
      <c r="F174" s="375" t="s">
        <v>2146</v>
      </c>
    </row>
    <row r="175" spans="1:6" ht="18.95" customHeight="1">
      <c r="A175" s="70">
        <f t="shared" si="13"/>
        <v>121</v>
      </c>
      <c r="B175" s="71">
        <v>158</v>
      </c>
      <c r="C175" s="78" t="s">
        <v>2147</v>
      </c>
      <c r="D175" s="130">
        <f t="shared" ref="D175" si="14">D$19</f>
        <v>0.93811298816770394</v>
      </c>
      <c r="E175" s="362" t="s">
        <v>303</v>
      </c>
      <c r="F175" s="375" t="s">
        <v>2092</v>
      </c>
    </row>
    <row r="176" spans="1:6" ht="18.95" customHeight="1">
      <c r="A176" s="70">
        <f t="shared" si="13"/>
        <v>122</v>
      </c>
      <c r="B176" s="71">
        <v>163</v>
      </c>
      <c r="C176" s="78" t="s">
        <v>2148</v>
      </c>
      <c r="D176" s="130">
        <f>'JURISSEP F'!G$1289</f>
        <v>0.92839621923138316</v>
      </c>
      <c r="E176" s="362" t="s">
        <v>2149</v>
      </c>
      <c r="F176" s="375" t="s">
        <v>2150</v>
      </c>
    </row>
    <row r="177" spans="1:6" ht="18.95" customHeight="1">
      <c r="A177" s="70">
        <f t="shared" si="13"/>
        <v>123</v>
      </c>
      <c r="B177" s="71">
        <v>165</v>
      </c>
      <c r="C177" s="78" t="s">
        <v>1517</v>
      </c>
      <c r="D177" s="130">
        <f>'JURISSEP F'!G1290</f>
        <v>0.93689378769499676</v>
      </c>
      <c r="E177" s="362" t="s">
        <v>2151</v>
      </c>
      <c r="F177" s="375" t="s">
        <v>2152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3.75" customHeight="1">
      <c r="A179" s="70">
        <f>A177+1</f>
        <v>124</v>
      </c>
      <c r="B179" s="71"/>
      <c r="C179" s="380" t="s">
        <v>2250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1448</v>
      </c>
      <c r="C180" s="78" t="s">
        <v>2134</v>
      </c>
      <c r="D180" s="130">
        <f>D164</f>
        <v>0.93814212321985047</v>
      </c>
      <c r="E180" s="362" t="s">
        <v>477</v>
      </c>
      <c r="F180" s="375" t="s">
        <v>2136</v>
      </c>
    </row>
    <row r="181" spans="1:6" ht="18.95" customHeight="1">
      <c r="A181" s="70">
        <f t="shared" ref="A181:A197" si="15">A180+1</f>
        <v>126</v>
      </c>
      <c r="B181" s="70" t="s">
        <v>1448</v>
      </c>
      <c r="C181" s="384" t="s">
        <v>2119</v>
      </c>
      <c r="D181" s="130">
        <f>D165</f>
        <v>0.95638533437416107</v>
      </c>
      <c r="E181" s="362" t="s">
        <v>456</v>
      </c>
      <c r="F181" s="375" t="s">
        <v>2123</v>
      </c>
    </row>
    <row r="182" spans="1:6" ht="18.95" customHeight="1">
      <c r="A182" s="70">
        <f t="shared" si="15"/>
        <v>127</v>
      </c>
      <c r="B182" s="70" t="s">
        <v>1448</v>
      </c>
      <c r="C182" s="384" t="s">
        <v>2120</v>
      </c>
      <c r="D182" s="130">
        <v>0</v>
      </c>
      <c r="E182" s="362" t="s">
        <v>483</v>
      </c>
      <c r="F182" s="375" t="s">
        <v>2140</v>
      </c>
    </row>
    <row r="183" spans="1:6" s="68" customFormat="1" ht="20.100000000000001" customHeight="1">
      <c r="A183" s="809" t="str">
        <f>A$1</f>
        <v>KENTUCKY UTILITIES COMPANY</v>
      </c>
      <c r="B183" s="809"/>
      <c r="C183" s="809"/>
      <c r="D183" s="809"/>
      <c r="E183" s="809"/>
      <c r="F183" s="809"/>
    </row>
    <row r="184" spans="1:6" s="68" customFormat="1" ht="20.100000000000001" customHeight="1">
      <c r="A184" s="809" t="str">
        <f>A$2</f>
        <v>CASE NO. 2020-00349</v>
      </c>
      <c r="B184" s="809"/>
      <c r="C184" s="809"/>
      <c r="D184" s="809"/>
      <c r="E184" s="809"/>
      <c r="F184" s="809"/>
    </row>
    <row r="185" spans="1:6" s="68" customFormat="1" ht="20.100000000000001" customHeight="1">
      <c r="A185" s="809" t="s">
        <v>1451</v>
      </c>
      <c r="B185" s="809"/>
      <c r="C185" s="809"/>
      <c r="D185" s="809"/>
      <c r="E185" s="809"/>
      <c r="F185" s="809"/>
    </row>
    <row r="186" spans="1:6" s="68" customFormat="1" ht="20.100000000000001" customHeight="1">
      <c r="A186" s="808" t="str">
        <f>A$4</f>
        <v>FORECAST PERIOD FOR THE 12 MONTHS ENDED JUNE 30, 2022</v>
      </c>
      <c r="B186" s="809"/>
      <c r="C186" s="809"/>
      <c r="D186" s="809"/>
      <c r="E186" s="809"/>
      <c r="F186" s="809"/>
    </row>
    <row r="187" spans="1:6" s="68" customFormat="1" ht="20.100000000000001" customHeight="1">
      <c r="A187" s="373"/>
      <c r="B187" s="373"/>
      <c r="C187" s="373"/>
      <c r="D187" s="373"/>
      <c r="E187" s="373"/>
      <c r="F187" s="373"/>
    </row>
    <row r="188" spans="1:6" s="68" customFormat="1" ht="20.100000000000001" customHeight="1">
      <c r="A188" s="67" t="str">
        <f>A$6</f>
        <v>DATA:____BASE  PERIOD__X__FORECASTED  PERIOD</v>
      </c>
      <c r="B188" s="67"/>
      <c r="E188" s="374"/>
      <c r="F188" s="74" t="s">
        <v>1450</v>
      </c>
    </row>
    <row r="189" spans="1:6" s="68" customFormat="1" ht="20.100000000000001" customHeight="1">
      <c r="A189" s="67" t="str">
        <f>A$7</f>
        <v>TYPE OF FILING: __X__ ORIGINAL  _____ UPDATED  _____ REVISED</v>
      </c>
      <c r="E189" s="374"/>
      <c r="F189" s="74" t="s">
        <v>2164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4"/>
      <c r="F190" s="75" t="str">
        <f>F$8</f>
        <v>WITNESS:   C. M. GARRETT</v>
      </c>
    </row>
    <row r="191" spans="1:6" s="68" customFormat="1" ht="20.100000000000001" customHeight="1">
      <c r="E191" s="374"/>
    </row>
    <row r="192" spans="1:6" ht="58.5" customHeight="1">
      <c r="A192" s="76" t="s">
        <v>131</v>
      </c>
      <c r="B192" s="76" t="s">
        <v>134</v>
      </c>
      <c r="C192" s="79" t="s">
        <v>2086</v>
      </c>
      <c r="D192" s="76" t="s">
        <v>223</v>
      </c>
      <c r="E192" s="76" t="s">
        <v>2088</v>
      </c>
      <c r="F192" s="76" t="s">
        <v>1449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1448</v>
      </c>
      <c r="C194" s="384" t="s">
        <v>2154</v>
      </c>
      <c r="D194" s="130">
        <f>D167</f>
        <v>1</v>
      </c>
      <c r="E194" s="362" t="s">
        <v>488</v>
      </c>
      <c r="F194" s="375" t="s">
        <v>2139</v>
      </c>
    </row>
    <row r="195" spans="1:6" ht="18.95" customHeight="1">
      <c r="A195" s="70">
        <f t="shared" si="15"/>
        <v>129</v>
      </c>
      <c r="B195" s="70" t="s">
        <v>1448</v>
      </c>
      <c r="C195" s="384" t="s">
        <v>2153</v>
      </c>
      <c r="D195" s="130">
        <v>0</v>
      </c>
      <c r="E195" s="362" t="s">
        <v>486</v>
      </c>
      <c r="F195" s="375" t="s">
        <v>2155</v>
      </c>
    </row>
    <row r="196" spans="1:6" ht="18.95" customHeight="1">
      <c r="A196" s="70">
        <f t="shared" si="15"/>
        <v>130</v>
      </c>
      <c r="B196" s="70" t="s">
        <v>1448</v>
      </c>
      <c r="C196" s="384" t="s">
        <v>2132</v>
      </c>
      <c r="D196" s="130">
        <f>D169</f>
        <v>0.94265467008784731</v>
      </c>
      <c r="E196" s="362" t="s">
        <v>467</v>
      </c>
      <c r="F196" s="375" t="s">
        <v>2133</v>
      </c>
    </row>
    <row r="197" spans="1:6" ht="18.95" customHeight="1">
      <c r="A197" s="70">
        <f t="shared" si="15"/>
        <v>131</v>
      </c>
      <c r="B197" s="70" t="s">
        <v>1448</v>
      </c>
      <c r="C197" s="78" t="s">
        <v>2087</v>
      </c>
      <c r="D197" s="130">
        <f>SUM('JURISSEP F'!G348,'JURISSEP F'!G349,'JURISSEP F'!G356,'JURISSEP F'!G357)/SUM('JURISSEP F'!E348,'JURISSEP F'!E349,'JURISSEP F'!E356,'JURISSEP F'!E357)</f>
        <v>0.76223440866470571</v>
      </c>
      <c r="E197" s="362" t="s">
        <v>311</v>
      </c>
      <c r="F197" s="687" t="s">
        <v>2645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1188</v>
      </c>
      <c r="D199" s="130">
        <f>'JURISSEP F'!G1246</f>
        <v>0.99560637798336138</v>
      </c>
      <c r="E199" s="362" t="s">
        <v>536</v>
      </c>
      <c r="F199" s="375" t="s">
        <v>2156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1438</v>
      </c>
      <c r="D201" s="130">
        <f>'JURISSEP F'!G1286</f>
        <v>0.93748750083276411</v>
      </c>
      <c r="E201" s="362" t="s">
        <v>497</v>
      </c>
      <c r="F201" s="375" t="s">
        <v>2135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2245</v>
      </c>
      <c r="C203" s="78" t="s">
        <v>2249</v>
      </c>
      <c r="D203" s="130">
        <f t="shared" ref="D203" si="16">D$19</f>
        <v>0.93811298816770394</v>
      </c>
      <c r="E203" s="362" t="s">
        <v>443</v>
      </c>
      <c r="F203" s="375" t="s">
        <v>2113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>
      <c r="D260" s="130"/>
    </row>
    <row r="261" spans="1:6">
      <c r="D261" s="130"/>
    </row>
  </sheetData>
  <mergeCells count="16">
    <mergeCell ref="A186:F186"/>
    <mergeCell ref="A123:F123"/>
    <mergeCell ref="A124:F124"/>
    <mergeCell ref="A125:F125"/>
    <mergeCell ref="A183:F183"/>
    <mergeCell ref="A184:F184"/>
    <mergeCell ref="A62:F62"/>
    <mergeCell ref="A63:F63"/>
    <mergeCell ref="A64:F64"/>
    <mergeCell ref="A122:F122"/>
    <mergeCell ref="A185:F185"/>
    <mergeCell ref="A4:F4"/>
    <mergeCell ref="A1:F1"/>
    <mergeCell ref="A2:F2"/>
    <mergeCell ref="A3:F3"/>
    <mergeCell ref="A61:F61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</row>
    <row r="2" spans="1:9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</row>
    <row r="3" spans="1:9" s="68" customFormat="1" ht="20.100000000000001" customHeight="1">
      <c r="A3" s="809" t="s">
        <v>1465</v>
      </c>
      <c r="B3" s="809"/>
      <c r="C3" s="809"/>
      <c r="D3" s="809"/>
      <c r="E3" s="809"/>
      <c r="F3" s="809"/>
      <c r="G3" s="809"/>
    </row>
    <row r="4" spans="1:9" s="68" customFormat="1" ht="20.100000000000001" customHeight="1">
      <c r="A4" s="808" t="str">
        <f>'Rate Case Constants'!C15</f>
        <v>BASE YEAR FOR THE 12 MONTHS ENDED FEBRUARY 28, 2021</v>
      </c>
      <c r="B4" s="808"/>
      <c r="C4" s="808"/>
      <c r="D4" s="808"/>
      <c r="E4" s="808"/>
      <c r="F4" s="808"/>
      <c r="G4" s="808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133</v>
      </c>
      <c r="G6" s="74" t="s">
        <v>1464</v>
      </c>
    </row>
    <row r="7" spans="1:9" s="68" customFormat="1" ht="20.100000000000001" customHeight="1">
      <c r="A7" s="68" t="str">
        <f>'Rate Case Constants'!C29</f>
        <v>TYPE OF FILING: __X__ ORIGINAL  _____ UPDATED  _____ REVISED</v>
      </c>
      <c r="G7" s="74" t="s">
        <v>176</v>
      </c>
    </row>
    <row r="8" spans="1:9" s="68" customFormat="1" ht="20.100000000000001" customHeight="1">
      <c r="A8" s="67" t="s">
        <v>1412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1174</v>
      </c>
      <c r="C10" s="76" t="s">
        <v>1466</v>
      </c>
      <c r="D10" s="76" t="s">
        <v>1467</v>
      </c>
      <c r="E10" s="76" t="s">
        <v>1468</v>
      </c>
      <c r="F10" s="76" t="s">
        <v>2084</v>
      </c>
      <c r="G10" s="76" t="s">
        <v>1470</v>
      </c>
    </row>
    <row r="11" spans="1:9" ht="23.1" customHeight="1">
      <c r="A11" s="80" t="s">
        <v>1217</v>
      </c>
      <c r="B11" s="80" t="s">
        <v>1218</v>
      </c>
      <c r="C11" s="80" t="s">
        <v>1221</v>
      </c>
      <c r="D11" s="80" t="s">
        <v>1229</v>
      </c>
      <c r="E11" s="80" t="s">
        <v>1469</v>
      </c>
      <c r="F11" s="80" t="s">
        <v>1231</v>
      </c>
      <c r="G11" s="80" t="s">
        <v>1471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B'!D113</f>
        <v>10509992566.569996</v>
      </c>
      <c r="D13" s="86">
        <f>'SCH B-2.2'!D30</f>
        <v>-1880906017.6499999</v>
      </c>
      <c r="E13" s="86">
        <f>C13+D13</f>
        <v>8629086548.9199963</v>
      </c>
      <c r="F13" s="86">
        <f>'SCH B-1'!D14</f>
        <v>8064865360.8814383</v>
      </c>
      <c r="G13" s="130">
        <f>F13/E13</f>
        <v>0.93461403071578009</v>
      </c>
      <c r="I13" s="130"/>
    </row>
    <row r="14" spans="1:9" ht="18.95" customHeight="1">
      <c r="A14" s="70">
        <v>2</v>
      </c>
      <c r="B14" s="78" t="s">
        <v>1181</v>
      </c>
      <c r="C14" s="86">
        <f>SUM('SCH B-2.6'!D13:D17)</f>
        <v>1780963.44</v>
      </c>
      <c r="D14" s="86">
        <v>0</v>
      </c>
      <c r="E14" s="86">
        <f t="shared" ref="E14:E15" si="0">C14+D14</f>
        <v>1780963.44</v>
      </c>
      <c r="F14" s="86">
        <f>SUM('SCH B-2.6'!G13:G17)</f>
        <v>1196865.7517534709</v>
      </c>
      <c r="G14" s="130">
        <f t="shared" ref="G14:G18" si="1">F14/E14</f>
        <v>0.67203274636197519</v>
      </c>
      <c r="I14" s="130"/>
    </row>
    <row r="15" spans="1:9" ht="18.95" customHeight="1">
      <c r="A15" s="70">
        <v>3</v>
      </c>
      <c r="B15" s="78" t="s">
        <v>1178</v>
      </c>
      <c r="C15" s="131">
        <f>'SCH B-3 B'!E116</f>
        <v>-3678551999.9235177</v>
      </c>
      <c r="D15" s="131">
        <f>'SCH B-3.1'!D29</f>
        <v>364325849.8213523</v>
      </c>
      <c r="E15" s="131">
        <f t="shared" si="0"/>
        <v>-3314226150.1021652</v>
      </c>
      <c r="F15" s="131">
        <f>'SCH B-1'!D16</f>
        <v>-3078403439.530582</v>
      </c>
      <c r="G15" s="130">
        <f t="shared" si="1"/>
        <v>0.92884531715968943</v>
      </c>
      <c r="I15" s="130"/>
    </row>
    <row r="16" spans="1:9" ht="18.95" customHeight="1">
      <c r="A16" s="70">
        <v>4</v>
      </c>
      <c r="B16" s="78" t="s">
        <v>1205</v>
      </c>
      <c r="C16" s="86">
        <f>SUM(C13:C15)</f>
        <v>6833221530.0864792</v>
      </c>
      <c r="D16" s="86">
        <f>SUM(D13:D15)</f>
        <v>-1516580167.8286476</v>
      </c>
      <c r="E16" s="86">
        <f>SUM(E13:E15)</f>
        <v>5316641362.2578316</v>
      </c>
      <c r="F16" s="86">
        <f>SUM(F13:F15)</f>
        <v>4987658787.1026096</v>
      </c>
      <c r="G16" s="130">
        <f t="shared" si="1"/>
        <v>0.93812210515258221</v>
      </c>
      <c r="I16" s="130"/>
    </row>
    <row r="17" spans="1:9" ht="18.95" customHeight="1">
      <c r="A17" s="70">
        <v>5</v>
      </c>
      <c r="B17" s="78" t="s">
        <v>1179</v>
      </c>
      <c r="C17" s="131">
        <f>'SCH B-4'!F22</f>
        <v>262196410.5847365</v>
      </c>
      <c r="D17" s="131">
        <f>'SCH B-4.1'!C12</f>
        <v>-99469503.343513504</v>
      </c>
      <c r="E17" s="131">
        <f>C17+D17</f>
        <v>162726907.24122298</v>
      </c>
      <c r="F17" s="131">
        <f>'SCH B-1'!D18</f>
        <v>143354513.23109385</v>
      </c>
      <c r="G17" s="130">
        <f t="shared" si="1"/>
        <v>0.88095150126947419</v>
      </c>
      <c r="I17" s="130"/>
    </row>
    <row r="18" spans="1:9" ht="18.95" customHeight="1">
      <c r="A18" s="70">
        <v>6</v>
      </c>
      <c r="B18" s="78" t="s">
        <v>1206</v>
      </c>
      <c r="C18" s="86">
        <f>SUM(C16:C17)</f>
        <v>7095417940.671216</v>
      </c>
      <c r="D18" s="86">
        <f>SUM(D16:D17)</f>
        <v>-1616049671.1721611</v>
      </c>
      <c r="E18" s="86">
        <f>SUM(E16:E17)</f>
        <v>5479368269.4990549</v>
      </c>
      <c r="F18" s="86">
        <f>SUM(F16:F17)</f>
        <v>5131013300.333703</v>
      </c>
      <c r="G18" s="130">
        <f t="shared" si="1"/>
        <v>0.93642424600214003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1180</v>
      </c>
      <c r="C20" s="86">
        <f>'SUPP SCH B-1.1 B'!R38</f>
        <v>125889277.68395811</v>
      </c>
      <c r="D20" s="86">
        <f ca="1">-'ECR EXP B'!O25*1000</f>
        <v>-2268874.1713541648</v>
      </c>
      <c r="E20" s="86">
        <f t="shared" ref="E20:E25" ca="1" si="2">C20+D20</f>
        <v>123620403.51260395</v>
      </c>
      <c r="F20" s="86">
        <f ca="1">'SCH B-1'!D21</f>
        <v>113610169.29883184</v>
      </c>
      <c r="G20" s="130">
        <f t="shared" ref="G20:G24" ca="1" si="3">F20/E20</f>
        <v>0.91902441725364936</v>
      </c>
      <c r="I20" s="130"/>
    </row>
    <row r="21" spans="1:9" ht="18.95" customHeight="1">
      <c r="A21" s="70">
        <v>8</v>
      </c>
      <c r="B21" s="78" t="s">
        <v>1187</v>
      </c>
      <c r="C21" s="86">
        <f>'SUPP SCH B-1.1 B'!R35+'SUPP SCH B-1.1 B'!R36+'SUPP SCH B-1.1 B'!R37</f>
        <v>141620524.65076163</v>
      </c>
      <c r="D21" s="86">
        <f>-'ECR ALLOW'!N5*1000</f>
        <v>-124309.64</v>
      </c>
      <c r="E21" s="86">
        <f t="shared" si="2"/>
        <v>141496215.01076165</v>
      </c>
      <c r="F21" s="86">
        <f>'SCH B-1'!D22</f>
        <v>133360857.10931772</v>
      </c>
      <c r="G21" s="130">
        <f t="shared" si="3"/>
        <v>0.94250476664110638</v>
      </c>
      <c r="I21" s="130"/>
    </row>
    <row r="22" spans="1:9" ht="18.95" customHeight="1">
      <c r="A22" s="70">
        <v>9</v>
      </c>
      <c r="B22" s="78" t="s">
        <v>1188</v>
      </c>
      <c r="C22" s="86">
        <f>-'SUPP SCH B-1.1 B'!R26</f>
        <v>-1719771.5899999999</v>
      </c>
      <c r="D22" s="86">
        <v>0</v>
      </c>
      <c r="E22" s="86">
        <f t="shared" si="2"/>
        <v>-1719771.5899999999</v>
      </c>
      <c r="F22" s="86">
        <f>'SCH B-1'!D23</f>
        <v>-1712215.5636785864</v>
      </c>
      <c r="G22" s="130">
        <f t="shared" si="3"/>
        <v>0.99560637798336149</v>
      </c>
      <c r="I22" s="130"/>
    </row>
    <row r="23" spans="1:9" ht="18.95" customHeight="1">
      <c r="A23" s="70">
        <v>10</v>
      </c>
      <c r="B23" s="78" t="s">
        <v>1190</v>
      </c>
      <c r="C23" s="86">
        <f>-'SUPP SCH B-1.1 B'!R27</f>
        <v>-1443601765.3862419</v>
      </c>
      <c r="D23" s="86">
        <f>-'ECR DEFTAX'!M2</f>
        <v>362405661.43789297</v>
      </c>
      <c r="E23" s="86">
        <f t="shared" si="2"/>
        <v>-1081196103.948349</v>
      </c>
      <c r="F23" s="86">
        <f>'SCH B-1'!D24</f>
        <v>-1012273526.1623662</v>
      </c>
      <c r="G23" s="130">
        <f t="shared" si="3"/>
        <v>0.93625339794114226</v>
      </c>
      <c r="I23" s="130"/>
    </row>
    <row r="24" spans="1:9" ht="18.95" customHeight="1">
      <c r="A24" s="70">
        <v>11</v>
      </c>
      <c r="B24" s="78" t="s">
        <v>1191</v>
      </c>
      <c r="C24" s="86">
        <f>-'SUPP SCH B-1.1 B'!R28</f>
        <v>-87909987.86999999</v>
      </c>
      <c r="D24" s="86">
        <v>0</v>
      </c>
      <c r="E24" s="86">
        <f t="shared" si="2"/>
        <v>-87909987.86999999</v>
      </c>
      <c r="F24" s="86">
        <f>'SCH B-1'!D25</f>
        <v>-82288493.059952542</v>
      </c>
      <c r="G24" s="130">
        <f t="shared" si="3"/>
        <v>0.93605396899428051</v>
      </c>
      <c r="I24" s="130"/>
    </row>
    <row r="25" spans="1:9" ht="18.95" customHeight="1">
      <c r="A25" s="70">
        <v>12</v>
      </c>
      <c r="B25" s="78" t="s">
        <v>1192</v>
      </c>
      <c r="C25" s="131">
        <f>-'SCH B-6'!D18</f>
        <v>157279615.09390604</v>
      </c>
      <c r="D25" s="131">
        <f>-C25</f>
        <v>-157279615.09390604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1193</v>
      </c>
      <c r="C27" s="94">
        <f>SUM(C18:C25)</f>
        <v>5986975833.2536001</v>
      </c>
      <c r="D27" s="94">
        <f ca="1">SUM(D18:D25)</f>
        <v>-1413316808.6395283</v>
      </c>
      <c r="E27" s="94">
        <f ca="1">SUM(E18:E25)</f>
        <v>4573659024.6140709</v>
      </c>
      <c r="F27" s="94">
        <f ca="1">SUM(F18:F25)</f>
        <v>4281710091.9558554</v>
      </c>
      <c r="G27" s="130">
        <f ca="1">F27/E27</f>
        <v>0.9361673156903404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 ca="1">'SUPP SCH B-1.1 B'!N43</f>
        <v>4281710091.9558544</v>
      </c>
    </row>
    <row r="30" spans="1:9" ht="18.95" customHeight="1">
      <c r="C30" s="86"/>
      <c r="D30" s="86"/>
      <c r="E30" s="86"/>
      <c r="F30" s="86"/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</row>
    <row r="2" spans="1:9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</row>
    <row r="3" spans="1:9" s="68" customFormat="1" ht="20.100000000000001" customHeight="1">
      <c r="A3" s="809" t="s">
        <v>1465</v>
      </c>
      <c r="B3" s="809"/>
      <c r="C3" s="809"/>
      <c r="D3" s="809"/>
      <c r="E3" s="809"/>
      <c r="F3" s="809"/>
      <c r="G3" s="809"/>
    </row>
    <row r="4" spans="1:9" s="68" customFormat="1" ht="20.100000000000001" customHeight="1">
      <c r="A4" s="808" t="str">
        <f>'Rate Case Constants'!C21</f>
        <v>FORECAST PERIOD FOR THE 12 MONTHS ENDED JUNE 30, 2022</v>
      </c>
      <c r="B4" s="814"/>
      <c r="C4" s="814"/>
      <c r="D4" s="814"/>
      <c r="E4" s="814"/>
      <c r="F4" s="814"/>
      <c r="G4" s="814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161</v>
      </c>
      <c r="G6" s="74" t="s">
        <v>1464</v>
      </c>
    </row>
    <row r="7" spans="1:9" s="68" customFormat="1" ht="20.100000000000001" customHeight="1">
      <c r="A7" s="68" t="str">
        <f>'Rate Case Constants'!C29</f>
        <v>TYPE OF FILING: __X__ ORIGINAL  _____ UPDATED  _____ REVISED</v>
      </c>
      <c r="G7" s="74" t="s">
        <v>184</v>
      </c>
    </row>
    <row r="8" spans="1:9" s="68" customFormat="1" ht="20.100000000000001" customHeight="1">
      <c r="A8" s="67" t="s">
        <v>1412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1174</v>
      </c>
      <c r="C10" s="76" t="s">
        <v>1466</v>
      </c>
      <c r="D10" s="76" t="s">
        <v>1467</v>
      </c>
      <c r="E10" s="76" t="s">
        <v>1468</v>
      </c>
      <c r="F10" s="76" t="s">
        <v>2084</v>
      </c>
      <c r="G10" s="76" t="s">
        <v>1470</v>
      </c>
    </row>
    <row r="11" spans="1:9" ht="23.1" customHeight="1">
      <c r="A11" s="80" t="s">
        <v>1217</v>
      </c>
      <c r="B11" s="80" t="s">
        <v>1218</v>
      </c>
      <c r="C11" s="80" t="s">
        <v>1221</v>
      </c>
      <c r="D11" s="80" t="s">
        <v>1229</v>
      </c>
      <c r="E11" s="80" t="s">
        <v>1469</v>
      </c>
      <c r="F11" s="80" t="s">
        <v>1231</v>
      </c>
      <c r="G11" s="80" t="s">
        <v>1471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F'!D113</f>
        <v>10905663104.737556</v>
      </c>
      <c r="D13" s="86">
        <f>'SCH B-2.2'!D61</f>
        <v>-579586484.56307793</v>
      </c>
      <c r="E13" s="86">
        <f>C13+D13</f>
        <v>10326076620.174479</v>
      </c>
      <c r="F13" s="86">
        <f>'SCH B-1'!F14</f>
        <v>9649576172.2962837</v>
      </c>
      <c r="G13" s="130">
        <f>F13/E13</f>
        <v>0.93448620683711681</v>
      </c>
      <c r="I13" s="130"/>
    </row>
    <row r="14" spans="1:9" ht="18.95" customHeight="1">
      <c r="A14" s="70">
        <v>2</v>
      </c>
      <c r="B14" s="78" t="s">
        <v>1181</v>
      </c>
      <c r="C14" s="86">
        <f>SUM('SCH B-2.6'!D33:D37)</f>
        <v>1780963.44</v>
      </c>
      <c r="D14" s="86">
        <v>0</v>
      </c>
      <c r="E14" s="86">
        <f t="shared" ref="E14:E15" si="0">C14+D14</f>
        <v>1780963.44</v>
      </c>
      <c r="F14" s="86">
        <f>SUM('SCH B-2.6'!G33:G37)</f>
        <v>1196865.8924704194</v>
      </c>
      <c r="G14" s="130">
        <f t="shared" ref="G14:G18" si="1">F14/E14</f>
        <v>0.67203282537367492</v>
      </c>
      <c r="I14" s="130"/>
    </row>
    <row r="15" spans="1:9" ht="18.95" customHeight="1">
      <c r="A15" s="70">
        <v>3</v>
      </c>
      <c r="B15" s="78" t="s">
        <v>1178</v>
      </c>
      <c r="C15" s="131">
        <f>'SCH B-3 F'!E116</f>
        <v>-3922604709.0445518</v>
      </c>
      <c r="D15" s="131">
        <f>'SCH B-3.1'!D59</f>
        <v>148775697.51370066</v>
      </c>
      <c r="E15" s="131">
        <f t="shared" si="0"/>
        <v>-3773829011.5308514</v>
      </c>
      <c r="F15" s="131">
        <f>'SCH B-1'!F16</f>
        <v>-3515588478.5004873</v>
      </c>
      <c r="G15" s="130">
        <f t="shared" si="1"/>
        <v>0.93157068530627229</v>
      </c>
      <c r="I15" s="130"/>
    </row>
    <row r="16" spans="1:9" ht="18.95" customHeight="1">
      <c r="A16" s="70">
        <v>4</v>
      </c>
      <c r="B16" s="78" t="s">
        <v>1205</v>
      </c>
      <c r="C16" s="86">
        <f>SUM(C13:C15)</f>
        <v>6984839359.1330051</v>
      </c>
      <c r="D16" s="86">
        <f>SUM(D13:D15)</f>
        <v>-430810787.04937726</v>
      </c>
      <c r="E16" s="86">
        <f>SUM(E13:E15)</f>
        <v>6554028572.0836277</v>
      </c>
      <c r="F16" s="86">
        <f>SUM(F13:F15)</f>
        <v>6135184559.6882677</v>
      </c>
      <c r="G16" s="130">
        <f t="shared" si="1"/>
        <v>0.93609365479738782</v>
      </c>
      <c r="I16" s="130"/>
    </row>
    <row r="17" spans="1:9" ht="18.95" customHeight="1">
      <c r="A17" s="70">
        <v>5</v>
      </c>
      <c r="B17" s="78" t="s">
        <v>1179</v>
      </c>
      <c r="C17" s="131">
        <f>'SCH B-4'!F47</f>
        <v>296834853.58090872</v>
      </c>
      <c r="D17" s="131">
        <f>'SCH B-4.1'!C35</f>
        <v>-121631739.55165654</v>
      </c>
      <c r="E17" s="131">
        <f>C17+D17</f>
        <v>175203114.02925217</v>
      </c>
      <c r="F17" s="131">
        <f>'SCH B-1'!F18</f>
        <v>155823721.27160484</v>
      </c>
      <c r="G17" s="130">
        <f t="shared" si="1"/>
        <v>0.88938899365446367</v>
      </c>
      <c r="I17" s="130"/>
    </row>
    <row r="18" spans="1:9" ht="18.95" customHeight="1">
      <c r="A18" s="70">
        <v>6</v>
      </c>
      <c r="B18" s="78" t="s">
        <v>1206</v>
      </c>
      <c r="C18" s="86">
        <f>SUM(C16:C17)</f>
        <v>7281674212.7139139</v>
      </c>
      <c r="D18" s="86">
        <f>SUM(D16:D17)</f>
        <v>-552442526.60103381</v>
      </c>
      <c r="E18" s="86">
        <f>SUM(E16:E17)</f>
        <v>6729231686.1128798</v>
      </c>
      <c r="F18" s="86">
        <f>SUM(F16:F17)</f>
        <v>6291008280.9598722</v>
      </c>
      <c r="G18" s="130">
        <f t="shared" si="1"/>
        <v>0.93487764642472193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1180</v>
      </c>
      <c r="C20" s="86">
        <f>'SUPP SCH B-1.1 F'!R38</f>
        <v>141138202.09120801</v>
      </c>
      <c r="D20" s="86">
        <f>-'ECR EXP F'!N25*1000</f>
        <v>144218.25</v>
      </c>
      <c r="E20" s="86">
        <f t="shared" ref="E20:E25" si="2">C20+D20</f>
        <v>141282420.34120801</v>
      </c>
      <c r="F20" s="86">
        <f>'SCH B-1'!F21</f>
        <v>130078093.24042901</v>
      </c>
      <c r="G20" s="130">
        <f t="shared" ref="G20:G24" si="3">F20/E20</f>
        <v>0.92069553258133829</v>
      </c>
      <c r="I20" s="130"/>
    </row>
    <row r="21" spans="1:9" ht="18.95" customHeight="1">
      <c r="A21" s="70">
        <v>8</v>
      </c>
      <c r="B21" s="78" t="s">
        <v>1187</v>
      </c>
      <c r="C21" s="86">
        <f>'SUPP SCH B-1.1 F'!R35+'SUPP SCH B-1.1 F'!R36+'SUPP SCH B-1.1 F'!R37</f>
        <v>150312700.74023139</v>
      </c>
      <c r="D21" s="86">
        <f>-'ECR ALLOW'!AF5*1000</f>
        <v>-124309.63999999996</v>
      </c>
      <c r="E21" s="86">
        <f t="shared" si="2"/>
        <v>150188391.10023141</v>
      </c>
      <c r="F21" s="86">
        <f>'SCH B-1'!F22</f>
        <v>141451085.26844323</v>
      </c>
      <c r="G21" s="130">
        <f t="shared" si="3"/>
        <v>0.94182435960741362</v>
      </c>
      <c r="I21" s="130"/>
    </row>
    <row r="22" spans="1:9" ht="18.95" customHeight="1">
      <c r="A22" s="70">
        <v>9</v>
      </c>
      <c r="B22" s="78" t="s">
        <v>1188</v>
      </c>
      <c r="C22" s="86">
        <f>-'SUPP SCH B-1.1 F'!R26</f>
        <v>-1719771.59</v>
      </c>
      <c r="D22" s="86">
        <v>0</v>
      </c>
      <c r="E22" s="86">
        <f t="shared" si="2"/>
        <v>-1719771.59</v>
      </c>
      <c r="F22" s="86">
        <f>'SCH B-1'!F23</f>
        <v>-1712215.5636785864</v>
      </c>
      <c r="G22" s="130">
        <f t="shared" si="3"/>
        <v>0.99560637798336138</v>
      </c>
      <c r="I22" s="130"/>
    </row>
    <row r="23" spans="1:9" ht="18.95" customHeight="1">
      <c r="A23" s="70">
        <v>10</v>
      </c>
      <c r="B23" s="78" t="s">
        <v>1190</v>
      </c>
      <c r="C23" s="86">
        <f>-'SUPP SCH B-1.1 F'!R27</f>
        <v>-1438518389.5100257</v>
      </c>
      <c r="D23" s="86">
        <f>-'ECR DEFTAX'!AD2</f>
        <v>62845644.655038118</v>
      </c>
      <c r="E23" s="86">
        <f t="shared" si="2"/>
        <v>-1375672744.8549876</v>
      </c>
      <c r="F23" s="86">
        <f>'SCH B-1'!F24</f>
        <v>-1282066234.1413991</v>
      </c>
      <c r="G23" s="130">
        <f t="shared" si="3"/>
        <v>0.93195582956507894</v>
      </c>
      <c r="I23" s="130"/>
    </row>
    <row r="24" spans="1:9" ht="18.95" customHeight="1">
      <c r="A24" s="70">
        <v>11</v>
      </c>
      <c r="B24" s="78" t="s">
        <v>1191</v>
      </c>
      <c r="C24" s="86">
        <f>-'SUPP SCH B-1.1 F'!R28</f>
        <v>-86323268.203333288</v>
      </c>
      <c r="D24" s="86">
        <v>0</v>
      </c>
      <c r="E24" s="86">
        <f t="shared" si="2"/>
        <v>-86323268.203333288</v>
      </c>
      <c r="F24" s="86">
        <f>'SCH B-1'!F25</f>
        <v>-80926984.971659347</v>
      </c>
      <c r="G24" s="130">
        <f t="shared" si="3"/>
        <v>0.93748750083276422</v>
      </c>
      <c r="I24" s="130"/>
    </row>
    <row r="25" spans="1:9" ht="18.95" customHeight="1">
      <c r="A25" s="70">
        <v>12</v>
      </c>
      <c r="B25" s="78" t="s">
        <v>1192</v>
      </c>
      <c r="C25" s="131">
        <f>-'SCH B-6'!D40</f>
        <v>183002470.17830518</v>
      </c>
      <c r="D25" s="131">
        <f>-C25</f>
        <v>-183002470.17830518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1193</v>
      </c>
      <c r="C27" s="94">
        <f>SUM(C18:C25)</f>
        <v>6229566156.4203005</v>
      </c>
      <c r="D27" s="94">
        <f>SUM(D18:D25)</f>
        <v>-672579443.51430082</v>
      </c>
      <c r="E27" s="94">
        <f>SUM(E18:E25)</f>
        <v>5556986712.9059982</v>
      </c>
      <c r="F27" s="94">
        <f>SUM(F18:F25)</f>
        <v>5197832024.7920065</v>
      </c>
      <c r="G27" s="130">
        <f>F27/E27</f>
        <v>0.93536880567307068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>'SUPP SCH B-1.1 F'!N43</f>
        <v>5197832024.7920094</v>
      </c>
    </row>
    <row r="30" spans="1:9" ht="18.95" customHeight="1">
      <c r="C30" s="86"/>
      <c r="D30" s="86"/>
      <c r="E30" s="86"/>
      <c r="F30" s="86">
        <f>F27-F29</f>
        <v>0</v>
      </c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7"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</row>
    <row r="2" spans="1:5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</row>
    <row r="3" spans="1:5" s="68" customFormat="1" ht="20.100000000000001" customHeight="1">
      <c r="A3" s="809" t="s">
        <v>1474</v>
      </c>
      <c r="B3" s="809"/>
      <c r="C3" s="809"/>
      <c r="D3" s="809"/>
      <c r="E3" s="809"/>
    </row>
    <row r="4" spans="1:5" s="68" customFormat="1" ht="20.100000000000001" customHeight="1">
      <c r="A4" s="808" t="str">
        <f>'Rate Case Constants'!C15</f>
        <v>BASE YEAR FOR THE 12 MONTHS ENDED FEBRUARY 28, 2021</v>
      </c>
      <c r="B4" s="808"/>
      <c r="C4" s="808"/>
      <c r="D4" s="808"/>
      <c r="E4" s="808"/>
    </row>
    <row r="5" spans="1:5" s="68" customFormat="1" ht="20.100000000000001" customHeight="1">
      <c r="A5" s="808"/>
      <c r="B5" s="808"/>
      <c r="C5" s="808"/>
      <c r="D5" s="808"/>
      <c r="E5" s="808"/>
    </row>
    <row r="6" spans="1:5" s="68" customFormat="1" ht="20.100000000000001" customHeight="1">
      <c r="A6" s="158"/>
      <c r="B6" s="158"/>
      <c r="C6" s="158"/>
      <c r="D6" s="158"/>
      <c r="E6" s="158"/>
    </row>
    <row r="7" spans="1:5" s="68" customFormat="1" ht="20.100000000000001" customHeight="1">
      <c r="A7" s="67" t="s">
        <v>133</v>
      </c>
      <c r="B7" s="67"/>
      <c r="D7" s="74"/>
      <c r="E7" s="74" t="s">
        <v>1475</v>
      </c>
    </row>
    <row r="8" spans="1:5" s="68" customFormat="1" ht="20.100000000000001" customHeight="1">
      <c r="A8" s="68" t="str">
        <f>'Rate Case Constants'!C29</f>
        <v>TYPE OF FILING: __X__ ORIGINAL  _____ UPDATED  _____ REVISED</v>
      </c>
      <c r="D8" s="74"/>
      <c r="E8" s="74" t="s">
        <v>176</v>
      </c>
    </row>
    <row r="9" spans="1:5" s="68" customFormat="1" ht="20.100000000000001" customHeight="1">
      <c r="A9" s="67" t="s">
        <v>1412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204</v>
      </c>
      <c r="D11" s="76" t="s">
        <v>1472</v>
      </c>
      <c r="E11" s="76" t="s">
        <v>1473</v>
      </c>
    </row>
    <row r="12" spans="1:5" ht="19.5" customHeight="1">
      <c r="A12" s="80"/>
      <c r="B12" s="80"/>
      <c r="C12" s="81"/>
      <c r="D12" s="82"/>
      <c r="E12" s="82"/>
    </row>
    <row r="13" spans="1:5" s="68" customFormat="1" ht="19.5" customHeight="1">
      <c r="A13" s="809" t="s">
        <v>2085</v>
      </c>
      <c r="B13" s="809"/>
      <c r="C13" s="809"/>
      <c r="D13" s="809"/>
      <c r="E13" s="809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</row>
    <row r="2" spans="1:5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</row>
    <row r="3" spans="1:5" s="68" customFormat="1" ht="20.100000000000001" customHeight="1">
      <c r="A3" s="809" t="s">
        <v>1474</v>
      </c>
      <c r="B3" s="809"/>
      <c r="C3" s="809"/>
      <c r="D3" s="809"/>
      <c r="E3" s="809"/>
    </row>
    <row r="4" spans="1:5" s="68" customFormat="1" ht="20.100000000000001" customHeight="1">
      <c r="A4" s="808" t="str">
        <f>'Rate Case Constants'!C21</f>
        <v>FORECAST PERIOD FOR THE 12 MONTHS ENDED JUNE 30, 2022</v>
      </c>
      <c r="B4" s="814"/>
      <c r="C4" s="814"/>
      <c r="D4" s="814"/>
      <c r="E4" s="814"/>
    </row>
    <row r="5" spans="1:5" s="68" customFormat="1" ht="20.100000000000001" customHeight="1">
      <c r="A5" s="808"/>
      <c r="B5" s="808"/>
      <c r="C5" s="808"/>
      <c r="D5" s="808"/>
      <c r="E5" s="808"/>
    </row>
    <row r="6" spans="1:5" s="68" customFormat="1" ht="20.100000000000001" customHeight="1">
      <c r="A6" s="637"/>
      <c r="B6" s="637"/>
      <c r="C6" s="637"/>
      <c r="D6" s="637"/>
      <c r="E6" s="637"/>
    </row>
    <row r="7" spans="1:5" s="68" customFormat="1" ht="20.100000000000001" customHeight="1">
      <c r="A7" s="67" t="s">
        <v>161</v>
      </c>
      <c r="B7" s="67"/>
      <c r="D7" s="74"/>
      <c r="E7" s="74" t="s">
        <v>1475</v>
      </c>
    </row>
    <row r="8" spans="1:5" s="68" customFormat="1" ht="20.100000000000001" customHeight="1">
      <c r="A8" s="68" t="str">
        <f>'Rate Case Constants'!C29</f>
        <v>TYPE OF FILING: __X__ ORIGINAL  _____ UPDATED  _____ REVISED</v>
      </c>
      <c r="D8" s="74"/>
      <c r="E8" s="74" t="s">
        <v>184</v>
      </c>
    </row>
    <row r="9" spans="1:5" s="68" customFormat="1" ht="20.100000000000001" customHeight="1">
      <c r="A9" s="67" t="s">
        <v>1412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204</v>
      </c>
      <c r="D11" s="76" t="s">
        <v>1472</v>
      </c>
      <c r="E11" s="76" t="s">
        <v>1473</v>
      </c>
    </row>
    <row r="12" spans="1:5" ht="19.5" customHeight="1">
      <c r="A12" s="80"/>
      <c r="B12" s="80"/>
      <c r="C12" s="81"/>
      <c r="D12" s="82"/>
      <c r="E12" s="82"/>
    </row>
    <row r="13" spans="1:5" ht="19.5" customHeight="1">
      <c r="A13" s="821" t="s">
        <v>2085</v>
      </c>
      <c r="B13" s="821"/>
      <c r="C13" s="821"/>
      <c r="D13" s="821"/>
      <c r="E13" s="821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8"/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375" style="167" customWidth="1"/>
    <col min="5" max="5" width="11.625" style="167" customWidth="1"/>
    <col min="6" max="6" width="16.3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9" width="16.75" style="167" bestFit="1" customWidth="1"/>
    <col min="20" max="22" width="9" style="167"/>
    <col min="23" max="24" width="16.75" style="167" bestFit="1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2081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2692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173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1457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__X__ ORIGINAL  _____ UPDATED  _____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2050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1453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1476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174" t="s">
        <v>1462</v>
      </c>
      <c r="B11" s="167"/>
      <c r="C11" s="167"/>
      <c r="D11" s="735" t="s">
        <v>1458</v>
      </c>
      <c r="E11" s="167"/>
      <c r="F11" s="735" t="s">
        <v>1461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174" t="s">
        <v>1463</v>
      </c>
      <c r="B12" s="174" t="s">
        <v>204</v>
      </c>
      <c r="C12" s="167"/>
      <c r="D12" s="735" t="s">
        <v>1459</v>
      </c>
      <c r="E12" s="735" t="s">
        <v>1460</v>
      </c>
      <c r="F12" s="735" t="s">
        <v>1459</v>
      </c>
      <c r="G12" s="735" t="s">
        <v>1460</v>
      </c>
      <c r="H12" s="175">
        <v>2019</v>
      </c>
      <c r="I12" s="735" t="s">
        <v>1460</v>
      </c>
      <c r="J12" s="175">
        <v>2018</v>
      </c>
      <c r="K12" s="735" t="s">
        <v>1460</v>
      </c>
      <c r="L12" s="175">
        <v>2017</v>
      </c>
      <c r="M12" s="735" t="s">
        <v>1460</v>
      </c>
      <c r="N12" s="175">
        <v>2016</v>
      </c>
      <c r="O12" s="735" t="s">
        <v>1460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174">
        <v>1</v>
      </c>
      <c r="B14" s="823" t="s">
        <v>1495</v>
      </c>
      <c r="C14" s="823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189"/>
      <c r="B15" s="190"/>
      <c r="C15" s="190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174">
        <f>A14+1</f>
        <v>2</v>
      </c>
      <c r="B16" s="178" t="s">
        <v>1439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187">
        <f t="shared" ref="A17:A21" si="0">A16+1</f>
        <v>3</v>
      </c>
      <c r="B17" s="167" t="s">
        <v>1454</v>
      </c>
      <c r="C17" s="167"/>
      <c r="D17" s="204">
        <f>BS!AF$24*1000-D18</f>
        <v>10929719938.559507</v>
      </c>
      <c r="E17" s="179">
        <f t="shared" ref="E17:O21" si="1">(+D17-F17)/F17</f>
        <v>3.721103767474386E-2</v>
      </c>
      <c r="F17" s="204">
        <f>BS!N$24*1000-F18</f>
        <v>10537604731.879963</v>
      </c>
      <c r="G17" s="179">
        <f t="shared" si="1"/>
        <v>6.6490130295418878E-2</v>
      </c>
      <c r="H17" s="204">
        <f>10376419763.68-H18</f>
        <v>9880639710.1499996</v>
      </c>
      <c r="I17" s="179">
        <f t="shared" si="1"/>
        <v>3.3580514010254352E-2</v>
      </c>
      <c r="J17" s="204">
        <f>10062539120.04-J18</f>
        <v>9559622667.2400017</v>
      </c>
      <c r="K17" s="179">
        <f t="shared" si="1"/>
        <v>3.0444451362048142E-2</v>
      </c>
      <c r="L17" s="204">
        <f>9598351833.34-L18</f>
        <v>9277183893.4200001</v>
      </c>
      <c r="M17" s="179">
        <f t="shared" si="1"/>
        <v>2.1069145244668231E-2</v>
      </c>
      <c r="N17" s="204">
        <f>9266547925.93-N18</f>
        <v>9085754805.7600002</v>
      </c>
      <c r="O17" s="179">
        <f t="shared" si="1"/>
        <v>3.0717348500220926E-2</v>
      </c>
      <c r="P17" s="204">
        <f>9082008901.23-P18</f>
        <v>8814981933.6800003</v>
      </c>
      <c r="Q17" s="181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187">
        <f t="shared" si="0"/>
        <v>4</v>
      </c>
      <c r="B18" s="167" t="s">
        <v>1179</v>
      </c>
      <c r="C18" s="167"/>
      <c r="D18" s="205">
        <f>'SCH B-4'!F47</f>
        <v>296834853.58090872</v>
      </c>
      <c r="E18" s="179">
        <f t="shared" si="1"/>
        <v>0.13210876121043535</v>
      </c>
      <c r="F18" s="205">
        <f>'SCH B-4'!F22</f>
        <v>262196410.5847365</v>
      </c>
      <c r="G18" s="179">
        <f t="shared" si="1"/>
        <v>-0.47114368817810692</v>
      </c>
      <c r="H18" s="205">
        <v>495780053.52999997</v>
      </c>
      <c r="I18" s="179">
        <f t="shared" si="1"/>
        <v>-1.4190029437828008E-2</v>
      </c>
      <c r="J18" s="205">
        <v>502916452.80000001</v>
      </c>
      <c r="K18" s="179">
        <f t="shared" si="1"/>
        <v>0.56589867881978473</v>
      </c>
      <c r="L18" s="205">
        <v>321167939.92000002</v>
      </c>
      <c r="M18" s="179">
        <f t="shared" si="1"/>
        <v>0.77643894644887712</v>
      </c>
      <c r="N18" s="205">
        <v>180793120.16999999</v>
      </c>
      <c r="O18" s="179">
        <f t="shared" si="1"/>
        <v>-0.32294059349587223</v>
      </c>
      <c r="P18" s="205">
        <v>267026967.55000001</v>
      </c>
      <c r="Q18" s="181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187">
        <f t="shared" si="0"/>
        <v>5</v>
      </c>
      <c r="B19" s="167" t="s">
        <v>1496</v>
      </c>
      <c r="C19" s="167"/>
      <c r="D19" s="196">
        <f>D17+D18</f>
        <v>11226554792.140415</v>
      </c>
      <c r="E19" s="179">
        <f t="shared" si="1"/>
        <v>3.9514954400199628E-2</v>
      </c>
      <c r="F19" s="196">
        <f>F17+F18</f>
        <v>10799801142.464699</v>
      </c>
      <c r="G19" s="179">
        <f t="shared" si="1"/>
        <v>4.0802260165556964E-2</v>
      </c>
      <c r="H19" s="196">
        <f>H17+H18</f>
        <v>10376419763.68</v>
      </c>
      <c r="I19" s="179">
        <f t="shared" si="1"/>
        <v>3.1192986173329943E-2</v>
      </c>
      <c r="J19" s="196">
        <f>J17+J18</f>
        <v>10062539120.040001</v>
      </c>
      <c r="K19" s="179">
        <f t="shared" si="1"/>
        <v>4.8361145200745838E-2</v>
      </c>
      <c r="L19" s="196">
        <f>L17+L18</f>
        <v>9598351833.3400002</v>
      </c>
      <c r="M19" s="179">
        <f t="shared" si="1"/>
        <v>3.5806635875862011E-2</v>
      </c>
      <c r="N19" s="196">
        <f>N17+N18</f>
        <v>9266547925.9300003</v>
      </c>
      <c r="O19" s="179">
        <f t="shared" si="1"/>
        <v>2.0319185623679379E-2</v>
      </c>
      <c r="P19" s="196">
        <f>P17+P18</f>
        <v>9082008901.2299995</v>
      </c>
      <c r="Q19" s="181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187">
        <f t="shared" si="0"/>
        <v>6</v>
      </c>
      <c r="B20" s="167" t="s">
        <v>1497</v>
      </c>
      <c r="C20" s="167"/>
      <c r="D20" s="201">
        <f>-BS!AF37*1000</f>
        <v>3928981367.0791092</v>
      </c>
      <c r="E20" s="179">
        <f t="shared" si="1"/>
        <v>6.7104058298274871E-2</v>
      </c>
      <c r="F20" s="201">
        <f>-BS!N37*1000</f>
        <v>3681910247.20186</v>
      </c>
      <c r="G20" s="179">
        <f t="shared" si="1"/>
        <v>6.2802832160856553E-2</v>
      </c>
      <c r="H20" s="201">
        <v>3464339890.5100002</v>
      </c>
      <c r="I20" s="179">
        <f t="shared" si="1"/>
        <v>1.021123958678293E-2</v>
      </c>
      <c r="J20" s="201">
        <v>3429322259.3000002</v>
      </c>
      <c r="K20" s="179">
        <f t="shared" si="1"/>
        <v>5.9040181175129623E-2</v>
      </c>
      <c r="L20" s="201">
        <v>3238141781.8299999</v>
      </c>
      <c r="M20" s="179">
        <f t="shared" si="1"/>
        <v>6.1269042899723895E-2</v>
      </c>
      <c r="N20" s="201">
        <v>3051197812.1799998</v>
      </c>
      <c r="O20" s="179">
        <f t="shared" si="1"/>
        <v>7.0651326398491088E-2</v>
      </c>
      <c r="P20" s="201">
        <v>2849851989.1100001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187">
        <f t="shared" si="0"/>
        <v>7</v>
      </c>
      <c r="B21" s="167" t="s">
        <v>1498</v>
      </c>
      <c r="C21" s="167"/>
      <c r="D21" s="197">
        <f>D19-D20</f>
        <v>7297573425.061306</v>
      </c>
      <c r="E21" s="179">
        <f t="shared" si="1"/>
        <v>2.5243788144891564E-2</v>
      </c>
      <c r="F21" s="197">
        <f>F19-F20</f>
        <v>7117890895.2628384</v>
      </c>
      <c r="G21" s="179">
        <f t="shared" si="1"/>
        <v>2.9775556108909629E-2</v>
      </c>
      <c r="H21" s="197">
        <f>H19-H20</f>
        <v>6912079873.1700001</v>
      </c>
      <c r="I21" s="179">
        <f t="shared" si="1"/>
        <v>4.204038828890172E-2</v>
      </c>
      <c r="J21" s="197">
        <f>J19-J20</f>
        <v>6633216860.7400007</v>
      </c>
      <c r="K21" s="179">
        <f t="shared" si="1"/>
        <v>4.2924181280016842E-2</v>
      </c>
      <c r="L21" s="197">
        <f>L19-L20</f>
        <v>6360210051.5100002</v>
      </c>
      <c r="M21" s="179">
        <f t="shared" si="1"/>
        <v>2.3306802530646133E-2</v>
      </c>
      <c r="N21" s="197">
        <f>N19-N20</f>
        <v>6215350113.75</v>
      </c>
      <c r="O21" s="179">
        <f t="shared" si="1"/>
        <v>-2.696786779760612E-3</v>
      </c>
      <c r="P21" s="197">
        <f>P19-P20</f>
        <v>6232156912.1199989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174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98"/>
      <c r="M22" s="194"/>
      <c r="N22" s="185"/>
      <c r="O22" s="194"/>
      <c r="P22" s="198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174">
        <f>A21+1</f>
        <v>8</v>
      </c>
      <c r="B23" s="178" t="s">
        <v>1499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9"/>
      <c r="M23" s="194"/>
      <c r="N23" s="193"/>
      <c r="O23" s="194"/>
      <c r="P23" s="199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187">
        <f t="shared" ref="A24:A28" si="2">A23+1</f>
        <v>9</v>
      </c>
      <c r="B24" s="167" t="s">
        <v>1500</v>
      </c>
      <c r="C24" s="167"/>
      <c r="D24" s="204">
        <f>BS!AF48*1000</f>
        <v>681648.48</v>
      </c>
      <c r="E24" s="179">
        <f t="shared" ref="E24:O28" si="3">(+D24-F24)/F24</f>
        <v>0</v>
      </c>
      <c r="F24" s="204">
        <f>BS!N48*1000</f>
        <v>681648.48</v>
      </c>
      <c r="G24" s="179">
        <f t="shared" si="3"/>
        <v>3.6626491578670345E-2</v>
      </c>
      <c r="H24" s="204">
        <v>657564.21</v>
      </c>
      <c r="I24" s="179">
        <f t="shared" si="3"/>
        <v>7.2984910817960449E-2</v>
      </c>
      <c r="J24" s="204">
        <f>612836.4</f>
        <v>612836.4</v>
      </c>
      <c r="K24" s="179">
        <f t="shared" si="3"/>
        <v>2.4291481204958383</v>
      </c>
      <c r="L24" s="204">
        <v>178713.89</v>
      </c>
      <c r="M24" s="179">
        <f t="shared" si="3"/>
        <v>-0.8160079484153977</v>
      </c>
      <c r="N24" s="204">
        <v>971313.1</v>
      </c>
      <c r="O24" s="179">
        <f t="shared" si="3"/>
        <v>0</v>
      </c>
      <c r="P24" s="204">
        <v>971313.1</v>
      </c>
      <c r="Q24" s="181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187">
        <f t="shared" si="2"/>
        <v>10</v>
      </c>
      <c r="B25" s="167" t="s">
        <v>1501</v>
      </c>
      <c r="C25" s="167"/>
      <c r="D25" s="201">
        <f>BS!AF44*1000</f>
        <v>250000</v>
      </c>
      <c r="E25" s="179">
        <f t="shared" si="3"/>
        <v>0</v>
      </c>
      <c r="F25" s="201">
        <f>BS!N44*1000</f>
        <v>250000</v>
      </c>
      <c r="G25" s="179">
        <f t="shared" si="3"/>
        <v>0</v>
      </c>
      <c r="H25" s="201">
        <v>250000</v>
      </c>
      <c r="I25" s="179">
        <f t="shared" si="3"/>
        <v>0</v>
      </c>
      <c r="J25" s="201">
        <v>250000</v>
      </c>
      <c r="K25" s="179">
        <f t="shared" si="3"/>
        <v>0</v>
      </c>
      <c r="L25" s="201">
        <v>250000</v>
      </c>
      <c r="M25" s="179">
        <f t="shared" si="3"/>
        <v>0</v>
      </c>
      <c r="N25" s="201">
        <v>250000</v>
      </c>
      <c r="O25" s="179">
        <f t="shared" si="3"/>
        <v>0</v>
      </c>
      <c r="P25" s="201">
        <v>250000</v>
      </c>
      <c r="Q25" s="181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187">
        <f t="shared" si="2"/>
        <v>11</v>
      </c>
      <c r="B26" s="167" t="s">
        <v>1502</v>
      </c>
      <c r="C26" s="167"/>
      <c r="D26" s="201">
        <v>0</v>
      </c>
      <c r="E26" s="179">
        <v>0</v>
      </c>
      <c r="F26" s="201">
        <v>0</v>
      </c>
      <c r="G26" s="179">
        <v>0</v>
      </c>
      <c r="H26" s="201">
        <v>0</v>
      </c>
      <c r="I26" s="179">
        <v>0</v>
      </c>
      <c r="J26" s="201">
        <v>0</v>
      </c>
      <c r="K26" s="179">
        <v>0</v>
      </c>
      <c r="L26" s="201">
        <v>0</v>
      </c>
      <c r="M26" s="179">
        <v>0</v>
      </c>
      <c r="N26" s="201">
        <v>0</v>
      </c>
      <c r="O26" s="179">
        <v>0</v>
      </c>
      <c r="P26" s="201">
        <v>0</v>
      </c>
      <c r="Q26" s="181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187">
        <f t="shared" si="2"/>
        <v>12</v>
      </c>
      <c r="B27" s="167" t="s">
        <v>1503</v>
      </c>
      <c r="C27" s="167"/>
      <c r="D27" s="205">
        <f>BS!AF52*1000</f>
        <v>42744319.892051242</v>
      </c>
      <c r="E27" s="179">
        <f t="shared" si="3"/>
        <v>0.22392335519137171</v>
      </c>
      <c r="F27" s="205">
        <f>BS!N52*1000</f>
        <v>34924016.860000007</v>
      </c>
      <c r="G27" s="179">
        <f t="shared" si="3"/>
        <v>0.13795308977096019</v>
      </c>
      <c r="H27" s="205">
        <v>30690207.859999999</v>
      </c>
      <c r="I27" s="179">
        <v>1</v>
      </c>
      <c r="J27" s="205">
        <v>0.12</v>
      </c>
      <c r="K27" s="179">
        <v>0</v>
      </c>
      <c r="L27" s="205">
        <v>0</v>
      </c>
      <c r="M27" s="179">
        <v>0</v>
      </c>
      <c r="N27" s="205">
        <v>0</v>
      </c>
      <c r="O27" s="179">
        <v>0</v>
      </c>
      <c r="P27" s="205">
        <v>0</v>
      </c>
      <c r="Q27" s="181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187">
        <f t="shared" si="2"/>
        <v>13</v>
      </c>
      <c r="B28" s="167" t="s">
        <v>1504</v>
      </c>
      <c r="C28" s="167"/>
      <c r="D28" s="200">
        <f>SUM(D24:D27)</f>
        <v>43675968.372051239</v>
      </c>
      <c r="E28" s="179">
        <f t="shared" si="3"/>
        <v>0.21810508765896561</v>
      </c>
      <c r="F28" s="200">
        <f>SUM(F24:F27)</f>
        <v>35855665.340000004</v>
      </c>
      <c r="G28" s="179">
        <f t="shared" si="3"/>
        <v>0.13475295854933367</v>
      </c>
      <c r="H28" s="200">
        <f>SUM(H24:H27)</f>
        <v>31597772.07</v>
      </c>
      <c r="I28" s="179">
        <f t="shared" si="3"/>
        <v>35.620809779817847</v>
      </c>
      <c r="J28" s="200">
        <f>SUM(J24:J27)</f>
        <v>862836.52</v>
      </c>
      <c r="K28" s="179">
        <f t="shared" si="3"/>
        <v>1.0126161995824301</v>
      </c>
      <c r="L28" s="200">
        <f>SUM(L24:L27)</f>
        <v>428713.89</v>
      </c>
      <c r="M28" s="179">
        <f t="shared" si="3"/>
        <v>-0.64897298653391999</v>
      </c>
      <c r="N28" s="200">
        <f>SUM(N24:N27)</f>
        <v>1221313.1000000001</v>
      </c>
      <c r="O28" s="179">
        <f t="shared" si="3"/>
        <v>0</v>
      </c>
      <c r="P28" s="200">
        <f>SUM(P24:P27)</f>
        <v>1221313.1000000001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174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9"/>
      <c r="M29" s="194"/>
      <c r="N29" s="193"/>
      <c r="O29" s="194"/>
      <c r="P29" s="199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187">
        <f>A28+1</f>
        <v>14</v>
      </c>
      <c r="B30" s="178" t="s">
        <v>1440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8"/>
      <c r="M30" s="192"/>
      <c r="N30" s="193"/>
      <c r="O30" s="192"/>
      <c r="P30" s="198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187">
        <f t="shared" ref="A31:A48" si="4">A30+1</f>
        <v>15</v>
      </c>
      <c r="B31" s="167" t="s">
        <v>1505</v>
      </c>
      <c r="C31" s="167"/>
      <c r="D31" s="204">
        <f>BS!AF58*1000</f>
        <v>5000000</v>
      </c>
      <c r="E31" s="179">
        <f t="shared" ref="E31:O48" si="5">(+D31-F31)/F31</f>
        <v>0</v>
      </c>
      <c r="F31" s="204">
        <f>BS!N58*1000</f>
        <v>5000000</v>
      </c>
      <c r="G31" s="179">
        <f t="shared" si="5"/>
        <v>-0.49154402787429674</v>
      </c>
      <c r="H31" s="204">
        <v>9833693.1300000008</v>
      </c>
      <c r="I31" s="179">
        <f t="shared" si="5"/>
        <v>-0.22028272602835122</v>
      </c>
      <c r="J31" s="204">
        <v>12611870.300000001</v>
      </c>
      <c r="K31" s="179">
        <f t="shared" si="5"/>
        <v>-1.5992481387439323E-2</v>
      </c>
      <c r="L31" s="204">
        <v>12816843.43</v>
      </c>
      <c r="M31" s="179">
        <f t="shared" si="5"/>
        <v>0.75993167998248323</v>
      </c>
      <c r="N31" s="204">
        <v>7282580.0999999996</v>
      </c>
      <c r="O31" s="179">
        <f t="shared" si="5"/>
        <v>1.9828146878648433E-2</v>
      </c>
      <c r="P31" s="204">
        <v>7140987.5499999998</v>
      </c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187">
        <f t="shared" si="4"/>
        <v>16</v>
      </c>
      <c r="B32" s="167" t="s">
        <v>1506</v>
      </c>
      <c r="C32" s="167"/>
      <c r="D32" s="201">
        <v>0</v>
      </c>
      <c r="E32" s="179">
        <v>0</v>
      </c>
      <c r="F32" s="201">
        <v>0</v>
      </c>
      <c r="G32" s="179">
        <v>0</v>
      </c>
      <c r="H32" s="201">
        <v>0</v>
      </c>
      <c r="I32" s="179">
        <v>0</v>
      </c>
      <c r="J32" s="201">
        <v>0</v>
      </c>
      <c r="K32" s="179">
        <v>0</v>
      </c>
      <c r="L32" s="201">
        <v>0</v>
      </c>
      <c r="M32" s="179">
        <v>0</v>
      </c>
      <c r="N32" s="201">
        <v>0</v>
      </c>
      <c r="O32" s="179">
        <v>0</v>
      </c>
      <c r="P32" s="201">
        <v>0</v>
      </c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187">
        <f t="shared" si="4"/>
        <v>17</v>
      </c>
      <c r="B33" s="167" t="s">
        <v>1507</v>
      </c>
      <c r="C33" s="167"/>
      <c r="D33" s="201">
        <f>BS!AF59*1000</f>
        <v>57529.999999999978</v>
      </c>
      <c r="E33" s="179">
        <f t="shared" si="5"/>
        <v>-3.7941722305840916E-16</v>
      </c>
      <c r="F33" s="201">
        <f>BS!N59*1000</f>
        <v>57530</v>
      </c>
      <c r="G33" s="179">
        <f t="shared" si="5"/>
        <v>-2.0432487655372041E-2</v>
      </c>
      <c r="H33" s="201">
        <v>58730</v>
      </c>
      <c r="I33" s="179">
        <f t="shared" si="5"/>
        <v>-3.768638374569884E-2</v>
      </c>
      <c r="J33" s="201">
        <v>61030</v>
      </c>
      <c r="K33" s="179">
        <f t="shared" si="5"/>
        <v>0</v>
      </c>
      <c r="L33" s="201">
        <v>61030</v>
      </c>
      <c r="M33" s="179">
        <f t="shared" si="5"/>
        <v>0</v>
      </c>
      <c r="N33" s="201">
        <v>61030</v>
      </c>
      <c r="O33" s="179">
        <f t="shared" si="5"/>
        <v>0</v>
      </c>
      <c r="P33" s="201">
        <v>61030</v>
      </c>
      <c r="Q33" s="181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187">
        <f t="shared" si="4"/>
        <v>18</v>
      </c>
      <c r="B34" s="167" t="s">
        <v>1508</v>
      </c>
      <c r="C34" s="167"/>
      <c r="D34" s="201">
        <f>BS!AF63*1000</f>
        <v>-1.3150506324913835E-9</v>
      </c>
      <c r="E34" s="179">
        <v>0</v>
      </c>
      <c r="F34" s="201">
        <f>BS!N63*1000</f>
        <v>-2.23110419028671E-9</v>
      </c>
      <c r="G34" s="179">
        <f t="shared" si="5"/>
        <v>-1.0000000000000011</v>
      </c>
      <c r="H34" s="201">
        <v>2285926.7599999998</v>
      </c>
      <c r="I34" s="179">
        <f t="shared" si="5"/>
        <v>1.38111160100574</v>
      </c>
      <c r="J34" s="201">
        <v>960025.04</v>
      </c>
      <c r="K34" s="179">
        <f t="shared" si="5"/>
        <v>-0.48500053284961264</v>
      </c>
      <c r="L34" s="201">
        <v>1864128.22</v>
      </c>
      <c r="M34" s="179">
        <f t="shared" si="5"/>
        <v>12.081395913495816</v>
      </c>
      <c r="N34" s="201">
        <v>142502.24</v>
      </c>
      <c r="O34" s="179">
        <f t="shared" si="5"/>
        <v>-0.96649375978540242</v>
      </c>
      <c r="P34" s="201">
        <v>4253005.9800000004</v>
      </c>
      <c r="Q34" s="181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187">
        <f t="shared" si="4"/>
        <v>19</v>
      </c>
      <c r="B35" s="167" t="s">
        <v>1509</v>
      </c>
      <c r="C35" s="167"/>
      <c r="D35" s="201">
        <f>(BS!AF68+BS!AF69)*1000</f>
        <v>135966861.05164519</v>
      </c>
      <c r="E35" s="179">
        <f t="shared" si="5"/>
        <v>-0.10135975740080874</v>
      </c>
      <c r="F35" s="201">
        <f>(BS!N68+BS!N69)*1000</f>
        <v>151302884.74326506</v>
      </c>
      <c r="G35" s="179">
        <f t="shared" si="5"/>
        <v>7.91090709197423E-2</v>
      </c>
      <c r="H35" s="201">
        <v>140210928.46000001</v>
      </c>
      <c r="I35" s="179">
        <f t="shared" si="5"/>
        <v>7.0734668424815808E-2</v>
      </c>
      <c r="J35" s="201">
        <v>130948340.97999999</v>
      </c>
      <c r="K35" s="179">
        <f t="shared" si="5"/>
        <v>-2.2031644111045157E-4</v>
      </c>
      <c r="L35" s="201">
        <v>130977197.40999998</v>
      </c>
      <c r="M35" s="179">
        <f t="shared" si="5"/>
        <v>2.9351256870624891E-2</v>
      </c>
      <c r="N35" s="201">
        <v>127242470.95999999</v>
      </c>
      <c r="O35" s="179">
        <f t="shared" si="5"/>
        <v>7.1525461161309811E-2</v>
      </c>
      <c r="P35" s="201">
        <v>118748901.05</v>
      </c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187">
        <f t="shared" si="4"/>
        <v>20</v>
      </c>
      <c r="B36" s="167" t="s">
        <v>1510</v>
      </c>
      <c r="C36" s="167"/>
      <c r="D36" s="201">
        <f>SUM(BS!AF70:AF72)*1000</f>
        <v>28258764.129999995</v>
      </c>
      <c r="E36" s="179">
        <f t="shared" si="5"/>
        <v>-1.3182778557916764E-16</v>
      </c>
      <c r="F36" s="201">
        <f>SUM(BS!N70:N72)*1000</f>
        <v>28258764.129999999</v>
      </c>
      <c r="G36" s="179">
        <f t="shared" si="5"/>
        <v>9.5661432513763356E-2</v>
      </c>
      <c r="H36" s="201">
        <v>25791511.219999999</v>
      </c>
      <c r="I36" s="179">
        <f t="shared" si="5"/>
        <v>-0.22198138776972426</v>
      </c>
      <c r="J36" s="201">
        <v>33150249.640000001</v>
      </c>
      <c r="K36" s="179">
        <f t="shared" si="5"/>
        <v>0.11610750637568244</v>
      </c>
      <c r="L36" s="201">
        <v>29701663.550000001</v>
      </c>
      <c r="M36" s="179">
        <f t="shared" si="5"/>
        <v>5.4296722526738552</v>
      </c>
      <c r="N36" s="201">
        <v>4619467.74</v>
      </c>
      <c r="O36" s="179">
        <f t="shared" si="5"/>
        <v>-0.41455422035373657</v>
      </c>
      <c r="P36" s="201">
        <v>7890513.3500000006</v>
      </c>
      <c r="Q36" s="181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187">
        <f t="shared" si="4"/>
        <v>21</v>
      </c>
      <c r="B37" s="167" t="s">
        <v>1511</v>
      </c>
      <c r="C37" s="183"/>
      <c r="D37" s="201">
        <f>-(BS!AF73+BS!AF74)*1000</f>
        <v>765109.59999999893</v>
      </c>
      <c r="E37" s="179">
        <f t="shared" si="5"/>
        <v>0</v>
      </c>
      <c r="F37" s="201">
        <f>-(BS!N73+BS!N74)*1000</f>
        <v>765109.59999999893</v>
      </c>
      <c r="G37" s="179">
        <f t="shared" si="5"/>
        <v>-0.47266551795437389</v>
      </c>
      <c r="H37" s="201">
        <v>1450900</v>
      </c>
      <c r="I37" s="179">
        <f t="shared" si="5"/>
        <v>-9.5029770520407425E-2</v>
      </c>
      <c r="J37" s="201">
        <v>1603257.1600000001</v>
      </c>
      <c r="K37" s="179">
        <f t="shared" si="5"/>
        <v>8.4660505010669421E-2</v>
      </c>
      <c r="L37" s="201">
        <v>1478118.87</v>
      </c>
      <c r="M37" s="179">
        <f t="shared" si="5"/>
        <v>-0.16422364797895506</v>
      </c>
      <c r="N37" s="201">
        <v>1768557.9000000001</v>
      </c>
      <c r="O37" s="179">
        <f t="shared" si="5"/>
        <v>-3.4635068085447994E-2</v>
      </c>
      <c r="P37" s="201">
        <v>1832009.68</v>
      </c>
      <c r="Q37" s="181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40">
        <f t="shared" si="4"/>
        <v>22</v>
      </c>
      <c r="B38" s="167" t="s">
        <v>3690</v>
      </c>
      <c r="C38" s="183"/>
      <c r="D38" s="201">
        <f>BS!AF82*1000</f>
        <v>1047187.522964043</v>
      </c>
      <c r="E38" s="179">
        <f t="shared" si="5"/>
        <v>0.33294407342486565</v>
      </c>
      <c r="F38" s="201">
        <f>BS!N82*1000</f>
        <v>785620</v>
      </c>
      <c r="G38" s="179">
        <f t="shared" si="5"/>
        <v>0.12112909210263435</v>
      </c>
      <c r="H38" s="201">
        <v>700740</v>
      </c>
      <c r="I38" s="179">
        <v>1</v>
      </c>
      <c r="J38" s="201">
        <v>0</v>
      </c>
      <c r="K38" s="179">
        <v>0</v>
      </c>
      <c r="L38" s="201">
        <v>0</v>
      </c>
      <c r="M38" s="179">
        <v>0</v>
      </c>
      <c r="N38" s="201">
        <v>0</v>
      </c>
      <c r="O38" s="179">
        <v>0</v>
      </c>
      <c r="P38" s="201">
        <v>0</v>
      </c>
      <c r="Q38" s="181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35">
        <f t="shared" si="4"/>
        <v>23</v>
      </c>
      <c r="B39" s="167" t="s">
        <v>1512</v>
      </c>
      <c r="C39" s="167"/>
      <c r="D39" s="201">
        <f>BS!AF87*1000</f>
        <v>1292377.4161538463</v>
      </c>
      <c r="E39" s="179">
        <f t="shared" si="5"/>
        <v>-2.7653636566574438</v>
      </c>
      <c r="F39" s="201">
        <f>BS!N87*1000</f>
        <v>-732074.32999999903</v>
      </c>
      <c r="G39" s="179">
        <f t="shared" si="5"/>
        <v>-1286.4008217301971</v>
      </c>
      <c r="H39" s="201">
        <v>569.53</v>
      </c>
      <c r="I39" s="179">
        <f t="shared" si="5"/>
        <v>283.76499999999999</v>
      </c>
      <c r="J39" s="201">
        <v>2</v>
      </c>
      <c r="K39" s="179">
        <v>1</v>
      </c>
      <c r="L39" s="201">
        <v>0</v>
      </c>
      <c r="M39" s="179">
        <f t="shared" si="5"/>
        <v>-1</v>
      </c>
      <c r="N39" s="201">
        <v>-38000.730000000003</v>
      </c>
      <c r="O39" s="179">
        <f t="shared" si="5"/>
        <v>-1.0448129140412601</v>
      </c>
      <c r="P39" s="201">
        <v>847986.14</v>
      </c>
      <c r="Q39" s="181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35">
        <f t="shared" si="4"/>
        <v>24</v>
      </c>
      <c r="B40" s="167" t="s">
        <v>1513</v>
      </c>
      <c r="C40" s="167"/>
      <c r="D40" s="201">
        <f>BS!AF90*1000</f>
        <v>66398898.203396454</v>
      </c>
      <c r="E40" s="179">
        <f t="shared" si="5"/>
        <v>0.27603749585727694</v>
      </c>
      <c r="F40" s="201">
        <f>BS!N90*1000</f>
        <v>52035224.998453401</v>
      </c>
      <c r="G40" s="179">
        <f t="shared" si="5"/>
        <v>-0.17769535333215458</v>
      </c>
      <c r="H40" s="201">
        <v>63279740.920000002</v>
      </c>
      <c r="I40" s="179">
        <f t="shared" si="5"/>
        <v>0.12631615785866651</v>
      </c>
      <c r="J40" s="201">
        <v>56182929.170000002</v>
      </c>
      <c r="K40" s="179">
        <f t="shared" si="5"/>
        <v>-9.7434515333193097E-2</v>
      </c>
      <c r="L40" s="201">
        <v>62248036.43</v>
      </c>
      <c r="M40" s="179">
        <f t="shared" si="5"/>
        <v>-0.36791001623922881</v>
      </c>
      <c r="N40" s="201">
        <v>98479707.049999997</v>
      </c>
      <c r="O40" s="179">
        <f t="shared" si="5"/>
        <v>1.4720668761336791E-2</v>
      </c>
      <c r="P40" s="201">
        <v>97051050.680000007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35">
        <f t="shared" si="4"/>
        <v>25</v>
      </c>
      <c r="B41" s="167" t="s">
        <v>1514</v>
      </c>
      <c r="C41" s="167"/>
      <c r="D41" s="201">
        <f>BS!AF91*1000</f>
        <v>61237948.519359961</v>
      </c>
      <c r="E41" s="179">
        <f t="shared" si="5"/>
        <v>2.0586399003156092E-2</v>
      </c>
      <c r="F41" s="201">
        <f>BS!N91*1000</f>
        <v>60002708.814435795</v>
      </c>
      <c r="G41" s="179">
        <f t="shared" si="5"/>
        <v>-7.0810331795530613E-3</v>
      </c>
      <c r="H41" s="201">
        <v>60430620.039999999</v>
      </c>
      <c r="I41" s="179">
        <f t="shared" si="5"/>
        <v>8.6102149334631936E-2</v>
      </c>
      <c r="J41" s="201">
        <v>55639904.659999996</v>
      </c>
      <c r="K41" s="179">
        <f t="shared" si="5"/>
        <v>0.12889108174756661</v>
      </c>
      <c r="L41" s="201">
        <v>49287221.380000003</v>
      </c>
      <c r="M41" s="179">
        <f t="shared" si="5"/>
        <v>9.6691573698314284E-2</v>
      </c>
      <c r="N41" s="201">
        <v>44941734.359999999</v>
      </c>
      <c r="O41" s="179">
        <f t="shared" si="5"/>
        <v>9.1263192215432859E-2</v>
      </c>
      <c r="P41" s="201">
        <v>41183222.049999997</v>
      </c>
      <c r="Q41" s="181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35">
        <f t="shared" si="4"/>
        <v>26</v>
      </c>
      <c r="B42" s="167" t="s">
        <v>1515</v>
      </c>
      <c r="C42" s="167"/>
      <c r="D42" s="201">
        <f>BS!AF92*1000</f>
        <v>124309.63999999996</v>
      </c>
      <c r="E42" s="179">
        <f t="shared" si="5"/>
        <v>-3.51185520970864E-16</v>
      </c>
      <c r="F42" s="201">
        <f>BS!N92*1000</f>
        <v>124309.64</v>
      </c>
      <c r="G42" s="179">
        <f t="shared" si="5"/>
        <v>-1.0098363747023097E-2</v>
      </c>
      <c r="H42" s="201">
        <v>125577.77</v>
      </c>
      <c r="I42" s="179">
        <f t="shared" si="5"/>
        <v>-1.7166319183371082E-2</v>
      </c>
      <c r="J42" s="201">
        <v>127771.13</v>
      </c>
      <c r="K42" s="179">
        <f t="shared" si="5"/>
        <v>-2.6414659869536037E-2</v>
      </c>
      <c r="L42" s="201">
        <v>131237.73000000001</v>
      </c>
      <c r="M42" s="179">
        <f t="shared" si="5"/>
        <v>-2.9165270383332321E-2</v>
      </c>
      <c r="N42" s="201">
        <v>135180.29999999999</v>
      </c>
      <c r="O42" s="179">
        <f t="shared" si="5"/>
        <v>-3.6872771731231366E-2</v>
      </c>
      <c r="P42" s="201">
        <v>140355.6</v>
      </c>
      <c r="Q42" s="181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35">
        <f t="shared" si="4"/>
        <v>27</v>
      </c>
      <c r="B43" s="167" t="s">
        <v>1516</v>
      </c>
      <c r="C43" s="167"/>
      <c r="D43" s="201">
        <f>BS!AF93*1000</f>
        <v>3271986.7699999888</v>
      </c>
      <c r="E43" s="179">
        <f t="shared" si="5"/>
        <v>-2.8463518959017104E-16</v>
      </c>
      <c r="F43" s="201">
        <f>BS!N93*1000</f>
        <v>3271986.7699999898</v>
      </c>
      <c r="G43" s="179">
        <f t="shared" si="5"/>
        <v>-0.23448551107301777</v>
      </c>
      <c r="H43" s="201">
        <v>4274232.32</v>
      </c>
      <c r="I43" s="179">
        <f t="shared" si="5"/>
        <v>-0.56547863644425045</v>
      </c>
      <c r="J43" s="201">
        <v>9836644.8200000003</v>
      </c>
      <c r="K43" s="179">
        <f t="shared" si="5"/>
        <v>-0.15188125603977165</v>
      </c>
      <c r="L43" s="201">
        <v>11598192.93</v>
      </c>
      <c r="M43" s="179">
        <f t="shared" si="5"/>
        <v>6.6360233962273571E-2</v>
      </c>
      <c r="N43" s="201">
        <v>10876430.460000001</v>
      </c>
      <c r="O43" s="179">
        <f t="shared" si="5"/>
        <v>0.16056980693610842</v>
      </c>
      <c r="P43" s="201">
        <v>9371629.6899999995</v>
      </c>
      <c r="Q43" s="181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35">
        <f t="shared" si="4"/>
        <v>28</v>
      </c>
      <c r="B44" s="167" t="s">
        <v>1517</v>
      </c>
      <c r="C44" s="167"/>
      <c r="D44" s="201">
        <f>BS!AF100*1000</f>
        <v>21716081.786346722</v>
      </c>
      <c r="E44" s="179">
        <f t="shared" si="5"/>
        <v>5.6113241097933394E-3</v>
      </c>
      <c r="F44" s="201">
        <f>BS!N100*1000</f>
        <v>21594905.770945501</v>
      </c>
      <c r="G44" s="179">
        <f t="shared" si="5"/>
        <v>0.1293599521962569</v>
      </c>
      <c r="H44" s="201">
        <v>19121366.690000001</v>
      </c>
      <c r="I44" s="179">
        <f t="shared" si="5"/>
        <v>0.13212352449155182</v>
      </c>
      <c r="J44" s="201">
        <v>16889823.66</v>
      </c>
      <c r="K44" s="179">
        <f t="shared" si="5"/>
        <v>3.8113561545537619E-2</v>
      </c>
      <c r="L44" s="201">
        <v>16269726.439999999</v>
      </c>
      <c r="M44" s="179">
        <f t="shared" si="5"/>
        <v>5.212355894724895E-3</v>
      </c>
      <c r="N44" s="201">
        <v>16185362.57</v>
      </c>
      <c r="O44" s="179">
        <f t="shared" si="5"/>
        <v>1.1542247488416546</v>
      </c>
      <c r="P44" s="201">
        <v>7513311.96</v>
      </c>
      <c r="Q44" s="181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35">
        <f t="shared" si="4"/>
        <v>29</v>
      </c>
      <c r="B45" s="167" t="s">
        <v>1711</v>
      </c>
      <c r="C45" s="167"/>
      <c r="D45" s="201">
        <f>SUM(BS!AF75:AF76)*1000</f>
        <v>1369473.4299999997</v>
      </c>
      <c r="E45" s="179">
        <f t="shared" si="5"/>
        <v>-1.7001472139103104E-16</v>
      </c>
      <c r="F45" s="201">
        <f>SUM(BS!N75:N76)*1000</f>
        <v>1369473.43</v>
      </c>
      <c r="G45" s="179">
        <f t="shared" si="5"/>
        <v>4.6885518986040368E-2</v>
      </c>
      <c r="H45" s="201">
        <v>1308140.58</v>
      </c>
      <c r="I45" s="179">
        <f t="shared" si="5"/>
        <v>1.2054020170077908</v>
      </c>
      <c r="J45" s="201">
        <v>593152.8899999999</v>
      </c>
      <c r="K45" s="179">
        <f t="shared" si="5"/>
        <v>-0.11762260259199467</v>
      </c>
      <c r="L45" s="201">
        <v>672221.30999999994</v>
      </c>
      <c r="M45" s="179">
        <f t="shared" si="5"/>
        <v>4.7275349187954126E-2</v>
      </c>
      <c r="N45" s="201">
        <v>641876.38</v>
      </c>
      <c r="O45" s="179">
        <f t="shared" si="5"/>
        <v>-0.20303462901610236</v>
      </c>
      <c r="P45" s="201">
        <v>805400.59</v>
      </c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35">
        <f t="shared" si="4"/>
        <v>30</v>
      </c>
      <c r="B46" s="167" t="s">
        <v>1518</v>
      </c>
      <c r="C46" s="167"/>
      <c r="D46" s="206">
        <f>BS!AF77*1000</f>
        <v>83739419.368486419</v>
      </c>
      <c r="E46" s="179">
        <f t="shared" si="5"/>
        <v>-3.4278037780438635E-2</v>
      </c>
      <c r="F46" s="206">
        <f>BS!N77*1000</f>
        <v>86711727.230500609</v>
      </c>
      <c r="G46" s="179">
        <f t="shared" si="5"/>
        <v>-1.4317001129024672E-2</v>
      </c>
      <c r="H46" s="206">
        <v>87971211.159999996</v>
      </c>
      <c r="I46" s="179">
        <f t="shared" si="5"/>
        <v>-4.1033348179034514E-2</v>
      </c>
      <c r="J46" s="206">
        <v>91735422.700000003</v>
      </c>
      <c r="K46" s="179">
        <f t="shared" si="5"/>
        <v>-0.18563565830246712</v>
      </c>
      <c r="L46" s="206">
        <v>112646659.49000001</v>
      </c>
      <c r="M46" s="179">
        <f t="shared" si="5"/>
        <v>0.18653097437891</v>
      </c>
      <c r="N46" s="206">
        <v>94937816.140000001</v>
      </c>
      <c r="O46" s="179">
        <f t="shared" si="5"/>
        <v>0.18548208274739872</v>
      </c>
      <c r="P46" s="206">
        <v>80083720.810000002</v>
      </c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35">
        <f t="shared" si="4"/>
        <v>31</v>
      </c>
      <c r="B47" s="167" t="s">
        <v>1519</v>
      </c>
      <c r="C47" s="167"/>
      <c r="D47" s="206">
        <f>BS!AF104*1000</f>
        <v>0</v>
      </c>
      <c r="E47" s="179">
        <v>0</v>
      </c>
      <c r="F47" s="206">
        <f>BS!N104*1000</f>
        <v>0</v>
      </c>
      <c r="G47" s="179">
        <v>0</v>
      </c>
      <c r="H47" s="206">
        <v>0</v>
      </c>
      <c r="I47" s="179">
        <v>0</v>
      </c>
      <c r="J47" s="206">
        <v>0</v>
      </c>
      <c r="K47" s="179">
        <v>0</v>
      </c>
      <c r="L47" s="206">
        <v>0</v>
      </c>
      <c r="M47" s="179">
        <v>0</v>
      </c>
      <c r="N47" s="206">
        <v>0</v>
      </c>
      <c r="O47" s="179">
        <v>0</v>
      </c>
      <c r="P47" s="206">
        <v>0</v>
      </c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35">
        <f t="shared" si="4"/>
        <v>32</v>
      </c>
      <c r="B48" s="167" t="s">
        <v>1441</v>
      </c>
      <c r="C48" s="167"/>
      <c r="D48" s="200">
        <f>SUM(D31:D36)-D37+SUM(D38:D42)+SUM(D43:D47)</f>
        <v>408715728.23835266</v>
      </c>
      <c r="E48" s="179">
        <f t="shared" si="5"/>
        <v>-7.3889998731663774E-4</v>
      </c>
      <c r="F48" s="200">
        <f>SUM(F31:F36)-F37+SUM(F38:F42)+SUM(F43:F47)</f>
        <v>409017951.5976004</v>
      </c>
      <c r="G48" s="179">
        <f t="shared" si="5"/>
        <v>-1.1895714686302031E-2</v>
      </c>
      <c r="H48" s="200">
        <f>SUM(H31:H36)-H37+SUM(H38:H42)+SUM(H43:H47)</f>
        <v>413942088.58000004</v>
      </c>
      <c r="I48" s="179">
        <f t="shared" si="5"/>
        <v>1.6722210028741736E-2</v>
      </c>
      <c r="J48" s="200">
        <f>SUM(J31:J36)-J37+SUM(J38:J42)+SUM(J43:J47)</f>
        <v>407133909.82999998</v>
      </c>
      <c r="K48" s="179">
        <f t="shared" si="5"/>
        <v>-4.6069147326994964E-2</v>
      </c>
      <c r="L48" s="200">
        <f>SUM(L31:L36)-L37+SUM(L38:L42)+SUM(L43:L47)</f>
        <v>426796039.44999999</v>
      </c>
      <c r="M48" s="179">
        <f t="shared" si="5"/>
        <v>5.7107204244630318E-2</v>
      </c>
      <c r="N48" s="200">
        <f>SUM(N31:N36)-N37+SUM(N38:N42)+SUM(N43:N47)</f>
        <v>403739599.67000002</v>
      </c>
      <c r="O48" s="179">
        <f t="shared" si="5"/>
        <v>8.166041612600837E-2</v>
      </c>
      <c r="P48" s="200">
        <f>SUM(P31:P36)-P37+SUM(P38:P42)+SUM(P43:P47)</f>
        <v>373259105.77000004</v>
      </c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174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187">
        <f>A48+1</f>
        <v>33</v>
      </c>
      <c r="B50" s="178" t="s">
        <v>1520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187">
        <f t="shared" ref="A51:A58" si="6">A50+1</f>
        <v>34</v>
      </c>
      <c r="B51" s="167" t="s">
        <v>1521</v>
      </c>
      <c r="C51" s="167"/>
      <c r="D51" s="204">
        <f>(BS!AF111+BS!AF110)*1000</f>
        <v>23667737.418348286</v>
      </c>
      <c r="E51" s="179">
        <f t="shared" ref="E51:O58" si="7">(+D51-F51)/F51</f>
        <v>0.10635789556381854</v>
      </c>
      <c r="F51" s="204">
        <f>(BS!N111+BS!N110)*1000</f>
        <v>21392478.431481533</v>
      </c>
      <c r="G51" s="179">
        <f t="shared" si="7"/>
        <v>0.18013534839527676</v>
      </c>
      <c r="H51" s="204">
        <v>18127139.789999999</v>
      </c>
      <c r="I51" s="179">
        <f t="shared" si="7"/>
        <v>9.0371677710202242E-2</v>
      </c>
      <c r="J51" s="204">
        <v>16624734.630000001</v>
      </c>
      <c r="K51" s="179">
        <f t="shared" si="7"/>
        <v>-7.9222338241197982E-2</v>
      </c>
      <c r="L51" s="204">
        <v>18055102.030000001</v>
      </c>
      <c r="M51" s="179">
        <f t="shared" si="7"/>
        <v>-6.0696951265631044E-2</v>
      </c>
      <c r="N51" s="204">
        <v>19221807.120000001</v>
      </c>
      <c r="O51" s="179">
        <f t="shared" si="7"/>
        <v>-8.1380596966082797E-2</v>
      </c>
      <c r="P51" s="204">
        <v>20924669.190000001</v>
      </c>
      <c r="Q51" s="181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187">
        <f t="shared" si="6"/>
        <v>35</v>
      </c>
      <c r="B52" s="167" t="s">
        <v>1522</v>
      </c>
      <c r="C52" s="167"/>
      <c r="D52" s="201">
        <f>BS!AF128*1000</f>
        <v>450112020.47017246</v>
      </c>
      <c r="E52" s="179">
        <f t="shared" si="7"/>
        <v>-6.2791866667758617E-4</v>
      </c>
      <c r="F52" s="201">
        <f>BS!N128*1000</f>
        <v>450394831.79243004</v>
      </c>
      <c r="G52" s="179">
        <f t="shared" si="7"/>
        <v>5.6742341136770888E-2</v>
      </c>
      <c r="H52" s="201">
        <v>426210642.13999999</v>
      </c>
      <c r="I52" s="179">
        <f t="shared" si="7"/>
        <v>-4.4780480099313007E-2</v>
      </c>
      <c r="J52" s="201">
        <v>446191302.89999998</v>
      </c>
      <c r="K52" s="179">
        <f t="shared" si="7"/>
        <v>7.0137533632004756E-2</v>
      </c>
      <c r="L52" s="201">
        <v>416947624.83999997</v>
      </c>
      <c r="M52" s="179">
        <f t="shared" si="7"/>
        <v>-5.9300970714439585E-2</v>
      </c>
      <c r="N52" s="201">
        <v>443231694.57999998</v>
      </c>
      <c r="O52" s="179">
        <f t="shared" si="7"/>
        <v>0.16901056541173906</v>
      </c>
      <c r="P52" s="201">
        <v>379151145.16000003</v>
      </c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187">
        <f t="shared" si="6"/>
        <v>36</v>
      </c>
      <c r="B53" s="167" t="s">
        <v>1523</v>
      </c>
      <c r="C53" s="167"/>
      <c r="D53" s="201">
        <f>(BS!AF131+BS!AF132)*1000</f>
        <v>2091581.6300000006</v>
      </c>
      <c r="E53" s="179">
        <f t="shared" si="7"/>
        <v>2.2263596152722913E-16</v>
      </c>
      <c r="F53" s="201">
        <f>(BS!N131+BS!N132)*1000</f>
        <v>2091581.6300000001</v>
      </c>
      <c r="G53" s="179">
        <f t="shared" si="7"/>
        <v>-0.1461201046509302</v>
      </c>
      <c r="H53" s="201">
        <v>2449503.31</v>
      </c>
      <c r="I53" s="179">
        <f t="shared" si="7"/>
        <v>-0.31398729233961997</v>
      </c>
      <c r="J53" s="201">
        <v>3570638.39</v>
      </c>
      <c r="K53" s="179">
        <f t="shared" si="7"/>
        <v>-0.26360774670381804</v>
      </c>
      <c r="L53" s="201">
        <v>4848826.66</v>
      </c>
      <c r="M53" s="179">
        <f t="shared" si="7"/>
        <v>-0.21206985412135626</v>
      </c>
      <c r="N53" s="201">
        <v>6153878.8499999996</v>
      </c>
      <c r="O53" s="179">
        <f t="shared" si="7"/>
        <v>-8.9892132835600241E-2</v>
      </c>
      <c r="P53" s="201">
        <v>6761702.7300000004</v>
      </c>
      <c r="Q53" s="181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187">
        <f t="shared" si="6"/>
        <v>37</v>
      </c>
      <c r="B54" s="167" t="s">
        <v>1524</v>
      </c>
      <c r="C54" s="167"/>
      <c r="D54" s="201">
        <f>SUM(BS!AF133:AF138)*1000</f>
        <v>2844434.5499359025</v>
      </c>
      <c r="E54" s="179">
        <f t="shared" si="7"/>
        <v>-1.2977162149583357E-2</v>
      </c>
      <c r="F54" s="201">
        <f>SUM(BS!N133:N138)*1000</f>
        <v>2881832.5583333429</v>
      </c>
      <c r="G54" s="179">
        <f t="shared" si="7"/>
        <v>-80.804640578097832</v>
      </c>
      <c r="H54" s="201">
        <v>-36111.089999999997</v>
      </c>
      <c r="I54" s="179">
        <v>-1</v>
      </c>
      <c r="J54" s="201">
        <v>0.01</v>
      </c>
      <c r="K54" s="179">
        <v>0</v>
      </c>
      <c r="L54" s="201">
        <v>0</v>
      </c>
      <c r="M54" s="179">
        <v>0</v>
      </c>
      <c r="N54" s="201">
        <v>0</v>
      </c>
      <c r="O54" s="179">
        <v>0</v>
      </c>
      <c r="P54" s="201">
        <v>0</v>
      </c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187">
        <f t="shared" si="6"/>
        <v>38</v>
      </c>
      <c r="B55" s="167" t="s">
        <v>1525</v>
      </c>
      <c r="C55" s="167"/>
      <c r="D55" s="201">
        <f>SUM(BS!AF139:AF141)*1000</f>
        <v>52293642.070010819</v>
      </c>
      <c r="E55" s="179">
        <f t="shared" si="7"/>
        <v>-1.1607494990865498E-3</v>
      </c>
      <c r="F55" s="201">
        <f>SUM(BS!N139:N141)*1000</f>
        <v>52354412.428011604</v>
      </c>
      <c r="G55" s="179">
        <f t="shared" si="7"/>
        <v>-0.12486328327200483</v>
      </c>
      <c r="H55" s="201">
        <v>59824266.799999997</v>
      </c>
      <c r="I55" s="179">
        <f t="shared" si="7"/>
        <v>0.14213882243180123</v>
      </c>
      <c r="J55" s="201">
        <v>52379155.340000004</v>
      </c>
      <c r="K55" s="179">
        <f t="shared" si="7"/>
        <v>0.13292590421492767</v>
      </c>
      <c r="L55" s="201">
        <v>46233522.550000004</v>
      </c>
      <c r="M55" s="179">
        <f t="shared" si="7"/>
        <v>-2.9968269475776237E-2</v>
      </c>
      <c r="N55" s="201">
        <v>47661866.199999996</v>
      </c>
      <c r="O55" s="179">
        <f t="shared" si="7"/>
        <v>0.1621923297451775</v>
      </c>
      <c r="P55" s="201">
        <v>41010308.689999998</v>
      </c>
      <c r="Q55" s="181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187">
        <f t="shared" si="6"/>
        <v>39</v>
      </c>
      <c r="B56" s="167" t="s">
        <v>1526</v>
      </c>
      <c r="C56" s="167"/>
      <c r="D56" s="201">
        <f>BS!AF112*1000</f>
        <v>8008449.5579433274</v>
      </c>
      <c r="E56" s="179">
        <f t="shared" si="7"/>
        <v>-6.2891256440563412E-2</v>
      </c>
      <c r="F56" s="201">
        <f>BS!N112*1000</f>
        <v>8545912.7481029499</v>
      </c>
      <c r="G56" s="179">
        <f t="shared" si="7"/>
        <v>-8.0535075680961146E-2</v>
      </c>
      <c r="H56" s="201">
        <v>9294441.2799999993</v>
      </c>
      <c r="I56" s="179">
        <f t="shared" si="7"/>
        <v>9.3674181399707152E-2</v>
      </c>
      <c r="J56" s="201">
        <v>8498363.9900000002</v>
      </c>
      <c r="K56" s="179">
        <f t="shared" si="7"/>
        <v>-3.7128576402719271E-2</v>
      </c>
      <c r="L56" s="201">
        <v>8826063.1500000004</v>
      </c>
      <c r="M56" s="179">
        <f t="shared" si="7"/>
        <v>-6.4645574080719401E-2</v>
      </c>
      <c r="N56" s="201">
        <v>9436062.8499999996</v>
      </c>
      <c r="O56" s="179">
        <f t="shared" si="7"/>
        <v>5.9371457006506353E-2</v>
      </c>
      <c r="P56" s="201">
        <v>8907227.7599999998</v>
      </c>
      <c r="Q56" s="181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187">
        <f t="shared" si="6"/>
        <v>40</v>
      </c>
      <c r="B57" s="167" t="s">
        <v>1527</v>
      </c>
      <c r="C57" s="167"/>
      <c r="D57" s="201">
        <f>BS!AF119*1000</f>
        <v>309119943.30000001</v>
      </c>
      <c r="E57" s="179">
        <f t="shared" si="7"/>
        <v>0</v>
      </c>
      <c r="F57" s="201">
        <f>BS!N119*1000</f>
        <v>309119943.30000001</v>
      </c>
      <c r="G57" s="179">
        <f t="shared" si="7"/>
        <v>-1.3800964544971572E-2</v>
      </c>
      <c r="H57" s="201">
        <v>313445797.63999999</v>
      </c>
      <c r="I57" s="179">
        <f t="shared" si="7"/>
        <v>-5.6104278453888955E-2</v>
      </c>
      <c r="J57" s="201">
        <v>332076722.55000001</v>
      </c>
      <c r="K57" s="179">
        <f t="shared" si="7"/>
        <v>-8.3600614401914519E-2</v>
      </c>
      <c r="L57" s="201">
        <v>362371175.45999998</v>
      </c>
      <c r="M57" s="179">
        <f t="shared" si="7"/>
        <v>0.1346571340696292</v>
      </c>
      <c r="N57" s="201">
        <v>319366233.70999998</v>
      </c>
      <c r="O57" s="179">
        <f t="shared" si="7"/>
        <v>-0.10801186206074034</v>
      </c>
      <c r="P57" s="201">
        <v>358038655.58999997</v>
      </c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187">
        <f t="shared" si="6"/>
        <v>41</v>
      </c>
      <c r="B58" s="167" t="s">
        <v>1455</v>
      </c>
      <c r="C58" s="167"/>
      <c r="D58" s="200">
        <f>SUM(D51:D57)</f>
        <v>848137808.99641085</v>
      </c>
      <c r="E58" s="179">
        <f t="shared" si="7"/>
        <v>1.6023223471552154E-3</v>
      </c>
      <c r="F58" s="200">
        <f>SUM(F51:F57)</f>
        <v>846780992.88835955</v>
      </c>
      <c r="G58" s="179">
        <f t="shared" si="7"/>
        <v>2.1059909323187197E-2</v>
      </c>
      <c r="H58" s="200">
        <f>SUM(H51:H57)</f>
        <v>829315679.87</v>
      </c>
      <c r="I58" s="179">
        <f t="shared" si="7"/>
        <v>-3.493984438273718E-2</v>
      </c>
      <c r="J58" s="200">
        <f>SUM(J51:J57)</f>
        <v>859340917.80999994</v>
      </c>
      <c r="K58" s="179">
        <f t="shared" si="7"/>
        <v>2.4013129452510546E-3</v>
      </c>
      <c r="L58" s="200">
        <f>SUM(L51:L57)</f>
        <v>857282314.69000006</v>
      </c>
      <c r="M58" s="179">
        <f t="shared" si="7"/>
        <v>1.4449393636156084E-2</v>
      </c>
      <c r="N58" s="200">
        <f>SUM(N51:N57)</f>
        <v>845071543.30999994</v>
      </c>
      <c r="O58" s="179">
        <f t="shared" si="7"/>
        <v>3.7160122680255897E-2</v>
      </c>
      <c r="P58" s="200">
        <f>SUM(P51:P57)</f>
        <v>814793709.12</v>
      </c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174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174">
        <f>A58+1</f>
        <v>42</v>
      </c>
      <c r="B60" s="167" t="s">
        <v>1456</v>
      </c>
      <c r="D60" s="203">
        <f>D21+D28+D48+D58</f>
        <v>8598102930.6681213</v>
      </c>
      <c r="E60" s="179">
        <f t="shared" ref="E60:O60" si="8">(+D60-F60)/F60</f>
        <v>2.2421833078282605E-2</v>
      </c>
      <c r="F60" s="203">
        <f>F21+F28+F48+F58</f>
        <v>8409545505.0887985</v>
      </c>
      <c r="G60" s="179">
        <f t="shared" si="8"/>
        <v>2.7190893802161383E-2</v>
      </c>
      <c r="H60" s="203">
        <f>H21+H28+H48+H58</f>
        <v>8186935413.6899996</v>
      </c>
      <c r="I60" s="179">
        <f t="shared" si="8"/>
        <v>3.6248201045561777E-2</v>
      </c>
      <c r="J60" s="203">
        <f>J21+J28+J48+J58</f>
        <v>7900554524.9000015</v>
      </c>
      <c r="K60" s="179">
        <f t="shared" si="8"/>
        <v>3.3465908726181208E-2</v>
      </c>
      <c r="L60" s="203">
        <f>L21+L28+L48+L58</f>
        <v>7644717119.5400009</v>
      </c>
      <c r="M60" s="179">
        <f t="shared" si="8"/>
        <v>2.4022151314086609E-2</v>
      </c>
      <c r="N60" s="203">
        <f>N21+N28+N48+N58</f>
        <v>7465382569.8299999</v>
      </c>
      <c r="O60" s="179">
        <f t="shared" si="8"/>
        <v>5.9222445755352359E-3</v>
      </c>
      <c r="P60" s="203">
        <f>P21+P28+P48+P58</f>
        <v>7421431040.1099997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174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174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TOTAL COMPANY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1457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__X__ ORIGINAL  _____ UPDATED  _____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2051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1476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174" t="s">
        <v>1462</v>
      </c>
      <c r="B73" s="167"/>
      <c r="C73" s="167"/>
      <c r="D73" s="735" t="s">
        <v>1458</v>
      </c>
      <c r="E73" s="167"/>
      <c r="F73" s="735" t="s">
        <v>1461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174" t="s">
        <v>1463</v>
      </c>
      <c r="B74" s="174" t="s">
        <v>204</v>
      </c>
      <c r="C74" s="167"/>
      <c r="D74" s="735" t="s">
        <v>1459</v>
      </c>
      <c r="E74" s="735" t="s">
        <v>1460</v>
      </c>
      <c r="F74" s="735" t="s">
        <v>1459</v>
      </c>
      <c r="G74" s="735" t="s">
        <v>1460</v>
      </c>
      <c r="H74" s="175">
        <f>+H12</f>
        <v>2019</v>
      </c>
      <c r="I74" s="735" t="s">
        <v>1460</v>
      </c>
      <c r="J74" s="175">
        <f>+J12</f>
        <v>2018</v>
      </c>
      <c r="K74" s="735" t="s">
        <v>1460</v>
      </c>
      <c r="L74" s="175">
        <f>+L12</f>
        <v>2017</v>
      </c>
      <c r="M74" s="735" t="s">
        <v>1460</v>
      </c>
      <c r="N74" s="175">
        <f>+N12</f>
        <v>2016</v>
      </c>
      <c r="O74" s="735" t="s">
        <v>1460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174">
        <v>1</v>
      </c>
      <c r="B76" s="823" t="s">
        <v>1528</v>
      </c>
      <c r="C76" s="823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189"/>
      <c r="B77" s="190"/>
      <c r="C77" s="190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174">
        <f>A76+1</f>
        <v>2</v>
      </c>
      <c r="B78" s="178" t="s">
        <v>1442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174">
        <f>A78+1</f>
        <v>3</v>
      </c>
      <c r="B79" s="167" t="s">
        <v>1529</v>
      </c>
      <c r="C79" s="167"/>
      <c r="D79" s="204">
        <f>BS!AF154*1000</f>
        <v>308139977.56</v>
      </c>
      <c r="E79" s="179">
        <f t="shared" ref="E79:O85" si="9">(+D79-F79)/F79</f>
        <v>0</v>
      </c>
      <c r="F79" s="204">
        <f>BS!N154*1000</f>
        <v>308139977.56</v>
      </c>
      <c r="G79" s="179">
        <f t="shared" si="9"/>
        <v>0</v>
      </c>
      <c r="H79" s="204">
        <v>308139977.56</v>
      </c>
      <c r="I79" s="179">
        <f t="shared" si="9"/>
        <v>0</v>
      </c>
      <c r="J79" s="204">
        <v>308139977.56</v>
      </c>
      <c r="K79" s="179">
        <f t="shared" si="9"/>
        <v>0</v>
      </c>
      <c r="L79" s="204">
        <v>308139977.56</v>
      </c>
      <c r="M79" s="179">
        <f t="shared" si="9"/>
        <v>0</v>
      </c>
      <c r="N79" s="204">
        <v>308139977.56</v>
      </c>
      <c r="O79" s="179">
        <f t="shared" si="9"/>
        <v>0</v>
      </c>
      <c r="P79" s="204">
        <v>308139977.56</v>
      </c>
      <c r="Q79" s="181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189">
        <f t="shared" ref="A80:A85" si="10">A79+1</f>
        <v>4</v>
      </c>
      <c r="B80" s="167" t="s">
        <v>1530</v>
      </c>
      <c r="C80" s="167"/>
      <c r="D80" s="195">
        <f>BS!AF162*1000</f>
        <v>946807733.57405007</v>
      </c>
      <c r="E80" s="179">
        <f t="shared" si="9"/>
        <v>0.13253584812272379</v>
      </c>
      <c r="F80" s="195">
        <f>BS!N162*1000</f>
        <v>836006855.89199305</v>
      </c>
      <c r="G80" s="179">
        <f t="shared" si="9"/>
        <v>0.19968021651259665</v>
      </c>
      <c r="H80" s="195">
        <v>696858083</v>
      </c>
      <c r="I80" s="179">
        <f t="shared" si="9"/>
        <v>0.10813250531121821</v>
      </c>
      <c r="J80" s="195">
        <v>628858083</v>
      </c>
      <c r="K80" s="179">
        <f t="shared" si="9"/>
        <v>7.7073524046767372E-2</v>
      </c>
      <c r="L80" s="195">
        <v>583858083</v>
      </c>
      <c r="M80" s="179">
        <f t="shared" si="9"/>
        <v>0</v>
      </c>
      <c r="N80" s="195">
        <v>583858083</v>
      </c>
      <c r="O80" s="179">
        <f t="shared" si="9"/>
        <v>3.5469918057377571E-2</v>
      </c>
      <c r="P80" s="195">
        <v>563858083</v>
      </c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189">
        <f t="shared" si="10"/>
        <v>5</v>
      </c>
      <c r="B81" s="167" t="s">
        <v>1531</v>
      </c>
      <c r="C81" s="167"/>
      <c r="D81" s="195">
        <f>-BS!AF158*1000</f>
        <v>321288.86999999994</v>
      </c>
      <c r="E81" s="179">
        <f t="shared" si="9"/>
        <v>-1.8116924160325692E-16</v>
      </c>
      <c r="F81" s="195">
        <f>-BS!N158*1000</f>
        <v>321288.87</v>
      </c>
      <c r="G81" s="179">
        <f t="shared" si="9"/>
        <v>0</v>
      </c>
      <c r="H81" s="195">
        <v>321288.87</v>
      </c>
      <c r="I81" s="179">
        <f t="shared" si="9"/>
        <v>0</v>
      </c>
      <c r="J81" s="195">
        <v>321288.87</v>
      </c>
      <c r="K81" s="179">
        <f t="shared" si="9"/>
        <v>0</v>
      </c>
      <c r="L81" s="195">
        <v>321288.87</v>
      </c>
      <c r="M81" s="179">
        <f t="shared" si="9"/>
        <v>0</v>
      </c>
      <c r="N81" s="195">
        <v>321288.87</v>
      </c>
      <c r="O81" s="179">
        <f t="shared" si="9"/>
        <v>0</v>
      </c>
      <c r="P81" s="195">
        <v>321288.87</v>
      </c>
      <c r="Q81" s="181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189">
        <f t="shared" si="10"/>
        <v>6</v>
      </c>
      <c r="B82" s="167" t="s">
        <v>1532</v>
      </c>
      <c r="C82" s="167"/>
      <c r="D82" s="201">
        <f>BS!AF170*1000</f>
        <v>0.01</v>
      </c>
      <c r="E82" s="179">
        <f t="shared" si="9"/>
        <v>0</v>
      </c>
      <c r="F82" s="201">
        <f>BS!N170*1000</f>
        <v>0.01</v>
      </c>
      <c r="G82" s="179">
        <v>0</v>
      </c>
      <c r="H82" s="201">
        <v>0</v>
      </c>
      <c r="I82" s="179">
        <f t="shared" si="9"/>
        <v>-1</v>
      </c>
      <c r="J82" s="201">
        <v>0.01</v>
      </c>
      <c r="K82" s="179">
        <v>0</v>
      </c>
      <c r="L82" s="201">
        <v>0</v>
      </c>
      <c r="M82" s="179">
        <f t="shared" si="9"/>
        <v>-1</v>
      </c>
      <c r="N82" s="201">
        <v>-1813203.72</v>
      </c>
      <c r="O82" s="179">
        <f t="shared" si="9"/>
        <v>0.11429857973559387</v>
      </c>
      <c r="P82" s="201">
        <v>-1627215.32</v>
      </c>
      <c r="Q82" s="181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189">
        <f t="shared" si="10"/>
        <v>7</v>
      </c>
      <c r="B83" s="167" t="s">
        <v>1533</v>
      </c>
      <c r="C83" s="167"/>
      <c r="D83" s="195">
        <f>BS!AF166*1000</f>
        <v>2061509833.2946215</v>
      </c>
      <c r="E83" s="179">
        <f t="shared" si="9"/>
        <v>-1.6567126991835525E-2</v>
      </c>
      <c r="F83" s="195">
        <f>BS!N166*1000</f>
        <v>2096238482.4383502</v>
      </c>
      <c r="G83" s="179">
        <f t="shared" si="9"/>
        <v>6.8154943062128021E-2</v>
      </c>
      <c r="H83" s="195">
        <v>1962485401.6300001</v>
      </c>
      <c r="I83" s="179">
        <f t="shared" si="9"/>
        <v>3.3730412010876308E-2</v>
      </c>
      <c r="J83" s="195">
        <v>1898449904.1800001</v>
      </c>
      <c r="K83" s="179">
        <f t="shared" si="9"/>
        <v>2.186958249572319E-2</v>
      </c>
      <c r="L83" s="195">
        <v>1857820153.0799999</v>
      </c>
      <c r="M83" s="179">
        <f t="shared" si="9"/>
        <v>1.7029924023486308E-2</v>
      </c>
      <c r="N83" s="195">
        <v>1826711396.78</v>
      </c>
      <c r="O83" s="179">
        <f t="shared" si="9"/>
        <v>9.6214994331803097E-3</v>
      </c>
      <c r="P83" s="195">
        <v>1809303187.1900001</v>
      </c>
      <c r="Q83" s="181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189">
        <f t="shared" si="10"/>
        <v>8</v>
      </c>
      <c r="B84" s="167" t="s">
        <v>1534</v>
      </c>
      <c r="C84" s="167"/>
      <c r="D84" s="206">
        <v>0</v>
      </c>
      <c r="E84" s="179">
        <v>0</v>
      </c>
      <c r="F84" s="206">
        <v>0</v>
      </c>
      <c r="G84" s="179">
        <v>0</v>
      </c>
      <c r="H84" s="206">
        <v>0</v>
      </c>
      <c r="I84" s="179">
        <v>0</v>
      </c>
      <c r="J84" s="206">
        <v>0</v>
      </c>
      <c r="K84" s="179">
        <v>0</v>
      </c>
      <c r="L84" s="206">
        <v>0</v>
      </c>
      <c r="M84" s="179">
        <v>0</v>
      </c>
      <c r="N84" s="206">
        <v>0</v>
      </c>
      <c r="O84" s="179">
        <v>0</v>
      </c>
      <c r="P84" s="206">
        <v>0</v>
      </c>
      <c r="Q84" s="181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189">
        <f t="shared" si="10"/>
        <v>9</v>
      </c>
      <c r="B85" s="167" t="s">
        <v>1535</v>
      </c>
      <c r="C85" s="167"/>
      <c r="D85" s="200">
        <f>SUM(D79,D80,-D81,D82,D83,D84)</f>
        <v>3316136255.5686717</v>
      </c>
      <c r="E85" s="179">
        <f t="shared" si="9"/>
        <v>2.3478618911136794E-2</v>
      </c>
      <c r="F85" s="200">
        <f>SUM(F79,F80,-F81,F82,F83,F84)</f>
        <v>3240064027.0303431</v>
      </c>
      <c r="G85" s="179">
        <f t="shared" si="9"/>
        <v>9.1974026955523328E-2</v>
      </c>
      <c r="H85" s="200">
        <f>SUM(H79,H80,-H81,H82,H83,H84)</f>
        <v>2967162173.3200002</v>
      </c>
      <c r="I85" s="179">
        <f t="shared" si="9"/>
        <v>4.6571286765878746E-2</v>
      </c>
      <c r="J85" s="200">
        <f>SUM(J79,J80,-J81,J82,J83,J84)</f>
        <v>2835126675.8800001</v>
      </c>
      <c r="K85" s="179">
        <f t="shared" si="9"/>
        <v>3.1143788646776974E-2</v>
      </c>
      <c r="L85" s="200">
        <f>SUM(L79,L80,-L81,L82,L83,L84)</f>
        <v>2749496924.77</v>
      </c>
      <c r="M85" s="179">
        <f t="shared" si="9"/>
        <v>1.2118921968726054E-2</v>
      </c>
      <c r="N85" s="200">
        <f>SUM(N79,N80,-N81,N82,N83,N84)</f>
        <v>2716574964.75</v>
      </c>
      <c r="O85" s="179">
        <f t="shared" si="9"/>
        <v>1.3892243669470587E-2</v>
      </c>
      <c r="P85" s="200">
        <f>SUM(P79,P80,-P81,P82,P83,P84)</f>
        <v>2679352743.5599999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174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189">
        <f>A85+1</f>
        <v>10</v>
      </c>
      <c r="B87" s="178" t="s">
        <v>1443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189">
        <f t="shared" ref="A88:A92" si="11">A87+1</f>
        <v>11</v>
      </c>
      <c r="B88" s="167" t="s">
        <v>1536</v>
      </c>
      <c r="C88" s="167"/>
      <c r="D88" s="204">
        <f>(BS!AF178+BS!AF177)*1000</f>
        <v>2841852405.000001</v>
      </c>
      <c r="E88" s="179">
        <f t="shared" ref="E88:E92" si="12">(+D88-F88)/F88</f>
        <v>7.5704456320678126E-2</v>
      </c>
      <c r="F88" s="204">
        <f>(BS!N178+BS!N177)*1000</f>
        <v>2641852405</v>
      </c>
      <c r="G88" s="179">
        <f t="shared" ref="G88:G92" si="13">(+F88-H88)/H88</f>
        <v>0</v>
      </c>
      <c r="H88" s="204">
        <v>2641852405</v>
      </c>
      <c r="I88" s="179">
        <f t="shared" ref="I88:I92" si="14">(+H88-J88)/J88</f>
        <v>0.12810371796253317</v>
      </c>
      <c r="J88" s="204">
        <v>2341852405</v>
      </c>
      <c r="K88" s="179">
        <f t="shared" ref="K88:K92" si="15">(+J88-L88)/L88</f>
        <v>-3.797463930904227E-3</v>
      </c>
      <c r="L88" s="204">
        <v>2350779405</v>
      </c>
      <c r="M88" s="179">
        <f t="shared" ref="M88:M92" si="16">(+L88-N88)/N88</f>
        <v>0</v>
      </c>
      <c r="N88" s="204">
        <v>2350779405</v>
      </c>
      <c r="O88" s="179">
        <f t="shared" ref="O88:O92" si="17">(+N88-P88)/P88</f>
        <v>0</v>
      </c>
      <c r="P88" s="204">
        <v>2350779405</v>
      </c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189">
        <f t="shared" si="11"/>
        <v>12</v>
      </c>
      <c r="B89" s="167" t="s">
        <v>1558</v>
      </c>
      <c r="C89" s="167"/>
      <c r="D89" s="201">
        <v>0</v>
      </c>
      <c r="E89" s="179">
        <v>0</v>
      </c>
      <c r="F89" s="201">
        <v>0</v>
      </c>
      <c r="G89" s="179">
        <v>0</v>
      </c>
      <c r="H89" s="201">
        <v>0</v>
      </c>
      <c r="I89" s="179">
        <v>0</v>
      </c>
      <c r="J89" s="201">
        <v>0</v>
      </c>
      <c r="K89" s="179">
        <v>0</v>
      </c>
      <c r="L89" s="201">
        <v>0</v>
      </c>
      <c r="M89" s="179">
        <v>0</v>
      </c>
      <c r="N89" s="201">
        <v>0</v>
      </c>
      <c r="O89" s="179">
        <v>0</v>
      </c>
      <c r="P89" s="201">
        <v>0</v>
      </c>
      <c r="Q89" s="181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40">
        <f t="shared" si="11"/>
        <v>13</v>
      </c>
      <c r="B90" s="167" t="s">
        <v>2693</v>
      </c>
      <c r="C90" s="167"/>
      <c r="D90" s="201">
        <f>BS!AF179*1000</f>
        <v>4960255.5261093434</v>
      </c>
      <c r="E90" s="179">
        <f t="shared" si="12"/>
        <v>-3.3981497323195893E-2</v>
      </c>
      <c r="F90" s="201">
        <f>BS!N179*1000</f>
        <v>5134741.7387603298</v>
      </c>
      <c r="G90" s="179">
        <f t="shared" si="13"/>
        <v>-4.5188728477093987E-2</v>
      </c>
      <c r="H90" s="201">
        <v>5377755.6799999997</v>
      </c>
      <c r="I90" s="179">
        <v>1</v>
      </c>
      <c r="J90" s="201">
        <v>0</v>
      </c>
      <c r="K90" s="179">
        <v>0</v>
      </c>
      <c r="L90" s="201">
        <v>0</v>
      </c>
      <c r="M90" s="179">
        <v>0</v>
      </c>
      <c r="N90" s="201">
        <v>0</v>
      </c>
      <c r="O90" s="179">
        <v>0</v>
      </c>
      <c r="P90" s="201">
        <v>0</v>
      </c>
      <c r="Q90" s="181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35">
        <f t="shared" si="11"/>
        <v>14</v>
      </c>
      <c r="B91" s="167" t="s">
        <v>1537</v>
      </c>
      <c r="C91" s="167"/>
      <c r="D91" s="195">
        <f>BS!AF180*1000</f>
        <v>-8958693.8432505392</v>
      </c>
      <c r="E91" s="179">
        <f t="shared" si="12"/>
        <v>-3.8650593351798219E-2</v>
      </c>
      <c r="F91" s="195">
        <f>BS!N180*1000</f>
        <v>-9318873.8467999101</v>
      </c>
      <c r="G91" s="179">
        <f t="shared" si="13"/>
        <v>0.24426640770690675</v>
      </c>
      <c r="H91" s="195">
        <v>-7489452.25</v>
      </c>
      <c r="I91" s="179">
        <f t="shared" si="14"/>
        <v>-6.7095001360384571E-2</v>
      </c>
      <c r="J91" s="195">
        <v>-8028097.46</v>
      </c>
      <c r="K91" s="179">
        <f t="shared" si="15"/>
        <v>-6.3236529723906573E-2</v>
      </c>
      <c r="L91" s="195">
        <v>-8570036.8499999996</v>
      </c>
      <c r="M91" s="179">
        <f t="shared" si="16"/>
        <v>-5.8794972499293587E-2</v>
      </c>
      <c r="N91" s="195">
        <v>-9105387.8800000008</v>
      </c>
      <c r="O91" s="179">
        <f t="shared" si="17"/>
        <v>-5.6319434590674573E-2</v>
      </c>
      <c r="P91" s="195">
        <v>-9648803.0099999998</v>
      </c>
      <c r="Q91" s="181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735">
        <f t="shared" si="11"/>
        <v>15</v>
      </c>
      <c r="B92" s="167" t="s">
        <v>1538</v>
      </c>
      <c r="C92" s="167"/>
      <c r="D92" s="200">
        <f>SUM(D88:D91)</f>
        <v>2837853966.6828594</v>
      </c>
      <c r="E92" s="179">
        <f t="shared" si="12"/>
        <v>7.589494700613493E-2</v>
      </c>
      <c r="F92" s="200">
        <f>SUM(F88:F91)</f>
        <v>2637668272.8919606</v>
      </c>
      <c r="G92" s="179">
        <f t="shared" si="13"/>
        <v>-7.8509057022945253E-4</v>
      </c>
      <c r="H92" s="200">
        <f>SUM(H88:H91)</f>
        <v>2639740708.4299998</v>
      </c>
      <c r="I92" s="179">
        <f t="shared" si="14"/>
        <v>0.13107944754095707</v>
      </c>
      <c r="J92" s="200">
        <f>SUM(J88:J91)</f>
        <v>2333824307.54</v>
      </c>
      <c r="K92" s="179">
        <f t="shared" si="15"/>
        <v>-3.579979110331667E-3</v>
      </c>
      <c r="L92" s="200">
        <f>SUM(L88:L91)</f>
        <v>2342209368.1500001</v>
      </c>
      <c r="M92" s="179">
        <f t="shared" si="16"/>
        <v>2.2861893930848341E-4</v>
      </c>
      <c r="N92" s="200">
        <f>SUM(N88:N91)</f>
        <v>2341674017.1199999</v>
      </c>
      <c r="O92" s="179">
        <f t="shared" si="17"/>
        <v>2.3211653785491616E-4</v>
      </c>
      <c r="P92" s="200">
        <f>SUM(P88:P91)</f>
        <v>2341130601.9899998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174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189">
        <f>A92+1</f>
        <v>16</v>
      </c>
      <c r="B94" s="178" t="s">
        <v>1539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189">
        <f>A94+1</f>
        <v>17</v>
      </c>
      <c r="B95" s="167" t="s">
        <v>1540</v>
      </c>
      <c r="C95" s="167"/>
      <c r="D95" s="204">
        <f>(BS!AF270+BS!AF271)*1000</f>
        <v>3316595.7300000004</v>
      </c>
      <c r="E95" s="179">
        <f t="shared" ref="E95:E97" si="18">(+D95-F95)/F95</f>
        <v>1.4040339107224842E-16</v>
      </c>
      <c r="F95" s="204">
        <f>(BS!N270+BS!N271)*1000</f>
        <v>3316595.73</v>
      </c>
      <c r="G95" s="179">
        <f t="shared" ref="G95:O97" si="19">(+F95-H95)/H95</f>
        <v>-6.0095708939950322E-3</v>
      </c>
      <c r="H95" s="204">
        <v>3336647.55</v>
      </c>
      <c r="I95" s="179">
        <f t="shared" si="19"/>
        <v>0.12874853574061473</v>
      </c>
      <c r="J95" s="204">
        <v>2956059.25</v>
      </c>
      <c r="K95" s="179">
        <f t="shared" si="19"/>
        <v>-0.13600802720138264</v>
      </c>
      <c r="L95" s="204">
        <v>3421396.6599999997</v>
      </c>
      <c r="M95" s="179">
        <f t="shared" si="19"/>
        <v>0.71980971850672526</v>
      </c>
      <c r="N95" s="204">
        <v>1989404.19</v>
      </c>
      <c r="O95" s="179">
        <f t="shared" si="19"/>
        <v>-0.15093019276784669</v>
      </c>
      <c r="P95" s="204">
        <v>2343039.6100000003</v>
      </c>
      <c r="Q95" s="181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189">
        <f t="shared" ref="A96:A97" si="20">A95+1</f>
        <v>18</v>
      </c>
      <c r="B96" s="167" t="s">
        <v>1541</v>
      </c>
      <c r="C96" s="167"/>
      <c r="D96" s="195">
        <f>BS!AF281*1000</f>
        <v>20389159.648250572</v>
      </c>
      <c r="E96" s="179">
        <f t="shared" si="18"/>
        <v>-1.155821355090114E-2</v>
      </c>
      <c r="F96" s="195">
        <f>BS!N281*1000</f>
        <v>20627577.595132902</v>
      </c>
      <c r="G96" s="179">
        <f t="shared" si="19"/>
        <v>1.8897880490052286E-2</v>
      </c>
      <c r="H96" s="195">
        <v>20244990.190000001</v>
      </c>
      <c r="I96" s="179">
        <f t="shared" si="19"/>
        <v>-0.37128104065538048</v>
      </c>
      <c r="J96" s="195">
        <v>32200381.250000004</v>
      </c>
      <c r="K96" s="179">
        <f t="shared" si="19"/>
        <v>-0.56942232722723085</v>
      </c>
      <c r="L96" s="195">
        <v>74784140.670000002</v>
      </c>
      <c r="M96" s="179">
        <f t="shared" si="19"/>
        <v>-0.30446138876141976</v>
      </c>
      <c r="N96" s="195">
        <v>107519754.42</v>
      </c>
      <c r="O96" s="179">
        <f t="shared" si="19"/>
        <v>0.14746134454913398</v>
      </c>
      <c r="P96" s="195">
        <v>93702288.909999996</v>
      </c>
      <c r="Q96" s="181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189">
        <f t="shared" si="20"/>
        <v>19</v>
      </c>
      <c r="B97" s="167" t="s">
        <v>1542</v>
      </c>
      <c r="C97" s="167"/>
      <c r="D97" s="200">
        <f>SUM(D95:D96)</f>
        <v>23705755.378250573</v>
      </c>
      <c r="E97" s="179">
        <f t="shared" si="18"/>
        <v>-9.9572427765578977E-3</v>
      </c>
      <c r="F97" s="200">
        <f>SUM(F95:F96)</f>
        <v>23944173.325132903</v>
      </c>
      <c r="G97" s="179">
        <f t="shared" si="19"/>
        <v>1.5373638978346064E-2</v>
      </c>
      <c r="H97" s="200">
        <f>SUM(H95:H96)</f>
        <v>23581637.740000002</v>
      </c>
      <c r="I97" s="179">
        <f t="shared" si="19"/>
        <v>-0.3292370500363937</v>
      </c>
      <c r="J97" s="200">
        <f>SUM(J95:J96)</f>
        <v>35156440.5</v>
      </c>
      <c r="K97" s="179">
        <f t="shared" si="19"/>
        <v>-0.55046098140529198</v>
      </c>
      <c r="L97" s="200">
        <f>SUM(L95:L96)</f>
        <v>78205537.329999998</v>
      </c>
      <c r="M97" s="179">
        <f t="shared" si="19"/>
        <v>-0.28585391100924284</v>
      </c>
      <c r="N97" s="200">
        <f>SUM(N95:N96)</f>
        <v>109509158.61</v>
      </c>
      <c r="O97" s="179">
        <f t="shared" si="19"/>
        <v>0.14018204005826648</v>
      </c>
      <c r="P97" s="200">
        <f>SUM(P95:P96)</f>
        <v>96045328.519999996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174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189">
        <f>A97+1</f>
        <v>20</v>
      </c>
      <c r="B99" s="178" t="s">
        <v>1444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189">
        <f>A99+1</f>
        <v>21</v>
      </c>
      <c r="B100" s="167" t="s">
        <v>1556</v>
      </c>
      <c r="C100" s="167"/>
      <c r="D100" s="204">
        <f>BS!AF197*1000</f>
        <v>107025432.03486714</v>
      </c>
      <c r="E100" s="179">
        <f t="shared" ref="E100:O109" si="21">(+D100-F100)/F100</f>
        <v>-0.18045713244475642</v>
      </c>
      <c r="F100" s="204">
        <f>BS!N197*1000</f>
        <v>130591621.587937</v>
      </c>
      <c r="G100" s="179">
        <f t="shared" si="21"/>
        <v>-0.12901110283050171</v>
      </c>
      <c r="H100" s="204">
        <v>149934886.66999999</v>
      </c>
      <c r="I100" s="179">
        <f t="shared" si="21"/>
        <v>-0.36219572834935454</v>
      </c>
      <c r="J100" s="204">
        <v>235079778.13</v>
      </c>
      <c r="K100" s="179">
        <f t="shared" si="21"/>
        <v>4.2289421007959032</v>
      </c>
      <c r="L100" s="204">
        <v>44957426.109999999</v>
      </c>
      <c r="M100" s="179">
        <f t="shared" si="21"/>
        <v>1.8099743601348477</v>
      </c>
      <c r="N100" s="204">
        <v>15999230.01</v>
      </c>
      <c r="O100" s="179">
        <f t="shared" si="21"/>
        <v>-0.66666270788747328</v>
      </c>
      <c r="P100" s="204">
        <v>47997120</v>
      </c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189">
        <f>A100+1</f>
        <v>22</v>
      </c>
      <c r="B101" s="167" t="s">
        <v>1543</v>
      </c>
      <c r="C101" s="167"/>
      <c r="D101" s="195">
        <f>BS!AF203*1000</f>
        <v>117314703.04670648</v>
      </c>
      <c r="E101" s="179">
        <f t="shared" si="21"/>
        <v>-8.0723866035116183E-3</v>
      </c>
      <c r="F101" s="195">
        <f>BS!N203*1000</f>
        <v>118269419.524481</v>
      </c>
      <c r="G101" s="179">
        <f t="shared" si="21"/>
        <v>-0.1110908558449572</v>
      </c>
      <c r="H101" s="195">
        <v>133050065.13</v>
      </c>
      <c r="I101" s="179">
        <f t="shared" si="21"/>
        <v>-0.26582925122802104</v>
      </c>
      <c r="J101" s="195">
        <v>181224960.75</v>
      </c>
      <c r="K101" s="179">
        <f t="shared" si="21"/>
        <v>0.13767589676451419</v>
      </c>
      <c r="L101" s="195">
        <v>159294014.46000001</v>
      </c>
      <c r="M101" s="179">
        <f t="shared" si="21"/>
        <v>0.75728980304405591</v>
      </c>
      <c r="N101" s="195">
        <v>90647549.530000001</v>
      </c>
      <c r="O101" s="179">
        <f t="shared" si="21"/>
        <v>-0.16347824875466788</v>
      </c>
      <c r="P101" s="195">
        <v>108362453.69</v>
      </c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189">
        <f>A101+1</f>
        <v>23</v>
      </c>
      <c r="B102" s="167" t="s">
        <v>1557</v>
      </c>
      <c r="C102" s="167"/>
      <c r="D102" s="201">
        <f>BS!AF190*1000</f>
        <v>0</v>
      </c>
      <c r="E102" s="179">
        <v>0</v>
      </c>
      <c r="F102" s="201">
        <f>BS!N190*1000</f>
        <v>0</v>
      </c>
      <c r="G102" s="179">
        <v>0</v>
      </c>
      <c r="H102" s="201">
        <v>0</v>
      </c>
      <c r="I102" s="179">
        <v>0</v>
      </c>
      <c r="J102" s="201">
        <v>0</v>
      </c>
      <c r="K102" s="179">
        <v>0</v>
      </c>
      <c r="L102" s="201">
        <v>0</v>
      </c>
      <c r="M102" s="179">
        <v>0</v>
      </c>
      <c r="N102" s="201">
        <v>0</v>
      </c>
      <c r="O102" s="179">
        <v>0</v>
      </c>
      <c r="P102" s="201">
        <v>0</v>
      </c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189">
        <f>A102+1</f>
        <v>24</v>
      </c>
      <c r="B103" s="167" t="s">
        <v>1544</v>
      </c>
      <c r="C103" s="167"/>
      <c r="D103" s="201">
        <f>BS!AF208*1000</f>
        <v>41282840.647518434</v>
      </c>
      <c r="E103" s="179">
        <f t="shared" si="21"/>
        <v>1.2495036557016745E-3</v>
      </c>
      <c r="F103" s="201">
        <f>BS!N208*1000</f>
        <v>41231321.960000001</v>
      </c>
      <c r="G103" s="179">
        <f t="shared" si="21"/>
        <v>-0.20226252685923088</v>
      </c>
      <c r="H103" s="201">
        <v>51685326.75</v>
      </c>
      <c r="I103" s="179">
        <f t="shared" si="21"/>
        <v>-2.6705467325305234E-2</v>
      </c>
      <c r="J103" s="201">
        <v>53103480</v>
      </c>
      <c r="K103" s="179">
        <f t="shared" si="21"/>
        <v>-1.9904045801469455E-3</v>
      </c>
      <c r="L103" s="201">
        <v>53209388.210000001</v>
      </c>
      <c r="M103" s="179">
        <f t="shared" si="21"/>
        <v>-5.3106289124657417E-2</v>
      </c>
      <c r="N103" s="201">
        <v>56193623</v>
      </c>
      <c r="O103" s="179">
        <f t="shared" si="21"/>
        <v>0.43425486650817324</v>
      </c>
      <c r="P103" s="201">
        <v>39179663.469999999</v>
      </c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189">
        <f t="shared" ref="A104:A109" si="22">A103+1</f>
        <v>25</v>
      </c>
      <c r="B104" s="167" t="s">
        <v>1545</v>
      </c>
      <c r="C104" s="167"/>
      <c r="D104" s="195">
        <f>BS!AF210*1000</f>
        <v>31620707.210000005</v>
      </c>
      <c r="E104" s="179">
        <f t="shared" si="21"/>
        <v>1.1781173247395923E-16</v>
      </c>
      <c r="F104" s="195">
        <f>BS!N210*1000</f>
        <v>31620707.210000001</v>
      </c>
      <c r="G104" s="179">
        <f t="shared" si="21"/>
        <v>4.0632416039492322E-3</v>
      </c>
      <c r="H104" s="195">
        <v>31492744.579999998</v>
      </c>
      <c r="I104" s="179">
        <f t="shared" si="21"/>
        <v>-1.4864319299457467E-2</v>
      </c>
      <c r="J104" s="195">
        <v>31967926.039999999</v>
      </c>
      <c r="K104" s="179">
        <f t="shared" si="21"/>
        <v>4.5232394965572943E-2</v>
      </c>
      <c r="L104" s="195">
        <v>30584515.170000002</v>
      </c>
      <c r="M104" s="179">
        <f t="shared" si="21"/>
        <v>5.9107238070708452E-2</v>
      </c>
      <c r="N104" s="195">
        <v>28877637.760000002</v>
      </c>
      <c r="O104" s="179">
        <f t="shared" si="21"/>
        <v>0.10012130500036097</v>
      </c>
      <c r="P104" s="195">
        <v>26249503.239999998</v>
      </c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189">
        <f t="shared" si="22"/>
        <v>26</v>
      </c>
      <c r="B105" s="167" t="s">
        <v>1546</v>
      </c>
      <c r="C105" s="167"/>
      <c r="D105" s="195">
        <f>BS!AF214*1000</f>
        <v>26078540.688593313</v>
      </c>
      <c r="E105" s="179">
        <f t="shared" si="21"/>
        <v>-0.24409278702988416</v>
      </c>
      <c r="F105" s="195">
        <f>BS!N214*1000</f>
        <v>34499658.478089303</v>
      </c>
      <c r="G105" s="179">
        <f t="shared" si="21"/>
        <v>0.32150430219502918</v>
      </c>
      <c r="H105" s="195">
        <v>26106353.510000002</v>
      </c>
      <c r="I105" s="179">
        <f t="shared" si="21"/>
        <v>9.2886456809099432E-2</v>
      </c>
      <c r="J105" s="195">
        <v>23887525.870000001</v>
      </c>
      <c r="K105" s="179">
        <f t="shared" si="21"/>
        <v>0.2682154763584717</v>
      </c>
      <c r="L105" s="195">
        <v>18835542</v>
      </c>
      <c r="M105" s="179">
        <f t="shared" si="21"/>
        <v>-0.5825836338739796</v>
      </c>
      <c r="N105" s="195">
        <v>45124109.950000003</v>
      </c>
      <c r="O105" s="179">
        <f t="shared" si="21"/>
        <v>1.2089821542340453</v>
      </c>
      <c r="P105" s="195">
        <v>20427557.489999998</v>
      </c>
      <c r="Q105" s="181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189">
        <f t="shared" si="22"/>
        <v>27</v>
      </c>
      <c r="B106" s="167" t="s">
        <v>1547</v>
      </c>
      <c r="C106" s="167"/>
      <c r="D106" s="195">
        <f>BS!AF218*1000</f>
        <v>29351434.953837711</v>
      </c>
      <c r="E106" s="179">
        <f t="shared" si="21"/>
        <v>-0.14261223448575691</v>
      </c>
      <c r="F106" s="195">
        <f>BS!N218*1000</f>
        <v>34233559.346666604</v>
      </c>
      <c r="G106" s="179">
        <f t="shared" si="21"/>
        <v>0.71319515240195575</v>
      </c>
      <c r="H106" s="195">
        <v>19982288.239999998</v>
      </c>
      <c r="I106" s="179">
        <f t="shared" si="21"/>
        <v>0.22840723906726493</v>
      </c>
      <c r="J106" s="195">
        <v>16266827.16</v>
      </c>
      <c r="K106" s="179">
        <f t="shared" si="21"/>
        <v>6.533371913459372E-3</v>
      </c>
      <c r="L106" s="195">
        <v>16161239.77</v>
      </c>
      <c r="M106" s="179">
        <f t="shared" si="21"/>
        <v>8.7109722619894778E-3</v>
      </c>
      <c r="N106" s="195">
        <v>16021675.4</v>
      </c>
      <c r="O106" s="179">
        <f t="shared" si="21"/>
        <v>1.6549515220289284E-2</v>
      </c>
      <c r="P106" s="195">
        <v>15760841.119999999</v>
      </c>
      <c r="Q106" s="181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189">
        <f t="shared" si="22"/>
        <v>28</v>
      </c>
      <c r="B107" s="167" t="s">
        <v>1548</v>
      </c>
      <c r="C107" s="167"/>
      <c r="D107" s="195">
        <f>(BS!AF222+BS!AF223)*1000</f>
        <v>4698417.4599999888</v>
      </c>
      <c r="E107" s="179">
        <f t="shared" si="21"/>
        <v>-3.9644096444996625E-16</v>
      </c>
      <c r="F107" s="195">
        <f>(BS!N222+BS!N223)*1000</f>
        <v>4698417.4599999906</v>
      </c>
      <c r="G107" s="179">
        <f t="shared" si="21"/>
        <v>0.12164467773174759</v>
      </c>
      <c r="H107" s="195">
        <v>4188864.4000000004</v>
      </c>
      <c r="I107" s="179">
        <f t="shared" si="21"/>
        <v>2.3192521851742011E-2</v>
      </c>
      <c r="J107" s="195">
        <v>4093916.1600000006</v>
      </c>
      <c r="K107" s="179">
        <f t="shared" si="21"/>
        <v>-1.3568294194327953E-2</v>
      </c>
      <c r="L107" s="195">
        <v>4150227.6700000009</v>
      </c>
      <c r="M107" s="179">
        <f t="shared" si="21"/>
        <v>-6.2560195862942383E-2</v>
      </c>
      <c r="N107" s="195">
        <v>4427193.7800000012</v>
      </c>
      <c r="O107" s="179">
        <f t="shared" si="21"/>
        <v>0.10976360573170063</v>
      </c>
      <c r="P107" s="195">
        <v>3989312.4600000004</v>
      </c>
      <c r="Q107" s="181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189">
        <f t="shared" si="22"/>
        <v>29</v>
      </c>
      <c r="B108" s="167" t="s">
        <v>1549</v>
      </c>
      <c r="C108" s="167"/>
      <c r="D108" s="195">
        <f>(BS!AF224+BS!AF225+BS!AF226+BS!AF227+BS!AF228+BS!AF229)*1000</f>
        <v>25097231.384292416</v>
      </c>
      <c r="E108" s="179">
        <f t="shared" si="21"/>
        <v>-9.5477107274456463E-2</v>
      </c>
      <c r="F108" s="195">
        <f>(BS!N224+BS!N225+BS!N226+BS!N227+BS!N228+BS!N229)*1000</f>
        <v>27746375.007346097</v>
      </c>
      <c r="G108" s="179">
        <f t="shared" si="21"/>
        <v>-5.957172203542864E-2</v>
      </c>
      <c r="H108" s="195">
        <v>29503977.770000003</v>
      </c>
      <c r="I108" s="179">
        <f t="shared" si="21"/>
        <v>0.54189468406113062</v>
      </c>
      <c r="J108" s="195">
        <v>19134885.199999999</v>
      </c>
      <c r="K108" s="179">
        <f t="shared" si="21"/>
        <v>2.7061033345965338E-2</v>
      </c>
      <c r="L108" s="195">
        <v>18630718.699999999</v>
      </c>
      <c r="M108" s="179">
        <f t="shared" si="21"/>
        <v>3.4030626568105495E-2</v>
      </c>
      <c r="N108" s="195">
        <v>18017569.52</v>
      </c>
      <c r="O108" s="179">
        <f t="shared" si="21"/>
        <v>-5.7057636984188684E-2</v>
      </c>
      <c r="P108" s="195">
        <v>19107816.369999997</v>
      </c>
      <c r="Q108" s="181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189">
        <f t="shared" si="22"/>
        <v>30</v>
      </c>
      <c r="B109" s="167" t="s">
        <v>1445</v>
      </c>
      <c r="C109" s="167"/>
      <c r="D109" s="200">
        <f>SUM(D100:D108)</f>
        <v>382469307.42581546</v>
      </c>
      <c r="E109" s="179">
        <f t="shared" si="21"/>
        <v>-9.5584359674338121E-2</v>
      </c>
      <c r="F109" s="200">
        <f>SUM(F100:F108)</f>
        <v>422891080.57451987</v>
      </c>
      <c r="G109" s="179">
        <f t="shared" si="21"/>
        <v>-5.1695729201784384E-2</v>
      </c>
      <c r="H109" s="200">
        <f>SUM(H100:H108)</f>
        <v>445944507.04999989</v>
      </c>
      <c r="I109" s="179">
        <f t="shared" si="21"/>
        <v>-0.21038129412860176</v>
      </c>
      <c r="J109" s="200">
        <f>SUM(J100:J108)</f>
        <v>564759299.31000006</v>
      </c>
      <c r="K109" s="179">
        <f t="shared" si="21"/>
        <v>0.6330873932061486</v>
      </c>
      <c r="L109" s="200">
        <f>SUM(L100:L108)</f>
        <v>345823072.08999997</v>
      </c>
      <c r="M109" s="179">
        <f t="shared" si="21"/>
        <v>0.2561288894361608</v>
      </c>
      <c r="N109" s="200">
        <f>SUM(N100:N108)</f>
        <v>275308588.94999999</v>
      </c>
      <c r="O109" s="179">
        <f t="shared" si="21"/>
        <v>-2.0513008658914752E-2</v>
      </c>
      <c r="P109" s="200">
        <f>SUM(P100:P108)</f>
        <v>281074267.84000003</v>
      </c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174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189">
        <f>A109+1</f>
        <v>31</v>
      </c>
      <c r="B111" s="178" t="s">
        <v>1446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189">
        <f>A111+1</f>
        <v>32</v>
      </c>
      <c r="B112" s="167" t="s">
        <v>1188</v>
      </c>
      <c r="C112" s="167"/>
      <c r="D112" s="204">
        <f>BS!AF257*1000</f>
        <v>1719771.59</v>
      </c>
      <c r="E112" s="179">
        <f t="shared" ref="E112:O119" si="23">(+D112-F112)/F112</f>
        <v>0</v>
      </c>
      <c r="F112" s="204">
        <f>BS!N257*1000</f>
        <v>1719771.59</v>
      </c>
      <c r="G112" s="179">
        <f t="shared" si="23"/>
        <v>-0.64842053515579812</v>
      </c>
      <c r="H112" s="204">
        <v>4891558.7</v>
      </c>
      <c r="I112" s="179">
        <f t="shared" si="23"/>
        <v>2.642039786739184</v>
      </c>
      <c r="J112" s="204">
        <v>1343082.17</v>
      </c>
      <c r="K112" s="179">
        <f t="shared" si="23"/>
        <v>0.59473839531305239</v>
      </c>
      <c r="L112" s="204">
        <v>842195.92</v>
      </c>
      <c r="M112" s="179">
        <f t="shared" si="23"/>
        <v>-0.44632966097967158</v>
      </c>
      <c r="N112" s="204">
        <v>1521114.39</v>
      </c>
      <c r="O112" s="179">
        <f t="shared" si="23"/>
        <v>-0.22734505680885256</v>
      </c>
      <c r="P112" s="204">
        <v>1968685.25</v>
      </c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189">
        <f t="shared" ref="A113:A119" si="24">A112+1</f>
        <v>33</v>
      </c>
      <c r="B113" s="167" t="s">
        <v>1550</v>
      </c>
      <c r="C113" s="167"/>
      <c r="D113" s="195">
        <f>BS!AF244*1000</f>
        <v>86323268.203333318</v>
      </c>
      <c r="E113" s="179">
        <f t="shared" si="23"/>
        <v>-1.8049367371237607E-2</v>
      </c>
      <c r="F113" s="195">
        <f>BS!N244*1000</f>
        <v>87909987.86999999</v>
      </c>
      <c r="G113" s="179">
        <f t="shared" si="23"/>
        <v>-2.4069230359353277E-2</v>
      </c>
      <c r="H113" s="195">
        <v>90078098.370000005</v>
      </c>
      <c r="I113" s="179">
        <f t="shared" si="23"/>
        <v>-1.6872766563530841E-2</v>
      </c>
      <c r="J113" s="195">
        <v>91624049.569999993</v>
      </c>
      <c r="K113" s="179">
        <f t="shared" si="23"/>
        <v>-2.3799862398664485E-2</v>
      </c>
      <c r="L113" s="195">
        <v>93857853.569999993</v>
      </c>
      <c r="M113" s="179">
        <f t="shared" si="23"/>
        <v>-2.0007363254209244E-2</v>
      </c>
      <c r="N113" s="195">
        <v>95774039.569999993</v>
      </c>
      <c r="O113" s="179">
        <f t="shared" si="23"/>
        <v>2.9618721434295996E-2</v>
      </c>
      <c r="P113" s="195">
        <v>93018937.569999993</v>
      </c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189">
        <f t="shared" si="24"/>
        <v>34</v>
      </c>
      <c r="B114" s="167" t="s">
        <v>1551</v>
      </c>
      <c r="C114" s="167"/>
      <c r="D114" s="195">
        <f>BS!AF267*1000</f>
        <v>2123965.0099999998</v>
      </c>
      <c r="E114" s="179">
        <f t="shared" si="23"/>
        <v>0</v>
      </c>
      <c r="F114" s="195">
        <f>BS!N267*1000</f>
        <v>2123965.0099999998</v>
      </c>
      <c r="G114" s="179">
        <f t="shared" si="23"/>
        <v>17.088548908273363</v>
      </c>
      <c r="H114" s="195">
        <v>117420.42</v>
      </c>
      <c r="I114" s="179">
        <f t="shared" si="23"/>
        <v>-0.91283029142922312</v>
      </c>
      <c r="J114" s="195">
        <v>1347032.38</v>
      </c>
      <c r="K114" s="179">
        <f t="shared" si="23"/>
        <v>-2.5260839935193201E-2</v>
      </c>
      <c r="L114" s="195">
        <v>1381941.38</v>
      </c>
      <c r="M114" s="179">
        <f t="shared" si="23"/>
        <v>-0.10427393082148953</v>
      </c>
      <c r="N114" s="195">
        <v>1542816.97</v>
      </c>
      <c r="O114" s="179">
        <f t="shared" si="23"/>
        <v>-0.82225466250166501</v>
      </c>
      <c r="P114" s="195">
        <v>8679929.3399999999</v>
      </c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189">
        <f t="shared" si="24"/>
        <v>35</v>
      </c>
      <c r="B115" s="167" t="s">
        <v>1552</v>
      </c>
      <c r="C115" s="167"/>
      <c r="D115" s="195">
        <f>BS!AF252*1000</f>
        <v>680571899.89728379</v>
      </c>
      <c r="E115" s="179">
        <f t="shared" si="23"/>
        <v>-4.4577825777089415E-2</v>
      </c>
      <c r="F115" s="195">
        <f>BS!N252*1000</f>
        <v>712325836.95351708</v>
      </c>
      <c r="G115" s="179">
        <f t="shared" si="23"/>
        <v>-4.4679538436269088E-2</v>
      </c>
      <c r="H115" s="195">
        <v>745640720.16999996</v>
      </c>
      <c r="I115" s="179">
        <f t="shared" si="23"/>
        <v>-3.2816133329855536E-2</v>
      </c>
      <c r="J115" s="195">
        <v>770939989.65999997</v>
      </c>
      <c r="K115" s="179">
        <f t="shared" si="23"/>
        <v>3.5778296999305424E-2</v>
      </c>
      <c r="L115" s="195">
        <v>744309850.75999999</v>
      </c>
      <c r="M115" s="179">
        <f t="shared" si="23"/>
        <v>4.1260355545416587</v>
      </c>
      <c r="N115" s="195">
        <v>145201850.99000001</v>
      </c>
      <c r="O115" s="179">
        <f t="shared" si="23"/>
        <v>-5.3386775151581974E-2</v>
      </c>
      <c r="P115" s="195">
        <v>153390896.28</v>
      </c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189">
        <f t="shared" si="24"/>
        <v>36</v>
      </c>
      <c r="B116" s="167" t="s">
        <v>1553</v>
      </c>
      <c r="C116" s="167"/>
      <c r="D116" s="195">
        <f>BS!AF262*1000</f>
        <v>85344734.278461456</v>
      </c>
      <c r="E116" s="179">
        <f t="shared" si="23"/>
        <v>-0.25693111793974649</v>
      </c>
      <c r="F116" s="195">
        <f>BS!N262*1000</f>
        <v>114854404.94</v>
      </c>
      <c r="G116" s="179">
        <f t="shared" si="23"/>
        <v>-0.19064944649762958</v>
      </c>
      <c r="H116" s="195">
        <v>141909342.55000001</v>
      </c>
      <c r="I116" s="179">
        <f t="shared" si="23"/>
        <v>-0.28834672591606786</v>
      </c>
      <c r="J116" s="195">
        <v>199407980.99000001</v>
      </c>
      <c r="K116" s="179">
        <f t="shared" si="23"/>
        <v>-0.15119733921974282</v>
      </c>
      <c r="L116" s="195">
        <v>234928553.13</v>
      </c>
      <c r="M116" s="179">
        <f t="shared" si="23"/>
        <v>-0.18618113143573209</v>
      </c>
      <c r="N116" s="195">
        <v>288674251.98000002</v>
      </c>
      <c r="O116" s="179">
        <f t="shared" si="23"/>
        <v>-0.2028731368117315</v>
      </c>
      <c r="P116" s="195">
        <v>362143424.48000002</v>
      </c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189">
        <f t="shared" si="24"/>
        <v>37</v>
      </c>
      <c r="B117" s="167" t="s">
        <v>1554</v>
      </c>
      <c r="C117" s="167"/>
      <c r="D117" s="201">
        <f>BS!AF272*1000</f>
        <v>12880490.60692306</v>
      </c>
      <c r="E117" s="179">
        <f t="shared" si="23"/>
        <v>-0.2775256615228987</v>
      </c>
      <c r="F117" s="201">
        <f>BS!N272*1000</f>
        <v>17828301.879999999</v>
      </c>
      <c r="G117" s="179">
        <f t="shared" si="23"/>
        <v>-0.21577321578613937</v>
      </c>
      <c r="H117" s="201">
        <v>22733604.919999998</v>
      </c>
      <c r="I117" s="179">
        <v>1</v>
      </c>
      <c r="J117" s="201">
        <v>0</v>
      </c>
      <c r="K117" s="179">
        <v>0</v>
      </c>
      <c r="L117" s="201">
        <v>0</v>
      </c>
      <c r="M117" s="179">
        <v>0</v>
      </c>
      <c r="N117" s="201">
        <v>0</v>
      </c>
      <c r="O117" s="179">
        <v>0</v>
      </c>
      <c r="P117" s="201">
        <v>0</v>
      </c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189">
        <f t="shared" si="24"/>
        <v>38</v>
      </c>
      <c r="B118" s="167" t="s">
        <v>1527</v>
      </c>
      <c r="C118" s="167"/>
      <c r="D118" s="195">
        <f>BS!AF239*1000</f>
        <v>1168973516.026547</v>
      </c>
      <c r="E118" s="179">
        <f t="shared" si="23"/>
        <v>1.8078339557721253E-2</v>
      </c>
      <c r="F118" s="195">
        <f>BS!N239*1000</f>
        <v>1148215683.02335</v>
      </c>
      <c r="G118" s="179">
        <f t="shared" si="23"/>
        <v>3.8981677339622163E-2</v>
      </c>
      <c r="H118" s="195">
        <v>1105135642.01</v>
      </c>
      <c r="I118" s="179">
        <f t="shared" si="23"/>
        <v>3.5716080964312572E-2</v>
      </c>
      <c r="J118" s="195">
        <v>1067025666.9</v>
      </c>
      <c r="K118" s="179">
        <f t="shared" si="23"/>
        <v>1.2683238754017693E-2</v>
      </c>
      <c r="L118" s="195">
        <v>1053661822.4400001</v>
      </c>
      <c r="M118" s="179">
        <f t="shared" si="23"/>
        <v>-0.29265536189869973</v>
      </c>
      <c r="N118" s="195">
        <v>1489601766.5</v>
      </c>
      <c r="O118" s="179">
        <f t="shared" si="23"/>
        <v>6.0496906358886257E-2</v>
      </c>
      <c r="P118" s="195">
        <v>1404626225.28</v>
      </c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189">
        <f t="shared" si="24"/>
        <v>39</v>
      </c>
      <c r="B119" s="167" t="s">
        <v>1447</v>
      </c>
      <c r="C119" s="167"/>
      <c r="D119" s="200">
        <f>SUM(D112:D118)</f>
        <v>2037937645.6125486</v>
      </c>
      <c r="E119" s="179">
        <f t="shared" si="23"/>
        <v>-2.2561536262643019E-2</v>
      </c>
      <c r="F119" s="200">
        <f>SUM(F112:F118)</f>
        <v>2084977951.2668672</v>
      </c>
      <c r="G119" s="179">
        <f t="shared" si="23"/>
        <v>-1.2095881836077705E-2</v>
      </c>
      <c r="H119" s="200">
        <f>SUM(H112:H118)</f>
        <v>2110506387.1399999</v>
      </c>
      <c r="I119" s="179">
        <f t="shared" si="23"/>
        <v>-9.9364524736719577E-3</v>
      </c>
      <c r="J119" s="200">
        <f>SUM(J112:J118)</f>
        <v>2131687801.6700001</v>
      </c>
      <c r="K119" s="179">
        <f t="shared" si="23"/>
        <v>1.2708346965708177E-3</v>
      </c>
      <c r="L119" s="200">
        <f>SUM(L112:L118)</f>
        <v>2128982217.2</v>
      </c>
      <c r="M119" s="179">
        <f t="shared" si="23"/>
        <v>5.274466760785599E-2</v>
      </c>
      <c r="N119" s="200">
        <f>SUM(N112:N118)</f>
        <v>2022315840.4000001</v>
      </c>
      <c r="O119" s="179">
        <f t="shared" si="23"/>
        <v>-7.472264078875868E-4</v>
      </c>
      <c r="P119" s="200">
        <f>SUM(P112:P118)</f>
        <v>2023828098.2</v>
      </c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189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189">
        <f>A119+1</f>
        <v>40</v>
      </c>
      <c r="B121" s="167" t="s">
        <v>1555</v>
      </c>
      <c r="C121" s="167"/>
      <c r="D121" s="203">
        <f>D85+D92+D97+D109+D119</f>
        <v>8598102930.6681461</v>
      </c>
      <c r="E121" s="179">
        <f t="shared" ref="E121:O121" si="25">(+D121-F121)/F121</f>
        <v>2.2421833078282306E-2</v>
      </c>
      <c r="F121" s="203">
        <f>F85+F92+F97+F109+F119</f>
        <v>8409545505.0888252</v>
      </c>
      <c r="G121" s="179">
        <f t="shared" si="25"/>
        <v>2.7190893803419224E-2</v>
      </c>
      <c r="H121" s="203">
        <f>H85+H92+H97+H109+H119</f>
        <v>8186935413.6800003</v>
      </c>
      <c r="I121" s="179">
        <f t="shared" si="25"/>
        <v>3.6248201044296262E-2</v>
      </c>
      <c r="J121" s="203">
        <f>J85+J92+J97+J109+J119</f>
        <v>7900554524.9000006</v>
      </c>
      <c r="K121" s="179">
        <f t="shared" si="25"/>
        <v>3.3465908726181215E-2</v>
      </c>
      <c r="L121" s="203">
        <f>L85+L92+L97+L109+L119</f>
        <v>7644717119.54</v>
      </c>
      <c r="M121" s="179">
        <f t="shared" si="25"/>
        <v>2.4022151314086481E-2</v>
      </c>
      <c r="N121" s="203">
        <f>N85+N92+N97+N109+N119</f>
        <v>7465382569.8299999</v>
      </c>
      <c r="O121" s="179">
        <f t="shared" si="25"/>
        <v>5.9222445755352359E-3</v>
      </c>
      <c r="P121" s="203">
        <f>P85+P92+P97+P109+P119</f>
        <v>7421431040.1099997</v>
      </c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174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>
      <c r="A123" s="174"/>
      <c r="B123" s="167"/>
      <c r="C123" s="167"/>
      <c r="D123" s="167">
        <f>D60-D121</f>
        <v>-2.47955322265625E-5</v>
      </c>
      <c r="E123" s="167"/>
      <c r="F123" s="167">
        <f>F60-F121</f>
        <v>-2.6702880859375E-5</v>
      </c>
      <c r="G123" s="167"/>
      <c r="H123" s="167">
        <f>H60-H121</f>
        <v>9.9992752075195313E-3</v>
      </c>
      <c r="I123" s="167"/>
      <c r="J123" s="167">
        <f>J60-J121</f>
        <v>0</v>
      </c>
      <c r="K123" s="167"/>
      <c r="L123" s="167">
        <f>L60-L121</f>
        <v>0</v>
      </c>
      <c r="M123" s="167"/>
      <c r="N123" s="167">
        <f>N60-N121</f>
        <v>0</v>
      </c>
      <c r="O123" s="167"/>
      <c r="P123" s="167">
        <f>P60-P121</f>
        <v>0</v>
      </c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>
      <c r="A124" s="174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174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174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174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174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174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22"/>
      <c r="B191" s="822"/>
      <c r="C191" s="822"/>
      <c r="D191" s="822"/>
      <c r="E191" s="822"/>
      <c r="F191" s="822"/>
      <c r="G191" s="822"/>
      <c r="H191" s="822"/>
      <c r="I191" s="822"/>
      <c r="J191" s="822"/>
      <c r="K191" s="822"/>
      <c r="L191" s="822"/>
      <c r="M191" s="822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A191:M191"/>
    <mergeCell ref="B14:C14"/>
    <mergeCell ref="B76:C76"/>
  </mergeCells>
  <printOptions horizontalCentered="1"/>
  <pageMargins left="0.25" right="0.2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454" bestFit="1" customWidth="1"/>
    <col min="2" max="2" width="1.5" style="454" customWidth="1"/>
    <col min="3" max="3" width="50.25" style="454" bestFit="1" customWidth="1"/>
    <col min="4" max="16384" width="9" style="65"/>
  </cols>
  <sheetData>
    <row r="1" spans="1:3" ht="15.75">
      <c r="A1" s="806" t="s">
        <v>0</v>
      </c>
      <c r="B1" s="806"/>
      <c r="C1" s="806"/>
    </row>
    <row r="2" spans="1:3" ht="15.75">
      <c r="A2" s="806" t="s">
        <v>120</v>
      </c>
      <c r="B2" s="806"/>
      <c r="C2" s="806"/>
    </row>
    <row r="3" spans="1:3" ht="15.75">
      <c r="A3" s="806" t="s">
        <v>2691</v>
      </c>
      <c r="B3" s="806"/>
      <c r="C3" s="806"/>
    </row>
    <row r="8" spans="1:3">
      <c r="A8" s="455" t="s">
        <v>121</v>
      </c>
    </row>
    <row r="9" spans="1:3">
      <c r="A9" s="454" t="s">
        <v>122</v>
      </c>
      <c r="C9" s="456" t="s">
        <v>0</v>
      </c>
    </row>
    <row r="10" spans="1:3">
      <c r="A10" s="454" t="s">
        <v>123</v>
      </c>
      <c r="C10" s="456" t="s">
        <v>2735</v>
      </c>
    </row>
    <row r="11" spans="1:3">
      <c r="A11" s="454" t="s">
        <v>124</v>
      </c>
      <c r="C11" s="456" t="s">
        <v>2679</v>
      </c>
    </row>
    <row r="12" spans="1:3">
      <c r="C12" s="456" t="s">
        <v>2680</v>
      </c>
    </row>
    <row r="13" spans="1:3">
      <c r="C13" s="456" t="s">
        <v>2681</v>
      </c>
    </row>
    <row r="14" spans="1:3">
      <c r="C14" s="456" t="s">
        <v>2682</v>
      </c>
    </row>
    <row r="15" spans="1:3">
      <c r="C15" s="456" t="s">
        <v>2683</v>
      </c>
    </row>
    <row r="16" spans="1:3">
      <c r="C16" s="456" t="s">
        <v>2684</v>
      </c>
    </row>
    <row r="17" spans="1:3">
      <c r="A17" s="454" t="s">
        <v>125</v>
      </c>
      <c r="C17" s="489" t="s">
        <v>2685</v>
      </c>
    </row>
    <row r="18" spans="1:3">
      <c r="C18" s="456" t="s">
        <v>2686</v>
      </c>
    </row>
    <row r="19" spans="1:3">
      <c r="C19" s="456" t="s">
        <v>2690</v>
      </c>
    </row>
    <row r="20" spans="1:3">
      <c r="C20" s="456" t="s">
        <v>2689</v>
      </c>
    </row>
    <row r="21" spans="1:3">
      <c r="C21" s="456" t="s">
        <v>2687</v>
      </c>
    </row>
    <row r="22" spans="1:3">
      <c r="C22" s="456" t="s">
        <v>2688</v>
      </c>
    </row>
    <row r="24" spans="1:3">
      <c r="C24" s="457"/>
    </row>
    <row r="25" spans="1:3">
      <c r="C25" s="457"/>
    </row>
    <row r="26" spans="1:3">
      <c r="C26" s="457"/>
    </row>
    <row r="28" spans="1:3">
      <c r="A28" s="455" t="s">
        <v>126</v>
      </c>
      <c r="C28" s="458"/>
    </row>
    <row r="29" spans="1:3">
      <c r="A29" s="454" t="s">
        <v>127</v>
      </c>
      <c r="C29" s="454" t="s">
        <v>164</v>
      </c>
    </row>
    <row r="30" spans="1:3">
      <c r="A30" s="454" t="s">
        <v>128</v>
      </c>
      <c r="C30" s="454" t="s">
        <v>165</v>
      </c>
    </row>
    <row r="31" spans="1:3">
      <c r="A31" s="454" t="s">
        <v>129</v>
      </c>
      <c r="C31" s="454" t="s">
        <v>166</v>
      </c>
    </row>
    <row r="35" spans="1:4">
      <c r="A35" s="455" t="s">
        <v>130</v>
      </c>
    </row>
    <row r="36" spans="1:4">
      <c r="A36" s="454" t="s">
        <v>2211</v>
      </c>
      <c r="C36" s="454" t="str">
        <f>CONCATENATE($A$35,"   ", A36)</f>
        <v>WITNESS:   C. M. GARRETT</v>
      </c>
    </row>
    <row r="37" spans="1:4">
      <c r="A37" s="454" t="s">
        <v>2211</v>
      </c>
      <c r="C37" s="454" t="str">
        <f t="shared" ref="C37:C48" si="0">CONCATENATE($A$35,"   ", A37)</f>
        <v>WITNESS:   C. M. GARRETT</v>
      </c>
      <c r="D37" s="65" t="s">
        <v>1831</v>
      </c>
    </row>
    <row r="38" spans="1:4">
      <c r="A38" s="454" t="s">
        <v>2211</v>
      </c>
      <c r="C38" s="454" t="str">
        <f t="shared" si="0"/>
        <v>WITNESS:   C. M. GARRETT</v>
      </c>
      <c r="D38" s="65" t="s">
        <v>2374</v>
      </c>
    </row>
    <row r="39" spans="1:4">
      <c r="C39" s="454" t="str">
        <f t="shared" si="0"/>
        <v xml:space="preserve">WITNESS:   </v>
      </c>
    </row>
    <row r="40" spans="1:4">
      <c r="C40" s="454" t="str">
        <f t="shared" si="0"/>
        <v xml:space="preserve">WITNESS:   </v>
      </c>
    </row>
    <row r="41" spans="1:4">
      <c r="C41" s="454" t="str">
        <f t="shared" si="0"/>
        <v xml:space="preserve">WITNESS:   </v>
      </c>
    </row>
    <row r="42" spans="1:4">
      <c r="C42" s="454" t="str">
        <f t="shared" si="0"/>
        <v xml:space="preserve">WITNESS:   </v>
      </c>
    </row>
    <row r="43" spans="1:4">
      <c r="C43" s="454" t="str">
        <f t="shared" si="0"/>
        <v xml:space="preserve">WITNESS:   </v>
      </c>
    </row>
    <row r="44" spans="1:4">
      <c r="C44" s="454" t="str">
        <f t="shared" si="0"/>
        <v xml:space="preserve">WITNESS:   </v>
      </c>
    </row>
    <row r="45" spans="1:4">
      <c r="C45" s="454" t="str">
        <f t="shared" si="0"/>
        <v xml:space="preserve">WITNESS:   </v>
      </c>
    </row>
    <row r="46" spans="1:4">
      <c r="C46" s="454" t="str">
        <f t="shared" si="0"/>
        <v xml:space="preserve">WITNESS:   </v>
      </c>
    </row>
    <row r="47" spans="1:4">
      <c r="C47" s="454" t="str">
        <f t="shared" si="0"/>
        <v xml:space="preserve">WITNESS:   </v>
      </c>
    </row>
    <row r="48" spans="1:4">
      <c r="C48" s="45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25" style="167" customWidth="1"/>
    <col min="5" max="5" width="11.625" style="167" customWidth="1"/>
    <col min="6" max="6" width="14.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8" width="13.375" style="167" customWidth="1"/>
    <col min="19" max="19" width="13.5" style="167" customWidth="1"/>
    <col min="20" max="20" width="13" style="167" customWidth="1"/>
    <col min="21" max="21" width="12.375" style="167" customWidth="1"/>
    <col min="22" max="22" width="11.875" style="167" customWidth="1"/>
    <col min="23" max="23" width="12.5" style="167" customWidth="1"/>
    <col min="24" max="24" width="11.875" style="167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2082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2692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173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1457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__X__ ORIGINAL  _____ UPDATED  _____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2052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1453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1476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363" t="s">
        <v>1462</v>
      </c>
      <c r="B11" s="167"/>
      <c r="C11" s="167"/>
      <c r="D11" s="632" t="s">
        <v>1458</v>
      </c>
      <c r="E11" s="167"/>
      <c r="F11" s="632" t="s">
        <v>1461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363" t="s">
        <v>1463</v>
      </c>
      <c r="B12" s="363" t="s">
        <v>204</v>
      </c>
      <c r="C12" s="167"/>
      <c r="D12" s="632" t="s">
        <v>1459</v>
      </c>
      <c r="E12" s="632" t="s">
        <v>1460</v>
      </c>
      <c r="F12" s="632" t="s">
        <v>1459</v>
      </c>
      <c r="G12" s="363" t="s">
        <v>1460</v>
      </c>
      <c r="H12" s="175">
        <v>2019</v>
      </c>
      <c r="I12" s="363" t="s">
        <v>1460</v>
      </c>
      <c r="J12" s="175">
        <v>2018</v>
      </c>
      <c r="K12" s="363" t="s">
        <v>1460</v>
      </c>
      <c r="L12" s="175">
        <v>2017</v>
      </c>
      <c r="M12" s="363" t="s">
        <v>1460</v>
      </c>
      <c r="N12" s="175">
        <v>2016</v>
      </c>
      <c r="O12" s="363" t="s">
        <v>1460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363">
        <v>1</v>
      </c>
      <c r="B14" s="823" t="s">
        <v>1495</v>
      </c>
      <c r="C14" s="823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363"/>
      <c r="B15" s="364"/>
      <c r="C15" s="364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363">
        <f>A14+1</f>
        <v>2</v>
      </c>
      <c r="B16" s="178" t="s">
        <v>1439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 t="s">
        <v>1458</v>
      </c>
      <c r="S16" s="167" t="s">
        <v>1461</v>
      </c>
      <c r="T16" s="459" t="s">
        <v>2695</v>
      </c>
      <c r="U16" s="459" t="s">
        <v>2696</v>
      </c>
      <c r="V16" s="459" t="s">
        <v>2530</v>
      </c>
      <c r="W16" s="459" t="s">
        <v>2529</v>
      </c>
      <c r="X16" s="167" t="s">
        <v>2242</v>
      </c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363">
        <f t="shared" ref="A17:A21" si="0">A16+1</f>
        <v>3</v>
      </c>
      <c r="B17" s="167" t="s">
        <v>1454</v>
      </c>
      <c r="C17" s="167"/>
      <c r="D17" s="204">
        <f>R17</f>
        <v>10215737633</v>
      </c>
      <c r="E17" s="179">
        <f t="shared" ref="E17:O21" si="1">(+D17-F17)/F17</f>
        <v>3.693880216001106E-2</v>
      </c>
      <c r="F17" s="204">
        <f>S17</f>
        <v>9851823089</v>
      </c>
      <c r="G17" s="179">
        <f t="shared" si="1"/>
        <v>6.6348938788086953E-2</v>
      </c>
      <c r="H17" s="204">
        <f>T17</f>
        <v>9238836117</v>
      </c>
      <c r="I17" s="179">
        <f t="shared" si="1"/>
        <v>8.4892739286049929E-2</v>
      </c>
      <c r="J17" s="204">
        <f>U17</f>
        <v>8515898192</v>
      </c>
      <c r="K17" s="179">
        <f t="shared" si="1"/>
        <v>3.3500285544639567E-2</v>
      </c>
      <c r="L17" s="204">
        <f>V17</f>
        <v>8239860512</v>
      </c>
      <c r="M17" s="179">
        <f t="shared" si="1"/>
        <v>2.148132107415112E-2</v>
      </c>
      <c r="N17" s="204">
        <f>W17</f>
        <v>8066579723</v>
      </c>
      <c r="O17" s="179">
        <f t="shared" si="1"/>
        <v>3.2891312237256887E-2</v>
      </c>
      <c r="P17" s="204">
        <f>X17</f>
        <v>7809708173</v>
      </c>
      <c r="Q17" s="181"/>
      <c r="R17" s="167">
        <v>10215737633</v>
      </c>
      <c r="S17" s="167">
        <v>9851823089</v>
      </c>
      <c r="T17" s="167">
        <v>9238836117</v>
      </c>
      <c r="U17" s="167">
        <v>8515898192</v>
      </c>
      <c r="V17" s="167">
        <v>8239860512</v>
      </c>
      <c r="W17" s="167">
        <v>8066579723</v>
      </c>
      <c r="X17" s="167">
        <v>7809708173</v>
      </c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363">
        <f t="shared" si="0"/>
        <v>4</v>
      </c>
      <c r="B18" s="167" t="s">
        <v>1179</v>
      </c>
      <c r="C18" s="167"/>
      <c r="D18" s="205">
        <f>R18</f>
        <v>269886190</v>
      </c>
      <c r="E18" s="179">
        <f t="shared" si="1"/>
        <v>0.14128999593584401</v>
      </c>
      <c r="F18" s="205">
        <f>S18</f>
        <v>236474683</v>
      </c>
      <c r="G18" s="179">
        <f t="shared" si="1"/>
        <v>-0.48973791497304453</v>
      </c>
      <c r="H18" s="205">
        <f>T18</f>
        <v>463437692</v>
      </c>
      <c r="I18" s="179">
        <f t="shared" si="1"/>
        <v>3.0216222908370057E-2</v>
      </c>
      <c r="J18" s="205">
        <f>U18</f>
        <v>449845073</v>
      </c>
      <c r="K18" s="179">
        <f t="shared" si="1"/>
        <v>0.54602970223485481</v>
      </c>
      <c r="L18" s="205">
        <f>V18</f>
        <v>290967937</v>
      </c>
      <c r="M18" s="179">
        <f t="shared" si="1"/>
        <v>0.81296843956406573</v>
      </c>
      <c r="N18" s="205">
        <f>W18</f>
        <v>160492555</v>
      </c>
      <c r="O18" s="179">
        <f t="shared" si="1"/>
        <v>-0.32982766276372483</v>
      </c>
      <c r="P18" s="205">
        <f>X18</f>
        <v>239479528</v>
      </c>
      <c r="Q18" s="181"/>
      <c r="R18" s="167">
        <v>269886190</v>
      </c>
      <c r="S18" s="167">
        <v>236474683</v>
      </c>
      <c r="T18" s="167">
        <v>463437692</v>
      </c>
      <c r="U18" s="167">
        <v>449845073</v>
      </c>
      <c r="V18" s="167">
        <v>290967937</v>
      </c>
      <c r="W18" s="167">
        <v>160492555</v>
      </c>
      <c r="X18" s="167">
        <v>239479528</v>
      </c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363">
        <f t="shared" si="0"/>
        <v>5</v>
      </c>
      <c r="B19" s="167" t="s">
        <v>1496</v>
      </c>
      <c r="C19" s="167"/>
      <c r="D19" s="196">
        <f>D17+D18</f>
        <v>10485623823</v>
      </c>
      <c r="E19" s="179">
        <f t="shared" si="1"/>
        <v>3.938484568752279E-2</v>
      </c>
      <c r="F19" s="196">
        <f>F17+F18</f>
        <v>10088297772</v>
      </c>
      <c r="G19" s="179">
        <f t="shared" si="1"/>
        <v>3.978695825322074E-2</v>
      </c>
      <c r="H19" s="196">
        <f>H17+H18</f>
        <v>9702273809</v>
      </c>
      <c r="I19" s="179">
        <f t="shared" si="1"/>
        <v>8.2149412740294428E-2</v>
      </c>
      <c r="J19" s="196">
        <f>J17+J18</f>
        <v>8965743265</v>
      </c>
      <c r="K19" s="179">
        <f t="shared" si="1"/>
        <v>5.098154518052482E-2</v>
      </c>
      <c r="L19" s="196">
        <f>L17+L18</f>
        <v>8530828449</v>
      </c>
      <c r="M19" s="179">
        <f t="shared" si="1"/>
        <v>3.6921539125440023E-2</v>
      </c>
      <c r="N19" s="196">
        <f>N17+N18</f>
        <v>8227072278</v>
      </c>
      <c r="O19" s="179">
        <f t="shared" si="1"/>
        <v>2.20996929886354E-2</v>
      </c>
      <c r="P19" s="196">
        <f>P17+P18</f>
        <v>8049187701</v>
      </c>
      <c r="Q19" s="181"/>
      <c r="R19" s="167">
        <v>10485623823</v>
      </c>
      <c r="S19" s="167">
        <v>10088297772</v>
      </c>
      <c r="T19" s="167">
        <v>9702273809</v>
      </c>
      <c r="U19" s="167">
        <v>8965743265</v>
      </c>
      <c r="V19" s="167">
        <v>8530828449</v>
      </c>
      <c r="W19" s="167">
        <v>8227072278</v>
      </c>
      <c r="X19" s="167">
        <v>8049187701</v>
      </c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363">
        <f t="shared" si="0"/>
        <v>6</v>
      </c>
      <c r="B20" s="167" t="s">
        <v>1497</v>
      </c>
      <c r="C20" s="167"/>
      <c r="D20" s="201">
        <f>R20</f>
        <v>3661240771</v>
      </c>
      <c r="E20" s="179">
        <f t="shared" si="1"/>
        <v>6.9950507063952186E-2</v>
      </c>
      <c r="F20" s="201">
        <f>S20</f>
        <v>3421878626</v>
      </c>
      <c r="G20" s="179">
        <f t="shared" si="1"/>
        <v>6.2934814274015663E-2</v>
      </c>
      <c r="H20" s="201">
        <f>T20</f>
        <v>3219274202</v>
      </c>
      <c r="I20" s="179">
        <f t="shared" si="1"/>
        <v>6.1822669549129489E-2</v>
      </c>
      <c r="J20" s="201">
        <f>U20</f>
        <v>3031837890</v>
      </c>
      <c r="K20" s="179">
        <f t="shared" si="1"/>
        <v>6.0135153115604634E-2</v>
      </c>
      <c r="L20" s="201">
        <f>V20</f>
        <v>2859859784</v>
      </c>
      <c r="M20" s="179">
        <f t="shared" si="1"/>
        <v>6.1085517941219351E-2</v>
      </c>
      <c r="N20" s="201">
        <f>W20</f>
        <v>2695220824</v>
      </c>
      <c r="O20" s="179">
        <f t="shared" si="1"/>
        <v>7.149242325442437E-2</v>
      </c>
      <c r="P20" s="201">
        <f>X20</f>
        <v>2515389531</v>
      </c>
      <c r="Q20" s="167"/>
      <c r="R20" s="167">
        <v>3661240771</v>
      </c>
      <c r="S20" s="167">
        <v>3421878626</v>
      </c>
      <c r="T20" s="167">
        <v>3219274202</v>
      </c>
      <c r="U20" s="167">
        <v>3031837890</v>
      </c>
      <c r="V20" s="167">
        <v>2859859784</v>
      </c>
      <c r="W20" s="167">
        <v>2695220824</v>
      </c>
      <c r="X20" s="167">
        <v>2515389531</v>
      </c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363">
        <f t="shared" si="0"/>
        <v>7</v>
      </c>
      <c r="B21" s="167" t="s">
        <v>1498</v>
      </c>
      <c r="C21" s="167"/>
      <c r="D21" s="197">
        <f>D19-D20</f>
        <v>6824383052</v>
      </c>
      <c r="E21" s="179">
        <f t="shared" si="1"/>
        <v>2.3695465667618855E-2</v>
      </c>
      <c r="F21" s="197">
        <f>F19-F20</f>
        <v>6666419146</v>
      </c>
      <c r="G21" s="179">
        <f t="shared" si="1"/>
        <v>2.8292387801775166E-2</v>
      </c>
      <c r="H21" s="197">
        <f>H19-H20</f>
        <v>6482999607</v>
      </c>
      <c r="I21" s="179">
        <f t="shared" si="1"/>
        <v>9.2535050240837385E-2</v>
      </c>
      <c r="J21" s="197">
        <f>J19-J20</f>
        <v>5933905375</v>
      </c>
      <c r="K21" s="179">
        <f t="shared" si="1"/>
        <v>4.636539637801014E-2</v>
      </c>
      <c r="L21" s="197">
        <f>L19-L20</f>
        <v>5670968665</v>
      </c>
      <c r="M21" s="179">
        <f t="shared" si="1"/>
        <v>2.514839961933656E-2</v>
      </c>
      <c r="N21" s="197">
        <f>N19-N20</f>
        <v>5531851454</v>
      </c>
      <c r="O21" s="179">
        <f t="shared" si="1"/>
        <v>-3.5178659217345473E-4</v>
      </c>
      <c r="P21" s="197">
        <f>P19-P20</f>
        <v>5533798170</v>
      </c>
      <c r="Q21" s="167"/>
      <c r="R21" s="167">
        <v>6824383052</v>
      </c>
      <c r="S21" s="167">
        <v>6666419146</v>
      </c>
      <c r="T21" s="167">
        <v>6482999607</v>
      </c>
      <c r="U21" s="167">
        <v>5933905375</v>
      </c>
      <c r="V21" s="167">
        <v>5670968665</v>
      </c>
      <c r="W21" s="167">
        <v>5531851454</v>
      </c>
      <c r="X21" s="167">
        <v>5533798170</v>
      </c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363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85"/>
      <c r="M22" s="194"/>
      <c r="N22" s="185"/>
      <c r="O22" s="194"/>
      <c r="P22" s="185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363">
        <f>A21+1</f>
        <v>8</v>
      </c>
      <c r="B23" s="178" t="s">
        <v>1499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3"/>
      <c r="M23" s="194"/>
      <c r="N23" s="193"/>
      <c r="O23" s="194"/>
      <c r="P23" s="193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363">
        <f t="shared" ref="A24:A28" si="2">A23+1</f>
        <v>9</v>
      </c>
      <c r="B24" s="167" t="s">
        <v>1500</v>
      </c>
      <c r="C24" s="167"/>
      <c r="D24" s="204">
        <f>R24</f>
        <v>0</v>
      </c>
      <c r="E24" s="179">
        <v>0</v>
      </c>
      <c r="F24" s="204">
        <f>S24</f>
        <v>0</v>
      </c>
      <c r="G24" s="179">
        <v>0</v>
      </c>
      <c r="H24" s="204">
        <f t="shared" ref="H24:H27" si="3">T24</f>
        <v>0</v>
      </c>
      <c r="I24" s="179">
        <v>0</v>
      </c>
      <c r="J24" s="204">
        <f t="shared" ref="J24:J27" si="4">U24</f>
        <v>0</v>
      </c>
      <c r="K24" s="179">
        <v>0</v>
      </c>
      <c r="L24" s="204">
        <f t="shared" ref="L24:L27" si="5">V24</f>
        <v>0</v>
      </c>
      <c r="M24" s="179">
        <v>0</v>
      </c>
      <c r="N24" s="204">
        <f t="shared" ref="N24:N27" si="6">W24</f>
        <v>0</v>
      </c>
      <c r="O24" s="179">
        <v>0</v>
      </c>
      <c r="P24" s="204">
        <f t="shared" ref="P24:P27" si="7">X24</f>
        <v>0</v>
      </c>
      <c r="Q24" s="181"/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363">
        <f t="shared" si="2"/>
        <v>10</v>
      </c>
      <c r="B25" s="167" t="s">
        <v>1501</v>
      </c>
      <c r="C25" s="167"/>
      <c r="D25" s="201">
        <f>R25</f>
        <v>0</v>
      </c>
      <c r="E25" s="179">
        <v>0</v>
      </c>
      <c r="F25" s="201">
        <f>S25</f>
        <v>0</v>
      </c>
      <c r="G25" s="179">
        <v>0</v>
      </c>
      <c r="H25" s="201">
        <f t="shared" si="3"/>
        <v>0</v>
      </c>
      <c r="I25" s="179">
        <v>0</v>
      </c>
      <c r="J25" s="201">
        <f t="shared" si="4"/>
        <v>0</v>
      </c>
      <c r="K25" s="179">
        <v>0</v>
      </c>
      <c r="L25" s="201">
        <f t="shared" si="5"/>
        <v>0</v>
      </c>
      <c r="M25" s="179">
        <v>0</v>
      </c>
      <c r="N25" s="201">
        <f t="shared" si="6"/>
        <v>0</v>
      </c>
      <c r="O25" s="179">
        <v>0</v>
      </c>
      <c r="P25" s="201">
        <f t="shared" si="7"/>
        <v>0</v>
      </c>
      <c r="Q25" s="181"/>
      <c r="R25" s="167">
        <v>0</v>
      </c>
      <c r="S25" s="167">
        <v>0</v>
      </c>
      <c r="T25" s="167">
        <v>0</v>
      </c>
      <c r="U25" s="167">
        <v>0</v>
      </c>
      <c r="V25" s="167">
        <v>0</v>
      </c>
      <c r="W25" s="167">
        <v>0</v>
      </c>
      <c r="X25" s="167">
        <v>0</v>
      </c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363">
        <f t="shared" si="2"/>
        <v>11</v>
      </c>
      <c r="B26" s="167" t="s">
        <v>1502</v>
      </c>
      <c r="C26" s="167"/>
      <c r="D26" s="201">
        <f>R26</f>
        <v>0</v>
      </c>
      <c r="E26" s="179">
        <v>0</v>
      </c>
      <c r="F26" s="201">
        <f>S26</f>
        <v>0</v>
      </c>
      <c r="G26" s="179">
        <v>0</v>
      </c>
      <c r="H26" s="201">
        <f t="shared" si="3"/>
        <v>0</v>
      </c>
      <c r="I26" s="179">
        <v>0</v>
      </c>
      <c r="J26" s="201">
        <f t="shared" si="4"/>
        <v>0</v>
      </c>
      <c r="K26" s="179">
        <v>0</v>
      </c>
      <c r="L26" s="201">
        <f t="shared" si="5"/>
        <v>0</v>
      </c>
      <c r="M26" s="179">
        <v>0</v>
      </c>
      <c r="N26" s="201">
        <f t="shared" si="6"/>
        <v>0</v>
      </c>
      <c r="O26" s="179">
        <v>0</v>
      </c>
      <c r="P26" s="201">
        <f t="shared" si="7"/>
        <v>0</v>
      </c>
      <c r="Q26" s="181"/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0</v>
      </c>
      <c r="X26" s="167">
        <v>0</v>
      </c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363">
        <f t="shared" si="2"/>
        <v>12</v>
      </c>
      <c r="B27" s="167" t="s">
        <v>1503</v>
      </c>
      <c r="C27" s="167"/>
      <c r="D27" s="205">
        <f>R27</f>
        <v>40221199</v>
      </c>
      <c r="E27" s="179">
        <f t="shared" ref="E27:E28" si="8">(+D27-F27)/F27</f>
        <v>0.2236238953906379</v>
      </c>
      <c r="F27" s="205">
        <f>S27</f>
        <v>32870557</v>
      </c>
      <c r="G27" s="179">
        <f t="shared" ref="G27:G28" si="9">(+F27-H27)/H27</f>
        <v>0.13835727681432702</v>
      </c>
      <c r="H27" s="205">
        <f t="shared" si="3"/>
        <v>28875431</v>
      </c>
      <c r="I27" s="179">
        <v>1</v>
      </c>
      <c r="J27" s="205">
        <f t="shared" si="4"/>
        <v>0</v>
      </c>
      <c r="K27" s="179">
        <v>0</v>
      </c>
      <c r="L27" s="205">
        <f t="shared" si="5"/>
        <v>0</v>
      </c>
      <c r="M27" s="179">
        <v>0</v>
      </c>
      <c r="N27" s="205">
        <f t="shared" si="6"/>
        <v>0</v>
      </c>
      <c r="O27" s="179">
        <v>0</v>
      </c>
      <c r="P27" s="205">
        <f t="shared" si="7"/>
        <v>0</v>
      </c>
      <c r="Q27" s="181"/>
      <c r="R27" s="167">
        <v>40221199</v>
      </c>
      <c r="S27" s="167">
        <v>32870557</v>
      </c>
      <c r="T27" s="167">
        <v>28875431</v>
      </c>
      <c r="U27" s="167">
        <v>0</v>
      </c>
      <c r="V27" s="167">
        <v>0</v>
      </c>
      <c r="W27" s="167">
        <v>0</v>
      </c>
      <c r="X27" s="167">
        <v>0</v>
      </c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363">
        <f t="shared" si="2"/>
        <v>13</v>
      </c>
      <c r="B28" s="167" t="s">
        <v>1504</v>
      </c>
      <c r="C28" s="167"/>
      <c r="D28" s="200">
        <f>SUM(D24:D27)</f>
        <v>40221199</v>
      </c>
      <c r="E28" s="179">
        <f t="shared" si="8"/>
        <v>0.2236238953906379</v>
      </c>
      <c r="F28" s="200">
        <f>SUM(F24:F27)</f>
        <v>32870557</v>
      </c>
      <c r="G28" s="179">
        <f t="shared" si="9"/>
        <v>0.13835727681432702</v>
      </c>
      <c r="H28" s="200">
        <f>SUM(H24:H27)</f>
        <v>28875431</v>
      </c>
      <c r="I28" s="179">
        <v>1</v>
      </c>
      <c r="J28" s="200">
        <f>SUM(J24:J27)</f>
        <v>0</v>
      </c>
      <c r="K28" s="179">
        <v>0</v>
      </c>
      <c r="L28" s="200">
        <f>SUM(L24:L27)</f>
        <v>0</v>
      </c>
      <c r="M28" s="179">
        <v>0</v>
      </c>
      <c r="N28" s="200">
        <f>SUM(N24:N27)</f>
        <v>0</v>
      </c>
      <c r="O28" s="179">
        <v>0</v>
      </c>
      <c r="P28" s="200">
        <f>SUM(P24:P27)</f>
        <v>0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363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3"/>
      <c r="M29" s="194"/>
      <c r="N29" s="193"/>
      <c r="O29" s="194"/>
      <c r="P29" s="193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363">
        <f>A28+1</f>
        <v>14</v>
      </c>
      <c r="B30" s="178" t="s">
        <v>1440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3"/>
      <c r="M30" s="192"/>
      <c r="N30" s="193"/>
      <c r="O30" s="192"/>
      <c r="P30" s="193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363">
        <f t="shared" ref="A31:A48" si="10">A30+1</f>
        <v>15</v>
      </c>
      <c r="B31" s="167" t="s">
        <v>1505</v>
      </c>
      <c r="C31" s="167"/>
      <c r="D31" s="204">
        <f t="shared" ref="D31:D47" si="11">R31</f>
        <v>4681613</v>
      </c>
      <c r="E31" s="179">
        <f t="shared" ref="E31:O48" si="12">(+D31-F31)/F31</f>
        <v>-8.1550609826112159E-4</v>
      </c>
      <c r="F31" s="204">
        <f t="shared" ref="F31:F47" si="13">S31</f>
        <v>4685434</v>
      </c>
      <c r="G31" s="179">
        <f t="shared" si="12"/>
        <v>-0.49202537447868311</v>
      </c>
      <c r="H31" s="204">
        <f t="shared" ref="H31:H47" si="14">T31</f>
        <v>9223756</v>
      </c>
      <c r="I31" s="179">
        <f t="shared" si="12"/>
        <v>-0.18209224104762356</v>
      </c>
      <c r="J31" s="204">
        <f t="shared" ref="J31:J47" si="15">U31</f>
        <v>11277257</v>
      </c>
      <c r="K31" s="179">
        <f t="shared" si="12"/>
        <v>-1.3443354156666384E-2</v>
      </c>
      <c r="L31" s="204">
        <f t="shared" ref="L31:L47" si="16">V31</f>
        <v>11430927</v>
      </c>
      <c r="M31" s="179">
        <f t="shared" si="12"/>
        <v>0.76013221940216713</v>
      </c>
      <c r="N31" s="204">
        <f t="shared" ref="N31:N47" si="17">W31</f>
        <v>6494357</v>
      </c>
      <c r="O31" s="179">
        <f t="shared" si="12"/>
        <v>2.2311259823109261E-2</v>
      </c>
      <c r="P31" s="204">
        <f t="shared" ref="P31:P47" si="18">X31</f>
        <v>6352622</v>
      </c>
      <c r="Q31" s="167"/>
      <c r="R31" s="167">
        <v>4681613</v>
      </c>
      <c r="S31" s="167">
        <v>4685434</v>
      </c>
      <c r="T31" s="167">
        <v>9223756</v>
      </c>
      <c r="U31" s="167">
        <v>11277257</v>
      </c>
      <c r="V31" s="167">
        <v>11430927</v>
      </c>
      <c r="W31" s="167">
        <v>6494357</v>
      </c>
      <c r="X31" s="167">
        <v>6352622</v>
      </c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363">
        <f t="shared" si="10"/>
        <v>16</v>
      </c>
      <c r="B32" s="167" t="s">
        <v>1506</v>
      </c>
      <c r="C32" s="167"/>
      <c r="D32" s="201">
        <f t="shared" si="11"/>
        <v>0</v>
      </c>
      <c r="E32" s="179">
        <v>0</v>
      </c>
      <c r="F32" s="201">
        <f t="shared" si="13"/>
        <v>0</v>
      </c>
      <c r="G32" s="179">
        <v>0</v>
      </c>
      <c r="H32" s="201">
        <f t="shared" si="14"/>
        <v>0</v>
      </c>
      <c r="I32" s="179">
        <v>0</v>
      </c>
      <c r="J32" s="201">
        <f t="shared" si="15"/>
        <v>0</v>
      </c>
      <c r="K32" s="179">
        <v>0</v>
      </c>
      <c r="L32" s="201">
        <f t="shared" si="16"/>
        <v>0</v>
      </c>
      <c r="M32" s="179">
        <v>0</v>
      </c>
      <c r="N32" s="201">
        <f t="shared" si="17"/>
        <v>0</v>
      </c>
      <c r="O32" s="179">
        <v>0</v>
      </c>
      <c r="P32" s="201">
        <f t="shared" si="18"/>
        <v>0</v>
      </c>
      <c r="Q32" s="167"/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>
        <v>0</v>
      </c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363">
        <f t="shared" si="10"/>
        <v>17</v>
      </c>
      <c r="B33" s="167" t="s">
        <v>1507</v>
      </c>
      <c r="C33" s="167"/>
      <c r="D33" s="201">
        <f t="shared" si="11"/>
        <v>53867</v>
      </c>
      <c r="E33" s="179">
        <f t="shared" si="12"/>
        <v>-8.1615996735360131E-4</v>
      </c>
      <c r="F33" s="201">
        <f t="shared" si="13"/>
        <v>53911</v>
      </c>
      <c r="G33" s="179">
        <f t="shared" si="12"/>
        <v>-2.1348049449053316E-2</v>
      </c>
      <c r="H33" s="201">
        <f t="shared" si="14"/>
        <v>55087</v>
      </c>
      <c r="I33" s="179">
        <f t="shared" si="12"/>
        <v>9.4370739573407612E-3</v>
      </c>
      <c r="J33" s="201">
        <f t="shared" si="15"/>
        <v>54572</v>
      </c>
      <c r="K33" s="179">
        <f t="shared" si="12"/>
        <v>2.5904355973617975E-3</v>
      </c>
      <c r="L33" s="201">
        <f t="shared" si="16"/>
        <v>54431</v>
      </c>
      <c r="M33" s="179">
        <f t="shared" si="12"/>
        <v>1.2861972659120976E-4</v>
      </c>
      <c r="N33" s="201">
        <f t="shared" si="17"/>
        <v>54424</v>
      </c>
      <c r="O33" s="179">
        <f t="shared" si="12"/>
        <v>2.4312974287187799E-3</v>
      </c>
      <c r="P33" s="201">
        <f t="shared" si="18"/>
        <v>54292</v>
      </c>
      <c r="Q33" s="181"/>
      <c r="R33" s="167">
        <v>53867</v>
      </c>
      <c r="S33" s="167">
        <v>53911</v>
      </c>
      <c r="T33" s="167">
        <v>55087</v>
      </c>
      <c r="U33" s="167">
        <v>54572</v>
      </c>
      <c r="V33" s="167">
        <v>54431</v>
      </c>
      <c r="W33" s="167">
        <v>54424</v>
      </c>
      <c r="X33" s="167">
        <v>54292</v>
      </c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363">
        <f t="shared" si="10"/>
        <v>18</v>
      </c>
      <c r="B34" s="167" t="s">
        <v>1508</v>
      </c>
      <c r="C34" s="167"/>
      <c r="D34" s="201">
        <f t="shared" si="11"/>
        <v>0</v>
      </c>
      <c r="E34" s="179">
        <v>0</v>
      </c>
      <c r="F34" s="201">
        <f t="shared" si="13"/>
        <v>0</v>
      </c>
      <c r="G34" s="179">
        <f t="shared" si="12"/>
        <v>-1</v>
      </c>
      <c r="H34" s="201">
        <f t="shared" si="14"/>
        <v>2144142</v>
      </c>
      <c r="I34" s="179">
        <f t="shared" si="12"/>
        <v>1.4977394857839808</v>
      </c>
      <c r="J34" s="201">
        <f t="shared" si="15"/>
        <v>858433</v>
      </c>
      <c r="K34" s="179">
        <f t="shared" si="12"/>
        <v>-0.4836664050211873</v>
      </c>
      <c r="L34" s="201">
        <f t="shared" si="16"/>
        <v>1662555</v>
      </c>
      <c r="M34" s="179">
        <f t="shared" si="12"/>
        <v>12.082846103604844</v>
      </c>
      <c r="N34" s="201">
        <f t="shared" si="17"/>
        <v>127079</v>
      </c>
      <c r="O34" s="179">
        <f t="shared" si="12"/>
        <v>-0.96641208582376936</v>
      </c>
      <c r="P34" s="201">
        <f t="shared" si="18"/>
        <v>3783474</v>
      </c>
      <c r="Q34" s="181"/>
      <c r="R34" s="167">
        <v>0</v>
      </c>
      <c r="S34" s="167">
        <v>0</v>
      </c>
      <c r="T34" s="167">
        <v>2144142</v>
      </c>
      <c r="U34" s="167">
        <v>858433</v>
      </c>
      <c r="V34" s="167">
        <v>1662555</v>
      </c>
      <c r="W34" s="167">
        <v>127079</v>
      </c>
      <c r="X34" s="167">
        <v>3783474</v>
      </c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363">
        <f t="shared" si="10"/>
        <v>19</v>
      </c>
      <c r="B35" s="167" t="s">
        <v>1509</v>
      </c>
      <c r="C35" s="167"/>
      <c r="D35" s="201">
        <f t="shared" si="11"/>
        <v>119969332</v>
      </c>
      <c r="E35" s="179">
        <f t="shared" si="12"/>
        <v>-0.15385804300952866</v>
      </c>
      <c r="F35" s="201">
        <f t="shared" si="13"/>
        <v>141783930</v>
      </c>
      <c r="G35" s="179">
        <f t="shared" si="12"/>
        <v>0.10576076719584152</v>
      </c>
      <c r="H35" s="201">
        <f t="shared" si="14"/>
        <v>128222970.29000001</v>
      </c>
      <c r="I35" s="179">
        <f t="shared" si="12"/>
        <v>0.1293003483170139</v>
      </c>
      <c r="J35" s="201">
        <f t="shared" si="15"/>
        <v>113541955.84999999</v>
      </c>
      <c r="K35" s="179">
        <f t="shared" si="12"/>
        <v>2.436455675409331E-3</v>
      </c>
      <c r="L35" s="201">
        <f t="shared" si="16"/>
        <v>113265988.28999998</v>
      </c>
      <c r="M35" s="179">
        <f t="shared" si="12"/>
        <v>2.7131593807059019E-2</v>
      </c>
      <c r="N35" s="201">
        <f t="shared" si="17"/>
        <v>110274076.83</v>
      </c>
      <c r="O35" s="179">
        <f t="shared" si="12"/>
        <v>6.4514003374441603E-2</v>
      </c>
      <c r="P35" s="201">
        <f t="shared" si="18"/>
        <v>103591006.3</v>
      </c>
      <c r="Q35" s="167"/>
      <c r="R35" s="167">
        <v>119969332</v>
      </c>
      <c r="S35" s="167">
        <v>141783930</v>
      </c>
      <c r="T35" s="167">
        <v>128222970.29000001</v>
      </c>
      <c r="U35" s="167">
        <v>113541955.84999999</v>
      </c>
      <c r="V35" s="167">
        <v>113265988.28999998</v>
      </c>
      <c r="W35" s="167">
        <v>110274076.83</v>
      </c>
      <c r="X35" s="167">
        <v>103591006.3</v>
      </c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736">
        <f t="shared" si="10"/>
        <v>20</v>
      </c>
      <c r="B36" s="167" t="s">
        <v>1510</v>
      </c>
      <c r="C36" s="167"/>
      <c r="D36" s="201">
        <f t="shared" si="11"/>
        <v>26459320</v>
      </c>
      <c r="E36" s="179">
        <f t="shared" si="12"/>
        <v>-8.1545523693026607E-4</v>
      </c>
      <c r="F36" s="201">
        <f t="shared" si="13"/>
        <v>26480914</v>
      </c>
      <c r="G36" s="179">
        <f t="shared" si="12"/>
        <v>9.4624093101344967E-2</v>
      </c>
      <c r="H36" s="201">
        <f t="shared" si="14"/>
        <v>24191788</v>
      </c>
      <c r="I36" s="179">
        <f t="shared" si="12"/>
        <v>-0.18387402996057348</v>
      </c>
      <c r="J36" s="201">
        <f t="shared" si="15"/>
        <v>29642223</v>
      </c>
      <c r="K36" s="179">
        <f t="shared" si="12"/>
        <v>0.11899882785735723</v>
      </c>
      <c r="L36" s="201">
        <f t="shared" si="16"/>
        <v>26489950</v>
      </c>
      <c r="M36" s="179">
        <f t="shared" si="12"/>
        <v>5.430404875950483</v>
      </c>
      <c r="N36" s="201">
        <f t="shared" si="17"/>
        <v>4119484</v>
      </c>
      <c r="O36" s="179">
        <f t="shared" si="12"/>
        <v>-0.41312875744365618</v>
      </c>
      <c r="P36" s="201">
        <f t="shared" si="18"/>
        <v>7019400</v>
      </c>
      <c r="Q36" s="181"/>
      <c r="R36" s="167">
        <v>26459320</v>
      </c>
      <c r="S36" s="167">
        <v>26480914</v>
      </c>
      <c r="T36" s="167">
        <v>24191788</v>
      </c>
      <c r="U36" s="167">
        <v>29642223</v>
      </c>
      <c r="V36" s="167">
        <v>26489950</v>
      </c>
      <c r="W36" s="167">
        <v>4119484</v>
      </c>
      <c r="X36" s="167">
        <v>7019400</v>
      </c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736">
        <f t="shared" si="10"/>
        <v>21</v>
      </c>
      <c r="B37" s="167" t="s">
        <v>1511</v>
      </c>
      <c r="C37" s="183"/>
      <c r="D37" s="201">
        <f t="shared" si="11"/>
        <v>716389</v>
      </c>
      <c r="E37" s="179">
        <f t="shared" si="12"/>
        <v>-8.1592916897962832E-4</v>
      </c>
      <c r="F37" s="201">
        <f t="shared" si="13"/>
        <v>716974</v>
      </c>
      <c r="G37" s="179">
        <f t="shared" si="12"/>
        <v>-0.47316497514894468</v>
      </c>
      <c r="H37" s="201">
        <f t="shared" si="14"/>
        <v>1360908</v>
      </c>
      <c r="I37" s="179">
        <f t="shared" si="12"/>
        <v>-5.0703928649404262E-2</v>
      </c>
      <c r="J37" s="201">
        <f t="shared" si="15"/>
        <v>1433597</v>
      </c>
      <c r="K37" s="179">
        <f t="shared" si="12"/>
        <v>8.7470397167230776E-2</v>
      </c>
      <c r="L37" s="201">
        <f t="shared" si="16"/>
        <v>1318286</v>
      </c>
      <c r="M37" s="179">
        <f t="shared" si="12"/>
        <v>-0.16412873936365827</v>
      </c>
      <c r="N37" s="201">
        <f t="shared" si="17"/>
        <v>1577140</v>
      </c>
      <c r="O37" s="179">
        <f t="shared" si="12"/>
        <v>-3.2284587386087242E-2</v>
      </c>
      <c r="P37" s="201">
        <f t="shared" si="18"/>
        <v>1629756</v>
      </c>
      <c r="Q37" s="181"/>
      <c r="R37" s="167">
        <v>716389</v>
      </c>
      <c r="S37" s="167">
        <v>716974</v>
      </c>
      <c r="T37" s="167">
        <v>1360908</v>
      </c>
      <c r="U37" s="167">
        <v>1433597</v>
      </c>
      <c r="V37" s="167">
        <v>1318286</v>
      </c>
      <c r="W37" s="167">
        <v>1577140</v>
      </c>
      <c r="X37" s="167">
        <v>1629756</v>
      </c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66">
        <f t="shared" si="10"/>
        <v>22</v>
      </c>
      <c r="B38" s="167" t="s">
        <v>3690</v>
      </c>
      <c r="C38" s="183"/>
      <c r="D38" s="201">
        <f t="shared" ref="D38" si="19">R38</f>
        <v>1047187.522964043</v>
      </c>
      <c r="E38" s="179">
        <f t="shared" si="12"/>
        <v>0.33294407342486565</v>
      </c>
      <c r="F38" s="201">
        <f t="shared" ref="F38" si="20">S38</f>
        <v>785620</v>
      </c>
      <c r="G38" s="179">
        <f t="shared" si="12"/>
        <v>0.19526652426073673</v>
      </c>
      <c r="H38" s="201">
        <f t="shared" ref="H38" si="21">T38</f>
        <v>657276</v>
      </c>
      <c r="I38" s="179">
        <v>1</v>
      </c>
      <c r="J38" s="201">
        <f t="shared" ref="J38" si="22">U38</f>
        <v>0</v>
      </c>
      <c r="K38" s="179">
        <v>0</v>
      </c>
      <c r="L38" s="201">
        <f t="shared" ref="L38" si="23">V38</f>
        <v>0</v>
      </c>
      <c r="M38" s="179">
        <v>0</v>
      </c>
      <c r="N38" s="201">
        <f t="shared" ref="N38" si="24">W38</f>
        <v>0</v>
      </c>
      <c r="O38" s="179">
        <v>0</v>
      </c>
      <c r="P38" s="201">
        <f t="shared" ref="P38" si="25">X38</f>
        <v>0</v>
      </c>
      <c r="Q38" s="181"/>
      <c r="R38" s="167">
        <v>1047187.522964043</v>
      </c>
      <c r="S38" s="167">
        <v>785620</v>
      </c>
      <c r="T38" s="167">
        <v>657276</v>
      </c>
      <c r="U38" s="167">
        <v>0</v>
      </c>
      <c r="V38" s="167">
        <v>0</v>
      </c>
      <c r="W38" s="167">
        <v>0</v>
      </c>
      <c r="X38" s="167">
        <v>0</v>
      </c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36">
        <f t="shared" si="10"/>
        <v>23</v>
      </c>
      <c r="B39" s="167" t="s">
        <v>1512</v>
      </c>
      <c r="C39" s="167"/>
      <c r="D39" s="201">
        <f t="shared" si="11"/>
        <v>1216091</v>
      </c>
      <c r="E39" s="179">
        <f t="shared" si="12"/>
        <v>-2.7649318607317532</v>
      </c>
      <c r="F39" s="201">
        <f t="shared" si="13"/>
        <v>-689030</v>
      </c>
      <c r="G39" s="179">
        <f t="shared" si="12"/>
        <v>-1286.5037313432836</v>
      </c>
      <c r="H39" s="201">
        <f t="shared" si="14"/>
        <v>536</v>
      </c>
      <c r="I39" s="179">
        <f t="shared" si="12"/>
        <v>267</v>
      </c>
      <c r="J39" s="201">
        <f t="shared" si="15"/>
        <v>2</v>
      </c>
      <c r="K39" s="179">
        <v>1</v>
      </c>
      <c r="L39" s="201">
        <f t="shared" si="16"/>
        <v>0</v>
      </c>
      <c r="M39" s="179">
        <f t="shared" si="12"/>
        <v>-1</v>
      </c>
      <c r="N39" s="201">
        <f t="shared" si="17"/>
        <v>-34311</v>
      </c>
      <c r="O39" s="179">
        <f t="shared" si="12"/>
        <v>-1.044879550772845</v>
      </c>
      <c r="P39" s="201">
        <f t="shared" si="18"/>
        <v>764513</v>
      </c>
      <c r="Q39" s="181"/>
      <c r="R39" s="167">
        <v>1216091</v>
      </c>
      <c r="S39" s="167">
        <v>-689030</v>
      </c>
      <c r="T39" s="167">
        <v>536</v>
      </c>
      <c r="U39" s="167">
        <v>2</v>
      </c>
      <c r="V39" s="167">
        <v>0</v>
      </c>
      <c r="W39" s="167">
        <v>-34311</v>
      </c>
      <c r="X39" s="167">
        <v>764513</v>
      </c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36">
        <f t="shared" si="10"/>
        <v>24</v>
      </c>
      <c r="B40" s="167" t="s">
        <v>1513</v>
      </c>
      <c r="C40" s="167"/>
      <c r="D40" s="201">
        <f t="shared" si="11"/>
        <v>62536188</v>
      </c>
      <c r="E40" s="179">
        <f t="shared" si="12"/>
        <v>0.2760374853860928</v>
      </c>
      <c r="F40" s="201">
        <f t="shared" si="13"/>
        <v>49008112</v>
      </c>
      <c r="G40" s="179">
        <f t="shared" si="12"/>
        <v>-0.17769538045998751</v>
      </c>
      <c r="H40" s="201">
        <f t="shared" si="14"/>
        <v>59598488</v>
      </c>
      <c r="I40" s="179">
        <f t="shared" si="12"/>
        <v>0.20438112427424851</v>
      </c>
      <c r="J40" s="201">
        <f t="shared" si="15"/>
        <v>49484741</v>
      </c>
      <c r="K40" s="179">
        <f t="shared" si="12"/>
        <v>-9.6906747527987142E-2</v>
      </c>
      <c r="L40" s="201">
        <f t="shared" si="16"/>
        <v>54794719</v>
      </c>
      <c r="M40" s="179">
        <f t="shared" si="12"/>
        <v>-0.36708043420341441</v>
      </c>
      <c r="N40" s="201">
        <f t="shared" si="17"/>
        <v>86574538</v>
      </c>
      <c r="O40" s="179">
        <f t="shared" si="12"/>
        <v>1.397527147363666E-2</v>
      </c>
      <c r="P40" s="201">
        <f t="shared" si="18"/>
        <v>85381311</v>
      </c>
      <c r="Q40" s="167"/>
      <c r="R40" s="167">
        <v>62536188</v>
      </c>
      <c r="S40" s="167">
        <v>49008112</v>
      </c>
      <c r="T40" s="167">
        <v>59598488</v>
      </c>
      <c r="U40" s="167">
        <v>49484741</v>
      </c>
      <c r="V40" s="167">
        <v>54794719</v>
      </c>
      <c r="W40" s="167">
        <v>86574538</v>
      </c>
      <c r="X40" s="167">
        <v>85381311</v>
      </c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36">
        <f t="shared" si="10"/>
        <v>25</v>
      </c>
      <c r="B41" s="167" t="s">
        <v>1514</v>
      </c>
      <c r="C41" s="167"/>
      <c r="D41" s="201">
        <f t="shared" si="11"/>
        <v>56853075</v>
      </c>
      <c r="E41" s="179">
        <f t="shared" si="12"/>
        <v>1.906593435548453E-2</v>
      </c>
      <c r="F41" s="201">
        <f t="shared" si="13"/>
        <v>55789398</v>
      </c>
      <c r="G41" s="179">
        <f t="shared" si="12"/>
        <v>-7.4278432820002469E-3</v>
      </c>
      <c r="H41" s="201">
        <f t="shared" si="14"/>
        <v>56206894</v>
      </c>
      <c r="I41" s="179">
        <f t="shared" si="12"/>
        <v>0.1345142608814478</v>
      </c>
      <c r="J41" s="201">
        <f t="shared" si="15"/>
        <v>49542695</v>
      </c>
      <c r="K41" s="179">
        <f t="shared" si="12"/>
        <v>0.13387522938039104</v>
      </c>
      <c r="L41" s="201">
        <f t="shared" si="16"/>
        <v>43693251</v>
      </c>
      <c r="M41" s="179">
        <f t="shared" si="12"/>
        <v>9.8777417536591042E-2</v>
      </c>
      <c r="N41" s="201">
        <f t="shared" si="17"/>
        <v>39765334</v>
      </c>
      <c r="O41" s="179">
        <f t="shared" si="12"/>
        <v>9.4025088495885645E-2</v>
      </c>
      <c r="P41" s="201">
        <f t="shared" si="18"/>
        <v>36347735</v>
      </c>
      <c r="Q41" s="181"/>
      <c r="R41" s="167">
        <v>56853075</v>
      </c>
      <c r="S41" s="167">
        <v>55789398</v>
      </c>
      <c r="T41" s="167">
        <v>56206894</v>
      </c>
      <c r="U41" s="167">
        <v>49542695</v>
      </c>
      <c r="V41" s="167">
        <v>43693251</v>
      </c>
      <c r="W41" s="167">
        <v>39765334</v>
      </c>
      <c r="X41" s="167">
        <v>36347735</v>
      </c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36">
        <f t="shared" si="10"/>
        <v>26</v>
      </c>
      <c r="B42" s="167" t="s">
        <v>1515</v>
      </c>
      <c r="C42" s="167"/>
      <c r="D42" s="201">
        <f t="shared" si="11"/>
        <v>116616</v>
      </c>
      <c r="E42" s="179">
        <f t="shared" si="12"/>
        <v>0</v>
      </c>
      <c r="F42" s="201">
        <f t="shared" si="13"/>
        <v>116616</v>
      </c>
      <c r="G42" s="179">
        <f t="shared" si="12"/>
        <v>-1.0101353071999728E-2</v>
      </c>
      <c r="H42" s="201">
        <f t="shared" si="14"/>
        <v>117806</v>
      </c>
      <c r="I42" s="179">
        <f t="shared" si="12"/>
        <v>4.959016393442623E-2</v>
      </c>
      <c r="J42" s="201">
        <f t="shared" si="15"/>
        <v>112240</v>
      </c>
      <c r="K42" s="179">
        <f t="shared" si="12"/>
        <v>-2.4517429885017511E-2</v>
      </c>
      <c r="L42" s="201">
        <f t="shared" si="16"/>
        <v>115061</v>
      </c>
      <c r="M42" s="179">
        <f t="shared" si="12"/>
        <v>-2.9356931357083203E-2</v>
      </c>
      <c r="N42" s="201">
        <f t="shared" si="17"/>
        <v>118541</v>
      </c>
      <c r="O42" s="179">
        <f t="shared" si="12"/>
        <v>-3.6142325142699168E-2</v>
      </c>
      <c r="P42" s="201">
        <f t="shared" si="18"/>
        <v>122986</v>
      </c>
      <c r="Q42" s="181"/>
      <c r="R42" s="167">
        <v>116616</v>
      </c>
      <c r="S42" s="167">
        <v>116616</v>
      </c>
      <c r="T42" s="167">
        <v>117806</v>
      </c>
      <c r="U42" s="167">
        <v>112240</v>
      </c>
      <c r="V42" s="167">
        <v>115061</v>
      </c>
      <c r="W42" s="167">
        <v>118541</v>
      </c>
      <c r="X42" s="167">
        <v>122986</v>
      </c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36">
        <f t="shared" si="10"/>
        <v>27</v>
      </c>
      <c r="B43" s="167" t="s">
        <v>1516</v>
      </c>
      <c r="C43" s="167"/>
      <c r="D43" s="201">
        <f t="shared" si="11"/>
        <v>3037700</v>
      </c>
      <c r="E43" s="179">
        <f t="shared" si="12"/>
        <v>-1.4896957234030804E-3</v>
      </c>
      <c r="F43" s="201">
        <f t="shared" si="13"/>
        <v>3042232</v>
      </c>
      <c r="G43" s="179">
        <f t="shared" si="12"/>
        <v>-0.23475294869311708</v>
      </c>
      <c r="H43" s="201">
        <f t="shared" si="14"/>
        <v>3975490</v>
      </c>
      <c r="I43" s="179">
        <f t="shared" si="12"/>
        <v>-0.54611020433141311</v>
      </c>
      <c r="J43" s="201">
        <f t="shared" si="15"/>
        <v>8758712</v>
      </c>
      <c r="K43" s="179">
        <f t="shared" si="12"/>
        <v>-0.14813669320280401</v>
      </c>
      <c r="L43" s="201">
        <f t="shared" si="16"/>
        <v>10281828</v>
      </c>
      <c r="M43" s="179">
        <f t="shared" si="12"/>
        <v>6.83882809498777E-2</v>
      </c>
      <c r="N43" s="201">
        <f t="shared" si="17"/>
        <v>9623681</v>
      </c>
      <c r="O43" s="179">
        <f t="shared" si="12"/>
        <v>0.16271029213943611</v>
      </c>
      <c r="P43" s="201">
        <f t="shared" si="18"/>
        <v>8276938</v>
      </c>
      <c r="Q43" s="181"/>
      <c r="R43" s="167">
        <v>3037700</v>
      </c>
      <c r="S43" s="167">
        <v>3042232</v>
      </c>
      <c r="T43" s="167">
        <v>3975490</v>
      </c>
      <c r="U43" s="167">
        <v>8758712</v>
      </c>
      <c r="V43" s="167">
        <v>10281828</v>
      </c>
      <c r="W43" s="167">
        <v>9623681</v>
      </c>
      <c r="X43" s="167">
        <v>8276938</v>
      </c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36">
        <f t="shared" si="10"/>
        <v>28</v>
      </c>
      <c r="B44" s="167" t="s">
        <v>1517</v>
      </c>
      <c r="C44" s="167"/>
      <c r="D44" s="201">
        <f t="shared" si="11"/>
        <v>21428359</v>
      </c>
      <c r="E44" s="179">
        <f t="shared" si="12"/>
        <v>6.3631159162668063E-3</v>
      </c>
      <c r="F44" s="201">
        <f t="shared" si="13"/>
        <v>21292870</v>
      </c>
      <c r="G44" s="179">
        <f t="shared" si="12"/>
        <v>0.18719013300870374</v>
      </c>
      <c r="H44" s="201">
        <f t="shared" si="14"/>
        <v>17935518</v>
      </c>
      <c r="I44" s="179">
        <f t="shared" si="12"/>
        <v>0.18260230269458719</v>
      </c>
      <c r="J44" s="201">
        <f t="shared" si="15"/>
        <v>15166145</v>
      </c>
      <c r="K44" s="179">
        <f t="shared" si="12"/>
        <v>4.1387084671390101E-2</v>
      </c>
      <c r="L44" s="201">
        <f t="shared" si="16"/>
        <v>14563408</v>
      </c>
      <c r="M44" s="179">
        <f t="shared" si="12"/>
        <v>-4.1448506270033297E-2</v>
      </c>
      <c r="N44" s="201">
        <f t="shared" si="17"/>
        <v>15193141</v>
      </c>
      <c r="O44" s="179">
        <f t="shared" si="12"/>
        <v>1.2644877130361918</v>
      </c>
      <c r="P44" s="201">
        <f t="shared" si="18"/>
        <v>6709306</v>
      </c>
      <c r="Q44" s="181"/>
      <c r="R44" s="167">
        <v>21428359</v>
      </c>
      <c r="S44" s="167">
        <v>21292870</v>
      </c>
      <c r="T44" s="167">
        <v>17935518</v>
      </c>
      <c r="U44" s="167">
        <v>15166145</v>
      </c>
      <c r="V44" s="167">
        <v>14563408</v>
      </c>
      <c r="W44" s="167">
        <v>15193141</v>
      </c>
      <c r="X44" s="167">
        <v>6709306</v>
      </c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36">
        <f t="shared" si="10"/>
        <v>29</v>
      </c>
      <c r="B45" s="167" t="s">
        <v>1711</v>
      </c>
      <c r="C45" s="167"/>
      <c r="D45" s="201">
        <f t="shared" si="11"/>
        <v>1282269</v>
      </c>
      <c r="E45" s="179">
        <f t="shared" si="12"/>
        <v>-8.1507657901606391E-4</v>
      </c>
      <c r="F45" s="201">
        <f t="shared" si="13"/>
        <v>1283315</v>
      </c>
      <c r="G45" s="179">
        <f t="shared" si="12"/>
        <v>4.5893938319629207E-2</v>
      </c>
      <c r="H45" s="201">
        <f t="shared" si="14"/>
        <v>1227003</v>
      </c>
      <c r="I45" s="179">
        <f t="shared" si="12"/>
        <v>1.3134238589399378</v>
      </c>
      <c r="J45" s="201">
        <f t="shared" si="15"/>
        <v>530384</v>
      </c>
      <c r="K45" s="179">
        <f t="shared" si="12"/>
        <v>-0.1153366292374719</v>
      </c>
      <c r="L45" s="201">
        <f t="shared" si="16"/>
        <v>599532</v>
      </c>
      <c r="M45" s="179">
        <f t="shared" si="12"/>
        <v>4.7393099978336982E-2</v>
      </c>
      <c r="N45" s="201">
        <f t="shared" si="17"/>
        <v>572404</v>
      </c>
      <c r="O45" s="179">
        <f t="shared" si="12"/>
        <v>-0.20109311582673164</v>
      </c>
      <c r="P45" s="201">
        <f t="shared" si="18"/>
        <v>716484</v>
      </c>
      <c r="Q45" s="167"/>
      <c r="R45" s="167">
        <v>1282269</v>
      </c>
      <c r="S45" s="167">
        <v>1283315</v>
      </c>
      <c r="T45" s="167">
        <v>1227003</v>
      </c>
      <c r="U45" s="167">
        <v>530384</v>
      </c>
      <c r="V45" s="167">
        <v>599532</v>
      </c>
      <c r="W45" s="167">
        <v>572404</v>
      </c>
      <c r="X45" s="167">
        <v>716484</v>
      </c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36">
        <f t="shared" si="10"/>
        <v>30</v>
      </c>
      <c r="B46" s="167" t="s">
        <v>1518</v>
      </c>
      <c r="C46" s="167"/>
      <c r="D46" s="206">
        <f t="shared" si="11"/>
        <v>72604306</v>
      </c>
      <c r="E46" s="179">
        <f t="shared" si="12"/>
        <v>-0.10647904446579606</v>
      </c>
      <c r="F46" s="206">
        <f t="shared" si="13"/>
        <v>81256411</v>
      </c>
      <c r="G46" s="179">
        <f t="shared" si="12"/>
        <v>-1.0176869082337274E-2</v>
      </c>
      <c r="H46" s="206">
        <f t="shared" si="14"/>
        <v>82091849</v>
      </c>
      <c r="I46" s="179">
        <f t="shared" si="12"/>
        <v>5.3269810110341285E-2</v>
      </c>
      <c r="J46" s="206">
        <f t="shared" si="15"/>
        <v>77940000</v>
      </c>
      <c r="K46" s="179">
        <f t="shared" si="12"/>
        <v>-0.19654454363647608</v>
      </c>
      <c r="L46" s="206">
        <f t="shared" si="16"/>
        <v>97006000</v>
      </c>
      <c r="M46" s="179">
        <f t="shared" si="12"/>
        <v>0.20903856220554878</v>
      </c>
      <c r="N46" s="206">
        <f t="shared" si="17"/>
        <v>80234000</v>
      </c>
      <c r="O46" s="179">
        <f t="shared" si="12"/>
        <v>0.173303306377316</v>
      </c>
      <c r="P46" s="206">
        <f t="shared" si="18"/>
        <v>68383000</v>
      </c>
      <c r="Q46" s="167"/>
      <c r="R46" s="167">
        <v>72604306</v>
      </c>
      <c r="S46" s="167">
        <v>81256411</v>
      </c>
      <c r="T46" s="167">
        <v>82091849</v>
      </c>
      <c r="U46" s="167">
        <v>77940000</v>
      </c>
      <c r="V46" s="167">
        <v>97006000</v>
      </c>
      <c r="W46" s="167">
        <v>80234000</v>
      </c>
      <c r="X46" s="167">
        <v>68383000</v>
      </c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36">
        <f t="shared" si="10"/>
        <v>31</v>
      </c>
      <c r="B47" s="167" t="s">
        <v>1519</v>
      </c>
      <c r="C47" s="167"/>
      <c r="D47" s="206">
        <f t="shared" si="11"/>
        <v>0</v>
      </c>
      <c r="E47" s="179">
        <v>0</v>
      </c>
      <c r="F47" s="206">
        <f t="shared" si="13"/>
        <v>0</v>
      </c>
      <c r="G47" s="179">
        <v>0</v>
      </c>
      <c r="H47" s="206">
        <f t="shared" si="14"/>
        <v>0</v>
      </c>
      <c r="I47" s="179">
        <v>0</v>
      </c>
      <c r="J47" s="206">
        <f t="shared" si="15"/>
        <v>0</v>
      </c>
      <c r="K47" s="179">
        <v>0</v>
      </c>
      <c r="L47" s="206">
        <f t="shared" si="16"/>
        <v>0</v>
      </c>
      <c r="M47" s="179">
        <v>0</v>
      </c>
      <c r="N47" s="206">
        <f t="shared" si="17"/>
        <v>0</v>
      </c>
      <c r="O47" s="179">
        <v>0</v>
      </c>
      <c r="P47" s="206">
        <f t="shared" si="18"/>
        <v>0</v>
      </c>
      <c r="Q47" s="167"/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0</v>
      </c>
      <c r="X47" s="167">
        <v>0</v>
      </c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36">
        <f t="shared" si="10"/>
        <v>32</v>
      </c>
      <c r="B48" s="167" t="s">
        <v>1441</v>
      </c>
      <c r="C48" s="167"/>
      <c r="D48" s="200">
        <f>SUM(D31:D36)-D37+SUM(D38:D42)+SUM(D43:D47)</f>
        <v>370569534.52296406</v>
      </c>
      <c r="E48" s="179">
        <f t="shared" si="12"/>
        <v>-3.5409133412907967E-2</v>
      </c>
      <c r="F48" s="200">
        <f>SUM(F31:F36)-F37+SUM(F38:F42)+SUM(F43:F47)</f>
        <v>384172759</v>
      </c>
      <c r="G48" s="179">
        <f t="shared" si="12"/>
        <v>-2.9908917565857942E-4</v>
      </c>
      <c r="H48" s="200">
        <f>SUM(H31:H36)-H37+SUM(H38:H42)+SUM(H43:H47)</f>
        <v>384287695.29000002</v>
      </c>
      <c r="I48" s="179">
        <f t="shared" si="12"/>
        <v>8.1051749376673421E-2</v>
      </c>
      <c r="J48" s="200">
        <f>SUM(J31:J36)-J37+SUM(J38:J42)+SUM(J43:J47)</f>
        <v>355475762.85000002</v>
      </c>
      <c r="K48" s="179">
        <f t="shared" si="12"/>
        <v>-4.6059550022854459E-2</v>
      </c>
      <c r="L48" s="200">
        <f>SUM(L31:L36)-L37+SUM(L38:L42)+SUM(L43:L47)</f>
        <v>372639364.28999996</v>
      </c>
      <c r="M48" s="179">
        <f t="shared" si="12"/>
        <v>6.0020990323749114E-2</v>
      </c>
      <c r="N48" s="200">
        <f>SUM(N31:N36)-N37+SUM(N38:N42)+SUM(N43:N47)</f>
        <v>351539608.82999998</v>
      </c>
      <c r="O48" s="179">
        <f t="shared" si="12"/>
        <v>7.8761582001330252E-2</v>
      </c>
      <c r="P48" s="200">
        <f>SUM(P31:P36)-P37+SUM(P38:P42)+SUM(P43:P47)</f>
        <v>325873311.30000001</v>
      </c>
      <c r="Q48" s="167"/>
      <c r="R48" s="167">
        <v>370569534.52296406</v>
      </c>
      <c r="S48" s="167">
        <v>384172759</v>
      </c>
      <c r="T48" s="167">
        <v>384287695.29000002</v>
      </c>
      <c r="U48" s="167">
        <v>355475762.85000002</v>
      </c>
      <c r="V48" s="167">
        <v>372639364.28999996</v>
      </c>
      <c r="W48" s="167">
        <v>351539608.82999998</v>
      </c>
      <c r="X48" s="167">
        <v>325873311.30000001</v>
      </c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363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363">
        <f>A48+1</f>
        <v>33</v>
      </c>
      <c r="B50" s="178" t="s">
        <v>1520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363">
        <f t="shared" ref="A51:A58" si="26">A50+1</f>
        <v>34</v>
      </c>
      <c r="B51" s="167" t="s">
        <v>1521</v>
      </c>
      <c r="C51" s="167"/>
      <c r="D51" s="204">
        <f t="shared" ref="D51:D57" si="27">R51</f>
        <v>22160638</v>
      </c>
      <c r="E51" s="179">
        <f t="shared" ref="E51:O58" si="28">(+D51-F51)/F51</f>
        <v>0.10545574592968546</v>
      </c>
      <c r="F51" s="204">
        <f t="shared" ref="F51:F57" si="29">S51</f>
        <v>20046608</v>
      </c>
      <c r="G51" s="179">
        <f t="shared" si="28"/>
        <v>0.17901797474427888</v>
      </c>
      <c r="H51" s="204">
        <f t="shared" ref="H51:H57" si="30">T51</f>
        <v>17002801</v>
      </c>
      <c r="I51" s="179">
        <f t="shared" si="28"/>
        <v>0.14377815543146935</v>
      </c>
      <c r="J51" s="204">
        <f t="shared" ref="J51:J57" si="31">U51</f>
        <v>14865471</v>
      </c>
      <c r="K51" s="179">
        <f t="shared" si="28"/>
        <v>-7.6837076376968919E-2</v>
      </c>
      <c r="L51" s="204">
        <f t="shared" ref="L51:L57" si="32">V51</f>
        <v>16102760</v>
      </c>
      <c r="M51" s="179">
        <f t="shared" si="28"/>
        <v>-6.0589962729898701E-2</v>
      </c>
      <c r="N51" s="204">
        <f t="shared" ref="N51:N57" si="33">W51</f>
        <v>17141354</v>
      </c>
      <c r="O51" s="179">
        <f t="shared" si="28"/>
        <v>-7.9143808915837652E-2</v>
      </c>
      <c r="P51" s="204">
        <f t="shared" ref="P51:P57" si="34">X51</f>
        <v>18614583</v>
      </c>
      <c r="Q51" s="181"/>
      <c r="R51" s="167">
        <v>22160638</v>
      </c>
      <c r="S51" s="167">
        <v>20046608</v>
      </c>
      <c r="T51" s="167">
        <v>17002801</v>
      </c>
      <c r="U51" s="167">
        <v>14865471</v>
      </c>
      <c r="V51" s="167">
        <v>16102760</v>
      </c>
      <c r="W51" s="167">
        <v>17141354</v>
      </c>
      <c r="X51" s="167">
        <v>18614583</v>
      </c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363">
        <f t="shared" si="26"/>
        <v>35</v>
      </c>
      <c r="B52" s="167" t="s">
        <v>1522</v>
      </c>
      <c r="C52" s="167"/>
      <c r="D52" s="201">
        <f t="shared" si="27"/>
        <v>428266785</v>
      </c>
      <c r="E52" s="179">
        <f t="shared" si="28"/>
        <v>-6.2791943034332359E-4</v>
      </c>
      <c r="F52" s="201">
        <f t="shared" si="29"/>
        <v>428535871</v>
      </c>
      <c r="G52" s="179">
        <f t="shared" si="28"/>
        <v>5.5171043651450397E-2</v>
      </c>
      <c r="H52" s="201">
        <f t="shared" si="30"/>
        <v>406129293.99298054</v>
      </c>
      <c r="I52" s="179">
        <f t="shared" si="28"/>
        <v>9.2832233430476443E-3</v>
      </c>
      <c r="J52" s="201">
        <f t="shared" si="31"/>
        <v>402393782.63690835</v>
      </c>
      <c r="K52" s="179">
        <f t="shared" si="28"/>
        <v>8.9023107209723243E-2</v>
      </c>
      <c r="L52" s="201">
        <f t="shared" si="32"/>
        <v>369499765.40710413</v>
      </c>
      <c r="M52" s="179">
        <f t="shared" si="28"/>
        <v>-5.0141659960378185E-2</v>
      </c>
      <c r="N52" s="201">
        <f t="shared" si="33"/>
        <v>389005128.2717495</v>
      </c>
      <c r="O52" s="179">
        <f t="shared" si="28"/>
        <v>0.15969875577116385</v>
      </c>
      <c r="P52" s="201">
        <f t="shared" si="34"/>
        <v>335436359.08540154</v>
      </c>
      <c r="Q52" s="167"/>
      <c r="R52" s="167">
        <v>428266785</v>
      </c>
      <c r="S52" s="167">
        <v>428535871</v>
      </c>
      <c r="T52" s="167">
        <v>406129293.99298054</v>
      </c>
      <c r="U52" s="167">
        <v>402393782.63690835</v>
      </c>
      <c r="V52" s="167">
        <v>369499765.40710413</v>
      </c>
      <c r="W52" s="167">
        <v>389005128.2717495</v>
      </c>
      <c r="X52" s="167">
        <v>335436359.08540154</v>
      </c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363">
        <f t="shared" si="26"/>
        <v>36</v>
      </c>
      <c r="B53" s="167" t="s">
        <v>1523</v>
      </c>
      <c r="C53" s="167"/>
      <c r="D53" s="201">
        <f t="shared" si="27"/>
        <v>1958395</v>
      </c>
      <c r="E53" s="179">
        <f t="shared" si="28"/>
        <v>-8.1530903426695913E-4</v>
      </c>
      <c r="F53" s="201">
        <f t="shared" si="29"/>
        <v>1959993</v>
      </c>
      <c r="G53" s="179">
        <f t="shared" si="28"/>
        <v>-0.14692873717420851</v>
      </c>
      <c r="H53" s="201">
        <f t="shared" si="30"/>
        <v>2297572.413244281</v>
      </c>
      <c r="I53" s="179">
        <f t="shared" si="28"/>
        <v>-0.2803863843076087</v>
      </c>
      <c r="J53" s="201">
        <f t="shared" si="31"/>
        <v>3192786.1885070414</v>
      </c>
      <c r="K53" s="179">
        <f t="shared" si="28"/>
        <v>-0.26170009181411802</v>
      </c>
      <c r="L53" s="201">
        <f t="shared" si="32"/>
        <v>4324511.1547585251</v>
      </c>
      <c r="M53" s="179">
        <f t="shared" si="28"/>
        <v>-0.2119801359994038</v>
      </c>
      <c r="N53" s="201">
        <f t="shared" si="33"/>
        <v>5487819.9805826889</v>
      </c>
      <c r="O53" s="179">
        <f t="shared" si="28"/>
        <v>-8.7676061665296665E-2</v>
      </c>
      <c r="P53" s="201">
        <f t="shared" si="34"/>
        <v>6015209.8941959124</v>
      </c>
      <c r="Q53" s="181"/>
      <c r="R53" s="167">
        <v>1958395</v>
      </c>
      <c r="S53" s="167">
        <v>1959993</v>
      </c>
      <c r="T53" s="167">
        <v>2297572.413244281</v>
      </c>
      <c r="U53" s="167">
        <v>3192786.1885070414</v>
      </c>
      <c r="V53" s="167">
        <v>4324511.1547585251</v>
      </c>
      <c r="W53" s="167">
        <v>5487819.9805826889</v>
      </c>
      <c r="X53" s="167">
        <v>6015209.8941959124</v>
      </c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363">
        <f t="shared" si="26"/>
        <v>37</v>
      </c>
      <c r="B54" s="167" t="s">
        <v>1524</v>
      </c>
      <c r="C54" s="167"/>
      <c r="D54" s="201">
        <f t="shared" si="27"/>
        <v>2676533</v>
      </c>
      <c r="E54" s="179">
        <f t="shared" si="28"/>
        <v>-1.3218615190236496E-2</v>
      </c>
      <c r="F54" s="201">
        <f t="shared" si="29"/>
        <v>2712387</v>
      </c>
      <c r="G54" s="179">
        <f t="shared" si="28"/>
        <v>-80.832440546267961</v>
      </c>
      <c r="H54" s="201">
        <f t="shared" si="30"/>
        <v>-33976</v>
      </c>
      <c r="I54" s="179">
        <v>-1</v>
      </c>
      <c r="J54" s="201">
        <f t="shared" si="31"/>
        <v>0</v>
      </c>
      <c r="K54" s="179">
        <v>0</v>
      </c>
      <c r="L54" s="201">
        <f t="shared" si="32"/>
        <v>0</v>
      </c>
      <c r="M54" s="179">
        <v>0</v>
      </c>
      <c r="N54" s="201">
        <f t="shared" si="33"/>
        <v>0</v>
      </c>
      <c r="O54" s="179">
        <v>0</v>
      </c>
      <c r="P54" s="201">
        <f t="shared" si="34"/>
        <v>0</v>
      </c>
      <c r="Q54" s="167"/>
      <c r="R54" s="167">
        <v>2676533</v>
      </c>
      <c r="S54" s="167">
        <v>2712387</v>
      </c>
      <c r="T54" s="167">
        <v>-33976</v>
      </c>
      <c r="U54" s="167">
        <v>0</v>
      </c>
      <c r="V54" s="167">
        <v>0</v>
      </c>
      <c r="W54" s="167">
        <v>0</v>
      </c>
      <c r="X54" s="167">
        <v>0</v>
      </c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363">
        <f t="shared" si="26"/>
        <v>38</v>
      </c>
      <c r="B55" s="167" t="s">
        <v>1525</v>
      </c>
      <c r="C55" s="167"/>
      <c r="D55" s="201">
        <f t="shared" si="27"/>
        <v>10513205</v>
      </c>
      <c r="E55" s="179">
        <f t="shared" si="28"/>
        <v>-1.160713556188056E-3</v>
      </c>
      <c r="F55" s="201">
        <f t="shared" si="29"/>
        <v>10525422</v>
      </c>
      <c r="G55" s="179">
        <f t="shared" si="28"/>
        <v>-0.54524220622552355</v>
      </c>
      <c r="H55" s="201">
        <f t="shared" si="30"/>
        <v>23145116.244494248</v>
      </c>
      <c r="I55" s="179">
        <f t="shared" si="28"/>
        <v>0.36432636005608943</v>
      </c>
      <c r="J55" s="201">
        <f t="shared" si="31"/>
        <v>16964501.252869379</v>
      </c>
      <c r="K55" s="179">
        <f t="shared" si="28"/>
        <v>0.41854168191408742</v>
      </c>
      <c r="L55" s="201">
        <f t="shared" si="32"/>
        <v>11959113.693422522</v>
      </c>
      <c r="M55" s="179">
        <f t="shared" si="28"/>
        <v>-0.71410421875982011</v>
      </c>
      <c r="N55" s="201">
        <f t="shared" si="33"/>
        <v>41830325.867508061</v>
      </c>
      <c r="O55" s="179">
        <f t="shared" si="28"/>
        <v>0.16386778250355377</v>
      </c>
      <c r="P55" s="201">
        <f t="shared" si="34"/>
        <v>35940788.546898656</v>
      </c>
      <c r="Q55" s="181"/>
      <c r="R55" s="167">
        <v>10513205</v>
      </c>
      <c r="S55" s="167">
        <v>10525422</v>
      </c>
      <c r="T55" s="167">
        <v>23145116.244494248</v>
      </c>
      <c r="U55" s="167">
        <v>16964501.252869379</v>
      </c>
      <c r="V55" s="167">
        <v>11959113.693422522</v>
      </c>
      <c r="W55" s="167">
        <v>41830325.867508061</v>
      </c>
      <c r="X55" s="167">
        <v>35940788.546898656</v>
      </c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363">
        <f t="shared" si="26"/>
        <v>39</v>
      </c>
      <c r="B56" s="167" t="s">
        <v>1526</v>
      </c>
      <c r="C56" s="167"/>
      <c r="D56" s="201">
        <f t="shared" si="27"/>
        <v>7498492</v>
      </c>
      <c r="E56" s="179">
        <f t="shared" si="28"/>
        <v>-6.3655509772282681E-2</v>
      </c>
      <c r="F56" s="201">
        <f t="shared" si="29"/>
        <v>8008262</v>
      </c>
      <c r="G56" s="179">
        <f t="shared" si="28"/>
        <v>-8.1405587000249593E-2</v>
      </c>
      <c r="H56" s="201">
        <f t="shared" si="30"/>
        <v>8717952</v>
      </c>
      <c r="I56" s="179">
        <f t="shared" si="28"/>
        <v>0.14724235266250388</v>
      </c>
      <c r="J56" s="201">
        <f t="shared" si="31"/>
        <v>7599050</v>
      </c>
      <c r="K56" s="179">
        <f t="shared" si="28"/>
        <v>-3.4634161276139434E-2</v>
      </c>
      <c r="L56" s="201">
        <f t="shared" si="32"/>
        <v>7871679</v>
      </c>
      <c r="M56" s="179">
        <f t="shared" si="28"/>
        <v>-6.4539095589179016E-2</v>
      </c>
      <c r="N56" s="201">
        <f t="shared" si="33"/>
        <v>8414760</v>
      </c>
      <c r="O56" s="179">
        <f t="shared" si="28"/>
        <v>6.1950923216928501E-2</v>
      </c>
      <c r="P56" s="201">
        <f t="shared" si="34"/>
        <v>7923869</v>
      </c>
      <c r="Q56" s="181"/>
      <c r="R56" s="167">
        <v>7498492</v>
      </c>
      <c r="S56" s="167">
        <v>8008262</v>
      </c>
      <c r="T56" s="167">
        <v>8717952</v>
      </c>
      <c r="U56" s="167">
        <v>7599050</v>
      </c>
      <c r="V56" s="167">
        <v>7871679</v>
      </c>
      <c r="W56" s="167">
        <v>8414760</v>
      </c>
      <c r="X56" s="167">
        <v>7923869</v>
      </c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363">
        <f t="shared" si="26"/>
        <v>40</v>
      </c>
      <c r="B57" s="167" t="s">
        <v>1527</v>
      </c>
      <c r="C57" s="167"/>
      <c r="D57" s="201">
        <f t="shared" si="27"/>
        <v>288435288</v>
      </c>
      <c r="E57" s="179">
        <f t="shared" si="28"/>
        <v>-4.9122925599029109E-3</v>
      </c>
      <c r="F57" s="201">
        <f t="shared" si="29"/>
        <v>289859161</v>
      </c>
      <c r="G57" s="179">
        <f t="shared" si="28"/>
        <v>-1.3950725791993321E-2</v>
      </c>
      <c r="H57" s="201">
        <f t="shared" si="30"/>
        <v>293960118</v>
      </c>
      <c r="I57" s="179">
        <f t="shared" si="28"/>
        <v>-1.1273898099155997E-2</v>
      </c>
      <c r="J57" s="201">
        <f t="shared" si="31"/>
        <v>297311983</v>
      </c>
      <c r="K57" s="179">
        <f t="shared" si="28"/>
        <v>-7.9969600672862004E-2</v>
      </c>
      <c r="L57" s="201">
        <f t="shared" si="32"/>
        <v>323154521</v>
      </c>
      <c r="M57" s="179">
        <f t="shared" si="28"/>
        <v>0.13586252242422761</v>
      </c>
      <c r="N57" s="201">
        <f t="shared" si="33"/>
        <v>284501438</v>
      </c>
      <c r="O57" s="179">
        <f t="shared" si="28"/>
        <v>-0.10563830676942684</v>
      </c>
      <c r="P57" s="201">
        <f t="shared" si="34"/>
        <v>318105572</v>
      </c>
      <c r="Q57" s="167"/>
      <c r="R57" s="167">
        <v>288435288</v>
      </c>
      <c r="S57" s="167">
        <v>289859161</v>
      </c>
      <c r="T57" s="167">
        <v>293960118</v>
      </c>
      <c r="U57" s="167">
        <v>297311983</v>
      </c>
      <c r="V57" s="167">
        <v>323154521</v>
      </c>
      <c r="W57" s="167">
        <v>284501438</v>
      </c>
      <c r="X57" s="167">
        <v>318105572</v>
      </c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363">
        <f t="shared" si="26"/>
        <v>41</v>
      </c>
      <c r="B58" s="167" t="s">
        <v>1455</v>
      </c>
      <c r="C58" s="167"/>
      <c r="D58" s="200">
        <f>SUM(D51:D57)</f>
        <v>761509336</v>
      </c>
      <c r="E58" s="179">
        <f t="shared" si="28"/>
        <v>-1.8166929313030529E-4</v>
      </c>
      <c r="F58" s="200">
        <f>SUM(F51:F57)</f>
        <v>761647704</v>
      </c>
      <c r="G58" s="179">
        <f t="shared" si="28"/>
        <v>1.3882540308218585E-2</v>
      </c>
      <c r="H58" s="200">
        <f>SUM(H51:H57)</f>
        <v>751218877.65071917</v>
      </c>
      <c r="I58" s="179">
        <f t="shared" si="28"/>
        <v>1.1977601106188684E-2</v>
      </c>
      <c r="J58" s="200">
        <f>SUM(J51:J57)</f>
        <v>742327574.07828474</v>
      </c>
      <c r="K58" s="179">
        <f t="shared" si="28"/>
        <v>1.2846316233748992E-2</v>
      </c>
      <c r="L58" s="200">
        <f>SUM(L51:L57)</f>
        <v>732912350.25528514</v>
      </c>
      <c r="M58" s="179">
        <f t="shared" si="28"/>
        <v>-1.8045045361860083E-2</v>
      </c>
      <c r="N58" s="200">
        <f>SUM(N51:N57)</f>
        <v>746380826.11984026</v>
      </c>
      <c r="O58" s="179">
        <f t="shared" si="28"/>
        <v>3.3716368338498656E-2</v>
      </c>
      <c r="P58" s="200">
        <f>SUM(P51:P57)</f>
        <v>722036381.52649617</v>
      </c>
      <c r="Q58" s="167"/>
      <c r="R58" s="167">
        <v>761509336</v>
      </c>
      <c r="S58" s="167">
        <v>761647704</v>
      </c>
      <c r="T58" s="167">
        <v>751218877.65071917</v>
      </c>
      <c r="U58" s="167">
        <v>742327574.07828474</v>
      </c>
      <c r="V58" s="167">
        <v>732912350.25528514</v>
      </c>
      <c r="W58" s="167">
        <v>746380826.11984026</v>
      </c>
      <c r="X58" s="167">
        <v>722036381.52649617</v>
      </c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363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363">
        <f>A58+1</f>
        <v>42</v>
      </c>
      <c r="B60" s="167" t="s">
        <v>1456</v>
      </c>
      <c r="D60" s="203">
        <f>D21+D28+D48+D58</f>
        <v>7996683121.5229645</v>
      </c>
      <c r="E60" s="179">
        <f t="shared" ref="E60:O60" si="35">(+D60-F60)/F60</f>
        <v>1.9320691783254747E-2</v>
      </c>
      <c r="F60" s="203">
        <f>F21+F28+F48+F58</f>
        <v>7845110166</v>
      </c>
      <c r="G60" s="179">
        <f t="shared" si="35"/>
        <v>2.5855719659183769E-2</v>
      </c>
      <c r="H60" s="203">
        <f>H21+H28+H48+H58</f>
        <v>7647381610.9407196</v>
      </c>
      <c r="I60" s="179">
        <f t="shared" si="35"/>
        <v>8.7556655748272566E-2</v>
      </c>
      <c r="J60" s="203">
        <f>J21+J28+J48+J58</f>
        <v>7031708711.9282856</v>
      </c>
      <c r="K60" s="179">
        <f t="shared" si="35"/>
        <v>3.7657723741712397E-2</v>
      </c>
      <c r="L60" s="203">
        <f>L21+L28+L48+L58</f>
        <v>6776520379.5452852</v>
      </c>
      <c r="M60" s="179">
        <f t="shared" si="35"/>
        <v>2.2134772214416221E-2</v>
      </c>
      <c r="N60" s="203">
        <f>N21+N28+N48+N58</f>
        <v>6629771888.9498405</v>
      </c>
      <c r="O60" s="179">
        <f t="shared" si="35"/>
        <v>7.302667806757296E-3</v>
      </c>
      <c r="P60" s="203">
        <f>P21+P28+P48+P58</f>
        <v>6581707862.8264961</v>
      </c>
      <c r="Q60" s="167"/>
      <c r="R60" s="166">
        <v>7996683121.5229645</v>
      </c>
      <c r="S60" s="166">
        <v>7845110166</v>
      </c>
      <c r="T60" s="166">
        <v>7647381610.9407196</v>
      </c>
      <c r="U60" s="166">
        <v>7031708711.9282856</v>
      </c>
      <c r="V60" s="166">
        <v>6776520379.5452852</v>
      </c>
      <c r="W60" s="166">
        <v>6629771888.9498405</v>
      </c>
      <c r="X60" s="166">
        <v>6581707862.8264961</v>
      </c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363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363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JURISDICTIONAL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1457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__X__ ORIGINAL  _____ UPDATED  _____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2053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1476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363" t="s">
        <v>1462</v>
      </c>
      <c r="B73" s="167"/>
      <c r="C73" s="167"/>
      <c r="D73" s="363" t="s">
        <v>1458</v>
      </c>
      <c r="E73" s="167"/>
      <c r="F73" s="363" t="s">
        <v>1461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363" t="s">
        <v>1463</v>
      </c>
      <c r="B74" s="363" t="s">
        <v>204</v>
      </c>
      <c r="C74" s="167"/>
      <c r="D74" s="363" t="s">
        <v>1459</v>
      </c>
      <c r="E74" s="363" t="s">
        <v>1460</v>
      </c>
      <c r="F74" s="363" t="s">
        <v>1459</v>
      </c>
      <c r="G74" s="363" t="s">
        <v>1460</v>
      </c>
      <c r="H74" s="175">
        <f>+H12</f>
        <v>2019</v>
      </c>
      <c r="I74" s="363" t="s">
        <v>1460</v>
      </c>
      <c r="J74" s="175">
        <f>+J12</f>
        <v>2018</v>
      </c>
      <c r="K74" s="363" t="s">
        <v>1460</v>
      </c>
      <c r="L74" s="175">
        <f>+L12</f>
        <v>2017</v>
      </c>
      <c r="M74" s="363" t="s">
        <v>1460</v>
      </c>
      <c r="N74" s="175">
        <f>+N12</f>
        <v>2016</v>
      </c>
      <c r="O74" s="363" t="s">
        <v>1460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363">
        <v>1</v>
      </c>
      <c r="B76" s="823" t="s">
        <v>1528</v>
      </c>
      <c r="C76" s="823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363"/>
      <c r="B77" s="364"/>
      <c r="C77" s="364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363">
        <f>A76+1</f>
        <v>2</v>
      </c>
      <c r="B78" s="178" t="s">
        <v>1442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 t="s">
        <v>1458</v>
      </c>
      <c r="S78" s="167" t="s">
        <v>1461</v>
      </c>
      <c r="T78" s="459" t="str">
        <f>T16</f>
        <v>2019</v>
      </c>
      <c r="U78" s="459" t="str">
        <f>U16</f>
        <v>2018</v>
      </c>
      <c r="V78" s="459" t="str">
        <f t="shared" ref="V78:X78" si="36">V16</f>
        <v>2017</v>
      </c>
      <c r="W78" s="459" t="str">
        <f t="shared" si="36"/>
        <v>2016</v>
      </c>
      <c r="X78" s="459" t="str">
        <f t="shared" si="36"/>
        <v>2015</v>
      </c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363">
        <f>A78+1</f>
        <v>3</v>
      </c>
      <c r="B79" s="167" t="s">
        <v>1529</v>
      </c>
      <c r="C79" s="167"/>
      <c r="D79" s="204">
        <f t="shared" ref="D79:D84" si="37">R79</f>
        <v>288518426</v>
      </c>
      <c r="E79" s="179">
        <f t="shared" ref="E79:O85" si="38">(+D79-F79)/F79</f>
        <v>-8.1545567531259456E-4</v>
      </c>
      <c r="F79" s="204">
        <f t="shared" ref="F79:F84" si="39">S79</f>
        <v>288753892</v>
      </c>
      <c r="G79" s="179">
        <f t="shared" si="38"/>
        <v>-9.4678175613840639E-4</v>
      </c>
      <c r="H79" s="204">
        <f t="shared" ref="H79:H84" si="40">T79</f>
        <v>289027538</v>
      </c>
      <c r="I79" s="179">
        <f t="shared" si="38"/>
        <v>4.898000587808355E-2</v>
      </c>
      <c r="J79" s="204">
        <f t="shared" ref="J79:J84" si="41">U79</f>
        <v>275531980</v>
      </c>
      <c r="K79" s="179">
        <f t="shared" si="38"/>
        <v>2.5905424577705571E-3</v>
      </c>
      <c r="L79" s="204">
        <f t="shared" ref="L79:L84" si="42">V79</f>
        <v>274820047</v>
      </c>
      <c r="M79" s="179">
        <f t="shared" si="38"/>
        <v>1.1386564802625586E-4</v>
      </c>
      <c r="N79" s="204">
        <f t="shared" ref="N79:N84" si="43">W79</f>
        <v>274788758</v>
      </c>
      <c r="O79" s="179">
        <f t="shared" si="38"/>
        <v>2.4349550236494768E-3</v>
      </c>
      <c r="P79" s="204">
        <f t="shared" ref="P79:P84" si="44">X79</f>
        <v>274121285</v>
      </c>
      <c r="Q79" s="181"/>
      <c r="R79" s="167">
        <v>288518426</v>
      </c>
      <c r="S79" s="167">
        <v>288753892</v>
      </c>
      <c r="T79" s="167">
        <v>289027538</v>
      </c>
      <c r="U79" s="167">
        <v>275531980</v>
      </c>
      <c r="V79" s="167">
        <v>274820047</v>
      </c>
      <c r="W79" s="167">
        <v>274788758</v>
      </c>
      <c r="X79" s="167">
        <v>274121285</v>
      </c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363">
        <f t="shared" ref="A80:A85" si="45">A79+1</f>
        <v>4</v>
      </c>
      <c r="B80" s="167" t="s">
        <v>1530</v>
      </c>
      <c r="C80" s="167"/>
      <c r="D80" s="195">
        <f t="shared" si="37"/>
        <v>900029838</v>
      </c>
      <c r="E80" s="179">
        <f t="shared" si="38"/>
        <v>0.14893836648638695</v>
      </c>
      <c r="F80" s="195">
        <f t="shared" si="39"/>
        <v>783357806</v>
      </c>
      <c r="G80" s="179">
        <f t="shared" si="38"/>
        <v>0.19846307084033682</v>
      </c>
      <c r="H80" s="195">
        <f t="shared" si="40"/>
        <v>653635331</v>
      </c>
      <c r="I80" s="179">
        <f t="shared" si="38"/>
        <v>0.16240884466782765</v>
      </c>
      <c r="J80" s="195">
        <f t="shared" si="41"/>
        <v>562311044</v>
      </c>
      <c r="K80" s="179">
        <f t="shared" si="38"/>
        <v>7.986372775333811E-2</v>
      </c>
      <c r="L80" s="195">
        <f t="shared" si="42"/>
        <v>520724078</v>
      </c>
      <c r="M80" s="179">
        <f t="shared" si="38"/>
        <v>1.1386596695403211E-4</v>
      </c>
      <c r="N80" s="195">
        <f t="shared" si="43"/>
        <v>520664792</v>
      </c>
      <c r="O80" s="179">
        <f t="shared" si="38"/>
        <v>3.7991240169000545E-2</v>
      </c>
      <c r="P80" s="195">
        <f t="shared" si="44"/>
        <v>501608079</v>
      </c>
      <c r="Q80" s="167"/>
      <c r="R80" s="167">
        <v>900029838</v>
      </c>
      <c r="S80" s="167">
        <v>783357806</v>
      </c>
      <c r="T80" s="167">
        <v>653635331</v>
      </c>
      <c r="U80" s="167">
        <v>562311044</v>
      </c>
      <c r="V80" s="167">
        <v>520724078</v>
      </c>
      <c r="W80" s="167">
        <v>520664792</v>
      </c>
      <c r="X80" s="167">
        <v>501608079</v>
      </c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363">
        <f t="shared" si="45"/>
        <v>5</v>
      </c>
      <c r="B81" s="167" t="s">
        <v>1531</v>
      </c>
      <c r="C81" s="167"/>
      <c r="D81" s="195">
        <f t="shared" si="37"/>
        <v>300830</v>
      </c>
      <c r="E81" s="179">
        <f t="shared" si="38"/>
        <v>-8.1706944425992108E-4</v>
      </c>
      <c r="F81" s="195">
        <f t="shared" si="39"/>
        <v>301076</v>
      </c>
      <c r="G81" s="179">
        <f t="shared" si="38"/>
        <v>-9.4570963064231938E-4</v>
      </c>
      <c r="H81" s="195">
        <f t="shared" si="40"/>
        <v>301361</v>
      </c>
      <c r="I81" s="179">
        <f t="shared" si="38"/>
        <v>4.8982035511279581E-2</v>
      </c>
      <c r="J81" s="195">
        <f t="shared" si="41"/>
        <v>287289</v>
      </c>
      <c r="K81" s="179">
        <f t="shared" si="38"/>
        <v>2.589453039117492E-3</v>
      </c>
      <c r="L81" s="195">
        <f t="shared" si="42"/>
        <v>286547</v>
      </c>
      <c r="M81" s="179">
        <f t="shared" si="38"/>
        <v>1.1517761784764444E-4</v>
      </c>
      <c r="N81" s="195">
        <f t="shared" si="43"/>
        <v>286514</v>
      </c>
      <c r="O81" s="179">
        <f t="shared" si="38"/>
        <v>2.4316088153691672E-3</v>
      </c>
      <c r="P81" s="195">
        <f t="shared" si="44"/>
        <v>285819</v>
      </c>
      <c r="Q81" s="181"/>
      <c r="R81" s="167">
        <v>300830</v>
      </c>
      <c r="S81" s="167">
        <v>301076</v>
      </c>
      <c r="T81" s="167">
        <v>301361</v>
      </c>
      <c r="U81" s="167">
        <v>287289</v>
      </c>
      <c r="V81" s="167">
        <v>286547</v>
      </c>
      <c r="W81" s="167">
        <v>286514</v>
      </c>
      <c r="X81" s="167">
        <v>285819</v>
      </c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363">
        <f t="shared" si="45"/>
        <v>6</v>
      </c>
      <c r="B82" s="167" t="s">
        <v>1532</v>
      </c>
      <c r="C82" s="167"/>
      <c r="D82" s="201">
        <f t="shared" si="37"/>
        <v>0</v>
      </c>
      <c r="E82" s="179">
        <v>0</v>
      </c>
      <c r="F82" s="201">
        <f t="shared" si="39"/>
        <v>0</v>
      </c>
      <c r="G82" s="179">
        <v>0</v>
      </c>
      <c r="H82" s="201">
        <f t="shared" si="40"/>
        <v>0</v>
      </c>
      <c r="I82" s="179">
        <v>0</v>
      </c>
      <c r="J82" s="201">
        <f t="shared" si="41"/>
        <v>0</v>
      </c>
      <c r="K82" s="179">
        <v>0</v>
      </c>
      <c r="L82" s="201">
        <f t="shared" si="42"/>
        <v>0</v>
      </c>
      <c r="M82" s="179">
        <f t="shared" si="38"/>
        <v>-1</v>
      </c>
      <c r="N82" s="201">
        <f t="shared" si="43"/>
        <v>-1616953</v>
      </c>
      <c r="O82" s="179">
        <f t="shared" si="38"/>
        <v>0.11701118632523033</v>
      </c>
      <c r="P82" s="201">
        <f t="shared" si="44"/>
        <v>-1447571</v>
      </c>
      <c r="Q82" s="181"/>
      <c r="R82" s="167">
        <v>0</v>
      </c>
      <c r="S82" s="167">
        <v>0</v>
      </c>
      <c r="T82" s="195">
        <v>0</v>
      </c>
      <c r="U82" s="195">
        <v>0</v>
      </c>
      <c r="V82" s="195">
        <v>0</v>
      </c>
      <c r="W82" s="195">
        <v>-1616953</v>
      </c>
      <c r="X82" s="195">
        <v>-1447571</v>
      </c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363">
        <f t="shared" si="45"/>
        <v>7</v>
      </c>
      <c r="B83" s="167" t="s">
        <v>1533</v>
      </c>
      <c r="C83" s="167"/>
      <c r="D83" s="195">
        <f t="shared" si="37"/>
        <v>1904647615</v>
      </c>
      <c r="E83" s="179">
        <f t="shared" si="38"/>
        <v>-3.0396541172595097E-2</v>
      </c>
      <c r="F83" s="195">
        <f t="shared" si="39"/>
        <v>1964357282</v>
      </c>
      <c r="G83" s="179">
        <f t="shared" si="38"/>
        <v>6.7143611716283691E-2</v>
      </c>
      <c r="H83" s="195">
        <f t="shared" si="40"/>
        <v>1840761881</v>
      </c>
      <c r="I83" s="179">
        <f t="shared" si="38"/>
        <v>8.4362536218196574E-2</v>
      </c>
      <c r="J83" s="195">
        <f t="shared" si="41"/>
        <v>1697552082</v>
      </c>
      <c r="K83" s="179">
        <f t="shared" si="38"/>
        <v>2.4516778039952211E-2</v>
      </c>
      <c r="L83" s="195">
        <f t="shared" si="42"/>
        <v>1656929509</v>
      </c>
      <c r="M83" s="179">
        <f t="shared" si="38"/>
        <v>1.7145728595759621E-2</v>
      </c>
      <c r="N83" s="195">
        <f t="shared" si="43"/>
        <v>1628999132</v>
      </c>
      <c r="O83" s="179">
        <f t="shared" si="38"/>
        <v>1.2079881883591905E-2</v>
      </c>
      <c r="P83" s="195">
        <f t="shared" si="44"/>
        <v>1609555887</v>
      </c>
      <c r="Q83" s="181"/>
      <c r="R83" s="167">
        <v>1904647615</v>
      </c>
      <c r="S83" s="167">
        <v>1964357282</v>
      </c>
      <c r="T83" s="167">
        <v>1840761881</v>
      </c>
      <c r="U83" s="167">
        <v>1697552082</v>
      </c>
      <c r="V83" s="167">
        <v>1656929509</v>
      </c>
      <c r="W83" s="167">
        <v>1628999132</v>
      </c>
      <c r="X83" s="167">
        <v>1609555887</v>
      </c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363">
        <f t="shared" si="45"/>
        <v>8</v>
      </c>
      <c r="B84" s="167" t="s">
        <v>1534</v>
      </c>
      <c r="C84" s="167"/>
      <c r="D84" s="206">
        <f t="shared" si="37"/>
        <v>0</v>
      </c>
      <c r="E84" s="179">
        <v>0</v>
      </c>
      <c r="F84" s="206">
        <f t="shared" si="39"/>
        <v>0</v>
      </c>
      <c r="G84" s="179">
        <v>0</v>
      </c>
      <c r="H84" s="206">
        <f t="shared" si="40"/>
        <v>0</v>
      </c>
      <c r="I84" s="179">
        <v>0</v>
      </c>
      <c r="J84" s="206">
        <f t="shared" si="41"/>
        <v>0</v>
      </c>
      <c r="K84" s="179">
        <v>0</v>
      </c>
      <c r="L84" s="206">
        <f t="shared" si="42"/>
        <v>0</v>
      </c>
      <c r="M84" s="179">
        <v>0</v>
      </c>
      <c r="N84" s="206">
        <f t="shared" si="43"/>
        <v>0</v>
      </c>
      <c r="O84" s="179">
        <v>0</v>
      </c>
      <c r="P84" s="206">
        <f t="shared" si="44"/>
        <v>0</v>
      </c>
      <c r="Q84" s="181"/>
      <c r="R84" s="167">
        <v>0</v>
      </c>
      <c r="S84" s="167">
        <v>0</v>
      </c>
      <c r="T84" s="167">
        <v>0</v>
      </c>
      <c r="U84" s="167">
        <v>0</v>
      </c>
      <c r="V84" s="167">
        <v>0</v>
      </c>
      <c r="W84" s="167">
        <v>0</v>
      </c>
      <c r="X84" s="167">
        <v>0</v>
      </c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363">
        <f t="shared" si="45"/>
        <v>9</v>
      </c>
      <c r="B85" s="167" t="s">
        <v>1535</v>
      </c>
      <c r="C85" s="167"/>
      <c r="D85" s="200">
        <f>SUM(D79,D80,-D81,D82,D83,D84)</f>
        <v>3092895049</v>
      </c>
      <c r="E85" s="179">
        <f t="shared" si="38"/>
        <v>1.8683797073694379E-2</v>
      </c>
      <c r="F85" s="200">
        <f>SUM(F79,F80,-F81,F82,F83,F84)</f>
        <v>3036167904</v>
      </c>
      <c r="G85" s="179">
        <f t="shared" si="38"/>
        <v>9.0921055099508555E-2</v>
      </c>
      <c r="H85" s="200">
        <f>SUM(H79,H80,-H81,H82,H83,H84)</f>
        <v>2783123389</v>
      </c>
      <c r="I85" s="179">
        <f t="shared" si="38"/>
        <v>9.783235661096934E-2</v>
      </c>
      <c r="J85" s="200">
        <f>SUM(J79,J80,-J81,J82,J83,J84)</f>
        <v>2535107817</v>
      </c>
      <c r="K85" s="179">
        <f t="shared" si="38"/>
        <v>3.3815009645713871E-2</v>
      </c>
      <c r="L85" s="200">
        <f>SUM(L79,L80,-L81,L82,L83,L84)</f>
        <v>2452187087</v>
      </c>
      <c r="M85" s="179">
        <f t="shared" si="38"/>
        <v>1.2234167139510518E-2</v>
      </c>
      <c r="N85" s="200">
        <f>SUM(N79,N80,-N81,N82,N83,N84)</f>
        <v>2422549215</v>
      </c>
      <c r="O85" s="179">
        <f t="shared" si="38"/>
        <v>1.6361026012515194E-2</v>
      </c>
      <c r="P85" s="200">
        <f>SUM(P79,P80,-P81,P82,P83,P84)</f>
        <v>2383551861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363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363">
        <f>A85+1</f>
        <v>10</v>
      </c>
      <c r="B87" s="178" t="s">
        <v>1443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363">
        <f t="shared" ref="A88:A92" si="46">A87+1</f>
        <v>11</v>
      </c>
      <c r="B88" s="167" t="s">
        <v>1536</v>
      </c>
      <c r="C88" s="167"/>
      <c r="D88" s="204">
        <f>R88</f>
        <v>2660890644</v>
      </c>
      <c r="E88" s="179">
        <f t="shared" ref="E88:O92" si="47">(+D88-F88)/F88</f>
        <v>7.4827266968031422E-2</v>
      </c>
      <c r="F88" s="204">
        <f>S88</f>
        <v>2475644902</v>
      </c>
      <c r="G88" s="179">
        <f t="shared" si="47"/>
        <v>-9.4678228494952336E-4</v>
      </c>
      <c r="H88" s="204">
        <f t="shared" ref="H88:H91" si="48">T88</f>
        <v>2477991020</v>
      </c>
      <c r="I88" s="179">
        <f t="shared" si="47"/>
        <v>0.18335824753998722</v>
      </c>
      <c r="J88" s="204">
        <f t="shared" ref="J88:J91" si="49">U88</f>
        <v>2094032830</v>
      </c>
      <c r="K88" s="179">
        <f t="shared" si="47"/>
        <v>-1.216759814725065E-3</v>
      </c>
      <c r="L88" s="204">
        <f t="shared" ref="L88:L91" si="50">V88</f>
        <v>2096583869</v>
      </c>
      <c r="M88" s="179">
        <f t="shared" si="47"/>
        <v>1.138653136151861E-4</v>
      </c>
      <c r="N88" s="204">
        <f t="shared" ref="N88:N91" si="51">W88</f>
        <v>2096345168</v>
      </c>
      <c r="O88" s="179">
        <f t="shared" si="47"/>
        <v>2.4349544741993543E-3</v>
      </c>
      <c r="P88" s="204">
        <f t="shared" ref="P88:P91" si="52">X88</f>
        <v>2091253062</v>
      </c>
      <c r="Q88" s="167"/>
      <c r="R88" s="167">
        <v>2660890644</v>
      </c>
      <c r="S88" s="167">
        <v>2475644902</v>
      </c>
      <c r="T88" s="167">
        <v>2477991020</v>
      </c>
      <c r="U88" s="167">
        <v>2094032830</v>
      </c>
      <c r="V88" s="167">
        <v>2096583869</v>
      </c>
      <c r="W88" s="167">
        <v>2096345168</v>
      </c>
      <c r="X88" s="167">
        <v>2091253062</v>
      </c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363">
        <f t="shared" si="46"/>
        <v>12</v>
      </c>
      <c r="B89" s="167" t="s">
        <v>1558</v>
      </c>
      <c r="C89" s="167"/>
      <c r="D89" s="201">
        <f>R89</f>
        <v>0</v>
      </c>
      <c r="E89" s="179">
        <v>0</v>
      </c>
      <c r="F89" s="201">
        <f>S89</f>
        <v>0</v>
      </c>
      <c r="G89" s="179">
        <v>0</v>
      </c>
      <c r="H89" s="201">
        <f t="shared" si="48"/>
        <v>0</v>
      </c>
      <c r="I89" s="179">
        <v>0</v>
      </c>
      <c r="J89" s="201">
        <f t="shared" si="49"/>
        <v>0</v>
      </c>
      <c r="K89" s="179">
        <v>0</v>
      </c>
      <c r="L89" s="201">
        <f t="shared" si="50"/>
        <v>0</v>
      </c>
      <c r="M89" s="179">
        <v>0</v>
      </c>
      <c r="N89" s="201">
        <f t="shared" si="51"/>
        <v>0</v>
      </c>
      <c r="O89" s="179">
        <v>0</v>
      </c>
      <c r="P89" s="201">
        <f t="shared" si="52"/>
        <v>0</v>
      </c>
      <c r="Q89" s="181"/>
      <c r="R89" s="167">
        <v>0</v>
      </c>
      <c r="S89" s="167">
        <v>0</v>
      </c>
      <c r="T89" s="167">
        <v>0</v>
      </c>
      <c r="U89" s="167">
        <v>0</v>
      </c>
      <c r="V89" s="167">
        <v>0</v>
      </c>
      <c r="W89" s="167">
        <v>0</v>
      </c>
      <c r="X89" s="167">
        <v>0</v>
      </c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66">
        <f t="shared" si="46"/>
        <v>13</v>
      </c>
      <c r="B90" s="167" t="s">
        <v>2693</v>
      </c>
      <c r="C90" s="167"/>
      <c r="D90" s="201">
        <f>R90</f>
        <v>4644399</v>
      </c>
      <c r="E90" s="179">
        <f t="shared" ref="E90" si="53">(+D90-F90)/F90</f>
        <v>-3.476922283983741E-2</v>
      </c>
      <c r="F90" s="201">
        <f>S90</f>
        <v>4811698</v>
      </c>
      <c r="G90" s="179">
        <f t="shared" ref="G90" si="54">(+F90-H90)/H90</f>
        <v>-4.6092749314608723E-2</v>
      </c>
      <c r="H90" s="201">
        <f t="shared" ref="H90" si="55">T90</f>
        <v>5044199</v>
      </c>
      <c r="I90" s="179">
        <v>0</v>
      </c>
      <c r="J90" s="201">
        <f t="shared" ref="J90" si="56">U90</f>
        <v>0</v>
      </c>
      <c r="K90" s="179">
        <v>0</v>
      </c>
      <c r="L90" s="201">
        <f t="shared" ref="L90" si="57">V90</f>
        <v>0</v>
      </c>
      <c r="M90" s="179">
        <v>0</v>
      </c>
      <c r="N90" s="201">
        <f t="shared" ref="N90" si="58">W90</f>
        <v>0</v>
      </c>
      <c r="O90" s="179">
        <v>0</v>
      </c>
      <c r="P90" s="201">
        <f t="shared" ref="P90" si="59">X90</f>
        <v>0</v>
      </c>
      <c r="Q90" s="181"/>
      <c r="R90" s="167">
        <v>4644399</v>
      </c>
      <c r="S90" s="167">
        <v>4811698</v>
      </c>
      <c r="T90" s="167">
        <v>5044199</v>
      </c>
      <c r="U90" s="167">
        <v>0</v>
      </c>
      <c r="V90" s="167">
        <v>0</v>
      </c>
      <c r="W90" s="167">
        <v>0</v>
      </c>
      <c r="X90" s="167">
        <v>0</v>
      </c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66">
        <f t="shared" si="46"/>
        <v>14</v>
      </c>
      <c r="B91" s="167" t="s">
        <v>1537</v>
      </c>
      <c r="C91" s="167"/>
      <c r="D91" s="195">
        <f>R91</f>
        <v>-8388228</v>
      </c>
      <c r="E91" s="179">
        <f t="shared" si="47"/>
        <v>-3.9434449767669237E-2</v>
      </c>
      <c r="F91" s="195">
        <f>S91</f>
        <v>-8732593</v>
      </c>
      <c r="G91" s="179">
        <f t="shared" si="47"/>
        <v>0.24308824672401871</v>
      </c>
      <c r="H91" s="195">
        <f t="shared" si="48"/>
        <v>-7024918</v>
      </c>
      <c r="I91" s="179">
        <f t="shared" si="47"/>
        <v>-2.1401263876761709E-2</v>
      </c>
      <c r="J91" s="195">
        <f t="shared" si="49"/>
        <v>-7178548</v>
      </c>
      <c r="K91" s="179">
        <f t="shared" si="47"/>
        <v>-6.0809818956063438E-2</v>
      </c>
      <c r="L91" s="195">
        <f t="shared" si="50"/>
        <v>-7643338</v>
      </c>
      <c r="M91" s="179">
        <f t="shared" si="47"/>
        <v>-5.8687726104158004E-2</v>
      </c>
      <c r="N91" s="195">
        <f t="shared" si="51"/>
        <v>-8119875</v>
      </c>
      <c r="O91" s="179">
        <f t="shared" si="47"/>
        <v>-5.4021669761337175E-2</v>
      </c>
      <c r="P91" s="195">
        <f t="shared" si="52"/>
        <v>-8583574</v>
      </c>
      <c r="Q91" s="181"/>
      <c r="R91" s="167">
        <v>-8388228</v>
      </c>
      <c r="S91" s="167">
        <v>-8732593</v>
      </c>
      <c r="T91" s="167">
        <v>-7024918</v>
      </c>
      <c r="U91" s="167">
        <v>-7178548</v>
      </c>
      <c r="V91" s="167">
        <v>-7643338</v>
      </c>
      <c r="W91" s="167">
        <v>-8119875</v>
      </c>
      <c r="X91" s="167">
        <v>-8583574</v>
      </c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363">
        <f t="shared" si="46"/>
        <v>15</v>
      </c>
      <c r="B92" s="167" t="s">
        <v>1538</v>
      </c>
      <c r="C92" s="167"/>
      <c r="D92" s="200">
        <f>SUM(D88:D91)</f>
        <v>2657146815</v>
      </c>
      <c r="E92" s="179">
        <f t="shared" si="47"/>
        <v>7.5017602076476494E-2</v>
      </c>
      <c r="F92" s="200">
        <f>SUM(F88:F91)</f>
        <v>2471724007</v>
      </c>
      <c r="G92" s="179">
        <f t="shared" si="47"/>
        <v>-1.7311293084155872E-3</v>
      </c>
      <c r="H92" s="200">
        <f>SUM(H88:H91)</f>
        <v>2476010301</v>
      </c>
      <c r="I92" s="179">
        <f t="shared" si="47"/>
        <v>0.1864797280560675</v>
      </c>
      <c r="J92" s="200">
        <f>SUM(J88:J91)</f>
        <v>2086854282</v>
      </c>
      <c r="K92" s="179">
        <f t="shared" si="47"/>
        <v>-9.9871153297087316E-4</v>
      </c>
      <c r="L92" s="200">
        <f>SUM(L88:L91)</f>
        <v>2088940531</v>
      </c>
      <c r="M92" s="179">
        <f t="shared" si="47"/>
        <v>3.4250997840011316E-4</v>
      </c>
      <c r="N92" s="200">
        <f>SUM(N88:N91)</f>
        <v>2088225293</v>
      </c>
      <c r="O92" s="179">
        <f t="shared" si="47"/>
        <v>2.6676364310379719E-3</v>
      </c>
      <c r="P92" s="200">
        <f>SUM(P88:P91)</f>
        <v>2082669488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363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363">
        <f>A92+1</f>
        <v>16</v>
      </c>
      <c r="B94" s="178" t="s">
        <v>1539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363">
        <f>A94+1</f>
        <v>17</v>
      </c>
      <c r="B95" s="167" t="s">
        <v>1540</v>
      </c>
      <c r="C95" s="167"/>
      <c r="D95" s="204">
        <f>R95</f>
        <v>3120823</v>
      </c>
      <c r="E95" s="179">
        <f t="shared" ref="E95:O97" si="60">(+D95-F95)/F95</f>
        <v>-2.4474730321467892E-4</v>
      </c>
      <c r="F95" s="204">
        <f>S95</f>
        <v>3121587</v>
      </c>
      <c r="G95" s="179">
        <f t="shared" si="60"/>
        <v>-5.6562772349892203E-3</v>
      </c>
      <c r="H95" s="204">
        <f t="shared" ref="H95:H96" si="61">T95</f>
        <v>3139344</v>
      </c>
      <c r="I95" s="179">
        <f t="shared" si="60"/>
        <v>0.17332336672148302</v>
      </c>
      <c r="J95" s="204">
        <f t="shared" ref="J95:J96" si="62">U95</f>
        <v>2675600</v>
      </c>
      <c r="K95" s="179">
        <f t="shared" si="60"/>
        <v>-0.13461190144744536</v>
      </c>
      <c r="L95" s="204">
        <f t="shared" ref="L95:L96" si="63">V95</f>
        <v>3091792</v>
      </c>
      <c r="M95" s="179">
        <f t="shared" si="60"/>
        <v>0.72127977855682246</v>
      </c>
      <c r="N95" s="204">
        <f t="shared" ref="N95:N96" si="64">W95</f>
        <v>1796217</v>
      </c>
      <c r="O95" s="179">
        <f t="shared" si="60"/>
        <v>-0.14967830384156008</v>
      </c>
      <c r="P95" s="204">
        <f t="shared" ref="P95:P96" si="65">X95</f>
        <v>2112397</v>
      </c>
      <c r="Q95" s="181"/>
      <c r="R95" s="167">
        <v>3120823</v>
      </c>
      <c r="S95" s="167">
        <v>3121587</v>
      </c>
      <c r="T95" s="167">
        <v>3139344</v>
      </c>
      <c r="U95" s="167">
        <v>2675600</v>
      </c>
      <c r="V95" s="167">
        <v>3091792</v>
      </c>
      <c r="W95" s="167">
        <v>1796217</v>
      </c>
      <c r="X95" s="167">
        <v>2112397</v>
      </c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363">
        <f t="shared" ref="A96:A97" si="66">A95+1</f>
        <v>18</v>
      </c>
      <c r="B96" s="167" t="s">
        <v>1541</v>
      </c>
      <c r="C96" s="167"/>
      <c r="D96" s="195">
        <f>R96</f>
        <v>19185624</v>
      </c>
      <c r="E96" s="179">
        <f t="shared" si="60"/>
        <v>-1.180006777332188E-2</v>
      </c>
      <c r="F96" s="195">
        <f>S96</f>
        <v>19414719</v>
      </c>
      <c r="G96" s="179">
        <f t="shared" si="60"/>
        <v>1.9259800352386024E-2</v>
      </c>
      <c r="H96" s="195">
        <f t="shared" si="61"/>
        <v>19047861</v>
      </c>
      <c r="I96" s="179">
        <f t="shared" si="60"/>
        <v>-0.34645258372187743</v>
      </c>
      <c r="J96" s="195">
        <f t="shared" si="62"/>
        <v>29145339</v>
      </c>
      <c r="K96" s="179">
        <f t="shared" si="60"/>
        <v>-0.56872649248233687</v>
      </c>
      <c r="L96" s="195">
        <f t="shared" si="63"/>
        <v>67579711</v>
      </c>
      <c r="M96" s="179">
        <f t="shared" si="60"/>
        <v>-0.30386690710658509</v>
      </c>
      <c r="N96" s="195">
        <f t="shared" si="64"/>
        <v>97078722</v>
      </c>
      <c r="O96" s="179">
        <f t="shared" si="60"/>
        <v>0.1491534115142</v>
      </c>
      <c r="P96" s="195">
        <f t="shared" si="65"/>
        <v>84478470</v>
      </c>
      <c r="Q96" s="181"/>
      <c r="R96" s="167">
        <v>19185624</v>
      </c>
      <c r="S96" s="167">
        <v>19414719</v>
      </c>
      <c r="T96" s="167">
        <v>19047861</v>
      </c>
      <c r="U96" s="167">
        <v>29145339</v>
      </c>
      <c r="V96" s="167">
        <v>67579711</v>
      </c>
      <c r="W96" s="167">
        <v>97078722</v>
      </c>
      <c r="X96" s="167">
        <v>84478470</v>
      </c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363">
        <f t="shared" si="66"/>
        <v>19</v>
      </c>
      <c r="B97" s="167" t="s">
        <v>1542</v>
      </c>
      <c r="C97" s="167"/>
      <c r="D97" s="200">
        <f>SUM(D95:D96)</f>
        <v>22306447</v>
      </c>
      <c r="E97" s="179">
        <f t="shared" si="60"/>
        <v>-1.0199497646153723E-2</v>
      </c>
      <c r="F97" s="200">
        <f>SUM(F95:F96)</f>
        <v>22536306</v>
      </c>
      <c r="G97" s="179">
        <f t="shared" si="60"/>
        <v>1.5734338777687411E-2</v>
      </c>
      <c r="H97" s="200">
        <f>SUM(H95:H96)</f>
        <v>22187205</v>
      </c>
      <c r="I97" s="179">
        <f t="shared" si="60"/>
        <v>-0.30274826270840088</v>
      </c>
      <c r="J97" s="200">
        <f>SUM(J95:J96)</f>
        <v>31820939</v>
      </c>
      <c r="K97" s="179">
        <f t="shared" si="60"/>
        <v>-0.54973450897174214</v>
      </c>
      <c r="L97" s="200">
        <f>SUM(L95:L96)</f>
        <v>70671503</v>
      </c>
      <c r="M97" s="179">
        <f t="shared" si="60"/>
        <v>-0.28524352363949373</v>
      </c>
      <c r="N97" s="200">
        <f>SUM(N95:N96)</f>
        <v>98874939</v>
      </c>
      <c r="O97" s="179">
        <f t="shared" si="60"/>
        <v>0.14186336764592045</v>
      </c>
      <c r="P97" s="200">
        <f>SUM(P95:P96)</f>
        <v>86590867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363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363">
        <f>A97+1</f>
        <v>20</v>
      </c>
      <c r="B99" s="178" t="s">
        <v>1444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363">
        <f>A99+1</f>
        <v>21</v>
      </c>
      <c r="B100" s="167" t="s">
        <v>1556</v>
      </c>
      <c r="C100" s="167"/>
      <c r="D100" s="204">
        <f t="shared" ref="D100:D108" si="67">R100</f>
        <v>102598321</v>
      </c>
      <c r="E100" s="179">
        <f t="shared" ref="E100:O109" si="68">(+D100-F100)/F100</f>
        <v>-0.16197613247730763</v>
      </c>
      <c r="F100" s="204">
        <f t="shared" ref="F100:F108" si="69">S100</f>
        <v>122428877</v>
      </c>
      <c r="G100" s="179">
        <f t="shared" si="68"/>
        <v>-0.12945747388839096</v>
      </c>
      <c r="H100" s="204">
        <f t="shared" ref="H100:H108" si="70">T100</f>
        <v>140635148</v>
      </c>
      <c r="I100" s="179">
        <f t="shared" si="68"/>
        <v>-0.3309560680769788</v>
      </c>
      <c r="J100" s="204">
        <f t="shared" ref="J100:J108" si="71">U100</f>
        <v>210203159</v>
      </c>
      <c r="K100" s="179">
        <f t="shared" si="68"/>
        <v>4.242487960602821</v>
      </c>
      <c r="L100" s="204">
        <f t="shared" ref="L100:L108" si="72">V100</f>
        <v>40096069</v>
      </c>
      <c r="M100" s="179">
        <f t="shared" si="68"/>
        <v>1.8102943816146955</v>
      </c>
      <c r="N100" s="204">
        <f t="shared" ref="N100:N108" si="73">W100</f>
        <v>14267569</v>
      </c>
      <c r="O100" s="179">
        <f t="shared" si="68"/>
        <v>-0.66585105912582043</v>
      </c>
      <c r="P100" s="204">
        <f t="shared" ref="P100:P108" si="74">X100</f>
        <v>42698232</v>
      </c>
      <c r="Q100" s="167"/>
      <c r="R100" s="167">
        <v>102598321</v>
      </c>
      <c r="S100" s="167">
        <v>122428877</v>
      </c>
      <c r="T100" s="167">
        <v>140635148</v>
      </c>
      <c r="U100" s="167">
        <v>210203159</v>
      </c>
      <c r="V100" s="167">
        <v>40096069</v>
      </c>
      <c r="W100" s="167">
        <v>14267569</v>
      </c>
      <c r="X100" s="167">
        <v>42698232</v>
      </c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363">
        <f>A100+1</f>
        <v>22</v>
      </c>
      <c r="B101" s="167" t="s">
        <v>1543</v>
      </c>
      <c r="C101" s="167"/>
      <c r="D101" s="195">
        <f t="shared" si="67"/>
        <v>110389826</v>
      </c>
      <c r="E101" s="179">
        <f t="shared" si="68"/>
        <v>-8.3150742580843824E-3</v>
      </c>
      <c r="F101" s="195">
        <f t="shared" si="69"/>
        <v>111315422</v>
      </c>
      <c r="G101" s="179">
        <f t="shared" si="68"/>
        <v>-0.11077511996641831</v>
      </c>
      <c r="H101" s="195">
        <f t="shared" si="70"/>
        <v>125182532</v>
      </c>
      <c r="I101" s="179">
        <f t="shared" si="68"/>
        <v>-0.23683643704928697</v>
      </c>
      <c r="J101" s="195">
        <f t="shared" si="71"/>
        <v>164031065</v>
      </c>
      <c r="K101" s="179">
        <f t="shared" si="68"/>
        <v>0.13951441592738345</v>
      </c>
      <c r="L101" s="195">
        <f t="shared" si="72"/>
        <v>143948214</v>
      </c>
      <c r="M101" s="179">
        <f t="shared" si="68"/>
        <v>0.75879177093700501</v>
      </c>
      <c r="N101" s="195">
        <f t="shared" si="73"/>
        <v>81844944</v>
      </c>
      <c r="O101" s="179">
        <f t="shared" si="68"/>
        <v>-0.16224469851612958</v>
      </c>
      <c r="P101" s="195">
        <f t="shared" si="74"/>
        <v>97695525</v>
      </c>
      <c r="Q101" s="167"/>
      <c r="R101" s="167">
        <v>110389826</v>
      </c>
      <c r="S101" s="167">
        <v>111315422</v>
      </c>
      <c r="T101" s="167">
        <v>125182532</v>
      </c>
      <c r="U101" s="167">
        <v>164031065</v>
      </c>
      <c r="V101" s="167">
        <v>143948214</v>
      </c>
      <c r="W101" s="167">
        <v>81844944</v>
      </c>
      <c r="X101" s="167">
        <v>97695525</v>
      </c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363">
        <f>A101+1</f>
        <v>23</v>
      </c>
      <c r="B102" s="167" t="s">
        <v>1557</v>
      </c>
      <c r="C102" s="167"/>
      <c r="D102" s="201">
        <f t="shared" si="67"/>
        <v>0</v>
      </c>
      <c r="E102" s="179">
        <v>0</v>
      </c>
      <c r="F102" s="201">
        <f t="shared" si="69"/>
        <v>0</v>
      </c>
      <c r="G102" s="179">
        <v>0</v>
      </c>
      <c r="H102" s="201">
        <f t="shared" si="70"/>
        <v>0</v>
      </c>
      <c r="I102" s="179">
        <v>0</v>
      </c>
      <c r="J102" s="201">
        <f t="shared" si="71"/>
        <v>0</v>
      </c>
      <c r="K102" s="179">
        <v>0</v>
      </c>
      <c r="L102" s="201">
        <f t="shared" si="72"/>
        <v>0</v>
      </c>
      <c r="M102" s="179">
        <v>0</v>
      </c>
      <c r="N102" s="201">
        <f t="shared" si="73"/>
        <v>0</v>
      </c>
      <c r="O102" s="179">
        <v>0</v>
      </c>
      <c r="P102" s="201">
        <f t="shared" si="74"/>
        <v>0</v>
      </c>
      <c r="Q102" s="167"/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7">
        <v>0</v>
      </c>
      <c r="X102" s="167">
        <v>0</v>
      </c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363">
        <f>A102+1</f>
        <v>24</v>
      </c>
      <c r="B103" s="167" t="s">
        <v>1544</v>
      </c>
      <c r="C103" s="167"/>
      <c r="D103" s="201">
        <f t="shared" si="67"/>
        <v>0</v>
      </c>
      <c r="E103" s="179">
        <v>0</v>
      </c>
      <c r="F103" s="201">
        <f t="shared" si="69"/>
        <v>0</v>
      </c>
      <c r="G103" s="179">
        <v>0</v>
      </c>
      <c r="H103" s="201">
        <f t="shared" si="70"/>
        <v>0</v>
      </c>
      <c r="I103" s="179">
        <v>0</v>
      </c>
      <c r="J103" s="201">
        <f t="shared" si="71"/>
        <v>0</v>
      </c>
      <c r="K103" s="179">
        <v>0</v>
      </c>
      <c r="L103" s="201">
        <f t="shared" si="72"/>
        <v>0</v>
      </c>
      <c r="M103" s="179">
        <v>0</v>
      </c>
      <c r="N103" s="201">
        <f t="shared" si="73"/>
        <v>0</v>
      </c>
      <c r="O103" s="179">
        <v>0</v>
      </c>
      <c r="P103" s="201">
        <f t="shared" si="74"/>
        <v>0</v>
      </c>
      <c r="Q103" s="167"/>
      <c r="R103" s="167">
        <v>0</v>
      </c>
      <c r="S103" s="167">
        <v>0</v>
      </c>
      <c r="T103" s="167">
        <v>0</v>
      </c>
      <c r="U103" s="167">
        <v>0</v>
      </c>
      <c r="V103" s="167">
        <v>0</v>
      </c>
      <c r="W103" s="167">
        <v>0</v>
      </c>
      <c r="X103" s="167">
        <v>0</v>
      </c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363">
        <f t="shared" ref="A104:A109" si="75">A103+1</f>
        <v>25</v>
      </c>
      <c r="B104" s="167" t="s">
        <v>1545</v>
      </c>
      <c r="C104" s="167"/>
      <c r="D104" s="195">
        <f t="shared" si="67"/>
        <v>30393177</v>
      </c>
      <c r="E104" s="179">
        <f t="shared" si="68"/>
        <v>0</v>
      </c>
      <c r="F104" s="195">
        <f t="shared" si="69"/>
        <v>30393177</v>
      </c>
      <c r="G104" s="179">
        <f t="shared" si="68"/>
        <v>4.0632338883607785E-3</v>
      </c>
      <c r="H104" s="195">
        <f t="shared" si="70"/>
        <v>30270182.170000002</v>
      </c>
      <c r="I104" s="179">
        <f t="shared" si="68"/>
        <v>-9.8404548026181423E-3</v>
      </c>
      <c r="J104" s="195">
        <f t="shared" si="71"/>
        <v>30571014.859999999</v>
      </c>
      <c r="K104" s="179">
        <f t="shared" si="68"/>
        <v>5.8137325632238224E-2</v>
      </c>
      <c r="L104" s="195">
        <f t="shared" si="72"/>
        <v>28891349.09</v>
      </c>
      <c r="M104" s="179">
        <f t="shared" si="68"/>
        <v>6.8729618934138106E-2</v>
      </c>
      <c r="N104" s="195">
        <f t="shared" si="73"/>
        <v>27033356.780000001</v>
      </c>
      <c r="O104" s="179">
        <f t="shared" si="68"/>
        <v>8.5325965520765629E-2</v>
      </c>
      <c r="P104" s="195">
        <f t="shared" si="74"/>
        <v>24908053.100000001</v>
      </c>
      <c r="Q104" s="167"/>
      <c r="R104" s="167">
        <v>30393177</v>
      </c>
      <c r="S104" s="167">
        <v>30393177</v>
      </c>
      <c r="T104" s="167">
        <v>30270182.170000002</v>
      </c>
      <c r="U104" s="167">
        <v>30571014.859999999</v>
      </c>
      <c r="V104" s="167">
        <v>28891349.09</v>
      </c>
      <c r="W104" s="167">
        <v>27033356.780000001</v>
      </c>
      <c r="X104" s="167">
        <v>24908053.100000001</v>
      </c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363">
        <f t="shared" si="75"/>
        <v>26</v>
      </c>
      <c r="B105" s="167" t="s">
        <v>1546</v>
      </c>
      <c r="C105" s="167"/>
      <c r="D105" s="195">
        <f t="shared" si="67"/>
        <v>21688422</v>
      </c>
      <c r="E105" s="179">
        <f t="shared" si="68"/>
        <v>-0.33719651499525505</v>
      </c>
      <c r="F105" s="195">
        <f t="shared" si="69"/>
        <v>32722251</v>
      </c>
      <c r="G105" s="179">
        <f t="shared" si="68"/>
        <v>0.33630557834079344</v>
      </c>
      <c r="H105" s="195">
        <f t="shared" si="70"/>
        <v>24487102</v>
      </c>
      <c r="I105" s="179">
        <f t="shared" si="68"/>
        <v>0.14641606138738192</v>
      </c>
      <c r="J105" s="195">
        <f t="shared" si="71"/>
        <v>21359699</v>
      </c>
      <c r="K105" s="179">
        <f t="shared" si="68"/>
        <v>0.27150079508612784</v>
      </c>
      <c r="L105" s="195">
        <f t="shared" si="72"/>
        <v>16798809</v>
      </c>
      <c r="M105" s="179">
        <f t="shared" si="68"/>
        <v>-0.58253609262411488</v>
      </c>
      <c r="N105" s="195">
        <f t="shared" si="73"/>
        <v>40240147</v>
      </c>
      <c r="O105" s="179">
        <f t="shared" si="68"/>
        <v>1.214360848042078</v>
      </c>
      <c r="P105" s="195">
        <f t="shared" si="74"/>
        <v>18172353</v>
      </c>
      <c r="Q105" s="181"/>
      <c r="R105" s="167">
        <v>21688422</v>
      </c>
      <c r="S105" s="167">
        <v>32722251</v>
      </c>
      <c r="T105" s="167">
        <v>24487102</v>
      </c>
      <c r="U105" s="167">
        <v>21359699</v>
      </c>
      <c r="V105" s="167">
        <v>16798809</v>
      </c>
      <c r="W105" s="167">
        <v>40240147</v>
      </c>
      <c r="X105" s="167">
        <v>18172353</v>
      </c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363">
        <f t="shared" si="75"/>
        <v>27</v>
      </c>
      <c r="B106" s="167" t="s">
        <v>1547</v>
      </c>
      <c r="C106" s="167"/>
      <c r="D106" s="195">
        <f t="shared" si="67"/>
        <v>27482412</v>
      </c>
      <c r="E106" s="179">
        <f t="shared" si="68"/>
        <v>-0.14331139378453397</v>
      </c>
      <c r="F106" s="195">
        <f t="shared" si="69"/>
        <v>32079815</v>
      </c>
      <c r="G106" s="179">
        <f t="shared" si="68"/>
        <v>0.71157313418645363</v>
      </c>
      <c r="H106" s="195">
        <f t="shared" si="70"/>
        <v>18742883</v>
      </c>
      <c r="I106" s="179">
        <f t="shared" si="68"/>
        <v>0.28857467200368941</v>
      </c>
      <c r="J106" s="195">
        <f t="shared" si="71"/>
        <v>14545438</v>
      </c>
      <c r="K106" s="179">
        <f t="shared" si="68"/>
        <v>9.1408269294077117E-3</v>
      </c>
      <c r="L106" s="195">
        <f t="shared" si="72"/>
        <v>14413685</v>
      </c>
      <c r="M106" s="179">
        <f t="shared" si="68"/>
        <v>8.8257736471367525E-3</v>
      </c>
      <c r="N106" s="195">
        <f t="shared" si="73"/>
        <v>14287586</v>
      </c>
      <c r="O106" s="179">
        <f t="shared" si="68"/>
        <v>1.9024820335326507E-2</v>
      </c>
      <c r="P106" s="195">
        <f t="shared" si="74"/>
        <v>14020842</v>
      </c>
      <c r="Q106" s="181"/>
      <c r="R106" s="167">
        <v>27482412</v>
      </c>
      <c r="S106" s="167">
        <v>32079815</v>
      </c>
      <c r="T106" s="167">
        <v>18742883</v>
      </c>
      <c r="U106" s="167">
        <v>14545438</v>
      </c>
      <c r="V106" s="167">
        <v>14413685</v>
      </c>
      <c r="W106" s="167">
        <v>14287586</v>
      </c>
      <c r="X106" s="167">
        <v>14020842</v>
      </c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363">
        <f t="shared" si="75"/>
        <v>28</v>
      </c>
      <c r="B107" s="167" t="s">
        <v>1548</v>
      </c>
      <c r="C107" s="167"/>
      <c r="D107" s="195">
        <f t="shared" si="67"/>
        <v>4550839</v>
      </c>
      <c r="E107" s="179">
        <f t="shared" si="68"/>
        <v>2.1201393604373796E-2</v>
      </c>
      <c r="F107" s="195">
        <f t="shared" si="69"/>
        <v>4456358</v>
      </c>
      <c r="G107" s="179">
        <f t="shared" si="68"/>
        <v>0.13183152507125445</v>
      </c>
      <c r="H107" s="195">
        <f t="shared" si="70"/>
        <v>3937298</v>
      </c>
      <c r="I107" s="179">
        <f t="shared" si="68"/>
        <v>3.9421368326209467E-2</v>
      </c>
      <c r="J107" s="195">
        <f t="shared" si="71"/>
        <v>3787971</v>
      </c>
      <c r="K107" s="179">
        <f t="shared" si="68"/>
        <v>-1.3213608586670362E-2</v>
      </c>
      <c r="L107" s="195">
        <f t="shared" si="72"/>
        <v>3838694</v>
      </c>
      <c r="M107" s="179">
        <f t="shared" si="68"/>
        <v>1.1491051272100583E-3</v>
      </c>
      <c r="N107" s="195">
        <f t="shared" si="73"/>
        <v>3834288</v>
      </c>
      <c r="O107" s="179">
        <f t="shared" si="68"/>
        <v>0.1136234655427098</v>
      </c>
      <c r="P107" s="195">
        <f t="shared" si="74"/>
        <v>3443074</v>
      </c>
      <c r="Q107" s="181"/>
      <c r="R107" s="167">
        <v>4550839</v>
      </c>
      <c r="S107" s="167">
        <v>4456358</v>
      </c>
      <c r="T107" s="167">
        <v>3937298</v>
      </c>
      <c r="U107" s="167">
        <v>3787971</v>
      </c>
      <c r="V107" s="167">
        <v>3838694</v>
      </c>
      <c r="W107" s="167">
        <v>3834288</v>
      </c>
      <c r="X107" s="167">
        <v>3443074</v>
      </c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363">
        <f t="shared" si="75"/>
        <v>29</v>
      </c>
      <c r="B108" s="167" t="s">
        <v>1549</v>
      </c>
      <c r="C108" s="167"/>
      <c r="D108" s="195">
        <f t="shared" si="67"/>
        <v>23856074</v>
      </c>
      <c r="E108" s="179">
        <f t="shared" si="68"/>
        <v>-9.5477107615027063E-2</v>
      </c>
      <c r="F108" s="195">
        <f t="shared" si="69"/>
        <v>26374207</v>
      </c>
      <c r="G108" s="179">
        <f t="shared" si="68"/>
        <v>-6.1291067117772595E-2</v>
      </c>
      <c r="H108" s="195">
        <f t="shared" si="70"/>
        <v>28096256.545700699</v>
      </c>
      <c r="I108" s="179">
        <f t="shared" si="68"/>
        <v>0.56804830852931654</v>
      </c>
      <c r="J108" s="195">
        <f t="shared" si="71"/>
        <v>17917978.92505772</v>
      </c>
      <c r="K108" s="179">
        <f t="shared" si="68"/>
        <v>2.8470856856081594E-2</v>
      </c>
      <c r="L108" s="195">
        <f t="shared" si="72"/>
        <v>17421960.773716956</v>
      </c>
      <c r="M108" s="179">
        <f t="shared" si="68"/>
        <v>3.5799093842627895E-2</v>
      </c>
      <c r="N108" s="195">
        <f t="shared" si="73"/>
        <v>16819826.235881925</v>
      </c>
      <c r="O108" s="179">
        <f t="shared" si="68"/>
        <v>-5.1573282508402978E-2</v>
      </c>
      <c r="P108" s="195">
        <f t="shared" si="74"/>
        <v>17734450.037813224</v>
      </c>
      <c r="Q108" s="181"/>
      <c r="R108" s="167">
        <v>23856074</v>
      </c>
      <c r="S108" s="167">
        <v>26374207</v>
      </c>
      <c r="T108" s="167">
        <v>28096256.545700699</v>
      </c>
      <c r="U108" s="167">
        <v>17917978.92505772</v>
      </c>
      <c r="V108" s="167">
        <v>17421960.773716956</v>
      </c>
      <c r="W108" s="167">
        <v>16819826.235881925</v>
      </c>
      <c r="X108" s="167">
        <v>17734450.037813224</v>
      </c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363">
        <f t="shared" si="75"/>
        <v>30</v>
      </c>
      <c r="B109" s="167" t="s">
        <v>1445</v>
      </c>
      <c r="C109" s="167"/>
      <c r="D109" s="200">
        <f>SUM(D100:D108)</f>
        <v>320959071</v>
      </c>
      <c r="E109" s="179">
        <f t="shared" si="68"/>
        <v>-0.10787732289275495</v>
      </c>
      <c r="F109" s="200">
        <f>SUM(F100:F108)</f>
        <v>359770107</v>
      </c>
      <c r="G109" s="179">
        <f t="shared" si="68"/>
        <v>-3.1186888381714403E-2</v>
      </c>
      <c r="H109" s="200">
        <f>SUM(H100:H108)</f>
        <v>371351401.71570075</v>
      </c>
      <c r="I109" s="179">
        <f t="shared" si="68"/>
        <v>-0.1969327616509936</v>
      </c>
      <c r="J109" s="200">
        <f>SUM(J100:J108)</f>
        <v>462416325.78505772</v>
      </c>
      <c r="K109" s="179">
        <f t="shared" si="68"/>
        <v>0.74227967997223454</v>
      </c>
      <c r="L109" s="200">
        <f>SUM(L100:L108)</f>
        <v>265408780.86371696</v>
      </c>
      <c r="M109" s="179">
        <f t="shared" si="68"/>
        <v>0.3382334292814112</v>
      </c>
      <c r="N109" s="200">
        <f>SUM(N100:N108)</f>
        <v>198327717.01588193</v>
      </c>
      <c r="O109" s="179">
        <f t="shared" si="68"/>
        <v>-9.3037804986969563E-2</v>
      </c>
      <c r="P109" s="200">
        <f>SUM(P100:P108)</f>
        <v>218672529.13781321</v>
      </c>
      <c r="Q109" s="167"/>
      <c r="R109" s="167">
        <v>320959071</v>
      </c>
      <c r="S109" s="167">
        <v>359770107</v>
      </c>
      <c r="T109" s="167">
        <v>371351401.71570075</v>
      </c>
      <c r="U109" s="167">
        <v>462416325.78505772</v>
      </c>
      <c r="V109" s="167">
        <v>265408780.86371696</v>
      </c>
      <c r="W109" s="167">
        <v>198327717.01588193</v>
      </c>
      <c r="X109" s="167">
        <v>218672529.13781321</v>
      </c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363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363">
        <f>A109+1</f>
        <v>31</v>
      </c>
      <c r="B111" s="178" t="s">
        <v>1446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363">
        <f>A111+1</f>
        <v>32</v>
      </c>
      <c r="B112" s="167" t="s">
        <v>1188</v>
      </c>
      <c r="C112" s="167"/>
      <c r="D112" s="204">
        <f t="shared" ref="D112:D118" si="76">R112</f>
        <v>1712216</v>
      </c>
      <c r="E112" s="179">
        <f t="shared" ref="E112:O119" si="77">(+D112-F112)/F112</f>
        <v>0</v>
      </c>
      <c r="F112" s="204">
        <f t="shared" ref="F112:F118" si="78">S112</f>
        <v>1712216</v>
      </c>
      <c r="G112" s="179">
        <f t="shared" si="77"/>
        <v>-0.64842044556331202</v>
      </c>
      <c r="H112" s="204">
        <f t="shared" ref="H112:H118" si="79">T112</f>
        <v>4870067.04</v>
      </c>
      <c r="I112" s="179">
        <f t="shared" si="77"/>
        <v>2.6850045480426461</v>
      </c>
      <c r="J112" s="204">
        <f t="shared" ref="J112:J118" si="80">U112</f>
        <v>1321590.51</v>
      </c>
      <c r="K112" s="179">
        <f t="shared" si="77"/>
        <v>0.61759150987486977</v>
      </c>
      <c r="L112" s="204">
        <f t="shared" ref="L112:L118" si="81">V112</f>
        <v>817011.28</v>
      </c>
      <c r="M112" s="179">
        <f t="shared" si="77"/>
        <v>-0.45384381853492783</v>
      </c>
      <c r="N112" s="204">
        <f t="shared" ref="N112:N118" si="82">W112</f>
        <v>1495929.75</v>
      </c>
      <c r="O112" s="179">
        <f t="shared" si="77"/>
        <v>-0.2560211442354241</v>
      </c>
      <c r="P112" s="204">
        <f t="shared" ref="P112:P118" si="83">X112</f>
        <v>2010715.41</v>
      </c>
      <c r="Q112" s="167"/>
      <c r="R112" s="167">
        <v>1712216</v>
      </c>
      <c r="S112" s="167">
        <v>1712216</v>
      </c>
      <c r="T112" s="167">
        <v>4870067.04</v>
      </c>
      <c r="U112" s="167">
        <v>1321590.51</v>
      </c>
      <c r="V112" s="167">
        <v>817011.28</v>
      </c>
      <c r="W112" s="167">
        <v>1495929.75</v>
      </c>
      <c r="X112" s="167">
        <v>2010715.41</v>
      </c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363">
        <f t="shared" ref="A113:A119" si="84">A112+1</f>
        <v>33</v>
      </c>
      <c r="B113" s="167" t="s">
        <v>1550</v>
      </c>
      <c r="C113" s="167"/>
      <c r="D113" s="195">
        <f t="shared" si="76"/>
        <v>80926985</v>
      </c>
      <c r="E113" s="179">
        <f t="shared" si="77"/>
        <v>-1.6545545438534159E-2</v>
      </c>
      <c r="F113" s="195">
        <f t="shared" si="78"/>
        <v>82288493</v>
      </c>
      <c r="G113" s="179">
        <f t="shared" si="77"/>
        <v>-2.3993488046897753E-2</v>
      </c>
      <c r="H113" s="195">
        <f t="shared" si="79"/>
        <v>84311418</v>
      </c>
      <c r="I113" s="179">
        <f t="shared" si="77"/>
        <v>5.5268438891216021E-2</v>
      </c>
      <c r="J113" s="195">
        <f t="shared" si="80"/>
        <v>79895707</v>
      </c>
      <c r="K113" s="179">
        <f t="shared" si="77"/>
        <v>-2.1795362257701057E-2</v>
      </c>
      <c r="L113" s="195">
        <f t="shared" si="81"/>
        <v>81675862</v>
      </c>
      <c r="M113" s="179">
        <f t="shared" si="77"/>
        <v>-2.0136942080201104E-2</v>
      </c>
      <c r="N113" s="195">
        <f t="shared" si="82"/>
        <v>83354364</v>
      </c>
      <c r="O113" s="179">
        <f t="shared" si="77"/>
        <v>3.0403928220739607E-2</v>
      </c>
      <c r="P113" s="195">
        <f t="shared" si="83"/>
        <v>80894843</v>
      </c>
      <c r="Q113" s="167"/>
      <c r="R113" s="167">
        <v>80926985</v>
      </c>
      <c r="S113" s="167">
        <v>82288493</v>
      </c>
      <c r="T113" s="167">
        <v>84311418</v>
      </c>
      <c r="U113" s="167">
        <v>79895707</v>
      </c>
      <c r="V113" s="167">
        <v>81675862</v>
      </c>
      <c r="W113" s="167">
        <v>83354364</v>
      </c>
      <c r="X113" s="167">
        <v>80894843</v>
      </c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363">
        <f t="shared" si="84"/>
        <v>34</v>
      </c>
      <c r="B114" s="167" t="s">
        <v>1551</v>
      </c>
      <c r="C114" s="167"/>
      <c r="D114" s="195">
        <f t="shared" si="76"/>
        <v>1988716</v>
      </c>
      <c r="E114" s="179">
        <f t="shared" si="77"/>
        <v>-8.1543897798314763E-4</v>
      </c>
      <c r="F114" s="195">
        <f t="shared" si="78"/>
        <v>1990339</v>
      </c>
      <c r="G114" s="179">
        <f t="shared" si="77"/>
        <v>17.040034804992342</v>
      </c>
      <c r="H114" s="195">
        <f t="shared" si="79"/>
        <v>110329</v>
      </c>
      <c r="I114" s="179">
        <f t="shared" si="77"/>
        <v>-0.90687248936236664</v>
      </c>
      <c r="J114" s="195">
        <f t="shared" si="80"/>
        <v>1184709</v>
      </c>
      <c r="K114" s="179">
        <f t="shared" si="77"/>
        <v>-2.3075108931204295E-2</v>
      </c>
      <c r="L114" s="195">
        <f t="shared" si="81"/>
        <v>1212692</v>
      </c>
      <c r="M114" s="179">
        <f t="shared" si="77"/>
        <v>-0.10561511031458926</v>
      </c>
      <c r="N114" s="195">
        <f t="shared" si="82"/>
        <v>1355895</v>
      </c>
      <c r="O114" s="179">
        <f t="shared" si="77"/>
        <v>-0.82195676786065541</v>
      </c>
      <c r="P114" s="195">
        <f t="shared" si="83"/>
        <v>7615538</v>
      </c>
      <c r="Q114" s="167"/>
      <c r="R114" s="167">
        <v>1988716</v>
      </c>
      <c r="S114" s="167">
        <v>1990339</v>
      </c>
      <c r="T114" s="167">
        <v>110329</v>
      </c>
      <c r="U114" s="167">
        <v>1184709</v>
      </c>
      <c r="V114" s="167">
        <v>1212692</v>
      </c>
      <c r="W114" s="167">
        <v>1355895</v>
      </c>
      <c r="X114" s="167">
        <v>7615538</v>
      </c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363">
        <f t="shared" si="84"/>
        <v>35</v>
      </c>
      <c r="B115" s="167" t="s">
        <v>1552</v>
      </c>
      <c r="C115" s="167"/>
      <c r="D115" s="195">
        <f t="shared" si="76"/>
        <v>637575343</v>
      </c>
      <c r="E115" s="179">
        <f t="shared" si="77"/>
        <v>-4.4577825066277707E-2</v>
      </c>
      <c r="F115" s="195">
        <f t="shared" si="78"/>
        <v>667323158</v>
      </c>
      <c r="G115" s="179">
        <f t="shared" si="77"/>
        <v>-4.2966742134478937E-2</v>
      </c>
      <c r="H115" s="195">
        <f t="shared" si="79"/>
        <v>697283143</v>
      </c>
      <c r="I115" s="179">
        <f t="shared" si="77"/>
        <v>1.7616191052912664E-2</v>
      </c>
      <c r="J115" s="195">
        <f t="shared" si="80"/>
        <v>685212312</v>
      </c>
      <c r="K115" s="179">
        <f t="shared" si="77"/>
        <v>3.2053418703483084E-2</v>
      </c>
      <c r="L115" s="195">
        <f t="shared" si="81"/>
        <v>663931052</v>
      </c>
      <c r="M115" s="179">
        <f t="shared" si="77"/>
        <v>4.1305905037342754</v>
      </c>
      <c r="N115" s="195">
        <f t="shared" si="82"/>
        <v>129406362</v>
      </c>
      <c r="O115" s="179">
        <f t="shared" si="77"/>
        <v>-5.4455435741886417E-2</v>
      </c>
      <c r="P115" s="195">
        <f t="shared" si="83"/>
        <v>136859083</v>
      </c>
      <c r="Q115" s="167"/>
      <c r="R115" s="167">
        <v>637575343</v>
      </c>
      <c r="S115" s="167">
        <v>667323158</v>
      </c>
      <c r="T115" s="167">
        <v>697283143</v>
      </c>
      <c r="U115" s="167">
        <v>685212312</v>
      </c>
      <c r="V115" s="167">
        <v>663931052</v>
      </c>
      <c r="W115" s="167">
        <v>129406362</v>
      </c>
      <c r="X115" s="167">
        <v>136859083</v>
      </c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363">
        <f t="shared" si="84"/>
        <v>36</v>
      </c>
      <c r="B116" s="167" t="s">
        <v>1553</v>
      </c>
      <c r="C116" s="167"/>
      <c r="D116" s="195">
        <f t="shared" si="76"/>
        <v>80063004</v>
      </c>
      <c r="E116" s="179">
        <f t="shared" si="77"/>
        <v>-0.25693111498500149</v>
      </c>
      <c r="F116" s="195">
        <f t="shared" si="78"/>
        <v>107746409</v>
      </c>
      <c r="G116" s="179">
        <f t="shared" si="77"/>
        <v>-0.19064944430467398</v>
      </c>
      <c r="H116" s="195">
        <f t="shared" si="79"/>
        <v>133126997</v>
      </c>
      <c r="I116" s="179">
        <f t="shared" si="77"/>
        <v>-0.24000723987500741</v>
      </c>
      <c r="J116" s="195">
        <f t="shared" si="80"/>
        <v>175168770</v>
      </c>
      <c r="K116" s="179">
        <f t="shared" si="77"/>
        <v>-0.14954296024544955</v>
      </c>
      <c r="L116" s="195">
        <f t="shared" si="81"/>
        <v>205970157</v>
      </c>
      <c r="M116" s="179">
        <f t="shared" si="77"/>
        <v>-0.18634548929296146</v>
      </c>
      <c r="N116" s="195">
        <f t="shared" si="82"/>
        <v>253142033</v>
      </c>
      <c r="O116" s="179">
        <f t="shared" si="77"/>
        <v>-0.2022653861300118</v>
      </c>
      <c r="P116" s="195">
        <f t="shared" si="83"/>
        <v>317326124</v>
      </c>
      <c r="Q116" s="167"/>
      <c r="R116" s="167">
        <v>80063004</v>
      </c>
      <c r="S116" s="167">
        <v>107746409</v>
      </c>
      <c r="T116" s="167">
        <v>133126997</v>
      </c>
      <c r="U116" s="167">
        <v>175168770</v>
      </c>
      <c r="V116" s="167">
        <v>205970157</v>
      </c>
      <c r="W116" s="167">
        <v>253142033</v>
      </c>
      <c r="X116" s="167">
        <v>317326124</v>
      </c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363">
        <f t="shared" si="84"/>
        <v>37</v>
      </c>
      <c r="B117" s="167" t="s">
        <v>1554</v>
      </c>
      <c r="C117" s="167"/>
      <c r="D117" s="201">
        <f t="shared" si="76"/>
        <v>12120178</v>
      </c>
      <c r="E117" s="179">
        <f t="shared" si="77"/>
        <v>-0.27770246009617977</v>
      </c>
      <c r="F117" s="201">
        <f t="shared" si="78"/>
        <v>16780035</v>
      </c>
      <c r="G117" s="179">
        <f t="shared" si="77"/>
        <v>-0.21307494357529322</v>
      </c>
      <c r="H117" s="201">
        <f t="shared" si="79"/>
        <v>21323549</v>
      </c>
      <c r="I117" s="179">
        <v>1</v>
      </c>
      <c r="J117" s="201">
        <f t="shared" si="80"/>
        <v>0</v>
      </c>
      <c r="K117" s="179">
        <v>0</v>
      </c>
      <c r="L117" s="201">
        <f t="shared" si="81"/>
        <v>0</v>
      </c>
      <c r="M117" s="179">
        <v>0</v>
      </c>
      <c r="N117" s="201">
        <f t="shared" si="82"/>
        <v>0</v>
      </c>
      <c r="O117" s="179">
        <v>0</v>
      </c>
      <c r="P117" s="201">
        <f t="shared" si="83"/>
        <v>0</v>
      </c>
      <c r="Q117" s="167"/>
      <c r="R117" s="167">
        <v>12120178</v>
      </c>
      <c r="S117" s="167">
        <v>16780035</v>
      </c>
      <c r="T117" s="167">
        <v>21323549</v>
      </c>
      <c r="U117" s="167">
        <v>0</v>
      </c>
      <c r="V117" s="167">
        <v>0</v>
      </c>
      <c r="W117" s="167">
        <v>0</v>
      </c>
      <c r="X117" s="167">
        <v>0</v>
      </c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363">
        <f t="shared" si="84"/>
        <v>38</v>
      </c>
      <c r="B118" s="167" t="s">
        <v>1527</v>
      </c>
      <c r="C118" s="167"/>
      <c r="D118" s="195">
        <f t="shared" si="76"/>
        <v>1090752054</v>
      </c>
      <c r="E118" s="179">
        <f t="shared" si="77"/>
        <v>1.3077241734027871E-2</v>
      </c>
      <c r="F118" s="195">
        <f t="shared" si="78"/>
        <v>1076672152</v>
      </c>
      <c r="G118" s="179">
        <f t="shared" si="77"/>
        <v>3.8823899667829419E-2</v>
      </c>
      <c r="H118" s="195">
        <f t="shared" si="79"/>
        <v>1036433752</v>
      </c>
      <c r="I118" s="179">
        <f t="shared" si="77"/>
        <v>8.4907476641338755E-2</v>
      </c>
      <c r="J118" s="195">
        <f t="shared" si="80"/>
        <v>955319946</v>
      </c>
      <c r="K118" s="179">
        <f t="shared" si="77"/>
        <v>1.6695751774043834E-2</v>
      </c>
      <c r="L118" s="195">
        <f t="shared" si="81"/>
        <v>939632082</v>
      </c>
      <c r="M118" s="179">
        <f t="shared" si="77"/>
        <v>-0.29190392231154472</v>
      </c>
      <c r="N118" s="195">
        <f t="shared" si="82"/>
        <v>1326983882</v>
      </c>
      <c r="O118" s="179">
        <f t="shared" si="77"/>
        <v>6.3318859870733907E-2</v>
      </c>
      <c r="P118" s="195">
        <f t="shared" si="83"/>
        <v>1247964211</v>
      </c>
      <c r="Q118" s="167"/>
      <c r="R118" s="167">
        <v>1090752054</v>
      </c>
      <c r="S118" s="167">
        <v>1076672152</v>
      </c>
      <c r="T118" s="167">
        <v>1036433752</v>
      </c>
      <c r="U118" s="167">
        <v>955319946</v>
      </c>
      <c r="V118" s="167">
        <v>939632082</v>
      </c>
      <c r="W118" s="167">
        <v>1326983882</v>
      </c>
      <c r="X118" s="167">
        <v>1247964211</v>
      </c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363">
        <f t="shared" si="84"/>
        <v>39</v>
      </c>
      <c r="B119" s="167" t="s">
        <v>1447</v>
      </c>
      <c r="C119" s="167"/>
      <c r="D119" s="200">
        <f>SUM(D112:D118)</f>
        <v>1905138496</v>
      </c>
      <c r="E119" s="179">
        <f t="shared" si="77"/>
        <v>-2.5261694857908638E-2</v>
      </c>
      <c r="F119" s="200">
        <f>SUM(F112:F118)</f>
        <v>1954512802</v>
      </c>
      <c r="G119" s="179">
        <f t="shared" si="77"/>
        <v>-1.1604008012562464E-2</v>
      </c>
      <c r="H119" s="200">
        <f>SUM(H112:H118)</f>
        <v>1977459255.04</v>
      </c>
      <c r="I119" s="179">
        <f t="shared" si="77"/>
        <v>4.1808173258880005E-2</v>
      </c>
      <c r="J119" s="200">
        <f>SUM(J112:J118)</f>
        <v>1898103034.51</v>
      </c>
      <c r="K119" s="179">
        <f t="shared" si="77"/>
        <v>2.5692364245880621E-3</v>
      </c>
      <c r="L119" s="200">
        <f>SUM(L112:L118)</f>
        <v>1893238856.28</v>
      </c>
      <c r="M119" s="179">
        <f t="shared" si="77"/>
        <v>5.429542908926796E-2</v>
      </c>
      <c r="N119" s="200">
        <f>SUM(N112:N118)</f>
        <v>1795738465.75</v>
      </c>
      <c r="O119" s="179">
        <f t="shared" si="77"/>
        <v>1.7113860663959604E-3</v>
      </c>
      <c r="P119" s="200">
        <f>SUM(P112:P118)</f>
        <v>1792670514.4099998</v>
      </c>
      <c r="Q119" s="167"/>
      <c r="R119" s="167">
        <v>1905138496</v>
      </c>
      <c r="S119" s="167">
        <v>1954512802</v>
      </c>
      <c r="T119" s="167">
        <v>1977459255.04</v>
      </c>
      <c r="U119" s="167">
        <v>1898103034.51</v>
      </c>
      <c r="V119" s="167">
        <v>1893238856.28</v>
      </c>
      <c r="W119" s="167">
        <v>1795738465.75</v>
      </c>
      <c r="X119" s="167">
        <v>1792670514.4099998</v>
      </c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363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363">
        <f>A119+1</f>
        <v>40</v>
      </c>
      <c r="B121" s="167" t="s">
        <v>1555</v>
      </c>
      <c r="C121" s="167"/>
      <c r="D121" s="203">
        <f>D85+D92+D97+D109+D119</f>
        <v>7998445878</v>
      </c>
      <c r="E121" s="179">
        <f t="shared" ref="E121:O121" si="85">(+D121-F121)/F121</f>
        <v>1.959724832830001E-2</v>
      </c>
      <c r="F121" s="203">
        <f>F85+F92+F97+F109+F119</f>
        <v>7844711126</v>
      </c>
      <c r="G121" s="179">
        <f t="shared" si="85"/>
        <v>2.8122657229274633E-2</v>
      </c>
      <c r="H121" s="203">
        <f>H85+H92+H97+H109+H119</f>
        <v>7630131551.7557011</v>
      </c>
      <c r="I121" s="179">
        <f t="shared" si="85"/>
        <v>8.7796208160391007E-2</v>
      </c>
      <c r="J121" s="203">
        <f>J85+J92+J97+J109+J119</f>
        <v>7014302398.2950583</v>
      </c>
      <c r="K121" s="179">
        <f t="shared" si="85"/>
        <v>3.601765863648862E-2</v>
      </c>
      <c r="L121" s="203">
        <f>L85+L92+L97+L109+L119</f>
        <v>6770446758.1437168</v>
      </c>
      <c r="M121" s="179">
        <f t="shared" si="85"/>
        <v>2.5248078161679764E-2</v>
      </c>
      <c r="N121" s="203">
        <f>N85+N92+N97+N109+N119</f>
        <v>6603715629.7658815</v>
      </c>
      <c r="O121" s="179">
        <f t="shared" si="85"/>
        <v>6.0267267689206559E-3</v>
      </c>
      <c r="P121" s="203">
        <f>P85+P92+P97+P109+P119</f>
        <v>6564155259.5478134</v>
      </c>
      <c r="Q121" s="167"/>
      <c r="R121" s="167">
        <v>7998445878</v>
      </c>
      <c r="S121" s="167">
        <v>7844711126</v>
      </c>
      <c r="T121" s="167">
        <v>7630131551.7557011</v>
      </c>
      <c r="U121" s="167">
        <v>7014302398.2950583</v>
      </c>
      <c r="V121" s="167">
        <v>6770446758.1437168</v>
      </c>
      <c r="W121" s="167">
        <v>6603715629.7658815</v>
      </c>
      <c r="X121" s="167">
        <v>6564155259.5478134</v>
      </c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363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 thickBot="1">
      <c r="A123" s="363">
        <f>A121+1</f>
        <v>41</v>
      </c>
      <c r="B123" s="167" t="s">
        <v>2083</v>
      </c>
      <c r="C123" s="167"/>
      <c r="D123" s="203">
        <f>D60-D121</f>
        <v>-1762756.4770355225</v>
      </c>
      <c r="E123" s="167"/>
      <c r="F123" s="203">
        <f>F60-F121</f>
        <v>399040</v>
      </c>
      <c r="G123" s="167"/>
      <c r="H123" s="203">
        <f>H60-H121</f>
        <v>17250059.185018539</v>
      </c>
      <c r="I123" s="167"/>
      <c r="J123" s="203">
        <f>J60-J121</f>
        <v>17406313.633227348</v>
      </c>
      <c r="K123" s="167"/>
      <c r="L123" s="203">
        <f>L60-L121</f>
        <v>6073621.4015684128</v>
      </c>
      <c r="M123" s="167"/>
      <c r="N123" s="203">
        <f>N60-N121</f>
        <v>26056259.183959007</v>
      </c>
      <c r="O123" s="167"/>
      <c r="P123" s="203">
        <f>P60-P121</f>
        <v>17552603.278682709</v>
      </c>
      <c r="Q123" s="167"/>
      <c r="R123" s="167">
        <v>-1762756.4770355225</v>
      </c>
      <c r="S123" s="167">
        <v>399040</v>
      </c>
      <c r="T123" s="167">
        <v>17250059.185018498</v>
      </c>
      <c r="U123" s="167">
        <v>17406313.6332273</v>
      </c>
      <c r="V123" s="167">
        <v>6073621.40156841</v>
      </c>
      <c r="W123" s="167">
        <v>26056259.183959</v>
      </c>
      <c r="X123" s="167">
        <v>17552603.278682701</v>
      </c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 thickTop="1">
      <c r="A124" s="363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363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363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363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363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363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22"/>
      <c r="B191" s="822"/>
      <c r="C191" s="822"/>
      <c r="D191" s="822"/>
      <c r="E191" s="822"/>
      <c r="F191" s="822"/>
      <c r="G191" s="822"/>
      <c r="H191" s="822"/>
      <c r="I191" s="822"/>
      <c r="J191" s="822"/>
      <c r="K191" s="822"/>
      <c r="L191" s="822"/>
      <c r="M191" s="822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B14:C14"/>
    <mergeCell ref="B76:C76"/>
    <mergeCell ref="A191:M191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J288"/>
  <sheetViews>
    <sheetView zoomScale="85" zoomScaleNormal="85" workbookViewId="0">
      <pane xSplit="1" ySplit="3" topLeftCell="B4" activePane="bottomRight" state="frozen"/>
      <selection sqref="A1:E1"/>
      <selection pane="topRight" sqref="A1:E1"/>
      <selection pane="bottomLeft" sqref="A1:E1"/>
      <selection pane="bottomRight" activeCell="B4" sqref="B4"/>
    </sheetView>
  </sheetViews>
  <sheetFormatPr defaultColWidth="9" defaultRowHeight="15"/>
  <cols>
    <col min="1" max="1" width="40.75" style="705" customWidth="1"/>
    <col min="2" max="6" width="8.375" style="696" customWidth="1"/>
    <col min="7" max="7" width="8.875" style="696" customWidth="1"/>
    <col min="8" max="13" width="8.375" style="696" customWidth="1"/>
    <col min="14" max="14" width="9.5" style="696" bestFit="1" customWidth="1"/>
    <col min="15" max="15" width="9.375" style="235" customWidth="1"/>
    <col min="16" max="31" width="8.375" style="696" customWidth="1"/>
    <col min="32" max="32" width="11.375" style="697" customWidth="1"/>
    <col min="33" max="36" width="9.5" style="697" bestFit="1" customWidth="1"/>
    <col min="37" max="16384" width="9" style="697"/>
  </cols>
  <sheetData>
    <row r="1" spans="1:33" s="694" customFormat="1" ht="15" customHeight="1">
      <c r="A1" s="692"/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399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93"/>
      <c r="AA1" s="693"/>
      <c r="AB1" s="693"/>
      <c r="AC1" s="693"/>
      <c r="AD1" s="693"/>
      <c r="AE1" s="693"/>
    </row>
    <row r="2" spans="1:33" s="694" customFormat="1" ht="30">
      <c r="A2" s="692"/>
      <c r="B2" s="693" t="s">
        <v>2697</v>
      </c>
      <c r="C2" s="693" t="s">
        <v>2698</v>
      </c>
      <c r="D2" s="693" t="s">
        <v>2699</v>
      </c>
      <c r="E2" s="693" t="s">
        <v>2700</v>
      </c>
      <c r="F2" s="693" t="s">
        <v>2701</v>
      </c>
      <c r="G2" s="693" t="s">
        <v>2702</v>
      </c>
      <c r="H2" s="693" t="s">
        <v>2703</v>
      </c>
      <c r="I2" s="693" t="s">
        <v>2704</v>
      </c>
      <c r="J2" s="693" t="s">
        <v>2705</v>
      </c>
      <c r="K2" s="693" t="s">
        <v>2706</v>
      </c>
      <c r="L2" s="693" t="s">
        <v>2707</v>
      </c>
      <c r="M2" s="693" t="s">
        <v>2708</v>
      </c>
      <c r="N2" s="693" t="s">
        <v>2709</v>
      </c>
      <c r="O2" s="399" t="s">
        <v>2798</v>
      </c>
      <c r="P2" s="693" t="s">
        <v>2794</v>
      </c>
      <c r="Q2" s="693" t="s">
        <v>2795</v>
      </c>
      <c r="R2" s="693" t="s">
        <v>2796</v>
      </c>
      <c r="S2" s="693" t="s">
        <v>2721</v>
      </c>
      <c r="T2" s="693" t="s">
        <v>2722</v>
      </c>
      <c r="U2" s="693" t="s">
        <v>2723</v>
      </c>
      <c r="V2" s="693" t="s">
        <v>2724</v>
      </c>
      <c r="W2" s="693" t="s">
        <v>2725</v>
      </c>
      <c r="X2" s="693" t="s">
        <v>2726</v>
      </c>
      <c r="Y2" s="693" t="s">
        <v>2727</v>
      </c>
      <c r="Z2" s="693" t="s">
        <v>2728</v>
      </c>
      <c r="AA2" s="693" t="s">
        <v>2729</v>
      </c>
      <c r="AB2" s="693" t="s">
        <v>2730</v>
      </c>
      <c r="AC2" s="693" t="s">
        <v>2731</v>
      </c>
      <c r="AD2" s="693" t="s">
        <v>2732</v>
      </c>
      <c r="AE2" s="693" t="s">
        <v>2733</v>
      </c>
      <c r="AF2" s="399" t="s">
        <v>2797</v>
      </c>
    </row>
    <row r="3" spans="1:33" s="694" customFormat="1">
      <c r="A3" s="692"/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399"/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3"/>
      <c r="AA3" s="693"/>
      <c r="AB3" s="693"/>
      <c r="AC3" s="693"/>
      <c r="AD3" s="693"/>
      <c r="AE3" s="693"/>
    </row>
    <row r="4" spans="1:33">
      <c r="A4" s="695" t="s">
        <v>1833</v>
      </c>
    </row>
    <row r="6" spans="1:33">
      <c r="A6" s="695" t="s">
        <v>1834</v>
      </c>
    </row>
    <row r="8" spans="1:33">
      <c r="A8" s="695" t="s">
        <v>1439</v>
      </c>
      <c r="B8" s="698"/>
      <c r="C8" s="698"/>
      <c r="D8" s="698"/>
      <c r="E8" s="698"/>
      <c r="F8" s="698"/>
      <c r="G8" s="698"/>
      <c r="H8" s="698"/>
      <c r="I8" s="698"/>
      <c r="J8" s="698"/>
      <c r="K8" s="698"/>
      <c r="L8" s="698"/>
      <c r="M8" s="698"/>
      <c r="N8" s="698"/>
      <c r="O8" s="699"/>
      <c r="P8" s="698"/>
      <c r="Q8" s="698"/>
      <c r="R8" s="698"/>
      <c r="S8" s="698"/>
      <c r="T8" s="698"/>
      <c r="U8" s="698"/>
      <c r="V8" s="698"/>
      <c r="W8" s="698"/>
      <c r="X8" s="698"/>
      <c r="Y8" s="698"/>
      <c r="Z8" s="698"/>
      <c r="AA8" s="698"/>
      <c r="AB8" s="698"/>
      <c r="AC8" s="698"/>
      <c r="AD8" s="698"/>
      <c r="AE8" s="698"/>
    </row>
    <row r="9" spans="1:33">
      <c r="A9" s="572" t="s">
        <v>1835</v>
      </c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9"/>
      <c r="P9" s="698"/>
      <c r="Q9" s="698"/>
      <c r="R9" s="698"/>
      <c r="S9" s="698"/>
      <c r="T9" s="698"/>
      <c r="U9" s="698"/>
      <c r="V9" s="698"/>
      <c r="W9" s="698"/>
      <c r="X9" s="698"/>
      <c r="Y9" s="698"/>
      <c r="Z9" s="698"/>
      <c r="AA9" s="698"/>
      <c r="AB9" s="698"/>
      <c r="AC9" s="698"/>
      <c r="AD9" s="698"/>
      <c r="AE9" s="698"/>
    </row>
    <row r="10" spans="1:33">
      <c r="A10" s="572" t="s">
        <v>1836</v>
      </c>
      <c r="B10" s="696">
        <v>9349615.0297399908</v>
      </c>
      <c r="C10" s="696">
        <v>9343234.4010799993</v>
      </c>
      <c r="D10" s="696">
        <v>9363996.6235600002</v>
      </c>
      <c r="E10" s="696">
        <v>9389733.1606600005</v>
      </c>
      <c r="F10" s="696">
        <v>9479378.0134599991</v>
      </c>
      <c r="G10" s="696">
        <v>9496278.1774499994</v>
      </c>
      <c r="H10" s="696">
        <v>9503665.7856899891</v>
      </c>
      <c r="I10" s="696">
        <v>9595775.6916399896</v>
      </c>
      <c r="J10" s="696">
        <v>9648431.5745399892</v>
      </c>
      <c r="K10" s="696">
        <v>9721794.1648899894</v>
      </c>
      <c r="L10" s="696">
        <v>9775906.6425799895</v>
      </c>
      <c r="M10" s="696">
        <v>9783081.0362599995</v>
      </c>
      <c r="N10" s="696">
        <v>9792191.8555999994</v>
      </c>
      <c r="O10" s="235">
        <f>SUM(B10:N10)/13</f>
        <v>9557160.1659346111</v>
      </c>
      <c r="P10" s="696">
        <v>9810977.0548326392</v>
      </c>
      <c r="Q10" s="696">
        <v>9848161.8345109094</v>
      </c>
      <c r="R10" s="696">
        <v>9904205.9296890106</v>
      </c>
      <c r="S10" s="696">
        <v>9968675.8174490109</v>
      </c>
      <c r="T10" s="696">
        <v>9977116.0247490108</v>
      </c>
      <c r="U10" s="696">
        <v>9996715.7321490105</v>
      </c>
      <c r="V10" s="696">
        <v>10020558.063448999</v>
      </c>
      <c r="W10" s="696">
        <v>10089661.073159</v>
      </c>
      <c r="X10" s="696">
        <v>10122791.504579</v>
      </c>
      <c r="Y10" s="696">
        <v>10298989.8845012</v>
      </c>
      <c r="Z10" s="696">
        <v>10280399.7448822</v>
      </c>
      <c r="AA10" s="696">
        <v>10279491.120381299</v>
      </c>
      <c r="AB10" s="696">
        <v>10302757.1368069</v>
      </c>
      <c r="AC10" s="696">
        <v>10336536.344573</v>
      </c>
      <c r="AD10" s="696">
        <v>10361005.9024284</v>
      </c>
      <c r="AE10" s="696">
        <v>10407512.768181</v>
      </c>
      <c r="AF10" s="697">
        <f>SUM(S10:AE10)/13</f>
        <v>10187862.393637542</v>
      </c>
    </row>
    <row r="11" spans="1:33">
      <c r="A11" s="572" t="s">
        <v>1837</v>
      </c>
      <c r="B11" s="696">
        <v>33253.7552</v>
      </c>
      <c r="C11" s="696">
        <v>33253.7552</v>
      </c>
      <c r="D11" s="696">
        <v>33253.7552</v>
      </c>
      <c r="E11" s="696">
        <v>33253.7552</v>
      </c>
      <c r="F11" s="696">
        <v>33253.7552</v>
      </c>
      <c r="G11" s="696">
        <v>33253.7552</v>
      </c>
      <c r="H11" s="696">
        <v>33253.7552</v>
      </c>
      <c r="I11" s="696">
        <v>33253.7552</v>
      </c>
      <c r="J11" s="696">
        <v>33253.7552</v>
      </c>
      <c r="K11" s="696">
        <v>33253.7552</v>
      </c>
      <c r="L11" s="696">
        <v>33253.7552</v>
      </c>
      <c r="M11" s="696">
        <v>33253.7552</v>
      </c>
      <c r="N11" s="696">
        <v>33253.7552</v>
      </c>
      <c r="O11" s="235">
        <f t="shared" ref="O11:O74" si="0">SUM(B11:N11)/13</f>
        <v>33253.755200000007</v>
      </c>
      <c r="P11" s="696">
        <v>33253.7552</v>
      </c>
      <c r="Q11" s="696">
        <v>33253.7552</v>
      </c>
      <c r="R11" s="696">
        <v>33253.7552</v>
      </c>
      <c r="S11" s="696">
        <v>33253.7552</v>
      </c>
      <c r="T11" s="696">
        <v>33253.7552</v>
      </c>
      <c r="U11" s="696">
        <v>33253.7552</v>
      </c>
      <c r="V11" s="696">
        <v>33253.7552</v>
      </c>
      <c r="W11" s="696">
        <v>33253.7552</v>
      </c>
      <c r="X11" s="696">
        <v>33253.7552</v>
      </c>
      <c r="Y11" s="696">
        <v>33253.7552</v>
      </c>
      <c r="Z11" s="696">
        <v>33253.7552</v>
      </c>
      <c r="AA11" s="696">
        <v>33253.7552</v>
      </c>
      <c r="AB11" s="696">
        <v>33253.7552</v>
      </c>
      <c r="AC11" s="696">
        <v>33253.7552</v>
      </c>
      <c r="AD11" s="696">
        <v>33253.7552</v>
      </c>
      <c r="AE11" s="696">
        <v>33253.7552</v>
      </c>
      <c r="AF11" s="697">
        <f t="shared" ref="AF11:AF74" si="1">SUM(S11:AE11)/13</f>
        <v>33253.755200000007</v>
      </c>
    </row>
    <row r="12" spans="1:33">
      <c r="A12" s="572" t="s">
        <v>2410</v>
      </c>
      <c r="B12" s="696">
        <v>31341.676650000001</v>
      </c>
      <c r="C12" s="696">
        <v>32666.727349999899</v>
      </c>
      <c r="D12" s="696">
        <v>31987.591530000002</v>
      </c>
      <c r="E12" s="696">
        <v>31516.103149999999</v>
      </c>
      <c r="F12" s="696">
        <v>31363.600289999998</v>
      </c>
      <c r="G12" s="696">
        <v>31252.759839999999</v>
      </c>
      <c r="H12" s="696">
        <v>30645.804230000002</v>
      </c>
      <c r="I12" s="696">
        <v>30512.62615</v>
      </c>
      <c r="J12" s="696">
        <v>30415.118760000001</v>
      </c>
      <c r="K12" s="696">
        <v>30155.475559999999</v>
      </c>
      <c r="L12" s="696">
        <v>29562.29422</v>
      </c>
      <c r="M12" s="696">
        <v>29454.220689999998</v>
      </c>
      <c r="N12" s="696">
        <v>29407.084429999999</v>
      </c>
      <c r="O12" s="235">
        <f t="shared" si="0"/>
        <v>30790.852526923063</v>
      </c>
      <c r="P12" s="696">
        <v>29357.06639</v>
      </c>
      <c r="Q12" s="696">
        <v>29318.202359999999</v>
      </c>
      <c r="R12" s="696">
        <v>29243.179889999999</v>
      </c>
      <c r="S12" s="696">
        <v>29229.057560000001</v>
      </c>
      <c r="T12" s="696">
        <v>28112.239399999999</v>
      </c>
      <c r="U12" s="696">
        <v>28097.778279999999</v>
      </c>
      <c r="V12" s="696">
        <v>27331.08394</v>
      </c>
      <c r="W12" s="696">
        <v>26525.334709999999</v>
      </c>
      <c r="X12" s="696">
        <v>25459.390309999999</v>
      </c>
      <c r="Y12" s="696">
        <v>24878.001749999999</v>
      </c>
      <c r="Z12" s="696">
        <v>24748.296160000002</v>
      </c>
      <c r="AA12" s="696">
        <v>24596.54651</v>
      </c>
      <c r="AB12" s="696">
        <v>24512.02549</v>
      </c>
      <c r="AC12" s="696">
        <v>24377.783899999999</v>
      </c>
      <c r="AD12" s="696">
        <v>24133.33743</v>
      </c>
      <c r="AE12" s="696">
        <v>24071.914489999999</v>
      </c>
      <c r="AF12" s="697">
        <f t="shared" si="1"/>
        <v>25851.75307153846</v>
      </c>
      <c r="AG12" s="697">
        <f>AF12</f>
        <v>25851.75307153846</v>
      </c>
    </row>
    <row r="13" spans="1:33">
      <c r="A13" s="572" t="s">
        <v>3671</v>
      </c>
      <c r="B13" s="696">
        <v>0</v>
      </c>
      <c r="C13" s="696">
        <v>0</v>
      </c>
      <c r="D13" s="696">
        <v>0</v>
      </c>
      <c r="E13" s="696">
        <v>0</v>
      </c>
      <c r="F13" s="696">
        <v>0</v>
      </c>
      <c r="G13" s="696">
        <v>0</v>
      </c>
      <c r="H13" s="696">
        <v>0</v>
      </c>
      <c r="I13" s="696">
        <v>0</v>
      </c>
      <c r="J13" s="696">
        <v>0</v>
      </c>
      <c r="K13" s="696">
        <v>0</v>
      </c>
      <c r="L13" s="696">
        <v>0</v>
      </c>
      <c r="M13" s="696">
        <v>0</v>
      </c>
      <c r="N13" s="696">
        <v>0</v>
      </c>
      <c r="O13" s="235">
        <f t="shared" si="0"/>
        <v>0</v>
      </c>
      <c r="P13" s="696">
        <v>0</v>
      </c>
      <c r="Q13" s="696">
        <v>0</v>
      </c>
      <c r="R13" s="696">
        <v>0</v>
      </c>
      <c r="S13" s="696">
        <v>0</v>
      </c>
      <c r="T13" s="696">
        <v>0</v>
      </c>
      <c r="U13" s="696">
        <v>0</v>
      </c>
      <c r="V13" s="696">
        <v>0</v>
      </c>
      <c r="W13" s="696">
        <v>0</v>
      </c>
      <c r="X13" s="696">
        <v>0</v>
      </c>
      <c r="Y13" s="696">
        <v>0</v>
      </c>
      <c r="Z13" s="696">
        <v>0</v>
      </c>
      <c r="AA13" s="696">
        <v>0</v>
      </c>
      <c r="AB13" s="696">
        <v>0</v>
      </c>
      <c r="AC13" s="696">
        <v>0</v>
      </c>
      <c r="AD13" s="696">
        <v>0</v>
      </c>
      <c r="AE13" s="696">
        <v>0</v>
      </c>
      <c r="AF13" s="697">
        <f t="shared" si="1"/>
        <v>0</v>
      </c>
    </row>
    <row r="14" spans="1:33">
      <c r="A14" s="572" t="s">
        <v>3672</v>
      </c>
      <c r="B14" s="696">
        <v>-2683.1259</v>
      </c>
      <c r="C14" s="696">
        <v>-2644.7955299999999</v>
      </c>
      <c r="D14" s="696">
        <v>-2606.4651600000002</v>
      </c>
      <c r="E14" s="696">
        <v>-2568.1347900000001</v>
      </c>
      <c r="F14" s="696">
        <v>-2529.8044199999999</v>
      </c>
      <c r="G14" s="696">
        <v>-2491.4740499999998</v>
      </c>
      <c r="H14" s="696">
        <v>-2453.1436800000001</v>
      </c>
      <c r="I14" s="696">
        <v>-2453.1436800000001</v>
      </c>
      <c r="J14" s="696">
        <v>-2453.1436800000001</v>
      </c>
      <c r="K14" s="696">
        <v>-2453.1436800000001</v>
      </c>
      <c r="L14" s="696">
        <v>-2453.1436800000001</v>
      </c>
      <c r="M14" s="696">
        <v>-2453.1436800000001</v>
      </c>
      <c r="N14" s="696">
        <v>-2453.1436800000001</v>
      </c>
      <c r="O14" s="235">
        <f t="shared" si="0"/>
        <v>-2515.0619700000007</v>
      </c>
      <c r="P14" s="696">
        <v>-2453.1436800000001</v>
      </c>
      <c r="Q14" s="696">
        <v>-2453.1436800000001</v>
      </c>
      <c r="R14" s="696">
        <v>-2453.1436800000001</v>
      </c>
      <c r="S14" s="696">
        <v>-2453.1436800000001</v>
      </c>
      <c r="T14" s="696">
        <v>-2453.1436800000001</v>
      </c>
      <c r="U14" s="696">
        <v>-2453.1436800000001</v>
      </c>
      <c r="V14" s="696">
        <v>-2453.1436800000001</v>
      </c>
      <c r="W14" s="696">
        <v>-2453.1436800000001</v>
      </c>
      <c r="X14" s="696">
        <v>-2453.1436800000001</v>
      </c>
      <c r="Y14" s="696">
        <v>-2453.1436800000001</v>
      </c>
      <c r="Z14" s="696">
        <v>-2453.1436800000001</v>
      </c>
      <c r="AA14" s="696">
        <v>-2453.1436800000001</v>
      </c>
      <c r="AB14" s="696">
        <v>-2453.1436800000001</v>
      </c>
      <c r="AC14" s="696">
        <v>-2453.1436800000001</v>
      </c>
      <c r="AD14" s="696">
        <v>-2453.1436800000001</v>
      </c>
      <c r="AE14" s="696">
        <v>-2453.1436800000001</v>
      </c>
      <c r="AF14" s="697">
        <f t="shared" si="1"/>
        <v>-2453.1436800000006</v>
      </c>
    </row>
    <row r="15" spans="1:33">
      <c r="A15" s="572" t="s">
        <v>3673</v>
      </c>
      <c r="B15" s="696">
        <v>-1182.6441</v>
      </c>
      <c r="C15" s="696">
        <v>-1172.6598100000001</v>
      </c>
      <c r="D15" s="696">
        <v>-1162.67552</v>
      </c>
      <c r="E15" s="696">
        <v>-1152.6912299999999</v>
      </c>
      <c r="F15" s="696">
        <v>-1142.70694</v>
      </c>
      <c r="G15" s="696">
        <v>-1132.7226499999999</v>
      </c>
      <c r="H15" s="696">
        <v>-1122.7383599999901</v>
      </c>
      <c r="I15" s="696">
        <v>-1122.7383599999901</v>
      </c>
      <c r="J15" s="696">
        <v>-1122.7383599999901</v>
      </c>
      <c r="K15" s="696">
        <v>-1122.7383599999901</v>
      </c>
      <c r="L15" s="696">
        <v>-1122.7383599999901</v>
      </c>
      <c r="M15" s="696">
        <v>-1122.7383599999901</v>
      </c>
      <c r="N15" s="696">
        <v>-1122.7383599999901</v>
      </c>
      <c r="O15" s="235">
        <f t="shared" si="0"/>
        <v>-1138.8668284615333</v>
      </c>
      <c r="P15" s="696">
        <v>-1122.7383599999901</v>
      </c>
      <c r="Q15" s="696">
        <v>-1122.7383599999901</v>
      </c>
      <c r="R15" s="696">
        <v>-1122.7383599999901</v>
      </c>
      <c r="S15" s="696">
        <v>-1122.7383599999901</v>
      </c>
      <c r="T15" s="696">
        <v>-1122.7383599999901</v>
      </c>
      <c r="U15" s="696">
        <v>-1122.7383599999901</v>
      </c>
      <c r="V15" s="696">
        <v>-1122.7383599999901</v>
      </c>
      <c r="W15" s="696">
        <v>-1122.7383599999901</v>
      </c>
      <c r="X15" s="696">
        <v>-1122.7383599999901</v>
      </c>
      <c r="Y15" s="696">
        <v>-1122.7383599999901</v>
      </c>
      <c r="Z15" s="696">
        <v>-1122.7383599999901</v>
      </c>
      <c r="AA15" s="696">
        <v>-1122.7383599999901</v>
      </c>
      <c r="AB15" s="696">
        <v>-1122.7383599999901</v>
      </c>
      <c r="AC15" s="696">
        <v>-1122.7383599999901</v>
      </c>
      <c r="AD15" s="696">
        <v>-1122.7383599999901</v>
      </c>
      <c r="AE15" s="696">
        <v>-1122.7383599999901</v>
      </c>
      <c r="AF15" s="697">
        <f t="shared" si="1"/>
        <v>-1122.7383599999901</v>
      </c>
    </row>
    <row r="16" spans="1:33">
      <c r="A16" s="572" t="s">
        <v>3674</v>
      </c>
      <c r="B16" s="696">
        <v>0</v>
      </c>
      <c r="C16" s="696">
        <v>0</v>
      </c>
      <c r="D16" s="696">
        <v>0</v>
      </c>
      <c r="E16" s="696">
        <v>0</v>
      </c>
      <c r="F16" s="696">
        <v>0</v>
      </c>
      <c r="G16" s="696">
        <v>0</v>
      </c>
      <c r="H16" s="696">
        <v>0</v>
      </c>
      <c r="I16" s="696">
        <v>0</v>
      </c>
      <c r="J16" s="696">
        <v>0</v>
      </c>
      <c r="K16" s="696">
        <v>0</v>
      </c>
      <c r="L16" s="696">
        <v>0</v>
      </c>
      <c r="M16" s="696">
        <v>0</v>
      </c>
      <c r="N16" s="696">
        <v>0</v>
      </c>
      <c r="O16" s="235">
        <f t="shared" si="0"/>
        <v>0</v>
      </c>
      <c r="P16" s="696">
        <v>0</v>
      </c>
      <c r="Q16" s="696">
        <v>0</v>
      </c>
      <c r="R16" s="696">
        <v>0</v>
      </c>
      <c r="S16" s="696">
        <v>0</v>
      </c>
      <c r="T16" s="696">
        <v>0</v>
      </c>
      <c r="U16" s="696">
        <v>0</v>
      </c>
      <c r="V16" s="696">
        <v>0</v>
      </c>
      <c r="W16" s="696">
        <v>0</v>
      </c>
      <c r="X16" s="696">
        <v>0</v>
      </c>
      <c r="Y16" s="696">
        <v>0</v>
      </c>
      <c r="Z16" s="696">
        <v>0</v>
      </c>
      <c r="AA16" s="696">
        <v>0</v>
      </c>
      <c r="AB16" s="696">
        <v>0</v>
      </c>
      <c r="AC16" s="696">
        <v>0</v>
      </c>
      <c r="AD16" s="696">
        <v>0</v>
      </c>
      <c r="AE16" s="696">
        <v>0</v>
      </c>
      <c r="AF16" s="697">
        <f t="shared" si="1"/>
        <v>0</v>
      </c>
    </row>
    <row r="17" spans="1:36">
      <c r="A17" s="572" t="s">
        <v>3675</v>
      </c>
      <c r="B17" s="696">
        <v>0</v>
      </c>
      <c r="C17" s="696">
        <v>0</v>
      </c>
      <c r="D17" s="696">
        <v>0</v>
      </c>
      <c r="E17" s="696">
        <v>0</v>
      </c>
      <c r="F17" s="696">
        <v>0</v>
      </c>
      <c r="G17" s="696">
        <v>0</v>
      </c>
      <c r="H17" s="696">
        <v>0</v>
      </c>
      <c r="I17" s="696">
        <v>0</v>
      </c>
      <c r="J17" s="696">
        <v>0</v>
      </c>
      <c r="K17" s="696">
        <v>0</v>
      </c>
      <c r="L17" s="696">
        <v>0</v>
      </c>
      <c r="M17" s="696">
        <v>0</v>
      </c>
      <c r="N17" s="696">
        <v>0</v>
      </c>
      <c r="O17" s="235">
        <f t="shared" si="0"/>
        <v>0</v>
      </c>
      <c r="P17" s="696">
        <v>0</v>
      </c>
      <c r="Q17" s="696">
        <v>0</v>
      </c>
      <c r="R17" s="696">
        <v>0</v>
      </c>
      <c r="S17" s="696">
        <v>0</v>
      </c>
      <c r="T17" s="696">
        <v>0</v>
      </c>
      <c r="U17" s="696">
        <v>0</v>
      </c>
      <c r="V17" s="696">
        <v>0</v>
      </c>
      <c r="W17" s="696">
        <v>0</v>
      </c>
      <c r="X17" s="696">
        <v>0</v>
      </c>
      <c r="Y17" s="696">
        <v>0</v>
      </c>
      <c r="Z17" s="696">
        <v>0</v>
      </c>
      <c r="AA17" s="696">
        <v>0</v>
      </c>
      <c r="AB17" s="696">
        <v>0</v>
      </c>
      <c r="AC17" s="696">
        <v>0</v>
      </c>
      <c r="AD17" s="696">
        <v>0</v>
      </c>
      <c r="AE17" s="696">
        <v>0</v>
      </c>
      <c r="AF17" s="697">
        <f t="shared" si="1"/>
        <v>0</v>
      </c>
    </row>
    <row r="18" spans="1:36">
      <c r="A18" s="572" t="s">
        <v>1838</v>
      </c>
      <c r="B18" s="696">
        <v>1804.6452099999999</v>
      </c>
      <c r="C18" s="696">
        <v>1804.6452099999999</v>
      </c>
      <c r="D18" s="696">
        <v>1804.6452099999999</v>
      </c>
      <c r="E18" s="696">
        <v>1804.6452099999999</v>
      </c>
      <c r="F18" s="696">
        <v>1804.6452099999999</v>
      </c>
      <c r="G18" s="696">
        <v>1780.96344</v>
      </c>
      <c r="H18" s="696">
        <v>1780.96344</v>
      </c>
      <c r="I18" s="696">
        <v>1780.96344</v>
      </c>
      <c r="J18" s="696">
        <v>1780.96344</v>
      </c>
      <c r="K18" s="696">
        <v>1780.96344</v>
      </c>
      <c r="L18" s="696">
        <v>1780.96344</v>
      </c>
      <c r="M18" s="696">
        <v>1780.96344</v>
      </c>
      <c r="N18" s="696">
        <v>1780.96344</v>
      </c>
      <c r="O18" s="235">
        <f t="shared" si="0"/>
        <v>1790.0718130769228</v>
      </c>
      <c r="P18" s="696">
        <v>1780.96344</v>
      </c>
      <c r="Q18" s="696">
        <v>1780.96344</v>
      </c>
      <c r="R18" s="696">
        <v>1780.96344</v>
      </c>
      <c r="S18" s="696">
        <v>1780.96344</v>
      </c>
      <c r="T18" s="696">
        <v>1780.96344</v>
      </c>
      <c r="U18" s="696">
        <v>1780.96344</v>
      </c>
      <c r="V18" s="696">
        <v>1780.96344</v>
      </c>
      <c r="W18" s="696">
        <v>1780.96344</v>
      </c>
      <c r="X18" s="696">
        <v>1780.96344</v>
      </c>
      <c r="Y18" s="696">
        <v>1780.96344</v>
      </c>
      <c r="Z18" s="696">
        <v>1780.96344</v>
      </c>
      <c r="AA18" s="696">
        <v>1780.96344</v>
      </c>
      <c r="AB18" s="696">
        <v>1780.96344</v>
      </c>
      <c r="AC18" s="696">
        <v>1780.96344</v>
      </c>
      <c r="AD18" s="696">
        <v>1780.96344</v>
      </c>
      <c r="AE18" s="696">
        <v>1780.96344</v>
      </c>
      <c r="AF18" s="697">
        <f t="shared" si="1"/>
        <v>1780.9634399999998</v>
      </c>
    </row>
    <row r="19" spans="1:36">
      <c r="A19" s="572" t="s">
        <v>1839</v>
      </c>
      <c r="B19" s="696">
        <v>529870.79041000002</v>
      </c>
      <c r="C19" s="696">
        <v>515763.23940000002</v>
      </c>
      <c r="D19" s="696">
        <v>708476.69392999995</v>
      </c>
      <c r="E19" s="696">
        <v>725606.91271999897</v>
      </c>
      <c r="F19" s="696">
        <v>647709.27815000003</v>
      </c>
      <c r="G19" s="696">
        <v>669526.38589999999</v>
      </c>
      <c r="H19" s="696">
        <v>684546.95525</v>
      </c>
      <c r="I19" s="696">
        <v>684546.95525</v>
      </c>
      <c r="J19" s="696">
        <v>684546.95525</v>
      </c>
      <c r="K19" s="696">
        <v>684546.95525</v>
      </c>
      <c r="L19" s="696">
        <v>684546.95525</v>
      </c>
      <c r="M19" s="696">
        <v>684546.95525</v>
      </c>
      <c r="N19" s="696">
        <v>684546.95525</v>
      </c>
      <c r="O19" s="235">
        <f t="shared" si="0"/>
        <v>660675.53748153825</v>
      </c>
      <c r="P19" s="696">
        <v>684546.95525</v>
      </c>
      <c r="Q19" s="696">
        <v>684546.95525</v>
      </c>
      <c r="R19" s="696">
        <v>684546.95525</v>
      </c>
      <c r="S19" s="696">
        <v>684546.95525</v>
      </c>
      <c r="T19" s="696">
        <v>684546.95525</v>
      </c>
      <c r="U19" s="696">
        <v>684546.95525</v>
      </c>
      <c r="V19" s="696">
        <v>684546.95525</v>
      </c>
      <c r="W19" s="696">
        <v>684546.95525</v>
      </c>
      <c r="X19" s="696">
        <v>684546.95525</v>
      </c>
      <c r="Y19" s="696">
        <v>684546.95525</v>
      </c>
      <c r="Z19" s="696">
        <v>684546.95525</v>
      </c>
      <c r="AA19" s="696">
        <v>684546.95525</v>
      </c>
      <c r="AB19" s="696">
        <v>684546.95525</v>
      </c>
      <c r="AC19" s="696">
        <v>684546.95525</v>
      </c>
      <c r="AD19" s="696">
        <v>684546.95525</v>
      </c>
      <c r="AE19" s="696">
        <v>684546.95525</v>
      </c>
      <c r="AF19" s="697">
        <f t="shared" si="1"/>
        <v>684546.95524999988</v>
      </c>
    </row>
    <row r="20" spans="1:36">
      <c r="A20" s="572" t="s">
        <v>3676</v>
      </c>
      <c r="B20" s="696">
        <v>0</v>
      </c>
      <c r="C20" s="696">
        <v>0</v>
      </c>
      <c r="D20" s="696">
        <v>0</v>
      </c>
      <c r="E20" s="696">
        <v>0</v>
      </c>
      <c r="F20" s="696">
        <v>0</v>
      </c>
      <c r="G20" s="696">
        <v>0</v>
      </c>
      <c r="H20" s="696">
        <v>0</v>
      </c>
      <c r="I20" s="696">
        <v>0</v>
      </c>
      <c r="J20" s="696">
        <v>0</v>
      </c>
      <c r="K20" s="696">
        <v>0</v>
      </c>
      <c r="L20" s="696">
        <v>0</v>
      </c>
      <c r="M20" s="696">
        <v>0</v>
      </c>
      <c r="N20" s="696">
        <v>0</v>
      </c>
      <c r="O20" s="235">
        <f t="shared" si="0"/>
        <v>0</v>
      </c>
      <c r="P20" s="696">
        <v>0</v>
      </c>
      <c r="Q20" s="696">
        <v>0</v>
      </c>
      <c r="R20" s="696">
        <v>0</v>
      </c>
      <c r="S20" s="696">
        <v>0</v>
      </c>
      <c r="T20" s="696">
        <v>0</v>
      </c>
      <c r="U20" s="696">
        <v>0</v>
      </c>
      <c r="V20" s="696">
        <v>0</v>
      </c>
      <c r="W20" s="696">
        <v>0</v>
      </c>
      <c r="X20" s="696">
        <v>0</v>
      </c>
      <c r="Y20" s="696">
        <v>0</v>
      </c>
      <c r="Z20" s="696">
        <v>0</v>
      </c>
      <c r="AA20" s="696">
        <v>0</v>
      </c>
      <c r="AB20" s="696">
        <v>0</v>
      </c>
      <c r="AC20" s="696">
        <v>0</v>
      </c>
      <c r="AD20" s="696">
        <v>0</v>
      </c>
      <c r="AE20" s="696">
        <v>0</v>
      </c>
      <c r="AF20" s="697">
        <f t="shared" si="1"/>
        <v>0</v>
      </c>
    </row>
    <row r="21" spans="1:36">
      <c r="A21" s="572" t="s">
        <v>3677</v>
      </c>
      <c r="B21" s="696">
        <v>0</v>
      </c>
      <c r="C21" s="696">
        <v>0</v>
      </c>
      <c r="D21" s="696">
        <v>0</v>
      </c>
      <c r="E21" s="696">
        <v>0</v>
      </c>
      <c r="F21" s="696">
        <v>0</v>
      </c>
      <c r="G21" s="696">
        <v>0</v>
      </c>
      <c r="H21" s="696">
        <v>0</v>
      </c>
      <c r="I21" s="696">
        <v>0</v>
      </c>
      <c r="J21" s="696">
        <v>0</v>
      </c>
      <c r="K21" s="696">
        <v>0</v>
      </c>
      <c r="L21" s="696">
        <v>0</v>
      </c>
      <c r="M21" s="696">
        <v>0</v>
      </c>
      <c r="N21" s="696">
        <v>0</v>
      </c>
      <c r="O21" s="235">
        <f t="shared" si="0"/>
        <v>0</v>
      </c>
      <c r="P21" s="696">
        <v>0</v>
      </c>
      <c r="Q21" s="696">
        <v>0</v>
      </c>
      <c r="R21" s="696">
        <v>0</v>
      </c>
      <c r="S21" s="696">
        <v>0</v>
      </c>
      <c r="T21" s="696">
        <v>0</v>
      </c>
      <c r="U21" s="696">
        <v>0</v>
      </c>
      <c r="V21" s="696">
        <v>0</v>
      </c>
      <c r="W21" s="696">
        <v>0</v>
      </c>
      <c r="X21" s="696">
        <v>0</v>
      </c>
      <c r="Y21" s="696">
        <v>0</v>
      </c>
      <c r="Z21" s="696">
        <v>0</v>
      </c>
      <c r="AA21" s="696">
        <v>0</v>
      </c>
      <c r="AB21" s="696">
        <v>0</v>
      </c>
      <c r="AC21" s="696">
        <v>0</v>
      </c>
      <c r="AD21" s="696">
        <v>0</v>
      </c>
      <c r="AE21" s="696">
        <v>0</v>
      </c>
      <c r="AF21" s="697">
        <f t="shared" si="1"/>
        <v>0</v>
      </c>
    </row>
    <row r="22" spans="1:36">
      <c r="A22" s="572" t="s">
        <v>1840</v>
      </c>
      <c r="B22" s="696">
        <v>477429.74193999998</v>
      </c>
      <c r="C22" s="696">
        <v>521929.25887999998</v>
      </c>
      <c r="D22" s="696">
        <v>345474.37375999999</v>
      </c>
      <c r="E22" s="696">
        <v>332327.69329000002</v>
      </c>
      <c r="F22" s="696">
        <v>364357.94773000001</v>
      </c>
      <c r="G22" s="696">
        <v>356380.37437999999</v>
      </c>
      <c r="H22" s="696">
        <v>354341.25383999897</v>
      </c>
      <c r="I22" s="696">
        <v>301571.61110629397</v>
      </c>
      <c r="J22" s="696">
        <v>303223.95396658703</v>
      </c>
      <c r="K22" s="696">
        <v>269161.02806433599</v>
      </c>
      <c r="L22" s="696">
        <v>214523.603696857</v>
      </c>
      <c r="M22" s="696">
        <v>241072.630703862</v>
      </c>
      <c r="N22" s="696">
        <v>262184.459794736</v>
      </c>
      <c r="O22" s="235">
        <f t="shared" si="0"/>
        <v>334152.14855020551</v>
      </c>
      <c r="P22" s="696">
        <v>294563.05411621003</v>
      </c>
      <c r="Q22" s="696">
        <v>315480.60713562003</v>
      </c>
      <c r="R22" s="696">
        <v>303173.99794262199</v>
      </c>
      <c r="S22" s="696">
        <v>288522.33502610499</v>
      </c>
      <c r="T22" s="696">
        <v>325200.60439732298</v>
      </c>
      <c r="U22" s="696">
        <v>346081.51481039001</v>
      </c>
      <c r="V22" s="696">
        <v>369243.55347462802</v>
      </c>
      <c r="W22" s="696">
        <v>349830.21364866901</v>
      </c>
      <c r="X22" s="696">
        <v>363000.17247391201</v>
      </c>
      <c r="Y22" s="696">
        <v>209335.83371050499</v>
      </c>
      <c r="Z22" s="696">
        <v>232735.71932639199</v>
      </c>
      <c r="AA22" s="696">
        <v>253543.86930823</v>
      </c>
      <c r="AB22" s="696">
        <v>271259.17461803497</v>
      </c>
      <c r="AC22" s="696">
        <v>282733.80125791999</v>
      </c>
      <c r="AD22" s="696">
        <v>289151.83163306903</v>
      </c>
      <c r="AE22" s="696">
        <v>278059.11260225403</v>
      </c>
      <c r="AF22" s="697">
        <f t="shared" si="1"/>
        <v>296822.90279134095</v>
      </c>
    </row>
    <row r="23" spans="1:36">
      <c r="A23" s="572" t="s">
        <v>3678</v>
      </c>
      <c r="B23" s="696">
        <v>0</v>
      </c>
      <c r="C23" s="696">
        <v>308.32137999999998</v>
      </c>
      <c r="D23" s="696">
        <v>300.94677000000001</v>
      </c>
      <c r="E23" s="696">
        <v>398.11378000000002</v>
      </c>
      <c r="F23" s="696">
        <v>567.44592</v>
      </c>
      <c r="G23" s="696">
        <v>792.18259</v>
      </c>
      <c r="H23" s="696">
        <v>1037.16931</v>
      </c>
      <c r="I23" s="696">
        <v>324.89517000000001</v>
      </c>
      <c r="J23" s="696">
        <v>481.40611000000001</v>
      </c>
      <c r="K23" s="696">
        <v>653.65115000000003</v>
      </c>
      <c r="L23" s="696">
        <v>11.9507899999999</v>
      </c>
      <c r="M23" s="696">
        <v>11.9507899999999</v>
      </c>
      <c r="N23" s="696">
        <v>11.9507899999999</v>
      </c>
      <c r="O23" s="235">
        <f t="shared" si="0"/>
        <v>376.9218884615384</v>
      </c>
      <c r="P23" s="696">
        <v>11.9507899999999</v>
      </c>
      <c r="Q23" s="696">
        <v>11.9507899999999</v>
      </c>
      <c r="R23" s="696">
        <v>11.9507899999999</v>
      </c>
      <c r="S23" s="696">
        <v>11.9507899999999</v>
      </c>
      <c r="T23" s="696">
        <v>11.9507899999999</v>
      </c>
      <c r="U23" s="696">
        <v>11.9507899999999</v>
      </c>
      <c r="V23" s="696">
        <v>11.9507899999999</v>
      </c>
      <c r="W23" s="696">
        <v>11.9507899999999</v>
      </c>
      <c r="X23" s="696">
        <v>11.9507899999999</v>
      </c>
      <c r="Y23" s="696">
        <v>11.9507899999999</v>
      </c>
      <c r="Z23" s="696">
        <v>11.9507899999999</v>
      </c>
      <c r="AA23" s="696">
        <v>11.9507899999999</v>
      </c>
      <c r="AB23" s="696">
        <v>11.9507899999999</v>
      </c>
      <c r="AC23" s="696">
        <v>11.9507899999999</v>
      </c>
      <c r="AD23" s="696">
        <v>11.9507899999999</v>
      </c>
      <c r="AE23" s="696">
        <v>11.9507899999999</v>
      </c>
      <c r="AF23" s="697">
        <f t="shared" si="1"/>
        <v>11.9507899999999</v>
      </c>
    </row>
    <row r="24" spans="1:36">
      <c r="A24" s="572" t="s">
        <v>1841</v>
      </c>
      <c r="B24" s="696">
        <v>10419449.86915</v>
      </c>
      <c r="C24" s="696">
        <v>10445142.89316</v>
      </c>
      <c r="D24" s="696">
        <v>10481525.48928</v>
      </c>
      <c r="E24" s="696">
        <v>10510919.55799</v>
      </c>
      <c r="F24" s="696">
        <v>10554762.174599901</v>
      </c>
      <c r="G24" s="696">
        <v>10585640.4020999</v>
      </c>
      <c r="H24" s="696">
        <v>10605695.8049199</v>
      </c>
      <c r="I24" s="696">
        <v>10644190.6159162</v>
      </c>
      <c r="J24" s="696">
        <v>10698557.8452265</v>
      </c>
      <c r="K24" s="696">
        <v>10737770.1115143</v>
      </c>
      <c r="L24" s="696">
        <v>10736010.2831368</v>
      </c>
      <c r="M24" s="696">
        <v>10769625.6302938</v>
      </c>
      <c r="N24" s="696">
        <v>10799801.142464699</v>
      </c>
      <c r="O24" s="235">
        <f t="shared" si="0"/>
        <v>10614545.524596307</v>
      </c>
      <c r="P24" s="696">
        <v>10850914.917978801</v>
      </c>
      <c r="Q24" s="696">
        <v>10908978.3866465</v>
      </c>
      <c r="R24" s="696">
        <v>10952640.850161601</v>
      </c>
      <c r="S24" s="696">
        <v>11002444.9526751</v>
      </c>
      <c r="T24" s="696">
        <v>11046446.611186299</v>
      </c>
      <c r="U24" s="696">
        <v>11086912.7678794</v>
      </c>
      <c r="V24" s="696">
        <v>11133150.4435036</v>
      </c>
      <c r="W24" s="696">
        <v>11182034.3641576</v>
      </c>
      <c r="X24" s="696">
        <v>11227268.810002901</v>
      </c>
      <c r="Y24" s="696">
        <v>11249221.462601701</v>
      </c>
      <c r="Z24" s="696">
        <v>11253901.5030086</v>
      </c>
      <c r="AA24" s="696">
        <v>11273649.278839501</v>
      </c>
      <c r="AB24" s="696">
        <v>11314546.079554999</v>
      </c>
      <c r="AC24" s="696">
        <v>11359665.672371</v>
      </c>
      <c r="AD24" s="696">
        <v>11390308.8141314</v>
      </c>
      <c r="AE24" s="696">
        <v>11425661.5379133</v>
      </c>
      <c r="AF24" s="697">
        <f t="shared" si="1"/>
        <v>11226554.792140415</v>
      </c>
      <c r="AG24" s="697">
        <v>10322954</v>
      </c>
      <c r="AH24" s="697">
        <f>AE24-AE22-AE12</f>
        <v>11123530.510821046</v>
      </c>
      <c r="AI24" s="697">
        <v>10097745</v>
      </c>
      <c r="AJ24" s="697">
        <f>AF24-AF22-AF12</f>
        <v>10903880.136277534</v>
      </c>
    </row>
    <row r="25" spans="1:36">
      <c r="A25" s="572"/>
      <c r="B25" s="698"/>
      <c r="C25" s="698"/>
      <c r="D25" s="698"/>
      <c r="E25" s="698"/>
      <c r="F25" s="698"/>
      <c r="G25" s="698"/>
      <c r="H25" s="698"/>
      <c r="I25" s="698"/>
      <c r="J25" s="698"/>
      <c r="K25" s="698"/>
      <c r="L25" s="698"/>
      <c r="M25" s="698"/>
      <c r="N25" s="698"/>
      <c r="O25" s="235">
        <f t="shared" si="0"/>
        <v>0</v>
      </c>
      <c r="P25" s="698"/>
      <c r="Q25" s="698"/>
      <c r="R25" s="698"/>
      <c r="S25" s="698"/>
      <c r="T25" s="698"/>
      <c r="U25" s="698"/>
      <c r="V25" s="698"/>
      <c r="W25" s="698"/>
      <c r="X25" s="698"/>
      <c r="Y25" s="698"/>
      <c r="Z25" s="698"/>
      <c r="AA25" s="698"/>
      <c r="AB25" s="698"/>
      <c r="AC25" s="698"/>
      <c r="AD25" s="698"/>
      <c r="AE25" s="698"/>
      <c r="AF25" s="697">
        <f t="shared" si="1"/>
        <v>0</v>
      </c>
      <c r="AI25" s="697">
        <v>961.67691796960912</v>
      </c>
      <c r="AJ25" s="700">
        <f>10095832380.1389/1000</f>
        <v>10095832.3801389</v>
      </c>
    </row>
    <row r="26" spans="1:36">
      <c r="A26" s="572" t="s">
        <v>1842</v>
      </c>
      <c r="B26" s="698"/>
      <c r="C26" s="698"/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8"/>
      <c r="O26" s="235">
        <f t="shared" si="0"/>
        <v>0</v>
      </c>
      <c r="P26" s="698"/>
      <c r="Q26" s="698"/>
      <c r="R26" s="698"/>
      <c r="S26" s="698"/>
      <c r="T26" s="698"/>
      <c r="U26" s="698"/>
      <c r="V26" s="698"/>
      <c r="W26" s="698"/>
      <c r="X26" s="698"/>
      <c r="Y26" s="698"/>
      <c r="Z26" s="698"/>
      <c r="AA26" s="698"/>
      <c r="AB26" s="698"/>
      <c r="AC26" s="698"/>
      <c r="AD26" s="698"/>
      <c r="AE26" s="698"/>
      <c r="AF26" s="697">
        <f t="shared" si="1"/>
        <v>0</v>
      </c>
      <c r="AI26" s="697">
        <f>SUM(AI24:AI25)</f>
        <v>10098706.67691797</v>
      </c>
      <c r="AJ26" s="697">
        <f>AJ24-AJ25</f>
        <v>808047.75613863394</v>
      </c>
    </row>
    <row r="27" spans="1:36">
      <c r="A27" s="572" t="s">
        <v>1843</v>
      </c>
      <c r="B27" s="696">
        <v>-3054532.3544200002</v>
      </c>
      <c r="C27" s="696">
        <v>-3030163.3084499901</v>
      </c>
      <c r="D27" s="696">
        <v>-3051168.0421099998</v>
      </c>
      <c r="E27" s="696">
        <v>-3068478.8841199898</v>
      </c>
      <c r="F27" s="696">
        <v>-3085561.53304999</v>
      </c>
      <c r="G27" s="696">
        <v>-3107517.9093899899</v>
      </c>
      <c r="H27" s="696">
        <v>-3124538.9675500002</v>
      </c>
      <c r="I27" s="696">
        <v>-3146208.1621030602</v>
      </c>
      <c r="J27" s="696">
        <v>-3168522.22487853</v>
      </c>
      <c r="K27" s="696">
        <v>-3190251.0436243499</v>
      </c>
      <c r="L27" s="696">
        <v>-3187483.7525220499</v>
      </c>
      <c r="M27" s="696">
        <v>-3211369.1538702799</v>
      </c>
      <c r="N27" s="696">
        <v>-3228786.6187147601</v>
      </c>
      <c r="O27" s="235">
        <f t="shared" si="0"/>
        <v>-3127275.5349848447</v>
      </c>
      <c r="P27" s="696">
        <v>-3252664.6507232999</v>
      </c>
      <c r="Q27" s="696">
        <v>-3276971.0359547702</v>
      </c>
      <c r="R27" s="696">
        <v>-3298039.1629417101</v>
      </c>
      <c r="S27" s="696">
        <v>-3321149.4373862902</v>
      </c>
      <c r="T27" s="696">
        <v>-3348099.58739175</v>
      </c>
      <c r="U27" s="696">
        <v>-3373029.9060818502</v>
      </c>
      <c r="V27" s="696">
        <v>-3401334.2271173401</v>
      </c>
      <c r="W27" s="696">
        <v>-3428412.0155615401</v>
      </c>
      <c r="X27" s="696">
        <v>-3455522.7197391102</v>
      </c>
      <c r="Y27" s="696">
        <v>-3474007.2467950098</v>
      </c>
      <c r="Z27" s="696">
        <v>-3479645.17552592</v>
      </c>
      <c r="AA27" s="696">
        <v>-3501647.0900046998</v>
      </c>
      <c r="AB27" s="696">
        <v>-3528446.30228141</v>
      </c>
      <c r="AC27" s="696">
        <v>-3557592.4341762499</v>
      </c>
      <c r="AD27" s="696">
        <v>-3584625.41913888</v>
      </c>
      <c r="AE27" s="696">
        <v>-3613602.8883676901</v>
      </c>
      <c r="AF27" s="697">
        <f t="shared" si="1"/>
        <v>-3466701.1115052109</v>
      </c>
    </row>
    <row r="28" spans="1:36">
      <c r="A28" s="572" t="s">
        <v>1844</v>
      </c>
      <c r="B28" s="696">
        <v>-20295.040590000001</v>
      </c>
      <c r="C28" s="696">
        <v>-20706.322639999999</v>
      </c>
      <c r="D28" s="696">
        <v>-20729.2175399999</v>
      </c>
      <c r="E28" s="696">
        <v>-20752.112440000001</v>
      </c>
      <c r="F28" s="696">
        <v>-20775.00734</v>
      </c>
      <c r="G28" s="696">
        <v>-20741.205239999999</v>
      </c>
      <c r="H28" s="696">
        <v>-20764.100139999999</v>
      </c>
      <c r="I28" s="696">
        <v>-20764.100139999999</v>
      </c>
      <c r="J28" s="696">
        <v>-20764.100139999999</v>
      </c>
      <c r="K28" s="696">
        <v>-20764.100139999999</v>
      </c>
      <c r="L28" s="696">
        <v>-20764.100139999999</v>
      </c>
      <c r="M28" s="696">
        <v>-20764.100139999999</v>
      </c>
      <c r="N28" s="696">
        <v>-20764.100139999999</v>
      </c>
      <c r="O28" s="235">
        <f t="shared" si="0"/>
        <v>-20719.046674615376</v>
      </c>
      <c r="P28" s="696">
        <v>-20764.100139999999</v>
      </c>
      <c r="Q28" s="696">
        <v>-20764.100139999999</v>
      </c>
      <c r="R28" s="696">
        <v>-20764.100139999999</v>
      </c>
      <c r="S28" s="696">
        <v>-20764.100139999999</v>
      </c>
      <c r="T28" s="696">
        <v>-20764.100139999999</v>
      </c>
      <c r="U28" s="696">
        <v>-20764.100139999999</v>
      </c>
      <c r="V28" s="696">
        <v>-20764.100139999999</v>
      </c>
      <c r="W28" s="696">
        <v>-20764.100139999999</v>
      </c>
      <c r="X28" s="696">
        <v>-20764.100139999999</v>
      </c>
      <c r="Y28" s="696">
        <v>-20764.100139999999</v>
      </c>
      <c r="Z28" s="696">
        <v>-20764.100139999999</v>
      </c>
      <c r="AA28" s="696">
        <v>-20764.100139999999</v>
      </c>
      <c r="AB28" s="696">
        <v>-20764.100139999999</v>
      </c>
      <c r="AC28" s="696">
        <v>-20764.100139999999</v>
      </c>
      <c r="AD28" s="696">
        <v>-20764.100139999999</v>
      </c>
      <c r="AE28" s="696">
        <v>-20764.100139999999</v>
      </c>
      <c r="AF28" s="697">
        <f t="shared" si="1"/>
        <v>-20764.100139999999</v>
      </c>
    </row>
    <row r="29" spans="1:36">
      <c r="A29" s="572" t="s">
        <v>1845</v>
      </c>
      <c r="B29" s="696">
        <v>507.593289999999</v>
      </c>
      <c r="C29" s="696">
        <v>700.54206999999997</v>
      </c>
      <c r="D29" s="696">
        <v>700.54206999999997</v>
      </c>
      <c r="E29" s="696">
        <v>705.90472999999997</v>
      </c>
      <c r="F29" s="696">
        <v>705.90472999999997</v>
      </c>
      <c r="G29" s="696">
        <v>705.90472999999997</v>
      </c>
      <c r="H29" s="696">
        <v>736.56985999999995</v>
      </c>
      <c r="I29" s="696">
        <v>736.56985999999995</v>
      </c>
      <c r="J29" s="696">
        <v>736.56985999999995</v>
      </c>
      <c r="K29" s="696">
        <v>736.56985999999995</v>
      </c>
      <c r="L29" s="696">
        <v>736.56985999999995</v>
      </c>
      <c r="M29" s="696">
        <v>736.56985999999995</v>
      </c>
      <c r="N29" s="696">
        <v>736.56985999999995</v>
      </c>
      <c r="O29" s="235">
        <f t="shared" si="0"/>
        <v>706.33697230769212</v>
      </c>
      <c r="P29" s="696">
        <v>736.56985999999995</v>
      </c>
      <c r="Q29" s="696">
        <v>736.56985999999995</v>
      </c>
      <c r="R29" s="696">
        <v>736.56985999999995</v>
      </c>
      <c r="S29" s="696">
        <v>736.56985999999995</v>
      </c>
      <c r="T29" s="696">
        <v>736.56985999999995</v>
      </c>
      <c r="U29" s="696">
        <v>736.56985999999995</v>
      </c>
      <c r="V29" s="696">
        <v>736.56985999999995</v>
      </c>
      <c r="W29" s="696">
        <v>736.56985999999995</v>
      </c>
      <c r="X29" s="696">
        <v>736.56985999999995</v>
      </c>
      <c r="Y29" s="696">
        <v>736.56985999999995</v>
      </c>
      <c r="Z29" s="696">
        <v>736.56985999999995</v>
      </c>
      <c r="AA29" s="696">
        <v>736.56985999999995</v>
      </c>
      <c r="AB29" s="696">
        <v>736.56985999999995</v>
      </c>
      <c r="AC29" s="696">
        <v>736.56985999999995</v>
      </c>
      <c r="AD29" s="696">
        <v>736.56985999999995</v>
      </c>
      <c r="AE29" s="696">
        <v>736.56985999999995</v>
      </c>
      <c r="AF29" s="697">
        <f t="shared" si="1"/>
        <v>736.56985999999972</v>
      </c>
    </row>
    <row r="30" spans="1:36">
      <c r="A30" s="572" t="s">
        <v>1846</v>
      </c>
      <c r="B30" s="696">
        <v>-37239.45033</v>
      </c>
      <c r="C30" s="696">
        <v>-38363.320059999998</v>
      </c>
      <c r="D30" s="696">
        <v>-39723.7258699999</v>
      </c>
      <c r="E30" s="696">
        <v>-41114.3145</v>
      </c>
      <c r="F30" s="696">
        <v>-42160.9211</v>
      </c>
      <c r="G30" s="696">
        <v>-42643.587740000003</v>
      </c>
      <c r="H30" s="696">
        <v>-41284.786639999998</v>
      </c>
      <c r="I30" s="696">
        <v>-42272.788453924797</v>
      </c>
      <c r="J30" s="696">
        <v>-43754.938529355597</v>
      </c>
      <c r="K30" s="696">
        <v>-45077.564564886299</v>
      </c>
      <c r="L30" s="696">
        <v>-44749.6509802449</v>
      </c>
      <c r="M30" s="696">
        <v>-45526.747460761399</v>
      </c>
      <c r="N30" s="696">
        <v>-47036.392414677903</v>
      </c>
      <c r="O30" s="235">
        <f t="shared" si="0"/>
        <v>-42380.629895680831</v>
      </c>
      <c r="P30" s="696">
        <v>-47475.693228894401</v>
      </c>
      <c r="Q30" s="696">
        <v>-49057.147172010897</v>
      </c>
      <c r="R30" s="696">
        <v>-49892.595352127399</v>
      </c>
      <c r="S30" s="696">
        <v>-49692.161910343901</v>
      </c>
      <c r="T30" s="696">
        <v>-48868.570494260399</v>
      </c>
      <c r="U30" s="696">
        <v>-50340.037126776901</v>
      </c>
      <c r="V30" s="696">
        <v>-51902.543618093398</v>
      </c>
      <c r="W30" s="696">
        <v>-51970.339392509901</v>
      </c>
      <c r="X30" s="696">
        <v>-52615.236860026402</v>
      </c>
      <c r="Y30" s="696">
        <v>-50050.243383542998</v>
      </c>
      <c r="Z30" s="696">
        <v>-50538.984426059498</v>
      </c>
      <c r="AA30" s="696">
        <v>-52226.313443576</v>
      </c>
      <c r="AB30" s="696">
        <v>-53809.0372920925</v>
      </c>
      <c r="AC30" s="696">
        <v>-55313.559975908996</v>
      </c>
      <c r="AD30" s="696">
        <v>-56819.991883125498</v>
      </c>
      <c r="AE30" s="696">
        <v>-57714.246646341999</v>
      </c>
      <c r="AF30" s="697">
        <f t="shared" si="1"/>
        <v>-52450.866650204487</v>
      </c>
    </row>
    <row r="31" spans="1:36">
      <c r="A31" s="572" t="s">
        <v>1847</v>
      </c>
      <c r="B31" s="696">
        <v>-73.743369999999999</v>
      </c>
      <c r="C31" s="696">
        <v>-73.912520000000001</v>
      </c>
      <c r="D31" s="696">
        <v>-74.081670000000003</v>
      </c>
      <c r="E31" s="696">
        <v>-74.250820000000004</v>
      </c>
      <c r="F31" s="696">
        <v>-74.419970000000006</v>
      </c>
      <c r="G31" s="696">
        <v>-74.589119999999994</v>
      </c>
      <c r="H31" s="696">
        <v>-74.758269999999996</v>
      </c>
      <c r="I31" s="696">
        <v>-74.758269999999996</v>
      </c>
      <c r="J31" s="696">
        <v>-74.758269999999996</v>
      </c>
      <c r="K31" s="696">
        <v>-74.758269999999996</v>
      </c>
      <c r="L31" s="696">
        <v>-74.758269999999996</v>
      </c>
      <c r="M31" s="696">
        <v>-74.758269999999996</v>
      </c>
      <c r="N31" s="696">
        <v>-74.758269999999996</v>
      </c>
      <c r="O31" s="235">
        <f t="shared" si="0"/>
        <v>-74.48502769230771</v>
      </c>
      <c r="P31" s="696">
        <v>-74.758269999999996</v>
      </c>
      <c r="Q31" s="696">
        <v>-74.758269999999996</v>
      </c>
      <c r="R31" s="696">
        <v>-74.758269999999996</v>
      </c>
      <c r="S31" s="696">
        <v>-74.758269999999996</v>
      </c>
      <c r="T31" s="696">
        <v>-74.758269999999996</v>
      </c>
      <c r="U31" s="696">
        <v>-74.758269999999996</v>
      </c>
      <c r="V31" s="696">
        <v>-74.758269999999996</v>
      </c>
      <c r="W31" s="696">
        <v>-74.758269999999996</v>
      </c>
      <c r="X31" s="696">
        <v>-74.758269999999996</v>
      </c>
      <c r="Y31" s="696">
        <v>-74.758269999999996</v>
      </c>
      <c r="Z31" s="696">
        <v>-74.758269999999996</v>
      </c>
      <c r="AA31" s="696">
        <v>-74.758269999999996</v>
      </c>
      <c r="AB31" s="696">
        <v>-74.758269999999996</v>
      </c>
      <c r="AC31" s="696">
        <v>-74.758269999999996</v>
      </c>
      <c r="AD31" s="696">
        <v>-74.758269999999996</v>
      </c>
      <c r="AE31" s="696">
        <v>-74.758269999999996</v>
      </c>
      <c r="AF31" s="697">
        <f t="shared" si="1"/>
        <v>-74.75827000000001</v>
      </c>
    </row>
    <row r="32" spans="1:36">
      <c r="A32" s="572" t="s">
        <v>2411</v>
      </c>
      <c r="B32" s="696">
        <v>0</v>
      </c>
      <c r="C32" s="696">
        <v>0</v>
      </c>
      <c r="D32" s="696">
        <v>0</v>
      </c>
      <c r="E32" s="696">
        <v>0</v>
      </c>
      <c r="F32" s="696">
        <v>0</v>
      </c>
      <c r="G32" s="696">
        <v>0</v>
      </c>
      <c r="H32" s="696">
        <v>0</v>
      </c>
      <c r="I32" s="696">
        <v>-670.07062666666695</v>
      </c>
      <c r="J32" s="696">
        <v>-1363.33578333333</v>
      </c>
      <c r="K32" s="696">
        <v>-1887.07278</v>
      </c>
      <c r="L32" s="696">
        <v>-2055.6620066666601</v>
      </c>
      <c r="M32" s="696">
        <v>-2679.5803824999998</v>
      </c>
      <c r="N32" s="696">
        <v>-3358.2473783333298</v>
      </c>
      <c r="O32" s="235">
        <f t="shared" si="0"/>
        <v>-924.15145826922969</v>
      </c>
      <c r="P32" s="696">
        <v>-4032.88452416666</v>
      </c>
      <c r="Q32" s="696">
        <v>-4717.5527999999904</v>
      </c>
      <c r="R32" s="696">
        <v>-5366.4858958333298</v>
      </c>
      <c r="S32" s="696">
        <v>-6074.0227416666603</v>
      </c>
      <c r="T32" s="696">
        <v>-5680.3826274999901</v>
      </c>
      <c r="U32" s="696">
        <v>-6331.11315333333</v>
      </c>
      <c r="V32" s="696">
        <v>-6231.0019291666604</v>
      </c>
      <c r="W32" s="696">
        <v>-6055.7153149999904</v>
      </c>
      <c r="X32" s="696">
        <v>-5583.7358808333302</v>
      </c>
      <c r="Y32" s="696">
        <v>-5549.2852666666604</v>
      </c>
      <c r="Z32" s="696">
        <v>-5945.9925783333301</v>
      </c>
      <c r="AA32" s="696">
        <v>-6316.7815199999905</v>
      </c>
      <c r="AB32" s="696">
        <v>-6750.1978916666603</v>
      </c>
      <c r="AC32" s="696">
        <v>-7132.0851033333302</v>
      </c>
      <c r="AD32" s="696">
        <v>-7400.90657499999</v>
      </c>
      <c r="AE32" s="696">
        <v>-7845.3351666666604</v>
      </c>
      <c r="AF32" s="697">
        <f t="shared" si="1"/>
        <v>-6376.6581345512741</v>
      </c>
      <c r="AG32" s="697">
        <f>AF32</f>
        <v>-6376.6581345512741</v>
      </c>
    </row>
    <row r="33" spans="1:33">
      <c r="A33" s="572" t="s">
        <v>3679</v>
      </c>
      <c r="B33" s="696">
        <v>0</v>
      </c>
      <c r="C33" s="696">
        <v>0</v>
      </c>
      <c r="D33" s="696">
        <v>0</v>
      </c>
      <c r="E33" s="696">
        <v>0</v>
      </c>
      <c r="F33" s="696">
        <v>0</v>
      </c>
      <c r="G33" s="696">
        <v>0</v>
      </c>
      <c r="H33" s="696">
        <v>0</v>
      </c>
      <c r="I33" s="696">
        <v>0</v>
      </c>
      <c r="J33" s="696">
        <v>0</v>
      </c>
      <c r="K33" s="696">
        <v>0</v>
      </c>
      <c r="L33" s="696">
        <v>0</v>
      </c>
      <c r="M33" s="696">
        <v>0</v>
      </c>
      <c r="N33" s="696">
        <v>0</v>
      </c>
      <c r="O33" s="235">
        <f t="shared" si="0"/>
        <v>0</v>
      </c>
      <c r="P33" s="696">
        <v>0</v>
      </c>
      <c r="Q33" s="696">
        <v>0</v>
      </c>
      <c r="R33" s="696">
        <v>0</v>
      </c>
      <c r="S33" s="696">
        <v>0</v>
      </c>
      <c r="T33" s="696">
        <v>0</v>
      </c>
      <c r="U33" s="696">
        <v>0</v>
      </c>
      <c r="V33" s="696">
        <v>0</v>
      </c>
      <c r="W33" s="696">
        <v>0</v>
      </c>
      <c r="X33" s="696">
        <v>0</v>
      </c>
      <c r="Y33" s="696">
        <v>0</v>
      </c>
      <c r="Z33" s="696">
        <v>0</v>
      </c>
      <c r="AA33" s="696">
        <v>0</v>
      </c>
      <c r="AB33" s="696">
        <v>0</v>
      </c>
      <c r="AC33" s="696">
        <v>0</v>
      </c>
      <c r="AD33" s="696">
        <v>0</v>
      </c>
      <c r="AE33" s="696">
        <v>0</v>
      </c>
      <c r="AF33" s="697">
        <f t="shared" si="1"/>
        <v>0</v>
      </c>
    </row>
    <row r="34" spans="1:33">
      <c r="A34" s="572" t="s">
        <v>1848</v>
      </c>
      <c r="B34" s="696">
        <v>125166.45241</v>
      </c>
      <c r="C34" s="696">
        <v>126167.84298</v>
      </c>
      <c r="D34" s="696">
        <v>126773.88526</v>
      </c>
      <c r="E34" s="696">
        <v>127364.3545</v>
      </c>
      <c r="F34" s="696">
        <v>127989.20354</v>
      </c>
      <c r="G34" s="696">
        <v>128622.84252999999</v>
      </c>
      <c r="H34" s="696">
        <v>129259.65859999901</v>
      </c>
      <c r="I34" s="696">
        <v>129906.336147683</v>
      </c>
      <c r="J34" s="696">
        <v>130558.239799951</v>
      </c>
      <c r="K34" s="696">
        <v>131214.504667267</v>
      </c>
      <c r="L34" s="696">
        <v>131874.77147151201</v>
      </c>
      <c r="M34" s="696">
        <v>132537.21861707</v>
      </c>
      <c r="N34" s="696">
        <v>133199.93923167899</v>
      </c>
      <c r="O34" s="235">
        <f t="shared" si="0"/>
        <v>129279.63459655085</v>
      </c>
      <c r="P34" s="696">
        <v>133863.114566676</v>
      </c>
      <c r="Q34" s="696">
        <v>134527.73027384601</v>
      </c>
      <c r="R34" s="696">
        <v>135195.46134087601</v>
      </c>
      <c r="S34" s="696">
        <v>135868.481364326</v>
      </c>
      <c r="T34" s="696">
        <v>136487.38968161499</v>
      </c>
      <c r="U34" s="696">
        <v>137106.80286905801</v>
      </c>
      <c r="V34" s="696">
        <v>137726.974305179</v>
      </c>
      <c r="W34" s="696">
        <v>138349.34989302099</v>
      </c>
      <c r="X34" s="696">
        <v>138973.68271353899</v>
      </c>
      <c r="Y34" s="696">
        <v>139604.054509996</v>
      </c>
      <c r="Z34" s="696">
        <v>140240.38418950301</v>
      </c>
      <c r="AA34" s="696">
        <v>140876.82079967199</v>
      </c>
      <c r="AB34" s="696">
        <v>141513.80731700399</v>
      </c>
      <c r="AC34" s="696">
        <v>142152.347585941</v>
      </c>
      <c r="AD34" s="696">
        <v>142792.51966848699</v>
      </c>
      <c r="AE34" s="696">
        <v>143435.60035679201</v>
      </c>
      <c r="AF34" s="697">
        <f t="shared" si="1"/>
        <v>139625.247327241</v>
      </c>
      <c r="AG34" s="697">
        <f>SUM(AG12:AG32)</f>
        <v>10342429.094936987</v>
      </c>
    </row>
    <row r="35" spans="1:33">
      <c r="A35" s="572" t="s">
        <v>1849</v>
      </c>
      <c r="B35" s="696">
        <v>32927.540889999997</v>
      </c>
      <c r="C35" s="696">
        <v>35994.097009999998</v>
      </c>
      <c r="D35" s="696">
        <v>31236.733059999999</v>
      </c>
      <c r="E35" s="696">
        <v>33483.920319999997</v>
      </c>
      <c r="F35" s="696">
        <v>31094.23602</v>
      </c>
      <c r="G35" s="696">
        <v>30815.56005</v>
      </c>
      <c r="H35" s="696">
        <v>32315.002079999998</v>
      </c>
      <c r="I35" s="696">
        <v>6029.1634999999796</v>
      </c>
      <c r="J35" s="696">
        <v>4865.1008299999803</v>
      </c>
      <c r="K35" s="696">
        <v>5419.6323999999804</v>
      </c>
      <c r="L35" s="696">
        <v>1247.6227699999799</v>
      </c>
      <c r="M35" s="696">
        <v>2554.41110999998</v>
      </c>
      <c r="N35" s="696">
        <v>3859.8330099999798</v>
      </c>
      <c r="O35" s="235">
        <f t="shared" si="0"/>
        <v>19372.527157692301</v>
      </c>
      <c r="P35" s="696">
        <v>9572.96514999998</v>
      </c>
      <c r="Q35" s="696">
        <v>10250.686029999901</v>
      </c>
      <c r="R35" s="696">
        <v>8220.9868299999907</v>
      </c>
      <c r="S35" s="696">
        <v>7153.4129799999801</v>
      </c>
      <c r="T35" s="696">
        <v>7742.9609599999803</v>
      </c>
      <c r="U35" s="696">
        <v>8681.7474299999903</v>
      </c>
      <c r="V35" s="696">
        <v>9410.2372799999903</v>
      </c>
      <c r="W35" s="696">
        <v>9803.3785099999895</v>
      </c>
      <c r="X35" s="696">
        <v>10215.096099999901</v>
      </c>
      <c r="Y35" s="696">
        <v>3443.0964299999901</v>
      </c>
      <c r="Z35" s="696">
        <v>4457.24502999999</v>
      </c>
      <c r="AA35" s="696">
        <v>5470.0362499999901</v>
      </c>
      <c r="AB35" s="696">
        <v>6727.3536199999899</v>
      </c>
      <c r="AC35" s="696">
        <v>6909.1755799999901</v>
      </c>
      <c r="AD35" s="696">
        <v>7132.6366499999904</v>
      </c>
      <c r="AE35" s="696">
        <v>4801.9728799999903</v>
      </c>
      <c r="AF35" s="697">
        <f t="shared" si="1"/>
        <v>7072.9499769230588</v>
      </c>
    </row>
    <row r="36" spans="1:33" ht="15.75" thickBot="1">
      <c r="A36" s="572" t="s">
        <v>1850</v>
      </c>
      <c r="B36" s="701">
        <v>-534198.81126999995</v>
      </c>
      <c r="C36" s="701">
        <v>-535004.76193000004</v>
      </c>
      <c r="D36" s="701">
        <v>-530483.54876999999</v>
      </c>
      <c r="E36" s="701">
        <v>-532643.02642000001</v>
      </c>
      <c r="F36" s="701">
        <v>-531426.76705000002</v>
      </c>
      <c r="G36" s="701">
        <v>-532926.82843999995</v>
      </c>
      <c r="H36" s="701">
        <v>-535092.65531999897</v>
      </c>
      <c r="I36" s="701">
        <v>-512232.23867386999</v>
      </c>
      <c r="J36" s="701">
        <v>-513023.882813023</v>
      </c>
      <c r="K36" s="701">
        <v>-514912.11696804198</v>
      </c>
      <c r="L36" s="701">
        <v>-513617.81099256902</v>
      </c>
      <c r="M36" s="701">
        <v>-516710.54323514499</v>
      </c>
      <c r="N36" s="701">
        <v>-519686.47238576302</v>
      </c>
      <c r="O36" s="235">
        <f t="shared" si="0"/>
        <v>-524766.11263603158</v>
      </c>
      <c r="P36" s="701">
        <v>-522553.73634830001</v>
      </c>
      <c r="Q36" s="701">
        <v>-523539.10840527201</v>
      </c>
      <c r="R36" s="701">
        <v>-522253.02534555498</v>
      </c>
      <c r="S36" s="701">
        <v>-521214.71010549698</v>
      </c>
      <c r="T36" s="701">
        <v>-523376.46777391998</v>
      </c>
      <c r="U36" s="701">
        <v>-526139.62952246296</v>
      </c>
      <c r="V36" s="701">
        <v>-528659.32348689495</v>
      </c>
      <c r="W36" s="701">
        <v>-529698.96302665898</v>
      </c>
      <c r="X36" s="701">
        <v>-531546.042064782</v>
      </c>
      <c r="Y36" s="701">
        <v>-525965.26582998305</v>
      </c>
      <c r="Z36" s="701">
        <v>-529183.31611911196</v>
      </c>
      <c r="AA36" s="701">
        <v>-532399.20011253899</v>
      </c>
      <c r="AB36" s="701">
        <v>-533105.38471173798</v>
      </c>
      <c r="AC36" s="701">
        <v>-534926.55260869395</v>
      </c>
      <c r="AD36" s="701">
        <v>-537329.64617899398</v>
      </c>
      <c r="AE36" s="701">
        <v>-537087.81252167502</v>
      </c>
      <c r="AF36" s="697">
        <f t="shared" si="1"/>
        <v>-530048.63954330399</v>
      </c>
    </row>
    <row r="37" spans="1:33">
      <c r="A37" s="572" t="s">
        <v>1851</v>
      </c>
      <c r="B37" s="696">
        <v>-3487737.8133899998</v>
      </c>
      <c r="C37" s="696">
        <v>-3461449.1435399898</v>
      </c>
      <c r="D37" s="696">
        <v>-3483467.4555700002</v>
      </c>
      <c r="E37" s="696">
        <v>-3501508.4087499902</v>
      </c>
      <c r="F37" s="696">
        <v>-3520209.30421999</v>
      </c>
      <c r="G37" s="696">
        <v>-3543759.81262</v>
      </c>
      <c r="H37" s="696">
        <v>-3559444.0373800001</v>
      </c>
      <c r="I37" s="696">
        <v>-3585550.04875984</v>
      </c>
      <c r="J37" s="696">
        <v>-3611343.3299242901</v>
      </c>
      <c r="K37" s="696">
        <v>-3635595.9494200102</v>
      </c>
      <c r="L37" s="696">
        <v>-3634886.7708100202</v>
      </c>
      <c r="M37" s="696">
        <v>-3661296.68377162</v>
      </c>
      <c r="N37" s="696">
        <v>-3681910.24720186</v>
      </c>
      <c r="O37" s="235">
        <f t="shared" si="0"/>
        <v>-3566781.4619505852</v>
      </c>
      <c r="P37" s="696">
        <v>-3703393.1736579798</v>
      </c>
      <c r="Q37" s="696">
        <v>-3729608.7165782098</v>
      </c>
      <c r="R37" s="696">
        <v>-3752237.1099143499</v>
      </c>
      <c r="S37" s="696">
        <v>-3775210.7263494702</v>
      </c>
      <c r="T37" s="696">
        <v>-3801896.9461958199</v>
      </c>
      <c r="U37" s="696">
        <v>-3830154.4241353599</v>
      </c>
      <c r="V37" s="696">
        <v>-3861092.1731163198</v>
      </c>
      <c r="W37" s="696">
        <v>-3888086.5934426901</v>
      </c>
      <c r="X37" s="696">
        <v>-3916181.2442812198</v>
      </c>
      <c r="Y37" s="696">
        <v>-3932627.1788852098</v>
      </c>
      <c r="Z37" s="696">
        <v>-3940718.1279799198</v>
      </c>
      <c r="AA37" s="696">
        <v>-3966344.8165811398</v>
      </c>
      <c r="AB37" s="696">
        <v>-3993972.0497899102</v>
      </c>
      <c r="AC37" s="696">
        <v>-4026005.39724825</v>
      </c>
      <c r="AD37" s="696">
        <v>-4056353.0960075101</v>
      </c>
      <c r="AE37" s="696">
        <v>-4088114.99801559</v>
      </c>
      <c r="AF37" s="697">
        <f t="shared" si="1"/>
        <v>-3928981.367079109</v>
      </c>
    </row>
    <row r="38" spans="1:33">
      <c r="A38" s="572"/>
      <c r="B38" s="698"/>
      <c r="C38" s="698"/>
      <c r="D38" s="698"/>
      <c r="E38" s="698"/>
      <c r="F38" s="698"/>
      <c r="G38" s="698"/>
      <c r="H38" s="698"/>
      <c r="I38" s="698"/>
      <c r="J38" s="698"/>
      <c r="K38" s="698"/>
      <c r="L38" s="698"/>
      <c r="M38" s="698"/>
      <c r="N38" s="698"/>
      <c r="O38" s="235">
        <f t="shared" si="0"/>
        <v>0</v>
      </c>
      <c r="P38" s="698"/>
      <c r="Q38" s="698"/>
      <c r="R38" s="698"/>
      <c r="S38" s="698"/>
      <c r="T38" s="698"/>
      <c r="U38" s="698"/>
      <c r="V38" s="698"/>
      <c r="W38" s="698"/>
      <c r="X38" s="698"/>
      <c r="Y38" s="698"/>
      <c r="Z38" s="698"/>
      <c r="AA38" s="698"/>
      <c r="AB38" s="698"/>
      <c r="AC38" s="698"/>
      <c r="AD38" s="698"/>
      <c r="AE38" s="698"/>
      <c r="AF38" s="697">
        <f t="shared" si="1"/>
        <v>0</v>
      </c>
    </row>
    <row r="39" spans="1:33" ht="15.75" thickBot="1">
      <c r="A39" s="702" t="s">
        <v>1852</v>
      </c>
      <c r="B39" s="703">
        <v>6931712.0557599999</v>
      </c>
      <c r="C39" s="703">
        <v>6983693.7496199999</v>
      </c>
      <c r="D39" s="703">
        <v>6998058.0337100001</v>
      </c>
      <c r="E39" s="703">
        <v>7009411.1492400002</v>
      </c>
      <c r="F39" s="703">
        <v>7034552.87037999</v>
      </c>
      <c r="G39" s="703">
        <v>7041880.5894799903</v>
      </c>
      <c r="H39" s="703">
        <v>7046251.7675399901</v>
      </c>
      <c r="I39" s="703">
        <v>7058640.5671564396</v>
      </c>
      <c r="J39" s="703">
        <v>7087214.51530228</v>
      </c>
      <c r="K39" s="703">
        <v>7102174.1620943099</v>
      </c>
      <c r="L39" s="703">
        <v>7101123.5123268301</v>
      </c>
      <c r="M39" s="703">
        <v>7108328.9465222303</v>
      </c>
      <c r="N39" s="703">
        <v>7117890.89526287</v>
      </c>
      <c r="O39" s="235">
        <f t="shared" si="0"/>
        <v>7047764.062645765</v>
      </c>
      <c r="P39" s="703">
        <v>7147521.7443208601</v>
      </c>
      <c r="Q39" s="703">
        <v>7179369.6700683199</v>
      </c>
      <c r="R39" s="703">
        <v>7200403.7402472701</v>
      </c>
      <c r="S39" s="703">
        <v>7227234.2263256498</v>
      </c>
      <c r="T39" s="703">
        <v>7244549.6649905099</v>
      </c>
      <c r="U39" s="703">
        <v>7256758.3437440395</v>
      </c>
      <c r="V39" s="703">
        <v>7272058.2703873198</v>
      </c>
      <c r="W39" s="703">
        <v>7293947.7707149899</v>
      </c>
      <c r="X39" s="703">
        <v>7311087.5657217</v>
      </c>
      <c r="Y39" s="703">
        <v>7316594.2837164998</v>
      </c>
      <c r="Z39" s="703">
        <v>7313183.3750286801</v>
      </c>
      <c r="AA39" s="703">
        <v>7307304.4622584004</v>
      </c>
      <c r="AB39" s="703">
        <v>7320574.0297651105</v>
      </c>
      <c r="AC39" s="703">
        <v>7333660.2751227496</v>
      </c>
      <c r="AD39" s="703">
        <v>7333955.7181239603</v>
      </c>
      <c r="AE39" s="703">
        <v>7337546.5398977296</v>
      </c>
      <c r="AF39" s="697">
        <f t="shared" si="1"/>
        <v>7297573.4250613321</v>
      </c>
    </row>
    <row r="40" spans="1:33">
      <c r="A40" s="572"/>
      <c r="O40" s="235">
        <f t="shared" si="0"/>
        <v>0</v>
      </c>
      <c r="AF40" s="697">
        <f t="shared" si="1"/>
        <v>0</v>
      </c>
    </row>
    <row r="41" spans="1:33">
      <c r="A41" s="702" t="s">
        <v>1853</v>
      </c>
      <c r="B41" s="698"/>
      <c r="C41" s="698"/>
      <c r="D41" s="698"/>
      <c r="E41" s="698"/>
      <c r="F41" s="698"/>
      <c r="G41" s="698"/>
      <c r="H41" s="698"/>
      <c r="I41" s="698"/>
      <c r="J41" s="698"/>
      <c r="K41" s="698"/>
      <c r="L41" s="698"/>
      <c r="M41" s="698"/>
      <c r="N41" s="698"/>
      <c r="O41" s="235">
        <f t="shared" si="0"/>
        <v>0</v>
      </c>
      <c r="P41" s="698"/>
      <c r="Q41" s="698"/>
      <c r="R41" s="698"/>
      <c r="S41" s="698"/>
      <c r="T41" s="698"/>
      <c r="U41" s="698"/>
      <c r="V41" s="698"/>
      <c r="W41" s="698"/>
      <c r="X41" s="698"/>
      <c r="Y41" s="698"/>
      <c r="Z41" s="698"/>
      <c r="AA41" s="698"/>
      <c r="AB41" s="698"/>
      <c r="AC41" s="698"/>
      <c r="AD41" s="698"/>
      <c r="AE41" s="698"/>
      <c r="AF41" s="697">
        <f t="shared" si="1"/>
        <v>0</v>
      </c>
    </row>
    <row r="42" spans="1:33">
      <c r="A42" s="572" t="s">
        <v>1854</v>
      </c>
      <c r="B42" s="698"/>
      <c r="C42" s="698"/>
      <c r="D42" s="698"/>
      <c r="E42" s="698"/>
      <c r="F42" s="698"/>
      <c r="G42" s="698"/>
      <c r="H42" s="698"/>
      <c r="I42" s="698"/>
      <c r="J42" s="698"/>
      <c r="K42" s="698"/>
      <c r="L42" s="698"/>
      <c r="M42" s="698"/>
      <c r="N42" s="698"/>
      <c r="O42" s="235">
        <f t="shared" si="0"/>
        <v>0</v>
      </c>
      <c r="P42" s="698"/>
      <c r="Q42" s="698"/>
      <c r="R42" s="698"/>
      <c r="S42" s="698"/>
      <c r="T42" s="698"/>
      <c r="U42" s="698"/>
      <c r="V42" s="698"/>
      <c r="W42" s="698"/>
      <c r="X42" s="698"/>
      <c r="Y42" s="698"/>
      <c r="Z42" s="698"/>
      <c r="AA42" s="698"/>
      <c r="AB42" s="698"/>
      <c r="AC42" s="698"/>
      <c r="AD42" s="698"/>
      <c r="AE42" s="698"/>
      <c r="AF42" s="697">
        <f t="shared" si="1"/>
        <v>0</v>
      </c>
    </row>
    <row r="43" spans="1:33" ht="15.75" thickBot="1">
      <c r="A43" s="572" t="s">
        <v>1855</v>
      </c>
      <c r="B43" s="701">
        <v>250</v>
      </c>
      <c r="C43" s="701">
        <v>250</v>
      </c>
      <c r="D43" s="701">
        <v>250</v>
      </c>
      <c r="E43" s="701">
        <v>250</v>
      </c>
      <c r="F43" s="701">
        <v>250</v>
      </c>
      <c r="G43" s="701">
        <v>250</v>
      </c>
      <c r="H43" s="701">
        <v>250</v>
      </c>
      <c r="I43" s="701">
        <v>250</v>
      </c>
      <c r="J43" s="701">
        <v>250</v>
      </c>
      <c r="K43" s="701">
        <v>250</v>
      </c>
      <c r="L43" s="701">
        <v>250</v>
      </c>
      <c r="M43" s="701">
        <v>250</v>
      </c>
      <c r="N43" s="701">
        <v>250</v>
      </c>
      <c r="O43" s="235">
        <f t="shared" si="0"/>
        <v>250</v>
      </c>
      <c r="P43" s="701">
        <v>250</v>
      </c>
      <c r="Q43" s="701">
        <v>250</v>
      </c>
      <c r="R43" s="701">
        <v>250</v>
      </c>
      <c r="S43" s="701">
        <v>250</v>
      </c>
      <c r="T43" s="701">
        <v>250</v>
      </c>
      <c r="U43" s="701">
        <v>250</v>
      </c>
      <c r="V43" s="701">
        <v>250</v>
      </c>
      <c r="W43" s="701">
        <v>250</v>
      </c>
      <c r="X43" s="701">
        <v>250</v>
      </c>
      <c r="Y43" s="701">
        <v>250</v>
      </c>
      <c r="Z43" s="701">
        <v>250</v>
      </c>
      <c r="AA43" s="701">
        <v>250</v>
      </c>
      <c r="AB43" s="701">
        <v>250</v>
      </c>
      <c r="AC43" s="701">
        <v>250</v>
      </c>
      <c r="AD43" s="701">
        <v>250</v>
      </c>
      <c r="AE43" s="701">
        <v>250</v>
      </c>
      <c r="AF43" s="697">
        <f t="shared" si="1"/>
        <v>250</v>
      </c>
    </row>
    <row r="44" spans="1:33">
      <c r="A44" s="572" t="s">
        <v>1856</v>
      </c>
      <c r="B44" s="696">
        <v>250</v>
      </c>
      <c r="C44" s="696">
        <v>250</v>
      </c>
      <c r="D44" s="696">
        <v>250</v>
      </c>
      <c r="E44" s="696">
        <v>250</v>
      </c>
      <c r="F44" s="696">
        <v>250</v>
      </c>
      <c r="G44" s="696">
        <v>250</v>
      </c>
      <c r="H44" s="696">
        <v>250</v>
      </c>
      <c r="I44" s="696">
        <v>250</v>
      </c>
      <c r="J44" s="696">
        <v>250</v>
      </c>
      <c r="K44" s="696">
        <v>250</v>
      </c>
      <c r="L44" s="696">
        <v>250</v>
      </c>
      <c r="M44" s="696">
        <v>250</v>
      </c>
      <c r="N44" s="696">
        <v>250</v>
      </c>
      <c r="O44" s="235">
        <f t="shared" si="0"/>
        <v>250</v>
      </c>
      <c r="P44" s="696">
        <v>250</v>
      </c>
      <c r="Q44" s="696">
        <v>250</v>
      </c>
      <c r="R44" s="696">
        <v>250</v>
      </c>
      <c r="S44" s="696">
        <v>250</v>
      </c>
      <c r="T44" s="696">
        <v>250</v>
      </c>
      <c r="U44" s="696">
        <v>250</v>
      </c>
      <c r="V44" s="696">
        <v>250</v>
      </c>
      <c r="W44" s="696">
        <v>250</v>
      </c>
      <c r="X44" s="696">
        <v>250</v>
      </c>
      <c r="Y44" s="696">
        <v>250</v>
      </c>
      <c r="Z44" s="696">
        <v>250</v>
      </c>
      <c r="AA44" s="696">
        <v>250</v>
      </c>
      <c r="AB44" s="696">
        <v>250</v>
      </c>
      <c r="AC44" s="696">
        <v>250</v>
      </c>
      <c r="AD44" s="696">
        <v>250</v>
      </c>
      <c r="AE44" s="696">
        <v>250</v>
      </c>
      <c r="AF44" s="697">
        <f t="shared" si="1"/>
        <v>250</v>
      </c>
    </row>
    <row r="45" spans="1:33">
      <c r="A45" s="572"/>
      <c r="B45" s="698"/>
      <c r="C45" s="698"/>
      <c r="D45" s="698"/>
      <c r="E45" s="698"/>
      <c r="F45" s="698"/>
      <c r="G45" s="698"/>
      <c r="H45" s="698"/>
      <c r="I45" s="698"/>
      <c r="J45" s="698"/>
      <c r="K45" s="698"/>
      <c r="L45" s="698"/>
      <c r="M45" s="698"/>
      <c r="N45" s="698"/>
      <c r="O45" s="235">
        <f t="shared" si="0"/>
        <v>0</v>
      </c>
      <c r="P45" s="698"/>
      <c r="Q45" s="698"/>
      <c r="R45" s="698"/>
      <c r="S45" s="698"/>
      <c r="T45" s="698"/>
      <c r="U45" s="698"/>
      <c r="V45" s="698"/>
      <c r="W45" s="698"/>
      <c r="X45" s="698"/>
      <c r="Y45" s="698"/>
      <c r="Z45" s="698"/>
      <c r="AA45" s="698"/>
      <c r="AB45" s="698"/>
      <c r="AC45" s="698"/>
      <c r="AD45" s="698"/>
      <c r="AE45" s="698"/>
      <c r="AF45" s="697">
        <f t="shared" si="1"/>
        <v>0</v>
      </c>
    </row>
    <row r="46" spans="1:33">
      <c r="A46" s="572" t="s">
        <v>1857</v>
      </c>
      <c r="B46" s="698"/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8"/>
      <c r="N46" s="698"/>
      <c r="O46" s="235">
        <f t="shared" si="0"/>
        <v>0</v>
      </c>
      <c r="P46" s="698"/>
      <c r="Q46" s="698"/>
      <c r="R46" s="698"/>
      <c r="S46" s="698"/>
      <c r="T46" s="698"/>
      <c r="U46" s="698"/>
      <c r="V46" s="698"/>
      <c r="W46" s="698"/>
      <c r="X46" s="698"/>
      <c r="Y46" s="698"/>
      <c r="Z46" s="698"/>
      <c r="AA46" s="698"/>
      <c r="AB46" s="698"/>
      <c r="AC46" s="698"/>
      <c r="AD46" s="698"/>
      <c r="AE46" s="698"/>
      <c r="AF46" s="697">
        <f t="shared" si="1"/>
        <v>0</v>
      </c>
    </row>
    <row r="47" spans="1:33">
      <c r="A47" s="572" t="s">
        <v>1858</v>
      </c>
      <c r="B47" s="696">
        <v>657.56421</v>
      </c>
      <c r="C47" s="696">
        <v>657.56421</v>
      </c>
      <c r="D47" s="696">
        <v>657.56421</v>
      </c>
      <c r="E47" s="696">
        <v>657.96670999999901</v>
      </c>
      <c r="F47" s="696">
        <v>657.96670999999901</v>
      </c>
      <c r="G47" s="696">
        <v>681.64847999999995</v>
      </c>
      <c r="H47" s="696">
        <v>681.64847999999995</v>
      </c>
      <c r="I47" s="696">
        <v>681.64847999999995</v>
      </c>
      <c r="J47" s="696">
        <v>681.64847999999995</v>
      </c>
      <c r="K47" s="696">
        <v>681.64847999999995</v>
      </c>
      <c r="L47" s="696">
        <v>681.64847999999995</v>
      </c>
      <c r="M47" s="696">
        <v>681.64847999999995</v>
      </c>
      <c r="N47" s="696">
        <v>681.64847999999995</v>
      </c>
      <c r="O47" s="235">
        <f t="shared" si="0"/>
        <v>672.44722230769207</v>
      </c>
      <c r="P47" s="696">
        <v>681.64847999999995</v>
      </c>
      <c r="Q47" s="696">
        <v>681.64847999999995</v>
      </c>
      <c r="R47" s="696">
        <v>681.64847999999995</v>
      </c>
      <c r="S47" s="696">
        <v>681.64847999999995</v>
      </c>
      <c r="T47" s="696">
        <v>681.64847999999995</v>
      </c>
      <c r="U47" s="696">
        <v>681.64847999999995</v>
      </c>
      <c r="V47" s="696">
        <v>681.64847999999995</v>
      </c>
      <c r="W47" s="696">
        <v>681.64847999999995</v>
      </c>
      <c r="X47" s="696">
        <v>681.64847999999995</v>
      </c>
      <c r="Y47" s="696">
        <v>681.64847999999995</v>
      </c>
      <c r="Z47" s="696">
        <v>681.64847999999995</v>
      </c>
      <c r="AA47" s="696">
        <v>681.64847999999995</v>
      </c>
      <c r="AB47" s="696">
        <v>681.64847999999995</v>
      </c>
      <c r="AC47" s="696">
        <v>681.64847999999995</v>
      </c>
      <c r="AD47" s="696">
        <v>681.64847999999995</v>
      </c>
      <c r="AE47" s="696">
        <v>681.64847999999995</v>
      </c>
      <c r="AF47" s="697">
        <f t="shared" si="1"/>
        <v>681.64847999999995</v>
      </c>
    </row>
    <row r="48" spans="1:33">
      <c r="A48" s="572" t="s">
        <v>1859</v>
      </c>
      <c r="B48" s="696">
        <v>657.56421</v>
      </c>
      <c r="C48" s="696">
        <v>657.56421</v>
      </c>
      <c r="D48" s="696">
        <v>657.56421</v>
      </c>
      <c r="E48" s="696">
        <v>657.96670999999901</v>
      </c>
      <c r="F48" s="696">
        <v>657.96670999999901</v>
      </c>
      <c r="G48" s="696">
        <v>681.64847999999995</v>
      </c>
      <c r="H48" s="696">
        <v>681.64847999999995</v>
      </c>
      <c r="I48" s="696">
        <v>681.64847999999995</v>
      </c>
      <c r="J48" s="696">
        <v>681.64847999999995</v>
      </c>
      <c r="K48" s="696">
        <v>681.64847999999995</v>
      </c>
      <c r="L48" s="696">
        <v>681.64847999999995</v>
      </c>
      <c r="M48" s="696">
        <v>681.64847999999995</v>
      </c>
      <c r="N48" s="696">
        <v>681.64847999999995</v>
      </c>
      <c r="O48" s="235">
        <f t="shared" si="0"/>
        <v>672.44722230769207</v>
      </c>
      <c r="P48" s="696">
        <v>681.64847999999995</v>
      </c>
      <c r="Q48" s="696">
        <v>681.64847999999995</v>
      </c>
      <c r="R48" s="696">
        <v>681.64847999999995</v>
      </c>
      <c r="S48" s="696">
        <v>681.64847999999995</v>
      </c>
      <c r="T48" s="696">
        <v>681.64847999999995</v>
      </c>
      <c r="U48" s="696">
        <v>681.64847999999995</v>
      </c>
      <c r="V48" s="696">
        <v>681.64847999999995</v>
      </c>
      <c r="W48" s="696">
        <v>681.64847999999995</v>
      </c>
      <c r="X48" s="696">
        <v>681.64847999999995</v>
      </c>
      <c r="Y48" s="696">
        <v>681.64847999999995</v>
      </c>
      <c r="Z48" s="696">
        <v>681.64847999999995</v>
      </c>
      <c r="AA48" s="696">
        <v>681.64847999999995</v>
      </c>
      <c r="AB48" s="696">
        <v>681.64847999999995</v>
      </c>
      <c r="AC48" s="696">
        <v>681.64847999999995</v>
      </c>
      <c r="AD48" s="696">
        <v>681.64847999999995</v>
      </c>
      <c r="AE48" s="696">
        <v>681.64847999999995</v>
      </c>
      <c r="AF48" s="697">
        <f t="shared" si="1"/>
        <v>681.64847999999995</v>
      </c>
    </row>
    <row r="49" spans="1:32">
      <c r="A49" s="572"/>
      <c r="B49" s="698"/>
      <c r="C49" s="698"/>
      <c r="D49" s="698"/>
      <c r="E49" s="698"/>
      <c r="F49" s="698"/>
      <c r="G49" s="698"/>
      <c r="H49" s="698"/>
      <c r="I49" s="698"/>
      <c r="J49" s="698"/>
      <c r="K49" s="698"/>
      <c r="L49" s="698"/>
      <c r="M49" s="698"/>
      <c r="N49" s="698"/>
      <c r="O49" s="235">
        <f t="shared" si="0"/>
        <v>0</v>
      </c>
      <c r="P49" s="698"/>
      <c r="Q49" s="698"/>
      <c r="R49" s="698"/>
      <c r="S49" s="698"/>
      <c r="T49" s="698"/>
      <c r="U49" s="698"/>
      <c r="V49" s="698"/>
      <c r="W49" s="698"/>
      <c r="X49" s="698"/>
      <c r="Y49" s="698"/>
      <c r="Z49" s="698"/>
      <c r="AA49" s="698"/>
      <c r="AB49" s="698"/>
      <c r="AC49" s="698"/>
      <c r="AD49" s="698"/>
      <c r="AE49" s="698"/>
      <c r="AF49" s="697">
        <f t="shared" si="1"/>
        <v>0</v>
      </c>
    </row>
    <row r="50" spans="1:32">
      <c r="A50" s="572" t="s">
        <v>1860</v>
      </c>
      <c r="B50" s="698"/>
      <c r="C50" s="698"/>
      <c r="D50" s="698"/>
      <c r="E50" s="698"/>
      <c r="F50" s="698"/>
      <c r="G50" s="698"/>
      <c r="H50" s="698"/>
      <c r="I50" s="698"/>
      <c r="J50" s="698"/>
      <c r="K50" s="698"/>
      <c r="L50" s="698"/>
      <c r="M50" s="698"/>
      <c r="N50" s="698"/>
      <c r="O50" s="235">
        <f t="shared" si="0"/>
        <v>0</v>
      </c>
      <c r="P50" s="698"/>
      <c r="Q50" s="698"/>
      <c r="R50" s="698"/>
      <c r="S50" s="698"/>
      <c r="T50" s="698"/>
      <c r="U50" s="698"/>
      <c r="V50" s="698"/>
      <c r="W50" s="698"/>
      <c r="X50" s="698"/>
      <c r="Y50" s="698"/>
      <c r="Z50" s="698"/>
      <c r="AA50" s="698"/>
      <c r="AB50" s="698"/>
      <c r="AC50" s="698"/>
      <c r="AD50" s="698"/>
      <c r="AE50" s="698"/>
      <c r="AF50" s="697">
        <f t="shared" si="1"/>
        <v>0</v>
      </c>
    </row>
    <row r="51" spans="1:32" ht="15.75" thickBot="1">
      <c r="A51" s="572" t="s">
        <v>2412</v>
      </c>
      <c r="B51" s="701">
        <v>30690.207859999999</v>
      </c>
      <c r="C51" s="701">
        <v>31690.207859999999</v>
      </c>
      <c r="D51" s="701">
        <v>30690.207859999999</v>
      </c>
      <c r="E51" s="701">
        <v>30690.207859999999</v>
      </c>
      <c r="F51" s="701">
        <v>28539.92786</v>
      </c>
      <c r="G51" s="701">
        <v>27539.92786</v>
      </c>
      <c r="H51" s="701">
        <v>28539.92786</v>
      </c>
      <c r="I51" s="701">
        <v>29273.061526666599</v>
      </c>
      <c r="J51" s="701">
        <v>30006.1951933333</v>
      </c>
      <c r="K51" s="701">
        <v>30739.328860000001</v>
      </c>
      <c r="L51" s="701">
        <v>31472.462526666601</v>
      </c>
      <c r="M51" s="701">
        <v>34198.2396933333</v>
      </c>
      <c r="N51" s="701">
        <v>34924.016860000003</v>
      </c>
      <c r="O51" s="235">
        <f t="shared" si="0"/>
        <v>30691.839975384602</v>
      </c>
      <c r="P51" s="701">
        <v>35649.794026666597</v>
      </c>
      <c r="Q51" s="701">
        <v>36375.5711933333</v>
      </c>
      <c r="R51" s="701">
        <v>37101.348360000004</v>
      </c>
      <c r="S51" s="701">
        <v>37827.125526666598</v>
      </c>
      <c r="T51" s="701">
        <v>38552.902693333301</v>
      </c>
      <c r="U51" s="701">
        <v>39278.679859999997</v>
      </c>
      <c r="V51" s="701">
        <v>40004.457026666598</v>
      </c>
      <c r="W51" s="701">
        <v>40730.234193333301</v>
      </c>
      <c r="X51" s="701">
        <v>41456.011359999997</v>
      </c>
      <c r="Y51" s="701">
        <v>42181.788526666598</v>
      </c>
      <c r="Z51" s="701">
        <v>43970.08511</v>
      </c>
      <c r="AA51" s="701">
        <v>44758.3816933333</v>
      </c>
      <c r="AB51" s="701">
        <v>45546.6782766666</v>
      </c>
      <c r="AC51" s="701">
        <v>46334.974860000002</v>
      </c>
      <c r="AD51" s="701">
        <v>47123.271443333302</v>
      </c>
      <c r="AE51" s="701">
        <v>47911.568026666602</v>
      </c>
      <c r="AF51" s="697">
        <f t="shared" si="1"/>
        <v>42744.319892051244</v>
      </c>
    </row>
    <row r="52" spans="1:32">
      <c r="A52" s="572" t="s">
        <v>2413</v>
      </c>
      <c r="B52" s="696">
        <v>30690.207859999999</v>
      </c>
      <c r="C52" s="696">
        <v>31690.207859999999</v>
      </c>
      <c r="D52" s="696">
        <v>30690.207859999999</v>
      </c>
      <c r="E52" s="696">
        <v>30690.207859999999</v>
      </c>
      <c r="F52" s="696">
        <v>28539.92786</v>
      </c>
      <c r="G52" s="696">
        <v>27539.92786</v>
      </c>
      <c r="H52" s="696">
        <v>28539.92786</v>
      </c>
      <c r="I52" s="696">
        <v>29273.061526666599</v>
      </c>
      <c r="J52" s="696">
        <v>30006.1951933333</v>
      </c>
      <c r="K52" s="696">
        <v>30739.328860000001</v>
      </c>
      <c r="L52" s="696">
        <v>31472.462526666601</v>
      </c>
      <c r="M52" s="696">
        <v>34198.2396933333</v>
      </c>
      <c r="N52" s="696">
        <v>34924.016860000003</v>
      </c>
      <c r="O52" s="235">
        <f t="shared" si="0"/>
        <v>30691.839975384602</v>
      </c>
      <c r="P52" s="696">
        <v>35649.794026666597</v>
      </c>
      <c r="Q52" s="696">
        <v>36375.5711933333</v>
      </c>
      <c r="R52" s="696">
        <v>37101.348360000004</v>
      </c>
      <c r="S52" s="696">
        <v>37827.125526666598</v>
      </c>
      <c r="T52" s="696">
        <v>38552.902693333301</v>
      </c>
      <c r="U52" s="696">
        <v>39278.679859999997</v>
      </c>
      <c r="V52" s="696">
        <v>40004.457026666598</v>
      </c>
      <c r="W52" s="696">
        <v>40730.234193333301</v>
      </c>
      <c r="X52" s="696">
        <v>41456.011359999997</v>
      </c>
      <c r="Y52" s="696">
        <v>42181.788526666598</v>
      </c>
      <c r="Z52" s="696">
        <v>43970.08511</v>
      </c>
      <c r="AA52" s="696">
        <v>44758.3816933333</v>
      </c>
      <c r="AB52" s="696">
        <v>45546.6782766666</v>
      </c>
      <c r="AC52" s="696">
        <v>46334.974860000002</v>
      </c>
      <c r="AD52" s="696">
        <v>47123.271443333302</v>
      </c>
      <c r="AE52" s="696">
        <v>47911.568026666602</v>
      </c>
      <c r="AF52" s="697">
        <f t="shared" si="1"/>
        <v>42744.319892051244</v>
      </c>
    </row>
    <row r="53" spans="1:32">
      <c r="A53" s="572"/>
      <c r="B53" s="698"/>
      <c r="C53" s="698"/>
      <c r="D53" s="698"/>
      <c r="E53" s="698"/>
      <c r="F53" s="698"/>
      <c r="G53" s="698"/>
      <c r="H53" s="698"/>
      <c r="I53" s="698"/>
      <c r="J53" s="698"/>
      <c r="K53" s="698"/>
      <c r="L53" s="698"/>
      <c r="M53" s="698"/>
      <c r="N53" s="698"/>
      <c r="O53" s="235">
        <f t="shared" si="0"/>
        <v>0</v>
      </c>
      <c r="P53" s="698"/>
      <c r="Q53" s="698"/>
      <c r="R53" s="698"/>
      <c r="S53" s="698"/>
      <c r="T53" s="698"/>
      <c r="U53" s="698"/>
      <c r="V53" s="698"/>
      <c r="W53" s="698"/>
      <c r="X53" s="698"/>
      <c r="Y53" s="698"/>
      <c r="Z53" s="698"/>
      <c r="AA53" s="698"/>
      <c r="AB53" s="698"/>
      <c r="AC53" s="698"/>
      <c r="AD53" s="698"/>
      <c r="AE53" s="698"/>
      <c r="AF53" s="697">
        <f t="shared" si="1"/>
        <v>0</v>
      </c>
    </row>
    <row r="54" spans="1:32" ht="15.75" thickBot="1">
      <c r="A54" s="702" t="s">
        <v>1861</v>
      </c>
      <c r="B54" s="703">
        <v>31597.772069999999</v>
      </c>
      <c r="C54" s="703">
        <v>32597.772069999999</v>
      </c>
      <c r="D54" s="703">
        <v>31597.772069999999</v>
      </c>
      <c r="E54" s="703">
        <v>31598.174569999999</v>
      </c>
      <c r="F54" s="703">
        <v>29447.89457</v>
      </c>
      <c r="G54" s="703">
        <v>28471.57634</v>
      </c>
      <c r="H54" s="703">
        <v>29471.57634</v>
      </c>
      <c r="I54" s="703">
        <v>30204.710006666599</v>
      </c>
      <c r="J54" s="703">
        <v>30937.8436733333</v>
      </c>
      <c r="K54" s="703">
        <v>31670.977340000001</v>
      </c>
      <c r="L54" s="703">
        <v>32404.111006666601</v>
      </c>
      <c r="M54" s="703">
        <v>35129.888173333296</v>
      </c>
      <c r="N54" s="703">
        <v>35855.66534</v>
      </c>
      <c r="O54" s="235">
        <f t="shared" si="0"/>
        <v>31614.287197692294</v>
      </c>
      <c r="P54" s="703">
        <v>36581.442506666601</v>
      </c>
      <c r="Q54" s="703">
        <v>37307.219673333297</v>
      </c>
      <c r="R54" s="703">
        <v>38032.99684</v>
      </c>
      <c r="S54" s="703">
        <v>38758.774006666601</v>
      </c>
      <c r="T54" s="703">
        <v>39484.551173333297</v>
      </c>
      <c r="U54" s="703">
        <v>40210.32834</v>
      </c>
      <c r="V54" s="703">
        <v>40936.105506666601</v>
      </c>
      <c r="W54" s="703">
        <v>41661.882673333297</v>
      </c>
      <c r="X54" s="703">
        <v>42387.65984</v>
      </c>
      <c r="Y54" s="703">
        <v>43113.437006666602</v>
      </c>
      <c r="Z54" s="703">
        <v>44901.733590000003</v>
      </c>
      <c r="AA54" s="703">
        <v>45690.030173333304</v>
      </c>
      <c r="AB54" s="703">
        <v>46478.326756666604</v>
      </c>
      <c r="AC54" s="703">
        <v>47266.623339999998</v>
      </c>
      <c r="AD54" s="703">
        <v>48054.919923333298</v>
      </c>
      <c r="AE54" s="703">
        <v>48843.216506666598</v>
      </c>
      <c r="AF54" s="697">
        <f t="shared" si="1"/>
        <v>43675.968372051248</v>
      </c>
    </row>
    <row r="55" spans="1:32">
      <c r="A55" s="572"/>
      <c r="O55" s="235">
        <f t="shared" si="0"/>
        <v>0</v>
      </c>
      <c r="AF55" s="697">
        <f t="shared" si="1"/>
        <v>0</v>
      </c>
    </row>
    <row r="56" spans="1:32">
      <c r="A56" s="702" t="s">
        <v>1440</v>
      </c>
      <c r="B56" s="698"/>
      <c r="C56" s="698"/>
      <c r="D56" s="698"/>
      <c r="E56" s="698"/>
      <c r="F56" s="698"/>
      <c r="G56" s="698"/>
      <c r="H56" s="698"/>
      <c r="I56" s="698"/>
      <c r="J56" s="698"/>
      <c r="K56" s="698"/>
      <c r="L56" s="698"/>
      <c r="M56" s="698"/>
      <c r="N56" s="698"/>
      <c r="O56" s="235">
        <f t="shared" si="0"/>
        <v>0</v>
      </c>
      <c r="P56" s="698"/>
      <c r="Q56" s="698"/>
      <c r="R56" s="698"/>
      <c r="S56" s="698"/>
      <c r="T56" s="698"/>
      <c r="U56" s="698"/>
      <c r="V56" s="698"/>
      <c r="W56" s="698"/>
      <c r="X56" s="698"/>
      <c r="Y56" s="698"/>
      <c r="Z56" s="698"/>
      <c r="AA56" s="698"/>
      <c r="AB56" s="698"/>
      <c r="AC56" s="698"/>
      <c r="AD56" s="698"/>
      <c r="AE56" s="698"/>
      <c r="AF56" s="697">
        <f t="shared" si="1"/>
        <v>0</v>
      </c>
    </row>
    <row r="57" spans="1:32">
      <c r="A57" s="572" t="s">
        <v>1862</v>
      </c>
      <c r="B57" s="698"/>
      <c r="C57" s="698"/>
      <c r="D57" s="698"/>
      <c r="E57" s="698"/>
      <c r="F57" s="698"/>
      <c r="G57" s="698"/>
      <c r="H57" s="698"/>
      <c r="I57" s="698"/>
      <c r="J57" s="698"/>
      <c r="K57" s="698"/>
      <c r="L57" s="698"/>
      <c r="M57" s="698"/>
      <c r="N57" s="698"/>
      <c r="O57" s="235">
        <f t="shared" si="0"/>
        <v>0</v>
      </c>
      <c r="P57" s="698"/>
      <c r="Q57" s="698"/>
      <c r="R57" s="698"/>
      <c r="S57" s="698"/>
      <c r="T57" s="698"/>
      <c r="U57" s="698"/>
      <c r="V57" s="698"/>
      <c r="W57" s="698"/>
      <c r="X57" s="698"/>
      <c r="Y57" s="698"/>
      <c r="Z57" s="698"/>
      <c r="AA57" s="698"/>
      <c r="AB57" s="698"/>
      <c r="AC57" s="698"/>
      <c r="AD57" s="698"/>
      <c r="AE57" s="698"/>
      <c r="AF57" s="697">
        <f t="shared" si="1"/>
        <v>0</v>
      </c>
    </row>
    <row r="58" spans="1:32">
      <c r="A58" s="572" t="s">
        <v>1863</v>
      </c>
      <c r="B58" s="696">
        <v>9839.8178199999893</v>
      </c>
      <c r="C58" s="696">
        <v>7163.0363600000001</v>
      </c>
      <c r="D58" s="696">
        <v>6692.4105900000004</v>
      </c>
      <c r="E58" s="696">
        <v>9393.0110499999992</v>
      </c>
      <c r="F58" s="696">
        <v>9189.0518499999998</v>
      </c>
      <c r="G58" s="696">
        <v>7498.2982399999901</v>
      </c>
      <c r="H58" s="696">
        <v>11551.74841</v>
      </c>
      <c r="I58" s="696">
        <v>5000</v>
      </c>
      <c r="J58" s="696">
        <v>5000</v>
      </c>
      <c r="K58" s="696">
        <v>5000</v>
      </c>
      <c r="L58" s="696">
        <v>5000</v>
      </c>
      <c r="M58" s="696">
        <v>5000</v>
      </c>
      <c r="N58" s="696">
        <v>5000</v>
      </c>
      <c r="O58" s="235">
        <f t="shared" si="0"/>
        <v>7025.1826399999982</v>
      </c>
      <c r="P58" s="696">
        <v>5000</v>
      </c>
      <c r="Q58" s="696">
        <v>5000</v>
      </c>
      <c r="R58" s="696">
        <v>5000</v>
      </c>
      <c r="S58" s="696">
        <v>5000</v>
      </c>
      <c r="T58" s="696">
        <v>5000</v>
      </c>
      <c r="U58" s="696">
        <v>5000</v>
      </c>
      <c r="V58" s="696">
        <v>5000</v>
      </c>
      <c r="W58" s="696">
        <v>5000</v>
      </c>
      <c r="X58" s="696">
        <v>5000</v>
      </c>
      <c r="Y58" s="696">
        <v>5000</v>
      </c>
      <c r="Z58" s="696">
        <v>5000</v>
      </c>
      <c r="AA58" s="696">
        <v>5000</v>
      </c>
      <c r="AB58" s="696">
        <v>5000</v>
      </c>
      <c r="AC58" s="696">
        <v>5000</v>
      </c>
      <c r="AD58" s="696">
        <v>5000</v>
      </c>
      <c r="AE58" s="696">
        <v>5000</v>
      </c>
      <c r="AF58" s="697">
        <f t="shared" si="1"/>
        <v>5000</v>
      </c>
    </row>
    <row r="59" spans="1:32" ht="15.75" thickBot="1">
      <c r="A59" s="572" t="s">
        <v>1867</v>
      </c>
      <c r="B59" s="701">
        <v>58.73</v>
      </c>
      <c r="C59" s="701">
        <v>58.73</v>
      </c>
      <c r="D59" s="701">
        <v>57.53</v>
      </c>
      <c r="E59" s="701">
        <v>57.53</v>
      </c>
      <c r="F59" s="701">
        <v>57.53</v>
      </c>
      <c r="G59" s="701">
        <v>57.53</v>
      </c>
      <c r="H59" s="701">
        <v>57.53</v>
      </c>
      <c r="I59" s="701">
        <v>57.53</v>
      </c>
      <c r="J59" s="701">
        <v>57.53</v>
      </c>
      <c r="K59" s="701">
        <v>57.53</v>
      </c>
      <c r="L59" s="701">
        <v>57.53</v>
      </c>
      <c r="M59" s="701">
        <v>57.53</v>
      </c>
      <c r="N59" s="701">
        <v>57.53</v>
      </c>
      <c r="O59" s="235">
        <f t="shared" si="0"/>
        <v>57.714615384615371</v>
      </c>
      <c r="P59" s="701">
        <v>57.53</v>
      </c>
      <c r="Q59" s="701">
        <v>57.53</v>
      </c>
      <c r="R59" s="701">
        <v>57.53</v>
      </c>
      <c r="S59" s="701">
        <v>57.53</v>
      </c>
      <c r="T59" s="701">
        <v>57.53</v>
      </c>
      <c r="U59" s="701">
        <v>57.53</v>
      </c>
      <c r="V59" s="701">
        <v>57.53</v>
      </c>
      <c r="W59" s="701">
        <v>57.53</v>
      </c>
      <c r="X59" s="701">
        <v>57.53</v>
      </c>
      <c r="Y59" s="701">
        <v>57.53</v>
      </c>
      <c r="Z59" s="701">
        <v>57.53</v>
      </c>
      <c r="AA59" s="701">
        <v>57.53</v>
      </c>
      <c r="AB59" s="701">
        <v>57.53</v>
      </c>
      <c r="AC59" s="701">
        <v>57.53</v>
      </c>
      <c r="AD59" s="701">
        <v>57.53</v>
      </c>
      <c r="AE59" s="701">
        <v>57.53</v>
      </c>
      <c r="AF59" s="697">
        <f t="shared" si="1"/>
        <v>57.52999999999998</v>
      </c>
    </row>
    <row r="60" spans="1:32">
      <c r="A60" s="572" t="s">
        <v>1862</v>
      </c>
      <c r="B60" s="696">
        <v>9898.5478199999907</v>
      </c>
      <c r="C60" s="696">
        <v>7221.7663599999996</v>
      </c>
      <c r="D60" s="696">
        <v>6749.9405900000002</v>
      </c>
      <c r="E60" s="696">
        <v>9450.5410499999998</v>
      </c>
      <c r="F60" s="696">
        <v>9246.5818500000005</v>
      </c>
      <c r="G60" s="696">
        <v>7555.8282399999898</v>
      </c>
      <c r="H60" s="696">
        <v>11609.278410000001</v>
      </c>
      <c r="I60" s="696">
        <v>5057.53</v>
      </c>
      <c r="J60" s="696">
        <v>5057.53</v>
      </c>
      <c r="K60" s="696">
        <v>5057.53</v>
      </c>
      <c r="L60" s="696">
        <v>5057.53</v>
      </c>
      <c r="M60" s="696">
        <v>5057.53</v>
      </c>
      <c r="N60" s="696">
        <v>5057.53</v>
      </c>
      <c r="O60" s="235">
        <f t="shared" si="0"/>
        <v>7082.8972553846143</v>
      </c>
      <c r="P60" s="696">
        <v>5057.53</v>
      </c>
      <c r="Q60" s="696">
        <v>5057.53</v>
      </c>
      <c r="R60" s="696">
        <v>5057.53</v>
      </c>
      <c r="S60" s="696">
        <v>5057.53</v>
      </c>
      <c r="T60" s="696">
        <v>5057.53</v>
      </c>
      <c r="U60" s="696">
        <v>5057.53</v>
      </c>
      <c r="V60" s="696">
        <v>5057.53</v>
      </c>
      <c r="W60" s="696">
        <v>5057.53</v>
      </c>
      <c r="X60" s="696">
        <v>5057.53</v>
      </c>
      <c r="Y60" s="696">
        <v>5057.53</v>
      </c>
      <c r="Z60" s="696">
        <v>5057.53</v>
      </c>
      <c r="AA60" s="696">
        <v>5057.53</v>
      </c>
      <c r="AB60" s="696">
        <v>5057.53</v>
      </c>
      <c r="AC60" s="696">
        <v>5057.53</v>
      </c>
      <c r="AD60" s="696">
        <v>5057.53</v>
      </c>
      <c r="AE60" s="696">
        <v>5057.53</v>
      </c>
      <c r="AF60" s="697">
        <f t="shared" si="1"/>
        <v>5057.53</v>
      </c>
    </row>
    <row r="61" spans="1:32">
      <c r="A61" s="572"/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235">
        <f t="shared" si="0"/>
        <v>0</v>
      </c>
      <c r="P61" s="698"/>
      <c r="Q61" s="698"/>
      <c r="R61" s="698"/>
      <c r="S61" s="698"/>
      <c r="T61" s="698"/>
      <c r="U61" s="698"/>
      <c r="V61" s="698"/>
      <c r="W61" s="698"/>
      <c r="X61" s="698"/>
      <c r="Y61" s="698"/>
      <c r="Z61" s="698"/>
      <c r="AA61" s="698"/>
      <c r="AB61" s="698"/>
      <c r="AC61" s="698"/>
      <c r="AD61" s="698"/>
      <c r="AE61" s="698"/>
      <c r="AF61" s="697">
        <f t="shared" si="1"/>
        <v>0</v>
      </c>
    </row>
    <row r="62" spans="1:32">
      <c r="A62" s="572" t="s">
        <v>1864</v>
      </c>
      <c r="B62" s="698"/>
      <c r="C62" s="698"/>
      <c r="D62" s="698"/>
      <c r="E62" s="698"/>
      <c r="F62" s="698"/>
      <c r="G62" s="698"/>
      <c r="H62" s="698"/>
      <c r="I62" s="698"/>
      <c r="J62" s="698"/>
      <c r="K62" s="698"/>
      <c r="L62" s="698"/>
      <c r="M62" s="698"/>
      <c r="N62" s="698"/>
      <c r="O62" s="235">
        <f t="shared" si="0"/>
        <v>0</v>
      </c>
      <c r="P62" s="698"/>
      <c r="Q62" s="698"/>
      <c r="R62" s="698"/>
      <c r="S62" s="698"/>
      <c r="T62" s="698"/>
      <c r="U62" s="698"/>
      <c r="V62" s="698"/>
      <c r="W62" s="698"/>
      <c r="X62" s="698"/>
      <c r="Y62" s="698"/>
      <c r="Z62" s="698"/>
      <c r="AA62" s="698"/>
      <c r="AB62" s="698"/>
      <c r="AC62" s="698"/>
      <c r="AD62" s="698"/>
      <c r="AE62" s="698"/>
      <c r="AF62" s="697">
        <f t="shared" si="1"/>
        <v>0</v>
      </c>
    </row>
    <row r="63" spans="1:32">
      <c r="A63" s="572" t="s">
        <v>1865</v>
      </c>
      <c r="B63" s="763">
        <v>87.105199999999996</v>
      </c>
      <c r="C63" s="763">
        <v>32465.738539999998</v>
      </c>
      <c r="D63" s="763">
        <v>19587.06336</v>
      </c>
      <c r="E63" s="763">
        <v>0</v>
      </c>
      <c r="F63" s="763">
        <v>135646.39006999999</v>
      </c>
      <c r="G63" s="763">
        <v>11959.776760000001</v>
      </c>
      <c r="H63" s="763">
        <v>537.06858</v>
      </c>
      <c r="I63" s="763">
        <v>4.0927261579781698E-12</v>
      </c>
      <c r="J63" s="763">
        <v>8.7538865045644294E-12</v>
      </c>
      <c r="K63" s="763">
        <v>8.6401996668428102E-12</v>
      </c>
      <c r="L63" s="763">
        <v>-5.4569682106375597E-12</v>
      </c>
      <c r="M63" s="763">
        <v>9.0949470177292808E-12</v>
      </c>
      <c r="N63" s="763">
        <v>-2.2311041902867101E-12</v>
      </c>
      <c r="O63" s="235">
        <f t="shared" si="0"/>
        <v>15406.395577692307</v>
      </c>
      <c r="P63" s="763">
        <v>1.33653088596474E-11</v>
      </c>
      <c r="Q63" s="763">
        <v>-2.5011104298755498E-12</v>
      </c>
      <c r="R63" s="763">
        <v>2.6443736089731799E-11</v>
      </c>
      <c r="S63" s="763">
        <v>6.13908923696726E-12</v>
      </c>
      <c r="T63" s="763">
        <v>2.2737367544323202E-12</v>
      </c>
      <c r="U63" s="763">
        <v>-2.6858515411731698E-12</v>
      </c>
      <c r="V63" s="763">
        <v>4.4053649617126203E-12</v>
      </c>
      <c r="W63" s="763">
        <v>6.3664629124104904E-12</v>
      </c>
      <c r="X63" s="763">
        <v>-6.2527760746888796E-13</v>
      </c>
      <c r="Y63" s="763">
        <v>-2.3590018827235302E-12</v>
      </c>
      <c r="Z63" s="763">
        <v>2.7284841053187799E-12</v>
      </c>
      <c r="AA63" s="763">
        <v>-6.7643668444361497E-12</v>
      </c>
      <c r="AB63" s="763">
        <v>2.1600499167107001E-12</v>
      </c>
      <c r="AC63" s="763">
        <v>-9.54969436861574E-12</v>
      </c>
      <c r="AD63" s="763">
        <v>-9.1233687271596799E-12</v>
      </c>
      <c r="AE63" s="763">
        <v>-1.0061285138362999E-11</v>
      </c>
      <c r="AF63" s="697">
        <f t="shared" si="1"/>
        <v>-1.3150506324913835E-12</v>
      </c>
    </row>
    <row r="64" spans="1:32" ht="15.75" thickBot="1">
      <c r="A64" s="572" t="s">
        <v>3680</v>
      </c>
      <c r="B64" s="701">
        <v>0</v>
      </c>
      <c r="C64" s="701">
        <v>0</v>
      </c>
      <c r="D64" s="701">
        <v>0</v>
      </c>
      <c r="E64" s="701">
        <v>0</v>
      </c>
      <c r="F64" s="701">
        <v>0</v>
      </c>
      <c r="G64" s="701">
        <v>504062.5</v>
      </c>
      <c r="H64" s="701">
        <v>0</v>
      </c>
      <c r="I64" s="701">
        <v>0</v>
      </c>
      <c r="J64" s="701">
        <v>0</v>
      </c>
      <c r="K64" s="701">
        <v>0</v>
      </c>
      <c r="L64" s="701">
        <v>0</v>
      </c>
      <c r="M64" s="701">
        <v>0</v>
      </c>
      <c r="N64" s="701">
        <v>0</v>
      </c>
      <c r="O64" s="235">
        <f t="shared" si="0"/>
        <v>38774.038461538461</v>
      </c>
      <c r="P64" s="701">
        <v>0</v>
      </c>
      <c r="Q64" s="701">
        <v>0</v>
      </c>
      <c r="R64" s="701">
        <v>0</v>
      </c>
      <c r="S64" s="701">
        <v>0</v>
      </c>
      <c r="T64" s="701">
        <v>0</v>
      </c>
      <c r="U64" s="701">
        <v>0</v>
      </c>
      <c r="V64" s="701">
        <v>0</v>
      </c>
      <c r="W64" s="701">
        <v>0</v>
      </c>
      <c r="X64" s="701">
        <v>0</v>
      </c>
      <c r="Y64" s="701">
        <v>0</v>
      </c>
      <c r="Z64" s="701">
        <v>0</v>
      </c>
      <c r="AA64" s="701">
        <v>0</v>
      </c>
      <c r="AB64" s="701">
        <v>0</v>
      </c>
      <c r="AC64" s="701">
        <v>0</v>
      </c>
      <c r="AD64" s="701">
        <v>0</v>
      </c>
      <c r="AE64" s="701">
        <v>0</v>
      </c>
      <c r="AF64" s="697">
        <f t="shared" si="1"/>
        <v>0</v>
      </c>
    </row>
    <row r="65" spans="1:32">
      <c r="A65" s="572" t="s">
        <v>1864</v>
      </c>
      <c r="B65" s="696">
        <v>87.105199999999996</v>
      </c>
      <c r="C65" s="696">
        <v>32465.738539999998</v>
      </c>
      <c r="D65" s="696">
        <v>19587.06336</v>
      </c>
      <c r="E65" s="696">
        <v>0</v>
      </c>
      <c r="F65" s="696">
        <v>135646.39006999999</v>
      </c>
      <c r="G65" s="696">
        <v>516022.27675999998</v>
      </c>
      <c r="H65" s="696">
        <v>537.06858</v>
      </c>
      <c r="I65" s="696">
        <v>4.0927261579781698E-12</v>
      </c>
      <c r="J65" s="696">
        <v>8.7538865045644294E-12</v>
      </c>
      <c r="K65" s="696">
        <v>8.6401996668428102E-12</v>
      </c>
      <c r="L65" s="696">
        <v>-5.4569682106375597E-12</v>
      </c>
      <c r="M65" s="696">
        <v>9.0949470177292808E-12</v>
      </c>
      <c r="N65" s="696">
        <v>-2.2311041902867101E-12</v>
      </c>
      <c r="O65" s="235">
        <f t="shared" si="0"/>
        <v>54180.434039230764</v>
      </c>
      <c r="P65" s="696">
        <v>1.33653088596474E-11</v>
      </c>
      <c r="Q65" s="696">
        <v>-2.5011104298755498E-12</v>
      </c>
      <c r="R65" s="696">
        <v>2.6443736089731799E-11</v>
      </c>
      <c r="S65" s="696">
        <v>6.13908923696726E-12</v>
      </c>
      <c r="T65" s="696">
        <v>2.2737367544323202E-12</v>
      </c>
      <c r="U65" s="696">
        <v>-2.6858515411731698E-12</v>
      </c>
      <c r="V65" s="696">
        <v>4.4053649617126203E-12</v>
      </c>
      <c r="W65" s="696">
        <v>6.3664629124104904E-12</v>
      </c>
      <c r="X65" s="696">
        <v>-6.2527760746888796E-13</v>
      </c>
      <c r="Y65" s="696">
        <v>-2.3590018827235302E-12</v>
      </c>
      <c r="Z65" s="696">
        <v>2.7284841053187799E-12</v>
      </c>
      <c r="AA65" s="696">
        <v>-6.7643668444361497E-12</v>
      </c>
      <c r="AB65" s="696">
        <v>2.1600499167107001E-12</v>
      </c>
      <c r="AC65" s="696">
        <v>-9.54969436861574E-12</v>
      </c>
      <c r="AD65" s="696">
        <v>-9.1233687271596799E-12</v>
      </c>
      <c r="AE65" s="696">
        <v>-1.0061285138362999E-11</v>
      </c>
      <c r="AF65" s="697">
        <f t="shared" si="1"/>
        <v>-1.3150506324913835E-12</v>
      </c>
    </row>
    <row r="66" spans="1:32">
      <c r="A66" s="572"/>
      <c r="B66" s="698"/>
      <c r="C66" s="698"/>
      <c r="D66" s="698"/>
      <c r="E66" s="698"/>
      <c r="F66" s="698"/>
      <c r="G66" s="698"/>
      <c r="H66" s="698"/>
      <c r="I66" s="698"/>
      <c r="J66" s="698"/>
      <c r="K66" s="698"/>
      <c r="L66" s="698"/>
      <c r="M66" s="698"/>
      <c r="N66" s="698"/>
      <c r="O66" s="235">
        <f t="shared" si="0"/>
        <v>0</v>
      </c>
      <c r="P66" s="698"/>
      <c r="Q66" s="698"/>
      <c r="R66" s="698"/>
      <c r="S66" s="698"/>
      <c r="T66" s="698"/>
      <c r="U66" s="698"/>
      <c r="V66" s="698"/>
      <c r="W66" s="698"/>
      <c r="X66" s="698"/>
      <c r="Y66" s="698"/>
      <c r="Z66" s="698"/>
      <c r="AA66" s="698"/>
      <c r="AB66" s="698"/>
      <c r="AC66" s="698"/>
      <c r="AD66" s="698"/>
      <c r="AE66" s="698"/>
      <c r="AF66" s="697">
        <f t="shared" si="1"/>
        <v>0</v>
      </c>
    </row>
    <row r="67" spans="1:32">
      <c r="A67" s="572" t="s">
        <v>1866</v>
      </c>
      <c r="B67" s="698"/>
      <c r="C67" s="698"/>
      <c r="D67" s="698"/>
      <c r="E67" s="698"/>
      <c r="F67" s="698"/>
      <c r="G67" s="698"/>
      <c r="H67" s="698"/>
      <c r="I67" s="698"/>
      <c r="J67" s="698"/>
      <c r="K67" s="698"/>
      <c r="L67" s="698"/>
      <c r="M67" s="698"/>
      <c r="N67" s="698"/>
      <c r="O67" s="235">
        <f t="shared" si="0"/>
        <v>0</v>
      </c>
      <c r="P67" s="698"/>
      <c r="Q67" s="698"/>
      <c r="R67" s="698"/>
      <c r="S67" s="698"/>
      <c r="T67" s="698"/>
      <c r="U67" s="698"/>
      <c r="V67" s="698"/>
      <c r="W67" s="698"/>
      <c r="X67" s="698"/>
      <c r="Y67" s="698"/>
      <c r="Z67" s="698"/>
      <c r="AA67" s="698"/>
      <c r="AB67" s="698"/>
      <c r="AC67" s="698"/>
      <c r="AD67" s="698"/>
      <c r="AE67" s="698"/>
      <c r="AF67" s="697">
        <f t="shared" si="1"/>
        <v>0</v>
      </c>
    </row>
    <row r="68" spans="1:32">
      <c r="A68" s="572" t="s">
        <v>3681</v>
      </c>
      <c r="B68" s="696">
        <v>7112.4031300000597</v>
      </c>
      <c r="C68" s="696">
        <v>6794.5765100001199</v>
      </c>
      <c r="D68" s="696">
        <v>7240.4894500002401</v>
      </c>
      <c r="E68" s="696">
        <v>8017.0260400000097</v>
      </c>
      <c r="F68" s="696">
        <v>5956.0572899999997</v>
      </c>
      <c r="G68" s="696">
        <v>7438.6211299999904</v>
      </c>
      <c r="H68" s="696">
        <v>8412.2325999999994</v>
      </c>
      <c r="I68" s="696">
        <v>7839.1546882046896</v>
      </c>
      <c r="J68" s="696">
        <v>7297.0956893892499</v>
      </c>
      <c r="K68" s="696">
        <v>8078.2649600948998</v>
      </c>
      <c r="L68" s="696">
        <v>8265.0411431957291</v>
      </c>
      <c r="M68" s="696">
        <v>8668.3600004130294</v>
      </c>
      <c r="N68" s="696">
        <v>8288.5155975930393</v>
      </c>
      <c r="O68" s="235">
        <f t="shared" si="0"/>
        <v>7646.7567868377728</v>
      </c>
      <c r="P68" s="696">
        <v>8577.4072584663809</v>
      </c>
      <c r="Q68" s="696">
        <v>7411.6187964124101</v>
      </c>
      <c r="R68" s="696">
        <v>8088.7428802432396</v>
      </c>
      <c r="S68" s="696">
        <v>9161.3677833850907</v>
      </c>
      <c r="T68" s="696">
        <v>9224.2984891389005</v>
      </c>
      <c r="U68" s="696">
        <v>9190.8353770011199</v>
      </c>
      <c r="V68" s="696">
        <v>8899.0916455105798</v>
      </c>
      <c r="W68" s="696">
        <v>8121.1444496424801</v>
      </c>
      <c r="X68" s="696">
        <v>7898.3062928213203</v>
      </c>
      <c r="Y68" s="696">
        <v>8144.8736655185203</v>
      </c>
      <c r="Z68" s="696">
        <v>8980.5371702198299</v>
      </c>
      <c r="AA68" s="696">
        <v>8560.0922837614307</v>
      </c>
      <c r="AB68" s="696">
        <v>8386.1042710686597</v>
      </c>
      <c r="AC68" s="696">
        <v>7706.0425958273199</v>
      </c>
      <c r="AD68" s="696">
        <v>8290.6942165024593</v>
      </c>
      <c r="AE68" s="696">
        <v>8916.1494482377693</v>
      </c>
      <c r="AF68" s="697">
        <f t="shared" si="1"/>
        <v>8575.349052971962</v>
      </c>
    </row>
    <row r="69" spans="1:32">
      <c r="A69" s="572" t="s">
        <v>3682</v>
      </c>
      <c r="B69" s="696">
        <v>133610.37993</v>
      </c>
      <c r="C69" s="696">
        <v>124591.67864</v>
      </c>
      <c r="D69" s="696">
        <v>113575.18889</v>
      </c>
      <c r="E69" s="696">
        <v>111438.67294999999</v>
      </c>
      <c r="F69" s="696">
        <v>120538.63694</v>
      </c>
      <c r="G69" s="696">
        <v>139985.46844999999</v>
      </c>
      <c r="H69" s="696">
        <v>139123.44597</v>
      </c>
      <c r="I69" s="696">
        <v>122547.984036611</v>
      </c>
      <c r="J69" s="696">
        <v>119242.60233934299</v>
      </c>
      <c r="K69" s="696">
        <v>113831.041252487</v>
      </c>
      <c r="L69" s="696">
        <v>127300.58764719901</v>
      </c>
      <c r="M69" s="696">
        <v>145941.72134157</v>
      </c>
      <c r="N69" s="696">
        <v>143014.36914567201</v>
      </c>
      <c r="O69" s="235">
        <f t="shared" si="0"/>
        <v>127287.82904099092</v>
      </c>
      <c r="P69" s="696">
        <v>137355.86629118401</v>
      </c>
      <c r="Q69" s="696">
        <v>122985.487220275</v>
      </c>
      <c r="R69" s="696">
        <v>114676.33801326599</v>
      </c>
      <c r="S69" s="696">
        <v>120649.467740936</v>
      </c>
      <c r="T69" s="696">
        <v>133411.16415626401</v>
      </c>
      <c r="U69" s="696">
        <v>132274.78326134401</v>
      </c>
      <c r="V69" s="696">
        <v>123078.49455184099</v>
      </c>
      <c r="W69" s="696">
        <v>121454.95064840501</v>
      </c>
      <c r="X69" s="696">
        <v>114355.84452158801</v>
      </c>
      <c r="Y69" s="696">
        <v>126838.279397434</v>
      </c>
      <c r="Z69" s="696">
        <v>143309.95162386401</v>
      </c>
      <c r="AA69" s="696">
        <v>141250.03727390099</v>
      </c>
      <c r="AB69" s="696">
        <v>136241.46979199699</v>
      </c>
      <c r="AC69" s="696">
        <v>124866.515985392</v>
      </c>
      <c r="AD69" s="696">
        <v>116905.00930957901</v>
      </c>
      <c r="AE69" s="696">
        <v>121453.687720207</v>
      </c>
      <c r="AF69" s="697">
        <f t="shared" si="1"/>
        <v>127391.51199867322</v>
      </c>
    </row>
    <row r="70" spans="1:32">
      <c r="A70" s="572" t="s">
        <v>1868</v>
      </c>
      <c r="B70" s="696">
        <v>20402.003580000001</v>
      </c>
      <c r="C70" s="696">
        <v>18777.611389999998</v>
      </c>
      <c r="D70" s="696">
        <v>15245.608839999901</v>
      </c>
      <c r="E70" s="696">
        <v>20477.791949999999</v>
      </c>
      <c r="F70" s="696">
        <v>25716.291270000002</v>
      </c>
      <c r="G70" s="696">
        <v>28959.174599999998</v>
      </c>
      <c r="H70" s="696">
        <v>26839.741849999999</v>
      </c>
      <c r="I70" s="696">
        <v>26839.741849999999</v>
      </c>
      <c r="J70" s="696">
        <v>26839.741849999999</v>
      </c>
      <c r="K70" s="696">
        <v>26839.741849999999</v>
      </c>
      <c r="L70" s="696">
        <v>26839.741849999999</v>
      </c>
      <c r="M70" s="696">
        <v>26839.741849999999</v>
      </c>
      <c r="N70" s="696">
        <v>26839.741849999999</v>
      </c>
      <c r="O70" s="235">
        <f t="shared" si="0"/>
        <v>24419.744198461529</v>
      </c>
      <c r="P70" s="696">
        <v>26839.741849999999</v>
      </c>
      <c r="Q70" s="696">
        <v>26839.741849999999</v>
      </c>
      <c r="R70" s="696">
        <v>26839.741849999999</v>
      </c>
      <c r="S70" s="696">
        <v>26839.741849999999</v>
      </c>
      <c r="T70" s="696">
        <v>26839.741849999999</v>
      </c>
      <c r="U70" s="696">
        <v>26839.741849999999</v>
      </c>
      <c r="V70" s="696">
        <v>26839.741849999999</v>
      </c>
      <c r="W70" s="696">
        <v>26839.741849999999</v>
      </c>
      <c r="X70" s="696">
        <v>26839.741849999999</v>
      </c>
      <c r="Y70" s="696">
        <v>26839.741849999999</v>
      </c>
      <c r="Z70" s="696">
        <v>26839.741849999999</v>
      </c>
      <c r="AA70" s="696">
        <v>26839.741849999999</v>
      </c>
      <c r="AB70" s="696">
        <v>26839.741849999999</v>
      </c>
      <c r="AC70" s="696">
        <v>26839.741849999999</v>
      </c>
      <c r="AD70" s="696">
        <v>26839.741849999999</v>
      </c>
      <c r="AE70" s="696">
        <v>26839.741849999999</v>
      </c>
      <c r="AF70" s="697">
        <f t="shared" si="1"/>
        <v>26839.741849999995</v>
      </c>
    </row>
    <row r="71" spans="1:32">
      <c r="A71" s="572" t="s">
        <v>1869</v>
      </c>
      <c r="B71" s="696">
        <v>2210.6067799999901</v>
      </c>
      <c r="C71" s="696">
        <v>927.70822999999996</v>
      </c>
      <c r="D71" s="696">
        <v>661.86681999999996</v>
      </c>
      <c r="E71" s="696">
        <v>895.20812999999998</v>
      </c>
      <c r="F71" s="696">
        <v>1324.6308200000001</v>
      </c>
      <c r="G71" s="696">
        <v>1146.22135</v>
      </c>
      <c r="H71" s="696">
        <v>1419.0222799999999</v>
      </c>
      <c r="I71" s="696">
        <v>1419.0222799999999</v>
      </c>
      <c r="J71" s="696">
        <v>1419.0222799999999</v>
      </c>
      <c r="K71" s="696">
        <v>1419.0222799999999</v>
      </c>
      <c r="L71" s="696">
        <v>1419.0222799999999</v>
      </c>
      <c r="M71" s="696">
        <v>1419.0222799999999</v>
      </c>
      <c r="N71" s="696">
        <v>1419.0222799999999</v>
      </c>
      <c r="O71" s="235">
        <f t="shared" si="0"/>
        <v>1315.3383146153838</v>
      </c>
      <c r="P71" s="696">
        <v>1419.0222799999999</v>
      </c>
      <c r="Q71" s="696">
        <v>1419.0222799999999</v>
      </c>
      <c r="R71" s="696">
        <v>1419.0222799999999</v>
      </c>
      <c r="S71" s="696">
        <v>1419.0222799999999</v>
      </c>
      <c r="T71" s="696">
        <v>1419.0222799999999</v>
      </c>
      <c r="U71" s="696">
        <v>1419.0222799999999</v>
      </c>
      <c r="V71" s="696">
        <v>1419.0222799999999</v>
      </c>
      <c r="W71" s="696">
        <v>1419.0222799999999</v>
      </c>
      <c r="X71" s="696">
        <v>1419.0222799999999</v>
      </c>
      <c r="Y71" s="696">
        <v>1419.0222799999999</v>
      </c>
      <c r="Z71" s="696">
        <v>1419.0222799999999</v>
      </c>
      <c r="AA71" s="696">
        <v>1419.0222799999999</v>
      </c>
      <c r="AB71" s="696">
        <v>1419.0222799999999</v>
      </c>
      <c r="AC71" s="696">
        <v>1419.0222799999999</v>
      </c>
      <c r="AD71" s="696">
        <v>1419.0222799999999</v>
      </c>
      <c r="AE71" s="696">
        <v>1419.0222799999999</v>
      </c>
      <c r="AF71" s="697">
        <f t="shared" si="1"/>
        <v>1419.0222799999997</v>
      </c>
    </row>
    <row r="72" spans="1:32">
      <c r="A72" s="572" t="s">
        <v>1870</v>
      </c>
      <c r="B72" s="696">
        <v>0</v>
      </c>
      <c r="C72" s="696">
        <v>0</v>
      </c>
      <c r="D72" s="696">
        <v>0</v>
      </c>
      <c r="E72" s="696">
        <v>0</v>
      </c>
      <c r="F72" s="696">
        <v>0</v>
      </c>
      <c r="G72" s="696">
        <v>0</v>
      </c>
      <c r="H72" s="696">
        <v>0</v>
      </c>
      <c r="I72" s="696">
        <v>0</v>
      </c>
      <c r="J72" s="696">
        <v>0</v>
      </c>
      <c r="K72" s="696">
        <v>0</v>
      </c>
      <c r="L72" s="696">
        <v>0</v>
      </c>
      <c r="M72" s="696">
        <v>0</v>
      </c>
      <c r="N72" s="696">
        <v>0</v>
      </c>
      <c r="O72" s="235">
        <f t="shared" si="0"/>
        <v>0</v>
      </c>
      <c r="P72" s="696">
        <v>0</v>
      </c>
      <c r="Q72" s="696">
        <v>0</v>
      </c>
      <c r="R72" s="696">
        <v>0</v>
      </c>
      <c r="S72" s="696">
        <v>0</v>
      </c>
      <c r="T72" s="696">
        <v>0</v>
      </c>
      <c r="U72" s="696">
        <v>0</v>
      </c>
      <c r="V72" s="696">
        <v>0</v>
      </c>
      <c r="W72" s="696">
        <v>0</v>
      </c>
      <c r="X72" s="696">
        <v>0</v>
      </c>
      <c r="Y72" s="696">
        <v>0</v>
      </c>
      <c r="Z72" s="696">
        <v>0</v>
      </c>
      <c r="AA72" s="696">
        <v>0</v>
      </c>
      <c r="AB72" s="696">
        <v>0</v>
      </c>
      <c r="AC72" s="696">
        <v>0</v>
      </c>
      <c r="AD72" s="696">
        <v>0</v>
      </c>
      <c r="AE72" s="696">
        <v>0</v>
      </c>
      <c r="AF72" s="697">
        <f t="shared" si="1"/>
        <v>0</v>
      </c>
    </row>
    <row r="73" spans="1:32">
      <c r="A73" s="572" t="s">
        <v>1871</v>
      </c>
      <c r="B73" s="696">
        <v>-868.64295999999899</v>
      </c>
      <c r="C73" s="696">
        <v>-795.27110000000005</v>
      </c>
      <c r="D73" s="696">
        <v>-779.33843000000002</v>
      </c>
      <c r="E73" s="696">
        <v>-758.27625999999998</v>
      </c>
      <c r="F73" s="696">
        <v>-602.22600999999997</v>
      </c>
      <c r="G73" s="696">
        <v>-713.57902999999999</v>
      </c>
      <c r="H73" s="696">
        <v>-709.33320999999899</v>
      </c>
      <c r="I73" s="696">
        <v>-709.33320999999899</v>
      </c>
      <c r="J73" s="696">
        <v>-709.33320999999899</v>
      </c>
      <c r="K73" s="696">
        <v>-709.33320999999899</v>
      </c>
      <c r="L73" s="696">
        <v>-709.33320999999899</v>
      </c>
      <c r="M73" s="696">
        <v>-709.33320999999899</v>
      </c>
      <c r="N73" s="696">
        <v>-709.33320999999899</v>
      </c>
      <c r="O73" s="235">
        <f t="shared" si="0"/>
        <v>-729.4358661538455</v>
      </c>
      <c r="P73" s="696">
        <v>-709.33320999999899</v>
      </c>
      <c r="Q73" s="696">
        <v>-709.33320999999899</v>
      </c>
      <c r="R73" s="696">
        <v>-709.33320999999899</v>
      </c>
      <c r="S73" s="696">
        <v>-709.33320999999899</v>
      </c>
      <c r="T73" s="696">
        <v>-709.33320999999899</v>
      </c>
      <c r="U73" s="696">
        <v>-709.33320999999899</v>
      </c>
      <c r="V73" s="696">
        <v>-709.33320999999899</v>
      </c>
      <c r="W73" s="696">
        <v>-709.33320999999899</v>
      </c>
      <c r="X73" s="696">
        <v>-709.33320999999899</v>
      </c>
      <c r="Y73" s="696">
        <v>-709.33320999999899</v>
      </c>
      <c r="Z73" s="696">
        <v>-709.33320999999899</v>
      </c>
      <c r="AA73" s="696">
        <v>-709.33320999999899</v>
      </c>
      <c r="AB73" s="696">
        <v>-709.33320999999899</v>
      </c>
      <c r="AC73" s="696">
        <v>-709.33320999999899</v>
      </c>
      <c r="AD73" s="696">
        <v>-709.33320999999899</v>
      </c>
      <c r="AE73" s="696">
        <v>-709.33320999999899</v>
      </c>
      <c r="AF73" s="697">
        <f t="shared" si="1"/>
        <v>-709.33320999999899</v>
      </c>
    </row>
    <row r="74" spans="1:32">
      <c r="A74" s="572" t="s">
        <v>1872</v>
      </c>
      <c r="B74" s="696">
        <v>-115.39442</v>
      </c>
      <c r="C74" s="696">
        <v>-102.48191</v>
      </c>
      <c r="D74" s="696">
        <v>-102.48191</v>
      </c>
      <c r="E74" s="696">
        <v>-102.48191</v>
      </c>
      <c r="F74" s="696">
        <v>-55.776389999999999</v>
      </c>
      <c r="G74" s="696">
        <v>-55.776389999999999</v>
      </c>
      <c r="H74" s="696">
        <v>-55.776389999999999</v>
      </c>
      <c r="I74" s="696">
        <v>-55.776389999999999</v>
      </c>
      <c r="J74" s="696">
        <v>-55.776389999999999</v>
      </c>
      <c r="K74" s="696">
        <v>-55.776389999999999</v>
      </c>
      <c r="L74" s="696">
        <v>-55.776389999999999</v>
      </c>
      <c r="M74" s="696">
        <v>-55.776389999999999</v>
      </c>
      <c r="N74" s="696">
        <v>-55.776389999999999</v>
      </c>
      <c r="O74" s="235">
        <f t="shared" si="0"/>
        <v>-71.140589230769223</v>
      </c>
      <c r="P74" s="696">
        <v>-55.776389999999999</v>
      </c>
      <c r="Q74" s="696">
        <v>-55.776389999999999</v>
      </c>
      <c r="R74" s="696">
        <v>-55.776389999999999</v>
      </c>
      <c r="S74" s="696">
        <v>-55.776389999999999</v>
      </c>
      <c r="T74" s="696">
        <v>-55.776389999999999</v>
      </c>
      <c r="U74" s="696">
        <v>-55.776389999999999</v>
      </c>
      <c r="V74" s="696">
        <v>-55.776389999999999</v>
      </c>
      <c r="W74" s="696">
        <v>-55.776389999999999</v>
      </c>
      <c r="X74" s="696">
        <v>-55.776389999999999</v>
      </c>
      <c r="Y74" s="696">
        <v>-55.776389999999999</v>
      </c>
      <c r="Z74" s="696">
        <v>-55.776389999999999</v>
      </c>
      <c r="AA74" s="696">
        <v>-55.776389999999999</v>
      </c>
      <c r="AB74" s="696">
        <v>-55.776389999999999</v>
      </c>
      <c r="AC74" s="696">
        <v>-55.776389999999999</v>
      </c>
      <c r="AD74" s="696">
        <v>-55.776389999999999</v>
      </c>
      <c r="AE74" s="696">
        <v>-55.776389999999999</v>
      </c>
      <c r="AF74" s="697">
        <f t="shared" si="1"/>
        <v>-55.776389999999999</v>
      </c>
    </row>
    <row r="75" spans="1:32">
      <c r="A75" s="572" t="s">
        <v>1873</v>
      </c>
      <c r="B75" s="696">
        <v>0</v>
      </c>
      <c r="C75" s="696">
        <v>0</v>
      </c>
      <c r="D75" s="696">
        <v>0</v>
      </c>
      <c r="E75" s="696">
        <v>0</v>
      </c>
      <c r="F75" s="696">
        <v>0</v>
      </c>
      <c r="G75" s="696">
        <v>0</v>
      </c>
      <c r="H75" s="696">
        <v>9.8259500000000006</v>
      </c>
      <c r="I75" s="696">
        <v>9.8259500000000006</v>
      </c>
      <c r="J75" s="696">
        <v>9.8259500000000006</v>
      </c>
      <c r="K75" s="696">
        <v>9.8259500000000006</v>
      </c>
      <c r="L75" s="696">
        <v>9.8259500000000006</v>
      </c>
      <c r="M75" s="696">
        <v>9.8259500000000006</v>
      </c>
      <c r="N75" s="696">
        <v>9.8259500000000006</v>
      </c>
      <c r="O75" s="235">
        <f t="shared" ref="O75:O138" si="2">SUM(B75:N75)/13</f>
        <v>5.2908961538461536</v>
      </c>
      <c r="P75" s="696">
        <v>9.8259500000000006</v>
      </c>
      <c r="Q75" s="696">
        <v>9.8259500000000006</v>
      </c>
      <c r="R75" s="696">
        <v>9.8259500000000006</v>
      </c>
      <c r="S75" s="696">
        <v>9.8259500000000006</v>
      </c>
      <c r="T75" s="696">
        <v>9.8259500000000006</v>
      </c>
      <c r="U75" s="696">
        <v>9.8259500000000006</v>
      </c>
      <c r="V75" s="696">
        <v>9.8259500000000006</v>
      </c>
      <c r="W75" s="696">
        <v>9.8259500000000006</v>
      </c>
      <c r="X75" s="696">
        <v>9.8259500000000006</v>
      </c>
      <c r="Y75" s="696">
        <v>9.8259500000000006</v>
      </c>
      <c r="Z75" s="696">
        <v>9.8259500000000006</v>
      </c>
      <c r="AA75" s="696">
        <v>9.8259500000000006</v>
      </c>
      <c r="AB75" s="696">
        <v>9.8259500000000006</v>
      </c>
      <c r="AC75" s="696">
        <v>9.8259500000000006</v>
      </c>
      <c r="AD75" s="696">
        <v>9.8259500000000006</v>
      </c>
      <c r="AE75" s="696">
        <v>9.8259500000000006</v>
      </c>
      <c r="AF75" s="697">
        <f t="shared" ref="AF75:AF138" si="3">SUM(S75:AE75)/13</f>
        <v>9.8259500000000024</v>
      </c>
    </row>
    <row r="76" spans="1:32">
      <c r="A76" s="572" t="s">
        <v>1874</v>
      </c>
      <c r="B76" s="696">
        <v>1592.67623</v>
      </c>
      <c r="C76" s="696">
        <v>2328.5443700000001</v>
      </c>
      <c r="D76" s="696">
        <v>1473.0949499999999</v>
      </c>
      <c r="E76" s="696">
        <v>1166.3941399999901</v>
      </c>
      <c r="F76" s="696">
        <v>1138.2224100000001</v>
      </c>
      <c r="G76" s="696">
        <v>1263.9343799999999</v>
      </c>
      <c r="H76" s="696">
        <v>1359.6474800000001</v>
      </c>
      <c r="I76" s="696">
        <v>1359.6474800000001</v>
      </c>
      <c r="J76" s="696">
        <v>1359.6474800000001</v>
      </c>
      <c r="K76" s="696">
        <v>1359.6474800000001</v>
      </c>
      <c r="L76" s="696">
        <v>1359.6474800000001</v>
      </c>
      <c r="M76" s="696">
        <v>1359.6474800000001</v>
      </c>
      <c r="N76" s="696">
        <v>1359.6474800000001</v>
      </c>
      <c r="O76" s="235">
        <f t="shared" si="2"/>
        <v>1421.5691415384608</v>
      </c>
      <c r="P76" s="696">
        <v>1359.6474800000001</v>
      </c>
      <c r="Q76" s="696">
        <v>1359.6474800000001</v>
      </c>
      <c r="R76" s="696">
        <v>1359.6474800000001</v>
      </c>
      <c r="S76" s="696">
        <v>1359.6474800000001</v>
      </c>
      <c r="T76" s="696">
        <v>1359.6474800000001</v>
      </c>
      <c r="U76" s="696">
        <v>1359.6474800000001</v>
      </c>
      <c r="V76" s="696">
        <v>1359.6474800000001</v>
      </c>
      <c r="W76" s="696">
        <v>1359.6474800000001</v>
      </c>
      <c r="X76" s="696">
        <v>1359.6474800000001</v>
      </c>
      <c r="Y76" s="696">
        <v>1359.6474800000001</v>
      </c>
      <c r="Z76" s="696">
        <v>1359.6474800000001</v>
      </c>
      <c r="AA76" s="696">
        <v>1359.6474800000001</v>
      </c>
      <c r="AB76" s="696">
        <v>1359.6474800000001</v>
      </c>
      <c r="AC76" s="696">
        <v>1359.6474800000001</v>
      </c>
      <c r="AD76" s="696">
        <v>1359.6474800000001</v>
      </c>
      <c r="AE76" s="696">
        <v>1359.6474800000001</v>
      </c>
      <c r="AF76" s="697">
        <f t="shared" si="3"/>
        <v>1359.6474799999999</v>
      </c>
    </row>
    <row r="77" spans="1:32" ht="15.75" thickBot="1">
      <c r="A77" s="572" t="s">
        <v>1875</v>
      </c>
      <c r="B77" s="701">
        <v>83498.458780000001</v>
      </c>
      <c r="C77" s="701">
        <v>71888.760689999894</v>
      </c>
      <c r="D77" s="701">
        <v>63894.632590000001</v>
      </c>
      <c r="E77" s="701">
        <v>73690.105589999905</v>
      </c>
      <c r="F77" s="701">
        <v>80675.647589999993</v>
      </c>
      <c r="G77" s="701">
        <v>89363.326830000005</v>
      </c>
      <c r="H77" s="701">
        <v>89144.092569999993</v>
      </c>
      <c r="I77" s="701">
        <v>81447.982187181595</v>
      </c>
      <c r="J77" s="701">
        <v>72692.805998591997</v>
      </c>
      <c r="K77" s="701">
        <v>81715.007758683205</v>
      </c>
      <c r="L77" s="701">
        <v>91994.961564814294</v>
      </c>
      <c r="M77" s="701">
        <v>93925.167552229803</v>
      </c>
      <c r="N77" s="701">
        <v>86711.727230500604</v>
      </c>
      <c r="O77" s="235">
        <f t="shared" si="2"/>
        <v>81587.898225538564</v>
      </c>
      <c r="P77" s="701">
        <v>78710.544646786395</v>
      </c>
      <c r="Q77" s="701">
        <v>70431.134329242603</v>
      </c>
      <c r="R77" s="701">
        <v>77209.430250953796</v>
      </c>
      <c r="S77" s="701">
        <v>81876.315065973395</v>
      </c>
      <c r="T77" s="701">
        <v>84651.244066117695</v>
      </c>
      <c r="U77" s="701">
        <v>90838.434482007404</v>
      </c>
      <c r="V77" s="701">
        <v>84741.986478381601</v>
      </c>
      <c r="W77" s="701">
        <v>75685.274651194602</v>
      </c>
      <c r="X77" s="701">
        <v>85527.147557415898</v>
      </c>
      <c r="Y77" s="701">
        <v>92324.496953480295</v>
      </c>
      <c r="Z77" s="701">
        <v>94640.441658361393</v>
      </c>
      <c r="AA77" s="701">
        <v>87669.206100492505</v>
      </c>
      <c r="AB77" s="701">
        <v>80031.308648125996</v>
      </c>
      <c r="AC77" s="701">
        <v>71005.578807290105</v>
      </c>
      <c r="AD77" s="701">
        <v>77463.672750168203</v>
      </c>
      <c r="AE77" s="701">
        <v>82157.344571314607</v>
      </c>
      <c r="AF77" s="697">
        <f t="shared" si="3"/>
        <v>83739.419368486415</v>
      </c>
    </row>
    <row r="78" spans="1:32">
      <c r="A78" s="572" t="s">
        <v>1866</v>
      </c>
      <c r="B78" s="696">
        <v>247442.49105000001</v>
      </c>
      <c r="C78" s="696">
        <v>224411.12682</v>
      </c>
      <c r="D78" s="696">
        <v>201209.0612</v>
      </c>
      <c r="E78" s="696">
        <v>214824.44062999901</v>
      </c>
      <c r="F78" s="696">
        <v>234691.48391999901</v>
      </c>
      <c r="G78" s="696">
        <v>267387.39131999901</v>
      </c>
      <c r="H78" s="696">
        <v>265542.89909999998</v>
      </c>
      <c r="I78" s="696">
        <v>240698.248871997</v>
      </c>
      <c r="J78" s="696">
        <v>228095.63198732401</v>
      </c>
      <c r="K78" s="696">
        <v>232487.44193126599</v>
      </c>
      <c r="L78" s="696">
        <v>256423.718315209</v>
      </c>
      <c r="M78" s="696">
        <v>277398.37685421301</v>
      </c>
      <c r="N78" s="696">
        <v>266877.73993376503</v>
      </c>
      <c r="O78" s="235">
        <f t="shared" si="2"/>
        <v>242883.8501487516</v>
      </c>
      <c r="P78" s="696">
        <v>253506.94615643701</v>
      </c>
      <c r="Q78" s="696">
        <v>229691.36830592999</v>
      </c>
      <c r="R78" s="696">
        <v>228837.63910446301</v>
      </c>
      <c r="S78" s="696">
        <v>240550.278550294</v>
      </c>
      <c r="T78" s="696">
        <v>256149.83467152101</v>
      </c>
      <c r="U78" s="696">
        <v>261167.18108035301</v>
      </c>
      <c r="V78" s="696">
        <v>245582.700635733</v>
      </c>
      <c r="W78" s="696">
        <v>234124.49770924199</v>
      </c>
      <c r="X78" s="696">
        <v>236644.426331825</v>
      </c>
      <c r="Y78" s="696">
        <v>256170.777976432</v>
      </c>
      <c r="Z78" s="696">
        <v>275794.05841244501</v>
      </c>
      <c r="AA78" s="696">
        <v>266342.46361815499</v>
      </c>
      <c r="AB78" s="696">
        <v>253522.01067119199</v>
      </c>
      <c r="AC78" s="696">
        <v>232441.26534850901</v>
      </c>
      <c r="AD78" s="696">
        <v>231522.50423624899</v>
      </c>
      <c r="AE78" s="696">
        <v>241390.309699759</v>
      </c>
      <c r="AF78" s="697">
        <f t="shared" si="3"/>
        <v>248569.40838013141</v>
      </c>
    </row>
    <row r="79" spans="1:32">
      <c r="A79" s="572"/>
      <c r="B79" s="698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698"/>
      <c r="O79" s="235">
        <f t="shared" si="2"/>
        <v>0</v>
      </c>
      <c r="P79" s="698"/>
      <c r="Q79" s="698"/>
      <c r="R79" s="698"/>
      <c r="S79" s="698"/>
      <c r="T79" s="698"/>
      <c r="U79" s="698"/>
      <c r="V79" s="698"/>
      <c r="W79" s="698"/>
      <c r="X79" s="698"/>
      <c r="Y79" s="698"/>
      <c r="Z79" s="698"/>
      <c r="AA79" s="698"/>
      <c r="AB79" s="698"/>
      <c r="AC79" s="698"/>
      <c r="AD79" s="698"/>
      <c r="AE79" s="698"/>
      <c r="AF79" s="697">
        <f t="shared" si="3"/>
        <v>0</v>
      </c>
    </row>
    <row r="80" spans="1:32">
      <c r="A80" s="572" t="s">
        <v>3683</v>
      </c>
      <c r="B80" s="698"/>
      <c r="C80" s="698"/>
      <c r="D80" s="698"/>
      <c r="E80" s="698"/>
      <c r="F80" s="698"/>
      <c r="G80" s="698"/>
      <c r="H80" s="698"/>
      <c r="I80" s="698"/>
      <c r="J80" s="698"/>
      <c r="K80" s="698"/>
      <c r="L80" s="698"/>
      <c r="M80" s="698"/>
      <c r="N80" s="698"/>
      <c r="O80" s="235">
        <f t="shared" si="2"/>
        <v>0</v>
      </c>
      <c r="P80" s="698"/>
      <c r="Q80" s="698"/>
      <c r="R80" s="698"/>
      <c r="S80" s="698"/>
      <c r="T80" s="698"/>
      <c r="U80" s="698"/>
      <c r="V80" s="698"/>
      <c r="W80" s="698"/>
      <c r="X80" s="698"/>
      <c r="Y80" s="698"/>
      <c r="Z80" s="698"/>
      <c r="AA80" s="698"/>
      <c r="AB80" s="698"/>
      <c r="AC80" s="698"/>
      <c r="AD80" s="698"/>
      <c r="AE80" s="698"/>
      <c r="AF80" s="697">
        <f t="shared" si="3"/>
        <v>0</v>
      </c>
    </row>
    <row r="81" spans="1:32">
      <c r="A81" s="572" t="s">
        <v>3684</v>
      </c>
      <c r="B81" s="698">
        <v>0</v>
      </c>
      <c r="C81" s="698">
        <v>0</v>
      </c>
      <c r="D81" s="698">
        <v>778.6</v>
      </c>
      <c r="E81" s="698">
        <v>778.6</v>
      </c>
      <c r="F81" s="698">
        <v>778.6</v>
      </c>
      <c r="G81" s="698">
        <v>785.62</v>
      </c>
      <c r="H81" s="698">
        <v>785.62</v>
      </c>
      <c r="I81" s="698">
        <v>1426.7634177760499</v>
      </c>
      <c r="J81" s="698">
        <v>785.62</v>
      </c>
      <c r="K81" s="698">
        <v>785.62</v>
      </c>
      <c r="L81" s="698">
        <v>1426.7634177760499</v>
      </c>
      <c r="M81" s="698">
        <v>785.62</v>
      </c>
      <c r="N81" s="698">
        <v>785.62</v>
      </c>
      <c r="O81" s="235">
        <f t="shared" si="2"/>
        <v>761.77283350400774</v>
      </c>
      <c r="P81" s="698">
        <v>1455.3424296728599</v>
      </c>
      <c r="Q81" s="698">
        <v>785.62</v>
      </c>
      <c r="R81" s="698">
        <v>785.62</v>
      </c>
      <c r="S81" s="698">
        <v>1455.3424296728599</v>
      </c>
      <c r="T81" s="698">
        <v>785.62</v>
      </c>
      <c r="U81" s="698">
        <v>785.62</v>
      </c>
      <c r="V81" s="698">
        <v>1455.3424296728599</v>
      </c>
      <c r="W81" s="698">
        <v>785.62</v>
      </c>
      <c r="X81" s="698">
        <v>785.62</v>
      </c>
      <c r="Y81" s="698">
        <v>1455.3424296728599</v>
      </c>
      <c r="Z81" s="698">
        <v>785.62</v>
      </c>
      <c r="AA81" s="698">
        <v>785.62</v>
      </c>
      <c r="AB81" s="698">
        <v>1481.2252547569899</v>
      </c>
      <c r="AC81" s="698">
        <v>785.61999999999898</v>
      </c>
      <c r="AD81" s="698">
        <v>785.61999999999898</v>
      </c>
      <c r="AE81" s="698">
        <v>1481.2252547569899</v>
      </c>
      <c r="AF81" s="697">
        <f t="shared" si="3"/>
        <v>1047.187522964043</v>
      </c>
    </row>
    <row r="82" spans="1:32">
      <c r="A82" s="572" t="s">
        <v>3683</v>
      </c>
      <c r="B82" s="698">
        <v>0</v>
      </c>
      <c r="C82" s="698">
        <v>0</v>
      </c>
      <c r="D82" s="698">
        <v>778.6</v>
      </c>
      <c r="E82" s="698">
        <v>778.6</v>
      </c>
      <c r="F82" s="698">
        <v>778.6</v>
      </c>
      <c r="G82" s="698">
        <v>785.62</v>
      </c>
      <c r="H82" s="698">
        <v>785.62</v>
      </c>
      <c r="I82" s="698">
        <v>1426.7634177760499</v>
      </c>
      <c r="J82" s="698">
        <v>785.62</v>
      </c>
      <c r="K82" s="698">
        <v>785.62</v>
      </c>
      <c r="L82" s="698">
        <v>1426.7634177760499</v>
      </c>
      <c r="M82" s="698">
        <v>785.62</v>
      </c>
      <c r="N82" s="698">
        <v>785.62</v>
      </c>
      <c r="O82" s="235">
        <f t="shared" si="2"/>
        <v>761.77283350400774</v>
      </c>
      <c r="P82" s="698">
        <v>1455.3424296728599</v>
      </c>
      <c r="Q82" s="698">
        <v>785.62</v>
      </c>
      <c r="R82" s="698">
        <v>785.62</v>
      </c>
      <c r="S82" s="698">
        <v>1455.3424296728599</v>
      </c>
      <c r="T82" s="698">
        <v>785.62</v>
      </c>
      <c r="U82" s="698">
        <v>785.62</v>
      </c>
      <c r="V82" s="698">
        <v>1455.3424296728599</v>
      </c>
      <c r="W82" s="698">
        <v>785.62</v>
      </c>
      <c r="X82" s="698">
        <v>785.62</v>
      </c>
      <c r="Y82" s="698">
        <v>1455.3424296728599</v>
      </c>
      <c r="Z82" s="698">
        <v>785.62</v>
      </c>
      <c r="AA82" s="698">
        <v>785.62</v>
      </c>
      <c r="AB82" s="698">
        <v>1481.2252547569899</v>
      </c>
      <c r="AC82" s="698">
        <v>785.61999999999898</v>
      </c>
      <c r="AD82" s="698">
        <v>785.61999999999898</v>
      </c>
      <c r="AE82" s="698">
        <v>1481.2252547569899</v>
      </c>
      <c r="AF82" s="697">
        <f t="shared" si="3"/>
        <v>1047.187522964043</v>
      </c>
    </row>
    <row r="83" spans="1:32">
      <c r="A83" s="572" t="s">
        <v>1876</v>
      </c>
      <c r="B83" s="698"/>
      <c r="C83" s="698"/>
      <c r="D83" s="698"/>
      <c r="E83" s="698"/>
      <c r="F83" s="698"/>
      <c r="G83" s="698"/>
      <c r="H83" s="698"/>
      <c r="I83" s="698"/>
      <c r="J83" s="698"/>
      <c r="K83" s="698"/>
      <c r="L83" s="698"/>
      <c r="M83" s="698"/>
      <c r="N83" s="698"/>
      <c r="O83" s="235">
        <f t="shared" si="2"/>
        <v>0</v>
      </c>
      <c r="P83" s="698"/>
      <c r="Q83" s="698"/>
      <c r="R83" s="698"/>
      <c r="S83" s="698"/>
      <c r="T83" s="698"/>
      <c r="U83" s="698"/>
      <c r="V83" s="698"/>
      <c r="W83" s="698"/>
      <c r="X83" s="698"/>
      <c r="Y83" s="698"/>
      <c r="Z83" s="698"/>
      <c r="AA83" s="698"/>
      <c r="AB83" s="698"/>
      <c r="AC83" s="698"/>
      <c r="AD83" s="698"/>
      <c r="AE83" s="698"/>
      <c r="AF83" s="697">
        <f t="shared" si="3"/>
        <v>0</v>
      </c>
    </row>
    <row r="84" spans="1:32">
      <c r="A84" s="572" t="s">
        <v>2205</v>
      </c>
      <c r="B84" s="696">
        <v>0</v>
      </c>
      <c r="C84" s="696">
        <v>20565</v>
      </c>
      <c r="D84" s="696">
        <v>0</v>
      </c>
      <c r="E84" s="696">
        <v>0</v>
      </c>
      <c r="F84" s="696">
        <v>190137</v>
      </c>
      <c r="G84" s="696">
        <v>0</v>
      </c>
      <c r="H84" s="696">
        <v>0</v>
      </c>
      <c r="I84" s="696">
        <v>0</v>
      </c>
      <c r="J84" s="696">
        <v>0</v>
      </c>
      <c r="K84" s="696">
        <v>0</v>
      </c>
      <c r="L84" s="696">
        <v>0</v>
      </c>
      <c r="M84" s="696">
        <v>0</v>
      </c>
      <c r="N84" s="696">
        <v>0</v>
      </c>
      <c r="O84" s="235">
        <f t="shared" si="2"/>
        <v>16207.846153846154</v>
      </c>
      <c r="P84" s="696">
        <v>0</v>
      </c>
      <c r="Q84" s="696">
        <v>0</v>
      </c>
      <c r="R84" s="696">
        <v>0</v>
      </c>
      <c r="S84" s="696">
        <v>0</v>
      </c>
      <c r="T84" s="696">
        <v>0</v>
      </c>
      <c r="U84" s="696">
        <v>0</v>
      </c>
      <c r="V84" s="696">
        <v>0</v>
      </c>
      <c r="W84" s="696">
        <v>0</v>
      </c>
      <c r="X84" s="696">
        <v>0</v>
      </c>
      <c r="Y84" s="696">
        <v>0</v>
      </c>
      <c r="Z84" s="696">
        <v>0</v>
      </c>
      <c r="AA84" s="696">
        <v>0</v>
      </c>
      <c r="AB84" s="696">
        <v>0</v>
      </c>
      <c r="AC84" s="696">
        <v>0</v>
      </c>
      <c r="AD84" s="696">
        <v>0</v>
      </c>
      <c r="AE84" s="696">
        <v>0</v>
      </c>
      <c r="AF84" s="697">
        <f t="shared" si="3"/>
        <v>0</v>
      </c>
    </row>
    <row r="85" spans="1:32">
      <c r="A85" s="572" t="s">
        <v>1877</v>
      </c>
      <c r="B85" s="696">
        <v>20.04785</v>
      </c>
      <c r="C85" s="696">
        <v>0</v>
      </c>
      <c r="D85" s="696">
        <v>0</v>
      </c>
      <c r="E85" s="696">
        <v>0</v>
      </c>
      <c r="F85" s="696">
        <v>0</v>
      </c>
      <c r="G85" s="696">
        <v>0.11981</v>
      </c>
      <c r="H85" s="696">
        <v>3.9640000000000002E-2</v>
      </c>
      <c r="I85" s="696">
        <v>-1373.4990299999899</v>
      </c>
      <c r="J85" s="696">
        <v>-2150.1241299999901</v>
      </c>
      <c r="K85" s="696">
        <v>-834.77252999999905</v>
      </c>
      <c r="L85" s="696">
        <v>-1481.71882999999</v>
      </c>
      <c r="M85" s="696">
        <v>-1295.85192999999</v>
      </c>
      <c r="N85" s="696">
        <v>-732.07432999999901</v>
      </c>
      <c r="O85" s="235">
        <f t="shared" si="2"/>
        <v>-603.67949846153522</v>
      </c>
      <c r="P85" s="696">
        <v>15.086070000000101</v>
      </c>
      <c r="Q85" s="696">
        <v>-648.27482999999904</v>
      </c>
      <c r="R85" s="696">
        <v>-58.250529999999799</v>
      </c>
      <c r="S85" s="696">
        <v>900.20907</v>
      </c>
      <c r="T85" s="696">
        <v>1173.0884699999999</v>
      </c>
      <c r="U85" s="696">
        <v>1140.04297</v>
      </c>
      <c r="V85" s="696">
        <v>1284.0840700000001</v>
      </c>
      <c r="W85" s="696">
        <v>2792.2308699999999</v>
      </c>
      <c r="X85" s="696">
        <v>-406.50012999999899</v>
      </c>
      <c r="Y85" s="696">
        <v>204.54006999999999</v>
      </c>
      <c r="Z85" s="696">
        <v>720.57956999999999</v>
      </c>
      <c r="AA85" s="696">
        <v>1020.7305699999999</v>
      </c>
      <c r="AB85" s="696">
        <v>1550.57107</v>
      </c>
      <c r="AC85" s="696">
        <v>1552.40427</v>
      </c>
      <c r="AD85" s="696">
        <v>2146.2179700000002</v>
      </c>
      <c r="AE85" s="696">
        <v>2722.70757</v>
      </c>
      <c r="AF85" s="697">
        <f t="shared" si="3"/>
        <v>1292.3774161538463</v>
      </c>
    </row>
    <row r="86" spans="1:32" ht="15.75" thickBot="1">
      <c r="A86" s="572" t="s">
        <v>1878</v>
      </c>
      <c r="B86" s="701">
        <v>0</v>
      </c>
      <c r="C86" s="701">
        <v>10.18656</v>
      </c>
      <c r="D86" s="701">
        <v>0.59409000000000001</v>
      </c>
      <c r="E86" s="701">
        <v>0</v>
      </c>
      <c r="F86" s="701">
        <v>0</v>
      </c>
      <c r="G86" s="701">
        <v>0</v>
      </c>
      <c r="H86" s="701">
        <v>0</v>
      </c>
      <c r="I86" s="701">
        <v>0</v>
      </c>
      <c r="J86" s="701">
        <v>0</v>
      </c>
      <c r="K86" s="701">
        <v>0</v>
      </c>
      <c r="L86" s="701">
        <v>0</v>
      </c>
      <c r="M86" s="701">
        <v>0</v>
      </c>
      <c r="N86" s="701">
        <v>0</v>
      </c>
      <c r="O86" s="235">
        <f t="shared" si="2"/>
        <v>0.82928076923076921</v>
      </c>
      <c r="P86" s="701">
        <v>0</v>
      </c>
      <c r="Q86" s="701">
        <v>0</v>
      </c>
      <c r="R86" s="701">
        <v>0</v>
      </c>
      <c r="S86" s="701">
        <v>0</v>
      </c>
      <c r="T86" s="701">
        <v>0</v>
      </c>
      <c r="U86" s="701">
        <v>0</v>
      </c>
      <c r="V86" s="701">
        <v>0</v>
      </c>
      <c r="W86" s="701">
        <v>0</v>
      </c>
      <c r="X86" s="701">
        <v>0</v>
      </c>
      <c r="Y86" s="701">
        <v>0</v>
      </c>
      <c r="Z86" s="701">
        <v>0</v>
      </c>
      <c r="AA86" s="701">
        <v>0</v>
      </c>
      <c r="AB86" s="701">
        <v>0</v>
      </c>
      <c r="AC86" s="701">
        <v>0</v>
      </c>
      <c r="AD86" s="701">
        <v>0</v>
      </c>
      <c r="AE86" s="701">
        <v>0</v>
      </c>
      <c r="AF86" s="697">
        <f t="shared" si="3"/>
        <v>0</v>
      </c>
    </row>
    <row r="87" spans="1:32">
      <c r="A87" s="572" t="s">
        <v>1876</v>
      </c>
      <c r="B87" s="696">
        <v>20.04785</v>
      </c>
      <c r="C87" s="696">
        <v>20575.186559999998</v>
      </c>
      <c r="D87" s="696">
        <v>0.59409000000000001</v>
      </c>
      <c r="E87" s="696">
        <v>0</v>
      </c>
      <c r="F87" s="696">
        <v>190137</v>
      </c>
      <c r="G87" s="696">
        <v>0.11981</v>
      </c>
      <c r="H87" s="696">
        <v>3.9640000000000002E-2</v>
      </c>
      <c r="I87" s="696">
        <v>-1373.4990299999899</v>
      </c>
      <c r="J87" s="696">
        <v>-2150.1241299999901</v>
      </c>
      <c r="K87" s="696">
        <v>-834.77252999999905</v>
      </c>
      <c r="L87" s="696">
        <v>-1481.71882999999</v>
      </c>
      <c r="M87" s="696">
        <v>-1295.85192999999</v>
      </c>
      <c r="N87" s="696">
        <v>-732.07432999999901</v>
      </c>
      <c r="O87" s="235">
        <f t="shared" si="2"/>
        <v>15604.995936153851</v>
      </c>
      <c r="P87" s="696">
        <v>15.086070000000101</v>
      </c>
      <c r="Q87" s="696">
        <v>-648.27482999999904</v>
      </c>
      <c r="R87" s="696">
        <v>-58.250529999999799</v>
      </c>
      <c r="S87" s="696">
        <v>900.20907</v>
      </c>
      <c r="T87" s="696">
        <v>1173.0884699999999</v>
      </c>
      <c r="U87" s="696">
        <v>1140.04297</v>
      </c>
      <c r="V87" s="696">
        <v>1284.0840700000001</v>
      </c>
      <c r="W87" s="696">
        <v>2792.2308699999999</v>
      </c>
      <c r="X87" s="696">
        <v>-406.50012999999899</v>
      </c>
      <c r="Y87" s="696">
        <v>204.54006999999999</v>
      </c>
      <c r="Z87" s="696">
        <v>720.57956999999999</v>
      </c>
      <c r="AA87" s="696">
        <v>1020.7305699999999</v>
      </c>
      <c r="AB87" s="696">
        <v>1550.57107</v>
      </c>
      <c r="AC87" s="696">
        <v>1552.40427</v>
      </c>
      <c r="AD87" s="696">
        <v>2146.2179700000002</v>
      </c>
      <c r="AE87" s="696">
        <v>2722.70757</v>
      </c>
      <c r="AF87" s="697">
        <f t="shared" si="3"/>
        <v>1292.3774161538463</v>
      </c>
    </row>
    <row r="88" spans="1:32">
      <c r="A88" s="572"/>
      <c r="B88" s="698"/>
      <c r="C88" s="698"/>
      <c r="D88" s="698"/>
      <c r="E88" s="698"/>
      <c r="F88" s="698"/>
      <c r="G88" s="698"/>
      <c r="H88" s="698"/>
      <c r="I88" s="698"/>
      <c r="J88" s="698"/>
      <c r="K88" s="698"/>
      <c r="L88" s="698"/>
      <c r="M88" s="698"/>
      <c r="N88" s="698"/>
      <c r="O88" s="235">
        <f t="shared" si="2"/>
        <v>0</v>
      </c>
      <c r="P88" s="698"/>
      <c r="Q88" s="698"/>
      <c r="R88" s="698"/>
      <c r="S88" s="698"/>
      <c r="T88" s="698"/>
      <c r="U88" s="698"/>
      <c r="V88" s="698"/>
      <c r="W88" s="698"/>
      <c r="X88" s="698"/>
      <c r="Y88" s="698"/>
      <c r="Z88" s="698"/>
      <c r="AA88" s="698"/>
      <c r="AB88" s="698"/>
      <c r="AC88" s="698"/>
      <c r="AD88" s="698"/>
      <c r="AE88" s="698"/>
      <c r="AF88" s="697">
        <f t="shared" si="3"/>
        <v>0</v>
      </c>
    </row>
    <row r="89" spans="1:32">
      <c r="A89" s="572" t="s">
        <v>1879</v>
      </c>
      <c r="B89" s="698"/>
      <c r="C89" s="698"/>
      <c r="D89" s="698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235">
        <f t="shared" si="2"/>
        <v>0</v>
      </c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7">
        <f t="shared" si="3"/>
        <v>0</v>
      </c>
    </row>
    <row r="90" spans="1:32">
      <c r="A90" s="572" t="s">
        <v>1880</v>
      </c>
      <c r="B90" s="696">
        <v>63575.111140000001</v>
      </c>
      <c r="C90" s="696">
        <v>68817.122709999996</v>
      </c>
      <c r="D90" s="696">
        <v>70440.165550000005</v>
      </c>
      <c r="E90" s="696">
        <v>66156.329019999903</v>
      </c>
      <c r="F90" s="696">
        <v>64698.381869999997</v>
      </c>
      <c r="G90" s="696">
        <v>60665.828369999901</v>
      </c>
      <c r="H90" s="696">
        <v>57349.104099999997</v>
      </c>
      <c r="I90" s="696">
        <v>51335.2858467283</v>
      </c>
      <c r="J90" s="696">
        <v>55553.366899458801</v>
      </c>
      <c r="K90" s="696">
        <v>57181.2928187219</v>
      </c>
      <c r="L90" s="696">
        <v>57214.314226253598</v>
      </c>
      <c r="M90" s="696">
        <v>53930.720927038601</v>
      </c>
      <c r="N90" s="696">
        <v>52035.224998453399</v>
      </c>
      <c r="O90" s="235">
        <f t="shared" si="2"/>
        <v>59919.403728973397</v>
      </c>
      <c r="P90" s="696">
        <v>52836.093323464003</v>
      </c>
      <c r="Q90" s="696">
        <v>58558.765838095103</v>
      </c>
      <c r="R90" s="696">
        <v>58449.506457736701</v>
      </c>
      <c r="S90" s="696">
        <v>56582.533056045701</v>
      </c>
      <c r="T90" s="696">
        <v>56395.970240237999</v>
      </c>
      <c r="U90" s="696">
        <v>64778.008390774899</v>
      </c>
      <c r="V90" s="696">
        <v>65566.429842099504</v>
      </c>
      <c r="W90" s="696">
        <v>68485.771028289106</v>
      </c>
      <c r="X90" s="696">
        <v>69501.057183357596</v>
      </c>
      <c r="Y90" s="696">
        <v>68830.332924604299</v>
      </c>
      <c r="Z90" s="696">
        <v>67877.2917875407</v>
      </c>
      <c r="AA90" s="696">
        <v>67549.496057237804</v>
      </c>
      <c r="AB90" s="696">
        <v>69312.729592028307</v>
      </c>
      <c r="AC90" s="696">
        <v>68844.157644024905</v>
      </c>
      <c r="AD90" s="696">
        <v>69812.141557618495</v>
      </c>
      <c r="AE90" s="696">
        <v>69649.7573402946</v>
      </c>
      <c r="AF90" s="697">
        <f t="shared" si="3"/>
        <v>66398.898203396457</v>
      </c>
    </row>
    <row r="91" spans="1:32">
      <c r="A91" s="572" t="s">
        <v>1881</v>
      </c>
      <c r="B91" s="696">
        <v>57907.628700000001</v>
      </c>
      <c r="C91" s="696">
        <v>58476.624759999999</v>
      </c>
      <c r="D91" s="696">
        <v>58546.572889999901</v>
      </c>
      <c r="E91" s="696">
        <v>57771.643949999998</v>
      </c>
      <c r="F91" s="696">
        <v>57277.527130000002</v>
      </c>
      <c r="G91" s="696">
        <v>59156.601040000001</v>
      </c>
      <c r="H91" s="696">
        <v>59356.180789999999</v>
      </c>
      <c r="I91" s="696">
        <v>59439.435248517097</v>
      </c>
      <c r="J91" s="696">
        <v>59522.755749121898</v>
      </c>
      <c r="K91" s="696">
        <v>59606.142401884303</v>
      </c>
      <c r="L91" s="696">
        <v>59689.595317057901</v>
      </c>
      <c r="M91" s="696">
        <v>59846.152065746901</v>
      </c>
      <c r="N91" s="696">
        <v>60002.708814435799</v>
      </c>
      <c r="O91" s="235">
        <f t="shared" si="2"/>
        <v>58969.197604366447</v>
      </c>
      <c r="P91" s="696">
        <v>60099.265563124798</v>
      </c>
      <c r="Q91" s="696">
        <v>60255.822311813798</v>
      </c>
      <c r="R91" s="696">
        <v>60412.379060502702</v>
      </c>
      <c r="S91" s="696">
        <v>60422.593809191698</v>
      </c>
      <c r="T91" s="696">
        <v>60579.150557880603</v>
      </c>
      <c r="U91" s="696">
        <v>60735.707306569602</v>
      </c>
      <c r="V91" s="696">
        <v>60832.2640552585</v>
      </c>
      <c r="W91" s="696">
        <v>60988.820803947499</v>
      </c>
      <c r="X91" s="696">
        <v>61145.377552636397</v>
      </c>
      <c r="Y91" s="696">
        <v>61241.934301325397</v>
      </c>
      <c r="Z91" s="696">
        <v>61388.788851654797</v>
      </c>
      <c r="AA91" s="696">
        <v>61535.643401984198</v>
      </c>
      <c r="AB91" s="696">
        <v>61622.497952313599</v>
      </c>
      <c r="AC91" s="696">
        <v>61769.352502643</v>
      </c>
      <c r="AD91" s="696">
        <v>61916.207052972401</v>
      </c>
      <c r="AE91" s="696">
        <v>61914.992603301798</v>
      </c>
      <c r="AF91" s="697">
        <f t="shared" si="3"/>
        <v>61237.948519359961</v>
      </c>
    </row>
    <row r="92" spans="1:32">
      <c r="A92" s="572" t="s">
        <v>1882</v>
      </c>
      <c r="B92" s="696">
        <v>125.3202</v>
      </c>
      <c r="C92" s="696">
        <v>125.15402</v>
      </c>
      <c r="D92" s="696">
        <v>125.02302</v>
      </c>
      <c r="E92" s="696">
        <v>124.92278</v>
      </c>
      <c r="F92" s="696">
        <v>124.73314999999999</v>
      </c>
      <c r="G92" s="696">
        <v>124.50257999999999</v>
      </c>
      <c r="H92" s="696">
        <v>124.30964</v>
      </c>
      <c r="I92" s="696">
        <v>124.30964</v>
      </c>
      <c r="J92" s="696">
        <v>124.30964</v>
      </c>
      <c r="K92" s="696">
        <v>124.30964</v>
      </c>
      <c r="L92" s="696">
        <v>124.30964</v>
      </c>
      <c r="M92" s="696">
        <v>124.30964</v>
      </c>
      <c r="N92" s="696">
        <v>124.30964</v>
      </c>
      <c r="O92" s="235">
        <f t="shared" si="2"/>
        <v>124.6017869230769</v>
      </c>
      <c r="P92" s="696">
        <v>124.30964</v>
      </c>
      <c r="Q92" s="696">
        <v>124.30964</v>
      </c>
      <c r="R92" s="696">
        <v>124.30964</v>
      </c>
      <c r="S92" s="696">
        <v>124.30964</v>
      </c>
      <c r="T92" s="696">
        <v>124.30964</v>
      </c>
      <c r="U92" s="696">
        <v>124.30964</v>
      </c>
      <c r="V92" s="696">
        <v>124.30964</v>
      </c>
      <c r="W92" s="696">
        <v>124.30964</v>
      </c>
      <c r="X92" s="696">
        <v>124.30964</v>
      </c>
      <c r="Y92" s="696">
        <v>124.30964</v>
      </c>
      <c r="Z92" s="696">
        <v>124.30964</v>
      </c>
      <c r="AA92" s="696">
        <v>124.30964</v>
      </c>
      <c r="AB92" s="696">
        <v>124.30964</v>
      </c>
      <c r="AC92" s="696">
        <v>124.30964</v>
      </c>
      <c r="AD92" s="696">
        <v>124.30964</v>
      </c>
      <c r="AE92" s="696">
        <v>124.30964</v>
      </c>
      <c r="AF92" s="697">
        <f t="shared" si="3"/>
        <v>124.30963999999996</v>
      </c>
    </row>
    <row r="93" spans="1:32">
      <c r="A93" s="572" t="s">
        <v>1883</v>
      </c>
      <c r="B93" s="696">
        <v>3709.4070799999899</v>
      </c>
      <c r="C93" s="696">
        <v>3666.7044799999899</v>
      </c>
      <c r="D93" s="696">
        <v>3621.7163799999998</v>
      </c>
      <c r="E93" s="696">
        <v>3682.4215299999901</v>
      </c>
      <c r="F93" s="696">
        <v>3324.8331199999998</v>
      </c>
      <c r="G93" s="696">
        <v>3562.9435600000002</v>
      </c>
      <c r="H93" s="696">
        <v>3271.98676999999</v>
      </c>
      <c r="I93" s="696">
        <v>3271.98676999999</v>
      </c>
      <c r="J93" s="696">
        <v>3271.98676999999</v>
      </c>
      <c r="K93" s="696">
        <v>3271.98676999999</v>
      </c>
      <c r="L93" s="696">
        <v>3271.98676999999</v>
      </c>
      <c r="M93" s="696">
        <v>3271.98676999999</v>
      </c>
      <c r="N93" s="696">
        <v>3271.98676999999</v>
      </c>
      <c r="O93" s="235">
        <f t="shared" si="2"/>
        <v>3420.9179646153761</v>
      </c>
      <c r="P93" s="696">
        <v>3271.98676999999</v>
      </c>
      <c r="Q93" s="696">
        <v>3271.98676999999</v>
      </c>
      <c r="R93" s="696">
        <v>3271.98676999999</v>
      </c>
      <c r="S93" s="696">
        <v>3271.98676999999</v>
      </c>
      <c r="T93" s="696">
        <v>3271.98676999999</v>
      </c>
      <c r="U93" s="696">
        <v>3271.98676999999</v>
      </c>
      <c r="V93" s="696">
        <v>3271.98676999999</v>
      </c>
      <c r="W93" s="696">
        <v>3271.98676999999</v>
      </c>
      <c r="X93" s="696">
        <v>3271.98676999999</v>
      </c>
      <c r="Y93" s="696">
        <v>3271.98676999999</v>
      </c>
      <c r="Z93" s="696">
        <v>3271.98676999999</v>
      </c>
      <c r="AA93" s="696">
        <v>3271.98676999999</v>
      </c>
      <c r="AB93" s="696">
        <v>3271.98676999999</v>
      </c>
      <c r="AC93" s="696">
        <v>3271.98676999999</v>
      </c>
      <c r="AD93" s="696">
        <v>3271.98676999999</v>
      </c>
      <c r="AE93" s="696">
        <v>3271.98676999999</v>
      </c>
      <c r="AF93" s="697">
        <f t="shared" si="3"/>
        <v>3271.9867699999891</v>
      </c>
    </row>
    <row r="94" spans="1:32">
      <c r="A94" s="572" t="s">
        <v>1879</v>
      </c>
      <c r="B94" s="696">
        <v>125317.46712</v>
      </c>
      <c r="C94" s="696">
        <v>131085.60597</v>
      </c>
      <c r="D94" s="696">
        <v>132733.47784000001</v>
      </c>
      <c r="E94" s="696">
        <v>127735.317279999</v>
      </c>
      <c r="F94" s="696">
        <v>125425.47527</v>
      </c>
      <c r="G94" s="696">
        <v>123509.87555</v>
      </c>
      <c r="H94" s="696">
        <v>120101.58130000001</v>
      </c>
      <c r="I94" s="696">
        <v>114171.01750524501</v>
      </c>
      <c r="J94" s="696">
        <v>118472.41905858</v>
      </c>
      <c r="K94" s="696">
        <v>120183.73163060599</v>
      </c>
      <c r="L94" s="696">
        <v>120300.205953311</v>
      </c>
      <c r="M94" s="696">
        <v>117173.169402785</v>
      </c>
      <c r="N94" s="696">
        <v>115434.230222889</v>
      </c>
      <c r="O94" s="235">
        <f t="shared" si="2"/>
        <v>122434.12108487806</v>
      </c>
      <c r="P94" s="696">
        <v>116331.655296588</v>
      </c>
      <c r="Q94" s="696">
        <v>122210.88455990799</v>
      </c>
      <c r="R94" s="696">
        <v>122258.18192823901</v>
      </c>
      <c r="S94" s="696">
        <v>120401.423275237</v>
      </c>
      <c r="T94" s="696">
        <v>120371.417208118</v>
      </c>
      <c r="U94" s="696">
        <v>128910.012107344</v>
      </c>
      <c r="V94" s="696">
        <v>129794.99030735801</v>
      </c>
      <c r="W94" s="696">
        <v>132870.88824223599</v>
      </c>
      <c r="X94" s="696">
        <v>134042.73114599401</v>
      </c>
      <c r="Y94" s="696">
        <v>133468.56363592899</v>
      </c>
      <c r="Z94" s="696">
        <v>132662.377049195</v>
      </c>
      <c r="AA94" s="696">
        <v>132481.43586922201</v>
      </c>
      <c r="AB94" s="696">
        <v>134331.52395434101</v>
      </c>
      <c r="AC94" s="696">
        <v>134009.806556667</v>
      </c>
      <c r="AD94" s="696">
        <v>135124.64502058999</v>
      </c>
      <c r="AE94" s="696">
        <v>134961.046353596</v>
      </c>
      <c r="AF94" s="697">
        <f t="shared" si="3"/>
        <v>131033.14313275591</v>
      </c>
    </row>
    <row r="95" spans="1:32">
      <c r="A95" s="572"/>
      <c r="B95" s="698"/>
      <c r="C95" s="698"/>
      <c r="D95" s="698"/>
      <c r="E95" s="698"/>
      <c r="F95" s="698"/>
      <c r="G95" s="698"/>
      <c r="H95" s="698"/>
      <c r="I95" s="698"/>
      <c r="J95" s="698"/>
      <c r="K95" s="698"/>
      <c r="L95" s="698"/>
      <c r="M95" s="698"/>
      <c r="N95" s="698"/>
      <c r="O95" s="235">
        <f t="shared" si="2"/>
        <v>0</v>
      </c>
      <c r="P95" s="698"/>
      <c r="Q95" s="698"/>
      <c r="R95" s="698"/>
      <c r="S95" s="698"/>
      <c r="T95" s="698"/>
      <c r="U95" s="698"/>
      <c r="V95" s="698"/>
      <c r="W95" s="698"/>
      <c r="X95" s="698"/>
      <c r="Y95" s="698"/>
      <c r="Z95" s="698"/>
      <c r="AA95" s="698"/>
      <c r="AB95" s="698"/>
      <c r="AC95" s="698"/>
      <c r="AD95" s="698"/>
      <c r="AE95" s="698"/>
      <c r="AF95" s="697">
        <f t="shared" si="3"/>
        <v>0</v>
      </c>
    </row>
    <row r="96" spans="1:32">
      <c r="A96" s="572" t="s">
        <v>1884</v>
      </c>
      <c r="B96" s="698"/>
      <c r="C96" s="698"/>
      <c r="D96" s="698"/>
      <c r="E96" s="698"/>
      <c r="F96" s="698"/>
      <c r="G96" s="698"/>
      <c r="H96" s="698"/>
      <c r="I96" s="698"/>
      <c r="J96" s="698"/>
      <c r="K96" s="698"/>
      <c r="L96" s="698"/>
      <c r="M96" s="698"/>
      <c r="N96" s="698"/>
      <c r="O96" s="235">
        <f t="shared" si="2"/>
        <v>0</v>
      </c>
      <c r="P96" s="698"/>
      <c r="Q96" s="698"/>
      <c r="R96" s="698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7">
        <f t="shared" si="3"/>
        <v>0</v>
      </c>
    </row>
    <row r="97" spans="1:32">
      <c r="A97" s="572" t="s">
        <v>1885</v>
      </c>
      <c r="B97" s="696">
        <v>13787.770329999999</v>
      </c>
      <c r="C97" s="696">
        <v>12354.237369999901</v>
      </c>
      <c r="D97" s="696">
        <v>18902.92756</v>
      </c>
      <c r="E97" s="696">
        <v>18633.462759999999</v>
      </c>
      <c r="F97" s="696">
        <v>17088.277750000001</v>
      </c>
      <c r="G97" s="696">
        <v>15404.139510000001</v>
      </c>
      <c r="H97" s="696">
        <v>15653.00791</v>
      </c>
      <c r="I97" s="696">
        <v>15937.0563620955</v>
      </c>
      <c r="J97" s="696">
        <v>14668.296685691001</v>
      </c>
      <c r="K97" s="696">
        <v>13726.1827180865</v>
      </c>
      <c r="L97" s="696">
        <v>13112.1688409821</v>
      </c>
      <c r="M97" s="696">
        <v>17343.290808833499</v>
      </c>
      <c r="N97" s="696">
        <v>15660.761850945501</v>
      </c>
      <c r="O97" s="235">
        <f t="shared" si="2"/>
        <v>15559.352342818</v>
      </c>
      <c r="P97" s="696">
        <v>13607.7775630574</v>
      </c>
      <c r="Q97" s="696">
        <v>21149.220570521898</v>
      </c>
      <c r="R97" s="696">
        <v>19024.1230526865</v>
      </c>
      <c r="S97" s="696">
        <v>18383.775777051</v>
      </c>
      <c r="T97" s="696">
        <v>16904.117873715499</v>
      </c>
      <c r="U97" s="696">
        <v>14943.134735880099</v>
      </c>
      <c r="V97" s="696">
        <v>15234.285923223801</v>
      </c>
      <c r="W97" s="696">
        <v>13697.5773855675</v>
      </c>
      <c r="X97" s="696">
        <v>12486.6448129112</v>
      </c>
      <c r="Y97" s="696">
        <v>11317.542120124001</v>
      </c>
      <c r="Z97" s="696">
        <v>16268.7643834015</v>
      </c>
      <c r="AA97" s="696">
        <v>14452.2338094156</v>
      </c>
      <c r="AB97" s="696">
        <v>12223.6040554298</v>
      </c>
      <c r="AC97" s="696">
        <v>20014.911362996099</v>
      </c>
      <c r="AD97" s="696">
        <v>17850.213615262499</v>
      </c>
      <c r="AE97" s="696">
        <v>17215.373987528801</v>
      </c>
      <c r="AF97" s="697">
        <f t="shared" si="3"/>
        <v>15460.936910962108</v>
      </c>
    </row>
    <row r="98" spans="1:32">
      <c r="A98" s="572" t="s">
        <v>2206</v>
      </c>
      <c r="B98" s="696">
        <v>4675.5667700000004</v>
      </c>
      <c r="C98" s="696">
        <v>4478.09285</v>
      </c>
      <c r="D98" s="696">
        <v>4304.1502</v>
      </c>
      <c r="E98" s="696">
        <v>4178.7228599999999</v>
      </c>
      <c r="F98" s="696">
        <v>4250.3169600000001</v>
      </c>
      <c r="G98" s="696">
        <v>4396.7085999999899</v>
      </c>
      <c r="H98" s="696">
        <v>4844.5845600000002</v>
      </c>
      <c r="I98" s="696">
        <v>4844.5845600000002</v>
      </c>
      <c r="J98" s="696">
        <v>4844.5845600000002</v>
      </c>
      <c r="K98" s="696">
        <v>4844.5845600000002</v>
      </c>
      <c r="L98" s="696">
        <v>4844.5845600000002</v>
      </c>
      <c r="M98" s="696">
        <v>4844.5845600000002</v>
      </c>
      <c r="N98" s="696">
        <v>4844.5845600000002</v>
      </c>
      <c r="O98" s="235">
        <f t="shared" si="2"/>
        <v>4630.4346276923079</v>
      </c>
      <c r="P98" s="696">
        <v>4844.5845600000002</v>
      </c>
      <c r="Q98" s="696">
        <v>4844.5845600000002</v>
      </c>
      <c r="R98" s="696">
        <v>4844.5845600000002</v>
      </c>
      <c r="S98" s="696">
        <v>4844.5845600000002</v>
      </c>
      <c r="T98" s="696">
        <v>4844.5845600000002</v>
      </c>
      <c r="U98" s="696">
        <v>4844.5845600000002</v>
      </c>
      <c r="V98" s="696">
        <v>4844.5845600000002</v>
      </c>
      <c r="W98" s="696">
        <v>4844.5845600000002</v>
      </c>
      <c r="X98" s="696">
        <v>4844.5845600000002</v>
      </c>
      <c r="Y98" s="696">
        <v>4844.5845600000002</v>
      </c>
      <c r="Z98" s="696">
        <v>4844.5845600000002</v>
      </c>
      <c r="AA98" s="696">
        <v>4844.5845600000002</v>
      </c>
      <c r="AB98" s="696">
        <v>4844.5845600000002</v>
      </c>
      <c r="AC98" s="696">
        <v>4844.5845600000002</v>
      </c>
      <c r="AD98" s="696">
        <v>4844.5845600000002</v>
      </c>
      <c r="AE98" s="696">
        <v>4844.5845600000002</v>
      </c>
      <c r="AF98" s="697">
        <f t="shared" si="3"/>
        <v>4844.5845600000011</v>
      </c>
    </row>
    <row r="99" spans="1:32" ht="15.75" thickBot="1">
      <c r="A99" s="572" t="s">
        <v>1886</v>
      </c>
      <c r="B99" s="701">
        <v>1070.41695</v>
      </c>
      <c r="C99" s="701">
        <v>802.81269999999995</v>
      </c>
      <c r="D99" s="701">
        <v>535.20844999999997</v>
      </c>
      <c r="E99" s="701">
        <v>267.60419999999999</v>
      </c>
      <c r="F99" s="701">
        <v>0</v>
      </c>
      <c r="G99" s="701">
        <v>2996.2881699999998</v>
      </c>
      <c r="H99" s="701">
        <v>2723.8983399999902</v>
      </c>
      <c r="I99" s="701">
        <v>2451.5085099999901</v>
      </c>
      <c r="J99" s="701">
        <v>2179.11867999999</v>
      </c>
      <c r="K99" s="701">
        <v>1906.72884999999</v>
      </c>
      <c r="L99" s="701">
        <v>1634.3390199999899</v>
      </c>
      <c r="M99" s="701">
        <v>1361.94918999999</v>
      </c>
      <c r="N99" s="701">
        <v>1089.55935999999</v>
      </c>
      <c r="O99" s="235">
        <f t="shared" si="2"/>
        <v>1463.0332630769176</v>
      </c>
      <c r="P99" s="701">
        <v>817.16952999999899</v>
      </c>
      <c r="Q99" s="701">
        <v>544.77969999999902</v>
      </c>
      <c r="R99" s="701">
        <v>272.38986999999901</v>
      </c>
      <c r="S99" s="701">
        <v>3.9999999103201797E-5</v>
      </c>
      <c r="T99" s="701">
        <v>3056.2139699999898</v>
      </c>
      <c r="U99" s="701">
        <v>2778.3763399999898</v>
      </c>
      <c r="V99" s="701">
        <v>2500.5387099999898</v>
      </c>
      <c r="W99" s="701">
        <v>2222.7010799999898</v>
      </c>
      <c r="X99" s="701">
        <v>1944.8634499999901</v>
      </c>
      <c r="Y99" s="701">
        <v>1667.0258199999901</v>
      </c>
      <c r="Z99" s="701">
        <v>1389.1881899999901</v>
      </c>
      <c r="AA99" s="701">
        <v>1111.3505599999901</v>
      </c>
      <c r="AB99" s="701">
        <v>833.51292999999896</v>
      </c>
      <c r="AC99" s="701">
        <v>555.67529999999897</v>
      </c>
      <c r="AD99" s="701">
        <v>277.83766999999898</v>
      </c>
      <c r="AE99" s="701">
        <v>3.9999998989515E-5</v>
      </c>
      <c r="AF99" s="697">
        <f t="shared" si="3"/>
        <v>1410.5603153846084</v>
      </c>
    </row>
    <row r="100" spans="1:32">
      <c r="A100" s="572" t="s">
        <v>1884</v>
      </c>
      <c r="B100" s="696">
        <v>19533.75405</v>
      </c>
      <c r="C100" s="696">
        <v>17635.142919999998</v>
      </c>
      <c r="D100" s="696">
        <v>23742.286209999998</v>
      </c>
      <c r="E100" s="696">
        <v>23079.789820000002</v>
      </c>
      <c r="F100" s="696">
        <v>21338.594710000001</v>
      </c>
      <c r="G100" s="696">
        <v>22797.136279999999</v>
      </c>
      <c r="H100" s="696">
        <v>23221.490809999999</v>
      </c>
      <c r="I100" s="696">
        <v>23233.149432095499</v>
      </c>
      <c r="J100" s="696">
        <v>21691.999925691001</v>
      </c>
      <c r="K100" s="696">
        <v>20477.496128086499</v>
      </c>
      <c r="L100" s="696">
        <v>19591.092420982099</v>
      </c>
      <c r="M100" s="696">
        <v>23549.824558833501</v>
      </c>
      <c r="N100" s="696">
        <v>21594.905770945501</v>
      </c>
      <c r="O100" s="235">
        <f t="shared" si="2"/>
        <v>21652.820233587237</v>
      </c>
      <c r="P100" s="696">
        <v>19269.531653057398</v>
      </c>
      <c r="Q100" s="696">
        <v>26538.584830521901</v>
      </c>
      <c r="R100" s="696">
        <v>24141.097482686499</v>
      </c>
      <c r="S100" s="696">
        <v>23228.360377051002</v>
      </c>
      <c r="T100" s="696">
        <v>24804.916403715499</v>
      </c>
      <c r="U100" s="696">
        <v>22566.095635880101</v>
      </c>
      <c r="V100" s="696">
        <v>22579.409193223801</v>
      </c>
      <c r="W100" s="696">
        <v>20764.863025567502</v>
      </c>
      <c r="X100" s="696">
        <v>19276.0928229112</v>
      </c>
      <c r="Y100" s="696">
        <v>17829.152500124001</v>
      </c>
      <c r="Z100" s="696">
        <v>22502.5371334015</v>
      </c>
      <c r="AA100" s="696">
        <v>20408.168929415599</v>
      </c>
      <c r="AB100" s="696">
        <v>17901.701545429802</v>
      </c>
      <c r="AC100" s="696">
        <v>25415.171222996101</v>
      </c>
      <c r="AD100" s="696">
        <v>22972.635845262499</v>
      </c>
      <c r="AE100" s="696">
        <v>22059.958587528799</v>
      </c>
      <c r="AF100" s="697">
        <f t="shared" si="3"/>
        <v>21716.081786346724</v>
      </c>
    </row>
    <row r="101" spans="1:32">
      <c r="A101" s="572"/>
      <c r="B101" s="698"/>
      <c r="C101" s="698"/>
      <c r="D101" s="698"/>
      <c r="E101" s="698"/>
      <c r="F101" s="698"/>
      <c r="G101" s="698"/>
      <c r="H101" s="698"/>
      <c r="I101" s="698"/>
      <c r="J101" s="698"/>
      <c r="K101" s="698"/>
      <c r="L101" s="698"/>
      <c r="M101" s="698"/>
      <c r="N101" s="698"/>
      <c r="O101" s="235">
        <f t="shared" si="2"/>
        <v>0</v>
      </c>
      <c r="P101" s="698"/>
      <c r="Q101" s="698"/>
      <c r="R101" s="698"/>
      <c r="S101" s="698"/>
      <c r="T101" s="698"/>
      <c r="U101" s="698"/>
      <c r="V101" s="698"/>
      <c r="W101" s="698"/>
      <c r="X101" s="698"/>
      <c r="Y101" s="698"/>
      <c r="Z101" s="698"/>
      <c r="AA101" s="698"/>
      <c r="AB101" s="698"/>
      <c r="AC101" s="698"/>
      <c r="AD101" s="698"/>
      <c r="AE101" s="698"/>
      <c r="AF101" s="697">
        <f t="shared" si="3"/>
        <v>0</v>
      </c>
    </row>
    <row r="102" spans="1:32">
      <c r="A102" s="572" t="s">
        <v>1887</v>
      </c>
      <c r="B102" s="698"/>
      <c r="C102" s="698"/>
      <c r="D102" s="698"/>
      <c r="E102" s="698"/>
      <c r="F102" s="698"/>
      <c r="G102" s="698"/>
      <c r="H102" s="698"/>
      <c r="I102" s="698"/>
      <c r="J102" s="698"/>
      <c r="K102" s="698"/>
      <c r="L102" s="698"/>
      <c r="M102" s="698"/>
      <c r="N102" s="698"/>
      <c r="O102" s="235">
        <f t="shared" si="2"/>
        <v>0</v>
      </c>
      <c r="P102" s="698"/>
      <c r="Q102" s="698"/>
      <c r="R102" s="698"/>
      <c r="S102" s="698"/>
      <c r="T102" s="698"/>
      <c r="U102" s="698"/>
      <c r="V102" s="698"/>
      <c r="W102" s="698"/>
      <c r="X102" s="698"/>
      <c r="Y102" s="698"/>
      <c r="Z102" s="698"/>
      <c r="AA102" s="698"/>
      <c r="AB102" s="698"/>
      <c r="AC102" s="698"/>
      <c r="AD102" s="698"/>
      <c r="AE102" s="698"/>
      <c r="AF102" s="697">
        <f t="shared" si="3"/>
        <v>0</v>
      </c>
    </row>
    <row r="103" spans="1:32" ht="15.75" thickBot="1">
      <c r="A103" s="572" t="s">
        <v>1888</v>
      </c>
      <c r="B103" s="701">
        <v>0</v>
      </c>
      <c r="C103" s="701">
        <v>1.6192800000000001</v>
      </c>
      <c r="D103" s="701">
        <v>3.006E-2</v>
      </c>
      <c r="E103" s="701">
        <v>3.006E-2</v>
      </c>
      <c r="F103" s="701">
        <v>5.1569999999999998E-2</v>
      </c>
      <c r="G103" s="701">
        <v>0</v>
      </c>
      <c r="H103" s="701">
        <v>0</v>
      </c>
      <c r="I103" s="701">
        <v>0</v>
      </c>
      <c r="J103" s="701">
        <v>0</v>
      </c>
      <c r="K103" s="701">
        <v>0</v>
      </c>
      <c r="L103" s="701">
        <v>0</v>
      </c>
      <c r="M103" s="701">
        <v>0</v>
      </c>
      <c r="N103" s="701">
        <v>0</v>
      </c>
      <c r="O103" s="235">
        <f t="shared" si="2"/>
        <v>0.13315153846153846</v>
      </c>
      <c r="P103" s="701">
        <v>0</v>
      </c>
      <c r="Q103" s="701">
        <v>0</v>
      </c>
      <c r="R103" s="701">
        <v>0</v>
      </c>
      <c r="S103" s="701">
        <v>0</v>
      </c>
      <c r="T103" s="701">
        <v>0</v>
      </c>
      <c r="U103" s="701">
        <v>0</v>
      </c>
      <c r="V103" s="701">
        <v>0</v>
      </c>
      <c r="W103" s="701">
        <v>0</v>
      </c>
      <c r="X103" s="701">
        <v>0</v>
      </c>
      <c r="Y103" s="701">
        <v>0</v>
      </c>
      <c r="Z103" s="701">
        <v>0</v>
      </c>
      <c r="AA103" s="701">
        <v>0</v>
      </c>
      <c r="AB103" s="701">
        <v>0</v>
      </c>
      <c r="AC103" s="701">
        <v>0</v>
      </c>
      <c r="AD103" s="701">
        <v>0</v>
      </c>
      <c r="AE103" s="701">
        <v>0</v>
      </c>
      <c r="AF103" s="697">
        <f t="shared" si="3"/>
        <v>0</v>
      </c>
    </row>
    <row r="104" spans="1:32">
      <c r="A104" s="572" t="s">
        <v>1887</v>
      </c>
      <c r="B104" s="696">
        <v>0</v>
      </c>
      <c r="C104" s="696">
        <v>1.6192800000000001</v>
      </c>
      <c r="D104" s="696">
        <v>3.006E-2</v>
      </c>
      <c r="E104" s="696">
        <v>3.006E-2</v>
      </c>
      <c r="F104" s="696">
        <v>5.1569999999999998E-2</v>
      </c>
      <c r="G104" s="696">
        <v>0</v>
      </c>
      <c r="H104" s="696">
        <v>0</v>
      </c>
      <c r="I104" s="696">
        <v>0</v>
      </c>
      <c r="J104" s="696">
        <v>0</v>
      </c>
      <c r="K104" s="696">
        <v>0</v>
      </c>
      <c r="L104" s="696">
        <v>0</v>
      </c>
      <c r="M104" s="696">
        <v>0</v>
      </c>
      <c r="N104" s="696">
        <v>0</v>
      </c>
      <c r="O104" s="235">
        <f t="shared" si="2"/>
        <v>0.13315153846153846</v>
      </c>
      <c r="P104" s="696">
        <v>0</v>
      </c>
      <c r="Q104" s="696">
        <v>0</v>
      </c>
      <c r="R104" s="696">
        <v>0</v>
      </c>
      <c r="S104" s="696">
        <v>0</v>
      </c>
      <c r="T104" s="696">
        <v>0</v>
      </c>
      <c r="U104" s="696">
        <v>0</v>
      </c>
      <c r="V104" s="696">
        <v>0</v>
      </c>
      <c r="W104" s="696">
        <v>0</v>
      </c>
      <c r="X104" s="696">
        <v>0</v>
      </c>
      <c r="Y104" s="696">
        <v>0</v>
      </c>
      <c r="Z104" s="696">
        <v>0</v>
      </c>
      <c r="AA104" s="696">
        <v>0</v>
      </c>
      <c r="AB104" s="696">
        <v>0</v>
      </c>
      <c r="AC104" s="696">
        <v>0</v>
      </c>
      <c r="AD104" s="696">
        <v>0</v>
      </c>
      <c r="AE104" s="696">
        <v>0</v>
      </c>
      <c r="AF104" s="697">
        <f t="shared" si="3"/>
        <v>0</v>
      </c>
    </row>
    <row r="105" spans="1:32">
      <c r="A105" s="572"/>
      <c r="B105" s="698"/>
      <c r="C105" s="698"/>
      <c r="D105" s="698"/>
      <c r="E105" s="698"/>
      <c r="F105" s="698"/>
      <c r="G105" s="698"/>
      <c r="H105" s="698"/>
      <c r="I105" s="698"/>
      <c r="J105" s="698"/>
      <c r="K105" s="698"/>
      <c r="L105" s="698"/>
      <c r="M105" s="698"/>
      <c r="N105" s="698"/>
      <c r="O105" s="235">
        <f t="shared" si="2"/>
        <v>0</v>
      </c>
      <c r="P105" s="698"/>
      <c r="Q105" s="698"/>
      <c r="R105" s="698"/>
      <c r="S105" s="698"/>
      <c r="T105" s="698"/>
      <c r="U105" s="698"/>
      <c r="V105" s="698"/>
      <c r="W105" s="698"/>
      <c r="X105" s="698"/>
      <c r="Y105" s="698"/>
      <c r="Z105" s="698"/>
      <c r="AA105" s="698"/>
      <c r="AB105" s="698"/>
      <c r="AC105" s="698"/>
      <c r="AD105" s="698"/>
      <c r="AE105" s="698"/>
      <c r="AF105" s="697">
        <f t="shared" si="3"/>
        <v>0</v>
      </c>
    </row>
    <row r="106" spans="1:32" ht="15.75" thickBot="1">
      <c r="A106" s="702" t="s">
        <v>1441</v>
      </c>
      <c r="B106" s="703">
        <v>402299.41308999999</v>
      </c>
      <c r="C106" s="703">
        <v>433396.18644999998</v>
      </c>
      <c r="D106" s="703">
        <v>384801.05335</v>
      </c>
      <c r="E106" s="703">
        <v>375868.718839999</v>
      </c>
      <c r="F106" s="703">
        <v>717264.17738999997</v>
      </c>
      <c r="G106" s="703">
        <v>938058.24795999902</v>
      </c>
      <c r="H106" s="703">
        <v>421797.97783999902</v>
      </c>
      <c r="I106" s="703">
        <v>383213.21019711398</v>
      </c>
      <c r="J106" s="703">
        <v>371953.07684159599</v>
      </c>
      <c r="K106" s="703">
        <v>378157.04715995898</v>
      </c>
      <c r="L106" s="703">
        <v>401317.59127727902</v>
      </c>
      <c r="M106" s="703">
        <v>422668.66888583201</v>
      </c>
      <c r="N106" s="703">
        <v>409017.95159760001</v>
      </c>
      <c r="O106" s="235">
        <f t="shared" si="2"/>
        <v>464601.02468302898</v>
      </c>
      <c r="P106" s="703">
        <v>395636.09160575602</v>
      </c>
      <c r="Q106" s="703">
        <v>383635.71286636102</v>
      </c>
      <c r="R106" s="703">
        <v>381021.81798538897</v>
      </c>
      <c r="S106" s="703">
        <v>391593.14370225498</v>
      </c>
      <c r="T106" s="703">
        <v>408342.406753355</v>
      </c>
      <c r="U106" s="703">
        <v>419626.48179357703</v>
      </c>
      <c r="V106" s="703">
        <v>405754.056635988</v>
      </c>
      <c r="W106" s="703">
        <v>396395.62984704599</v>
      </c>
      <c r="X106" s="703">
        <v>395399.90017073101</v>
      </c>
      <c r="Y106" s="703">
        <v>414185.90661215899</v>
      </c>
      <c r="Z106" s="703">
        <v>437522.70216504199</v>
      </c>
      <c r="AA106" s="703">
        <v>426095.948986793</v>
      </c>
      <c r="AB106" s="703">
        <v>413844.56249572098</v>
      </c>
      <c r="AC106" s="703">
        <v>399261.79739817302</v>
      </c>
      <c r="AD106" s="703">
        <v>397609.15307210298</v>
      </c>
      <c r="AE106" s="703">
        <v>407672.77746564202</v>
      </c>
      <c r="AF106" s="697">
        <f t="shared" si="3"/>
        <v>408715.72823835269</v>
      </c>
    </row>
    <row r="107" spans="1:32">
      <c r="A107" s="572"/>
      <c r="O107" s="235">
        <f t="shared" si="2"/>
        <v>0</v>
      </c>
      <c r="AF107" s="697">
        <f t="shared" si="3"/>
        <v>0</v>
      </c>
    </row>
    <row r="108" spans="1:32">
      <c r="A108" s="702" t="s">
        <v>1889</v>
      </c>
      <c r="B108" s="698"/>
      <c r="C108" s="698"/>
      <c r="D108" s="698"/>
      <c r="E108" s="698"/>
      <c r="F108" s="698"/>
      <c r="G108" s="698"/>
      <c r="H108" s="698"/>
      <c r="I108" s="698"/>
      <c r="J108" s="698"/>
      <c r="K108" s="698"/>
      <c r="L108" s="698"/>
      <c r="M108" s="698"/>
      <c r="N108" s="698"/>
      <c r="O108" s="235">
        <f t="shared" si="2"/>
        <v>0</v>
      </c>
      <c r="P108" s="698"/>
      <c r="Q108" s="698"/>
      <c r="R108" s="698"/>
      <c r="S108" s="698"/>
      <c r="T108" s="698"/>
      <c r="U108" s="698"/>
      <c r="V108" s="698"/>
      <c r="W108" s="698"/>
      <c r="X108" s="698"/>
      <c r="Y108" s="698"/>
      <c r="Z108" s="698"/>
      <c r="AA108" s="698"/>
      <c r="AB108" s="698"/>
      <c r="AC108" s="698"/>
      <c r="AD108" s="698"/>
      <c r="AE108" s="698"/>
      <c r="AF108" s="697">
        <f t="shared" si="3"/>
        <v>0</v>
      </c>
    </row>
    <row r="109" spans="1:32">
      <c r="A109" s="572" t="s">
        <v>1890</v>
      </c>
      <c r="B109" s="698"/>
      <c r="C109" s="698"/>
      <c r="D109" s="698"/>
      <c r="E109" s="698"/>
      <c r="F109" s="698"/>
      <c r="G109" s="698"/>
      <c r="H109" s="698"/>
      <c r="I109" s="698"/>
      <c r="J109" s="698"/>
      <c r="K109" s="698"/>
      <c r="L109" s="698"/>
      <c r="M109" s="698"/>
      <c r="N109" s="698"/>
      <c r="O109" s="235">
        <f t="shared" si="2"/>
        <v>0</v>
      </c>
      <c r="P109" s="698"/>
      <c r="Q109" s="698"/>
      <c r="R109" s="698"/>
      <c r="S109" s="698"/>
      <c r="T109" s="698"/>
      <c r="U109" s="698"/>
      <c r="V109" s="698"/>
      <c r="W109" s="698"/>
      <c r="X109" s="698"/>
      <c r="Y109" s="698"/>
      <c r="Z109" s="698"/>
      <c r="AA109" s="698"/>
      <c r="AB109" s="698"/>
      <c r="AC109" s="698"/>
      <c r="AD109" s="698"/>
      <c r="AE109" s="698"/>
      <c r="AF109" s="697">
        <f t="shared" si="3"/>
        <v>0</v>
      </c>
    </row>
    <row r="110" spans="1:32">
      <c r="A110" s="572" t="s">
        <v>2207</v>
      </c>
      <c r="B110" s="696">
        <v>16094.100329999999</v>
      </c>
      <c r="C110" s="696">
        <v>15944.47445</v>
      </c>
      <c r="D110" s="696">
        <v>15799.67524</v>
      </c>
      <c r="E110" s="696">
        <v>15650.04933</v>
      </c>
      <c r="F110" s="696">
        <v>20112.976630000001</v>
      </c>
      <c r="G110" s="696">
        <v>20465.0448599999</v>
      </c>
      <c r="H110" s="696">
        <v>20620.017339999999</v>
      </c>
      <c r="I110" s="696">
        <v>20461.150557610901</v>
      </c>
      <c r="J110" s="696">
        <v>20296.988215808899</v>
      </c>
      <c r="K110" s="696">
        <v>20172.636263295699</v>
      </c>
      <c r="L110" s="696">
        <v>20044.139245698701</v>
      </c>
      <c r="M110" s="696">
        <v>19915.6422281017</v>
      </c>
      <c r="N110" s="696">
        <v>19799.580405756002</v>
      </c>
      <c r="O110" s="235">
        <f t="shared" si="2"/>
        <v>18875.113468943982</v>
      </c>
      <c r="P110" s="696">
        <v>19671.083388159001</v>
      </c>
      <c r="Q110" s="696">
        <v>19546.731435645801</v>
      </c>
      <c r="R110" s="696">
        <v>19418.234418048902</v>
      </c>
      <c r="S110" s="696">
        <v>22872.193726287798</v>
      </c>
      <c r="T110" s="696">
        <v>22756.550027997899</v>
      </c>
      <c r="U110" s="696">
        <v>22640.906329707901</v>
      </c>
      <c r="V110" s="696">
        <v>22528.788555309999</v>
      </c>
      <c r="W110" s="696">
        <v>22413.144857020099</v>
      </c>
      <c r="X110" s="696">
        <v>22301.0270826222</v>
      </c>
      <c r="Y110" s="696">
        <v>22185.383384332199</v>
      </c>
      <c r="Z110" s="696">
        <v>22069.7396860423</v>
      </c>
      <c r="AA110" s="696">
        <v>21964.673759428399</v>
      </c>
      <c r="AB110" s="696">
        <v>21849.030061138499</v>
      </c>
      <c r="AC110" s="696">
        <v>21736.9122867406</v>
      </c>
      <c r="AD110" s="696">
        <v>21621.268588450599</v>
      </c>
      <c r="AE110" s="696">
        <v>21509.1508140527</v>
      </c>
      <c r="AF110" s="697">
        <f t="shared" si="3"/>
        <v>22188.366858394707</v>
      </c>
    </row>
    <row r="111" spans="1:32">
      <c r="A111" s="572" t="s">
        <v>2208</v>
      </c>
      <c r="B111" s="696">
        <v>1673.0790199999999</v>
      </c>
      <c r="C111" s="696">
        <v>1636.7077400000001</v>
      </c>
      <c r="D111" s="696">
        <v>1601.50972</v>
      </c>
      <c r="E111" s="696">
        <v>1565.1384399999999</v>
      </c>
      <c r="F111" s="696">
        <v>1529.9404299999901</v>
      </c>
      <c r="G111" s="696">
        <v>1493.5691399999901</v>
      </c>
      <c r="H111" s="696">
        <v>1457.19786</v>
      </c>
      <c r="I111" s="696">
        <v>1421.9985532409</v>
      </c>
      <c r="J111" s="696">
        <v>1385.6259362564899</v>
      </c>
      <c r="K111" s="696">
        <v>1350.4266294974</v>
      </c>
      <c r="L111" s="696">
        <v>1314.0540125129901</v>
      </c>
      <c r="M111" s="696">
        <v>1617.68139552859</v>
      </c>
      <c r="N111" s="696">
        <v>1592.89802572553</v>
      </c>
      <c r="O111" s="235">
        <f t="shared" si="2"/>
        <v>1510.755915597068</v>
      </c>
      <c r="P111" s="696">
        <v>1565.4592948721399</v>
      </c>
      <c r="Q111" s="696">
        <v>1538.90568436885</v>
      </c>
      <c r="R111" s="696">
        <v>1511.4669535154601</v>
      </c>
      <c r="S111" s="696">
        <v>1484.9133430121799</v>
      </c>
      <c r="T111" s="696">
        <v>1457.47461215879</v>
      </c>
      <c r="U111" s="696">
        <v>1430.0358813053999</v>
      </c>
      <c r="V111" s="696">
        <v>1403.48227080211</v>
      </c>
      <c r="W111" s="696">
        <v>1376.0435399487201</v>
      </c>
      <c r="X111" s="696">
        <v>1349.4899294454401</v>
      </c>
      <c r="Y111" s="696">
        <v>1322.05119859205</v>
      </c>
      <c r="Z111" s="696">
        <v>1634.6124677386599</v>
      </c>
      <c r="AA111" s="696">
        <v>1609.54127387228</v>
      </c>
      <c r="AB111" s="696">
        <v>1581.78388066308</v>
      </c>
      <c r="AC111" s="696">
        <v>1554.9218872348199</v>
      </c>
      <c r="AD111" s="696">
        <v>1527.1644940256199</v>
      </c>
      <c r="AE111" s="696">
        <v>1500.30250059736</v>
      </c>
      <c r="AF111" s="697">
        <f t="shared" si="3"/>
        <v>1479.3705599535779</v>
      </c>
    </row>
    <row r="112" spans="1:32" ht="15.75" thickBot="1">
      <c r="A112" s="572" t="s">
        <v>1891</v>
      </c>
      <c r="B112" s="701">
        <v>9188.7685600000004</v>
      </c>
      <c r="C112" s="701">
        <v>9134.1709699999992</v>
      </c>
      <c r="D112" s="701">
        <v>9081.3346000000001</v>
      </c>
      <c r="E112" s="701">
        <v>9026.7370100000007</v>
      </c>
      <c r="F112" s="701">
        <v>8973.9006599999993</v>
      </c>
      <c r="G112" s="701">
        <v>8919.3030899999994</v>
      </c>
      <c r="H112" s="701">
        <v>8864.7055099999998</v>
      </c>
      <c r="I112" s="701">
        <v>8811.8669306800402</v>
      </c>
      <c r="J112" s="701">
        <v>8757.2670653827608</v>
      </c>
      <c r="K112" s="701">
        <v>8704.4284860628104</v>
      </c>
      <c r="L112" s="701">
        <v>8649.8286207655201</v>
      </c>
      <c r="M112" s="701">
        <v>8595.2287554682407</v>
      </c>
      <c r="N112" s="701">
        <v>8545.91274810295</v>
      </c>
      <c r="O112" s="235">
        <f t="shared" si="2"/>
        <v>8865.6502312663342</v>
      </c>
      <c r="P112" s="701">
        <v>8491.3128828056597</v>
      </c>
      <c r="Q112" s="701">
        <v>8438.4743034857092</v>
      </c>
      <c r="R112" s="701">
        <v>8383.8744381884298</v>
      </c>
      <c r="S112" s="701">
        <v>8331.0358588684703</v>
      </c>
      <c r="T112" s="701">
        <v>8276.4359935711891</v>
      </c>
      <c r="U112" s="701">
        <v>8221.8361282739006</v>
      </c>
      <c r="V112" s="701">
        <v>8168.9975489539502</v>
      </c>
      <c r="W112" s="701">
        <v>8114.3976836566699</v>
      </c>
      <c r="X112" s="701">
        <v>8061.5591043367103</v>
      </c>
      <c r="Y112" s="701">
        <v>8006.95923903943</v>
      </c>
      <c r="Z112" s="701">
        <v>7952.3593737421497</v>
      </c>
      <c r="AA112" s="701">
        <v>7903.0433663768599</v>
      </c>
      <c r="AB112" s="701">
        <v>7848.4435010795696</v>
      </c>
      <c r="AC112" s="701">
        <v>7795.6049217596201</v>
      </c>
      <c r="AD112" s="701">
        <v>7741.0050564623398</v>
      </c>
      <c r="AE112" s="701">
        <v>7688.1664771423902</v>
      </c>
      <c r="AF112" s="697">
        <f t="shared" si="3"/>
        <v>8008.4495579433269</v>
      </c>
    </row>
    <row r="113" spans="1:32">
      <c r="A113" s="572" t="s">
        <v>1890</v>
      </c>
      <c r="B113" s="696">
        <v>26955.947909999999</v>
      </c>
      <c r="C113" s="696">
        <v>26715.353159999999</v>
      </c>
      <c r="D113" s="696">
        <v>26482.519560000001</v>
      </c>
      <c r="E113" s="696">
        <v>26241.924780000001</v>
      </c>
      <c r="F113" s="696">
        <v>30616.817719999999</v>
      </c>
      <c r="G113" s="696">
        <v>30877.917089999901</v>
      </c>
      <c r="H113" s="696">
        <v>30941.920709999999</v>
      </c>
      <c r="I113" s="696">
        <v>30695.016041531799</v>
      </c>
      <c r="J113" s="696">
        <v>30439.881217448099</v>
      </c>
      <c r="K113" s="696">
        <v>30227.491378855899</v>
      </c>
      <c r="L113" s="696">
        <v>30008.021878977201</v>
      </c>
      <c r="M113" s="696">
        <v>30128.552379098499</v>
      </c>
      <c r="N113" s="696">
        <v>29938.391179584502</v>
      </c>
      <c r="O113" s="235">
        <f t="shared" si="2"/>
        <v>29251.519615807378</v>
      </c>
      <c r="P113" s="696">
        <v>29727.8555658369</v>
      </c>
      <c r="Q113" s="696">
        <v>29524.111423500399</v>
      </c>
      <c r="R113" s="696">
        <v>29313.575809752801</v>
      </c>
      <c r="S113" s="696">
        <v>32688.142928168501</v>
      </c>
      <c r="T113" s="696">
        <v>32490.4606337279</v>
      </c>
      <c r="U113" s="696">
        <v>32292.778339287201</v>
      </c>
      <c r="V113" s="696">
        <v>32101.268375066102</v>
      </c>
      <c r="W113" s="696">
        <v>31903.5860806255</v>
      </c>
      <c r="X113" s="696">
        <v>31712.0761164043</v>
      </c>
      <c r="Y113" s="696">
        <v>31514.393821963698</v>
      </c>
      <c r="Z113" s="696">
        <v>31656.711527523101</v>
      </c>
      <c r="AA113" s="696">
        <v>31477.258399677601</v>
      </c>
      <c r="AB113" s="696">
        <v>31279.257442881099</v>
      </c>
      <c r="AC113" s="696">
        <v>31087.439095735001</v>
      </c>
      <c r="AD113" s="696">
        <v>30889.4381389386</v>
      </c>
      <c r="AE113" s="696">
        <v>30697.619791792498</v>
      </c>
      <c r="AF113" s="697">
        <f t="shared" si="3"/>
        <v>31676.186976291625</v>
      </c>
    </row>
    <row r="114" spans="1:32">
      <c r="A114" s="572"/>
      <c r="B114" s="698"/>
      <c r="C114" s="698"/>
      <c r="D114" s="698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235">
        <f t="shared" si="2"/>
        <v>0</v>
      </c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7">
        <f t="shared" si="3"/>
        <v>0</v>
      </c>
    </row>
    <row r="115" spans="1:32">
      <c r="A115" s="572" t="s">
        <v>1892</v>
      </c>
      <c r="B115" s="698"/>
      <c r="C115" s="698"/>
      <c r="D115" s="698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235">
        <f t="shared" si="2"/>
        <v>0</v>
      </c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7">
        <f t="shared" si="3"/>
        <v>0</v>
      </c>
    </row>
    <row r="116" spans="1:32">
      <c r="A116" s="572" t="s">
        <v>1893</v>
      </c>
      <c r="B116" s="696">
        <v>123416.27383999999</v>
      </c>
      <c r="C116" s="696">
        <v>124481.82883</v>
      </c>
      <c r="D116" s="696">
        <v>124481.82883</v>
      </c>
      <c r="E116" s="696">
        <v>124481.82883</v>
      </c>
      <c r="F116" s="696">
        <v>123039.81838</v>
      </c>
      <c r="G116" s="696">
        <v>123039.81838</v>
      </c>
      <c r="H116" s="696">
        <v>122482.583839999</v>
      </c>
      <c r="I116" s="696">
        <v>122482.583839999</v>
      </c>
      <c r="J116" s="696">
        <v>122482.583839999</v>
      </c>
      <c r="K116" s="696">
        <v>122482.583839999</v>
      </c>
      <c r="L116" s="696">
        <v>122482.583839999</v>
      </c>
      <c r="M116" s="696">
        <v>122482.583839999</v>
      </c>
      <c r="N116" s="696">
        <v>122482.583839999</v>
      </c>
      <c r="O116" s="235">
        <f t="shared" si="2"/>
        <v>123101.49876692255</v>
      </c>
      <c r="P116" s="696">
        <v>122482.583839999</v>
      </c>
      <c r="Q116" s="696">
        <v>122482.583839999</v>
      </c>
      <c r="R116" s="696">
        <v>122482.583839999</v>
      </c>
      <c r="S116" s="696">
        <v>122482.583839999</v>
      </c>
      <c r="T116" s="696">
        <v>122482.583839999</v>
      </c>
      <c r="U116" s="696">
        <v>122482.583839999</v>
      </c>
      <c r="V116" s="696">
        <v>122482.583839999</v>
      </c>
      <c r="W116" s="696">
        <v>122482.583839999</v>
      </c>
      <c r="X116" s="696">
        <v>122482.583839999</v>
      </c>
      <c r="Y116" s="696">
        <v>122482.583839999</v>
      </c>
      <c r="Z116" s="696">
        <v>122482.583839999</v>
      </c>
      <c r="AA116" s="696">
        <v>122482.583839999</v>
      </c>
      <c r="AB116" s="696">
        <v>122482.583839999</v>
      </c>
      <c r="AC116" s="696">
        <v>122482.583839999</v>
      </c>
      <c r="AD116" s="696">
        <v>122482.583839999</v>
      </c>
      <c r="AE116" s="696">
        <v>122482.583839999</v>
      </c>
      <c r="AF116" s="697">
        <f t="shared" si="3"/>
        <v>122482.58383999903</v>
      </c>
    </row>
    <row r="117" spans="1:32">
      <c r="A117" s="572" t="s">
        <v>1894</v>
      </c>
      <c r="B117" s="696">
        <v>190029.52381000001</v>
      </c>
      <c r="C117" s="696">
        <v>188376.93943</v>
      </c>
      <c r="D117" s="696">
        <v>188376.93943</v>
      </c>
      <c r="E117" s="696">
        <v>188376.93943</v>
      </c>
      <c r="F117" s="696">
        <v>186588.18838000001</v>
      </c>
      <c r="G117" s="696">
        <v>186588.18838000001</v>
      </c>
      <c r="H117" s="696">
        <v>186637.35945999899</v>
      </c>
      <c r="I117" s="696">
        <v>186637.35945999899</v>
      </c>
      <c r="J117" s="696">
        <v>186637.35945999899</v>
      </c>
      <c r="K117" s="696">
        <v>186637.35945999899</v>
      </c>
      <c r="L117" s="696">
        <v>186637.35945999899</v>
      </c>
      <c r="M117" s="696">
        <v>186637.35945999899</v>
      </c>
      <c r="N117" s="696">
        <v>186637.35945999899</v>
      </c>
      <c r="O117" s="235">
        <f t="shared" si="2"/>
        <v>187292.17192923024</v>
      </c>
      <c r="P117" s="696">
        <v>186637.35945999899</v>
      </c>
      <c r="Q117" s="696">
        <v>186637.35945999899</v>
      </c>
      <c r="R117" s="696">
        <v>186637.35945999899</v>
      </c>
      <c r="S117" s="696">
        <v>186637.35945999899</v>
      </c>
      <c r="T117" s="696">
        <v>186637.35945999899</v>
      </c>
      <c r="U117" s="696">
        <v>186637.35945999899</v>
      </c>
      <c r="V117" s="696">
        <v>186637.35945999899</v>
      </c>
      <c r="W117" s="696">
        <v>186637.35945999899</v>
      </c>
      <c r="X117" s="696">
        <v>186637.35945999899</v>
      </c>
      <c r="Y117" s="696">
        <v>186637.35945999899</v>
      </c>
      <c r="Z117" s="696">
        <v>186637.35945999899</v>
      </c>
      <c r="AA117" s="696">
        <v>186637.35945999899</v>
      </c>
      <c r="AB117" s="696">
        <v>186637.35945999899</v>
      </c>
      <c r="AC117" s="696">
        <v>186637.35945999899</v>
      </c>
      <c r="AD117" s="696">
        <v>186637.35945999899</v>
      </c>
      <c r="AE117" s="696">
        <v>186637.35945999899</v>
      </c>
      <c r="AF117" s="697">
        <f t="shared" si="3"/>
        <v>186637.35945999899</v>
      </c>
    </row>
    <row r="118" spans="1:32" ht="15.75" thickBot="1">
      <c r="A118" s="572" t="s">
        <v>1895</v>
      </c>
      <c r="B118" s="701">
        <v>0</v>
      </c>
      <c r="C118" s="701">
        <v>0</v>
      </c>
      <c r="D118" s="701">
        <v>0</v>
      </c>
      <c r="E118" s="701">
        <v>0</v>
      </c>
      <c r="F118" s="701">
        <v>0</v>
      </c>
      <c r="G118" s="701">
        <v>0</v>
      </c>
      <c r="H118" s="701">
        <v>0</v>
      </c>
      <c r="I118" s="701">
        <v>0</v>
      </c>
      <c r="J118" s="701">
        <v>0</v>
      </c>
      <c r="K118" s="701">
        <v>0</v>
      </c>
      <c r="L118" s="701">
        <v>0</v>
      </c>
      <c r="M118" s="701">
        <v>0</v>
      </c>
      <c r="N118" s="701">
        <v>0</v>
      </c>
      <c r="O118" s="235">
        <f t="shared" si="2"/>
        <v>0</v>
      </c>
      <c r="P118" s="701">
        <v>0</v>
      </c>
      <c r="Q118" s="701">
        <v>0</v>
      </c>
      <c r="R118" s="701">
        <v>0</v>
      </c>
      <c r="S118" s="701">
        <v>0</v>
      </c>
      <c r="T118" s="701">
        <v>0</v>
      </c>
      <c r="U118" s="701">
        <v>0</v>
      </c>
      <c r="V118" s="701">
        <v>0</v>
      </c>
      <c r="W118" s="701">
        <v>0</v>
      </c>
      <c r="X118" s="701">
        <v>0</v>
      </c>
      <c r="Y118" s="701">
        <v>0</v>
      </c>
      <c r="Z118" s="701">
        <v>0</v>
      </c>
      <c r="AA118" s="701">
        <v>0</v>
      </c>
      <c r="AB118" s="701">
        <v>0</v>
      </c>
      <c r="AC118" s="701">
        <v>0</v>
      </c>
      <c r="AD118" s="701">
        <v>0</v>
      </c>
      <c r="AE118" s="701">
        <v>0</v>
      </c>
      <c r="AF118" s="697">
        <f t="shared" si="3"/>
        <v>0</v>
      </c>
    </row>
    <row r="119" spans="1:32">
      <c r="A119" s="572" t="s">
        <v>1892</v>
      </c>
      <c r="B119" s="696">
        <v>313445.79765000002</v>
      </c>
      <c r="C119" s="696">
        <v>312858.76825999998</v>
      </c>
      <c r="D119" s="696">
        <v>312858.76825999998</v>
      </c>
      <c r="E119" s="696">
        <v>312858.76825999998</v>
      </c>
      <c r="F119" s="696">
        <v>309628.00676000002</v>
      </c>
      <c r="G119" s="696">
        <v>309628.00676000002</v>
      </c>
      <c r="H119" s="696">
        <v>309119.94329999998</v>
      </c>
      <c r="I119" s="696">
        <v>309119.94329999998</v>
      </c>
      <c r="J119" s="696">
        <v>309119.94329999998</v>
      </c>
      <c r="K119" s="696">
        <v>309119.94329999998</v>
      </c>
      <c r="L119" s="696">
        <v>309119.94329999998</v>
      </c>
      <c r="M119" s="696">
        <v>309119.94329999998</v>
      </c>
      <c r="N119" s="696">
        <v>309119.94329999998</v>
      </c>
      <c r="O119" s="235">
        <f t="shared" si="2"/>
        <v>310393.67069615383</v>
      </c>
      <c r="P119" s="696">
        <v>309119.94329999998</v>
      </c>
      <c r="Q119" s="696">
        <v>309119.94329999998</v>
      </c>
      <c r="R119" s="696">
        <v>309119.94329999998</v>
      </c>
      <c r="S119" s="696">
        <v>309119.94329999998</v>
      </c>
      <c r="T119" s="696">
        <v>309119.94329999998</v>
      </c>
      <c r="U119" s="696">
        <v>309119.94329999998</v>
      </c>
      <c r="V119" s="696">
        <v>309119.94329999998</v>
      </c>
      <c r="W119" s="696">
        <v>309119.94329999998</v>
      </c>
      <c r="X119" s="696">
        <v>309119.94329999998</v>
      </c>
      <c r="Y119" s="696">
        <v>309119.94329999998</v>
      </c>
      <c r="Z119" s="696">
        <v>309119.94329999998</v>
      </c>
      <c r="AA119" s="696">
        <v>309119.94329999998</v>
      </c>
      <c r="AB119" s="696">
        <v>309119.94329999998</v>
      </c>
      <c r="AC119" s="696">
        <v>309119.94329999998</v>
      </c>
      <c r="AD119" s="696">
        <v>309119.94329999998</v>
      </c>
      <c r="AE119" s="696">
        <v>309119.94329999998</v>
      </c>
      <c r="AF119" s="697">
        <f t="shared" si="3"/>
        <v>309119.94329999998</v>
      </c>
    </row>
    <row r="120" spans="1:32">
      <c r="A120" s="572"/>
      <c r="B120" s="698"/>
      <c r="C120" s="698"/>
      <c r="D120" s="698"/>
      <c r="E120" s="698"/>
      <c r="F120" s="698"/>
      <c r="G120" s="698"/>
      <c r="H120" s="698"/>
      <c r="I120" s="698"/>
      <c r="J120" s="698"/>
      <c r="K120" s="698"/>
      <c r="L120" s="698"/>
      <c r="M120" s="698"/>
      <c r="N120" s="698"/>
      <c r="O120" s="235">
        <f t="shared" si="2"/>
        <v>0</v>
      </c>
      <c r="P120" s="698"/>
      <c r="Q120" s="698"/>
      <c r="R120" s="698"/>
      <c r="S120" s="698"/>
      <c r="T120" s="698"/>
      <c r="U120" s="698"/>
      <c r="V120" s="698"/>
      <c r="W120" s="698"/>
      <c r="X120" s="698"/>
      <c r="Y120" s="698"/>
      <c r="Z120" s="698"/>
      <c r="AA120" s="698"/>
      <c r="AB120" s="698"/>
      <c r="AC120" s="698"/>
      <c r="AD120" s="698"/>
      <c r="AE120" s="698"/>
      <c r="AF120" s="697">
        <f t="shared" si="3"/>
        <v>0</v>
      </c>
    </row>
    <row r="121" spans="1:32">
      <c r="A121" s="572" t="s">
        <v>1896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235">
        <f t="shared" si="2"/>
        <v>0</v>
      </c>
      <c r="P121" s="698"/>
      <c r="Q121" s="698"/>
      <c r="R121" s="698"/>
      <c r="S121" s="698"/>
      <c r="T121" s="698"/>
      <c r="U121" s="698"/>
      <c r="V121" s="698"/>
      <c r="W121" s="698"/>
      <c r="X121" s="698"/>
      <c r="Y121" s="698"/>
      <c r="Z121" s="698"/>
      <c r="AA121" s="698"/>
      <c r="AB121" s="698"/>
      <c r="AC121" s="698"/>
      <c r="AD121" s="698"/>
      <c r="AE121" s="698"/>
      <c r="AF121" s="697">
        <f t="shared" si="3"/>
        <v>0</v>
      </c>
    </row>
    <row r="122" spans="1:32">
      <c r="A122" s="572" t="s">
        <v>1897</v>
      </c>
      <c r="B122" s="696">
        <v>33820.348079999902</v>
      </c>
      <c r="C122" s="696">
        <v>33595.542049999996</v>
      </c>
      <c r="D122" s="696">
        <v>33595.542049999996</v>
      </c>
      <c r="E122" s="696">
        <v>33595.542049999996</v>
      </c>
      <c r="F122" s="696">
        <v>33362.844539999998</v>
      </c>
      <c r="G122" s="696">
        <v>33362.844539999998</v>
      </c>
      <c r="H122" s="696">
        <v>33514.7981</v>
      </c>
      <c r="I122" s="696">
        <v>33316.283432506199</v>
      </c>
      <c r="J122" s="696">
        <v>33316.283432506199</v>
      </c>
      <c r="K122" s="696">
        <v>33316.283432506199</v>
      </c>
      <c r="L122" s="696">
        <v>33117.768765012501</v>
      </c>
      <c r="M122" s="696">
        <v>33117.768765012501</v>
      </c>
      <c r="N122" s="696">
        <v>33117.768765012501</v>
      </c>
      <c r="O122" s="235">
        <f t="shared" si="2"/>
        <v>33396.124461735075</v>
      </c>
      <c r="P122" s="696">
        <v>32899.055050208597</v>
      </c>
      <c r="Q122" s="696">
        <v>32899.055050208597</v>
      </c>
      <c r="R122" s="696">
        <v>32899.055050208597</v>
      </c>
      <c r="S122" s="696">
        <v>32680.341335404701</v>
      </c>
      <c r="T122" s="696">
        <v>32680.341335404701</v>
      </c>
      <c r="U122" s="696">
        <v>32680.341335404701</v>
      </c>
      <c r="V122" s="696">
        <v>32477.835539788099</v>
      </c>
      <c r="W122" s="696">
        <v>32477.835539788099</v>
      </c>
      <c r="X122" s="696">
        <v>32477.835539788099</v>
      </c>
      <c r="Y122" s="696">
        <v>32275.3297441715</v>
      </c>
      <c r="Z122" s="696">
        <v>32275.3297441715</v>
      </c>
      <c r="AA122" s="696">
        <v>32275.3297441715</v>
      </c>
      <c r="AB122" s="696">
        <v>32109.225122104199</v>
      </c>
      <c r="AC122" s="696">
        <v>32109.225122104199</v>
      </c>
      <c r="AD122" s="696">
        <v>32109.225122104199</v>
      </c>
      <c r="AE122" s="696">
        <v>31943.120500036901</v>
      </c>
      <c r="AF122" s="697">
        <f t="shared" si="3"/>
        <v>32351.639671110959</v>
      </c>
    </row>
    <row r="123" spans="1:32">
      <c r="A123" s="572" t="s">
        <v>1898</v>
      </c>
      <c r="B123" s="696">
        <v>127086.01675</v>
      </c>
      <c r="C123" s="696">
        <v>125795.19875</v>
      </c>
      <c r="D123" s="696">
        <v>125795.19875</v>
      </c>
      <c r="E123" s="696">
        <v>125795.19875</v>
      </c>
      <c r="F123" s="696">
        <v>127805.18875</v>
      </c>
      <c r="G123" s="696">
        <v>127805.18875</v>
      </c>
      <c r="H123" s="696">
        <v>126814.94275</v>
      </c>
      <c r="I123" s="696">
        <v>126600.81801945801</v>
      </c>
      <c r="J123" s="696">
        <v>125875.558175201</v>
      </c>
      <c r="K123" s="696">
        <v>125150.29833094501</v>
      </c>
      <c r="L123" s="696">
        <v>130419.142607937</v>
      </c>
      <c r="M123" s="696">
        <v>129564.11173488</v>
      </c>
      <c r="N123" s="696">
        <v>128709.080861824</v>
      </c>
      <c r="O123" s="235">
        <f t="shared" si="2"/>
        <v>127170.45715232653</v>
      </c>
      <c r="P123" s="696">
        <v>128408.57072709</v>
      </c>
      <c r="Q123" s="696">
        <v>127553.53985403301</v>
      </c>
      <c r="R123" s="696">
        <v>126698.508980976</v>
      </c>
      <c r="S123" s="696">
        <v>126397.998846242</v>
      </c>
      <c r="T123" s="696">
        <v>125542.96797318599</v>
      </c>
      <c r="U123" s="696">
        <v>124687.937100129</v>
      </c>
      <c r="V123" s="696">
        <v>124387.426965395</v>
      </c>
      <c r="W123" s="696">
        <v>123532.39609233799</v>
      </c>
      <c r="X123" s="696">
        <v>122677.365219282</v>
      </c>
      <c r="Y123" s="696">
        <v>122376.85508454801</v>
      </c>
      <c r="Z123" s="696">
        <v>121522.003323768</v>
      </c>
      <c r="AA123" s="696">
        <v>120667.151562988</v>
      </c>
      <c r="AB123" s="696">
        <v>120143.564913594</v>
      </c>
      <c r="AC123" s="696">
        <v>119288.713152814</v>
      </c>
      <c r="AD123" s="696">
        <v>118433.861392034</v>
      </c>
      <c r="AE123" s="696">
        <v>117910.27474264</v>
      </c>
      <c r="AF123" s="697">
        <f t="shared" si="3"/>
        <v>122120.65510530445</v>
      </c>
    </row>
    <row r="124" spans="1:32">
      <c r="A124" s="572" t="s">
        <v>1899</v>
      </c>
      <c r="B124" s="696">
        <v>8964.3371599999991</v>
      </c>
      <c r="C124" s="696">
        <v>8638.6720999999998</v>
      </c>
      <c r="D124" s="696">
        <v>8313.0070400000004</v>
      </c>
      <c r="E124" s="696">
        <v>7987.3419799999901</v>
      </c>
      <c r="F124" s="696">
        <v>7661.6769199999999</v>
      </c>
      <c r="G124" s="696">
        <v>7346.5672299999997</v>
      </c>
      <c r="H124" s="696">
        <v>7010.3468000000003</v>
      </c>
      <c r="I124" s="696">
        <v>6684.68174</v>
      </c>
      <c r="J124" s="696">
        <v>6359.0166799999997</v>
      </c>
      <c r="K124" s="696">
        <v>6033.3516200000004</v>
      </c>
      <c r="L124" s="696">
        <v>5707.6865600000001</v>
      </c>
      <c r="M124" s="696">
        <v>5382.0214999999998</v>
      </c>
      <c r="N124" s="696">
        <v>5056.3564399999996</v>
      </c>
      <c r="O124" s="235">
        <f t="shared" si="2"/>
        <v>7011.1587515384608</v>
      </c>
      <c r="P124" s="696">
        <v>4730.6913799999902</v>
      </c>
      <c r="Q124" s="696">
        <v>4405.0263199999899</v>
      </c>
      <c r="R124" s="696">
        <v>4079.3612599999901</v>
      </c>
      <c r="S124" s="696">
        <v>3753.6962899999899</v>
      </c>
      <c r="T124" s="696">
        <v>3713.7633499999902</v>
      </c>
      <c r="U124" s="696">
        <v>3673.83040999999</v>
      </c>
      <c r="V124" s="696">
        <v>3633.8974699999899</v>
      </c>
      <c r="W124" s="696">
        <v>3593.9645299999902</v>
      </c>
      <c r="X124" s="696">
        <v>3554.03158999999</v>
      </c>
      <c r="Y124" s="696">
        <v>3514.0986499999899</v>
      </c>
      <c r="Z124" s="696">
        <v>3474.1657099999902</v>
      </c>
      <c r="AA124" s="696">
        <v>3434.2327699999901</v>
      </c>
      <c r="AB124" s="696">
        <v>3394.2998299999899</v>
      </c>
      <c r="AC124" s="696">
        <v>3354.3668899999898</v>
      </c>
      <c r="AD124" s="696">
        <v>3314.4339499999901</v>
      </c>
      <c r="AE124" s="696">
        <v>3274.5010099999899</v>
      </c>
      <c r="AF124" s="697">
        <f t="shared" si="3"/>
        <v>3514.0986499999904</v>
      </c>
    </row>
    <row r="125" spans="1:32">
      <c r="A125" s="572" t="s">
        <v>1900</v>
      </c>
      <c r="B125" s="696">
        <v>0</v>
      </c>
      <c r="C125" s="696">
        <v>0</v>
      </c>
      <c r="D125" s="696">
        <v>0</v>
      </c>
      <c r="E125" s="696">
        <v>646</v>
      </c>
      <c r="F125" s="696">
        <v>0</v>
      </c>
      <c r="G125" s="696">
        <v>0</v>
      </c>
      <c r="H125" s="696">
        <v>0</v>
      </c>
      <c r="I125" s="696">
        <v>0</v>
      </c>
      <c r="J125" s="696">
        <v>29.985083693218201</v>
      </c>
      <c r="K125" s="696">
        <v>0</v>
      </c>
      <c r="L125" s="696">
        <v>0</v>
      </c>
      <c r="M125" s="696">
        <v>0</v>
      </c>
      <c r="N125" s="696">
        <v>36.369947228643198</v>
      </c>
      <c r="O125" s="235">
        <f t="shared" si="2"/>
        <v>54.796540840143194</v>
      </c>
      <c r="P125" s="696">
        <v>0</v>
      </c>
      <c r="Q125" s="696">
        <v>28.573906193177301</v>
      </c>
      <c r="R125" s="696">
        <v>36.806290724898702</v>
      </c>
      <c r="S125" s="696">
        <v>44.166700000000397</v>
      </c>
      <c r="T125" s="696">
        <v>44.166700000000397</v>
      </c>
      <c r="U125" s="696">
        <v>68.1097329618175</v>
      </c>
      <c r="V125" s="696">
        <v>49.442560940064403</v>
      </c>
      <c r="W125" s="696">
        <v>79.031284615367696</v>
      </c>
      <c r="X125" s="696">
        <v>108.672928934433</v>
      </c>
      <c r="Y125" s="696">
        <v>108.23694506220799</v>
      </c>
      <c r="Z125" s="696">
        <v>186.195934386429</v>
      </c>
      <c r="AA125" s="696">
        <v>104.903181598514</v>
      </c>
      <c r="AB125" s="696">
        <v>105.94173701766201</v>
      </c>
      <c r="AC125" s="696">
        <v>110.78983595539501</v>
      </c>
      <c r="AD125" s="696">
        <v>92.319764681768504</v>
      </c>
      <c r="AE125" s="696">
        <v>76.146937012220704</v>
      </c>
      <c r="AF125" s="697">
        <f t="shared" si="3"/>
        <v>90.624941781990827</v>
      </c>
    </row>
    <row r="126" spans="1:32">
      <c r="A126" s="572" t="s">
        <v>1901</v>
      </c>
      <c r="B126" s="696">
        <v>240884.76035999999</v>
      </c>
      <c r="C126" s="696">
        <v>240764.97177999999</v>
      </c>
      <c r="D126" s="696">
        <v>241598.46595999901</v>
      </c>
      <c r="E126" s="696">
        <v>242262.54744999899</v>
      </c>
      <c r="F126" s="696">
        <v>242901.88149999999</v>
      </c>
      <c r="G126" s="696">
        <v>243769.22165999899</v>
      </c>
      <c r="H126" s="696">
        <v>244469.92564</v>
      </c>
      <c r="I126" s="696">
        <v>245336.428306216</v>
      </c>
      <c r="J126" s="696">
        <v>246110.30719206401</v>
      </c>
      <c r="K126" s="696">
        <v>246949.76561809701</v>
      </c>
      <c r="L126" s="696">
        <v>248295.816505772</v>
      </c>
      <c r="M126" s="696">
        <v>248787.645276992</v>
      </c>
      <c r="N126" s="696">
        <v>249249.63105775701</v>
      </c>
      <c r="O126" s="235">
        <f t="shared" si="2"/>
        <v>244721.64371591498</v>
      </c>
      <c r="P126" s="696">
        <v>249701.05279106699</v>
      </c>
      <c r="Q126" s="696">
        <v>250048.02461002601</v>
      </c>
      <c r="R126" s="696">
        <v>250365.748714838</v>
      </c>
      <c r="S126" s="696">
        <v>250389.96718874501</v>
      </c>
      <c r="T126" s="696">
        <v>250766.88118285601</v>
      </c>
      <c r="U126" s="696">
        <v>251131.81926006099</v>
      </c>
      <c r="V126" s="696">
        <v>251502.770871524</v>
      </c>
      <c r="W126" s="696">
        <v>251901.853285839</v>
      </c>
      <c r="X126" s="696">
        <v>252374.600037978</v>
      </c>
      <c r="Y126" s="696">
        <v>252876.35266794299</v>
      </c>
      <c r="Z126" s="696">
        <v>252903.70310555899</v>
      </c>
      <c r="AA126" s="696">
        <v>252969.02313171301</v>
      </c>
      <c r="AB126" s="696">
        <v>253010.08021423299</v>
      </c>
      <c r="AC126" s="696">
        <v>253047.90266053201</v>
      </c>
      <c r="AD126" s="696">
        <v>253091.703950158</v>
      </c>
      <c r="AE126" s="696">
        <v>253154.93741661601</v>
      </c>
      <c r="AF126" s="697">
        <f t="shared" si="3"/>
        <v>252240.12269028899</v>
      </c>
    </row>
    <row r="127" spans="1:32" ht="15.75" thickBot="1">
      <c r="A127" s="572" t="s">
        <v>1902</v>
      </c>
      <c r="B127" s="701">
        <v>18092.575239999998</v>
      </c>
      <c r="C127" s="701">
        <v>26234.955900000001</v>
      </c>
      <c r="D127" s="701">
        <v>25186.247599999999</v>
      </c>
      <c r="E127" s="701">
        <v>26375.502179999999</v>
      </c>
      <c r="F127" s="701">
        <v>28295.847760000001</v>
      </c>
      <c r="G127" s="701">
        <v>28335.789199999999</v>
      </c>
      <c r="H127" s="701">
        <v>29228.504809999999</v>
      </c>
      <c r="I127" s="701">
        <v>30777.767761294399</v>
      </c>
      <c r="J127" s="701">
        <v>35422.333649392</v>
      </c>
      <c r="K127" s="701">
        <v>34655.774299705001</v>
      </c>
      <c r="L127" s="701">
        <v>34650.310799171202</v>
      </c>
      <c r="M127" s="701">
        <v>34549.060067305101</v>
      </c>
      <c r="N127" s="701">
        <v>34225.624720607098</v>
      </c>
      <c r="O127" s="235">
        <f t="shared" si="2"/>
        <v>29694.637999036528</v>
      </c>
      <c r="P127" s="701">
        <v>34680.807571660902</v>
      </c>
      <c r="Q127" s="701">
        <v>40899.256515170098</v>
      </c>
      <c r="R127" s="701">
        <v>41835.525537129797</v>
      </c>
      <c r="S127" s="701">
        <v>41878.295869089598</v>
      </c>
      <c r="T127" s="701">
        <v>41388.793480339598</v>
      </c>
      <c r="U127" s="701">
        <v>40757.0389178396</v>
      </c>
      <c r="V127" s="701">
        <v>39667.973762839603</v>
      </c>
      <c r="W127" s="701">
        <v>39175.890170339597</v>
      </c>
      <c r="X127" s="701">
        <v>40750.7089515896</v>
      </c>
      <c r="Y127" s="701">
        <v>39722.390844089598</v>
      </c>
      <c r="Z127" s="701">
        <v>39142.551736589601</v>
      </c>
      <c r="AA127" s="701">
        <v>38313.633967839603</v>
      </c>
      <c r="AB127" s="701">
        <v>39770.385576589601</v>
      </c>
      <c r="AC127" s="701">
        <v>39147.116366589602</v>
      </c>
      <c r="AD127" s="701">
        <v>39137.725084089601</v>
      </c>
      <c r="AE127" s="701">
        <v>38480.9276240896</v>
      </c>
      <c r="AF127" s="697">
        <f t="shared" si="3"/>
        <v>39794.879411685753</v>
      </c>
    </row>
    <row r="128" spans="1:32">
      <c r="A128" s="572" t="s">
        <v>1896</v>
      </c>
      <c r="B128" s="696">
        <v>428848.03759000002</v>
      </c>
      <c r="C128" s="696">
        <v>435029.34058000002</v>
      </c>
      <c r="D128" s="696">
        <v>434488.46139999898</v>
      </c>
      <c r="E128" s="696">
        <v>436662.13241000002</v>
      </c>
      <c r="F128" s="696">
        <v>440027.43946999899</v>
      </c>
      <c r="G128" s="696">
        <v>440619.61137999903</v>
      </c>
      <c r="H128" s="696">
        <v>441038.51809999999</v>
      </c>
      <c r="I128" s="696">
        <v>442715.97925947502</v>
      </c>
      <c r="J128" s="696">
        <v>447113.48421285802</v>
      </c>
      <c r="K128" s="696">
        <v>446105.47330125398</v>
      </c>
      <c r="L128" s="696">
        <v>452190.725237893</v>
      </c>
      <c r="M128" s="696">
        <v>451400.60734419001</v>
      </c>
      <c r="N128" s="696">
        <v>450394.83179243002</v>
      </c>
      <c r="O128" s="235">
        <f t="shared" si="2"/>
        <v>442048.81862139207</v>
      </c>
      <c r="P128" s="696">
        <v>450420.17752002698</v>
      </c>
      <c r="Q128" s="696">
        <v>455833.47625563201</v>
      </c>
      <c r="R128" s="696">
        <v>455915.00583387801</v>
      </c>
      <c r="S128" s="696">
        <v>455144.46622948197</v>
      </c>
      <c r="T128" s="696">
        <v>454136.91402178601</v>
      </c>
      <c r="U128" s="696">
        <v>452999.07675639697</v>
      </c>
      <c r="V128" s="696">
        <v>451719.34717048798</v>
      </c>
      <c r="W128" s="696">
        <v>450760.97090292198</v>
      </c>
      <c r="X128" s="696">
        <v>451943.21426757198</v>
      </c>
      <c r="Y128" s="696">
        <v>450873.26393581502</v>
      </c>
      <c r="Z128" s="696">
        <v>449503.94955447398</v>
      </c>
      <c r="AA128" s="696">
        <v>447764.27435830998</v>
      </c>
      <c r="AB128" s="696">
        <v>448533.497393539</v>
      </c>
      <c r="AC128" s="696">
        <v>447058.11402799498</v>
      </c>
      <c r="AD128" s="696">
        <v>446179.26926306798</v>
      </c>
      <c r="AE128" s="696">
        <v>444839.90823039401</v>
      </c>
      <c r="AF128" s="697">
        <f t="shared" si="3"/>
        <v>450112.02047017246</v>
      </c>
    </row>
    <row r="129" spans="1:33">
      <c r="A129" s="572"/>
      <c r="B129" s="698"/>
      <c r="C129" s="698"/>
      <c r="D129" s="698"/>
      <c r="E129" s="698"/>
      <c r="F129" s="698"/>
      <c r="G129" s="698"/>
      <c r="H129" s="698"/>
      <c r="I129" s="698"/>
      <c r="J129" s="698"/>
      <c r="K129" s="698"/>
      <c r="L129" s="698"/>
      <c r="M129" s="698"/>
      <c r="N129" s="698"/>
      <c r="O129" s="235">
        <f t="shared" si="2"/>
        <v>0</v>
      </c>
      <c r="P129" s="698"/>
      <c r="Q129" s="698"/>
      <c r="R129" s="698"/>
      <c r="S129" s="698"/>
      <c r="T129" s="698"/>
      <c r="U129" s="698"/>
      <c r="V129" s="698"/>
      <c r="W129" s="698"/>
      <c r="X129" s="698"/>
      <c r="Y129" s="698"/>
      <c r="Z129" s="698"/>
      <c r="AA129" s="698"/>
      <c r="AB129" s="698"/>
      <c r="AC129" s="698"/>
      <c r="AD129" s="698"/>
      <c r="AE129" s="698"/>
      <c r="AF129" s="697">
        <f t="shared" si="3"/>
        <v>0</v>
      </c>
    </row>
    <row r="130" spans="1:33">
      <c r="A130" s="572" t="s">
        <v>1903</v>
      </c>
      <c r="B130" s="698"/>
      <c r="C130" s="698"/>
      <c r="D130" s="698"/>
      <c r="E130" s="698"/>
      <c r="F130" s="698"/>
      <c r="G130" s="698"/>
      <c r="H130" s="698"/>
      <c r="I130" s="698"/>
      <c r="J130" s="698"/>
      <c r="K130" s="698"/>
      <c r="L130" s="698"/>
      <c r="M130" s="698"/>
      <c r="N130" s="698"/>
      <c r="O130" s="235">
        <f t="shared" si="2"/>
        <v>0</v>
      </c>
      <c r="P130" s="698"/>
      <c r="Q130" s="698"/>
      <c r="R130" s="698"/>
      <c r="S130" s="698"/>
      <c r="T130" s="698"/>
      <c r="U130" s="698"/>
      <c r="V130" s="698"/>
      <c r="W130" s="698"/>
      <c r="X130" s="698"/>
      <c r="Y130" s="698"/>
      <c r="Z130" s="698"/>
      <c r="AA130" s="698"/>
      <c r="AB130" s="698"/>
      <c r="AC130" s="698"/>
      <c r="AD130" s="698"/>
      <c r="AE130" s="698"/>
      <c r="AF130" s="697">
        <f t="shared" si="3"/>
        <v>0</v>
      </c>
    </row>
    <row r="131" spans="1:33">
      <c r="A131" s="572" t="s">
        <v>1904</v>
      </c>
      <c r="B131" s="696">
        <v>2480.6807799999901</v>
      </c>
      <c r="C131" s="696">
        <v>2466.4031099999902</v>
      </c>
      <c r="D131" s="696">
        <v>2480.3259499999999</v>
      </c>
      <c r="E131" s="696">
        <v>2457.7220499999999</v>
      </c>
      <c r="F131" s="696">
        <v>2468.5947700000002</v>
      </c>
      <c r="G131" s="696">
        <v>2364.1570099999999</v>
      </c>
      <c r="H131" s="696">
        <v>1918.4525599999999</v>
      </c>
      <c r="I131" s="696">
        <v>1918.4525599999999</v>
      </c>
      <c r="J131" s="696">
        <v>1918.4525599999999</v>
      </c>
      <c r="K131" s="696">
        <v>1918.4525599999999</v>
      </c>
      <c r="L131" s="696">
        <v>1918.4525599999999</v>
      </c>
      <c r="M131" s="696">
        <v>1918.4525599999999</v>
      </c>
      <c r="N131" s="696">
        <v>1918.4525599999999</v>
      </c>
      <c r="O131" s="235">
        <f t="shared" si="2"/>
        <v>2165.1578146153838</v>
      </c>
      <c r="P131" s="696">
        <v>1918.4525599999999</v>
      </c>
      <c r="Q131" s="696">
        <v>1918.4525599999999</v>
      </c>
      <c r="R131" s="696">
        <v>1918.4525599999999</v>
      </c>
      <c r="S131" s="696">
        <v>1918.4525599999999</v>
      </c>
      <c r="T131" s="696">
        <v>1918.4525599999999</v>
      </c>
      <c r="U131" s="696">
        <v>1918.4525599999999</v>
      </c>
      <c r="V131" s="696">
        <v>1918.4525599999999</v>
      </c>
      <c r="W131" s="696">
        <v>1918.4525599999999</v>
      </c>
      <c r="X131" s="696">
        <v>1918.4525599999999</v>
      </c>
      <c r="Y131" s="696">
        <v>1918.4525599999999</v>
      </c>
      <c r="Z131" s="696">
        <v>1918.4525599999999</v>
      </c>
      <c r="AA131" s="696">
        <v>1918.4525599999999</v>
      </c>
      <c r="AB131" s="696">
        <v>1918.4525599999999</v>
      </c>
      <c r="AC131" s="696">
        <v>1918.4525599999999</v>
      </c>
      <c r="AD131" s="696">
        <v>1918.4525599999999</v>
      </c>
      <c r="AE131" s="696">
        <v>1918.4525599999999</v>
      </c>
      <c r="AF131" s="697">
        <f t="shared" si="3"/>
        <v>1918.4525600000004</v>
      </c>
    </row>
    <row r="132" spans="1:33">
      <c r="A132" s="572" t="s">
        <v>1905</v>
      </c>
      <c r="B132" s="696">
        <v>99.506469999999993</v>
      </c>
      <c r="C132" s="696">
        <v>0</v>
      </c>
      <c r="D132" s="696">
        <v>100.86501</v>
      </c>
      <c r="E132" s="696">
        <v>189.7089</v>
      </c>
      <c r="F132" s="696">
        <v>105.33891</v>
      </c>
      <c r="G132" s="696">
        <v>165.67615000000001</v>
      </c>
      <c r="H132" s="696">
        <v>173.12907000000001</v>
      </c>
      <c r="I132" s="696">
        <v>173.12907000000001</v>
      </c>
      <c r="J132" s="696">
        <v>173.12907000000001</v>
      </c>
      <c r="K132" s="696">
        <v>173.12907000000001</v>
      </c>
      <c r="L132" s="696">
        <v>173.12907000000001</v>
      </c>
      <c r="M132" s="696">
        <v>173.12907000000001</v>
      </c>
      <c r="N132" s="696">
        <v>173.12907000000001</v>
      </c>
      <c r="O132" s="235">
        <f t="shared" si="2"/>
        <v>144.07684076923076</v>
      </c>
      <c r="P132" s="696">
        <v>173.12907000000001</v>
      </c>
      <c r="Q132" s="696">
        <v>173.12907000000001</v>
      </c>
      <c r="R132" s="696">
        <v>173.12907000000001</v>
      </c>
      <c r="S132" s="696">
        <v>173.12907000000001</v>
      </c>
      <c r="T132" s="696">
        <v>173.12907000000001</v>
      </c>
      <c r="U132" s="696">
        <v>173.12907000000001</v>
      </c>
      <c r="V132" s="696">
        <v>173.12907000000001</v>
      </c>
      <c r="W132" s="696">
        <v>173.12907000000001</v>
      </c>
      <c r="X132" s="696">
        <v>173.12907000000001</v>
      </c>
      <c r="Y132" s="696">
        <v>173.12907000000001</v>
      </c>
      <c r="Z132" s="696">
        <v>173.12907000000001</v>
      </c>
      <c r="AA132" s="696">
        <v>173.12907000000001</v>
      </c>
      <c r="AB132" s="696">
        <v>173.12907000000001</v>
      </c>
      <c r="AC132" s="696">
        <v>173.12907000000001</v>
      </c>
      <c r="AD132" s="696">
        <v>173.12907000000001</v>
      </c>
      <c r="AE132" s="696">
        <v>173.12907000000001</v>
      </c>
      <c r="AF132" s="697">
        <f t="shared" si="3"/>
        <v>173.12906999999998</v>
      </c>
    </row>
    <row r="133" spans="1:33">
      <c r="A133" s="572" t="s">
        <v>1906</v>
      </c>
      <c r="B133" s="696">
        <v>-1644.3208199999999</v>
      </c>
      <c r="C133" s="696">
        <v>-51.1279299999999</v>
      </c>
      <c r="D133" s="696">
        <v>-1614.46287999999</v>
      </c>
      <c r="E133" s="696">
        <v>-2664.37671</v>
      </c>
      <c r="F133" s="696">
        <v>-276.57625000000002</v>
      </c>
      <c r="G133" s="696">
        <v>-1365.72255</v>
      </c>
      <c r="H133" s="696">
        <v>-2280.2369399999998</v>
      </c>
      <c r="I133" s="696">
        <v>-2280.2369399999998</v>
      </c>
      <c r="J133" s="696">
        <v>-2280.2369399999998</v>
      </c>
      <c r="K133" s="696">
        <v>-2280.2369399999998</v>
      </c>
      <c r="L133" s="696">
        <v>-2280.2369399999998</v>
      </c>
      <c r="M133" s="696">
        <v>-2280.2369399999998</v>
      </c>
      <c r="N133" s="696">
        <v>-2280.2369399999998</v>
      </c>
      <c r="O133" s="235">
        <f t="shared" si="2"/>
        <v>-1813.711209230768</v>
      </c>
      <c r="P133" s="696">
        <v>-2280.2369399999998</v>
      </c>
      <c r="Q133" s="696">
        <v>-2280.2369399999998</v>
      </c>
      <c r="R133" s="696">
        <v>-2280.2369399999998</v>
      </c>
      <c r="S133" s="696">
        <v>-2280.2369399999998</v>
      </c>
      <c r="T133" s="696">
        <v>-2280.2369399999998</v>
      </c>
      <c r="U133" s="696">
        <v>-2280.2369399999998</v>
      </c>
      <c r="V133" s="696">
        <v>-2280.2369399999998</v>
      </c>
      <c r="W133" s="696">
        <v>-2280.2369399999998</v>
      </c>
      <c r="X133" s="696">
        <v>-2280.2369399999998</v>
      </c>
      <c r="Y133" s="696">
        <v>-2280.2369399999998</v>
      </c>
      <c r="Z133" s="696">
        <v>-2280.2369399999998</v>
      </c>
      <c r="AA133" s="696">
        <v>-2280.2369399999998</v>
      </c>
      <c r="AB133" s="696">
        <v>-2280.2369399999998</v>
      </c>
      <c r="AC133" s="696">
        <v>-2280.2369399999998</v>
      </c>
      <c r="AD133" s="696">
        <v>-2280.2369399999998</v>
      </c>
      <c r="AE133" s="696">
        <v>-2280.2369399999998</v>
      </c>
      <c r="AF133" s="697">
        <f t="shared" si="3"/>
        <v>-2280.2369399999993</v>
      </c>
    </row>
    <row r="134" spans="1:33">
      <c r="A134" s="572" t="s">
        <v>1907</v>
      </c>
      <c r="B134" s="696">
        <v>0</v>
      </c>
      <c r="C134" s="696">
        <v>1741.9380000000001</v>
      </c>
      <c r="D134" s="696">
        <v>0</v>
      </c>
      <c r="E134" s="696">
        <v>0</v>
      </c>
      <c r="F134" s="696">
        <v>4398.8008099999997</v>
      </c>
      <c r="G134" s="696">
        <v>0</v>
      </c>
      <c r="H134" s="696">
        <v>5865.0631399999902</v>
      </c>
      <c r="I134" s="696">
        <v>5865.0631399999902</v>
      </c>
      <c r="J134" s="696">
        <v>5865.0631399999902</v>
      </c>
      <c r="K134" s="696">
        <v>5865.0631399999902</v>
      </c>
      <c r="L134" s="696">
        <v>5865.0631399999902</v>
      </c>
      <c r="M134" s="696">
        <v>5865.0631399999902</v>
      </c>
      <c r="N134" s="696">
        <v>5865.0631399999902</v>
      </c>
      <c r="O134" s="235">
        <f t="shared" si="2"/>
        <v>3630.4754453846103</v>
      </c>
      <c r="P134" s="696">
        <v>5865.0631399999902</v>
      </c>
      <c r="Q134" s="696">
        <v>5865.0631399999902</v>
      </c>
      <c r="R134" s="696">
        <v>5865.0631399999902</v>
      </c>
      <c r="S134" s="696">
        <v>5865.0631399999902</v>
      </c>
      <c r="T134" s="696">
        <v>5865.0631399999902</v>
      </c>
      <c r="U134" s="696">
        <v>5865.0631399999902</v>
      </c>
      <c r="V134" s="696">
        <v>5865.0631399999902</v>
      </c>
      <c r="W134" s="696">
        <v>5865.0631399999902</v>
      </c>
      <c r="X134" s="696">
        <v>5865.0631399999902</v>
      </c>
      <c r="Y134" s="696">
        <v>5865.0631399999902</v>
      </c>
      <c r="Z134" s="696">
        <v>5865.0631399999902</v>
      </c>
      <c r="AA134" s="696">
        <v>5865.0631399999902</v>
      </c>
      <c r="AB134" s="696">
        <v>5865.0631399999902</v>
      </c>
      <c r="AC134" s="696">
        <v>5865.0631399999902</v>
      </c>
      <c r="AD134" s="696">
        <v>5865.0631399999902</v>
      </c>
      <c r="AE134" s="696">
        <v>5865.0631399999902</v>
      </c>
      <c r="AF134" s="697">
        <f t="shared" si="3"/>
        <v>5865.0631399999893</v>
      </c>
    </row>
    <row r="135" spans="1:33">
      <c r="A135" s="572" t="s">
        <v>1908</v>
      </c>
      <c r="B135" s="696">
        <v>-2484.01637999997</v>
      </c>
      <c r="C135" s="696">
        <v>-2374.1986399999601</v>
      </c>
      <c r="D135" s="696">
        <v>-2520.5227299999801</v>
      </c>
      <c r="E135" s="696">
        <v>-2966.9876799999602</v>
      </c>
      <c r="F135" s="696">
        <v>-3180.2398699999499</v>
      </c>
      <c r="G135" s="696">
        <v>-3077.64553999997</v>
      </c>
      <c r="H135" s="696">
        <v>-2784.64301999998</v>
      </c>
      <c r="I135" s="696">
        <v>-2784.64301999998</v>
      </c>
      <c r="J135" s="696">
        <v>-2784.64301999998</v>
      </c>
      <c r="K135" s="696">
        <v>-2784.64301999998</v>
      </c>
      <c r="L135" s="696">
        <v>-2784.64301999998</v>
      </c>
      <c r="M135" s="696">
        <v>-2784.64301999998</v>
      </c>
      <c r="N135" s="696">
        <v>-2784.64301999998</v>
      </c>
      <c r="O135" s="235">
        <f t="shared" si="2"/>
        <v>-2776.6239984615122</v>
      </c>
      <c r="P135" s="696">
        <v>-2784.64301999998</v>
      </c>
      <c r="Q135" s="696">
        <v>-2784.64301999998</v>
      </c>
      <c r="R135" s="696">
        <v>-2784.64301999998</v>
      </c>
      <c r="S135" s="696">
        <v>-2784.64301999998</v>
      </c>
      <c r="T135" s="696">
        <v>-2784.64301999998</v>
      </c>
      <c r="U135" s="696">
        <v>-2784.64301999998</v>
      </c>
      <c r="V135" s="696">
        <v>-2784.64301999998</v>
      </c>
      <c r="W135" s="696">
        <v>-2784.64301999998</v>
      </c>
      <c r="X135" s="696">
        <v>-2784.64301999998</v>
      </c>
      <c r="Y135" s="696">
        <v>-2784.64301999998</v>
      </c>
      <c r="Z135" s="696">
        <v>-2784.64301999998</v>
      </c>
      <c r="AA135" s="696">
        <v>-2784.64301999998</v>
      </c>
      <c r="AB135" s="696">
        <v>-2784.64301999998</v>
      </c>
      <c r="AC135" s="696">
        <v>-2784.64301999998</v>
      </c>
      <c r="AD135" s="696">
        <v>-2784.64301999998</v>
      </c>
      <c r="AE135" s="696">
        <v>-2784.64301999998</v>
      </c>
      <c r="AF135" s="697">
        <f t="shared" si="3"/>
        <v>-2784.6430199999809</v>
      </c>
    </row>
    <row r="136" spans="1:33">
      <c r="A136" s="572" t="s">
        <v>1909</v>
      </c>
      <c r="B136" s="696">
        <v>4453.6547099999998</v>
      </c>
      <c r="C136" s="696">
        <v>1596.43238</v>
      </c>
      <c r="D136" s="696">
        <v>2709.4548399999999</v>
      </c>
      <c r="E136" s="696">
        <v>4331.3605199999902</v>
      </c>
      <c r="F136" s="696">
        <v>2192.4799799999901</v>
      </c>
      <c r="G136" s="696">
        <v>2248.85628</v>
      </c>
      <c r="H136" s="696">
        <v>2056.6736999999998</v>
      </c>
      <c r="I136" s="696">
        <v>2056.6736999999998</v>
      </c>
      <c r="J136" s="696">
        <v>2056.6736999999998</v>
      </c>
      <c r="K136" s="696">
        <v>2056.6736999999998</v>
      </c>
      <c r="L136" s="696">
        <v>2056.6736999999998</v>
      </c>
      <c r="M136" s="696">
        <v>2056.6736999999998</v>
      </c>
      <c r="N136" s="696">
        <v>2056.6736999999998</v>
      </c>
      <c r="O136" s="235">
        <f t="shared" si="2"/>
        <v>2456.0734315384598</v>
      </c>
      <c r="P136" s="696">
        <v>2056.6736999999998</v>
      </c>
      <c r="Q136" s="696">
        <v>2056.6736999999998</v>
      </c>
      <c r="R136" s="696">
        <v>2056.6736999999998</v>
      </c>
      <c r="S136" s="696">
        <v>2056.6736999999998</v>
      </c>
      <c r="T136" s="696">
        <v>2056.6736999999998</v>
      </c>
      <c r="U136" s="696">
        <v>2056.6736999999998</v>
      </c>
      <c r="V136" s="696">
        <v>2056.6736999999998</v>
      </c>
      <c r="W136" s="696">
        <v>2056.6736999999998</v>
      </c>
      <c r="X136" s="696">
        <v>2056.6736999999998</v>
      </c>
      <c r="Y136" s="696">
        <v>2056.6736999999998</v>
      </c>
      <c r="Z136" s="696">
        <v>2056.6736999999998</v>
      </c>
      <c r="AA136" s="696">
        <v>2056.6736999999998</v>
      </c>
      <c r="AB136" s="696">
        <v>2056.6736999999998</v>
      </c>
      <c r="AC136" s="696">
        <v>2056.6736999999998</v>
      </c>
      <c r="AD136" s="696">
        <v>2056.6736999999998</v>
      </c>
      <c r="AE136" s="696">
        <v>2056.6736999999998</v>
      </c>
      <c r="AF136" s="697">
        <f t="shared" si="3"/>
        <v>2056.6736999999998</v>
      </c>
    </row>
    <row r="137" spans="1:33">
      <c r="A137" s="572" t="s">
        <v>1910</v>
      </c>
      <c r="B137" s="696">
        <v>-138.91792000000001</v>
      </c>
      <c r="C137" s="696">
        <v>-129.75685999999999</v>
      </c>
      <c r="D137" s="696">
        <v>-200.56066999999999</v>
      </c>
      <c r="E137" s="696">
        <v>-264.45443</v>
      </c>
      <c r="F137" s="696">
        <v>3.0250999999999499</v>
      </c>
      <c r="G137" s="696">
        <v>-242.04006000000001</v>
      </c>
      <c r="H137" s="696">
        <v>4.7015999999998703</v>
      </c>
      <c r="I137" s="696">
        <v>4.7015999999998703</v>
      </c>
      <c r="J137" s="696">
        <v>4.7015999999998703</v>
      </c>
      <c r="K137" s="696">
        <v>4.7015999999998703</v>
      </c>
      <c r="L137" s="696">
        <v>4.7015999999998703</v>
      </c>
      <c r="M137" s="696">
        <v>4.7015999999998703</v>
      </c>
      <c r="N137" s="696">
        <v>4.7015999999998703</v>
      </c>
      <c r="O137" s="235">
        <f t="shared" si="2"/>
        <v>-72.29181846153854</v>
      </c>
      <c r="P137" s="696">
        <v>4.7015999999998703</v>
      </c>
      <c r="Q137" s="696">
        <v>4.7015999999998703</v>
      </c>
      <c r="R137" s="696">
        <v>4.7015999999998703</v>
      </c>
      <c r="S137" s="696">
        <v>4.7015999999998703</v>
      </c>
      <c r="T137" s="696">
        <v>4.7015999999998703</v>
      </c>
      <c r="U137" s="696">
        <v>4.7015999999998703</v>
      </c>
      <c r="V137" s="696">
        <v>4.7015999999998703</v>
      </c>
      <c r="W137" s="696">
        <v>4.7015999999998703</v>
      </c>
      <c r="X137" s="696">
        <v>4.7015999999998703</v>
      </c>
      <c r="Y137" s="696">
        <v>4.7015999999998703</v>
      </c>
      <c r="Z137" s="696">
        <v>4.7015999999998703</v>
      </c>
      <c r="AA137" s="696">
        <v>4.7015999999998703</v>
      </c>
      <c r="AB137" s="696">
        <v>4.7015999999998703</v>
      </c>
      <c r="AC137" s="696">
        <v>4.7015999999998703</v>
      </c>
      <c r="AD137" s="696">
        <v>4.7015999999998703</v>
      </c>
      <c r="AE137" s="696">
        <v>4.7015999999998703</v>
      </c>
      <c r="AF137" s="697">
        <f t="shared" si="3"/>
        <v>4.7015999999998703</v>
      </c>
    </row>
    <row r="138" spans="1:33">
      <c r="A138" s="572" t="s">
        <v>2414</v>
      </c>
      <c r="B138" s="696">
        <v>-6.7642299999999898</v>
      </c>
      <c r="C138" s="696">
        <v>22.950880000000002</v>
      </c>
      <c r="D138" s="696">
        <v>-3.5404399999999998</v>
      </c>
      <c r="E138" s="696">
        <v>-1.79541</v>
      </c>
      <c r="F138" s="696">
        <v>26.39743</v>
      </c>
      <c r="G138" s="696">
        <v>9.1619799999999998</v>
      </c>
      <c r="H138" s="696">
        <v>18.106110000000001</v>
      </c>
      <c r="I138" s="696">
        <v>15.411406666668</v>
      </c>
      <c r="J138" s="696">
        <v>10.724793333331</v>
      </c>
      <c r="K138" s="696">
        <v>4.5280599999939497</v>
      </c>
      <c r="L138" s="696">
        <v>1.84703666666499</v>
      </c>
      <c r="M138" s="696">
        <v>12.708422499998999</v>
      </c>
      <c r="N138" s="696">
        <v>20.274078333332898</v>
      </c>
      <c r="O138" s="235">
        <f t="shared" si="2"/>
        <v>10.00077826922999</v>
      </c>
      <c r="P138" s="696">
        <v>30.6322241666659</v>
      </c>
      <c r="Q138" s="696">
        <v>42.856379999997998</v>
      </c>
      <c r="R138" s="696">
        <v>-55.5442841666679</v>
      </c>
      <c r="S138" s="696">
        <v>-65.278598333334799</v>
      </c>
      <c r="T138" s="696">
        <v>-52.372212500003798</v>
      </c>
      <c r="U138" s="696">
        <v>-44.507086666668698</v>
      </c>
      <c r="V138" s="696">
        <v>-31.5859208333368</v>
      </c>
      <c r="W138" s="696">
        <v>-20.595515000004799</v>
      </c>
      <c r="X138" s="696">
        <v>-11.0900491666718</v>
      </c>
      <c r="Y138" s="696">
        <v>1.84703666666052</v>
      </c>
      <c r="Z138" s="696">
        <v>13.3392783333283</v>
      </c>
      <c r="AA138" s="696">
        <v>25.8338699999955</v>
      </c>
      <c r="AB138" s="696">
        <v>36.399981666663798</v>
      </c>
      <c r="AC138" s="696">
        <v>48.900463333332503</v>
      </c>
      <c r="AD138" s="696">
        <v>-56.718405000003202</v>
      </c>
      <c r="AE138" s="696">
        <v>-66.783933333338894</v>
      </c>
      <c r="AF138" s="697">
        <f t="shared" si="3"/>
        <v>-17.123930064106322</v>
      </c>
      <c r="AG138" s="697">
        <f>AF138</f>
        <v>-17.123930064106322</v>
      </c>
    </row>
    <row r="139" spans="1:33">
      <c r="A139" s="572" t="s">
        <v>1911</v>
      </c>
      <c r="B139" s="696">
        <v>35444.931279999997</v>
      </c>
      <c r="C139" s="696">
        <v>35583.808579999997</v>
      </c>
      <c r="D139" s="696">
        <v>35853.3171699999</v>
      </c>
      <c r="E139" s="696">
        <v>35991.827039999996</v>
      </c>
      <c r="F139" s="696">
        <v>33034.043919999996</v>
      </c>
      <c r="G139" s="696">
        <v>33020.266450000003</v>
      </c>
      <c r="H139" s="696">
        <v>33136.1962099999</v>
      </c>
      <c r="I139" s="696">
        <v>33310.879839166599</v>
      </c>
      <c r="J139" s="696">
        <v>33485.563468333297</v>
      </c>
      <c r="K139" s="696">
        <v>33660.247097500003</v>
      </c>
      <c r="L139" s="696">
        <v>33834.9307266666</v>
      </c>
      <c r="M139" s="696">
        <v>33957.438555566601</v>
      </c>
      <c r="N139" s="696">
        <v>34079.946384466602</v>
      </c>
      <c r="O139" s="235">
        <f t="shared" ref="O139:O202" si="4">SUM(B139:N139)/13</f>
        <v>34184.107440130734</v>
      </c>
      <c r="P139" s="696">
        <v>34202.454213366596</v>
      </c>
      <c r="Q139" s="696">
        <v>34324.962042266598</v>
      </c>
      <c r="R139" s="696">
        <v>34447.469871166599</v>
      </c>
      <c r="S139" s="696">
        <v>34569.9777000666</v>
      </c>
      <c r="T139" s="696">
        <v>34692.485528966601</v>
      </c>
      <c r="U139" s="696">
        <v>34814.993357866602</v>
      </c>
      <c r="V139" s="696">
        <v>34937.501186766603</v>
      </c>
      <c r="W139" s="696">
        <v>35060.009015666597</v>
      </c>
      <c r="X139" s="696">
        <v>35182.516844566599</v>
      </c>
      <c r="Y139" s="696">
        <v>35305.0246734666</v>
      </c>
      <c r="Z139" s="696">
        <v>35430.5173085446</v>
      </c>
      <c r="AA139" s="696">
        <v>35556.009943622601</v>
      </c>
      <c r="AB139" s="696">
        <v>35681.502578700602</v>
      </c>
      <c r="AC139" s="696">
        <v>35806.995213778602</v>
      </c>
      <c r="AD139" s="696">
        <v>35932.487848856603</v>
      </c>
      <c r="AE139" s="696">
        <v>36057.980483934603</v>
      </c>
      <c r="AF139" s="697">
        <f t="shared" ref="AF139:AF202" si="5">SUM(S139:AE139)/13</f>
        <v>35309.846283446452</v>
      </c>
    </row>
    <row r="140" spans="1:33">
      <c r="A140" s="572" t="s">
        <v>1912</v>
      </c>
      <c r="B140" s="696">
        <v>25086.31553</v>
      </c>
      <c r="C140" s="696">
        <v>6729.5267899999999</v>
      </c>
      <c r="D140" s="696">
        <v>7108.7411099999999</v>
      </c>
      <c r="E140" s="696">
        <v>7609.0558499999997</v>
      </c>
      <c r="F140" s="696">
        <v>8159.5720700000002</v>
      </c>
      <c r="G140" s="696">
        <v>8846.7412000000004</v>
      </c>
      <c r="H140" s="696">
        <v>9423.6531599999998</v>
      </c>
      <c r="I140" s="696">
        <v>9919.5167492420496</v>
      </c>
      <c r="J140" s="696">
        <v>10435.562110761401</v>
      </c>
      <c r="K140" s="696">
        <v>10925.4723360034</v>
      </c>
      <c r="L140" s="696">
        <v>17005.4495791228</v>
      </c>
      <c r="M140" s="696">
        <v>17503.2755548725</v>
      </c>
      <c r="N140" s="696">
        <v>17983.112983545001</v>
      </c>
      <c r="O140" s="235">
        <f t="shared" si="4"/>
        <v>12056.615001811319</v>
      </c>
      <c r="P140" s="696">
        <v>18485.9805532787</v>
      </c>
      <c r="Q140" s="696">
        <v>18992.200622223201</v>
      </c>
      <c r="R140" s="696">
        <v>19494.280348036998</v>
      </c>
      <c r="S140" s="696">
        <v>20328.805330364099</v>
      </c>
      <c r="T140" s="696">
        <v>20872.617400581501</v>
      </c>
      <c r="U140" s="696">
        <v>21468.181833467199</v>
      </c>
      <c r="V140" s="696">
        <v>21887.580096721202</v>
      </c>
      <c r="W140" s="696">
        <v>16592.384208603002</v>
      </c>
      <c r="X140" s="696">
        <v>13055.7226817594</v>
      </c>
      <c r="Y140" s="696">
        <v>13558.5902514932</v>
      </c>
      <c r="Z140" s="696">
        <v>14063.351006720801</v>
      </c>
      <c r="AA140" s="696">
        <v>14550.170029672399</v>
      </c>
      <c r="AB140" s="696">
        <v>15070.9090366907</v>
      </c>
      <c r="AC140" s="696">
        <v>15574.0736275661</v>
      </c>
      <c r="AD140" s="696">
        <v>16080.9464505591</v>
      </c>
      <c r="AE140" s="696">
        <v>16918.015361138201</v>
      </c>
      <c r="AF140" s="697">
        <f t="shared" si="5"/>
        <v>16924.719024256683</v>
      </c>
    </row>
    <row r="141" spans="1:33" ht="15.75" thickBot="1">
      <c r="A141" s="572" t="s">
        <v>2209</v>
      </c>
      <c r="B141" s="701">
        <v>606.44101999999896</v>
      </c>
      <c r="C141" s="701">
        <v>580.18368999999905</v>
      </c>
      <c r="D141" s="701">
        <v>553.92635999999902</v>
      </c>
      <c r="E141" s="701">
        <v>527.669029999999</v>
      </c>
      <c r="F141" s="701">
        <v>501.41169999999897</v>
      </c>
      <c r="G141" s="701">
        <v>475.15436999999901</v>
      </c>
      <c r="H141" s="701">
        <v>448.89703999999898</v>
      </c>
      <c r="I141" s="701">
        <v>422.63970999999901</v>
      </c>
      <c r="J141" s="701">
        <v>396.38237999999899</v>
      </c>
      <c r="K141" s="701">
        <v>370.12504999999902</v>
      </c>
      <c r="L141" s="701">
        <v>343.867719999999</v>
      </c>
      <c r="M141" s="701">
        <v>317.61038999999897</v>
      </c>
      <c r="N141" s="701">
        <v>291.353059999999</v>
      </c>
      <c r="O141" s="235">
        <f t="shared" si="4"/>
        <v>448.89703999999898</v>
      </c>
      <c r="P141" s="701">
        <v>265.09572999999898</v>
      </c>
      <c r="Q141" s="701">
        <v>238.83839999999901</v>
      </c>
      <c r="R141" s="701">
        <v>212.58106999999899</v>
      </c>
      <c r="S141" s="701">
        <v>186.32373999999899</v>
      </c>
      <c r="T141" s="701">
        <v>160.066409999999</v>
      </c>
      <c r="U141" s="701">
        <v>133.809079999999</v>
      </c>
      <c r="V141" s="701">
        <v>107.551749999999</v>
      </c>
      <c r="W141" s="701">
        <v>81.294419999999405</v>
      </c>
      <c r="X141" s="701">
        <v>55.037089999999402</v>
      </c>
      <c r="Y141" s="701">
        <v>28.779759999999399</v>
      </c>
      <c r="Z141" s="701">
        <v>2.5226099999994598</v>
      </c>
      <c r="AA141" s="701">
        <v>2.5226099999994598</v>
      </c>
      <c r="AB141" s="701">
        <v>2.5226099999994598</v>
      </c>
      <c r="AC141" s="701">
        <v>2.5226099999994598</v>
      </c>
      <c r="AD141" s="701">
        <v>2.5226099999994598</v>
      </c>
      <c r="AE141" s="701">
        <v>2.5226099999994598</v>
      </c>
      <c r="AF141" s="697">
        <f t="shared" si="5"/>
        <v>59.076762307691588</v>
      </c>
    </row>
    <row r="142" spans="1:33">
      <c r="A142" s="572" t="s">
        <v>1903</v>
      </c>
      <c r="B142" s="696">
        <v>63897.510439999998</v>
      </c>
      <c r="C142" s="696">
        <v>46166.16</v>
      </c>
      <c r="D142" s="696">
        <v>44467.543720000001</v>
      </c>
      <c r="E142" s="696">
        <v>45209.729160000003</v>
      </c>
      <c r="F142" s="696">
        <v>47432.848570000002</v>
      </c>
      <c r="G142" s="696">
        <v>42444.60529</v>
      </c>
      <c r="H142" s="696">
        <v>47979.992630000001</v>
      </c>
      <c r="I142" s="696">
        <v>48621.5878150754</v>
      </c>
      <c r="J142" s="696">
        <v>49281.372862427997</v>
      </c>
      <c r="K142" s="696">
        <v>49913.5126535034</v>
      </c>
      <c r="L142" s="696">
        <v>56139.235172456101</v>
      </c>
      <c r="M142" s="696">
        <v>56744.173032939201</v>
      </c>
      <c r="N142" s="696">
        <v>57327.826616345003</v>
      </c>
      <c r="O142" s="235">
        <f t="shared" si="4"/>
        <v>50432.776766365161</v>
      </c>
      <c r="P142" s="696">
        <v>57937.302830812099</v>
      </c>
      <c r="Q142" s="696">
        <v>58551.997554489899</v>
      </c>
      <c r="R142" s="696">
        <v>59051.927115036997</v>
      </c>
      <c r="S142" s="696">
        <v>59972.968282097499</v>
      </c>
      <c r="T142" s="696">
        <v>60625.937237048201</v>
      </c>
      <c r="U142" s="696">
        <v>61325.617294667303</v>
      </c>
      <c r="V142" s="696">
        <v>61854.187222654597</v>
      </c>
      <c r="W142" s="696">
        <v>56666.232239269601</v>
      </c>
      <c r="X142" s="696">
        <v>53235.326677159399</v>
      </c>
      <c r="Y142" s="696">
        <v>53847.381831626502</v>
      </c>
      <c r="Z142" s="696">
        <v>54462.870313598803</v>
      </c>
      <c r="AA142" s="696">
        <v>55087.676563295099</v>
      </c>
      <c r="AB142" s="696">
        <v>55744.474317058099</v>
      </c>
      <c r="AC142" s="696">
        <v>56385.632024678103</v>
      </c>
      <c r="AD142" s="696">
        <v>56912.3786144158</v>
      </c>
      <c r="AE142" s="696">
        <v>57864.8746317396</v>
      </c>
      <c r="AF142" s="697">
        <f t="shared" si="5"/>
        <v>57229.658249946806</v>
      </c>
    </row>
    <row r="143" spans="1:33">
      <c r="A143" s="572"/>
      <c r="B143" s="698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698"/>
      <c r="N143" s="698"/>
      <c r="O143" s="235">
        <f t="shared" si="4"/>
        <v>0</v>
      </c>
      <c r="P143" s="698"/>
      <c r="Q143" s="698"/>
      <c r="R143" s="698"/>
      <c r="S143" s="698"/>
      <c r="T143" s="698"/>
      <c r="U143" s="698"/>
      <c r="V143" s="698"/>
      <c r="W143" s="698"/>
      <c r="X143" s="698"/>
      <c r="Y143" s="698"/>
      <c r="Z143" s="698"/>
      <c r="AA143" s="698"/>
      <c r="AB143" s="698"/>
      <c r="AC143" s="698"/>
      <c r="AD143" s="698"/>
      <c r="AE143" s="698"/>
      <c r="AF143" s="697">
        <f t="shared" si="5"/>
        <v>0</v>
      </c>
    </row>
    <row r="144" spans="1:33">
      <c r="A144" s="572"/>
      <c r="B144" s="698"/>
      <c r="C144" s="698"/>
      <c r="D144" s="698"/>
      <c r="E144" s="698"/>
      <c r="F144" s="698"/>
      <c r="G144" s="698"/>
      <c r="H144" s="698"/>
      <c r="I144" s="698"/>
      <c r="J144" s="698"/>
      <c r="K144" s="698"/>
      <c r="L144" s="698"/>
      <c r="M144" s="698"/>
      <c r="N144" s="698"/>
      <c r="O144" s="235">
        <f t="shared" si="4"/>
        <v>0</v>
      </c>
      <c r="P144" s="698"/>
      <c r="Q144" s="698"/>
      <c r="R144" s="698"/>
      <c r="S144" s="698"/>
      <c r="T144" s="698"/>
      <c r="U144" s="698"/>
      <c r="V144" s="698"/>
      <c r="W144" s="698"/>
      <c r="X144" s="698"/>
      <c r="Y144" s="698"/>
      <c r="Z144" s="698"/>
      <c r="AA144" s="698"/>
      <c r="AB144" s="698"/>
      <c r="AC144" s="698"/>
      <c r="AD144" s="698"/>
      <c r="AE144" s="698"/>
      <c r="AF144" s="697">
        <f t="shared" si="5"/>
        <v>0</v>
      </c>
    </row>
    <row r="145" spans="1:32" ht="15.75" thickBot="1">
      <c r="A145" s="702" t="s">
        <v>1913</v>
      </c>
      <c r="B145" s="703">
        <v>833147.29359000002</v>
      </c>
      <c r="C145" s="703">
        <v>820769.62199999997</v>
      </c>
      <c r="D145" s="703">
        <v>818297.29293999902</v>
      </c>
      <c r="E145" s="703">
        <v>820972.55460999999</v>
      </c>
      <c r="F145" s="703">
        <v>827705.11251999997</v>
      </c>
      <c r="G145" s="703">
        <v>823570.14051999897</v>
      </c>
      <c r="H145" s="703">
        <v>829080.37474</v>
      </c>
      <c r="I145" s="703">
        <v>831152.52641608298</v>
      </c>
      <c r="J145" s="703">
        <v>835954.68159273395</v>
      </c>
      <c r="K145" s="703">
        <v>835366.42063361302</v>
      </c>
      <c r="L145" s="703">
        <v>847457.925589327</v>
      </c>
      <c r="M145" s="703">
        <v>847393.27605622797</v>
      </c>
      <c r="N145" s="703">
        <v>846780.992888359</v>
      </c>
      <c r="O145" s="235">
        <f t="shared" si="4"/>
        <v>832126.78569971852</v>
      </c>
      <c r="P145" s="703">
        <v>847205.27921667602</v>
      </c>
      <c r="Q145" s="703">
        <v>853029.52853362204</v>
      </c>
      <c r="R145" s="703">
        <v>853400.45205866802</v>
      </c>
      <c r="S145" s="703">
        <v>856925.52073974803</v>
      </c>
      <c r="T145" s="703">
        <v>856373.25519256201</v>
      </c>
      <c r="U145" s="703">
        <v>855737.41569035198</v>
      </c>
      <c r="V145" s="703">
        <v>854794.74606820801</v>
      </c>
      <c r="W145" s="703">
        <v>848450.73252281698</v>
      </c>
      <c r="X145" s="703">
        <v>846010.56036113598</v>
      </c>
      <c r="Y145" s="703">
        <v>845354.98288940499</v>
      </c>
      <c r="Z145" s="703">
        <v>844743.47469559696</v>
      </c>
      <c r="AA145" s="703">
        <v>843449.15262128296</v>
      </c>
      <c r="AB145" s="703">
        <v>844677.17245347798</v>
      </c>
      <c r="AC145" s="703">
        <v>843651.12844840798</v>
      </c>
      <c r="AD145" s="703">
        <v>843101.029316423</v>
      </c>
      <c r="AE145" s="703">
        <v>842522.34595392703</v>
      </c>
      <c r="AF145" s="697">
        <f t="shared" si="5"/>
        <v>848137.80899641104</v>
      </c>
    </row>
    <row r="146" spans="1:32">
      <c r="A146" s="572"/>
      <c r="O146" s="235">
        <f t="shared" si="4"/>
        <v>0</v>
      </c>
      <c r="AF146" s="697">
        <f t="shared" si="5"/>
        <v>0</v>
      </c>
    </row>
    <row r="147" spans="1:32" ht="15.75" thickBot="1">
      <c r="A147" s="702" t="s">
        <v>1914</v>
      </c>
      <c r="B147" s="703">
        <v>8198756.5345099997</v>
      </c>
      <c r="C147" s="703">
        <v>8270457.3301400002</v>
      </c>
      <c r="D147" s="703">
        <v>8232754.1520699998</v>
      </c>
      <c r="E147" s="703">
        <v>8237850.5972600002</v>
      </c>
      <c r="F147" s="703">
        <v>8608970.0548599903</v>
      </c>
      <c r="G147" s="703">
        <v>8831980.5542999897</v>
      </c>
      <c r="H147" s="703">
        <v>8326601.69645999</v>
      </c>
      <c r="I147" s="703">
        <v>8303211.0137763098</v>
      </c>
      <c r="J147" s="703">
        <v>8326060.1174099501</v>
      </c>
      <c r="K147" s="703">
        <v>8347368.6072278796</v>
      </c>
      <c r="L147" s="703">
        <v>8382303.1402000999</v>
      </c>
      <c r="M147" s="703">
        <v>8413520.7796376292</v>
      </c>
      <c r="N147" s="703">
        <v>8409545.5050888304</v>
      </c>
      <c r="O147" s="235">
        <f t="shared" si="4"/>
        <v>8376106.1602262054</v>
      </c>
      <c r="P147" s="703">
        <v>8426944.5576499607</v>
      </c>
      <c r="Q147" s="703">
        <v>8453342.1311416402</v>
      </c>
      <c r="R147" s="703">
        <v>8472859.0071313307</v>
      </c>
      <c r="S147" s="703">
        <v>8514511.6647743192</v>
      </c>
      <c r="T147" s="703">
        <v>8548749.8781097606</v>
      </c>
      <c r="U147" s="703">
        <v>8572332.5695679709</v>
      </c>
      <c r="V147" s="703">
        <v>8573543.1785981804</v>
      </c>
      <c r="W147" s="703">
        <v>8580456.0157581791</v>
      </c>
      <c r="X147" s="703">
        <v>8594885.6860935707</v>
      </c>
      <c r="Y147" s="703">
        <v>8619248.6102247294</v>
      </c>
      <c r="Z147" s="703">
        <v>8640351.2854793202</v>
      </c>
      <c r="AA147" s="703">
        <v>8622539.5940398108</v>
      </c>
      <c r="AB147" s="703">
        <v>8625574.0914709698</v>
      </c>
      <c r="AC147" s="703">
        <v>8623839.8243093304</v>
      </c>
      <c r="AD147" s="703">
        <v>8622720.8204358201</v>
      </c>
      <c r="AE147" s="703">
        <v>8636584.8798239697</v>
      </c>
      <c r="AF147" s="697">
        <f t="shared" si="5"/>
        <v>8598102.9306681491</v>
      </c>
    </row>
    <row r="148" spans="1:32">
      <c r="A148" s="572"/>
      <c r="O148" s="235">
        <f t="shared" si="4"/>
        <v>0</v>
      </c>
      <c r="AF148" s="697">
        <f t="shared" si="5"/>
        <v>0</v>
      </c>
    </row>
    <row r="149" spans="1:32">
      <c r="A149" s="702" t="s">
        <v>1915</v>
      </c>
      <c r="O149" s="235">
        <f t="shared" si="4"/>
        <v>0</v>
      </c>
      <c r="AF149" s="697">
        <f t="shared" si="5"/>
        <v>0</v>
      </c>
    </row>
    <row r="150" spans="1:32">
      <c r="A150" s="572"/>
      <c r="O150" s="235">
        <f t="shared" si="4"/>
        <v>0</v>
      </c>
      <c r="AF150" s="697">
        <f t="shared" si="5"/>
        <v>0</v>
      </c>
    </row>
    <row r="151" spans="1:32">
      <c r="A151" s="702" t="s">
        <v>1442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235">
        <f t="shared" si="4"/>
        <v>0</v>
      </c>
      <c r="P151" s="698"/>
      <c r="Q151" s="698"/>
      <c r="R151" s="698"/>
      <c r="S151" s="698"/>
      <c r="T151" s="698"/>
      <c r="U151" s="698"/>
      <c r="V151" s="698"/>
      <c r="W151" s="698"/>
      <c r="X151" s="698"/>
      <c r="Y151" s="698"/>
      <c r="Z151" s="698"/>
      <c r="AA151" s="698"/>
      <c r="AB151" s="698"/>
      <c r="AC151" s="698"/>
      <c r="AD151" s="698"/>
      <c r="AE151" s="698"/>
      <c r="AF151" s="697">
        <f t="shared" si="5"/>
        <v>0</v>
      </c>
    </row>
    <row r="152" spans="1:32">
      <c r="A152" s="572" t="s">
        <v>1916</v>
      </c>
      <c r="B152" s="698"/>
      <c r="C152" s="698"/>
      <c r="D152" s="698"/>
      <c r="E152" s="698"/>
      <c r="F152" s="698"/>
      <c r="G152" s="698"/>
      <c r="H152" s="698"/>
      <c r="I152" s="698"/>
      <c r="J152" s="698"/>
      <c r="K152" s="698"/>
      <c r="L152" s="698"/>
      <c r="M152" s="698"/>
      <c r="N152" s="698"/>
      <c r="O152" s="235">
        <f t="shared" si="4"/>
        <v>0</v>
      </c>
      <c r="P152" s="698"/>
      <c r="Q152" s="698"/>
      <c r="R152" s="698"/>
      <c r="S152" s="698"/>
      <c r="T152" s="698"/>
      <c r="U152" s="698"/>
      <c r="V152" s="698"/>
      <c r="W152" s="698"/>
      <c r="X152" s="698"/>
      <c r="Y152" s="698"/>
      <c r="Z152" s="698"/>
      <c r="AA152" s="698"/>
      <c r="AB152" s="698"/>
      <c r="AC152" s="698"/>
      <c r="AD152" s="698"/>
      <c r="AE152" s="698"/>
      <c r="AF152" s="697">
        <f t="shared" si="5"/>
        <v>0</v>
      </c>
    </row>
    <row r="153" spans="1:32" ht="15.75" thickBot="1">
      <c r="A153" s="572" t="s">
        <v>1917</v>
      </c>
      <c r="B153" s="701">
        <v>308139.97756000003</v>
      </c>
      <c r="C153" s="701">
        <v>308139.97756000003</v>
      </c>
      <c r="D153" s="701">
        <v>308139.97756000003</v>
      </c>
      <c r="E153" s="701">
        <v>308139.97756000003</v>
      </c>
      <c r="F153" s="701">
        <v>308139.97756000003</v>
      </c>
      <c r="G153" s="701">
        <v>308139.97756000003</v>
      </c>
      <c r="H153" s="701">
        <v>308139.97756000003</v>
      </c>
      <c r="I153" s="701">
        <v>308139.97756000003</v>
      </c>
      <c r="J153" s="701">
        <v>308139.97756000003</v>
      </c>
      <c r="K153" s="701">
        <v>308139.97756000003</v>
      </c>
      <c r="L153" s="701">
        <v>308139.97756000003</v>
      </c>
      <c r="M153" s="701">
        <v>308139.97756000003</v>
      </c>
      <c r="N153" s="701">
        <v>308139.97756000003</v>
      </c>
      <c r="O153" s="235">
        <f t="shared" si="4"/>
        <v>308139.97756000003</v>
      </c>
      <c r="P153" s="701">
        <v>308139.97756000003</v>
      </c>
      <c r="Q153" s="701">
        <v>308139.97756000003</v>
      </c>
      <c r="R153" s="701">
        <v>308139.97756000003</v>
      </c>
      <c r="S153" s="701">
        <v>308139.97756000003</v>
      </c>
      <c r="T153" s="701">
        <v>308139.97756000003</v>
      </c>
      <c r="U153" s="701">
        <v>308139.97756000003</v>
      </c>
      <c r="V153" s="701">
        <v>308139.97756000003</v>
      </c>
      <c r="W153" s="701">
        <v>308139.97756000003</v>
      </c>
      <c r="X153" s="701">
        <v>308139.97756000003</v>
      </c>
      <c r="Y153" s="701">
        <v>308139.97756000003</v>
      </c>
      <c r="Z153" s="701">
        <v>308139.97756000003</v>
      </c>
      <c r="AA153" s="701">
        <v>308139.97756000003</v>
      </c>
      <c r="AB153" s="701">
        <v>308139.97756000003</v>
      </c>
      <c r="AC153" s="701">
        <v>308139.97756000003</v>
      </c>
      <c r="AD153" s="701">
        <v>308139.97756000003</v>
      </c>
      <c r="AE153" s="701">
        <v>308139.97756000003</v>
      </c>
      <c r="AF153" s="697">
        <f t="shared" si="5"/>
        <v>308139.97756000003</v>
      </c>
    </row>
    <row r="154" spans="1:32">
      <c r="A154" s="572" t="s">
        <v>1918</v>
      </c>
      <c r="B154" s="696">
        <v>308139.97756000003</v>
      </c>
      <c r="C154" s="696">
        <v>308139.97756000003</v>
      </c>
      <c r="D154" s="696">
        <v>308139.97756000003</v>
      </c>
      <c r="E154" s="696">
        <v>308139.97756000003</v>
      </c>
      <c r="F154" s="696">
        <v>308139.97756000003</v>
      </c>
      <c r="G154" s="696">
        <v>308139.97756000003</v>
      </c>
      <c r="H154" s="696">
        <v>308139.97756000003</v>
      </c>
      <c r="I154" s="696">
        <v>308139.97756000003</v>
      </c>
      <c r="J154" s="696">
        <v>308139.97756000003</v>
      </c>
      <c r="K154" s="696">
        <v>308139.97756000003</v>
      </c>
      <c r="L154" s="696">
        <v>308139.97756000003</v>
      </c>
      <c r="M154" s="696">
        <v>308139.97756000003</v>
      </c>
      <c r="N154" s="696">
        <v>308139.97756000003</v>
      </c>
      <c r="O154" s="235">
        <f t="shared" si="4"/>
        <v>308139.97756000003</v>
      </c>
      <c r="P154" s="696">
        <v>308139.97756000003</v>
      </c>
      <c r="Q154" s="696">
        <v>308139.97756000003</v>
      </c>
      <c r="R154" s="696">
        <v>308139.97756000003</v>
      </c>
      <c r="S154" s="696">
        <v>308139.97756000003</v>
      </c>
      <c r="T154" s="696">
        <v>308139.97756000003</v>
      </c>
      <c r="U154" s="696">
        <v>308139.97756000003</v>
      </c>
      <c r="V154" s="696">
        <v>308139.97756000003</v>
      </c>
      <c r="W154" s="696">
        <v>308139.97756000003</v>
      </c>
      <c r="X154" s="696">
        <v>308139.97756000003</v>
      </c>
      <c r="Y154" s="696">
        <v>308139.97756000003</v>
      </c>
      <c r="Z154" s="696">
        <v>308139.97756000003</v>
      </c>
      <c r="AA154" s="696">
        <v>308139.97756000003</v>
      </c>
      <c r="AB154" s="696">
        <v>308139.97756000003</v>
      </c>
      <c r="AC154" s="696">
        <v>308139.97756000003</v>
      </c>
      <c r="AD154" s="696">
        <v>308139.97756000003</v>
      </c>
      <c r="AE154" s="696">
        <v>308139.97756000003</v>
      </c>
      <c r="AF154" s="697">
        <f t="shared" si="5"/>
        <v>308139.97756000003</v>
      </c>
    </row>
    <row r="155" spans="1:32">
      <c r="A155" s="572"/>
      <c r="B155" s="698"/>
      <c r="C155" s="698"/>
      <c r="D155" s="698"/>
      <c r="E155" s="698"/>
      <c r="F155" s="698"/>
      <c r="G155" s="698"/>
      <c r="H155" s="698"/>
      <c r="I155" s="698"/>
      <c r="J155" s="698"/>
      <c r="K155" s="698"/>
      <c r="L155" s="698"/>
      <c r="M155" s="698"/>
      <c r="N155" s="698"/>
      <c r="O155" s="235">
        <f t="shared" si="4"/>
        <v>0</v>
      </c>
      <c r="P155" s="698"/>
      <c r="Q155" s="698"/>
      <c r="R155" s="698"/>
      <c r="S155" s="698"/>
      <c r="T155" s="698"/>
      <c r="U155" s="698"/>
      <c r="V155" s="698"/>
      <c r="W155" s="698"/>
      <c r="X155" s="698"/>
      <c r="Y155" s="698"/>
      <c r="Z155" s="698"/>
      <c r="AA155" s="698"/>
      <c r="AB155" s="698"/>
      <c r="AC155" s="698"/>
      <c r="AD155" s="698"/>
      <c r="AE155" s="698"/>
      <c r="AF155" s="697">
        <f t="shared" si="5"/>
        <v>0</v>
      </c>
    </row>
    <row r="156" spans="1:32">
      <c r="A156" s="572" t="s">
        <v>1919</v>
      </c>
      <c r="B156" s="698"/>
      <c r="C156" s="698"/>
      <c r="D156" s="698"/>
      <c r="E156" s="698"/>
      <c r="F156" s="698"/>
      <c r="G156" s="698"/>
      <c r="H156" s="698"/>
      <c r="I156" s="698"/>
      <c r="J156" s="698"/>
      <c r="K156" s="698"/>
      <c r="L156" s="698"/>
      <c r="M156" s="698"/>
      <c r="N156" s="698"/>
      <c r="O156" s="235">
        <f t="shared" si="4"/>
        <v>0</v>
      </c>
      <c r="P156" s="698"/>
      <c r="Q156" s="698"/>
      <c r="R156" s="698"/>
      <c r="S156" s="698"/>
      <c r="T156" s="698"/>
      <c r="U156" s="698"/>
      <c r="V156" s="698"/>
      <c r="W156" s="698"/>
      <c r="X156" s="698"/>
      <c r="Y156" s="698"/>
      <c r="Z156" s="698"/>
      <c r="AA156" s="698"/>
      <c r="AB156" s="698"/>
      <c r="AC156" s="698"/>
      <c r="AD156" s="698"/>
      <c r="AE156" s="698"/>
      <c r="AF156" s="697">
        <f t="shared" si="5"/>
        <v>0</v>
      </c>
    </row>
    <row r="157" spans="1:32" ht="15.75" thickBot="1">
      <c r="A157" s="572" t="s">
        <v>1920</v>
      </c>
      <c r="B157" s="701">
        <v>-321.28886999999997</v>
      </c>
      <c r="C157" s="701">
        <v>-321.28886999999997</v>
      </c>
      <c r="D157" s="701">
        <v>-321.28886999999997</v>
      </c>
      <c r="E157" s="701">
        <v>-321.28886999999997</v>
      </c>
      <c r="F157" s="701">
        <v>-321.28886999999997</v>
      </c>
      <c r="G157" s="701">
        <v>-321.28886999999997</v>
      </c>
      <c r="H157" s="701">
        <v>-321.28886999999997</v>
      </c>
      <c r="I157" s="701">
        <v>-321.28886999999997</v>
      </c>
      <c r="J157" s="701">
        <v>-321.28886999999997</v>
      </c>
      <c r="K157" s="701">
        <v>-321.28886999999997</v>
      </c>
      <c r="L157" s="701">
        <v>-321.28886999999997</v>
      </c>
      <c r="M157" s="701">
        <v>-321.28886999999997</v>
      </c>
      <c r="N157" s="701">
        <v>-321.28886999999997</v>
      </c>
      <c r="O157" s="235">
        <f t="shared" si="4"/>
        <v>-321.28886999999992</v>
      </c>
      <c r="P157" s="701">
        <v>-321.28886999999997</v>
      </c>
      <c r="Q157" s="701">
        <v>-321.28886999999997</v>
      </c>
      <c r="R157" s="701">
        <v>-321.28886999999997</v>
      </c>
      <c r="S157" s="701">
        <v>-321.28886999999997</v>
      </c>
      <c r="T157" s="701">
        <v>-321.28886999999997</v>
      </c>
      <c r="U157" s="701">
        <v>-321.28886999999997</v>
      </c>
      <c r="V157" s="701">
        <v>-321.28886999999997</v>
      </c>
      <c r="W157" s="701">
        <v>-321.28886999999997</v>
      </c>
      <c r="X157" s="701">
        <v>-321.28886999999997</v>
      </c>
      <c r="Y157" s="701">
        <v>-321.28886999999997</v>
      </c>
      <c r="Z157" s="701">
        <v>-321.28886999999997</v>
      </c>
      <c r="AA157" s="701">
        <v>-321.28886999999997</v>
      </c>
      <c r="AB157" s="701">
        <v>-321.28886999999997</v>
      </c>
      <c r="AC157" s="701">
        <v>-321.28886999999997</v>
      </c>
      <c r="AD157" s="701">
        <v>-321.28886999999997</v>
      </c>
      <c r="AE157" s="701">
        <v>-321.28886999999997</v>
      </c>
      <c r="AF157" s="697">
        <f t="shared" si="5"/>
        <v>-321.28886999999992</v>
      </c>
    </row>
    <row r="158" spans="1:32">
      <c r="A158" s="572" t="s">
        <v>1921</v>
      </c>
      <c r="B158" s="696">
        <v>-321.28886999999997</v>
      </c>
      <c r="C158" s="696">
        <v>-321.28886999999997</v>
      </c>
      <c r="D158" s="696">
        <v>-321.28886999999997</v>
      </c>
      <c r="E158" s="696">
        <v>-321.28886999999997</v>
      </c>
      <c r="F158" s="696">
        <v>-321.28886999999997</v>
      </c>
      <c r="G158" s="696">
        <v>-321.28886999999997</v>
      </c>
      <c r="H158" s="696">
        <v>-321.28886999999997</v>
      </c>
      <c r="I158" s="696">
        <v>-321.28886999999997</v>
      </c>
      <c r="J158" s="696">
        <v>-321.28886999999997</v>
      </c>
      <c r="K158" s="696">
        <v>-321.28886999999997</v>
      </c>
      <c r="L158" s="696">
        <v>-321.28886999999997</v>
      </c>
      <c r="M158" s="696">
        <v>-321.28886999999997</v>
      </c>
      <c r="N158" s="696">
        <v>-321.28886999999997</v>
      </c>
      <c r="O158" s="235">
        <f t="shared" si="4"/>
        <v>-321.28886999999992</v>
      </c>
      <c r="P158" s="696">
        <v>-321.28886999999997</v>
      </c>
      <c r="Q158" s="696">
        <v>-321.28886999999997</v>
      </c>
      <c r="R158" s="696">
        <v>-321.28886999999997</v>
      </c>
      <c r="S158" s="696">
        <v>-321.28886999999997</v>
      </c>
      <c r="T158" s="696">
        <v>-321.28886999999997</v>
      </c>
      <c r="U158" s="696">
        <v>-321.28886999999997</v>
      </c>
      <c r="V158" s="696">
        <v>-321.28886999999997</v>
      </c>
      <c r="W158" s="696">
        <v>-321.28886999999997</v>
      </c>
      <c r="X158" s="696">
        <v>-321.28886999999997</v>
      </c>
      <c r="Y158" s="696">
        <v>-321.28886999999997</v>
      </c>
      <c r="Z158" s="696">
        <v>-321.28886999999997</v>
      </c>
      <c r="AA158" s="696">
        <v>-321.28886999999997</v>
      </c>
      <c r="AB158" s="696">
        <v>-321.28886999999997</v>
      </c>
      <c r="AC158" s="696">
        <v>-321.28886999999997</v>
      </c>
      <c r="AD158" s="696">
        <v>-321.28886999999997</v>
      </c>
      <c r="AE158" s="696">
        <v>-321.28886999999997</v>
      </c>
      <c r="AF158" s="697">
        <f t="shared" si="5"/>
        <v>-321.28886999999992</v>
      </c>
    </row>
    <row r="159" spans="1:32">
      <c r="A159" s="572"/>
      <c r="B159" s="698"/>
      <c r="C159" s="698"/>
      <c r="D159" s="698"/>
      <c r="E159" s="698"/>
      <c r="F159" s="698"/>
      <c r="G159" s="698"/>
      <c r="H159" s="698"/>
      <c r="I159" s="698"/>
      <c r="J159" s="698"/>
      <c r="K159" s="698"/>
      <c r="L159" s="698"/>
      <c r="M159" s="698"/>
      <c r="N159" s="698"/>
      <c r="O159" s="235">
        <f t="shared" si="4"/>
        <v>0</v>
      </c>
      <c r="P159" s="698"/>
      <c r="Q159" s="698"/>
      <c r="R159" s="698"/>
      <c r="S159" s="698"/>
      <c r="T159" s="698"/>
      <c r="U159" s="698"/>
      <c r="V159" s="698"/>
      <c r="W159" s="698"/>
      <c r="X159" s="698"/>
      <c r="Y159" s="698"/>
      <c r="Z159" s="698"/>
      <c r="AA159" s="698"/>
      <c r="AB159" s="698"/>
      <c r="AC159" s="698"/>
      <c r="AD159" s="698"/>
      <c r="AE159" s="698"/>
      <c r="AF159" s="697">
        <f t="shared" si="5"/>
        <v>0</v>
      </c>
    </row>
    <row r="160" spans="1:32">
      <c r="A160" s="572" t="s">
        <v>1922</v>
      </c>
      <c r="B160" s="698"/>
      <c r="C160" s="698"/>
      <c r="D160" s="698"/>
      <c r="E160" s="698"/>
      <c r="F160" s="698"/>
      <c r="G160" s="698"/>
      <c r="H160" s="698"/>
      <c r="I160" s="698"/>
      <c r="J160" s="698"/>
      <c r="K160" s="698"/>
      <c r="L160" s="698"/>
      <c r="M160" s="698"/>
      <c r="N160" s="698"/>
      <c r="O160" s="235">
        <f t="shared" si="4"/>
        <v>0</v>
      </c>
      <c r="P160" s="698"/>
      <c r="Q160" s="698"/>
      <c r="R160" s="698"/>
      <c r="S160" s="698"/>
      <c r="T160" s="698"/>
      <c r="U160" s="698"/>
      <c r="V160" s="698"/>
      <c r="W160" s="698"/>
      <c r="X160" s="698"/>
      <c r="Y160" s="698"/>
      <c r="Z160" s="698"/>
      <c r="AA160" s="698"/>
      <c r="AB160" s="698"/>
      <c r="AC160" s="698"/>
      <c r="AD160" s="698"/>
      <c r="AE160" s="698"/>
      <c r="AF160" s="697">
        <f t="shared" si="5"/>
        <v>0</v>
      </c>
    </row>
    <row r="161" spans="1:32" ht="15.75" thickBot="1">
      <c r="A161" s="572" t="s">
        <v>1923</v>
      </c>
      <c r="B161" s="701">
        <v>696858.08299999998</v>
      </c>
      <c r="C161" s="701">
        <v>733858.08299999998</v>
      </c>
      <c r="D161" s="701">
        <v>733858.08299999998</v>
      </c>
      <c r="E161" s="701">
        <v>733858.08299999998</v>
      </c>
      <c r="F161" s="701">
        <v>733858.08299999998</v>
      </c>
      <c r="G161" s="701">
        <v>733858.08299999998</v>
      </c>
      <c r="H161" s="701">
        <v>794358.08299999998</v>
      </c>
      <c r="I161" s="701">
        <v>794358.08299999998</v>
      </c>
      <c r="J161" s="701">
        <v>794358.08299999998</v>
      </c>
      <c r="K161" s="701">
        <v>794358.08299999998</v>
      </c>
      <c r="L161" s="701">
        <v>836006.85589199304</v>
      </c>
      <c r="M161" s="701">
        <v>836006.85589199304</v>
      </c>
      <c r="N161" s="701">
        <v>836006.85589199304</v>
      </c>
      <c r="O161" s="235">
        <f t="shared" si="4"/>
        <v>773200.10751353682</v>
      </c>
      <c r="P161" s="701">
        <v>836006.85589199304</v>
      </c>
      <c r="Q161" s="701">
        <v>836006.85589199304</v>
      </c>
      <c r="R161" s="701">
        <v>836006.85589199304</v>
      </c>
      <c r="S161" s="701">
        <v>920674.92709835502</v>
      </c>
      <c r="T161" s="701">
        <v>920674.92709835502</v>
      </c>
      <c r="U161" s="701">
        <v>920674.92709835502</v>
      </c>
      <c r="V161" s="701">
        <v>920674.92709835502</v>
      </c>
      <c r="W161" s="701">
        <v>920674.92709835502</v>
      </c>
      <c r="X161" s="701">
        <v>920674.92709835502</v>
      </c>
      <c r="Y161" s="701">
        <v>961891.18261061504</v>
      </c>
      <c r="Z161" s="701">
        <v>961891.18261061504</v>
      </c>
      <c r="AA161" s="701">
        <v>961891.18261061504</v>
      </c>
      <c r="AB161" s="701">
        <v>961891.18261061504</v>
      </c>
      <c r="AC161" s="701">
        <v>961891.18261061504</v>
      </c>
      <c r="AD161" s="701">
        <v>961891.18261061504</v>
      </c>
      <c r="AE161" s="701">
        <v>1013103.87820883</v>
      </c>
      <c r="AF161" s="697">
        <f t="shared" si="5"/>
        <v>946807.73357405001</v>
      </c>
    </row>
    <row r="162" spans="1:32">
      <c r="A162" s="572" t="s">
        <v>1924</v>
      </c>
      <c r="B162" s="696">
        <v>696858.08299999998</v>
      </c>
      <c r="C162" s="696">
        <v>733858.08299999998</v>
      </c>
      <c r="D162" s="696">
        <v>733858.08299999998</v>
      </c>
      <c r="E162" s="696">
        <v>733858.08299999998</v>
      </c>
      <c r="F162" s="696">
        <v>733858.08299999998</v>
      </c>
      <c r="G162" s="696">
        <v>733858.08299999998</v>
      </c>
      <c r="H162" s="696">
        <v>794358.08299999998</v>
      </c>
      <c r="I162" s="696">
        <v>794358.08299999998</v>
      </c>
      <c r="J162" s="696">
        <v>794358.08299999998</v>
      </c>
      <c r="K162" s="696">
        <v>794358.08299999998</v>
      </c>
      <c r="L162" s="696">
        <v>836006.85589199304</v>
      </c>
      <c r="M162" s="696">
        <v>836006.85589199304</v>
      </c>
      <c r="N162" s="696">
        <v>836006.85589199304</v>
      </c>
      <c r="O162" s="235">
        <f t="shared" si="4"/>
        <v>773200.10751353682</v>
      </c>
      <c r="P162" s="696">
        <v>836006.85589199304</v>
      </c>
      <c r="Q162" s="696">
        <v>836006.85589199304</v>
      </c>
      <c r="R162" s="696">
        <v>836006.85589199304</v>
      </c>
      <c r="S162" s="696">
        <v>920674.92709835502</v>
      </c>
      <c r="T162" s="696">
        <v>920674.92709835502</v>
      </c>
      <c r="U162" s="696">
        <v>920674.92709835502</v>
      </c>
      <c r="V162" s="696">
        <v>920674.92709835502</v>
      </c>
      <c r="W162" s="696">
        <v>920674.92709835502</v>
      </c>
      <c r="X162" s="696">
        <v>920674.92709835502</v>
      </c>
      <c r="Y162" s="696">
        <v>961891.18261061504</v>
      </c>
      <c r="Z162" s="696">
        <v>961891.18261061504</v>
      </c>
      <c r="AA162" s="696">
        <v>961891.18261061504</v>
      </c>
      <c r="AB162" s="696">
        <v>961891.18261061504</v>
      </c>
      <c r="AC162" s="696">
        <v>961891.18261061504</v>
      </c>
      <c r="AD162" s="696">
        <v>961891.18261061504</v>
      </c>
      <c r="AE162" s="696">
        <v>1013103.87820883</v>
      </c>
      <c r="AF162" s="697">
        <f t="shared" si="5"/>
        <v>946807.73357405001</v>
      </c>
    </row>
    <row r="163" spans="1:32">
      <c r="A163" s="572"/>
      <c r="B163" s="698"/>
      <c r="C163" s="698"/>
      <c r="D163" s="698"/>
      <c r="E163" s="698"/>
      <c r="F163" s="698"/>
      <c r="G163" s="698"/>
      <c r="H163" s="698"/>
      <c r="I163" s="698"/>
      <c r="J163" s="698"/>
      <c r="K163" s="698"/>
      <c r="L163" s="698"/>
      <c r="M163" s="698"/>
      <c r="N163" s="698"/>
      <c r="O163" s="235">
        <f t="shared" si="4"/>
        <v>0</v>
      </c>
      <c r="P163" s="698"/>
      <c r="Q163" s="698"/>
      <c r="R163" s="698"/>
      <c r="S163" s="698"/>
      <c r="T163" s="698"/>
      <c r="U163" s="698"/>
      <c r="V163" s="698"/>
      <c r="W163" s="698"/>
      <c r="X163" s="698"/>
      <c r="Y163" s="698"/>
      <c r="Z163" s="698"/>
      <c r="AA163" s="698"/>
      <c r="AB163" s="698"/>
      <c r="AC163" s="698"/>
      <c r="AD163" s="698"/>
      <c r="AE163" s="698"/>
      <c r="AF163" s="697">
        <f t="shared" si="5"/>
        <v>0</v>
      </c>
    </row>
    <row r="164" spans="1:32">
      <c r="A164" s="572" t="s">
        <v>1925</v>
      </c>
      <c r="B164" s="698"/>
      <c r="C164" s="698"/>
      <c r="D164" s="698"/>
      <c r="E164" s="698"/>
      <c r="F164" s="698"/>
      <c r="G164" s="698"/>
      <c r="H164" s="698"/>
      <c r="I164" s="698"/>
      <c r="J164" s="698"/>
      <c r="K164" s="698"/>
      <c r="L164" s="698"/>
      <c r="M164" s="698"/>
      <c r="N164" s="698"/>
      <c r="O164" s="235">
        <f t="shared" si="4"/>
        <v>0</v>
      </c>
      <c r="P164" s="698"/>
      <c r="Q164" s="698"/>
      <c r="R164" s="698"/>
      <c r="S164" s="698"/>
      <c r="T164" s="698"/>
      <c r="U164" s="698"/>
      <c r="V164" s="698"/>
      <c r="W164" s="698"/>
      <c r="X164" s="698"/>
      <c r="Y164" s="698"/>
      <c r="Z164" s="698"/>
      <c r="AA164" s="698"/>
      <c r="AB164" s="698"/>
      <c r="AC164" s="698"/>
      <c r="AD164" s="698"/>
      <c r="AE164" s="698"/>
      <c r="AF164" s="697">
        <f t="shared" si="5"/>
        <v>0</v>
      </c>
    </row>
    <row r="165" spans="1:32" ht="15.75" thickBot="1">
      <c r="A165" s="572" t="s">
        <v>1926</v>
      </c>
      <c r="B165" s="701">
        <v>2020459.49664</v>
      </c>
      <c r="C165" s="701">
        <v>2005096.2999400001</v>
      </c>
      <c r="D165" s="701">
        <v>2010731.34837</v>
      </c>
      <c r="E165" s="701">
        <v>2029044.3294200001</v>
      </c>
      <c r="F165" s="701">
        <v>2006322.2340899999</v>
      </c>
      <c r="G165" s="701">
        <v>2038969.3584</v>
      </c>
      <c r="H165" s="701">
        <v>2065899.1825900001</v>
      </c>
      <c r="I165" s="701">
        <v>2030918.9055679501</v>
      </c>
      <c r="J165" s="701">
        <v>2042836.74998925</v>
      </c>
      <c r="K165" s="701">
        <v>2058744.81483092</v>
      </c>
      <c r="L165" s="701">
        <v>2035549.0931104701</v>
      </c>
      <c r="M165" s="701">
        <v>2069293.93385623</v>
      </c>
      <c r="N165" s="701">
        <v>2096238.4824383501</v>
      </c>
      <c r="O165" s="235">
        <f t="shared" si="4"/>
        <v>2039238.7868648595</v>
      </c>
      <c r="P165" s="701">
        <v>2043588.2135920001</v>
      </c>
      <c r="Q165" s="701">
        <v>2051500.20134803</v>
      </c>
      <c r="R165" s="701">
        <v>2065535.8451370299</v>
      </c>
      <c r="S165" s="701">
        <v>2033168.5986675101</v>
      </c>
      <c r="T165" s="701">
        <v>2052158.10046671</v>
      </c>
      <c r="U165" s="701">
        <v>2070613.6620549699</v>
      </c>
      <c r="V165" s="701">
        <v>2053767.1495946399</v>
      </c>
      <c r="W165" s="701">
        <v>2057724.1851250201</v>
      </c>
      <c r="X165" s="701">
        <v>2067504.77770219</v>
      </c>
      <c r="Y165" s="701">
        <v>2060319.8694050601</v>
      </c>
      <c r="Z165" s="701">
        <v>2087871.9141470301</v>
      </c>
      <c r="AA165" s="701">
        <v>2108637.2142848899</v>
      </c>
      <c r="AB165" s="701">
        <v>2052418.9852831501</v>
      </c>
      <c r="AC165" s="701">
        <v>2054751.3329302999</v>
      </c>
      <c r="AD165" s="701">
        <v>2062169.2825639599</v>
      </c>
      <c r="AE165" s="701">
        <v>2038522.76060465</v>
      </c>
      <c r="AF165" s="697">
        <f t="shared" si="5"/>
        <v>2061509.8332946214</v>
      </c>
    </row>
    <row r="166" spans="1:32">
      <c r="A166" s="572" t="s">
        <v>1925</v>
      </c>
      <c r="B166" s="696">
        <v>2020459.49664</v>
      </c>
      <c r="C166" s="696">
        <v>2005096.2999400001</v>
      </c>
      <c r="D166" s="696">
        <v>2010731.34837</v>
      </c>
      <c r="E166" s="696">
        <v>2029044.3294200001</v>
      </c>
      <c r="F166" s="696">
        <v>2006322.2340899999</v>
      </c>
      <c r="G166" s="696">
        <v>2038969.3584</v>
      </c>
      <c r="H166" s="696">
        <v>2065899.1825900001</v>
      </c>
      <c r="I166" s="696">
        <v>2030918.9055679501</v>
      </c>
      <c r="J166" s="696">
        <v>2042836.74998925</v>
      </c>
      <c r="K166" s="696">
        <v>2058744.81483092</v>
      </c>
      <c r="L166" s="696">
        <v>2035549.0931104701</v>
      </c>
      <c r="M166" s="696">
        <v>2069293.93385623</v>
      </c>
      <c r="N166" s="696">
        <v>2096238.4824383501</v>
      </c>
      <c r="O166" s="235">
        <f t="shared" si="4"/>
        <v>2039238.7868648595</v>
      </c>
      <c r="P166" s="696">
        <v>2043588.2135920001</v>
      </c>
      <c r="Q166" s="696">
        <v>2051500.20134803</v>
      </c>
      <c r="R166" s="696">
        <v>2065535.8451370299</v>
      </c>
      <c r="S166" s="696">
        <v>2033168.5986675101</v>
      </c>
      <c r="T166" s="696">
        <v>2052158.10046671</v>
      </c>
      <c r="U166" s="696">
        <v>2070613.6620549699</v>
      </c>
      <c r="V166" s="696">
        <v>2053767.1495946399</v>
      </c>
      <c r="W166" s="696">
        <v>2057724.1851250201</v>
      </c>
      <c r="X166" s="696">
        <v>2067504.77770219</v>
      </c>
      <c r="Y166" s="696">
        <v>2060319.8694050601</v>
      </c>
      <c r="Z166" s="696">
        <v>2087871.9141470301</v>
      </c>
      <c r="AA166" s="696">
        <v>2108637.2142848899</v>
      </c>
      <c r="AB166" s="696">
        <v>2052418.9852831501</v>
      </c>
      <c r="AC166" s="696">
        <v>2054751.3329302999</v>
      </c>
      <c r="AD166" s="696">
        <v>2062169.2825639599</v>
      </c>
      <c r="AE166" s="696">
        <v>2038522.76060465</v>
      </c>
      <c r="AF166" s="697">
        <f t="shared" si="5"/>
        <v>2061509.8332946214</v>
      </c>
    </row>
    <row r="167" spans="1:32">
      <c r="A167" s="572"/>
      <c r="B167" s="698"/>
      <c r="C167" s="698"/>
      <c r="D167" s="698"/>
      <c r="E167" s="698"/>
      <c r="F167" s="698"/>
      <c r="G167" s="698"/>
      <c r="H167" s="698"/>
      <c r="I167" s="698"/>
      <c r="J167" s="698"/>
      <c r="K167" s="698"/>
      <c r="L167" s="698"/>
      <c r="M167" s="698"/>
      <c r="N167" s="698"/>
      <c r="O167" s="235">
        <f t="shared" si="4"/>
        <v>0</v>
      </c>
      <c r="P167" s="698"/>
      <c r="Q167" s="698"/>
      <c r="R167" s="698"/>
      <c r="S167" s="698"/>
      <c r="T167" s="698"/>
      <c r="U167" s="698"/>
      <c r="V167" s="698"/>
      <c r="W167" s="698"/>
      <c r="X167" s="698"/>
      <c r="Y167" s="698"/>
      <c r="Z167" s="698"/>
      <c r="AA167" s="698"/>
      <c r="AB167" s="698"/>
      <c r="AC167" s="698"/>
      <c r="AD167" s="698"/>
      <c r="AE167" s="698"/>
      <c r="AF167" s="697">
        <f t="shared" si="5"/>
        <v>0</v>
      </c>
    </row>
    <row r="168" spans="1:32">
      <c r="A168" s="572" t="s">
        <v>1927</v>
      </c>
      <c r="O168" s="235">
        <f t="shared" si="4"/>
        <v>0</v>
      </c>
      <c r="AF168" s="697">
        <f t="shared" si="5"/>
        <v>0</v>
      </c>
    </row>
    <row r="169" spans="1:32">
      <c r="A169" s="572" t="s">
        <v>1928</v>
      </c>
      <c r="B169" s="696">
        <v>1.0000000000000001E-5</v>
      </c>
      <c r="C169" s="696">
        <v>1.0000000000000001E-5</v>
      </c>
      <c r="D169" s="696">
        <v>1.0000000000000001E-5</v>
      </c>
      <c r="E169" s="696">
        <v>1.0000000000000001E-5</v>
      </c>
      <c r="F169" s="696">
        <v>1.0000000000000001E-5</v>
      </c>
      <c r="G169" s="696">
        <v>1.0000000000000001E-5</v>
      </c>
      <c r="H169" s="696">
        <v>1.0000000000000001E-5</v>
      </c>
      <c r="I169" s="696">
        <v>1.0000000000000001E-5</v>
      </c>
      <c r="J169" s="696">
        <v>1.0000000000000001E-5</v>
      </c>
      <c r="K169" s="696">
        <v>1.0000000000000001E-5</v>
      </c>
      <c r="L169" s="696">
        <v>1.0000000000000001E-5</v>
      </c>
      <c r="M169" s="696">
        <v>1.0000000000000001E-5</v>
      </c>
      <c r="N169" s="696">
        <v>1.0000000000000001E-5</v>
      </c>
      <c r="O169" s="235">
        <f t="shared" si="4"/>
        <v>1.0000000000000001E-5</v>
      </c>
      <c r="P169" s="696">
        <v>1.0000000000000001E-5</v>
      </c>
      <c r="Q169" s="696">
        <v>1.0000000000000001E-5</v>
      </c>
      <c r="R169" s="696">
        <v>1.0000000000000001E-5</v>
      </c>
      <c r="S169" s="696">
        <v>1.0000000000000001E-5</v>
      </c>
      <c r="T169" s="696">
        <v>1.0000000000000001E-5</v>
      </c>
      <c r="U169" s="696">
        <v>1.0000000000000001E-5</v>
      </c>
      <c r="V169" s="696">
        <v>1.0000000000000001E-5</v>
      </c>
      <c r="W169" s="696">
        <v>1.0000000000000001E-5</v>
      </c>
      <c r="X169" s="696">
        <v>1.0000000000000001E-5</v>
      </c>
      <c r="Y169" s="696">
        <v>1.0000000000000001E-5</v>
      </c>
      <c r="Z169" s="696">
        <v>1.0000000000000001E-5</v>
      </c>
      <c r="AA169" s="696">
        <v>1.0000000000000001E-5</v>
      </c>
      <c r="AB169" s="696">
        <v>1.0000000000000001E-5</v>
      </c>
      <c r="AC169" s="696">
        <v>1.0000000000000001E-5</v>
      </c>
      <c r="AD169" s="696">
        <v>1.0000000000000001E-5</v>
      </c>
      <c r="AE169" s="696">
        <v>1.0000000000000001E-5</v>
      </c>
      <c r="AF169" s="697">
        <f t="shared" si="5"/>
        <v>1.0000000000000001E-5</v>
      </c>
    </row>
    <row r="170" spans="1:32">
      <c r="A170" s="572" t="s">
        <v>1927</v>
      </c>
      <c r="B170" s="696">
        <v>1.0000000000000001E-5</v>
      </c>
      <c r="C170" s="696">
        <v>1.0000000000000001E-5</v>
      </c>
      <c r="D170" s="696">
        <v>1.0000000000000001E-5</v>
      </c>
      <c r="E170" s="696">
        <v>1.0000000000000001E-5</v>
      </c>
      <c r="F170" s="696">
        <v>1.0000000000000001E-5</v>
      </c>
      <c r="G170" s="696">
        <v>1.0000000000000001E-5</v>
      </c>
      <c r="H170" s="696">
        <v>1.0000000000000001E-5</v>
      </c>
      <c r="I170" s="696">
        <v>1.0000000000000001E-5</v>
      </c>
      <c r="J170" s="696">
        <v>1.0000000000000001E-5</v>
      </c>
      <c r="K170" s="696">
        <v>1.0000000000000001E-5</v>
      </c>
      <c r="L170" s="696">
        <v>1.0000000000000001E-5</v>
      </c>
      <c r="M170" s="696">
        <v>1.0000000000000001E-5</v>
      </c>
      <c r="N170" s="696">
        <v>1.0000000000000001E-5</v>
      </c>
      <c r="O170" s="235">
        <f t="shared" si="4"/>
        <v>1.0000000000000001E-5</v>
      </c>
      <c r="P170" s="696">
        <v>1.0000000000000001E-5</v>
      </c>
      <c r="Q170" s="696">
        <v>1.0000000000000001E-5</v>
      </c>
      <c r="R170" s="696">
        <v>1.0000000000000001E-5</v>
      </c>
      <c r="S170" s="696">
        <v>1.0000000000000001E-5</v>
      </c>
      <c r="T170" s="696">
        <v>1.0000000000000001E-5</v>
      </c>
      <c r="U170" s="696">
        <v>1.0000000000000001E-5</v>
      </c>
      <c r="V170" s="696">
        <v>1.0000000000000001E-5</v>
      </c>
      <c r="W170" s="696">
        <v>1.0000000000000001E-5</v>
      </c>
      <c r="X170" s="696">
        <v>1.0000000000000001E-5</v>
      </c>
      <c r="Y170" s="696">
        <v>1.0000000000000001E-5</v>
      </c>
      <c r="Z170" s="696">
        <v>1.0000000000000001E-5</v>
      </c>
      <c r="AA170" s="696">
        <v>1.0000000000000001E-5</v>
      </c>
      <c r="AB170" s="696">
        <v>1.0000000000000001E-5</v>
      </c>
      <c r="AC170" s="696">
        <v>1.0000000000000001E-5</v>
      </c>
      <c r="AD170" s="696">
        <v>1.0000000000000001E-5</v>
      </c>
      <c r="AE170" s="696">
        <v>1.0000000000000001E-5</v>
      </c>
      <c r="AF170" s="697">
        <f t="shared" si="5"/>
        <v>1.0000000000000001E-5</v>
      </c>
    </row>
    <row r="171" spans="1:32">
      <c r="A171" s="572"/>
      <c r="B171" s="698"/>
      <c r="C171" s="698"/>
      <c r="D171" s="698"/>
      <c r="E171" s="698"/>
      <c r="F171" s="698"/>
      <c r="G171" s="698"/>
      <c r="H171" s="698"/>
      <c r="I171" s="698"/>
      <c r="J171" s="698"/>
      <c r="K171" s="698"/>
      <c r="L171" s="698"/>
      <c r="M171" s="698"/>
      <c r="N171" s="698"/>
      <c r="O171" s="235">
        <f t="shared" si="4"/>
        <v>0</v>
      </c>
      <c r="P171" s="698"/>
      <c r="Q171" s="698"/>
      <c r="R171" s="698"/>
      <c r="S171" s="698"/>
      <c r="T171" s="698"/>
      <c r="U171" s="698"/>
      <c r="V171" s="698"/>
      <c r="W171" s="698"/>
      <c r="X171" s="698"/>
      <c r="Y171" s="698"/>
      <c r="Z171" s="698"/>
      <c r="AA171" s="698"/>
      <c r="AB171" s="698"/>
      <c r="AC171" s="698"/>
      <c r="AD171" s="698"/>
      <c r="AE171" s="698"/>
      <c r="AF171" s="697">
        <f t="shared" si="5"/>
        <v>0</v>
      </c>
    </row>
    <row r="172" spans="1:32">
      <c r="A172" s="572"/>
      <c r="B172" s="698"/>
      <c r="C172" s="698"/>
      <c r="D172" s="698"/>
      <c r="E172" s="698"/>
      <c r="F172" s="698"/>
      <c r="G172" s="698"/>
      <c r="H172" s="698"/>
      <c r="I172" s="698"/>
      <c r="J172" s="698"/>
      <c r="K172" s="698"/>
      <c r="L172" s="698"/>
      <c r="M172" s="698"/>
      <c r="N172" s="698"/>
      <c r="O172" s="235">
        <f t="shared" si="4"/>
        <v>0</v>
      </c>
      <c r="P172" s="698"/>
      <c r="Q172" s="698"/>
      <c r="R172" s="698"/>
      <c r="S172" s="698"/>
      <c r="T172" s="698"/>
      <c r="U172" s="698"/>
      <c r="V172" s="698"/>
      <c r="W172" s="698"/>
      <c r="X172" s="698"/>
      <c r="Y172" s="698"/>
      <c r="Z172" s="698"/>
      <c r="AA172" s="698"/>
      <c r="AB172" s="698"/>
      <c r="AC172" s="698"/>
      <c r="AD172" s="698"/>
      <c r="AE172" s="698"/>
      <c r="AF172" s="697">
        <f t="shared" si="5"/>
        <v>0</v>
      </c>
    </row>
    <row r="173" spans="1:32" ht="15.75" thickBot="1">
      <c r="A173" s="702" t="s">
        <v>1535</v>
      </c>
      <c r="B173" s="703">
        <v>3025136.26834</v>
      </c>
      <c r="C173" s="703">
        <v>3046773.0716400002</v>
      </c>
      <c r="D173" s="703">
        <v>3052408.1200700002</v>
      </c>
      <c r="E173" s="703">
        <v>3070721.1011199998</v>
      </c>
      <c r="F173" s="703">
        <v>3047999.0057899999</v>
      </c>
      <c r="G173" s="703">
        <v>3080646.1301000002</v>
      </c>
      <c r="H173" s="703">
        <v>3168075.9542899998</v>
      </c>
      <c r="I173" s="703">
        <v>3133095.67726795</v>
      </c>
      <c r="J173" s="703">
        <v>3145013.5216892501</v>
      </c>
      <c r="K173" s="703">
        <v>3160921.5865309201</v>
      </c>
      <c r="L173" s="703">
        <v>3179374.6377024599</v>
      </c>
      <c r="M173" s="703">
        <v>3213119.4784482298</v>
      </c>
      <c r="N173" s="703">
        <v>3240064.0270303399</v>
      </c>
      <c r="O173" s="235">
        <f t="shared" si="4"/>
        <v>3120257.583078396</v>
      </c>
      <c r="P173" s="703">
        <v>3187413.7581839901</v>
      </c>
      <c r="Q173" s="703">
        <v>3195325.7459400198</v>
      </c>
      <c r="R173" s="703">
        <v>3209361.38972903</v>
      </c>
      <c r="S173" s="703">
        <v>3261662.2144658701</v>
      </c>
      <c r="T173" s="703">
        <v>3280651.7162650698</v>
      </c>
      <c r="U173" s="703">
        <v>3299107.2778533301</v>
      </c>
      <c r="V173" s="703">
        <v>3282260.7653930001</v>
      </c>
      <c r="W173" s="703">
        <v>3286217.8009233698</v>
      </c>
      <c r="X173" s="703">
        <v>3295998.3935005502</v>
      </c>
      <c r="Y173" s="703">
        <v>3330029.7407156802</v>
      </c>
      <c r="Z173" s="703">
        <v>3357581.7854576502</v>
      </c>
      <c r="AA173" s="703">
        <v>3378347.0855955002</v>
      </c>
      <c r="AB173" s="703">
        <v>3322128.8565937602</v>
      </c>
      <c r="AC173" s="703">
        <v>3324461.20424092</v>
      </c>
      <c r="AD173" s="703">
        <v>3331879.15387457</v>
      </c>
      <c r="AE173" s="703">
        <v>3359445.3275134801</v>
      </c>
      <c r="AF173" s="697">
        <f t="shared" si="5"/>
        <v>3316136.2555686729</v>
      </c>
    </row>
    <row r="174" spans="1:32">
      <c r="A174" s="572"/>
      <c r="O174" s="235">
        <f t="shared" si="4"/>
        <v>0</v>
      </c>
      <c r="AF174" s="697">
        <f t="shared" si="5"/>
        <v>0</v>
      </c>
    </row>
    <row r="175" spans="1:32">
      <c r="A175" s="702" t="s">
        <v>1443</v>
      </c>
      <c r="B175" s="698"/>
      <c r="C175" s="698"/>
      <c r="D175" s="698"/>
      <c r="E175" s="698"/>
      <c r="F175" s="698"/>
      <c r="G175" s="698"/>
      <c r="H175" s="698"/>
      <c r="I175" s="698"/>
      <c r="J175" s="698"/>
      <c r="K175" s="698"/>
      <c r="L175" s="698"/>
      <c r="M175" s="698"/>
      <c r="N175" s="698"/>
      <c r="O175" s="235">
        <f t="shared" si="4"/>
        <v>0</v>
      </c>
      <c r="P175" s="698"/>
      <c r="Q175" s="698"/>
      <c r="R175" s="698"/>
      <c r="S175" s="698"/>
      <c r="T175" s="698"/>
      <c r="U175" s="698"/>
      <c r="V175" s="698"/>
      <c r="W175" s="698"/>
      <c r="X175" s="698"/>
      <c r="Y175" s="698"/>
      <c r="Z175" s="698"/>
      <c r="AA175" s="698"/>
      <c r="AB175" s="698"/>
      <c r="AC175" s="698"/>
      <c r="AD175" s="698"/>
      <c r="AE175" s="698"/>
      <c r="AF175" s="697">
        <f t="shared" si="5"/>
        <v>0</v>
      </c>
    </row>
    <row r="176" spans="1:32">
      <c r="A176" s="572" t="s">
        <v>1929</v>
      </c>
      <c r="B176" s="698"/>
      <c r="C176" s="698"/>
      <c r="D176" s="698"/>
      <c r="E176" s="698"/>
      <c r="F176" s="698"/>
      <c r="G176" s="698"/>
      <c r="H176" s="698"/>
      <c r="I176" s="698"/>
      <c r="J176" s="698"/>
      <c r="K176" s="698"/>
      <c r="L176" s="698"/>
      <c r="M176" s="698"/>
      <c r="N176" s="698"/>
      <c r="O176" s="235">
        <f t="shared" si="4"/>
        <v>0</v>
      </c>
      <c r="P176" s="698"/>
      <c r="Q176" s="698"/>
      <c r="R176" s="698"/>
      <c r="S176" s="698"/>
      <c r="T176" s="698"/>
      <c r="U176" s="698"/>
      <c r="V176" s="698"/>
      <c r="W176" s="698"/>
      <c r="X176" s="698"/>
      <c r="Y176" s="698"/>
      <c r="Z176" s="698"/>
      <c r="AA176" s="698"/>
      <c r="AB176" s="698"/>
      <c r="AC176" s="698"/>
      <c r="AD176" s="698"/>
      <c r="AE176" s="698"/>
      <c r="AF176" s="697">
        <f t="shared" si="5"/>
        <v>0</v>
      </c>
    </row>
    <row r="177" spans="1:32">
      <c r="A177" s="572" t="s">
        <v>1930</v>
      </c>
      <c r="B177" s="696">
        <v>499872.71853000001</v>
      </c>
      <c r="C177" s="696">
        <v>499888.82352999999</v>
      </c>
      <c r="D177" s="696">
        <v>499904.40902000002</v>
      </c>
      <c r="E177" s="696">
        <v>499920.51402</v>
      </c>
      <c r="F177" s="696">
        <v>631883.50451</v>
      </c>
      <c r="G177" s="696">
        <v>631899.60950999998</v>
      </c>
      <c r="H177" s="696">
        <v>131915.71450999999</v>
      </c>
      <c r="I177" s="696">
        <v>131915.71450999999</v>
      </c>
      <c r="J177" s="696">
        <v>131947.405</v>
      </c>
      <c r="K177" s="696">
        <v>131947.405</v>
      </c>
      <c r="L177" s="696">
        <v>131947.405</v>
      </c>
      <c r="M177" s="696">
        <v>131947.405</v>
      </c>
      <c r="N177" s="696">
        <v>131947.405</v>
      </c>
      <c r="O177" s="235">
        <f t="shared" si="4"/>
        <v>322072.15639538452</v>
      </c>
      <c r="P177" s="696">
        <v>131947.405</v>
      </c>
      <c r="Q177" s="696">
        <v>131947.405</v>
      </c>
      <c r="R177" s="696">
        <v>131947.405</v>
      </c>
      <c r="S177" s="696">
        <v>0</v>
      </c>
      <c r="T177" s="696">
        <v>0</v>
      </c>
      <c r="U177" s="696">
        <v>0</v>
      </c>
      <c r="V177" s="696">
        <v>0</v>
      </c>
      <c r="W177" s="696">
        <v>0</v>
      </c>
      <c r="X177" s="696">
        <v>0</v>
      </c>
      <c r="Y177" s="696">
        <v>0</v>
      </c>
      <c r="Z177" s="696">
        <v>0</v>
      </c>
      <c r="AA177" s="696">
        <v>0</v>
      </c>
      <c r="AB177" s="696">
        <v>0</v>
      </c>
      <c r="AC177" s="696">
        <v>0</v>
      </c>
      <c r="AD177" s="696">
        <v>12900</v>
      </c>
      <c r="AE177" s="696">
        <v>12900</v>
      </c>
      <c r="AF177" s="697">
        <f t="shared" si="5"/>
        <v>1984.6153846153845</v>
      </c>
    </row>
    <row r="178" spans="1:32">
      <c r="A178" s="572" t="s">
        <v>1931</v>
      </c>
      <c r="B178" s="696">
        <v>2141852.4049999998</v>
      </c>
      <c r="C178" s="696">
        <v>2141852.4049999998</v>
      </c>
      <c r="D178" s="696">
        <v>2141852.4049999998</v>
      </c>
      <c r="E178" s="696">
        <v>2141852.4049999998</v>
      </c>
      <c r="F178" s="696">
        <v>2509905</v>
      </c>
      <c r="G178" s="696">
        <v>2509905</v>
      </c>
      <c r="H178" s="696">
        <v>2509905</v>
      </c>
      <c r="I178" s="696">
        <v>2509905</v>
      </c>
      <c r="J178" s="696">
        <v>2509905</v>
      </c>
      <c r="K178" s="696">
        <v>2509905</v>
      </c>
      <c r="L178" s="696">
        <v>2509905</v>
      </c>
      <c r="M178" s="696">
        <v>2509905</v>
      </c>
      <c r="N178" s="696">
        <v>2509905</v>
      </c>
      <c r="O178" s="235">
        <f t="shared" si="4"/>
        <v>2396658.0476923073</v>
      </c>
      <c r="P178" s="696">
        <v>2509905</v>
      </c>
      <c r="Q178" s="696">
        <v>2509905</v>
      </c>
      <c r="R178" s="696">
        <v>2509905</v>
      </c>
      <c r="S178" s="696">
        <v>2841852.4049999998</v>
      </c>
      <c r="T178" s="696">
        <v>2841852.4049999998</v>
      </c>
      <c r="U178" s="696">
        <v>2841852.4049999998</v>
      </c>
      <c r="V178" s="696">
        <v>2841852.4049999998</v>
      </c>
      <c r="W178" s="696">
        <v>2841852.4049999998</v>
      </c>
      <c r="X178" s="696">
        <v>2841852.4049999998</v>
      </c>
      <c r="Y178" s="696">
        <v>2841852.4049999998</v>
      </c>
      <c r="Z178" s="696">
        <v>2841852.4049999998</v>
      </c>
      <c r="AA178" s="696">
        <v>2841852.4049999998</v>
      </c>
      <c r="AB178" s="696">
        <v>2841852.4049999998</v>
      </c>
      <c r="AC178" s="696">
        <v>2841852.4049999998</v>
      </c>
      <c r="AD178" s="696">
        <v>2828952.4049999998</v>
      </c>
      <c r="AE178" s="696">
        <v>2828952.4049999998</v>
      </c>
      <c r="AF178" s="697">
        <f t="shared" si="5"/>
        <v>2839867.7896153852</v>
      </c>
    </row>
    <row r="179" spans="1:32">
      <c r="A179" s="572" t="s">
        <v>3685</v>
      </c>
      <c r="B179" s="696">
        <v>5343.4478300000001</v>
      </c>
      <c r="C179" s="696">
        <v>5325.7221099999997</v>
      </c>
      <c r="D179" s="696">
        <v>5308.5681800000002</v>
      </c>
      <c r="E179" s="696">
        <v>5290.8424599999998</v>
      </c>
      <c r="F179" s="696">
        <v>5273.6885300000004</v>
      </c>
      <c r="G179" s="696">
        <v>5255.96281</v>
      </c>
      <c r="H179" s="696">
        <v>5238.2370899999996</v>
      </c>
      <c r="I179" s="696">
        <v>5221.0831643801603</v>
      </c>
      <c r="J179" s="696">
        <v>5203.3574412396601</v>
      </c>
      <c r="K179" s="696">
        <v>5186.2035156198299</v>
      </c>
      <c r="L179" s="696">
        <v>5168.4777924793298</v>
      </c>
      <c r="M179" s="696">
        <v>5150.7520693388396</v>
      </c>
      <c r="N179" s="696">
        <v>5134.74173876033</v>
      </c>
      <c r="O179" s="235">
        <f t="shared" si="4"/>
        <v>5238.5449793706275</v>
      </c>
      <c r="P179" s="696">
        <v>5117.0160156198299</v>
      </c>
      <c r="Q179" s="696">
        <v>5099.8620899999996</v>
      </c>
      <c r="R179" s="696">
        <v>5082.1363668595004</v>
      </c>
      <c r="S179" s="696">
        <v>5064.9824412396702</v>
      </c>
      <c r="T179" s="696">
        <v>5047.25671809917</v>
      </c>
      <c r="U179" s="696">
        <v>5029.5309949586699</v>
      </c>
      <c r="V179" s="696">
        <v>5012.3770693388396</v>
      </c>
      <c r="W179" s="696">
        <v>4994.6513461983404</v>
      </c>
      <c r="X179" s="696">
        <v>4977.4974205785102</v>
      </c>
      <c r="Y179" s="696">
        <v>4959.7716974380101</v>
      </c>
      <c r="Z179" s="696">
        <v>4942.0459742975199</v>
      </c>
      <c r="AA179" s="696">
        <v>4926.0356437190103</v>
      </c>
      <c r="AB179" s="696">
        <v>4908.3099205785102</v>
      </c>
      <c r="AC179" s="696">
        <v>4891.1559949586799</v>
      </c>
      <c r="AD179" s="696">
        <v>4873.4302718181798</v>
      </c>
      <c r="AE179" s="696">
        <v>4856.2763461983404</v>
      </c>
      <c r="AF179" s="697">
        <f t="shared" si="5"/>
        <v>4960.255526109343</v>
      </c>
    </row>
    <row r="180" spans="1:32" ht="15.75" thickBot="1">
      <c r="A180" s="572" t="s">
        <v>1932</v>
      </c>
      <c r="B180" s="701">
        <v>-7273.6263499999995</v>
      </c>
      <c r="C180" s="701">
        <v>-7243.9834000000001</v>
      </c>
      <c r="D180" s="701">
        <v>-7215.2966799999904</v>
      </c>
      <c r="E180" s="701">
        <v>-7185.6537399999997</v>
      </c>
      <c r="F180" s="701">
        <v>-9605.6922500000001</v>
      </c>
      <c r="G180" s="701">
        <v>-9569.1022499999999</v>
      </c>
      <c r="H180" s="701">
        <v>-9532.5122499999998</v>
      </c>
      <c r="I180" s="701">
        <v>-9481.5170832611602</v>
      </c>
      <c r="J180" s="701">
        <v>-9460.5125676310199</v>
      </c>
      <c r="K180" s="701">
        <v>-9425.1028874232397</v>
      </c>
      <c r="L180" s="701">
        <v>-9388.5128845418694</v>
      </c>
      <c r="M180" s="701">
        <v>-9351.9228816604991</v>
      </c>
      <c r="N180" s="701">
        <v>-9318.8738467999101</v>
      </c>
      <c r="O180" s="235">
        <f t="shared" si="4"/>
        <v>-8773.2545439475143</v>
      </c>
      <c r="P180" s="701">
        <v>-9282.2838439185398</v>
      </c>
      <c r="Q180" s="701">
        <v>-9246.8741637107596</v>
      </c>
      <c r="R180" s="701">
        <v>-9210.2841608293893</v>
      </c>
      <c r="S180" s="701">
        <v>-9174.8744806216091</v>
      </c>
      <c r="T180" s="701">
        <v>-9138.2844777402406</v>
      </c>
      <c r="U180" s="701">
        <v>-9101.6944748588703</v>
      </c>
      <c r="V180" s="701">
        <v>-9066.2847946510992</v>
      </c>
      <c r="W180" s="701">
        <v>-9029.6947917697198</v>
      </c>
      <c r="X180" s="701">
        <v>-8994.2851115619505</v>
      </c>
      <c r="Y180" s="701">
        <v>-8957.6951086805802</v>
      </c>
      <c r="Z180" s="701">
        <v>-8921.1051057992099</v>
      </c>
      <c r="AA180" s="701">
        <v>-8888.05607093861</v>
      </c>
      <c r="AB180" s="701">
        <v>-8851.4660680572397</v>
      </c>
      <c r="AC180" s="701">
        <v>-8816.0563878494595</v>
      </c>
      <c r="AD180" s="701">
        <v>-8779.4663849680892</v>
      </c>
      <c r="AE180" s="701">
        <v>-8744.0567047603199</v>
      </c>
      <c r="AF180" s="697">
        <f t="shared" si="5"/>
        <v>-8958.6938432505394</v>
      </c>
    </row>
    <row r="181" spans="1:32">
      <c r="A181" s="572" t="s">
        <v>1929</v>
      </c>
      <c r="B181" s="696">
        <v>2639794.9450099999</v>
      </c>
      <c r="C181" s="696">
        <v>2639822.9672400001</v>
      </c>
      <c r="D181" s="696">
        <v>2639850.0855200002</v>
      </c>
      <c r="E181" s="696">
        <v>2639878.1077399999</v>
      </c>
      <c r="F181" s="696">
        <v>3137456.50079</v>
      </c>
      <c r="G181" s="696">
        <v>3137491.4700699998</v>
      </c>
      <c r="H181" s="696">
        <v>2637526.4393499899</v>
      </c>
      <c r="I181" s="696">
        <v>2637560.2805911098</v>
      </c>
      <c r="J181" s="696">
        <v>2637595.2498736</v>
      </c>
      <c r="K181" s="696">
        <v>2637613.50562819</v>
      </c>
      <c r="L181" s="696">
        <v>2637632.36990793</v>
      </c>
      <c r="M181" s="696">
        <v>2637651.2341876701</v>
      </c>
      <c r="N181" s="696">
        <v>2637668.2728919601</v>
      </c>
      <c r="O181" s="235">
        <f t="shared" si="4"/>
        <v>2715195.4945231122</v>
      </c>
      <c r="P181" s="696">
        <v>2637687.1371717001</v>
      </c>
      <c r="Q181" s="696">
        <v>2637705.3929262799</v>
      </c>
      <c r="R181" s="696">
        <v>2637724.2572060199</v>
      </c>
      <c r="S181" s="696">
        <v>2837742.51296061</v>
      </c>
      <c r="T181" s="696">
        <v>2837761.37724035</v>
      </c>
      <c r="U181" s="696">
        <v>2837780.2415200998</v>
      </c>
      <c r="V181" s="696">
        <v>2837798.4972746801</v>
      </c>
      <c r="W181" s="696">
        <v>2837817.3615544201</v>
      </c>
      <c r="X181" s="696">
        <v>2837835.6173090101</v>
      </c>
      <c r="Y181" s="696">
        <v>2837854.4815887501</v>
      </c>
      <c r="Z181" s="696">
        <v>2837873.3458684902</v>
      </c>
      <c r="AA181" s="696">
        <v>2837890.3845727802</v>
      </c>
      <c r="AB181" s="696">
        <v>2837909.2488525198</v>
      </c>
      <c r="AC181" s="696">
        <v>2837927.5046071</v>
      </c>
      <c r="AD181" s="696">
        <v>2837946.3688868498</v>
      </c>
      <c r="AE181" s="696">
        <v>2837964.6246414301</v>
      </c>
      <c r="AF181" s="697">
        <f t="shared" si="5"/>
        <v>2837853.9666828536</v>
      </c>
    </row>
    <row r="182" spans="1:32">
      <c r="A182" s="572"/>
      <c r="B182" s="698"/>
      <c r="C182" s="698"/>
      <c r="D182" s="698"/>
      <c r="E182" s="698"/>
      <c r="F182" s="698"/>
      <c r="G182" s="698"/>
      <c r="H182" s="698"/>
      <c r="I182" s="698"/>
      <c r="J182" s="698"/>
      <c r="K182" s="698"/>
      <c r="L182" s="698"/>
      <c r="M182" s="698"/>
      <c r="N182" s="698"/>
      <c r="O182" s="235">
        <f t="shared" si="4"/>
        <v>0</v>
      </c>
      <c r="P182" s="698"/>
      <c r="Q182" s="698"/>
      <c r="R182" s="698"/>
      <c r="S182" s="698"/>
      <c r="T182" s="698"/>
      <c r="U182" s="698"/>
      <c r="V182" s="698"/>
      <c r="W182" s="698"/>
      <c r="X182" s="698"/>
      <c r="Y182" s="698"/>
      <c r="Z182" s="698"/>
      <c r="AA182" s="698"/>
      <c r="AB182" s="698"/>
      <c r="AC182" s="698"/>
      <c r="AD182" s="698"/>
      <c r="AE182" s="698"/>
      <c r="AF182" s="697">
        <f t="shared" si="5"/>
        <v>0</v>
      </c>
    </row>
    <row r="183" spans="1:32">
      <c r="A183" s="572" t="s">
        <v>1933</v>
      </c>
      <c r="O183" s="235">
        <f t="shared" si="4"/>
        <v>0</v>
      </c>
      <c r="AF183" s="697">
        <f t="shared" si="5"/>
        <v>0</v>
      </c>
    </row>
    <row r="184" spans="1:32">
      <c r="A184" s="572"/>
      <c r="B184" s="698"/>
      <c r="C184" s="698"/>
      <c r="D184" s="698"/>
      <c r="E184" s="698"/>
      <c r="F184" s="698"/>
      <c r="G184" s="698"/>
      <c r="H184" s="698"/>
      <c r="I184" s="698"/>
      <c r="J184" s="698"/>
      <c r="K184" s="698"/>
      <c r="L184" s="698"/>
      <c r="M184" s="698"/>
      <c r="N184" s="698"/>
      <c r="O184" s="235">
        <f t="shared" si="4"/>
        <v>0</v>
      </c>
      <c r="P184" s="698"/>
      <c r="Q184" s="698"/>
      <c r="R184" s="698"/>
      <c r="S184" s="698"/>
      <c r="T184" s="698"/>
      <c r="U184" s="698"/>
      <c r="V184" s="698"/>
      <c r="W184" s="698"/>
      <c r="X184" s="698"/>
      <c r="Y184" s="698"/>
      <c r="Z184" s="698"/>
      <c r="AA184" s="698"/>
      <c r="AB184" s="698"/>
      <c r="AC184" s="698"/>
      <c r="AD184" s="698"/>
      <c r="AE184" s="698"/>
      <c r="AF184" s="697">
        <f t="shared" si="5"/>
        <v>0</v>
      </c>
    </row>
    <row r="185" spans="1:32" ht="15.75" thickBot="1">
      <c r="A185" s="702" t="s">
        <v>1934</v>
      </c>
      <c r="B185" s="703">
        <v>2639794.9450099999</v>
      </c>
      <c r="C185" s="703">
        <v>2639822.9672400001</v>
      </c>
      <c r="D185" s="703">
        <v>2639850.0855200002</v>
      </c>
      <c r="E185" s="703">
        <v>2639878.1077399999</v>
      </c>
      <c r="F185" s="703">
        <v>3137456.50079</v>
      </c>
      <c r="G185" s="703">
        <v>3137491.4700699998</v>
      </c>
      <c r="H185" s="703">
        <v>2637526.4393499899</v>
      </c>
      <c r="I185" s="703">
        <v>2637560.2805911098</v>
      </c>
      <c r="J185" s="703">
        <v>2637595.2498736</v>
      </c>
      <c r="K185" s="703">
        <v>2637613.50562819</v>
      </c>
      <c r="L185" s="703">
        <v>2637632.36990793</v>
      </c>
      <c r="M185" s="703">
        <v>2637651.2341876701</v>
      </c>
      <c r="N185" s="703">
        <v>2637668.2728919601</v>
      </c>
      <c r="O185" s="235">
        <f t="shared" si="4"/>
        <v>2715195.4945231122</v>
      </c>
      <c r="P185" s="703">
        <v>2637687.1371717001</v>
      </c>
      <c r="Q185" s="703">
        <v>2637705.3929262799</v>
      </c>
      <c r="R185" s="703">
        <v>2637724.2572060199</v>
      </c>
      <c r="S185" s="703">
        <v>2837742.51296061</v>
      </c>
      <c r="T185" s="703">
        <v>2837761.37724035</v>
      </c>
      <c r="U185" s="703">
        <v>2837780.2415200998</v>
      </c>
      <c r="V185" s="703">
        <v>2837798.4972746801</v>
      </c>
      <c r="W185" s="703">
        <v>2837817.3615544201</v>
      </c>
      <c r="X185" s="703">
        <v>2837835.6173090101</v>
      </c>
      <c r="Y185" s="703">
        <v>2837854.4815887501</v>
      </c>
      <c r="Z185" s="703">
        <v>2837873.3458684902</v>
      </c>
      <c r="AA185" s="703">
        <v>2837890.3845727802</v>
      </c>
      <c r="AB185" s="703">
        <v>2837909.2488525198</v>
      </c>
      <c r="AC185" s="703">
        <v>2837927.5046071</v>
      </c>
      <c r="AD185" s="703">
        <v>2837946.3688868498</v>
      </c>
      <c r="AE185" s="703">
        <v>2837964.6246414301</v>
      </c>
      <c r="AF185" s="697">
        <f t="shared" si="5"/>
        <v>2837853.9666828536</v>
      </c>
    </row>
    <row r="186" spans="1:32">
      <c r="A186" s="572"/>
      <c r="O186" s="235">
        <f t="shared" si="4"/>
        <v>0</v>
      </c>
      <c r="AF186" s="697">
        <f t="shared" si="5"/>
        <v>0</v>
      </c>
    </row>
    <row r="187" spans="1:32">
      <c r="A187" s="702" t="s">
        <v>1935</v>
      </c>
      <c r="B187" s="704">
        <v>5664931.2133499999</v>
      </c>
      <c r="C187" s="704">
        <v>5686596.0388799999</v>
      </c>
      <c r="D187" s="704">
        <v>5692258.2055900004</v>
      </c>
      <c r="E187" s="704">
        <v>5710599.2088599997</v>
      </c>
      <c r="F187" s="704">
        <v>6185455.5065799998</v>
      </c>
      <c r="G187" s="704">
        <v>6218137.6001699902</v>
      </c>
      <c r="H187" s="704">
        <v>5805602.3936400004</v>
      </c>
      <c r="I187" s="704">
        <v>5770655.95785907</v>
      </c>
      <c r="J187" s="704">
        <v>5782608.7715628501</v>
      </c>
      <c r="K187" s="704">
        <v>5798535.0921591204</v>
      </c>
      <c r="L187" s="704">
        <v>5817007.0076104002</v>
      </c>
      <c r="M187" s="704">
        <v>5850770.7126358999</v>
      </c>
      <c r="N187" s="704">
        <v>5877732.2999222996</v>
      </c>
      <c r="O187" s="235">
        <f t="shared" si="4"/>
        <v>5835453.077601511</v>
      </c>
      <c r="P187" s="704">
        <v>5825100.8953556903</v>
      </c>
      <c r="Q187" s="704">
        <v>5833031.13886631</v>
      </c>
      <c r="R187" s="704">
        <v>5847085.6469350597</v>
      </c>
      <c r="S187" s="704">
        <v>6099404.7274264898</v>
      </c>
      <c r="T187" s="704">
        <v>6118413.09350543</v>
      </c>
      <c r="U187" s="704">
        <v>6136887.5193734299</v>
      </c>
      <c r="V187" s="704">
        <v>6120059.2626676802</v>
      </c>
      <c r="W187" s="704">
        <v>6124035.1624777997</v>
      </c>
      <c r="X187" s="704">
        <v>6133834.0108095603</v>
      </c>
      <c r="Y187" s="704">
        <v>6167884.2223044401</v>
      </c>
      <c r="Z187" s="704">
        <v>6195455.1313261399</v>
      </c>
      <c r="AA187" s="704">
        <v>6216237.4701682897</v>
      </c>
      <c r="AB187" s="704">
        <v>6160038.1054462902</v>
      </c>
      <c r="AC187" s="704">
        <v>6162388.7088480303</v>
      </c>
      <c r="AD187" s="704">
        <v>6169825.5227614203</v>
      </c>
      <c r="AE187" s="704">
        <v>6197409.9521549204</v>
      </c>
      <c r="AF187" s="697">
        <f t="shared" si="5"/>
        <v>6153990.2222515326</v>
      </c>
    </row>
    <row r="188" spans="1:32">
      <c r="A188" s="572"/>
      <c r="O188" s="235">
        <f t="shared" si="4"/>
        <v>0</v>
      </c>
      <c r="AF188" s="697">
        <f t="shared" si="5"/>
        <v>0</v>
      </c>
    </row>
    <row r="189" spans="1:32">
      <c r="A189" s="702" t="s">
        <v>1444</v>
      </c>
      <c r="B189" s="698"/>
      <c r="C189" s="698"/>
      <c r="D189" s="698"/>
      <c r="E189" s="698"/>
      <c r="F189" s="698"/>
      <c r="G189" s="698"/>
      <c r="H189" s="698"/>
      <c r="I189" s="698"/>
      <c r="J189" s="698"/>
      <c r="K189" s="698"/>
      <c r="L189" s="698"/>
      <c r="M189" s="698"/>
      <c r="N189" s="698"/>
      <c r="O189" s="235">
        <f t="shared" si="4"/>
        <v>0</v>
      </c>
      <c r="P189" s="698"/>
      <c r="Q189" s="698"/>
      <c r="R189" s="698"/>
      <c r="S189" s="698"/>
      <c r="T189" s="698"/>
      <c r="U189" s="698"/>
      <c r="V189" s="698"/>
      <c r="W189" s="698"/>
      <c r="X189" s="698"/>
      <c r="Y189" s="698"/>
      <c r="Z189" s="698"/>
      <c r="AA189" s="698"/>
      <c r="AB189" s="698"/>
      <c r="AC189" s="698"/>
      <c r="AD189" s="698"/>
      <c r="AE189" s="698"/>
      <c r="AF189" s="697">
        <f t="shared" si="5"/>
        <v>0</v>
      </c>
    </row>
    <row r="190" spans="1:32">
      <c r="A190" s="572" t="s">
        <v>1936</v>
      </c>
      <c r="O190" s="235">
        <f t="shared" si="4"/>
        <v>0</v>
      </c>
      <c r="AF190" s="697">
        <f t="shared" si="5"/>
        <v>0</v>
      </c>
    </row>
    <row r="191" spans="1:32">
      <c r="A191" s="572" t="s">
        <v>3686</v>
      </c>
      <c r="B191" s="696">
        <v>0</v>
      </c>
      <c r="C191" s="696">
        <v>0</v>
      </c>
      <c r="D191" s="696">
        <v>0</v>
      </c>
      <c r="E191" s="696">
        <v>133080</v>
      </c>
      <c r="F191" s="696">
        <v>0</v>
      </c>
      <c r="G191" s="696">
        <v>0</v>
      </c>
      <c r="H191" s="696">
        <v>0</v>
      </c>
      <c r="I191" s="696">
        <v>0</v>
      </c>
      <c r="J191" s="696">
        <v>0</v>
      </c>
      <c r="K191" s="696">
        <v>0</v>
      </c>
      <c r="L191" s="696">
        <v>0</v>
      </c>
      <c r="M191" s="696">
        <v>0</v>
      </c>
      <c r="N191" s="696">
        <v>0</v>
      </c>
      <c r="O191" s="235">
        <f t="shared" si="4"/>
        <v>10236.923076923076</v>
      </c>
      <c r="P191" s="696">
        <v>0</v>
      </c>
      <c r="Q191" s="696">
        <v>0</v>
      </c>
      <c r="R191" s="696">
        <v>0</v>
      </c>
      <c r="S191" s="696">
        <v>0</v>
      </c>
      <c r="T191" s="696">
        <v>0</v>
      </c>
      <c r="U191" s="696">
        <v>0</v>
      </c>
      <c r="V191" s="696">
        <v>0</v>
      </c>
      <c r="W191" s="696">
        <v>0</v>
      </c>
      <c r="X191" s="696">
        <v>0</v>
      </c>
      <c r="Y191" s="696">
        <v>0</v>
      </c>
      <c r="Z191" s="696">
        <v>0</v>
      </c>
      <c r="AA191" s="696">
        <v>0</v>
      </c>
      <c r="AB191" s="696">
        <v>0</v>
      </c>
      <c r="AC191" s="696">
        <v>0</v>
      </c>
      <c r="AD191" s="696">
        <v>0</v>
      </c>
      <c r="AE191" s="696">
        <v>0</v>
      </c>
      <c r="AF191" s="697">
        <f t="shared" si="5"/>
        <v>0</v>
      </c>
    </row>
    <row r="192" spans="1:32">
      <c r="A192" s="572" t="s">
        <v>1936</v>
      </c>
      <c r="B192" s="696">
        <v>0</v>
      </c>
      <c r="C192" s="696">
        <v>0</v>
      </c>
      <c r="D192" s="696">
        <v>0</v>
      </c>
      <c r="E192" s="696">
        <v>133080</v>
      </c>
      <c r="F192" s="696">
        <v>0</v>
      </c>
      <c r="G192" s="696">
        <v>0</v>
      </c>
      <c r="H192" s="696">
        <v>0</v>
      </c>
      <c r="I192" s="696">
        <v>0</v>
      </c>
      <c r="J192" s="696">
        <v>0</v>
      </c>
      <c r="K192" s="696">
        <v>0</v>
      </c>
      <c r="L192" s="696">
        <v>0</v>
      </c>
      <c r="M192" s="696">
        <v>0</v>
      </c>
      <c r="N192" s="696">
        <v>0</v>
      </c>
      <c r="O192" s="235">
        <f t="shared" si="4"/>
        <v>10236.923076923076</v>
      </c>
      <c r="P192" s="696">
        <v>0</v>
      </c>
      <c r="Q192" s="696">
        <v>0</v>
      </c>
      <c r="R192" s="696">
        <v>0</v>
      </c>
      <c r="S192" s="696">
        <v>0</v>
      </c>
      <c r="T192" s="696">
        <v>0</v>
      </c>
      <c r="U192" s="696">
        <v>0</v>
      </c>
      <c r="V192" s="696">
        <v>0</v>
      </c>
      <c r="W192" s="696">
        <v>0</v>
      </c>
      <c r="X192" s="696">
        <v>0</v>
      </c>
      <c r="Y192" s="696">
        <v>0</v>
      </c>
      <c r="Z192" s="696">
        <v>0</v>
      </c>
      <c r="AA192" s="696">
        <v>0</v>
      </c>
      <c r="AB192" s="696">
        <v>0</v>
      </c>
      <c r="AC192" s="696">
        <v>0</v>
      </c>
      <c r="AD192" s="696">
        <v>0</v>
      </c>
      <c r="AE192" s="696">
        <v>0</v>
      </c>
      <c r="AF192" s="697">
        <f t="shared" si="5"/>
        <v>0</v>
      </c>
    </row>
    <row r="193" spans="1:32">
      <c r="A193" s="572"/>
      <c r="B193" s="698"/>
      <c r="C193" s="698"/>
      <c r="D193" s="698"/>
      <c r="E193" s="698"/>
      <c r="F193" s="698"/>
      <c r="G193" s="698"/>
      <c r="H193" s="698"/>
      <c r="I193" s="698"/>
      <c r="J193" s="698"/>
      <c r="K193" s="698"/>
      <c r="L193" s="698"/>
      <c r="M193" s="698"/>
      <c r="N193" s="698"/>
      <c r="O193" s="235">
        <f t="shared" si="4"/>
        <v>0</v>
      </c>
      <c r="P193" s="698"/>
      <c r="Q193" s="698"/>
      <c r="R193" s="698"/>
      <c r="S193" s="698"/>
      <c r="T193" s="698"/>
      <c r="U193" s="698"/>
      <c r="V193" s="698"/>
      <c r="W193" s="698"/>
      <c r="X193" s="698"/>
      <c r="Y193" s="698"/>
      <c r="Z193" s="698"/>
      <c r="AA193" s="698"/>
      <c r="AB193" s="698"/>
      <c r="AC193" s="698"/>
      <c r="AD193" s="698"/>
      <c r="AE193" s="698"/>
      <c r="AF193" s="697">
        <f t="shared" si="5"/>
        <v>0</v>
      </c>
    </row>
    <row r="194" spans="1:32">
      <c r="A194" s="572" t="s">
        <v>1937</v>
      </c>
      <c r="B194" s="698"/>
      <c r="C194" s="698"/>
      <c r="D194" s="698"/>
      <c r="E194" s="698"/>
      <c r="F194" s="698"/>
      <c r="G194" s="698"/>
      <c r="H194" s="698"/>
      <c r="I194" s="698"/>
      <c r="J194" s="698"/>
      <c r="K194" s="698"/>
      <c r="L194" s="698"/>
      <c r="M194" s="698"/>
      <c r="N194" s="698"/>
      <c r="O194" s="235">
        <f t="shared" si="4"/>
        <v>0</v>
      </c>
      <c r="P194" s="698"/>
      <c r="Q194" s="698"/>
      <c r="R194" s="698"/>
      <c r="S194" s="698"/>
      <c r="T194" s="698"/>
      <c r="U194" s="698"/>
      <c r="V194" s="698"/>
      <c r="W194" s="698"/>
      <c r="X194" s="698"/>
      <c r="Y194" s="698"/>
      <c r="Z194" s="698"/>
      <c r="AA194" s="698"/>
      <c r="AB194" s="698"/>
      <c r="AC194" s="698"/>
      <c r="AD194" s="698"/>
      <c r="AE194" s="698"/>
      <c r="AF194" s="697">
        <f t="shared" si="5"/>
        <v>0</v>
      </c>
    </row>
    <row r="195" spans="1:32">
      <c r="A195" s="572" t="s">
        <v>1938</v>
      </c>
      <c r="B195" s="763">
        <v>115984.03445000001</v>
      </c>
      <c r="C195" s="763">
        <v>44180.976119999999</v>
      </c>
      <c r="D195" s="763">
        <v>23987.072219999998</v>
      </c>
      <c r="E195" s="763">
        <v>3998.8722200000002</v>
      </c>
      <c r="F195" s="763">
        <v>0</v>
      </c>
      <c r="G195" s="763">
        <v>209985.95694999999</v>
      </c>
      <c r="H195" s="763">
        <v>106996.31112</v>
      </c>
      <c r="I195" s="763">
        <v>113501.14416919601</v>
      </c>
      <c r="J195" s="763">
        <v>138552.498065211</v>
      </c>
      <c r="K195" s="763">
        <v>163878.973605999</v>
      </c>
      <c r="L195" s="763">
        <v>184473.26886043101</v>
      </c>
      <c r="M195" s="763">
        <v>167855.64331223001</v>
      </c>
      <c r="N195" s="763">
        <v>130591.621587937</v>
      </c>
      <c r="O195" s="235">
        <f t="shared" si="4"/>
        <v>107998.95174469262</v>
      </c>
      <c r="P195" s="763">
        <v>192908.69644109701</v>
      </c>
      <c r="Q195" s="763">
        <v>240319.48251162699</v>
      </c>
      <c r="R195" s="763">
        <v>267996.03180562903</v>
      </c>
      <c r="S195" s="763">
        <v>64375.2979259934</v>
      </c>
      <c r="T195" s="763">
        <v>65641.976816116003</v>
      </c>
      <c r="U195" s="763">
        <v>54685.113367420403</v>
      </c>
      <c r="V195" s="763">
        <v>83671.579810117997</v>
      </c>
      <c r="W195" s="763">
        <v>110336.840871508</v>
      </c>
      <c r="X195" s="763">
        <v>126975.621183119</v>
      </c>
      <c r="Y195" s="763">
        <v>127429.125620152</v>
      </c>
      <c r="Z195" s="763">
        <v>108787.555269769</v>
      </c>
      <c r="AA195" s="763">
        <v>67007.433793940902</v>
      </c>
      <c r="AB195" s="763">
        <v>121588.369837794</v>
      </c>
      <c r="AC195" s="763">
        <v>149244.17105748301</v>
      </c>
      <c r="AD195" s="763">
        <v>156360.43585303999</v>
      </c>
      <c r="AE195" s="763">
        <v>155227.09504681901</v>
      </c>
      <c r="AF195" s="697">
        <f t="shared" si="5"/>
        <v>107025.43203486713</v>
      </c>
    </row>
    <row r="196" spans="1:32" ht="15.75" thickBot="1">
      <c r="A196" s="572" t="s">
        <v>3687</v>
      </c>
      <c r="B196" s="701">
        <v>0</v>
      </c>
      <c r="C196" s="701">
        <v>100000</v>
      </c>
      <c r="D196" s="701">
        <v>100000</v>
      </c>
      <c r="E196" s="701">
        <v>0</v>
      </c>
      <c r="F196" s="701">
        <v>0</v>
      </c>
      <c r="G196" s="701">
        <v>0</v>
      </c>
      <c r="H196" s="701">
        <v>0</v>
      </c>
      <c r="I196" s="701">
        <v>0</v>
      </c>
      <c r="J196" s="701">
        <v>0</v>
      </c>
      <c r="K196" s="701">
        <v>0</v>
      </c>
      <c r="L196" s="701">
        <v>0</v>
      </c>
      <c r="M196" s="701">
        <v>0</v>
      </c>
      <c r="N196" s="701">
        <v>0</v>
      </c>
      <c r="O196" s="235">
        <f t="shared" si="4"/>
        <v>15384.615384615385</v>
      </c>
      <c r="P196" s="701">
        <v>0</v>
      </c>
      <c r="Q196" s="701">
        <v>0</v>
      </c>
      <c r="R196" s="701">
        <v>0</v>
      </c>
      <c r="S196" s="701">
        <v>0</v>
      </c>
      <c r="T196" s="701">
        <v>0</v>
      </c>
      <c r="U196" s="701">
        <v>0</v>
      </c>
      <c r="V196" s="701">
        <v>0</v>
      </c>
      <c r="W196" s="701">
        <v>0</v>
      </c>
      <c r="X196" s="701">
        <v>0</v>
      </c>
      <c r="Y196" s="701">
        <v>0</v>
      </c>
      <c r="Z196" s="701">
        <v>0</v>
      </c>
      <c r="AA196" s="701">
        <v>0</v>
      </c>
      <c r="AB196" s="701">
        <v>0</v>
      </c>
      <c r="AC196" s="701">
        <v>0</v>
      </c>
      <c r="AD196" s="701">
        <v>0</v>
      </c>
      <c r="AE196" s="701">
        <v>0</v>
      </c>
      <c r="AF196" s="697">
        <f t="shared" si="5"/>
        <v>0</v>
      </c>
    </row>
    <row r="197" spans="1:32">
      <c r="A197" s="572" t="s">
        <v>1937</v>
      </c>
      <c r="B197" s="696">
        <v>115984.03445000001</v>
      </c>
      <c r="C197" s="696">
        <v>144180.97612000001</v>
      </c>
      <c r="D197" s="696">
        <v>123987.07222</v>
      </c>
      <c r="E197" s="696">
        <v>3998.8722200000002</v>
      </c>
      <c r="F197" s="696">
        <v>0</v>
      </c>
      <c r="G197" s="696">
        <v>209985.95694999999</v>
      </c>
      <c r="H197" s="696">
        <v>106996.31112</v>
      </c>
      <c r="I197" s="696">
        <v>113501.14416919601</v>
      </c>
      <c r="J197" s="696">
        <v>138552.498065211</v>
      </c>
      <c r="K197" s="696">
        <v>163878.973605999</v>
      </c>
      <c r="L197" s="696">
        <v>184473.26886043101</v>
      </c>
      <c r="M197" s="696">
        <v>167855.64331223001</v>
      </c>
      <c r="N197" s="696">
        <v>130591.621587937</v>
      </c>
      <c r="O197" s="235">
        <f t="shared" si="4"/>
        <v>123383.56712930799</v>
      </c>
      <c r="P197" s="696">
        <v>192908.69644109701</v>
      </c>
      <c r="Q197" s="696">
        <v>240319.48251162699</v>
      </c>
      <c r="R197" s="696">
        <v>267996.03180562903</v>
      </c>
      <c r="S197" s="696">
        <v>64375.2979259934</v>
      </c>
      <c r="T197" s="696">
        <v>65641.976816116003</v>
      </c>
      <c r="U197" s="696">
        <v>54685.113367420403</v>
      </c>
      <c r="V197" s="696">
        <v>83671.579810117997</v>
      </c>
      <c r="W197" s="696">
        <v>110336.840871508</v>
      </c>
      <c r="X197" s="696">
        <v>126975.621183119</v>
      </c>
      <c r="Y197" s="696">
        <v>127429.125620152</v>
      </c>
      <c r="Z197" s="696">
        <v>108787.555269769</v>
      </c>
      <c r="AA197" s="696">
        <v>67007.433793940902</v>
      </c>
      <c r="AB197" s="696">
        <v>121588.369837794</v>
      </c>
      <c r="AC197" s="696">
        <v>149244.17105748301</v>
      </c>
      <c r="AD197" s="696">
        <v>156360.43585303999</v>
      </c>
      <c r="AE197" s="696">
        <v>155227.09504681901</v>
      </c>
      <c r="AF197" s="697">
        <f t="shared" si="5"/>
        <v>107025.43203486713</v>
      </c>
    </row>
    <row r="198" spans="1:32">
      <c r="A198" s="572"/>
      <c r="B198" s="698"/>
      <c r="C198" s="698"/>
      <c r="D198" s="698"/>
      <c r="E198" s="698"/>
      <c r="F198" s="698"/>
      <c r="G198" s="698"/>
      <c r="H198" s="698"/>
      <c r="I198" s="698"/>
      <c r="J198" s="698"/>
      <c r="K198" s="698"/>
      <c r="L198" s="698"/>
      <c r="M198" s="698"/>
      <c r="N198" s="698"/>
      <c r="O198" s="235">
        <f t="shared" si="4"/>
        <v>0</v>
      </c>
      <c r="P198" s="698"/>
      <c r="Q198" s="698"/>
      <c r="R198" s="698"/>
      <c r="S198" s="698"/>
      <c r="T198" s="698"/>
      <c r="U198" s="698"/>
      <c r="V198" s="698"/>
      <c r="W198" s="698"/>
      <c r="X198" s="698"/>
      <c r="Y198" s="698"/>
      <c r="Z198" s="698"/>
      <c r="AA198" s="698"/>
      <c r="AB198" s="698"/>
      <c r="AC198" s="698"/>
      <c r="AD198" s="698"/>
      <c r="AE198" s="698"/>
      <c r="AF198" s="697">
        <f t="shared" si="5"/>
        <v>0</v>
      </c>
    </row>
    <row r="199" spans="1:32">
      <c r="A199" s="572" t="s">
        <v>1939</v>
      </c>
      <c r="B199" s="698"/>
      <c r="C199" s="698"/>
      <c r="D199" s="698"/>
      <c r="E199" s="698"/>
      <c r="F199" s="698"/>
      <c r="G199" s="698"/>
      <c r="H199" s="698"/>
      <c r="I199" s="698"/>
      <c r="J199" s="698"/>
      <c r="K199" s="698"/>
      <c r="L199" s="698"/>
      <c r="M199" s="698"/>
      <c r="N199" s="698"/>
      <c r="O199" s="235">
        <f t="shared" si="4"/>
        <v>0</v>
      </c>
      <c r="P199" s="698"/>
      <c r="Q199" s="698"/>
      <c r="R199" s="698"/>
      <c r="S199" s="698"/>
      <c r="T199" s="698"/>
      <c r="U199" s="698"/>
      <c r="V199" s="698"/>
      <c r="W199" s="698"/>
      <c r="X199" s="698"/>
      <c r="Y199" s="698"/>
      <c r="Z199" s="698"/>
      <c r="AA199" s="698"/>
      <c r="AB199" s="698"/>
      <c r="AC199" s="698"/>
      <c r="AD199" s="698"/>
      <c r="AE199" s="698"/>
      <c r="AF199" s="697">
        <f t="shared" si="5"/>
        <v>0</v>
      </c>
    </row>
    <row r="200" spans="1:32">
      <c r="A200" s="572" t="s">
        <v>1940</v>
      </c>
      <c r="B200" s="696">
        <v>8139.7746500000003</v>
      </c>
      <c r="C200" s="696">
        <v>4089.65735</v>
      </c>
      <c r="D200" s="696">
        <v>4610.0285000000003</v>
      </c>
      <c r="E200" s="696">
        <v>4983.9149299999999</v>
      </c>
      <c r="F200" s="696">
        <v>7067.9875000000002</v>
      </c>
      <c r="G200" s="696">
        <v>4826.0719300000001</v>
      </c>
      <c r="H200" s="696">
        <v>5499.3885200000004</v>
      </c>
      <c r="I200" s="696">
        <v>5946.0370050800002</v>
      </c>
      <c r="J200" s="696">
        <v>6415.1500111200003</v>
      </c>
      <c r="K200" s="696">
        <v>6834.01573224</v>
      </c>
      <c r="L200" s="696">
        <v>7230.6590324400004</v>
      </c>
      <c r="M200" s="696">
        <v>7761.2171536040796</v>
      </c>
      <c r="N200" s="696">
        <v>8288.0550491494505</v>
      </c>
      <c r="O200" s="235">
        <f t="shared" si="4"/>
        <v>6283.9967202795024</v>
      </c>
      <c r="P200" s="696">
        <v>2687.8108911319</v>
      </c>
      <c r="Q200" s="696">
        <v>3246.87722313221</v>
      </c>
      <c r="R200" s="696">
        <v>3768.2800182840401</v>
      </c>
      <c r="S200" s="696">
        <v>4308.4772313678604</v>
      </c>
      <c r="T200" s="696">
        <v>4831.5338580150801</v>
      </c>
      <c r="U200" s="696">
        <v>5399.4756163521297</v>
      </c>
      <c r="V200" s="696">
        <v>5951.9442774530598</v>
      </c>
      <c r="W200" s="696">
        <v>6522.0331269635899</v>
      </c>
      <c r="X200" s="696">
        <v>7066.5614148538298</v>
      </c>
      <c r="Y200" s="696">
        <v>7572.5905475248501</v>
      </c>
      <c r="Z200" s="696">
        <v>8114.3214209550597</v>
      </c>
      <c r="AA200" s="696">
        <v>8651.6183703972802</v>
      </c>
      <c r="AB200" s="696">
        <v>2721.41567448872</v>
      </c>
      <c r="AC200" s="696">
        <v>3269.5191165205101</v>
      </c>
      <c r="AD200" s="696">
        <v>3823.59222485394</v>
      </c>
      <c r="AE200" s="696">
        <v>4374.6796256103098</v>
      </c>
      <c r="AF200" s="697">
        <f t="shared" si="5"/>
        <v>5585.2125004120171</v>
      </c>
    </row>
    <row r="201" spans="1:32">
      <c r="A201" s="572" t="s">
        <v>1941</v>
      </c>
      <c r="B201" s="696">
        <v>92510.495599999995</v>
      </c>
      <c r="C201" s="696">
        <v>95935.118779999902</v>
      </c>
      <c r="D201" s="696">
        <v>90660.945479999995</v>
      </c>
      <c r="E201" s="696">
        <v>95198.687389999905</v>
      </c>
      <c r="F201" s="696">
        <v>103200.441849999</v>
      </c>
      <c r="G201" s="696">
        <v>101361.52922</v>
      </c>
      <c r="H201" s="696">
        <v>108562.70804</v>
      </c>
      <c r="I201" s="696">
        <v>112205.590520934</v>
      </c>
      <c r="J201" s="696">
        <v>122107.219142317</v>
      </c>
      <c r="K201" s="696">
        <v>114073.355726479</v>
      </c>
      <c r="L201" s="696">
        <v>108812.397812982</v>
      </c>
      <c r="M201" s="696">
        <v>110174.226458816</v>
      </c>
      <c r="N201" s="696">
        <v>109799.19196533199</v>
      </c>
      <c r="O201" s="235">
        <f t="shared" si="4"/>
        <v>104969.37753745068</v>
      </c>
      <c r="P201" s="696">
        <v>120439.27638510099</v>
      </c>
      <c r="Q201" s="696">
        <v>119928.61176934</v>
      </c>
      <c r="R201" s="696">
        <v>115961.96712707799</v>
      </c>
      <c r="S201" s="696">
        <v>120283.953159014</v>
      </c>
      <c r="T201" s="696">
        <v>119269.56944479801</v>
      </c>
      <c r="U201" s="696">
        <v>120383.684412755</v>
      </c>
      <c r="V201" s="696">
        <v>115222.224504828</v>
      </c>
      <c r="W201" s="696">
        <v>116424.34925889201</v>
      </c>
      <c r="X201" s="696">
        <v>109586.03961932901</v>
      </c>
      <c r="Y201" s="696">
        <v>109940.86094436199</v>
      </c>
      <c r="Z201" s="696">
        <v>105964.022634568</v>
      </c>
      <c r="AA201" s="696">
        <v>101855.831923089</v>
      </c>
      <c r="AB201" s="696">
        <v>112044.627720196</v>
      </c>
      <c r="AC201" s="696">
        <v>106893.545524865</v>
      </c>
      <c r="AD201" s="696">
        <v>104634.422341333</v>
      </c>
      <c r="AE201" s="696">
        <v>107612.002983799</v>
      </c>
      <c r="AF201" s="697">
        <f t="shared" si="5"/>
        <v>111547.31803629445</v>
      </c>
    </row>
    <row r="202" spans="1:32" ht="15.75" thickBot="1">
      <c r="A202" s="572" t="s">
        <v>1942</v>
      </c>
      <c r="B202" s="701">
        <v>5218.92309999999</v>
      </c>
      <c r="C202" s="701">
        <v>1990.01097</v>
      </c>
      <c r="D202" s="701">
        <v>2517.3507500000001</v>
      </c>
      <c r="E202" s="701">
        <v>4947.23297</v>
      </c>
      <c r="F202" s="701">
        <v>-0.23224</v>
      </c>
      <c r="G202" s="701">
        <v>11500.14608</v>
      </c>
      <c r="H202" s="701">
        <v>182.17250999999999</v>
      </c>
      <c r="I202" s="701">
        <v>182.17250999999999</v>
      </c>
      <c r="J202" s="701">
        <v>182.17250999999999</v>
      </c>
      <c r="K202" s="701">
        <v>182.17250999999999</v>
      </c>
      <c r="L202" s="701">
        <v>182.17250999999999</v>
      </c>
      <c r="M202" s="701">
        <v>182.17250999999999</v>
      </c>
      <c r="N202" s="701">
        <v>182.17250999999999</v>
      </c>
      <c r="O202" s="235">
        <f t="shared" si="4"/>
        <v>2111.433784615384</v>
      </c>
      <c r="P202" s="701">
        <v>182.17250999999999</v>
      </c>
      <c r="Q202" s="701">
        <v>182.17250999999999</v>
      </c>
      <c r="R202" s="701">
        <v>182.17250999999999</v>
      </c>
      <c r="S202" s="701">
        <v>182.17250999999999</v>
      </c>
      <c r="T202" s="701">
        <v>182.17250999999999</v>
      </c>
      <c r="U202" s="701">
        <v>182.17250999999999</v>
      </c>
      <c r="V202" s="701">
        <v>182.17250999999999</v>
      </c>
      <c r="W202" s="701">
        <v>182.17250999999999</v>
      </c>
      <c r="X202" s="701">
        <v>182.17250999999999</v>
      </c>
      <c r="Y202" s="701">
        <v>182.17250999999999</v>
      </c>
      <c r="Z202" s="701">
        <v>182.17250999999999</v>
      </c>
      <c r="AA202" s="701">
        <v>182.17250999999999</v>
      </c>
      <c r="AB202" s="701">
        <v>182.17250999999999</v>
      </c>
      <c r="AC202" s="701">
        <v>182.17250999999999</v>
      </c>
      <c r="AD202" s="701">
        <v>182.17250999999999</v>
      </c>
      <c r="AE202" s="701">
        <v>182.17250999999999</v>
      </c>
      <c r="AF202" s="697">
        <f t="shared" si="5"/>
        <v>182.17250999999993</v>
      </c>
    </row>
    <row r="203" spans="1:32">
      <c r="A203" s="572" t="s">
        <v>1939</v>
      </c>
      <c r="B203" s="696">
        <v>105869.19335</v>
      </c>
      <c r="C203" s="696">
        <v>102014.787099999</v>
      </c>
      <c r="D203" s="696">
        <v>97788.324729999993</v>
      </c>
      <c r="E203" s="696">
        <v>105129.835289999</v>
      </c>
      <c r="F203" s="696">
        <v>110268.19710999999</v>
      </c>
      <c r="G203" s="696">
        <v>117687.74722999999</v>
      </c>
      <c r="H203" s="696">
        <v>114244.26906999999</v>
      </c>
      <c r="I203" s="696">
        <v>118333.800036014</v>
      </c>
      <c r="J203" s="696">
        <v>128704.541663437</v>
      </c>
      <c r="K203" s="696">
        <v>121089.54396871899</v>
      </c>
      <c r="L203" s="696">
        <v>116225.22935542199</v>
      </c>
      <c r="M203" s="696">
        <v>118117.61612242</v>
      </c>
      <c r="N203" s="696">
        <v>118269.419524481</v>
      </c>
      <c r="O203" s="235">
        <f t="shared" ref="O203:O266" si="6">SUM(B203:N203)/13</f>
        <v>113364.80804234548</v>
      </c>
      <c r="P203" s="696">
        <v>123309.259786233</v>
      </c>
      <c r="Q203" s="696">
        <v>123357.66150247199</v>
      </c>
      <c r="R203" s="696">
        <v>119912.419655362</v>
      </c>
      <c r="S203" s="696">
        <v>124774.602900382</v>
      </c>
      <c r="T203" s="696">
        <v>124283.27581281299</v>
      </c>
      <c r="U203" s="696">
        <v>125965.332539107</v>
      </c>
      <c r="V203" s="696">
        <v>121356.34129228099</v>
      </c>
      <c r="W203" s="696">
        <v>123128.554895856</v>
      </c>
      <c r="X203" s="696">
        <v>116834.773544183</v>
      </c>
      <c r="Y203" s="696">
        <v>117695.624001887</v>
      </c>
      <c r="Z203" s="696">
        <v>114260.51656552299</v>
      </c>
      <c r="AA203" s="696">
        <v>110689.622803486</v>
      </c>
      <c r="AB203" s="696">
        <v>114948.215904685</v>
      </c>
      <c r="AC203" s="696">
        <v>110345.23715138499</v>
      </c>
      <c r="AD203" s="696">
        <v>108640.18707618699</v>
      </c>
      <c r="AE203" s="696">
        <v>112168.855119409</v>
      </c>
      <c r="AF203" s="697">
        <f t="shared" ref="AF203:AF266" si="7">SUM(S203:AE203)/13</f>
        <v>117314.70304670648</v>
      </c>
    </row>
    <row r="204" spans="1:32">
      <c r="A204" s="572"/>
      <c r="B204" s="698"/>
      <c r="C204" s="698"/>
      <c r="D204" s="698"/>
      <c r="E204" s="698"/>
      <c r="F204" s="698"/>
      <c r="G204" s="698"/>
      <c r="H204" s="698"/>
      <c r="I204" s="698"/>
      <c r="J204" s="698"/>
      <c r="K204" s="698"/>
      <c r="L204" s="698"/>
      <c r="M204" s="698"/>
      <c r="N204" s="698"/>
      <c r="O204" s="235">
        <f t="shared" si="6"/>
        <v>0</v>
      </c>
      <c r="P204" s="698"/>
      <c r="Q204" s="698"/>
      <c r="R204" s="698"/>
      <c r="S204" s="698"/>
      <c r="T204" s="698"/>
      <c r="U204" s="698"/>
      <c r="V204" s="698"/>
      <c r="W204" s="698"/>
      <c r="X204" s="698"/>
      <c r="Y204" s="698"/>
      <c r="Z204" s="698"/>
      <c r="AA204" s="698"/>
      <c r="AB204" s="698"/>
      <c r="AC204" s="698"/>
      <c r="AD204" s="698"/>
      <c r="AE204" s="698"/>
      <c r="AF204" s="697">
        <f t="shared" si="7"/>
        <v>0</v>
      </c>
    </row>
    <row r="205" spans="1:32">
      <c r="A205" s="572" t="s">
        <v>1943</v>
      </c>
      <c r="B205" s="698"/>
      <c r="C205" s="698"/>
      <c r="D205" s="698"/>
      <c r="E205" s="698"/>
      <c r="F205" s="698"/>
      <c r="G205" s="698"/>
      <c r="H205" s="698"/>
      <c r="I205" s="698"/>
      <c r="J205" s="698"/>
      <c r="K205" s="698"/>
      <c r="L205" s="698"/>
      <c r="M205" s="698"/>
      <c r="N205" s="698"/>
      <c r="O205" s="235">
        <f t="shared" si="6"/>
        <v>0</v>
      </c>
      <c r="P205" s="698"/>
      <c r="Q205" s="698"/>
      <c r="R205" s="698"/>
      <c r="S205" s="698"/>
      <c r="T205" s="698"/>
      <c r="U205" s="698"/>
      <c r="V205" s="698"/>
      <c r="W205" s="698"/>
      <c r="X205" s="698"/>
      <c r="Y205" s="698"/>
      <c r="Z205" s="698"/>
      <c r="AA205" s="698"/>
      <c r="AB205" s="698"/>
      <c r="AC205" s="698"/>
      <c r="AD205" s="698"/>
      <c r="AE205" s="698"/>
      <c r="AF205" s="697">
        <f t="shared" si="7"/>
        <v>0</v>
      </c>
    </row>
    <row r="206" spans="1:32">
      <c r="A206" s="572" t="s">
        <v>1944</v>
      </c>
      <c r="B206" s="696">
        <v>0</v>
      </c>
      <c r="C206" s="696">
        <v>0</v>
      </c>
      <c r="D206" s="696">
        <v>0</v>
      </c>
      <c r="E206" s="696">
        <v>0</v>
      </c>
      <c r="F206" s="696">
        <v>0</v>
      </c>
      <c r="G206" s="696">
        <v>0</v>
      </c>
      <c r="H206" s="696">
        <v>0</v>
      </c>
      <c r="I206" s="696">
        <v>776.14504999999997</v>
      </c>
      <c r="J206" s="696">
        <v>2387.9827500000001</v>
      </c>
      <c r="K206" s="696">
        <v>1272.6802499999999</v>
      </c>
      <c r="L206" s="696">
        <v>3176.66635</v>
      </c>
      <c r="M206" s="696">
        <v>6329.14545</v>
      </c>
      <c r="N206" s="696">
        <v>5177.4061499999998</v>
      </c>
      <c r="O206" s="235">
        <f t="shared" si="6"/>
        <v>1470.7712307692307</v>
      </c>
      <c r="P206" s="696">
        <v>3037.4313499999998</v>
      </c>
      <c r="Q206" s="696">
        <v>7288.8488500000003</v>
      </c>
      <c r="R206" s="696">
        <v>3366.8744499999998</v>
      </c>
      <c r="S206" s="696">
        <v>2233.3274500000002</v>
      </c>
      <c r="T206" s="696">
        <v>2251.3289500000001</v>
      </c>
      <c r="U206" s="696">
        <v>2635.6875500000001</v>
      </c>
      <c r="V206" s="696">
        <v>2679.4790499999999</v>
      </c>
      <c r="W206" s="696">
        <v>2235.39635</v>
      </c>
      <c r="X206" s="696">
        <v>7590.7517500000004</v>
      </c>
      <c r="Y206" s="696">
        <v>6915.5399499999903</v>
      </c>
      <c r="Z206" s="696">
        <v>7956.8497499999903</v>
      </c>
      <c r="AA206" s="696">
        <v>8663.0250500000002</v>
      </c>
      <c r="AB206" s="696">
        <v>7942.1943499999998</v>
      </c>
      <c r="AC206" s="696">
        <v>7178.46425</v>
      </c>
      <c r="AD206" s="696">
        <v>4399.9093499999999</v>
      </c>
      <c r="AE206" s="696">
        <v>2967.9766500000001</v>
      </c>
      <c r="AF206" s="697">
        <f t="shared" si="7"/>
        <v>5049.9946499999978</v>
      </c>
    </row>
    <row r="207" spans="1:32" ht="15.75" thickBot="1">
      <c r="A207" s="572" t="s">
        <v>1945</v>
      </c>
      <c r="B207" s="701">
        <v>47865.144939999998</v>
      </c>
      <c r="C207" s="701">
        <v>49708.834040000002</v>
      </c>
      <c r="D207" s="701">
        <v>46420.56018</v>
      </c>
      <c r="E207" s="701">
        <v>31681.504720000001</v>
      </c>
      <c r="F207" s="701">
        <v>39467.916069999999</v>
      </c>
      <c r="G207" s="701">
        <v>34469.6741599999</v>
      </c>
      <c r="H207" s="701">
        <v>36053.915809999999</v>
      </c>
      <c r="I207" s="701">
        <v>36565.050923715302</v>
      </c>
      <c r="J207" s="701">
        <v>36053.915809999999</v>
      </c>
      <c r="K207" s="701">
        <v>36053.915809999999</v>
      </c>
      <c r="L207" s="701">
        <v>42471.915923908899</v>
      </c>
      <c r="M207" s="701">
        <v>36053.915809999999</v>
      </c>
      <c r="N207" s="701">
        <v>36053.915809999999</v>
      </c>
      <c r="O207" s="235">
        <f t="shared" si="6"/>
        <v>39147.706154432613</v>
      </c>
      <c r="P207" s="701">
        <v>36608.436548322599</v>
      </c>
      <c r="Q207" s="701">
        <v>36053.915809999999</v>
      </c>
      <c r="R207" s="701">
        <v>36053.915809999999</v>
      </c>
      <c r="S207" s="701">
        <v>36608.436548322599</v>
      </c>
      <c r="T207" s="701">
        <v>36053.915809999999</v>
      </c>
      <c r="U207" s="701">
        <v>36053.915809999999</v>
      </c>
      <c r="V207" s="701">
        <v>36608.436548322599</v>
      </c>
      <c r="W207" s="701">
        <v>36053.915809999999</v>
      </c>
      <c r="X207" s="701">
        <v>36053.915809999999</v>
      </c>
      <c r="Y207" s="701">
        <v>36608.436548322599</v>
      </c>
      <c r="Z207" s="701">
        <v>36053.915809999999</v>
      </c>
      <c r="AA207" s="701">
        <v>36053.915809999999</v>
      </c>
      <c r="AB207" s="701">
        <v>36385.180921385901</v>
      </c>
      <c r="AC207" s="701">
        <v>36053.915809999999</v>
      </c>
      <c r="AD207" s="701">
        <v>36053.915809999999</v>
      </c>
      <c r="AE207" s="701">
        <v>36385.180921385901</v>
      </c>
      <c r="AF207" s="697">
        <f t="shared" si="7"/>
        <v>36232.845997518423</v>
      </c>
    </row>
    <row r="208" spans="1:32">
      <c r="A208" s="572" t="s">
        <v>1943</v>
      </c>
      <c r="B208" s="696">
        <v>47865.144939999998</v>
      </c>
      <c r="C208" s="696">
        <v>49708.834040000002</v>
      </c>
      <c r="D208" s="696">
        <v>46420.56018</v>
      </c>
      <c r="E208" s="696">
        <v>31681.504720000001</v>
      </c>
      <c r="F208" s="696">
        <v>39467.916069999999</v>
      </c>
      <c r="G208" s="696">
        <v>34469.6741599999</v>
      </c>
      <c r="H208" s="696">
        <v>36053.915809999999</v>
      </c>
      <c r="I208" s="696">
        <v>37341.195973715301</v>
      </c>
      <c r="J208" s="696">
        <v>38441.898560000001</v>
      </c>
      <c r="K208" s="696">
        <v>37326.596060000003</v>
      </c>
      <c r="L208" s="696">
        <v>45648.582273908898</v>
      </c>
      <c r="M208" s="696">
        <v>42383.061260000002</v>
      </c>
      <c r="N208" s="696">
        <v>41231.321960000001</v>
      </c>
      <c r="O208" s="235">
        <f t="shared" si="6"/>
        <v>40618.477385201848</v>
      </c>
      <c r="P208" s="696">
        <v>39645.867898322598</v>
      </c>
      <c r="Q208" s="696">
        <v>43342.764660000001</v>
      </c>
      <c r="R208" s="696">
        <v>39420.790260000002</v>
      </c>
      <c r="S208" s="696">
        <v>38841.763998322604</v>
      </c>
      <c r="T208" s="696">
        <v>38305.244760000001</v>
      </c>
      <c r="U208" s="696">
        <v>38689.603360000001</v>
      </c>
      <c r="V208" s="696">
        <v>39287.915598322601</v>
      </c>
      <c r="W208" s="696">
        <v>38289.312160000001</v>
      </c>
      <c r="X208" s="696">
        <v>43644.667560000002</v>
      </c>
      <c r="Y208" s="696">
        <v>43523.976498322598</v>
      </c>
      <c r="Z208" s="696">
        <v>44010.76556</v>
      </c>
      <c r="AA208" s="696">
        <v>44716.940860000002</v>
      </c>
      <c r="AB208" s="696">
        <v>44327.375271385899</v>
      </c>
      <c r="AC208" s="696">
        <v>43232.380060000003</v>
      </c>
      <c r="AD208" s="696">
        <v>40453.82516</v>
      </c>
      <c r="AE208" s="696">
        <v>39353.157571385898</v>
      </c>
      <c r="AF208" s="697">
        <f t="shared" si="7"/>
        <v>41282.840647518431</v>
      </c>
    </row>
    <row r="209" spans="1:32">
      <c r="A209" s="572"/>
      <c r="B209" s="698"/>
      <c r="C209" s="698"/>
      <c r="D209" s="698"/>
      <c r="E209" s="698"/>
      <c r="F209" s="698"/>
      <c r="G209" s="698"/>
      <c r="H209" s="698"/>
      <c r="I209" s="698"/>
      <c r="J209" s="698"/>
      <c r="K209" s="698"/>
      <c r="L209" s="698"/>
      <c r="M209" s="698"/>
      <c r="N209" s="698"/>
      <c r="O209" s="235">
        <f t="shared" si="6"/>
        <v>0</v>
      </c>
      <c r="P209" s="698"/>
      <c r="Q209" s="698"/>
      <c r="R209" s="698"/>
      <c r="S209" s="698"/>
      <c r="T209" s="698"/>
      <c r="U209" s="698"/>
      <c r="V209" s="698"/>
      <c r="W209" s="698"/>
      <c r="X209" s="698"/>
      <c r="Y209" s="698"/>
      <c r="Z209" s="698"/>
      <c r="AA209" s="698"/>
      <c r="AB209" s="698"/>
      <c r="AC209" s="698"/>
      <c r="AD209" s="698"/>
      <c r="AE209" s="698"/>
      <c r="AF209" s="697">
        <f t="shared" si="7"/>
        <v>0</v>
      </c>
    </row>
    <row r="210" spans="1:32">
      <c r="A210" s="572" t="s">
        <v>1946</v>
      </c>
      <c r="B210" s="696">
        <v>31914.533790000001</v>
      </c>
      <c r="C210" s="696">
        <v>32070.500639999998</v>
      </c>
      <c r="D210" s="696">
        <v>32092.615870000001</v>
      </c>
      <c r="E210" s="696">
        <v>32126.60615</v>
      </c>
      <c r="F210" s="696">
        <v>32057.2327</v>
      </c>
      <c r="G210" s="696">
        <v>32060.25333</v>
      </c>
      <c r="H210" s="696">
        <v>31620.70721</v>
      </c>
      <c r="I210" s="696">
        <v>31620.70721</v>
      </c>
      <c r="J210" s="696">
        <v>31620.70721</v>
      </c>
      <c r="K210" s="696">
        <v>31620.70721</v>
      </c>
      <c r="L210" s="696">
        <v>31620.70721</v>
      </c>
      <c r="M210" s="696">
        <v>31620.70721</v>
      </c>
      <c r="N210" s="696">
        <v>31620.70721</v>
      </c>
      <c r="O210" s="235">
        <f t="shared" si="6"/>
        <v>31820.514842307701</v>
      </c>
      <c r="P210" s="696">
        <v>31620.70721</v>
      </c>
      <c r="Q210" s="696">
        <v>31620.70721</v>
      </c>
      <c r="R210" s="696">
        <v>31620.70721</v>
      </c>
      <c r="S210" s="696">
        <v>31620.70721</v>
      </c>
      <c r="T210" s="696">
        <v>31620.70721</v>
      </c>
      <c r="U210" s="696">
        <v>31620.70721</v>
      </c>
      <c r="V210" s="696">
        <v>31620.70721</v>
      </c>
      <c r="W210" s="696">
        <v>31620.70721</v>
      </c>
      <c r="X210" s="696">
        <v>31620.70721</v>
      </c>
      <c r="Y210" s="696">
        <v>31620.70721</v>
      </c>
      <c r="Z210" s="696">
        <v>31620.70721</v>
      </c>
      <c r="AA210" s="696">
        <v>31620.70721</v>
      </c>
      <c r="AB210" s="696">
        <v>31620.70721</v>
      </c>
      <c r="AC210" s="696">
        <v>31620.70721</v>
      </c>
      <c r="AD210" s="696">
        <v>31620.70721</v>
      </c>
      <c r="AE210" s="696">
        <v>31620.70721</v>
      </c>
      <c r="AF210" s="697">
        <f t="shared" si="7"/>
        <v>31620.707210000004</v>
      </c>
    </row>
    <row r="211" spans="1:32">
      <c r="A211" s="572"/>
      <c r="B211" s="698"/>
      <c r="C211" s="698"/>
      <c r="D211" s="698"/>
      <c r="E211" s="698"/>
      <c r="F211" s="698"/>
      <c r="G211" s="698"/>
      <c r="H211" s="698"/>
      <c r="I211" s="698"/>
      <c r="J211" s="698"/>
      <c r="K211" s="698"/>
      <c r="L211" s="698"/>
      <c r="M211" s="698"/>
      <c r="N211" s="698"/>
      <c r="O211" s="235">
        <f t="shared" si="6"/>
        <v>0</v>
      </c>
      <c r="P211" s="698"/>
      <c r="Q211" s="698"/>
      <c r="R211" s="698"/>
      <c r="S211" s="698"/>
      <c r="T211" s="698"/>
      <c r="U211" s="698"/>
      <c r="V211" s="698"/>
      <c r="W211" s="698"/>
      <c r="X211" s="698"/>
      <c r="Y211" s="698"/>
      <c r="Z211" s="698"/>
      <c r="AA211" s="698"/>
      <c r="AB211" s="698"/>
      <c r="AC211" s="698"/>
      <c r="AD211" s="698"/>
      <c r="AE211" s="698"/>
      <c r="AF211" s="697">
        <f t="shared" si="7"/>
        <v>0</v>
      </c>
    </row>
    <row r="212" spans="1:32">
      <c r="A212" s="572" t="s">
        <v>3688</v>
      </c>
      <c r="B212" s="698">
        <v>33366.236019999997</v>
      </c>
      <c r="C212" s="698">
        <v>32224.720160000001</v>
      </c>
      <c r="D212" s="698">
        <v>37296.588909999999</v>
      </c>
      <c r="E212" s="698">
        <v>45536.854429999999</v>
      </c>
      <c r="F212" s="698">
        <v>49928.113640000003</v>
      </c>
      <c r="G212" s="698">
        <v>25162.684949999999</v>
      </c>
      <c r="H212" s="698">
        <v>35727.319109999997</v>
      </c>
      <c r="I212" s="698">
        <v>27267.715622374399</v>
      </c>
      <c r="J212" s="698">
        <v>17609.2496272844</v>
      </c>
      <c r="K212" s="698">
        <v>25638.8337094495</v>
      </c>
      <c r="L212" s="698">
        <v>20988.499539281602</v>
      </c>
      <c r="M212" s="698">
        <v>31162.0321963856</v>
      </c>
      <c r="N212" s="698">
        <v>32596.489616327199</v>
      </c>
      <c r="O212" s="235">
        <f t="shared" si="6"/>
        <v>31885.025963930977</v>
      </c>
      <c r="P212" s="698">
        <v>34405.928947610199</v>
      </c>
      <c r="Q212" s="698">
        <v>16578.942402088702</v>
      </c>
      <c r="R212" s="698">
        <v>24291.4022368236</v>
      </c>
      <c r="S212" s="698">
        <v>20181.976627677901</v>
      </c>
      <c r="T212" s="698">
        <v>29537.917601826699</v>
      </c>
      <c r="U212" s="698">
        <v>38713.399254875098</v>
      </c>
      <c r="V212" s="698">
        <v>29862.794927964202</v>
      </c>
      <c r="W212" s="698">
        <v>15701.799359385501</v>
      </c>
      <c r="X212" s="698">
        <v>21988.394790227401</v>
      </c>
      <c r="Y212" s="698">
        <v>23316.381422593699</v>
      </c>
      <c r="Z212" s="698">
        <v>31123.050326921399</v>
      </c>
      <c r="AA212" s="698">
        <v>29342.220549486799</v>
      </c>
      <c r="AB212" s="698">
        <v>32485.3208176144</v>
      </c>
      <c r="AC212" s="698">
        <v>14434.2512029013</v>
      </c>
      <c r="AD212" s="698">
        <v>20165.9134731796</v>
      </c>
      <c r="AE212" s="698">
        <v>20748.595426486201</v>
      </c>
      <c r="AF212" s="697">
        <f t="shared" si="7"/>
        <v>25200.155060087713</v>
      </c>
    </row>
    <row r="213" spans="1:32">
      <c r="A213" s="572" t="s">
        <v>3689</v>
      </c>
      <c r="B213" s="698">
        <v>0</v>
      </c>
      <c r="C213" s="698">
        <v>0</v>
      </c>
      <c r="D213" s="698">
        <v>0</v>
      </c>
      <c r="E213" s="698">
        <v>989.47522000000004</v>
      </c>
      <c r="F213" s="698">
        <v>1417.15056</v>
      </c>
      <c r="G213" s="698">
        <v>1867.2721799999999</v>
      </c>
      <c r="H213" s="698">
        <v>2299.7848599999902</v>
      </c>
      <c r="I213" s="698">
        <v>2693.6208451541102</v>
      </c>
      <c r="J213" s="698">
        <v>3081.3126259555002</v>
      </c>
      <c r="K213" s="698">
        <v>3458.98511767523</v>
      </c>
      <c r="L213" s="698">
        <v>1903.1688617621301</v>
      </c>
      <c r="M213" s="698">
        <v>1903.1688617621301</v>
      </c>
      <c r="N213" s="698">
        <v>1903.1688617621301</v>
      </c>
      <c r="O213" s="235">
        <f t="shared" si="6"/>
        <v>1655.1621533900939</v>
      </c>
      <c r="P213" s="698">
        <v>1903.1688617621301</v>
      </c>
      <c r="Q213" s="698">
        <v>1903.1688617621301</v>
      </c>
      <c r="R213" s="698">
        <v>1903.1688617621301</v>
      </c>
      <c r="S213" s="698">
        <v>1903.1688617621301</v>
      </c>
      <c r="T213" s="698">
        <v>1903.1688617621301</v>
      </c>
      <c r="U213" s="698">
        <v>1903.1688617621301</v>
      </c>
      <c r="V213" s="698">
        <v>1903.1688617621301</v>
      </c>
      <c r="W213" s="698">
        <v>1903.1688617621301</v>
      </c>
      <c r="X213" s="698">
        <v>1903.1688617621301</v>
      </c>
      <c r="Y213" s="698">
        <v>1.3642420526593899E-12</v>
      </c>
      <c r="Z213" s="698">
        <v>1.3642420526593899E-12</v>
      </c>
      <c r="AA213" s="698">
        <v>1.3642420526593899E-12</v>
      </c>
      <c r="AB213" s="698">
        <v>1.3642420526593899E-12</v>
      </c>
      <c r="AC213" s="698">
        <v>1.3642420526593899E-12</v>
      </c>
      <c r="AD213" s="698">
        <v>1.3642420526593899E-12</v>
      </c>
      <c r="AE213" s="698">
        <v>1.3642420526593899E-12</v>
      </c>
      <c r="AF213" s="697">
        <f t="shared" si="7"/>
        <v>878.38562850559947</v>
      </c>
    </row>
    <row r="214" spans="1:32">
      <c r="A214" s="572" t="s">
        <v>1947</v>
      </c>
      <c r="B214" s="696">
        <v>33366.236019999997</v>
      </c>
      <c r="C214" s="696">
        <v>32224.720160000001</v>
      </c>
      <c r="D214" s="696">
        <v>37296.588909999999</v>
      </c>
      <c r="E214" s="696">
        <v>46526.32965</v>
      </c>
      <c r="F214" s="696">
        <v>51345.264199999998</v>
      </c>
      <c r="G214" s="696">
        <v>27029.957129999999</v>
      </c>
      <c r="H214" s="696">
        <v>38027.103969999996</v>
      </c>
      <c r="I214" s="696">
        <v>29961.336467528501</v>
      </c>
      <c r="J214" s="696">
        <v>20690.562253239899</v>
      </c>
      <c r="K214" s="696">
        <v>29097.818827124702</v>
      </c>
      <c r="L214" s="696">
        <v>22891.668401043698</v>
      </c>
      <c r="M214" s="696">
        <v>33065.201058147701</v>
      </c>
      <c r="N214" s="696">
        <v>34499.658478089303</v>
      </c>
      <c r="O214" s="235">
        <f t="shared" si="6"/>
        <v>33540.188117321064</v>
      </c>
      <c r="P214" s="696">
        <v>36309.097809372302</v>
      </c>
      <c r="Q214" s="696">
        <v>18482.1112638509</v>
      </c>
      <c r="R214" s="696">
        <v>26194.5710985857</v>
      </c>
      <c r="S214" s="696">
        <v>22085.145489440001</v>
      </c>
      <c r="T214" s="696">
        <v>31441.086463588901</v>
      </c>
      <c r="U214" s="696">
        <v>40616.568116637201</v>
      </c>
      <c r="V214" s="696">
        <v>31765.963789726298</v>
      </c>
      <c r="W214" s="696">
        <v>17604.968221147701</v>
      </c>
      <c r="X214" s="696">
        <v>23891.563651989502</v>
      </c>
      <c r="Y214" s="696">
        <v>23316.381422593699</v>
      </c>
      <c r="Z214" s="696">
        <v>31123.050326921399</v>
      </c>
      <c r="AA214" s="696">
        <v>29342.220549486799</v>
      </c>
      <c r="AB214" s="696">
        <v>32485.3208176144</v>
      </c>
      <c r="AC214" s="696">
        <v>14434.2512029013</v>
      </c>
      <c r="AD214" s="696">
        <v>20165.9134731796</v>
      </c>
      <c r="AE214" s="696">
        <v>20748.595426486201</v>
      </c>
      <c r="AF214" s="697">
        <f t="shared" si="7"/>
        <v>26078.540688593312</v>
      </c>
    </row>
    <row r="215" spans="1:32">
      <c r="A215" s="572"/>
      <c r="B215" s="698"/>
      <c r="C215" s="698"/>
      <c r="D215" s="698"/>
      <c r="E215" s="698"/>
      <c r="F215" s="698"/>
      <c r="G215" s="698"/>
      <c r="H215" s="698"/>
      <c r="I215" s="698"/>
      <c r="J215" s="698"/>
      <c r="K215" s="698"/>
      <c r="L215" s="698"/>
      <c r="M215" s="698"/>
      <c r="N215" s="698"/>
      <c r="O215" s="235">
        <f t="shared" si="6"/>
        <v>0</v>
      </c>
      <c r="P215" s="698"/>
      <c r="Q215" s="698"/>
      <c r="R215" s="698"/>
      <c r="S215" s="698"/>
      <c r="T215" s="698"/>
      <c r="U215" s="698"/>
      <c r="V215" s="698"/>
      <c r="W215" s="698"/>
      <c r="X215" s="698"/>
      <c r="Y215" s="698"/>
      <c r="Z215" s="698"/>
      <c r="AA215" s="698"/>
      <c r="AB215" s="698"/>
      <c r="AC215" s="698"/>
      <c r="AD215" s="698"/>
      <c r="AE215" s="698"/>
      <c r="AF215" s="697">
        <f t="shared" si="7"/>
        <v>0</v>
      </c>
    </row>
    <row r="216" spans="1:32">
      <c r="A216" s="572" t="s">
        <v>1948</v>
      </c>
      <c r="O216" s="235">
        <f t="shared" si="6"/>
        <v>0</v>
      </c>
      <c r="AF216" s="697">
        <f t="shared" si="7"/>
        <v>0</v>
      </c>
    </row>
    <row r="217" spans="1:32" ht="15.75" thickBot="1">
      <c r="A217" s="572" t="s">
        <v>1949</v>
      </c>
      <c r="B217" s="701">
        <v>37287.336609999998</v>
      </c>
      <c r="C217" s="701">
        <v>45259.968500000003</v>
      </c>
      <c r="D217" s="701">
        <v>37301.290970000002</v>
      </c>
      <c r="E217" s="701">
        <v>12626.173559999999</v>
      </c>
      <c r="F217" s="701">
        <v>20879.009019999899</v>
      </c>
      <c r="G217" s="701">
        <v>30907.092949999998</v>
      </c>
      <c r="H217" s="701">
        <v>35516.892679999997</v>
      </c>
      <c r="I217" s="701">
        <v>43414.9534762291</v>
      </c>
      <c r="J217" s="701">
        <v>35463.441103833298</v>
      </c>
      <c r="K217" s="701">
        <v>18962.130207499999</v>
      </c>
      <c r="L217" s="701">
        <v>16977.9887740833</v>
      </c>
      <c r="M217" s="701">
        <v>25620.9469791874</v>
      </c>
      <c r="N217" s="701">
        <v>34233.559346666603</v>
      </c>
      <c r="O217" s="235">
        <f t="shared" si="6"/>
        <v>30342.368013653821</v>
      </c>
      <c r="P217" s="701">
        <v>42132.055664354099</v>
      </c>
      <c r="Q217" s="701">
        <v>34180.128752833298</v>
      </c>
      <c r="R217" s="701">
        <v>17678.796874166601</v>
      </c>
      <c r="S217" s="701">
        <v>16997.6734937847</v>
      </c>
      <c r="T217" s="701">
        <v>26400.680443852601</v>
      </c>
      <c r="U217" s="701">
        <v>35775.501977399603</v>
      </c>
      <c r="V217" s="701">
        <v>44434.484356050802</v>
      </c>
      <c r="W217" s="701">
        <v>37243.869684868703</v>
      </c>
      <c r="X217" s="701">
        <v>21502.8201176658</v>
      </c>
      <c r="Y217" s="701">
        <v>16978.185345416601</v>
      </c>
      <c r="Z217" s="701">
        <v>26381.700633921999</v>
      </c>
      <c r="AA217" s="701">
        <v>35754.946421844099</v>
      </c>
      <c r="AB217" s="701">
        <v>44414.349551495303</v>
      </c>
      <c r="AC217" s="701">
        <v>37224.0868865632</v>
      </c>
      <c r="AD217" s="701">
        <v>21482.264562110198</v>
      </c>
      <c r="AE217" s="701">
        <v>16978.0909249166</v>
      </c>
      <c r="AF217" s="697">
        <f t="shared" si="7"/>
        <v>29351.43495383771</v>
      </c>
    </row>
    <row r="218" spans="1:32">
      <c r="A218" s="572" t="s">
        <v>1948</v>
      </c>
      <c r="B218" s="696">
        <v>37287.336609999998</v>
      </c>
      <c r="C218" s="696">
        <v>45259.968500000003</v>
      </c>
      <c r="D218" s="696">
        <v>37301.290970000002</v>
      </c>
      <c r="E218" s="696">
        <v>12626.173559999999</v>
      </c>
      <c r="F218" s="696">
        <v>20879.009019999899</v>
      </c>
      <c r="G218" s="696">
        <v>30907.092949999998</v>
      </c>
      <c r="H218" s="696">
        <v>35516.892679999997</v>
      </c>
      <c r="I218" s="696">
        <v>43414.9534762291</v>
      </c>
      <c r="J218" s="696">
        <v>35463.441103833298</v>
      </c>
      <c r="K218" s="696">
        <v>18962.130207499999</v>
      </c>
      <c r="L218" s="696">
        <v>16977.9887740833</v>
      </c>
      <c r="M218" s="696">
        <v>25620.9469791874</v>
      </c>
      <c r="N218" s="696">
        <v>34233.559346666603</v>
      </c>
      <c r="O218" s="235">
        <f t="shared" si="6"/>
        <v>30342.368013653821</v>
      </c>
      <c r="P218" s="696">
        <v>42132.055664354099</v>
      </c>
      <c r="Q218" s="696">
        <v>34180.128752833298</v>
      </c>
      <c r="R218" s="696">
        <v>17678.796874166601</v>
      </c>
      <c r="S218" s="696">
        <v>16997.6734937847</v>
      </c>
      <c r="T218" s="696">
        <v>26400.680443852601</v>
      </c>
      <c r="U218" s="696">
        <v>35775.501977399603</v>
      </c>
      <c r="V218" s="696">
        <v>44434.484356050802</v>
      </c>
      <c r="W218" s="696">
        <v>37243.869684868703</v>
      </c>
      <c r="X218" s="696">
        <v>21502.8201176658</v>
      </c>
      <c r="Y218" s="696">
        <v>16978.185345416601</v>
      </c>
      <c r="Z218" s="696">
        <v>26381.700633921999</v>
      </c>
      <c r="AA218" s="696">
        <v>35754.946421844099</v>
      </c>
      <c r="AB218" s="696">
        <v>44414.349551495303</v>
      </c>
      <c r="AC218" s="696">
        <v>37224.0868865632</v>
      </c>
      <c r="AD218" s="696">
        <v>21482.264562110198</v>
      </c>
      <c r="AE218" s="696">
        <v>16978.0909249166</v>
      </c>
      <c r="AF218" s="697">
        <f t="shared" si="7"/>
        <v>29351.43495383771</v>
      </c>
    </row>
    <row r="219" spans="1:32">
      <c r="A219" s="572"/>
      <c r="B219" s="698"/>
      <c r="C219" s="698"/>
      <c r="D219" s="698"/>
      <c r="E219" s="698"/>
      <c r="F219" s="698"/>
      <c r="G219" s="698"/>
      <c r="H219" s="698"/>
      <c r="I219" s="698"/>
      <c r="J219" s="698"/>
      <c r="K219" s="698"/>
      <c r="L219" s="698"/>
      <c r="M219" s="698"/>
      <c r="N219" s="698"/>
      <c r="O219" s="235">
        <f t="shared" si="6"/>
        <v>0</v>
      </c>
      <c r="P219" s="698"/>
      <c r="Q219" s="698"/>
      <c r="R219" s="698"/>
      <c r="S219" s="698"/>
      <c r="T219" s="698"/>
      <c r="U219" s="698"/>
      <c r="V219" s="698"/>
      <c r="W219" s="698"/>
      <c r="X219" s="698"/>
      <c r="Y219" s="698"/>
      <c r="Z219" s="698"/>
      <c r="AA219" s="698"/>
      <c r="AB219" s="698"/>
      <c r="AC219" s="698"/>
      <c r="AD219" s="698"/>
      <c r="AE219" s="698"/>
      <c r="AF219" s="697">
        <f t="shared" si="7"/>
        <v>0</v>
      </c>
    </row>
    <row r="220" spans="1:32">
      <c r="A220" s="572"/>
      <c r="B220" s="698"/>
      <c r="C220" s="698"/>
      <c r="D220" s="698"/>
      <c r="E220" s="698"/>
      <c r="F220" s="698"/>
      <c r="G220" s="698"/>
      <c r="H220" s="698"/>
      <c r="I220" s="698"/>
      <c r="J220" s="698"/>
      <c r="K220" s="698"/>
      <c r="L220" s="698"/>
      <c r="M220" s="698"/>
      <c r="N220" s="698"/>
      <c r="O220" s="235">
        <f t="shared" si="6"/>
        <v>0</v>
      </c>
      <c r="P220" s="698"/>
      <c r="Q220" s="698"/>
      <c r="R220" s="698"/>
      <c r="S220" s="698"/>
      <c r="T220" s="698"/>
      <c r="U220" s="698"/>
      <c r="V220" s="698"/>
      <c r="W220" s="698"/>
      <c r="X220" s="698"/>
      <c r="Y220" s="698"/>
      <c r="Z220" s="698"/>
      <c r="AA220" s="698"/>
      <c r="AB220" s="698"/>
      <c r="AC220" s="698"/>
      <c r="AD220" s="698"/>
      <c r="AE220" s="698"/>
      <c r="AF220" s="697">
        <f t="shared" si="7"/>
        <v>0</v>
      </c>
    </row>
    <row r="221" spans="1:32">
      <c r="A221" s="572" t="s">
        <v>1950</v>
      </c>
      <c r="B221" s="698"/>
      <c r="C221" s="698"/>
      <c r="D221" s="698"/>
      <c r="E221" s="698"/>
      <c r="F221" s="698"/>
      <c r="G221" s="698"/>
      <c r="H221" s="698"/>
      <c r="I221" s="698"/>
      <c r="J221" s="698"/>
      <c r="K221" s="698"/>
      <c r="L221" s="698"/>
      <c r="M221" s="698"/>
      <c r="N221" s="698"/>
      <c r="O221" s="235">
        <f t="shared" si="6"/>
        <v>0</v>
      </c>
      <c r="P221" s="698"/>
      <c r="Q221" s="698"/>
      <c r="R221" s="698"/>
      <c r="S221" s="698"/>
      <c r="T221" s="698"/>
      <c r="U221" s="698"/>
      <c r="V221" s="698"/>
      <c r="W221" s="698"/>
      <c r="X221" s="698"/>
      <c r="Y221" s="698"/>
      <c r="Z221" s="698"/>
      <c r="AA221" s="698"/>
      <c r="AB221" s="698"/>
      <c r="AC221" s="698"/>
      <c r="AD221" s="698"/>
      <c r="AE221" s="698"/>
      <c r="AF221" s="697">
        <f t="shared" si="7"/>
        <v>0</v>
      </c>
    </row>
    <row r="222" spans="1:32">
      <c r="A222" s="572" t="s">
        <v>1951</v>
      </c>
      <c r="B222" s="696">
        <v>3838.11427</v>
      </c>
      <c r="C222" s="696">
        <v>3997.31403</v>
      </c>
      <c r="D222" s="696">
        <v>2897.37383</v>
      </c>
      <c r="E222" s="696">
        <v>2979.2746299999999</v>
      </c>
      <c r="F222" s="696">
        <v>4022.2813599999999</v>
      </c>
      <c r="G222" s="696">
        <v>4595.5866499999902</v>
      </c>
      <c r="H222" s="696">
        <v>4538.8684699999903</v>
      </c>
      <c r="I222" s="696">
        <v>4538.8684699999903</v>
      </c>
      <c r="J222" s="696">
        <v>4538.8684699999903</v>
      </c>
      <c r="K222" s="696">
        <v>4538.8684699999903</v>
      </c>
      <c r="L222" s="696">
        <v>4538.8684699999903</v>
      </c>
      <c r="M222" s="696">
        <v>4538.8684699999903</v>
      </c>
      <c r="N222" s="696">
        <v>4538.8684699999903</v>
      </c>
      <c r="O222" s="235">
        <f t="shared" si="6"/>
        <v>4161.6941584615315</v>
      </c>
      <c r="P222" s="696">
        <v>4538.8684699999903</v>
      </c>
      <c r="Q222" s="696">
        <v>4538.8684699999903</v>
      </c>
      <c r="R222" s="696">
        <v>4538.8684699999903</v>
      </c>
      <c r="S222" s="696">
        <v>4538.8684699999903</v>
      </c>
      <c r="T222" s="696">
        <v>4538.8684699999903</v>
      </c>
      <c r="U222" s="696">
        <v>4538.8684699999903</v>
      </c>
      <c r="V222" s="696">
        <v>4538.8684699999903</v>
      </c>
      <c r="W222" s="696">
        <v>4538.8684699999903</v>
      </c>
      <c r="X222" s="696">
        <v>4538.8684699999903</v>
      </c>
      <c r="Y222" s="696">
        <v>4538.8684699999903</v>
      </c>
      <c r="Z222" s="696">
        <v>4538.8684699999903</v>
      </c>
      <c r="AA222" s="696">
        <v>4538.8684699999903</v>
      </c>
      <c r="AB222" s="696">
        <v>4538.8684699999903</v>
      </c>
      <c r="AC222" s="696">
        <v>4538.8684699999903</v>
      </c>
      <c r="AD222" s="696">
        <v>4538.8684699999903</v>
      </c>
      <c r="AE222" s="696">
        <v>4538.8684699999903</v>
      </c>
      <c r="AF222" s="697">
        <f t="shared" si="7"/>
        <v>4538.8684699999885</v>
      </c>
    </row>
    <row r="223" spans="1:32">
      <c r="A223" s="572" t="s">
        <v>1952</v>
      </c>
      <c r="B223" s="696">
        <v>140.65487999999999</v>
      </c>
      <c r="C223" s="696">
        <v>293.20137999999997</v>
      </c>
      <c r="D223" s="696">
        <v>91.642920000000004</v>
      </c>
      <c r="E223" s="696">
        <v>138.64155</v>
      </c>
      <c r="F223" s="696">
        <v>188.65499</v>
      </c>
      <c r="G223" s="696">
        <v>128.07384999999999</v>
      </c>
      <c r="H223" s="696">
        <v>159.54899</v>
      </c>
      <c r="I223" s="696">
        <v>159.54899</v>
      </c>
      <c r="J223" s="696">
        <v>159.54899</v>
      </c>
      <c r="K223" s="696">
        <v>159.54899</v>
      </c>
      <c r="L223" s="696">
        <v>159.54899</v>
      </c>
      <c r="M223" s="696">
        <v>159.54899</v>
      </c>
      <c r="N223" s="696">
        <v>159.54899</v>
      </c>
      <c r="O223" s="235">
        <f t="shared" si="6"/>
        <v>161.36250000000001</v>
      </c>
      <c r="P223" s="696">
        <v>159.54899</v>
      </c>
      <c r="Q223" s="696">
        <v>159.54899</v>
      </c>
      <c r="R223" s="696">
        <v>159.54899</v>
      </c>
      <c r="S223" s="696">
        <v>159.54899</v>
      </c>
      <c r="T223" s="696">
        <v>159.54899</v>
      </c>
      <c r="U223" s="696">
        <v>159.54899</v>
      </c>
      <c r="V223" s="696">
        <v>159.54899</v>
      </c>
      <c r="W223" s="696">
        <v>159.54899</v>
      </c>
      <c r="X223" s="696">
        <v>159.54899</v>
      </c>
      <c r="Y223" s="696">
        <v>159.54899</v>
      </c>
      <c r="Z223" s="696">
        <v>159.54899</v>
      </c>
      <c r="AA223" s="696">
        <v>159.54899</v>
      </c>
      <c r="AB223" s="696">
        <v>159.54899</v>
      </c>
      <c r="AC223" s="696">
        <v>159.54899</v>
      </c>
      <c r="AD223" s="696">
        <v>159.54899</v>
      </c>
      <c r="AE223" s="696">
        <v>159.54899</v>
      </c>
      <c r="AF223" s="697">
        <f t="shared" si="7"/>
        <v>159.54899000000003</v>
      </c>
    </row>
    <row r="224" spans="1:32">
      <c r="A224" s="572" t="s">
        <v>1953</v>
      </c>
      <c r="B224" s="696">
        <v>8924.9314799999993</v>
      </c>
      <c r="C224" s="696">
        <v>10408.5378</v>
      </c>
      <c r="D224" s="696">
        <v>7876.8700500000004</v>
      </c>
      <c r="E224" s="696">
        <v>9484.7626899999996</v>
      </c>
      <c r="F224" s="696">
        <v>11356.795260000001</v>
      </c>
      <c r="G224" s="696">
        <v>9129.3085499999997</v>
      </c>
      <c r="H224" s="696">
        <v>10134.66912</v>
      </c>
      <c r="I224" s="696">
        <v>10096.3159062</v>
      </c>
      <c r="J224" s="696">
        <v>10071.886122600001</v>
      </c>
      <c r="K224" s="696">
        <v>10033.308338999999</v>
      </c>
      <c r="L224" s="696">
        <v>9994.7305553999995</v>
      </c>
      <c r="M224" s="696">
        <v>9956.1527717999998</v>
      </c>
      <c r="N224" s="696">
        <v>9917.5749882</v>
      </c>
      <c r="O224" s="235">
        <f t="shared" si="6"/>
        <v>9798.9110487076923</v>
      </c>
      <c r="P224" s="696">
        <v>9878.9972046000003</v>
      </c>
      <c r="Q224" s="696">
        <v>9840.4194210000005</v>
      </c>
      <c r="R224" s="696">
        <v>9801.8416374000008</v>
      </c>
      <c r="S224" s="696">
        <v>9763.2638537999992</v>
      </c>
      <c r="T224" s="696">
        <v>9724.6860701999994</v>
      </c>
      <c r="U224" s="696">
        <v>9686.1082865999997</v>
      </c>
      <c r="V224" s="696">
        <v>9647.530503</v>
      </c>
      <c r="W224" s="696">
        <v>9608.9527194000002</v>
      </c>
      <c r="X224" s="696">
        <v>9570.3749358000005</v>
      </c>
      <c r="Y224" s="696">
        <v>9531.7971522000007</v>
      </c>
      <c r="Z224" s="696">
        <v>9493.2193685999991</v>
      </c>
      <c r="AA224" s="696">
        <v>9454.6415849999994</v>
      </c>
      <c r="AB224" s="696">
        <v>9416.0638013999996</v>
      </c>
      <c r="AC224" s="696">
        <v>9377.4860177999999</v>
      </c>
      <c r="AD224" s="696">
        <v>9338.9082342000002</v>
      </c>
      <c r="AE224" s="696">
        <v>9300.3304506000004</v>
      </c>
      <c r="AF224" s="697">
        <f t="shared" si="7"/>
        <v>9531.7971521999989</v>
      </c>
    </row>
    <row r="225" spans="1:33">
      <c r="A225" s="572" t="s">
        <v>1954</v>
      </c>
      <c r="B225" s="696">
        <v>16.708570000000002</v>
      </c>
      <c r="C225" s="696">
        <v>9.3932300000000009</v>
      </c>
      <c r="D225" s="696">
        <v>12.67432</v>
      </c>
      <c r="E225" s="696">
        <v>9.2471200000000007</v>
      </c>
      <c r="F225" s="696">
        <v>12.70989</v>
      </c>
      <c r="G225" s="696">
        <v>9.2912400000000002</v>
      </c>
      <c r="H225" s="696">
        <v>24.345199999999998</v>
      </c>
      <c r="I225" s="696">
        <v>24.345199999999998</v>
      </c>
      <c r="J225" s="696">
        <v>24.345199999999998</v>
      </c>
      <c r="K225" s="696">
        <v>24.345199999999998</v>
      </c>
      <c r="L225" s="696">
        <v>24.345199999999998</v>
      </c>
      <c r="M225" s="696">
        <v>24.345199999999998</v>
      </c>
      <c r="N225" s="696">
        <v>24.345199999999998</v>
      </c>
      <c r="O225" s="235">
        <f t="shared" si="6"/>
        <v>18.495443846153851</v>
      </c>
      <c r="P225" s="696">
        <v>24.345199999999998</v>
      </c>
      <c r="Q225" s="696">
        <v>24.345199999999998</v>
      </c>
      <c r="R225" s="696">
        <v>24.345199999999998</v>
      </c>
      <c r="S225" s="696">
        <v>24.345199999999998</v>
      </c>
      <c r="T225" s="696">
        <v>24.345199999999998</v>
      </c>
      <c r="U225" s="696">
        <v>24.345199999999998</v>
      </c>
      <c r="V225" s="696">
        <v>24.345199999999998</v>
      </c>
      <c r="W225" s="696">
        <v>24.345199999999998</v>
      </c>
      <c r="X225" s="696">
        <v>24.345199999999998</v>
      </c>
      <c r="Y225" s="696">
        <v>24.345199999999998</v>
      </c>
      <c r="Z225" s="696">
        <v>24.345199999999998</v>
      </c>
      <c r="AA225" s="696">
        <v>24.345199999999998</v>
      </c>
      <c r="AB225" s="696">
        <v>24.345199999999998</v>
      </c>
      <c r="AC225" s="696">
        <v>24.345199999999998</v>
      </c>
      <c r="AD225" s="696">
        <v>24.345199999999998</v>
      </c>
      <c r="AE225" s="696">
        <v>24.345199999999998</v>
      </c>
      <c r="AF225" s="697">
        <f t="shared" si="7"/>
        <v>24.345199999999998</v>
      </c>
    </row>
    <row r="226" spans="1:33">
      <c r="A226" s="572" t="s">
        <v>1955</v>
      </c>
      <c r="B226" s="696">
        <v>1628.4873299999999</v>
      </c>
      <c r="C226" s="696">
        <v>395.64767000000001</v>
      </c>
      <c r="D226" s="696">
        <v>395.64767000000001</v>
      </c>
      <c r="E226" s="696">
        <v>395.64767000000001</v>
      </c>
      <c r="F226" s="696">
        <v>773.86555999999996</v>
      </c>
      <c r="G226" s="696">
        <v>773.86555999999996</v>
      </c>
      <c r="H226" s="696">
        <v>773.86555999999996</v>
      </c>
      <c r="I226" s="696">
        <v>891.37786874878702</v>
      </c>
      <c r="J226" s="696">
        <v>1008.91835099593</v>
      </c>
      <c r="K226" s="696">
        <v>1111.63452079174</v>
      </c>
      <c r="L226" s="696">
        <v>1213.16737876824</v>
      </c>
      <c r="M226" s="696">
        <v>1357.5140352957201</v>
      </c>
      <c r="N226" s="696">
        <v>1502.3511891461001</v>
      </c>
      <c r="O226" s="235">
        <f t="shared" si="6"/>
        <v>940.15310490357842</v>
      </c>
      <c r="P226" s="696">
        <v>109.665591461874</v>
      </c>
      <c r="Q226" s="696">
        <v>257.24915630290201</v>
      </c>
      <c r="R226" s="696">
        <v>396.690225144002</v>
      </c>
      <c r="S226" s="696">
        <v>543.63010575312103</v>
      </c>
      <c r="T226" s="696">
        <v>685.43851878124303</v>
      </c>
      <c r="U226" s="696">
        <v>841.65585169577002</v>
      </c>
      <c r="V226" s="696">
        <v>991.91257351549802</v>
      </c>
      <c r="W226" s="696">
        <v>1139.61376688118</v>
      </c>
      <c r="X226" s="696">
        <v>1278.76230055421</v>
      </c>
      <c r="Y226" s="696">
        <v>1410.6741553422401</v>
      </c>
      <c r="Z226" s="696">
        <v>1568.3027543058099</v>
      </c>
      <c r="AA226" s="696">
        <v>1726.3444025926201</v>
      </c>
      <c r="AB226" s="696">
        <v>150.707160067335</v>
      </c>
      <c r="AC226" s="696">
        <v>304.89974057724402</v>
      </c>
      <c r="AD226" s="696">
        <v>463.89040897381801</v>
      </c>
      <c r="AE226" s="696">
        <v>624.25353816137897</v>
      </c>
      <c r="AF226" s="697">
        <f t="shared" si="7"/>
        <v>902.31425209242093</v>
      </c>
    </row>
    <row r="227" spans="1:33">
      <c r="A227" s="572" t="s">
        <v>2415</v>
      </c>
      <c r="B227" s="696">
        <v>9359.2619400000003</v>
      </c>
      <c r="C227" s="696">
        <v>9694.2686799999992</v>
      </c>
      <c r="D227" s="696">
        <v>9551.02052</v>
      </c>
      <c r="E227" s="696">
        <v>9469.4364700000006</v>
      </c>
      <c r="F227" s="696">
        <v>9509.2080399999995</v>
      </c>
      <c r="G227" s="696">
        <v>9553.1088799999998</v>
      </c>
      <c r="H227" s="696">
        <v>9477.9567999999999</v>
      </c>
      <c r="I227" s="696">
        <v>9325.6753399999907</v>
      </c>
      <c r="J227" s="696">
        <v>9149.6883899999993</v>
      </c>
      <c r="K227" s="696">
        <v>8944.5709599999991</v>
      </c>
      <c r="L227" s="696">
        <v>8714.1202299999895</v>
      </c>
      <c r="M227" s="696">
        <v>8507.9103699999996</v>
      </c>
      <c r="N227" s="696">
        <v>8299.7167700000009</v>
      </c>
      <c r="O227" s="235">
        <f t="shared" si="6"/>
        <v>9196.6110299999964</v>
      </c>
      <c r="P227" s="696">
        <v>8092.7910099999999</v>
      </c>
      <c r="Q227" s="696">
        <v>7885.1111799999999</v>
      </c>
      <c r="R227" s="696">
        <v>7681.6417600000004</v>
      </c>
      <c r="S227" s="696">
        <v>7466.1653299999998</v>
      </c>
      <c r="T227" s="696">
        <v>7247.8894499999897</v>
      </c>
      <c r="U227" s="696">
        <v>7080.2747200000003</v>
      </c>
      <c r="V227" s="696">
        <v>6904.9565199999997</v>
      </c>
      <c r="W227" s="696">
        <v>6741.0177399999902</v>
      </c>
      <c r="X227" s="696">
        <v>6604.7198099999896</v>
      </c>
      <c r="Y227" s="696">
        <v>6512.4606699999904</v>
      </c>
      <c r="Z227" s="696">
        <v>6441.5627999999897</v>
      </c>
      <c r="AA227" s="696">
        <v>6373.7124599999897</v>
      </c>
      <c r="AB227" s="696">
        <v>6310.8626199999899</v>
      </c>
      <c r="AC227" s="696">
        <v>6250.0800399999998</v>
      </c>
      <c r="AD227" s="696">
        <v>6197.6182799999997</v>
      </c>
      <c r="AE227" s="696">
        <v>6141.7225199999903</v>
      </c>
      <c r="AF227" s="697">
        <f t="shared" si="7"/>
        <v>6636.3879199999938</v>
      </c>
      <c r="AG227" s="697">
        <f>AF227</f>
        <v>6636.3879199999938</v>
      </c>
    </row>
    <row r="228" spans="1:33">
      <c r="A228" s="572" t="s">
        <v>1956</v>
      </c>
      <c r="B228" s="696">
        <v>5750.2468200000003</v>
      </c>
      <c r="C228" s="696">
        <v>6444.4565199999997</v>
      </c>
      <c r="D228" s="696">
        <v>6444.4565199999997</v>
      </c>
      <c r="E228" s="696">
        <v>6444.4565199999997</v>
      </c>
      <c r="F228" s="696">
        <v>6765.9718599999997</v>
      </c>
      <c r="G228" s="696">
        <v>6765.9718599999997</v>
      </c>
      <c r="H228" s="696">
        <v>6765.9718599999997</v>
      </c>
      <c r="I228" s="696">
        <v>6765.9718599999997</v>
      </c>
      <c r="J228" s="696">
        <v>6765.9718599999997</v>
      </c>
      <c r="K228" s="696">
        <v>6765.9718599999997</v>
      </c>
      <c r="L228" s="696">
        <v>6765.9718599999997</v>
      </c>
      <c r="M228" s="696">
        <v>6765.9718599999997</v>
      </c>
      <c r="N228" s="696">
        <v>6765.9718599999997</v>
      </c>
      <c r="O228" s="235">
        <f t="shared" si="6"/>
        <v>6613.6433169230777</v>
      </c>
      <c r="P228" s="696">
        <v>6765.9718599999997</v>
      </c>
      <c r="Q228" s="696">
        <v>6765.9718599999997</v>
      </c>
      <c r="R228" s="696">
        <v>6765.9718599999997</v>
      </c>
      <c r="S228" s="696">
        <v>6765.9718599999997</v>
      </c>
      <c r="T228" s="696">
        <v>6765.9718599999997</v>
      </c>
      <c r="U228" s="696">
        <v>6765.9718599999997</v>
      </c>
      <c r="V228" s="696">
        <v>6765.9718599999997</v>
      </c>
      <c r="W228" s="696">
        <v>6765.9718599999997</v>
      </c>
      <c r="X228" s="696">
        <v>6765.9718599999997</v>
      </c>
      <c r="Y228" s="696">
        <v>6765.9718599999997</v>
      </c>
      <c r="Z228" s="696">
        <v>6765.9718599999997</v>
      </c>
      <c r="AA228" s="696">
        <v>6765.9718599999997</v>
      </c>
      <c r="AB228" s="696">
        <v>6765.9718599999997</v>
      </c>
      <c r="AC228" s="696">
        <v>6765.9718599999997</v>
      </c>
      <c r="AD228" s="696">
        <v>6765.9718599999997</v>
      </c>
      <c r="AE228" s="696">
        <v>6765.9718599999997</v>
      </c>
      <c r="AF228" s="697">
        <f t="shared" si="7"/>
        <v>6765.9718600000006</v>
      </c>
    </row>
    <row r="229" spans="1:33">
      <c r="A229" s="572" t="s">
        <v>1957</v>
      </c>
      <c r="B229" s="696">
        <v>1236.415</v>
      </c>
      <c r="C229" s="696">
        <v>1280.80788999999</v>
      </c>
      <c r="D229" s="696">
        <v>1236.415</v>
      </c>
      <c r="E229" s="696">
        <v>1236.415</v>
      </c>
      <c r="F229" s="696">
        <v>1945.48468</v>
      </c>
      <c r="G229" s="696">
        <v>1236.415</v>
      </c>
      <c r="H229" s="696">
        <v>1236.415</v>
      </c>
      <c r="I229" s="696">
        <v>1236.415</v>
      </c>
      <c r="J229" s="696">
        <v>1236.415</v>
      </c>
      <c r="K229" s="696">
        <v>1236.415</v>
      </c>
      <c r="L229" s="696">
        <v>1236.415</v>
      </c>
      <c r="M229" s="696">
        <v>1236.415</v>
      </c>
      <c r="N229" s="696">
        <v>1236.415</v>
      </c>
      <c r="O229" s="235">
        <f t="shared" si="6"/>
        <v>1294.3736592307687</v>
      </c>
      <c r="P229" s="696">
        <v>1236.415</v>
      </c>
      <c r="Q229" s="696">
        <v>1236.415</v>
      </c>
      <c r="R229" s="696">
        <v>1236.415</v>
      </c>
      <c r="S229" s="696">
        <v>1236.415</v>
      </c>
      <c r="T229" s="696">
        <v>1236.415</v>
      </c>
      <c r="U229" s="696">
        <v>1236.415</v>
      </c>
      <c r="V229" s="696">
        <v>1236.415</v>
      </c>
      <c r="W229" s="696">
        <v>1236.415</v>
      </c>
      <c r="X229" s="696">
        <v>1236.415</v>
      </c>
      <c r="Y229" s="696">
        <v>1236.415</v>
      </c>
      <c r="Z229" s="696">
        <v>1236.415</v>
      </c>
      <c r="AA229" s="696">
        <v>1236.415</v>
      </c>
      <c r="AB229" s="696">
        <v>1236.415</v>
      </c>
      <c r="AC229" s="696">
        <v>1236.415</v>
      </c>
      <c r="AD229" s="696">
        <v>1236.415</v>
      </c>
      <c r="AE229" s="696">
        <v>1236.415</v>
      </c>
      <c r="AF229" s="697">
        <f t="shared" si="7"/>
        <v>1236.4150000000004</v>
      </c>
    </row>
    <row r="230" spans="1:33">
      <c r="A230" s="572" t="s">
        <v>1958</v>
      </c>
      <c r="B230" s="696">
        <v>30894.82029</v>
      </c>
      <c r="C230" s="696">
        <v>32523.627199999999</v>
      </c>
      <c r="D230" s="696">
        <v>28506.100829999999</v>
      </c>
      <c r="E230" s="696">
        <v>30157.881649999999</v>
      </c>
      <c r="F230" s="696">
        <v>34574.971640000003</v>
      </c>
      <c r="G230" s="696">
        <v>32191.621589999999</v>
      </c>
      <c r="H230" s="696">
        <v>33111.641000000003</v>
      </c>
      <c r="I230" s="696">
        <v>33038.518634948698</v>
      </c>
      <c r="J230" s="696">
        <v>32955.642383595899</v>
      </c>
      <c r="K230" s="696">
        <v>32814.663339791703</v>
      </c>
      <c r="L230" s="696">
        <v>32647.167684168198</v>
      </c>
      <c r="M230" s="696">
        <v>32546.726697095699</v>
      </c>
      <c r="N230" s="696">
        <v>32444.792467346098</v>
      </c>
      <c r="O230" s="235">
        <f t="shared" si="6"/>
        <v>32185.244262072789</v>
      </c>
      <c r="P230" s="696">
        <v>30806.603326061799</v>
      </c>
      <c r="Q230" s="696">
        <v>30707.929277302901</v>
      </c>
      <c r="R230" s="696">
        <v>30605.323142543999</v>
      </c>
      <c r="S230" s="696">
        <v>30498.2088095531</v>
      </c>
      <c r="T230" s="696">
        <v>30383.163558981199</v>
      </c>
      <c r="U230" s="696">
        <v>30333.188378295701</v>
      </c>
      <c r="V230" s="696">
        <v>30269.5491165155</v>
      </c>
      <c r="W230" s="696">
        <v>30214.733746281101</v>
      </c>
      <c r="X230" s="696">
        <v>30179.006566354201</v>
      </c>
      <c r="Y230" s="696">
        <v>30180.0814975422</v>
      </c>
      <c r="Z230" s="696">
        <v>30228.234442905799</v>
      </c>
      <c r="AA230" s="696">
        <v>30279.847967592599</v>
      </c>
      <c r="AB230" s="696">
        <v>28602.783101467299</v>
      </c>
      <c r="AC230" s="696">
        <v>28657.6153183772</v>
      </c>
      <c r="AD230" s="696">
        <v>28725.566443173801</v>
      </c>
      <c r="AE230" s="696">
        <v>28791.456028761299</v>
      </c>
      <c r="AF230" s="697">
        <f t="shared" si="7"/>
        <v>29795.648844292384</v>
      </c>
    </row>
    <row r="231" spans="1:33">
      <c r="A231" s="572"/>
      <c r="B231" s="698"/>
      <c r="C231" s="698"/>
      <c r="D231" s="698"/>
      <c r="E231" s="698"/>
      <c r="F231" s="698"/>
      <c r="G231" s="698"/>
      <c r="H231" s="698"/>
      <c r="I231" s="698"/>
      <c r="J231" s="698"/>
      <c r="K231" s="698"/>
      <c r="L231" s="698"/>
      <c r="M231" s="698"/>
      <c r="N231" s="698"/>
      <c r="O231" s="235">
        <f t="shared" si="6"/>
        <v>0</v>
      </c>
      <c r="P231" s="698"/>
      <c r="Q231" s="698"/>
      <c r="R231" s="698"/>
      <c r="S231" s="698"/>
      <c r="T231" s="698"/>
      <c r="U231" s="698"/>
      <c r="V231" s="698"/>
      <c r="W231" s="698"/>
      <c r="X231" s="698"/>
      <c r="Y231" s="698"/>
      <c r="Z231" s="698"/>
      <c r="AA231" s="698"/>
      <c r="AB231" s="698"/>
      <c r="AC231" s="698"/>
      <c r="AD231" s="698"/>
      <c r="AE231" s="698"/>
      <c r="AF231" s="697">
        <f t="shared" si="7"/>
        <v>0</v>
      </c>
    </row>
    <row r="232" spans="1:33" ht="15.75" thickBot="1">
      <c r="A232" s="702" t="s">
        <v>1445</v>
      </c>
      <c r="B232" s="703">
        <v>403181.29944999999</v>
      </c>
      <c r="C232" s="703">
        <v>437983.41376000002</v>
      </c>
      <c r="D232" s="703">
        <v>403392.55371000001</v>
      </c>
      <c r="E232" s="703">
        <v>395327.20324</v>
      </c>
      <c r="F232" s="703">
        <v>288592.59074000001</v>
      </c>
      <c r="G232" s="703">
        <v>484332.30333999998</v>
      </c>
      <c r="H232" s="703">
        <v>395570.84086</v>
      </c>
      <c r="I232" s="703">
        <v>407211.65596763202</v>
      </c>
      <c r="J232" s="703">
        <v>426429.29123931698</v>
      </c>
      <c r="K232" s="703">
        <v>434790.43321913498</v>
      </c>
      <c r="L232" s="703">
        <v>450484.612559058</v>
      </c>
      <c r="M232" s="703">
        <v>451209.902639081</v>
      </c>
      <c r="N232" s="703">
        <v>422891.08057452098</v>
      </c>
      <c r="O232" s="235">
        <f t="shared" si="6"/>
        <v>415492.09086913406</v>
      </c>
      <c r="P232" s="703">
        <v>496732.28813544201</v>
      </c>
      <c r="Q232" s="703">
        <v>522010.78517808701</v>
      </c>
      <c r="R232" s="703">
        <v>533428.64004628803</v>
      </c>
      <c r="S232" s="703">
        <v>329193.39982747601</v>
      </c>
      <c r="T232" s="703">
        <v>348076.13506535202</v>
      </c>
      <c r="U232" s="703">
        <v>357686.01494885999</v>
      </c>
      <c r="V232" s="703">
        <v>382406.54117301502</v>
      </c>
      <c r="W232" s="703">
        <v>388438.98678966297</v>
      </c>
      <c r="X232" s="703">
        <v>394649.15983331302</v>
      </c>
      <c r="Y232" s="703">
        <v>390744.08159591502</v>
      </c>
      <c r="Z232" s="703">
        <v>386412.53000904201</v>
      </c>
      <c r="AA232" s="703">
        <v>349411.71960635099</v>
      </c>
      <c r="AB232" s="703">
        <v>417987.12169444299</v>
      </c>
      <c r="AC232" s="703">
        <v>414758.44888671098</v>
      </c>
      <c r="AD232" s="703">
        <v>407448.89977769199</v>
      </c>
      <c r="AE232" s="703">
        <v>404887.95732777898</v>
      </c>
      <c r="AF232" s="697">
        <f t="shared" si="7"/>
        <v>382469.30742581631</v>
      </c>
    </row>
    <row r="233" spans="1:33">
      <c r="A233" s="572"/>
      <c r="O233" s="235">
        <f t="shared" si="6"/>
        <v>0</v>
      </c>
      <c r="AF233" s="697">
        <f t="shared" si="7"/>
        <v>0</v>
      </c>
    </row>
    <row r="234" spans="1:33">
      <c r="A234" s="702" t="s">
        <v>1446</v>
      </c>
      <c r="B234" s="698"/>
      <c r="C234" s="698"/>
      <c r="D234" s="698"/>
      <c r="E234" s="698"/>
      <c r="F234" s="698"/>
      <c r="G234" s="698"/>
      <c r="H234" s="698"/>
      <c r="I234" s="698"/>
      <c r="J234" s="698"/>
      <c r="K234" s="698"/>
      <c r="L234" s="698"/>
      <c r="M234" s="698"/>
      <c r="N234" s="698"/>
      <c r="O234" s="235">
        <f t="shared" si="6"/>
        <v>0</v>
      </c>
      <c r="P234" s="698"/>
      <c r="Q234" s="698"/>
      <c r="R234" s="698"/>
      <c r="S234" s="698"/>
      <c r="T234" s="698"/>
      <c r="U234" s="698"/>
      <c r="V234" s="698"/>
      <c r="W234" s="698"/>
      <c r="X234" s="698"/>
      <c r="Y234" s="698"/>
      <c r="Z234" s="698"/>
      <c r="AA234" s="698"/>
      <c r="AB234" s="698"/>
      <c r="AC234" s="698"/>
      <c r="AD234" s="698"/>
      <c r="AE234" s="698"/>
      <c r="AF234" s="697">
        <f t="shared" si="7"/>
        <v>0</v>
      </c>
    </row>
    <row r="235" spans="1:33">
      <c r="A235" s="572" t="s">
        <v>1959</v>
      </c>
      <c r="B235" s="698"/>
      <c r="C235" s="698"/>
      <c r="D235" s="698"/>
      <c r="E235" s="698"/>
      <c r="F235" s="698"/>
      <c r="G235" s="698"/>
      <c r="H235" s="698"/>
      <c r="I235" s="698"/>
      <c r="J235" s="698"/>
      <c r="K235" s="698"/>
      <c r="L235" s="698"/>
      <c r="M235" s="698"/>
      <c r="N235" s="698"/>
      <c r="O235" s="235">
        <f t="shared" si="6"/>
        <v>0</v>
      </c>
      <c r="P235" s="698"/>
      <c r="Q235" s="698"/>
      <c r="R235" s="698"/>
      <c r="S235" s="698"/>
      <c r="T235" s="698"/>
      <c r="U235" s="698"/>
      <c r="V235" s="698"/>
      <c r="W235" s="698"/>
      <c r="X235" s="698"/>
      <c r="Y235" s="698"/>
      <c r="Z235" s="698"/>
      <c r="AA235" s="698"/>
      <c r="AB235" s="698"/>
      <c r="AC235" s="698"/>
      <c r="AD235" s="698"/>
      <c r="AE235" s="698"/>
      <c r="AF235" s="697">
        <f t="shared" si="7"/>
        <v>0</v>
      </c>
    </row>
    <row r="236" spans="1:33">
      <c r="A236" s="572" t="s">
        <v>1960</v>
      </c>
      <c r="B236" s="696">
        <v>952459.71950999997</v>
      </c>
      <c r="C236" s="696">
        <v>961232.75601000001</v>
      </c>
      <c r="D236" s="696">
        <v>961232.75601000001</v>
      </c>
      <c r="E236" s="696">
        <v>961232.75601000001</v>
      </c>
      <c r="F236" s="696">
        <v>964473.27205999999</v>
      </c>
      <c r="G236" s="696">
        <v>964473.27205999999</v>
      </c>
      <c r="H236" s="696">
        <v>965723.18831999996</v>
      </c>
      <c r="I236" s="696">
        <v>965524.67365250597</v>
      </c>
      <c r="J236" s="696">
        <v>965524.67365250597</v>
      </c>
      <c r="K236" s="696">
        <v>965524.67365250597</v>
      </c>
      <c r="L236" s="696">
        <v>965326.15898501198</v>
      </c>
      <c r="M236" s="696">
        <v>965326.15898501198</v>
      </c>
      <c r="N236" s="696">
        <v>965326.15898501198</v>
      </c>
      <c r="O236" s="235">
        <f t="shared" si="6"/>
        <v>963336.93983788858</v>
      </c>
      <c r="P236" s="696">
        <v>965107.44527020794</v>
      </c>
      <c r="Q236" s="696">
        <v>965107.44527020794</v>
      </c>
      <c r="R236" s="696">
        <v>965107.44527020794</v>
      </c>
      <c r="S236" s="696">
        <v>964888.73155540403</v>
      </c>
      <c r="T236" s="696">
        <v>964888.73155540403</v>
      </c>
      <c r="U236" s="696">
        <v>964888.73155540403</v>
      </c>
      <c r="V236" s="696">
        <v>964686.22575978795</v>
      </c>
      <c r="W236" s="696">
        <v>964686.22575978795</v>
      </c>
      <c r="X236" s="696">
        <v>964686.22575978795</v>
      </c>
      <c r="Y236" s="696">
        <v>964483.71996417094</v>
      </c>
      <c r="Z236" s="696">
        <v>964483.71996417094</v>
      </c>
      <c r="AA236" s="696">
        <v>964483.71996417094</v>
      </c>
      <c r="AB236" s="696">
        <v>964317.61534210399</v>
      </c>
      <c r="AC236" s="696">
        <v>964317.61534210399</v>
      </c>
      <c r="AD236" s="696">
        <v>964317.61534210399</v>
      </c>
      <c r="AE236" s="696">
        <v>964151.51072003599</v>
      </c>
      <c r="AF236" s="697">
        <f t="shared" si="7"/>
        <v>964560.02989111072</v>
      </c>
    </row>
    <row r="237" spans="1:33">
      <c r="A237" s="572" t="s">
        <v>1961</v>
      </c>
      <c r="B237" s="696">
        <v>144237.74562</v>
      </c>
      <c r="C237" s="696">
        <v>144610.96096999999</v>
      </c>
      <c r="D237" s="696">
        <v>144610.96096999999</v>
      </c>
      <c r="E237" s="696">
        <v>144610.96096999999</v>
      </c>
      <c r="F237" s="696">
        <v>144929.77747999999</v>
      </c>
      <c r="G237" s="696">
        <v>144929.77747999999</v>
      </c>
      <c r="H237" s="696">
        <v>144929.77747999999</v>
      </c>
      <c r="I237" s="696">
        <v>162423.78328022</v>
      </c>
      <c r="J237" s="696">
        <v>162457.808071887</v>
      </c>
      <c r="K237" s="696">
        <v>162491.83286355401</v>
      </c>
      <c r="L237" s="696">
        <v>174459.53228501001</v>
      </c>
      <c r="M237" s="696">
        <v>174493.55707667599</v>
      </c>
      <c r="N237" s="696">
        <v>174527.581868343</v>
      </c>
      <c r="O237" s="235">
        <f t="shared" si="6"/>
        <v>155670.31203197615</v>
      </c>
      <c r="P237" s="696">
        <v>180295.14257337499</v>
      </c>
      <c r="Q237" s="696">
        <v>180329.16736504101</v>
      </c>
      <c r="R237" s="696">
        <v>180363.19215670801</v>
      </c>
      <c r="S237" s="696">
        <v>186130.75286174001</v>
      </c>
      <c r="T237" s="696">
        <v>186166.376285073</v>
      </c>
      <c r="U237" s="696">
        <v>186201.99970840599</v>
      </c>
      <c r="V237" s="696">
        <v>192927.220045105</v>
      </c>
      <c r="W237" s="696">
        <v>192962.84346843799</v>
      </c>
      <c r="X237" s="696">
        <v>192998.46689177101</v>
      </c>
      <c r="Y237" s="696">
        <v>199723.68722846999</v>
      </c>
      <c r="Z237" s="696">
        <v>199759.31065180301</v>
      </c>
      <c r="AA237" s="696">
        <v>199794.934075136</v>
      </c>
      <c r="AB237" s="696">
        <v>202324.259458652</v>
      </c>
      <c r="AC237" s="696">
        <v>202359.88288198499</v>
      </c>
      <c r="AD237" s="696">
        <v>202395.50630531801</v>
      </c>
      <c r="AE237" s="696">
        <v>204924.83168883401</v>
      </c>
      <c r="AF237" s="697">
        <f t="shared" si="7"/>
        <v>196051.54396544083</v>
      </c>
    </row>
    <row r="238" spans="1:33" ht="15.75" thickBot="1">
      <c r="A238" s="572" t="s">
        <v>1962</v>
      </c>
      <c r="B238" s="701">
        <v>8438.1768899999897</v>
      </c>
      <c r="C238" s="701">
        <v>8382.0877799999998</v>
      </c>
      <c r="D238" s="701">
        <v>8382.0877799999998</v>
      </c>
      <c r="E238" s="701">
        <v>8382.0877799999998</v>
      </c>
      <c r="F238" s="701">
        <v>8324.0297599999994</v>
      </c>
      <c r="G238" s="701">
        <v>8324.0297599999994</v>
      </c>
      <c r="H238" s="701">
        <v>8361.9421700000003</v>
      </c>
      <c r="I238" s="701">
        <v>8361.9421700000003</v>
      </c>
      <c r="J238" s="701">
        <v>8361.9421700000003</v>
      </c>
      <c r="K238" s="701">
        <v>8361.9421700000003</v>
      </c>
      <c r="L238" s="701">
        <v>8361.9421700000003</v>
      </c>
      <c r="M238" s="701">
        <v>8361.9421700000003</v>
      </c>
      <c r="N238" s="701">
        <v>8361.9421700000003</v>
      </c>
      <c r="O238" s="235">
        <f t="shared" si="6"/>
        <v>8366.6226876923047</v>
      </c>
      <c r="P238" s="701">
        <v>8361.9421700000003</v>
      </c>
      <c r="Q238" s="701">
        <v>8361.9421700000003</v>
      </c>
      <c r="R238" s="701">
        <v>8361.9421700000003</v>
      </c>
      <c r="S238" s="701">
        <v>8361.9421700000003</v>
      </c>
      <c r="T238" s="701">
        <v>8361.9421700000003</v>
      </c>
      <c r="U238" s="701">
        <v>8361.9421700000003</v>
      </c>
      <c r="V238" s="701">
        <v>8361.9421700000003</v>
      </c>
      <c r="W238" s="701">
        <v>8361.9421700000003</v>
      </c>
      <c r="X238" s="701">
        <v>8361.9421700000003</v>
      </c>
      <c r="Y238" s="701">
        <v>8361.9421700000003</v>
      </c>
      <c r="Z238" s="701">
        <v>8361.9421700000003</v>
      </c>
      <c r="AA238" s="701">
        <v>8361.9421700000003</v>
      </c>
      <c r="AB238" s="701">
        <v>8361.9421700000003</v>
      </c>
      <c r="AC238" s="701">
        <v>8361.9421700000003</v>
      </c>
      <c r="AD238" s="701">
        <v>8361.9421700000003</v>
      </c>
      <c r="AE238" s="701">
        <v>8361.9421700000003</v>
      </c>
      <c r="AF238" s="697">
        <f t="shared" si="7"/>
        <v>8361.9421699999984</v>
      </c>
    </row>
    <row r="239" spans="1:33">
      <c r="A239" s="572" t="s">
        <v>1959</v>
      </c>
      <c r="B239" s="696">
        <v>1105135.6420199999</v>
      </c>
      <c r="C239" s="696">
        <v>1114225.80476</v>
      </c>
      <c r="D239" s="696">
        <v>1114225.80476</v>
      </c>
      <c r="E239" s="696">
        <v>1114225.80476</v>
      </c>
      <c r="F239" s="696">
        <v>1117727.0793000001</v>
      </c>
      <c r="G239" s="696">
        <v>1117727.0793000001</v>
      </c>
      <c r="H239" s="696">
        <v>1119014.90796999</v>
      </c>
      <c r="I239" s="696">
        <v>1136310.39910272</v>
      </c>
      <c r="J239" s="696">
        <v>1136344.42389439</v>
      </c>
      <c r="K239" s="696">
        <v>1136378.44868606</v>
      </c>
      <c r="L239" s="696">
        <v>1148147.63344002</v>
      </c>
      <c r="M239" s="696">
        <v>1148181.65823168</v>
      </c>
      <c r="N239" s="696">
        <v>1148215.6830233501</v>
      </c>
      <c r="O239" s="235">
        <f t="shared" si="6"/>
        <v>1127373.8745575545</v>
      </c>
      <c r="P239" s="696">
        <v>1153764.5300135801</v>
      </c>
      <c r="Q239" s="696">
        <v>1153798.5548052499</v>
      </c>
      <c r="R239" s="696">
        <v>1153832.5795969099</v>
      </c>
      <c r="S239" s="696">
        <v>1159381.42658714</v>
      </c>
      <c r="T239" s="696">
        <v>1159417.05001047</v>
      </c>
      <c r="U239" s="696">
        <v>1159452.67343381</v>
      </c>
      <c r="V239" s="696">
        <v>1165975.3879748899</v>
      </c>
      <c r="W239" s="696">
        <v>1166011.01139822</v>
      </c>
      <c r="X239" s="696">
        <v>1166046.63482155</v>
      </c>
      <c r="Y239" s="696">
        <v>1172569.3493626399</v>
      </c>
      <c r="Z239" s="696">
        <v>1172604.97278597</v>
      </c>
      <c r="AA239" s="696">
        <v>1172640.5962093</v>
      </c>
      <c r="AB239" s="696">
        <v>1175003.81697075</v>
      </c>
      <c r="AC239" s="696">
        <v>1175039.44039408</v>
      </c>
      <c r="AD239" s="696">
        <v>1175075.06381742</v>
      </c>
      <c r="AE239" s="696">
        <v>1177438.2845788701</v>
      </c>
      <c r="AF239" s="697">
        <f t="shared" si="7"/>
        <v>1168973.5160265469</v>
      </c>
    </row>
    <row r="240" spans="1:33">
      <c r="A240" s="572"/>
      <c r="B240" s="698"/>
      <c r="C240" s="698"/>
      <c r="D240" s="698"/>
      <c r="E240" s="698"/>
      <c r="F240" s="698"/>
      <c r="G240" s="698"/>
      <c r="H240" s="698"/>
      <c r="I240" s="698"/>
      <c r="J240" s="698"/>
      <c r="K240" s="698"/>
      <c r="L240" s="698"/>
      <c r="M240" s="698"/>
      <c r="N240" s="698"/>
      <c r="O240" s="235">
        <f t="shared" si="6"/>
        <v>0</v>
      </c>
      <c r="P240" s="698"/>
      <c r="Q240" s="698"/>
      <c r="R240" s="698"/>
      <c r="S240" s="698"/>
      <c r="T240" s="698"/>
      <c r="U240" s="698"/>
      <c r="V240" s="698"/>
      <c r="W240" s="698"/>
      <c r="X240" s="698"/>
      <c r="Y240" s="698"/>
      <c r="Z240" s="698"/>
      <c r="AA240" s="698"/>
      <c r="AB240" s="698"/>
      <c r="AC240" s="698"/>
      <c r="AD240" s="698"/>
      <c r="AE240" s="698"/>
      <c r="AF240" s="697">
        <f t="shared" si="7"/>
        <v>0</v>
      </c>
    </row>
    <row r="241" spans="1:32">
      <c r="A241" s="572" t="s">
        <v>1963</v>
      </c>
      <c r="B241" s="698"/>
      <c r="C241" s="698"/>
      <c r="D241" s="698"/>
      <c r="E241" s="698"/>
      <c r="F241" s="698"/>
      <c r="G241" s="698"/>
      <c r="H241" s="698"/>
      <c r="I241" s="698"/>
      <c r="J241" s="698"/>
      <c r="K241" s="698"/>
      <c r="L241" s="698"/>
      <c r="M241" s="698"/>
      <c r="N241" s="698"/>
      <c r="O241" s="235">
        <f t="shared" si="6"/>
        <v>0</v>
      </c>
      <c r="P241" s="698"/>
      <c r="Q241" s="698"/>
      <c r="R241" s="698"/>
      <c r="S241" s="698"/>
      <c r="T241" s="698"/>
      <c r="U241" s="698"/>
      <c r="V241" s="698"/>
      <c r="W241" s="698"/>
      <c r="X241" s="698"/>
      <c r="Y241" s="698"/>
      <c r="Z241" s="698"/>
      <c r="AA241" s="698"/>
      <c r="AB241" s="698"/>
      <c r="AC241" s="698"/>
      <c r="AD241" s="698"/>
      <c r="AE241" s="698"/>
      <c r="AF241" s="697">
        <f t="shared" si="7"/>
        <v>0</v>
      </c>
    </row>
    <row r="242" spans="1:32">
      <c r="A242" s="572" t="s">
        <v>1964</v>
      </c>
      <c r="B242" s="696">
        <v>87517.851049999997</v>
      </c>
      <c r="C242" s="696">
        <v>87366.506049999996</v>
      </c>
      <c r="D242" s="696">
        <v>87215.160050000006</v>
      </c>
      <c r="E242" s="696">
        <v>87063.814050000001</v>
      </c>
      <c r="F242" s="696">
        <v>86912.46905</v>
      </c>
      <c r="G242" s="696">
        <v>86761.123049999995</v>
      </c>
      <c r="H242" s="696">
        <v>86609.777049999902</v>
      </c>
      <c r="I242" s="696">
        <v>86454.912633333297</v>
      </c>
      <c r="J242" s="696">
        <v>86300.048216666604</v>
      </c>
      <c r="K242" s="696">
        <v>86145.183799999999</v>
      </c>
      <c r="L242" s="696">
        <v>85990.319383333306</v>
      </c>
      <c r="M242" s="696">
        <v>85835.454966666599</v>
      </c>
      <c r="N242" s="696">
        <v>85680.590549999994</v>
      </c>
      <c r="O242" s="235">
        <f t="shared" si="6"/>
        <v>86604.093069230745</v>
      </c>
      <c r="P242" s="696">
        <v>85525.726133333301</v>
      </c>
      <c r="Q242" s="696">
        <v>85370.861716666594</v>
      </c>
      <c r="R242" s="696">
        <v>85215.997300000003</v>
      </c>
      <c r="S242" s="696">
        <v>85061.132883333295</v>
      </c>
      <c r="T242" s="696">
        <v>84899.922550000003</v>
      </c>
      <c r="U242" s="696">
        <v>84738.712216666594</v>
      </c>
      <c r="V242" s="696">
        <v>84577.501883333302</v>
      </c>
      <c r="W242" s="696">
        <v>84416.291549999994</v>
      </c>
      <c r="X242" s="696">
        <v>84255.0812166666</v>
      </c>
      <c r="Y242" s="696">
        <v>84093.870883333293</v>
      </c>
      <c r="Z242" s="696">
        <v>83932.660550000001</v>
      </c>
      <c r="AA242" s="696">
        <v>83771.450216666606</v>
      </c>
      <c r="AB242" s="696">
        <v>83610.239883333299</v>
      </c>
      <c r="AC242" s="696">
        <v>83449.029549999905</v>
      </c>
      <c r="AD242" s="696">
        <v>83287.819216666598</v>
      </c>
      <c r="AE242" s="696">
        <v>83126.608883333305</v>
      </c>
      <c r="AF242" s="697">
        <f t="shared" si="7"/>
        <v>84093.870883333293</v>
      </c>
    </row>
    <row r="243" spans="1:32" ht="15.75" thickBot="1">
      <c r="A243" s="572" t="s">
        <v>1965</v>
      </c>
      <c r="B243" s="701">
        <v>2250.51532</v>
      </c>
      <c r="C243" s="701">
        <v>2246.9963199999902</v>
      </c>
      <c r="D243" s="701">
        <v>2243.4763199999902</v>
      </c>
      <c r="E243" s="701">
        <v>2239.9563199999998</v>
      </c>
      <c r="F243" s="701">
        <v>2236.43732</v>
      </c>
      <c r="G243" s="701">
        <v>2232.91732</v>
      </c>
      <c r="H243" s="701">
        <v>2229.39732</v>
      </c>
      <c r="I243" s="701">
        <v>2229.39732</v>
      </c>
      <c r="J243" s="701">
        <v>2229.39732</v>
      </c>
      <c r="K243" s="701">
        <v>2229.39732</v>
      </c>
      <c r="L243" s="701">
        <v>2229.39732</v>
      </c>
      <c r="M243" s="701">
        <v>2229.39732</v>
      </c>
      <c r="N243" s="701">
        <v>2229.39732</v>
      </c>
      <c r="O243" s="235">
        <f t="shared" si="6"/>
        <v>2235.0830892307677</v>
      </c>
      <c r="P243" s="701">
        <v>2229.39732</v>
      </c>
      <c r="Q243" s="701">
        <v>2229.39732</v>
      </c>
      <c r="R243" s="701">
        <v>2229.39732</v>
      </c>
      <c r="S243" s="701">
        <v>2229.39732</v>
      </c>
      <c r="T243" s="701">
        <v>2229.39732</v>
      </c>
      <c r="U243" s="701">
        <v>2229.39732</v>
      </c>
      <c r="V243" s="701">
        <v>2229.39732</v>
      </c>
      <c r="W243" s="701">
        <v>2229.39732</v>
      </c>
      <c r="X243" s="701">
        <v>2229.39732</v>
      </c>
      <c r="Y243" s="701">
        <v>2229.39732</v>
      </c>
      <c r="Z243" s="701">
        <v>2229.39732</v>
      </c>
      <c r="AA243" s="701">
        <v>2229.39732</v>
      </c>
      <c r="AB243" s="701">
        <v>2229.39732</v>
      </c>
      <c r="AC243" s="701">
        <v>2229.39732</v>
      </c>
      <c r="AD243" s="701">
        <v>2229.39732</v>
      </c>
      <c r="AE243" s="701">
        <v>2229.39732</v>
      </c>
      <c r="AF243" s="697">
        <f t="shared" si="7"/>
        <v>2229.39732</v>
      </c>
    </row>
    <row r="244" spans="1:32">
      <c r="A244" s="572" t="s">
        <v>1963</v>
      </c>
      <c r="B244" s="696">
        <v>89768.366370000003</v>
      </c>
      <c r="C244" s="696">
        <v>89613.502370000002</v>
      </c>
      <c r="D244" s="696">
        <v>89458.636369999993</v>
      </c>
      <c r="E244" s="696">
        <v>89303.770369999998</v>
      </c>
      <c r="F244" s="696">
        <v>89148.906369999997</v>
      </c>
      <c r="G244" s="696">
        <v>88994.040369999901</v>
      </c>
      <c r="H244" s="696">
        <v>88839.174369999993</v>
      </c>
      <c r="I244" s="696">
        <v>88684.309953333301</v>
      </c>
      <c r="J244" s="696">
        <v>88529.445536666593</v>
      </c>
      <c r="K244" s="696">
        <v>88374.581120000003</v>
      </c>
      <c r="L244" s="696">
        <v>88219.716703333295</v>
      </c>
      <c r="M244" s="696">
        <v>88064.852286666603</v>
      </c>
      <c r="N244" s="696">
        <v>87909.987869999997</v>
      </c>
      <c r="O244" s="235">
        <f t="shared" si="6"/>
        <v>88839.176158461516</v>
      </c>
      <c r="P244" s="696">
        <v>87755.123453333304</v>
      </c>
      <c r="Q244" s="696">
        <v>87600.259036666597</v>
      </c>
      <c r="R244" s="696">
        <v>87445.394620000006</v>
      </c>
      <c r="S244" s="696">
        <v>87290.530203333299</v>
      </c>
      <c r="T244" s="696">
        <v>87129.319870000007</v>
      </c>
      <c r="U244" s="696">
        <v>86968.109536666598</v>
      </c>
      <c r="V244" s="696">
        <v>86806.899203333305</v>
      </c>
      <c r="W244" s="696">
        <v>86645.688869999998</v>
      </c>
      <c r="X244" s="696">
        <v>86484.478536666604</v>
      </c>
      <c r="Y244" s="696">
        <v>86323.268203333297</v>
      </c>
      <c r="Z244" s="696">
        <v>86162.057870000004</v>
      </c>
      <c r="AA244" s="696">
        <v>86000.847536666595</v>
      </c>
      <c r="AB244" s="696">
        <v>85839.637203333303</v>
      </c>
      <c r="AC244" s="696">
        <v>85678.426869999996</v>
      </c>
      <c r="AD244" s="696">
        <v>85517.216536666601</v>
      </c>
      <c r="AE244" s="696">
        <v>85356.006203333294</v>
      </c>
      <c r="AF244" s="697">
        <f t="shared" si="7"/>
        <v>86323.268203333311</v>
      </c>
    </row>
    <row r="245" spans="1:32">
      <c r="A245" s="572"/>
      <c r="B245" s="698"/>
      <c r="C245" s="698"/>
      <c r="D245" s="698"/>
      <c r="E245" s="698"/>
      <c r="F245" s="698"/>
      <c r="G245" s="698"/>
      <c r="H245" s="698"/>
      <c r="I245" s="698"/>
      <c r="J245" s="698"/>
      <c r="K245" s="698"/>
      <c r="L245" s="698"/>
      <c r="M245" s="698"/>
      <c r="N245" s="698"/>
      <c r="O245" s="235">
        <f t="shared" si="6"/>
        <v>0</v>
      </c>
      <c r="P245" s="698"/>
      <c r="Q245" s="698"/>
      <c r="R245" s="698"/>
      <c r="S245" s="698"/>
      <c r="T245" s="698"/>
      <c r="U245" s="698"/>
      <c r="V245" s="698"/>
      <c r="W245" s="698"/>
      <c r="X245" s="698"/>
      <c r="Y245" s="698"/>
      <c r="Z245" s="698"/>
      <c r="AA245" s="698"/>
      <c r="AB245" s="698"/>
      <c r="AC245" s="698"/>
      <c r="AD245" s="698"/>
      <c r="AE245" s="698"/>
      <c r="AF245" s="697">
        <f t="shared" si="7"/>
        <v>0</v>
      </c>
    </row>
    <row r="246" spans="1:32">
      <c r="A246" s="572" t="s">
        <v>1966</v>
      </c>
      <c r="B246" s="698"/>
      <c r="C246" s="698"/>
      <c r="D246" s="698"/>
      <c r="E246" s="698"/>
      <c r="F246" s="698"/>
      <c r="G246" s="698"/>
      <c r="H246" s="698"/>
      <c r="I246" s="698"/>
      <c r="J246" s="698"/>
      <c r="K246" s="698"/>
      <c r="L246" s="698"/>
      <c r="M246" s="698"/>
      <c r="N246" s="698"/>
      <c r="O246" s="235">
        <f t="shared" si="6"/>
        <v>0</v>
      </c>
      <c r="P246" s="698"/>
      <c r="Q246" s="698"/>
      <c r="R246" s="698"/>
      <c r="S246" s="698"/>
      <c r="T246" s="698"/>
      <c r="U246" s="698"/>
      <c r="V246" s="698"/>
      <c r="W246" s="698"/>
      <c r="X246" s="698"/>
      <c r="Y246" s="698"/>
      <c r="Z246" s="698"/>
      <c r="AA246" s="698"/>
      <c r="AB246" s="698"/>
      <c r="AC246" s="698"/>
      <c r="AD246" s="698"/>
      <c r="AE246" s="698"/>
      <c r="AF246" s="697">
        <f t="shared" si="7"/>
        <v>0</v>
      </c>
    </row>
    <row r="247" spans="1:32">
      <c r="A247" s="572" t="s">
        <v>1967</v>
      </c>
      <c r="B247" s="696">
        <v>3111.1099299999901</v>
      </c>
      <c r="C247" s="696">
        <v>3765.6649299999999</v>
      </c>
      <c r="D247" s="696">
        <v>2996.76802</v>
      </c>
      <c r="E247" s="696">
        <v>1762.2771399999999</v>
      </c>
      <c r="F247" s="696">
        <v>1362.86383</v>
      </c>
      <c r="G247" s="696">
        <v>1330.42166</v>
      </c>
      <c r="H247" s="696">
        <v>1297.9794899999999</v>
      </c>
      <c r="I247" s="696">
        <v>1209.0628200000001</v>
      </c>
      <c r="J247" s="696">
        <v>1120.14615</v>
      </c>
      <c r="K247" s="696">
        <v>1031.22948</v>
      </c>
      <c r="L247" s="696">
        <v>942.31281000000001</v>
      </c>
      <c r="M247" s="696">
        <v>853.39613999999995</v>
      </c>
      <c r="N247" s="696">
        <v>764.47946999999999</v>
      </c>
      <c r="O247" s="235">
        <f t="shared" si="6"/>
        <v>1657.516297692307</v>
      </c>
      <c r="P247" s="696">
        <v>675.56280000000004</v>
      </c>
      <c r="Q247" s="696">
        <v>658.41696916666604</v>
      </c>
      <c r="R247" s="696">
        <v>641.27113833333306</v>
      </c>
      <c r="S247" s="696">
        <v>624.12530749999996</v>
      </c>
      <c r="T247" s="696">
        <v>606.97947666666596</v>
      </c>
      <c r="U247" s="696">
        <v>589.83364583333298</v>
      </c>
      <c r="V247" s="696">
        <v>572.687815</v>
      </c>
      <c r="W247" s="696">
        <v>555.541984166666</v>
      </c>
      <c r="X247" s="696">
        <v>538.39615333333302</v>
      </c>
      <c r="Y247" s="696">
        <v>521.25032250000004</v>
      </c>
      <c r="Z247" s="696">
        <v>504.104491666667</v>
      </c>
      <c r="AA247" s="696">
        <v>486.958660833333</v>
      </c>
      <c r="AB247" s="696">
        <v>469.81283000000002</v>
      </c>
      <c r="AC247" s="696">
        <v>469.81283000000002</v>
      </c>
      <c r="AD247" s="696">
        <v>469.81283000000002</v>
      </c>
      <c r="AE247" s="696">
        <v>469.81283000000002</v>
      </c>
      <c r="AF247" s="697">
        <f t="shared" si="7"/>
        <v>529.16378288461522</v>
      </c>
    </row>
    <row r="248" spans="1:32">
      <c r="A248" s="572" t="s">
        <v>1968</v>
      </c>
      <c r="B248" s="696">
        <v>36578.017209999998</v>
      </c>
      <c r="C248" s="696">
        <v>36474.214189999999</v>
      </c>
      <c r="D248" s="696">
        <v>36407.045919999997</v>
      </c>
      <c r="E248" s="696">
        <v>36251.151329999899</v>
      </c>
      <c r="F248" s="696">
        <v>35988.203289999998</v>
      </c>
      <c r="G248" s="696">
        <v>35739.108189999999</v>
      </c>
      <c r="H248" s="696">
        <v>35483.622580000003</v>
      </c>
      <c r="I248" s="696">
        <v>35149.181790000002</v>
      </c>
      <c r="J248" s="696">
        <v>34742.13177</v>
      </c>
      <c r="K248" s="696">
        <v>34459.071089999998</v>
      </c>
      <c r="L248" s="696">
        <v>34218.541929999999</v>
      </c>
      <c r="M248" s="696">
        <v>33919.647239999998</v>
      </c>
      <c r="N248" s="696">
        <v>33648.822</v>
      </c>
      <c r="O248" s="235">
        <f t="shared" si="6"/>
        <v>35312.212194615378</v>
      </c>
      <c r="P248" s="696">
        <v>33389.068220000001</v>
      </c>
      <c r="Q248" s="696">
        <v>33079.763070000001</v>
      </c>
      <c r="R248" s="696">
        <v>32783.928390000001</v>
      </c>
      <c r="S248" s="696">
        <v>32132.667280000001</v>
      </c>
      <c r="T248" s="696">
        <v>32763.6368139839</v>
      </c>
      <c r="U248" s="696">
        <v>32967.426367810498</v>
      </c>
      <c r="V248" s="696">
        <v>32795.192899962101</v>
      </c>
      <c r="W248" s="696">
        <v>32557.368292301599</v>
      </c>
      <c r="X248" s="696">
        <v>32321.704867502202</v>
      </c>
      <c r="Y248" s="696">
        <v>32072.502980007801</v>
      </c>
      <c r="Z248" s="696">
        <v>31815.211274307901</v>
      </c>
      <c r="AA248" s="696">
        <v>31583.541006629399</v>
      </c>
      <c r="AB248" s="696">
        <v>31344.756221641001</v>
      </c>
      <c r="AC248" s="696">
        <v>31126.699849100401</v>
      </c>
      <c r="AD248" s="696">
        <v>30897.382546393001</v>
      </c>
      <c r="AE248" s="696">
        <v>30666.151959999999</v>
      </c>
      <c r="AF248" s="697">
        <f t="shared" si="7"/>
        <v>31926.480181510753</v>
      </c>
    </row>
    <row r="249" spans="1:32">
      <c r="A249" s="572" t="s">
        <v>1969</v>
      </c>
      <c r="B249" s="696">
        <v>13124</v>
      </c>
      <c r="C249" s="696">
        <v>11543</v>
      </c>
      <c r="D249" s="696">
        <v>8219</v>
      </c>
      <c r="E249" s="696">
        <v>7358</v>
      </c>
      <c r="F249" s="696">
        <v>8386</v>
      </c>
      <c r="G249" s="696">
        <v>12888</v>
      </c>
      <c r="H249" s="696">
        <v>13231</v>
      </c>
      <c r="I249" s="696">
        <v>10013.2628993166</v>
      </c>
      <c r="J249" s="696">
        <v>8565.9215924836299</v>
      </c>
      <c r="K249" s="696">
        <v>10161.502599338401</v>
      </c>
      <c r="L249" s="696">
        <v>8878.7946988252606</v>
      </c>
      <c r="M249" s="696">
        <v>8276.5693524840899</v>
      </c>
      <c r="N249" s="696">
        <v>7783.8711535172397</v>
      </c>
      <c r="O249" s="235">
        <f t="shared" si="6"/>
        <v>9879.1478689204014</v>
      </c>
      <c r="P249" s="696">
        <v>7643.5294905201999</v>
      </c>
      <c r="Q249" s="696">
        <v>5139.7978714422497</v>
      </c>
      <c r="R249" s="696">
        <v>4622.7108666876002</v>
      </c>
      <c r="S249" s="696">
        <v>5122.3752980722602</v>
      </c>
      <c r="T249" s="696">
        <v>6196.19113022086</v>
      </c>
      <c r="U249" s="696">
        <v>6300.2920005877304</v>
      </c>
      <c r="V249" s="696">
        <v>6086.3769370735799</v>
      </c>
      <c r="W249" s="696">
        <v>5432.9490154703999</v>
      </c>
      <c r="X249" s="696">
        <v>5546.6393077454204</v>
      </c>
      <c r="Y249" s="696">
        <v>4847.72794575842</v>
      </c>
      <c r="Z249" s="696">
        <v>4325.5623820442497</v>
      </c>
      <c r="AA249" s="696">
        <v>4229.0698415936204</v>
      </c>
      <c r="AB249" s="696">
        <v>4478.2526433748799</v>
      </c>
      <c r="AC249" s="696">
        <v>5398.8218202671496</v>
      </c>
      <c r="AD249" s="696">
        <v>6502.8462350787904</v>
      </c>
      <c r="AE249" s="696">
        <v>5906.9589469326702</v>
      </c>
      <c r="AF249" s="697">
        <f t="shared" si="7"/>
        <v>5413.389500324618</v>
      </c>
    </row>
    <row r="250" spans="1:32">
      <c r="A250" s="572" t="s">
        <v>1970</v>
      </c>
      <c r="B250" s="696">
        <v>34131.728000000003</v>
      </c>
      <c r="C250" s="696">
        <v>34210.525999999998</v>
      </c>
      <c r="D250" s="696">
        <v>34210.525999999998</v>
      </c>
      <c r="E250" s="696">
        <v>34210.525999999998</v>
      </c>
      <c r="F250" s="696">
        <v>33832.726999999999</v>
      </c>
      <c r="G250" s="696">
        <v>33832.726999999999</v>
      </c>
      <c r="H250" s="696">
        <v>33834.514000000003</v>
      </c>
      <c r="I250" s="696">
        <v>33835.4073333333</v>
      </c>
      <c r="J250" s="696">
        <v>33836.300666666597</v>
      </c>
      <c r="K250" s="696">
        <v>33837.194000000003</v>
      </c>
      <c r="L250" s="696">
        <v>33838.0873333333</v>
      </c>
      <c r="M250" s="696">
        <v>33872.1196666666</v>
      </c>
      <c r="N250" s="696">
        <v>33906.152000000002</v>
      </c>
      <c r="O250" s="235">
        <f t="shared" si="6"/>
        <v>33952.964230769212</v>
      </c>
      <c r="P250" s="696">
        <v>33940.184333333302</v>
      </c>
      <c r="Q250" s="696">
        <v>33974.216666666602</v>
      </c>
      <c r="R250" s="696">
        <v>34008.249000000003</v>
      </c>
      <c r="S250" s="696">
        <v>34042.281333333303</v>
      </c>
      <c r="T250" s="696">
        <v>34076.313666666603</v>
      </c>
      <c r="U250" s="696">
        <v>34110.345999999998</v>
      </c>
      <c r="V250" s="696">
        <v>34144.378333333298</v>
      </c>
      <c r="W250" s="696">
        <v>34178.410666666699</v>
      </c>
      <c r="X250" s="696">
        <v>34212.442999999999</v>
      </c>
      <c r="Y250" s="696">
        <v>34246.475333333299</v>
      </c>
      <c r="Z250" s="696">
        <v>34280.507666666701</v>
      </c>
      <c r="AA250" s="696">
        <v>34314.54</v>
      </c>
      <c r="AB250" s="696">
        <v>34348.572333333301</v>
      </c>
      <c r="AC250" s="696">
        <v>34382.604666666703</v>
      </c>
      <c r="AD250" s="696">
        <v>34416.637000000002</v>
      </c>
      <c r="AE250" s="696">
        <v>34450.669333333302</v>
      </c>
      <c r="AF250" s="697">
        <f t="shared" si="7"/>
        <v>34246.475333333321</v>
      </c>
    </row>
    <row r="251" spans="1:32" ht="15.75" thickBot="1">
      <c r="A251" s="572" t="s">
        <v>1971</v>
      </c>
      <c r="B251" s="701">
        <v>657678.43686999998</v>
      </c>
      <c r="C251" s="701">
        <v>652298.34598999994</v>
      </c>
      <c r="D251" s="701">
        <v>652298.34598999994</v>
      </c>
      <c r="E251" s="701">
        <v>652298.34598999994</v>
      </c>
      <c r="F251" s="701">
        <v>646334.32839000004</v>
      </c>
      <c r="G251" s="701">
        <v>646334.32839000004</v>
      </c>
      <c r="H251" s="701">
        <v>646546.11233000003</v>
      </c>
      <c r="I251" s="701">
        <v>641384.31232999999</v>
      </c>
      <c r="J251" s="701">
        <v>641384.31232999999</v>
      </c>
      <c r="K251" s="701">
        <v>641384.31232999999</v>
      </c>
      <c r="L251" s="701">
        <v>636222.51232999901</v>
      </c>
      <c r="M251" s="701">
        <v>636222.51232999901</v>
      </c>
      <c r="N251" s="701">
        <v>636222.51232999901</v>
      </c>
      <c r="O251" s="235">
        <f t="shared" si="6"/>
        <v>645123.74753307679</v>
      </c>
      <c r="P251" s="701">
        <v>630602.39532999997</v>
      </c>
      <c r="Q251" s="701">
        <v>630602.39532999997</v>
      </c>
      <c r="R251" s="701">
        <v>630602.39532999997</v>
      </c>
      <c r="S251" s="701">
        <v>624982.27833</v>
      </c>
      <c r="T251" s="701">
        <v>624982.27833</v>
      </c>
      <c r="U251" s="701">
        <v>624982.27833</v>
      </c>
      <c r="V251" s="701">
        <v>615352.24632999999</v>
      </c>
      <c r="W251" s="701">
        <v>615352.24632999999</v>
      </c>
      <c r="X251" s="701">
        <v>615352.24632999999</v>
      </c>
      <c r="Y251" s="701">
        <v>605722.21432999999</v>
      </c>
      <c r="Z251" s="701">
        <v>605722.21432999999</v>
      </c>
      <c r="AA251" s="701">
        <v>605722.21432999999</v>
      </c>
      <c r="AB251" s="701">
        <v>595497.01633000001</v>
      </c>
      <c r="AC251" s="701">
        <v>595497.01633000001</v>
      </c>
      <c r="AD251" s="701">
        <v>595497.01633000001</v>
      </c>
      <c r="AE251" s="701">
        <v>585271.81833000004</v>
      </c>
      <c r="AF251" s="697">
        <f t="shared" si="7"/>
        <v>608456.39109923074</v>
      </c>
    </row>
    <row r="252" spans="1:32">
      <c r="A252" s="572" t="s">
        <v>1966</v>
      </c>
      <c r="B252" s="696">
        <v>744623.29200999998</v>
      </c>
      <c r="C252" s="696">
        <v>738291.75110999995</v>
      </c>
      <c r="D252" s="696">
        <v>734131.68592999899</v>
      </c>
      <c r="E252" s="696">
        <v>731880.30045999901</v>
      </c>
      <c r="F252" s="696">
        <v>725904.12251000002</v>
      </c>
      <c r="G252" s="696">
        <v>730124.58524000004</v>
      </c>
      <c r="H252" s="696">
        <v>730393.22840000002</v>
      </c>
      <c r="I252" s="696">
        <v>721591.22717265005</v>
      </c>
      <c r="J252" s="696">
        <v>719648.81250915001</v>
      </c>
      <c r="K252" s="696">
        <v>720873.30949933804</v>
      </c>
      <c r="L252" s="696">
        <v>714100.24910215801</v>
      </c>
      <c r="M252" s="696">
        <v>713144.24472914997</v>
      </c>
      <c r="N252" s="696">
        <v>712325.83695351705</v>
      </c>
      <c r="O252" s="235">
        <f t="shared" si="6"/>
        <v>725925.58812507417</v>
      </c>
      <c r="P252" s="696">
        <v>706250.740173853</v>
      </c>
      <c r="Q252" s="696">
        <v>703454.58990727505</v>
      </c>
      <c r="R252" s="696">
        <v>702658.55472501996</v>
      </c>
      <c r="S252" s="696">
        <v>696903.72754890495</v>
      </c>
      <c r="T252" s="696">
        <v>698625.39941753796</v>
      </c>
      <c r="U252" s="696">
        <v>698950.176344231</v>
      </c>
      <c r="V252" s="696">
        <v>688950.88231536897</v>
      </c>
      <c r="W252" s="696">
        <v>688076.51628860505</v>
      </c>
      <c r="X252" s="696">
        <v>687971.42965858104</v>
      </c>
      <c r="Y252" s="696">
        <v>677410.17091159895</v>
      </c>
      <c r="Z252" s="696">
        <v>676647.60014468501</v>
      </c>
      <c r="AA252" s="696">
        <v>676336.32383905596</v>
      </c>
      <c r="AB252" s="696">
        <v>666138.41035834898</v>
      </c>
      <c r="AC252" s="696">
        <v>666874.955496034</v>
      </c>
      <c r="AD252" s="696">
        <v>667783.69494147098</v>
      </c>
      <c r="AE252" s="696">
        <v>656765.41140026599</v>
      </c>
      <c r="AF252" s="697">
        <f t="shared" si="7"/>
        <v>680571.89989728376</v>
      </c>
    </row>
    <row r="253" spans="1:32">
      <c r="A253" s="572"/>
      <c r="B253" s="698"/>
      <c r="C253" s="698"/>
      <c r="D253" s="698"/>
      <c r="E253" s="698"/>
      <c r="F253" s="698"/>
      <c r="G253" s="698"/>
      <c r="H253" s="698"/>
      <c r="I253" s="698"/>
      <c r="J253" s="698"/>
      <c r="K253" s="698"/>
      <c r="L253" s="698"/>
      <c r="M253" s="698"/>
      <c r="N253" s="698"/>
      <c r="O253" s="235">
        <f t="shared" si="6"/>
        <v>0</v>
      </c>
      <c r="P253" s="698"/>
      <c r="Q253" s="698"/>
      <c r="R253" s="698"/>
      <c r="S253" s="698"/>
      <c r="T253" s="698"/>
      <c r="U253" s="698"/>
      <c r="V253" s="698"/>
      <c r="W253" s="698"/>
      <c r="X253" s="698"/>
      <c r="Y253" s="698"/>
      <c r="Z253" s="698"/>
      <c r="AA253" s="698"/>
      <c r="AB253" s="698"/>
      <c r="AC253" s="698"/>
      <c r="AD253" s="698"/>
      <c r="AE253" s="698"/>
      <c r="AF253" s="697">
        <f t="shared" si="7"/>
        <v>0</v>
      </c>
    </row>
    <row r="254" spans="1:32">
      <c r="A254" s="572" t="s">
        <v>1972</v>
      </c>
      <c r="B254" s="698"/>
      <c r="C254" s="698"/>
      <c r="D254" s="698"/>
      <c r="E254" s="698"/>
      <c r="F254" s="698"/>
      <c r="G254" s="698"/>
      <c r="H254" s="698"/>
      <c r="I254" s="698"/>
      <c r="J254" s="698"/>
      <c r="K254" s="698"/>
      <c r="L254" s="698"/>
      <c r="M254" s="698"/>
      <c r="N254" s="698"/>
      <c r="O254" s="235">
        <f t="shared" si="6"/>
        <v>0</v>
      </c>
      <c r="P254" s="698"/>
      <c r="Q254" s="698"/>
      <c r="R254" s="698"/>
      <c r="S254" s="698"/>
      <c r="T254" s="698"/>
      <c r="U254" s="698"/>
      <c r="V254" s="698"/>
      <c r="W254" s="698"/>
      <c r="X254" s="698"/>
      <c r="Y254" s="698"/>
      <c r="Z254" s="698"/>
      <c r="AA254" s="698"/>
      <c r="AB254" s="698"/>
      <c r="AC254" s="698"/>
      <c r="AD254" s="698"/>
      <c r="AE254" s="698"/>
      <c r="AF254" s="697">
        <f t="shared" si="7"/>
        <v>0</v>
      </c>
    </row>
    <row r="255" spans="1:32">
      <c r="A255" s="572" t="s">
        <v>1973</v>
      </c>
      <c r="B255" s="696">
        <v>586.29231000000004</v>
      </c>
      <c r="C255" s="696">
        <v>544.43080999999995</v>
      </c>
      <c r="D255" s="696">
        <v>580.16904999999997</v>
      </c>
      <c r="E255" s="696">
        <v>579.18778999999995</v>
      </c>
      <c r="F255" s="696">
        <v>563.58662000000004</v>
      </c>
      <c r="G255" s="696">
        <v>601.08614999999998</v>
      </c>
      <c r="H255" s="696">
        <v>601.00647000000004</v>
      </c>
      <c r="I255" s="696">
        <v>601.00647000000004</v>
      </c>
      <c r="J255" s="696">
        <v>601.00647000000004</v>
      </c>
      <c r="K255" s="696">
        <v>601.00647000000004</v>
      </c>
      <c r="L255" s="696">
        <v>601.00647000000004</v>
      </c>
      <c r="M255" s="696">
        <v>601.00647000000004</v>
      </c>
      <c r="N255" s="696">
        <v>601.00647000000004</v>
      </c>
      <c r="O255" s="235">
        <f t="shared" si="6"/>
        <v>589.36907846153861</v>
      </c>
      <c r="P255" s="696">
        <v>601.00647000000004</v>
      </c>
      <c r="Q255" s="696">
        <v>601.00647000000004</v>
      </c>
      <c r="R255" s="696">
        <v>601.00647000000004</v>
      </c>
      <c r="S255" s="696">
        <v>601.00647000000004</v>
      </c>
      <c r="T255" s="696">
        <v>601.00647000000004</v>
      </c>
      <c r="U255" s="696">
        <v>601.00647000000004</v>
      </c>
      <c r="V255" s="696">
        <v>601.00647000000004</v>
      </c>
      <c r="W255" s="696">
        <v>601.00647000000004</v>
      </c>
      <c r="X255" s="696">
        <v>601.00647000000004</v>
      </c>
      <c r="Y255" s="696">
        <v>601.00647000000004</v>
      </c>
      <c r="Z255" s="696">
        <v>601.00647000000004</v>
      </c>
      <c r="AA255" s="696">
        <v>601.00647000000004</v>
      </c>
      <c r="AB255" s="696">
        <v>601.00647000000004</v>
      </c>
      <c r="AC255" s="696">
        <v>601.00647000000004</v>
      </c>
      <c r="AD255" s="696">
        <v>601.00647000000004</v>
      </c>
      <c r="AE255" s="696">
        <v>601.00647000000004</v>
      </c>
      <c r="AF255" s="697">
        <f t="shared" si="7"/>
        <v>601.00647000000015</v>
      </c>
    </row>
    <row r="256" spans="1:32" ht="15.75" thickBot="1">
      <c r="A256" s="572" t="s">
        <v>1974</v>
      </c>
      <c r="B256" s="701">
        <v>3918.4825700000001</v>
      </c>
      <c r="C256" s="701">
        <v>3623.6076800000001</v>
      </c>
      <c r="D256" s="701">
        <v>3288.51442</v>
      </c>
      <c r="E256" s="701">
        <v>2622.2750799999999</v>
      </c>
      <c r="F256" s="701">
        <v>2215.2266199999999</v>
      </c>
      <c r="G256" s="701">
        <v>1661.04664</v>
      </c>
      <c r="H256" s="701">
        <v>1118.76512</v>
      </c>
      <c r="I256" s="701">
        <v>1118.76512</v>
      </c>
      <c r="J256" s="701">
        <v>1118.76512</v>
      </c>
      <c r="K256" s="701">
        <v>1118.76512</v>
      </c>
      <c r="L256" s="701">
        <v>1118.76512</v>
      </c>
      <c r="M256" s="701">
        <v>1118.76512</v>
      </c>
      <c r="N256" s="701">
        <v>1118.76512</v>
      </c>
      <c r="O256" s="235">
        <f t="shared" si="6"/>
        <v>1935.4237576923076</v>
      </c>
      <c r="P256" s="701">
        <v>1118.76512</v>
      </c>
      <c r="Q256" s="701">
        <v>1118.76512</v>
      </c>
      <c r="R256" s="701">
        <v>1118.76512</v>
      </c>
      <c r="S256" s="701">
        <v>1118.76512</v>
      </c>
      <c r="T256" s="701">
        <v>1118.76512</v>
      </c>
      <c r="U256" s="701">
        <v>1118.76512</v>
      </c>
      <c r="V256" s="701">
        <v>1118.76512</v>
      </c>
      <c r="W256" s="701">
        <v>1118.76512</v>
      </c>
      <c r="X256" s="701">
        <v>1118.76512</v>
      </c>
      <c r="Y256" s="701">
        <v>1118.76512</v>
      </c>
      <c r="Z256" s="701">
        <v>1118.76512</v>
      </c>
      <c r="AA256" s="701">
        <v>1118.76512</v>
      </c>
      <c r="AB256" s="701">
        <v>1118.76512</v>
      </c>
      <c r="AC256" s="701">
        <v>1118.76512</v>
      </c>
      <c r="AD256" s="701">
        <v>1118.76512</v>
      </c>
      <c r="AE256" s="701">
        <v>1118.76512</v>
      </c>
      <c r="AF256" s="697">
        <f t="shared" si="7"/>
        <v>1118.76512</v>
      </c>
    </row>
    <row r="257" spans="1:33">
      <c r="A257" s="572" t="s">
        <v>1972</v>
      </c>
      <c r="B257" s="696">
        <v>4504.7748799999999</v>
      </c>
      <c r="C257" s="696">
        <v>4168.0384899999999</v>
      </c>
      <c r="D257" s="696">
        <v>3868.6834699999999</v>
      </c>
      <c r="E257" s="696">
        <v>3201.4628699999998</v>
      </c>
      <c r="F257" s="696">
        <v>2778.81324</v>
      </c>
      <c r="G257" s="696">
        <v>2262.1327900000001</v>
      </c>
      <c r="H257" s="696">
        <v>1719.7715900000001</v>
      </c>
      <c r="I257" s="696">
        <v>1719.7715900000001</v>
      </c>
      <c r="J257" s="696">
        <v>1719.7715900000001</v>
      </c>
      <c r="K257" s="696">
        <v>1719.7715900000001</v>
      </c>
      <c r="L257" s="696">
        <v>1719.7715900000001</v>
      </c>
      <c r="M257" s="696">
        <v>1719.7715900000001</v>
      </c>
      <c r="N257" s="696">
        <v>1719.7715900000001</v>
      </c>
      <c r="O257" s="235">
        <f t="shared" si="6"/>
        <v>2524.7928361538461</v>
      </c>
      <c r="P257" s="696">
        <v>1719.7715900000001</v>
      </c>
      <c r="Q257" s="696">
        <v>1719.7715900000001</v>
      </c>
      <c r="R257" s="696">
        <v>1719.7715900000001</v>
      </c>
      <c r="S257" s="696">
        <v>1719.7715900000001</v>
      </c>
      <c r="T257" s="696">
        <v>1719.7715900000001</v>
      </c>
      <c r="U257" s="696">
        <v>1719.7715900000001</v>
      </c>
      <c r="V257" s="696">
        <v>1719.7715900000001</v>
      </c>
      <c r="W257" s="696">
        <v>1719.7715900000001</v>
      </c>
      <c r="X257" s="696">
        <v>1719.7715900000001</v>
      </c>
      <c r="Y257" s="696">
        <v>1719.7715900000001</v>
      </c>
      <c r="Z257" s="696">
        <v>1719.7715900000001</v>
      </c>
      <c r="AA257" s="696">
        <v>1719.7715900000001</v>
      </c>
      <c r="AB257" s="696">
        <v>1719.7715900000001</v>
      </c>
      <c r="AC257" s="696">
        <v>1719.7715900000001</v>
      </c>
      <c r="AD257" s="696">
        <v>1719.7715900000001</v>
      </c>
      <c r="AE257" s="696">
        <v>1719.7715900000001</v>
      </c>
      <c r="AF257" s="697">
        <f t="shared" si="7"/>
        <v>1719.7715900000001</v>
      </c>
    </row>
    <row r="258" spans="1:33">
      <c r="A258" s="572" t="s">
        <v>1975</v>
      </c>
      <c r="B258" s="698"/>
      <c r="C258" s="698"/>
      <c r="D258" s="698"/>
      <c r="E258" s="698"/>
      <c r="F258" s="698"/>
      <c r="G258" s="698"/>
      <c r="H258" s="698"/>
      <c r="I258" s="698"/>
      <c r="J258" s="698"/>
      <c r="K258" s="698"/>
      <c r="L258" s="698"/>
      <c r="M258" s="698"/>
      <c r="N258" s="698"/>
      <c r="O258" s="235">
        <f t="shared" si="6"/>
        <v>0</v>
      </c>
      <c r="P258" s="698"/>
      <c r="Q258" s="698"/>
      <c r="R258" s="698"/>
      <c r="S258" s="698"/>
      <c r="T258" s="698"/>
      <c r="U258" s="698"/>
      <c r="V258" s="698"/>
      <c r="W258" s="698"/>
      <c r="X258" s="698"/>
      <c r="Y258" s="698"/>
      <c r="Z258" s="698"/>
      <c r="AA258" s="698"/>
      <c r="AB258" s="698"/>
      <c r="AC258" s="698"/>
      <c r="AD258" s="698"/>
      <c r="AE258" s="698"/>
      <c r="AF258" s="697">
        <f t="shared" si="7"/>
        <v>0</v>
      </c>
    </row>
    <row r="259" spans="1:33">
      <c r="A259" s="572" t="s">
        <v>1976</v>
      </c>
      <c r="B259" s="698"/>
      <c r="C259" s="698"/>
      <c r="D259" s="698"/>
      <c r="E259" s="698"/>
      <c r="F259" s="698"/>
      <c r="G259" s="698"/>
      <c r="H259" s="698"/>
      <c r="I259" s="698"/>
      <c r="J259" s="698"/>
      <c r="K259" s="698"/>
      <c r="L259" s="698"/>
      <c r="M259" s="698"/>
      <c r="N259" s="698"/>
      <c r="O259" s="235">
        <f t="shared" si="6"/>
        <v>0</v>
      </c>
      <c r="P259" s="698"/>
      <c r="Q259" s="698"/>
      <c r="R259" s="698"/>
      <c r="S259" s="698"/>
      <c r="T259" s="698"/>
      <c r="U259" s="698"/>
      <c r="V259" s="698"/>
      <c r="W259" s="698"/>
      <c r="X259" s="698"/>
      <c r="Y259" s="698"/>
      <c r="Z259" s="698"/>
      <c r="AA259" s="698"/>
      <c r="AB259" s="698"/>
      <c r="AC259" s="698"/>
      <c r="AD259" s="698"/>
      <c r="AE259" s="698"/>
      <c r="AF259" s="697">
        <f t="shared" si="7"/>
        <v>0</v>
      </c>
    </row>
    <row r="260" spans="1:33">
      <c r="A260" s="572" t="s">
        <v>1977</v>
      </c>
      <c r="B260" s="696">
        <v>91218.124769999995</v>
      </c>
      <c r="C260" s="696">
        <v>108440.12092</v>
      </c>
      <c r="D260" s="696">
        <v>106041.3587</v>
      </c>
      <c r="E260" s="696">
        <v>102750.67843</v>
      </c>
      <c r="F260" s="696">
        <v>115046.11782</v>
      </c>
      <c r="G260" s="696">
        <v>111666.00409</v>
      </c>
      <c r="H260" s="696">
        <v>102194.953809999</v>
      </c>
      <c r="I260" s="696">
        <v>94547.892399999997</v>
      </c>
      <c r="J260" s="696">
        <v>88910.115139999994</v>
      </c>
      <c r="K260" s="696">
        <v>85412.786099999998</v>
      </c>
      <c r="L260" s="696">
        <v>81996.929340000002</v>
      </c>
      <c r="M260" s="696">
        <v>80293.679579999996</v>
      </c>
      <c r="N260" s="696">
        <v>79101.272459999993</v>
      </c>
      <c r="O260" s="235">
        <f t="shared" si="6"/>
        <v>95970.771812307619</v>
      </c>
      <c r="P260" s="696">
        <v>76582.914939999901</v>
      </c>
      <c r="Q260" s="696">
        <v>73168.707339999994</v>
      </c>
      <c r="R260" s="696">
        <v>68725.323259999903</v>
      </c>
      <c r="S260" s="696">
        <v>63274.809719999903</v>
      </c>
      <c r="T260" s="696">
        <v>58494.173809999898</v>
      </c>
      <c r="U260" s="696">
        <v>54259.42254</v>
      </c>
      <c r="V260" s="696">
        <v>51797.8030499999</v>
      </c>
      <c r="W260" s="696">
        <v>50134.122399999898</v>
      </c>
      <c r="X260" s="696">
        <v>49209.947719999902</v>
      </c>
      <c r="Y260" s="696">
        <v>48173.142279999898</v>
      </c>
      <c r="Z260" s="696">
        <v>47346.2791499999</v>
      </c>
      <c r="AA260" s="696">
        <v>46609.754729999899</v>
      </c>
      <c r="AB260" s="696">
        <v>45818.774109999998</v>
      </c>
      <c r="AC260" s="696">
        <v>44772.102449999998</v>
      </c>
      <c r="AD260" s="696">
        <v>43286.7448699999</v>
      </c>
      <c r="AE260" s="696">
        <v>41513.746550000003</v>
      </c>
      <c r="AF260" s="697">
        <f t="shared" si="7"/>
        <v>49591.601798461474</v>
      </c>
    </row>
    <row r="261" spans="1:33" ht="15.75" thickBot="1">
      <c r="A261" s="572" t="s">
        <v>1978</v>
      </c>
      <c r="B261" s="701">
        <v>45499.282429999999</v>
      </c>
      <c r="C261" s="701">
        <v>42493.649189999996</v>
      </c>
      <c r="D261" s="701">
        <v>42493.649189999996</v>
      </c>
      <c r="E261" s="701">
        <v>42493.649189999996</v>
      </c>
      <c r="F261" s="701">
        <v>35753.13248</v>
      </c>
      <c r="G261" s="701">
        <v>35753.13248</v>
      </c>
      <c r="H261" s="701">
        <v>35753.13248</v>
      </c>
      <c r="I261" s="701">
        <v>35753.13248</v>
      </c>
      <c r="J261" s="701">
        <v>35753.13248</v>
      </c>
      <c r="K261" s="701">
        <v>35753.13248</v>
      </c>
      <c r="L261" s="701">
        <v>35753.13248</v>
      </c>
      <c r="M261" s="701">
        <v>35753.13248</v>
      </c>
      <c r="N261" s="701">
        <v>35753.13248</v>
      </c>
      <c r="O261" s="235">
        <f t="shared" si="6"/>
        <v>38058.340178461549</v>
      </c>
      <c r="P261" s="701">
        <v>35753.13248</v>
      </c>
      <c r="Q261" s="701">
        <v>35753.13248</v>
      </c>
      <c r="R261" s="701">
        <v>35753.13248</v>
      </c>
      <c r="S261" s="701">
        <v>35753.13248</v>
      </c>
      <c r="T261" s="701">
        <v>35753.13248</v>
      </c>
      <c r="U261" s="701">
        <v>35753.13248</v>
      </c>
      <c r="V261" s="701">
        <v>35753.13248</v>
      </c>
      <c r="W261" s="701">
        <v>35753.13248</v>
      </c>
      <c r="X261" s="701">
        <v>35753.13248</v>
      </c>
      <c r="Y261" s="701">
        <v>35753.13248</v>
      </c>
      <c r="Z261" s="701">
        <v>35753.13248</v>
      </c>
      <c r="AA261" s="701">
        <v>35753.13248</v>
      </c>
      <c r="AB261" s="701">
        <v>35753.13248</v>
      </c>
      <c r="AC261" s="701">
        <v>35753.13248</v>
      </c>
      <c r="AD261" s="701">
        <v>35753.13248</v>
      </c>
      <c r="AE261" s="701">
        <v>35753.13248</v>
      </c>
      <c r="AF261" s="697">
        <f t="shared" si="7"/>
        <v>35753.132480000015</v>
      </c>
    </row>
    <row r="262" spans="1:33">
      <c r="A262" s="572" t="s">
        <v>1976</v>
      </c>
      <c r="B262" s="696">
        <v>136717.40719999999</v>
      </c>
      <c r="C262" s="696">
        <v>150933.77010999899</v>
      </c>
      <c r="D262" s="696">
        <v>148535.00789000001</v>
      </c>
      <c r="E262" s="696">
        <v>145244.32762</v>
      </c>
      <c r="F262" s="696">
        <v>150799.25030000001</v>
      </c>
      <c r="G262" s="696">
        <v>147419.13657</v>
      </c>
      <c r="H262" s="696">
        <v>137948.08629000001</v>
      </c>
      <c r="I262" s="696">
        <v>130301.02488</v>
      </c>
      <c r="J262" s="696">
        <v>124663.24761999999</v>
      </c>
      <c r="K262" s="696">
        <v>121165.91858</v>
      </c>
      <c r="L262" s="696">
        <v>117750.06182</v>
      </c>
      <c r="M262" s="696">
        <v>116046.81206</v>
      </c>
      <c r="N262" s="696">
        <v>114854.40493999999</v>
      </c>
      <c r="O262" s="235">
        <f t="shared" si="6"/>
        <v>134029.11199076916</v>
      </c>
      <c r="P262" s="696">
        <v>112336.047419999</v>
      </c>
      <c r="Q262" s="696">
        <v>108921.83981999999</v>
      </c>
      <c r="R262" s="696">
        <v>104478.455739999</v>
      </c>
      <c r="S262" s="696">
        <v>99027.942199999903</v>
      </c>
      <c r="T262" s="696">
        <v>94247.306289999906</v>
      </c>
      <c r="U262" s="696">
        <v>90012.55502</v>
      </c>
      <c r="V262" s="696">
        <v>87550.935529999901</v>
      </c>
      <c r="W262" s="696">
        <v>85887.254879999906</v>
      </c>
      <c r="X262" s="696">
        <v>84963.080199999895</v>
      </c>
      <c r="Y262" s="696">
        <v>83926.274759999898</v>
      </c>
      <c r="Z262" s="696">
        <v>83099.4116299999</v>
      </c>
      <c r="AA262" s="696">
        <v>82362.887209999899</v>
      </c>
      <c r="AB262" s="696">
        <v>81571.906589999999</v>
      </c>
      <c r="AC262" s="696">
        <v>80525.234930000006</v>
      </c>
      <c r="AD262" s="696">
        <v>79039.877349999995</v>
      </c>
      <c r="AE262" s="696">
        <v>77266.879029999996</v>
      </c>
      <c r="AF262" s="697">
        <f t="shared" si="7"/>
        <v>85344.734278461459</v>
      </c>
    </row>
    <row r="263" spans="1:33">
      <c r="A263" s="572"/>
      <c r="B263" s="698"/>
      <c r="C263" s="698"/>
      <c r="D263" s="698"/>
      <c r="E263" s="698"/>
      <c r="F263" s="698"/>
      <c r="G263" s="698"/>
      <c r="H263" s="698"/>
      <c r="I263" s="698"/>
      <c r="J263" s="698"/>
      <c r="K263" s="698"/>
      <c r="L263" s="698"/>
      <c r="M263" s="698"/>
      <c r="N263" s="698"/>
      <c r="O263" s="235">
        <f t="shared" si="6"/>
        <v>0</v>
      </c>
      <c r="P263" s="698"/>
      <c r="Q263" s="698"/>
      <c r="R263" s="698"/>
      <c r="S263" s="698"/>
      <c r="T263" s="698"/>
      <c r="U263" s="698"/>
      <c r="V263" s="698"/>
      <c r="W263" s="698"/>
      <c r="X263" s="698"/>
      <c r="Y263" s="698"/>
      <c r="Z263" s="698"/>
      <c r="AA263" s="698"/>
      <c r="AB263" s="698"/>
      <c r="AC263" s="698"/>
      <c r="AD263" s="698"/>
      <c r="AE263" s="698"/>
      <c r="AF263" s="697">
        <f t="shared" si="7"/>
        <v>0</v>
      </c>
    </row>
    <row r="264" spans="1:33">
      <c r="A264" s="572" t="s">
        <v>1979</v>
      </c>
      <c r="B264" s="698"/>
      <c r="C264" s="698"/>
      <c r="D264" s="698"/>
      <c r="E264" s="698"/>
      <c r="F264" s="698"/>
      <c r="G264" s="698"/>
      <c r="H264" s="698"/>
      <c r="I264" s="698"/>
      <c r="J264" s="698"/>
      <c r="K264" s="698"/>
      <c r="L264" s="698"/>
      <c r="M264" s="698"/>
      <c r="N264" s="698"/>
      <c r="O264" s="235">
        <f t="shared" si="6"/>
        <v>0</v>
      </c>
      <c r="P264" s="698"/>
      <c r="Q264" s="698"/>
      <c r="R264" s="698"/>
      <c r="S264" s="698"/>
      <c r="T264" s="698"/>
      <c r="U264" s="698"/>
      <c r="V264" s="698"/>
      <c r="W264" s="698"/>
      <c r="X264" s="698"/>
      <c r="Y264" s="698"/>
      <c r="Z264" s="698"/>
      <c r="AA264" s="698"/>
      <c r="AB264" s="698"/>
      <c r="AC264" s="698"/>
      <c r="AD264" s="698"/>
      <c r="AE264" s="698"/>
      <c r="AF264" s="697">
        <f t="shared" si="7"/>
        <v>0</v>
      </c>
    </row>
    <row r="265" spans="1:33">
      <c r="A265" s="572" t="s">
        <v>1980</v>
      </c>
      <c r="B265" s="696">
        <v>4453.6547099999998</v>
      </c>
      <c r="C265" s="696">
        <v>1596.43238</v>
      </c>
      <c r="D265" s="696">
        <v>2709.4548399999999</v>
      </c>
      <c r="E265" s="696">
        <v>4331.3605199999902</v>
      </c>
      <c r="F265" s="696">
        <v>2188.4473399999902</v>
      </c>
      <c r="G265" s="696">
        <v>2244.8236400000001</v>
      </c>
      <c r="H265" s="696">
        <v>2056.6736999999998</v>
      </c>
      <c r="I265" s="696">
        <v>2056.6736999999998</v>
      </c>
      <c r="J265" s="696">
        <v>2056.6736999999998</v>
      </c>
      <c r="K265" s="696">
        <v>2056.6736999999998</v>
      </c>
      <c r="L265" s="696">
        <v>2056.6736999999998</v>
      </c>
      <c r="M265" s="696">
        <v>2056.6736999999998</v>
      </c>
      <c r="N265" s="696">
        <v>2056.6736999999998</v>
      </c>
      <c r="O265" s="235">
        <f t="shared" si="6"/>
        <v>2455.4530253846137</v>
      </c>
      <c r="P265" s="696">
        <v>2056.6736999999998</v>
      </c>
      <c r="Q265" s="696">
        <v>2056.6736999999998</v>
      </c>
      <c r="R265" s="696">
        <v>2056.6736999999998</v>
      </c>
      <c r="S265" s="696">
        <v>2056.6736999999998</v>
      </c>
      <c r="T265" s="696">
        <v>2056.6736999999998</v>
      </c>
      <c r="U265" s="696">
        <v>2056.6736999999998</v>
      </c>
      <c r="V265" s="696">
        <v>2056.6736999999998</v>
      </c>
      <c r="W265" s="696">
        <v>2056.6736999999998</v>
      </c>
      <c r="X265" s="696">
        <v>2056.6736999999998</v>
      </c>
      <c r="Y265" s="696">
        <v>2056.6736999999998</v>
      </c>
      <c r="Z265" s="696">
        <v>2056.6736999999998</v>
      </c>
      <c r="AA265" s="696">
        <v>2056.6736999999998</v>
      </c>
      <c r="AB265" s="696">
        <v>2056.6736999999998</v>
      </c>
      <c r="AC265" s="696">
        <v>2056.6736999999998</v>
      </c>
      <c r="AD265" s="696">
        <v>2056.6736999999998</v>
      </c>
      <c r="AE265" s="696">
        <v>2056.6736999999998</v>
      </c>
      <c r="AF265" s="697">
        <f t="shared" si="7"/>
        <v>2056.6736999999998</v>
      </c>
    </row>
    <row r="266" spans="1:33" ht="15.75" thickBot="1">
      <c r="A266" s="572" t="s">
        <v>1981</v>
      </c>
      <c r="B266" s="701">
        <v>116.88809999999999</v>
      </c>
      <c r="C266" s="701">
        <v>68.883920000000003</v>
      </c>
      <c r="D266" s="701">
        <v>68.564239999999998</v>
      </c>
      <c r="E266" s="701">
        <v>68.246200000000002</v>
      </c>
      <c r="F266" s="701">
        <v>67.926760000000002</v>
      </c>
      <c r="G266" s="701">
        <v>67.608980000000003</v>
      </c>
      <c r="H266" s="701">
        <v>67.291309999999996</v>
      </c>
      <c r="I266" s="701">
        <v>67.291309999999996</v>
      </c>
      <c r="J266" s="701">
        <v>67.291309999999996</v>
      </c>
      <c r="K266" s="701">
        <v>67.291309999999996</v>
      </c>
      <c r="L266" s="701">
        <v>67.291309999999996</v>
      </c>
      <c r="M266" s="701">
        <v>67.291309999999996</v>
      </c>
      <c r="N266" s="701">
        <v>67.291309999999996</v>
      </c>
      <c r="O266" s="235">
        <f t="shared" si="6"/>
        <v>71.47364384615382</v>
      </c>
      <c r="P266" s="701">
        <v>67.291309999999996</v>
      </c>
      <c r="Q266" s="701">
        <v>67.291309999999996</v>
      </c>
      <c r="R266" s="701">
        <v>67.291309999999996</v>
      </c>
      <c r="S266" s="701">
        <v>67.291309999999996</v>
      </c>
      <c r="T266" s="701">
        <v>67.291309999999996</v>
      </c>
      <c r="U266" s="701">
        <v>67.291309999999996</v>
      </c>
      <c r="V266" s="701">
        <v>67.291309999999996</v>
      </c>
      <c r="W266" s="701">
        <v>67.291309999999996</v>
      </c>
      <c r="X266" s="701">
        <v>67.291309999999996</v>
      </c>
      <c r="Y266" s="701">
        <v>67.291309999999996</v>
      </c>
      <c r="Z266" s="701">
        <v>67.291309999999996</v>
      </c>
      <c r="AA266" s="701">
        <v>67.291309999999996</v>
      </c>
      <c r="AB266" s="701">
        <v>67.291309999999996</v>
      </c>
      <c r="AC266" s="701">
        <v>67.291309999999996</v>
      </c>
      <c r="AD266" s="701">
        <v>67.291309999999996</v>
      </c>
      <c r="AE266" s="701">
        <v>67.291309999999996</v>
      </c>
      <c r="AF266" s="697">
        <f t="shared" si="7"/>
        <v>67.291309999999982</v>
      </c>
    </row>
    <row r="267" spans="1:33">
      <c r="A267" s="572" t="s">
        <v>1979</v>
      </c>
      <c r="B267" s="696">
        <v>4570.5428099999999</v>
      </c>
      <c r="C267" s="696">
        <v>1665.3163</v>
      </c>
      <c r="D267" s="696">
        <v>2778.01908</v>
      </c>
      <c r="E267" s="696">
        <v>4399.6067199999898</v>
      </c>
      <c r="F267" s="696">
        <v>2256.37409999999</v>
      </c>
      <c r="G267" s="696">
        <v>2312.43262</v>
      </c>
      <c r="H267" s="696">
        <v>2123.9650099999999</v>
      </c>
      <c r="I267" s="696">
        <v>2123.9650099999999</v>
      </c>
      <c r="J267" s="696">
        <v>2123.9650099999999</v>
      </c>
      <c r="K267" s="696">
        <v>2123.9650099999999</v>
      </c>
      <c r="L267" s="696">
        <v>2123.9650099999999</v>
      </c>
      <c r="M267" s="696">
        <v>2123.9650099999999</v>
      </c>
      <c r="N267" s="696">
        <v>2123.9650099999999</v>
      </c>
      <c r="O267" s="235">
        <f t="shared" ref="O267:O286" si="8">SUM(B267:N267)/13</f>
        <v>2526.9266692307674</v>
      </c>
      <c r="P267" s="696">
        <v>2123.9650099999999</v>
      </c>
      <c r="Q267" s="696">
        <v>2123.9650099999999</v>
      </c>
      <c r="R267" s="696">
        <v>2123.9650099999999</v>
      </c>
      <c r="S267" s="696">
        <v>2123.9650099999999</v>
      </c>
      <c r="T267" s="696">
        <v>2123.9650099999999</v>
      </c>
      <c r="U267" s="696">
        <v>2123.9650099999999</v>
      </c>
      <c r="V267" s="696">
        <v>2123.9650099999999</v>
      </c>
      <c r="W267" s="696">
        <v>2123.9650099999999</v>
      </c>
      <c r="X267" s="696">
        <v>2123.9650099999999</v>
      </c>
      <c r="Y267" s="696">
        <v>2123.9650099999999</v>
      </c>
      <c r="Z267" s="696">
        <v>2123.9650099999999</v>
      </c>
      <c r="AA267" s="696">
        <v>2123.9650099999999</v>
      </c>
      <c r="AB267" s="696">
        <v>2123.9650099999999</v>
      </c>
      <c r="AC267" s="696">
        <v>2123.9650099999999</v>
      </c>
      <c r="AD267" s="696">
        <v>2123.9650099999999</v>
      </c>
      <c r="AE267" s="696">
        <v>2123.9650099999999</v>
      </c>
      <c r="AF267" s="697">
        <f t="shared" ref="AF267:AF286" si="9">SUM(S267:AE267)/13</f>
        <v>2123.9650099999999</v>
      </c>
    </row>
    <row r="268" spans="1:33">
      <c r="A268" s="572"/>
      <c r="B268" s="698"/>
      <c r="C268" s="698"/>
      <c r="D268" s="698"/>
      <c r="E268" s="698"/>
      <c r="F268" s="698"/>
      <c r="G268" s="698"/>
      <c r="H268" s="698"/>
      <c r="I268" s="698"/>
      <c r="J268" s="698"/>
      <c r="K268" s="698"/>
      <c r="L268" s="698"/>
      <c r="M268" s="698"/>
      <c r="N268" s="698"/>
      <c r="O268" s="235">
        <f t="shared" si="8"/>
        <v>0</v>
      </c>
      <c r="P268" s="698"/>
      <c r="Q268" s="698"/>
      <c r="R268" s="698"/>
      <c r="S268" s="698"/>
      <c r="T268" s="698"/>
      <c r="U268" s="698"/>
      <c r="V268" s="698"/>
      <c r="W268" s="698"/>
      <c r="X268" s="698"/>
      <c r="Y268" s="698"/>
      <c r="Z268" s="698"/>
      <c r="AA268" s="698"/>
      <c r="AB268" s="698"/>
      <c r="AC268" s="698"/>
      <c r="AD268" s="698"/>
      <c r="AE268" s="698"/>
      <c r="AF268" s="697">
        <f t="shared" si="9"/>
        <v>0</v>
      </c>
    </row>
    <row r="269" spans="1:33">
      <c r="A269" s="572" t="s">
        <v>1982</v>
      </c>
      <c r="B269" s="698"/>
      <c r="C269" s="698"/>
      <c r="D269" s="698"/>
      <c r="E269" s="698"/>
      <c r="F269" s="698"/>
      <c r="G269" s="698"/>
      <c r="H269" s="698"/>
      <c r="I269" s="698"/>
      <c r="J269" s="698"/>
      <c r="K269" s="698"/>
      <c r="L269" s="698"/>
      <c r="M269" s="698"/>
      <c r="N269" s="698"/>
      <c r="O269" s="235">
        <f t="shared" si="8"/>
        <v>0</v>
      </c>
      <c r="P269" s="698"/>
      <c r="Q269" s="698"/>
      <c r="R269" s="698"/>
      <c r="S269" s="698"/>
      <c r="T269" s="698"/>
      <c r="U269" s="698"/>
      <c r="V269" s="698"/>
      <c r="W269" s="698"/>
      <c r="X269" s="698"/>
      <c r="Y269" s="698"/>
      <c r="Z269" s="698"/>
      <c r="AA269" s="698"/>
      <c r="AB269" s="698"/>
      <c r="AC269" s="698"/>
      <c r="AD269" s="698"/>
      <c r="AE269" s="698"/>
      <c r="AF269" s="697">
        <f t="shared" si="9"/>
        <v>0</v>
      </c>
    </row>
    <row r="270" spans="1:33">
      <c r="A270" s="572" t="s">
        <v>1983</v>
      </c>
      <c r="B270" s="696">
        <v>715.36135999999999</v>
      </c>
      <c r="C270" s="696">
        <v>712.13940000000002</v>
      </c>
      <c r="D270" s="696">
        <v>712.13940000000002</v>
      </c>
      <c r="E270" s="696">
        <v>712.13940000000002</v>
      </c>
      <c r="F270" s="696">
        <v>661.81732999999997</v>
      </c>
      <c r="G270" s="696">
        <v>661.81732999999997</v>
      </c>
      <c r="H270" s="696">
        <v>629.84533999999996</v>
      </c>
      <c r="I270" s="696">
        <v>629.84533999999996</v>
      </c>
      <c r="J270" s="696">
        <v>629.84533999999996</v>
      </c>
      <c r="K270" s="696">
        <v>629.84533999999996</v>
      </c>
      <c r="L270" s="696">
        <v>629.84533999999996</v>
      </c>
      <c r="M270" s="696">
        <v>629.84533999999996</v>
      </c>
      <c r="N270" s="696">
        <v>629.84533999999996</v>
      </c>
      <c r="O270" s="235">
        <f t="shared" si="8"/>
        <v>660.33319999999992</v>
      </c>
      <c r="P270" s="696">
        <v>629.84533999999996</v>
      </c>
      <c r="Q270" s="696">
        <v>629.84533999999996</v>
      </c>
      <c r="R270" s="696">
        <v>629.84533999999996</v>
      </c>
      <c r="S270" s="696">
        <v>629.84533999999996</v>
      </c>
      <c r="T270" s="696">
        <v>629.84533999999996</v>
      </c>
      <c r="U270" s="696">
        <v>629.84533999999996</v>
      </c>
      <c r="V270" s="696">
        <v>629.84533999999996</v>
      </c>
      <c r="W270" s="696">
        <v>629.84533999999996</v>
      </c>
      <c r="X270" s="696">
        <v>629.84533999999996</v>
      </c>
      <c r="Y270" s="696">
        <v>629.84533999999996</v>
      </c>
      <c r="Z270" s="696">
        <v>629.84533999999996</v>
      </c>
      <c r="AA270" s="696">
        <v>629.84533999999996</v>
      </c>
      <c r="AB270" s="696">
        <v>629.84533999999996</v>
      </c>
      <c r="AC270" s="696">
        <v>629.84533999999996</v>
      </c>
      <c r="AD270" s="696">
        <v>629.84533999999996</v>
      </c>
      <c r="AE270" s="696">
        <v>629.84533999999996</v>
      </c>
      <c r="AF270" s="697">
        <f t="shared" si="9"/>
        <v>629.84533999999996</v>
      </c>
    </row>
    <row r="271" spans="1:33">
      <c r="A271" s="572" t="s">
        <v>1984</v>
      </c>
      <c r="B271" s="696">
        <v>2621.2861899999998</v>
      </c>
      <c r="C271" s="696">
        <v>2467.5969300000002</v>
      </c>
      <c r="D271" s="696">
        <v>2467.5969300000002</v>
      </c>
      <c r="E271" s="696">
        <v>2467.5969300000002</v>
      </c>
      <c r="F271" s="696">
        <v>2480.6855999999998</v>
      </c>
      <c r="G271" s="696">
        <v>2480.6855999999998</v>
      </c>
      <c r="H271" s="696">
        <v>2686.7503900000002</v>
      </c>
      <c r="I271" s="696">
        <v>2686.7503900000002</v>
      </c>
      <c r="J271" s="696">
        <v>2686.7503900000002</v>
      </c>
      <c r="K271" s="696">
        <v>2686.7503900000002</v>
      </c>
      <c r="L271" s="696">
        <v>2686.7503900000002</v>
      </c>
      <c r="M271" s="696">
        <v>2686.7503900000002</v>
      </c>
      <c r="N271" s="696">
        <v>2686.7503900000002</v>
      </c>
      <c r="O271" s="235">
        <f t="shared" si="8"/>
        <v>2599.438531538462</v>
      </c>
      <c r="P271" s="696">
        <v>2686.7503900000002</v>
      </c>
      <c r="Q271" s="696">
        <v>2686.7503900000002</v>
      </c>
      <c r="R271" s="696">
        <v>2686.7503900000002</v>
      </c>
      <c r="S271" s="696">
        <v>2686.7503900000002</v>
      </c>
      <c r="T271" s="696">
        <v>2686.7503900000002</v>
      </c>
      <c r="U271" s="696">
        <v>2686.7503900000002</v>
      </c>
      <c r="V271" s="696">
        <v>2686.7503900000002</v>
      </c>
      <c r="W271" s="696">
        <v>2686.7503900000002</v>
      </c>
      <c r="X271" s="696">
        <v>2686.7503900000002</v>
      </c>
      <c r="Y271" s="696">
        <v>2686.7503900000002</v>
      </c>
      <c r="Z271" s="696">
        <v>2686.7503900000002</v>
      </c>
      <c r="AA271" s="696">
        <v>2686.7503900000002</v>
      </c>
      <c r="AB271" s="696">
        <v>2686.7503900000002</v>
      </c>
      <c r="AC271" s="696">
        <v>2686.7503900000002</v>
      </c>
      <c r="AD271" s="696">
        <v>2686.7503900000002</v>
      </c>
      <c r="AE271" s="696">
        <v>2686.7503900000002</v>
      </c>
      <c r="AF271" s="697">
        <f t="shared" si="9"/>
        <v>2686.7503900000006</v>
      </c>
    </row>
    <row r="272" spans="1:33" ht="15.75" thickBot="1">
      <c r="A272" s="572" t="s">
        <v>2416</v>
      </c>
      <c r="B272" s="701">
        <v>22327.093209999999</v>
      </c>
      <c r="C272" s="701">
        <v>23089.083620000001</v>
      </c>
      <c r="D272" s="701">
        <v>22572.4614899999</v>
      </c>
      <c r="E272" s="701">
        <v>22073.889169999999</v>
      </c>
      <c r="F272" s="701">
        <v>21901.176909999998</v>
      </c>
      <c r="G272" s="701">
        <v>21766.312999999998</v>
      </c>
      <c r="H272" s="701">
        <v>21244.861059999999</v>
      </c>
      <c r="I272" s="701">
        <v>20591.199110000001</v>
      </c>
      <c r="J272" s="701">
        <v>19971.726900000001</v>
      </c>
      <c r="K272" s="701">
        <v>19387.267399999899</v>
      </c>
      <c r="L272" s="701">
        <v>18853.266540000001</v>
      </c>
      <c r="M272" s="701">
        <v>18338.345880000001</v>
      </c>
      <c r="N272" s="701">
        <v>17828.301879999999</v>
      </c>
      <c r="O272" s="235">
        <f t="shared" si="8"/>
        <v>20764.998936153832</v>
      </c>
      <c r="P272" s="701">
        <v>17320.9306</v>
      </c>
      <c r="Q272" s="701">
        <v>16817.30228</v>
      </c>
      <c r="R272" s="701">
        <v>16198.41547</v>
      </c>
      <c r="S272" s="701">
        <v>15682.49841</v>
      </c>
      <c r="T272" s="701">
        <v>15190.502630000001</v>
      </c>
      <c r="U272" s="701">
        <v>14700.79084</v>
      </c>
      <c r="V272" s="701">
        <v>14222.44709</v>
      </c>
      <c r="W272" s="701">
        <v>13766.91366</v>
      </c>
      <c r="X272" s="701">
        <v>13318.75209</v>
      </c>
      <c r="Y272" s="701">
        <v>12877.01037</v>
      </c>
      <c r="Z272" s="701">
        <v>12432.987580000001</v>
      </c>
      <c r="AA272" s="701">
        <v>11990.79392</v>
      </c>
      <c r="AB272" s="701">
        <v>11546.27248</v>
      </c>
      <c r="AC272" s="701">
        <v>11103.426740000001</v>
      </c>
      <c r="AD272" s="701">
        <v>10537.001689999899</v>
      </c>
      <c r="AE272" s="701">
        <v>10076.980389999901</v>
      </c>
      <c r="AF272" s="697">
        <f t="shared" si="9"/>
        <v>12880.49060692306</v>
      </c>
      <c r="AG272" s="697">
        <f>AF272</f>
        <v>12880.49060692306</v>
      </c>
    </row>
    <row r="273" spans="1:32">
      <c r="A273" s="572" t="s">
        <v>1982</v>
      </c>
      <c r="B273" s="696">
        <v>25663.740760000001</v>
      </c>
      <c r="C273" s="696">
        <v>26268.819950000001</v>
      </c>
      <c r="D273" s="696">
        <v>25752.197819999899</v>
      </c>
      <c r="E273" s="696">
        <v>25253.625499999998</v>
      </c>
      <c r="F273" s="696">
        <v>25043.679840000001</v>
      </c>
      <c r="G273" s="696">
        <v>24908.815930000001</v>
      </c>
      <c r="H273" s="696">
        <v>24561.45679</v>
      </c>
      <c r="I273" s="696">
        <v>23907.794839999999</v>
      </c>
      <c r="J273" s="696">
        <v>23288.322629999999</v>
      </c>
      <c r="K273" s="696">
        <v>22703.8631299999</v>
      </c>
      <c r="L273" s="696">
        <v>22169.862270000001</v>
      </c>
      <c r="M273" s="696">
        <v>21654.941610000002</v>
      </c>
      <c r="N273" s="696">
        <v>21144.89761</v>
      </c>
      <c r="O273" s="235">
        <f t="shared" si="8"/>
        <v>24024.77066769229</v>
      </c>
      <c r="P273" s="696">
        <v>20637.526330000001</v>
      </c>
      <c r="Q273" s="696">
        <v>20133.898010000001</v>
      </c>
      <c r="R273" s="696">
        <v>19515.011200000001</v>
      </c>
      <c r="S273" s="696">
        <v>18999.094140000001</v>
      </c>
      <c r="T273" s="696">
        <v>18507.09836</v>
      </c>
      <c r="U273" s="696">
        <v>18017.386569999999</v>
      </c>
      <c r="V273" s="696">
        <v>17539.042819999999</v>
      </c>
      <c r="W273" s="696">
        <v>17083.509389999999</v>
      </c>
      <c r="X273" s="696">
        <v>16635.347819999999</v>
      </c>
      <c r="Y273" s="696">
        <v>16193.606100000001</v>
      </c>
      <c r="Z273" s="696">
        <v>15749.58331</v>
      </c>
      <c r="AA273" s="696">
        <v>15307.389649999999</v>
      </c>
      <c r="AB273" s="696">
        <v>14862.868210000001</v>
      </c>
      <c r="AC273" s="696">
        <v>14420.02247</v>
      </c>
      <c r="AD273" s="696">
        <v>13853.5974199999</v>
      </c>
      <c r="AE273" s="696">
        <v>13393.5761199999</v>
      </c>
      <c r="AF273" s="697">
        <f t="shared" si="9"/>
        <v>16197.086336923061</v>
      </c>
    </row>
    <row r="274" spans="1:32">
      <c r="A274" s="572"/>
      <c r="B274" s="698"/>
      <c r="C274" s="698"/>
      <c r="D274" s="698"/>
      <c r="E274" s="698"/>
      <c r="F274" s="698"/>
      <c r="G274" s="698"/>
      <c r="H274" s="698"/>
      <c r="I274" s="698"/>
      <c r="J274" s="698"/>
      <c r="K274" s="698"/>
      <c r="L274" s="698"/>
      <c r="M274" s="698"/>
      <c r="N274" s="698"/>
      <c r="O274" s="235">
        <f t="shared" si="8"/>
        <v>0</v>
      </c>
      <c r="P274" s="698"/>
      <c r="Q274" s="698"/>
      <c r="R274" s="698"/>
      <c r="S274" s="698"/>
      <c r="T274" s="698"/>
      <c r="U274" s="698"/>
      <c r="V274" s="698"/>
      <c r="W274" s="698"/>
      <c r="X274" s="698"/>
      <c r="Y274" s="698"/>
      <c r="Z274" s="698"/>
      <c r="AA274" s="698"/>
      <c r="AB274" s="698"/>
      <c r="AC274" s="698"/>
      <c r="AD274" s="698"/>
      <c r="AE274" s="698"/>
      <c r="AF274" s="697">
        <f t="shared" si="9"/>
        <v>0</v>
      </c>
    </row>
    <row r="275" spans="1:32">
      <c r="A275" s="572" t="s">
        <v>1985</v>
      </c>
      <c r="O275" s="235">
        <f t="shared" si="8"/>
        <v>0</v>
      </c>
      <c r="AF275" s="697">
        <f t="shared" si="9"/>
        <v>0</v>
      </c>
    </row>
    <row r="276" spans="1:32">
      <c r="A276" s="572"/>
      <c r="B276" s="698"/>
      <c r="C276" s="698"/>
      <c r="D276" s="698"/>
      <c r="E276" s="698"/>
      <c r="F276" s="698"/>
      <c r="G276" s="698"/>
      <c r="H276" s="698"/>
      <c r="I276" s="698"/>
      <c r="J276" s="698"/>
      <c r="K276" s="698"/>
      <c r="L276" s="698"/>
      <c r="M276" s="698"/>
      <c r="N276" s="698"/>
      <c r="O276" s="235">
        <f t="shared" si="8"/>
        <v>0</v>
      </c>
      <c r="P276" s="698"/>
      <c r="Q276" s="698"/>
      <c r="R276" s="698"/>
      <c r="S276" s="698"/>
      <c r="T276" s="698"/>
      <c r="U276" s="698"/>
      <c r="V276" s="698"/>
      <c r="W276" s="698"/>
      <c r="X276" s="698"/>
      <c r="Y276" s="698"/>
      <c r="Z276" s="698"/>
      <c r="AA276" s="698"/>
      <c r="AB276" s="698"/>
      <c r="AC276" s="698"/>
      <c r="AD276" s="698"/>
      <c r="AE276" s="698"/>
      <c r="AF276" s="697">
        <f t="shared" si="9"/>
        <v>0</v>
      </c>
    </row>
    <row r="277" spans="1:32">
      <c r="A277" s="572" t="s">
        <v>1986</v>
      </c>
      <c r="B277" s="698"/>
      <c r="C277" s="698"/>
      <c r="D277" s="698"/>
      <c r="E277" s="698"/>
      <c r="F277" s="698"/>
      <c r="G277" s="698"/>
      <c r="H277" s="698"/>
      <c r="I277" s="698"/>
      <c r="J277" s="698"/>
      <c r="K277" s="698"/>
      <c r="L277" s="698"/>
      <c r="M277" s="698"/>
      <c r="N277" s="698"/>
      <c r="O277" s="235">
        <f t="shared" si="8"/>
        <v>0</v>
      </c>
      <c r="P277" s="698"/>
      <c r="Q277" s="698"/>
      <c r="R277" s="698"/>
      <c r="S277" s="698"/>
      <c r="T277" s="698"/>
      <c r="U277" s="698"/>
      <c r="V277" s="698"/>
      <c r="W277" s="698"/>
      <c r="X277" s="698"/>
      <c r="Y277" s="698"/>
      <c r="Z277" s="698"/>
      <c r="AA277" s="698"/>
      <c r="AB277" s="698"/>
      <c r="AC277" s="698"/>
      <c r="AD277" s="698"/>
      <c r="AE277" s="698"/>
      <c r="AF277" s="697">
        <f t="shared" si="9"/>
        <v>0</v>
      </c>
    </row>
    <row r="278" spans="1:32">
      <c r="A278" s="572" t="s">
        <v>1987</v>
      </c>
      <c r="B278" s="696">
        <v>4664.9209999999903</v>
      </c>
      <c r="C278" s="696">
        <v>4697.6529999999902</v>
      </c>
      <c r="D278" s="696">
        <v>4697.6529999999902</v>
      </c>
      <c r="E278" s="696">
        <v>4697.6529999999902</v>
      </c>
      <c r="F278" s="696">
        <v>4697.6529999999902</v>
      </c>
      <c r="G278" s="696">
        <v>4697.6529999999902</v>
      </c>
      <c r="H278" s="696">
        <v>4697.6529999999902</v>
      </c>
      <c r="I278" s="696">
        <v>4697.6529999999902</v>
      </c>
      <c r="J278" s="696">
        <v>4697.6529999999902</v>
      </c>
      <c r="K278" s="696">
        <v>4697.6529999999902</v>
      </c>
      <c r="L278" s="696">
        <v>4697.6529999999902</v>
      </c>
      <c r="M278" s="696">
        <v>4697.6529999999902</v>
      </c>
      <c r="N278" s="696">
        <v>4697.6529999999902</v>
      </c>
      <c r="O278" s="235">
        <f t="shared" si="8"/>
        <v>4695.1351538461449</v>
      </c>
      <c r="P278" s="696">
        <v>4697.6529999999902</v>
      </c>
      <c r="Q278" s="696">
        <v>4697.6529999999902</v>
      </c>
      <c r="R278" s="696">
        <v>4697.6529999999902</v>
      </c>
      <c r="S278" s="696">
        <v>4697.6529999999902</v>
      </c>
      <c r="T278" s="696">
        <v>4697.6529999999902</v>
      </c>
      <c r="U278" s="696">
        <v>4697.6529999999902</v>
      </c>
      <c r="V278" s="696">
        <v>4697.6529999999902</v>
      </c>
      <c r="W278" s="696">
        <v>4697.6529999999902</v>
      </c>
      <c r="X278" s="696">
        <v>4697.6529999999902</v>
      </c>
      <c r="Y278" s="696">
        <v>4697.6529999999902</v>
      </c>
      <c r="Z278" s="696">
        <v>4697.6529999999902</v>
      </c>
      <c r="AA278" s="696">
        <v>4697.6529999999902</v>
      </c>
      <c r="AB278" s="696">
        <v>4697.6529999999902</v>
      </c>
      <c r="AC278" s="696">
        <v>4697.6529999999902</v>
      </c>
      <c r="AD278" s="696">
        <v>4697.6529999999902</v>
      </c>
      <c r="AE278" s="696">
        <v>4697.6529999999902</v>
      </c>
      <c r="AF278" s="697">
        <f t="shared" si="9"/>
        <v>4697.6529999999902</v>
      </c>
    </row>
    <row r="279" spans="1:32">
      <c r="A279" s="572" t="s">
        <v>1988</v>
      </c>
      <c r="B279" s="696">
        <v>-866.72028</v>
      </c>
      <c r="C279" s="696">
        <v>0</v>
      </c>
      <c r="D279" s="696">
        <v>-2672.5426299999999</v>
      </c>
      <c r="E279" s="696">
        <v>-2610.6132200000002</v>
      </c>
      <c r="F279" s="696">
        <v>0</v>
      </c>
      <c r="G279" s="696">
        <v>-5098.7488400000002</v>
      </c>
      <c r="H279" s="696">
        <v>0</v>
      </c>
      <c r="I279" s="696">
        <v>0</v>
      </c>
      <c r="J279" s="696">
        <v>0</v>
      </c>
      <c r="K279" s="696">
        <v>0</v>
      </c>
      <c r="L279" s="696">
        <v>0</v>
      </c>
      <c r="M279" s="696">
        <v>0</v>
      </c>
      <c r="N279" s="696">
        <v>0</v>
      </c>
      <c r="O279" s="235">
        <f t="shared" si="8"/>
        <v>-865.2788438461539</v>
      </c>
      <c r="P279" s="696">
        <v>0</v>
      </c>
      <c r="Q279" s="696">
        <v>0</v>
      </c>
      <c r="R279" s="696">
        <v>0</v>
      </c>
      <c r="S279" s="696">
        <v>0</v>
      </c>
      <c r="T279" s="696">
        <v>0</v>
      </c>
      <c r="U279" s="696">
        <v>0</v>
      </c>
      <c r="V279" s="696">
        <v>0</v>
      </c>
      <c r="W279" s="696">
        <v>0</v>
      </c>
      <c r="X279" s="696">
        <v>0</v>
      </c>
      <c r="Y279" s="696">
        <v>0</v>
      </c>
      <c r="Z279" s="696">
        <v>0</v>
      </c>
      <c r="AA279" s="696">
        <v>0</v>
      </c>
      <c r="AB279" s="696">
        <v>0</v>
      </c>
      <c r="AC279" s="696">
        <v>0</v>
      </c>
      <c r="AD279" s="696">
        <v>0</v>
      </c>
      <c r="AE279" s="696">
        <v>0</v>
      </c>
      <c r="AF279" s="697">
        <f t="shared" si="9"/>
        <v>0</v>
      </c>
    </row>
    <row r="280" spans="1:32" ht="15.75" thickBot="1">
      <c r="A280" s="572" t="s">
        <v>1989</v>
      </c>
      <c r="B280" s="701">
        <v>15862.05494</v>
      </c>
      <c r="C280" s="701">
        <v>16013.22141</v>
      </c>
      <c r="D280" s="701">
        <v>16328.247079999999</v>
      </c>
      <c r="E280" s="701">
        <v>16328.247079999999</v>
      </c>
      <c r="F280" s="701">
        <v>16566.078879999899</v>
      </c>
      <c r="G280" s="701">
        <v>16163.523810000001</v>
      </c>
      <c r="H280" s="701">
        <v>16130.21854</v>
      </c>
      <c r="I280" s="701">
        <v>16007.254400899799</v>
      </c>
      <c r="J280" s="701">
        <v>16006.412817566399</v>
      </c>
      <c r="K280" s="701">
        <v>16005.571234233101</v>
      </c>
      <c r="L280" s="701">
        <v>15882.6070951329</v>
      </c>
      <c r="M280" s="701">
        <v>15906.265845132901</v>
      </c>
      <c r="N280" s="701">
        <v>15929.924595132899</v>
      </c>
      <c r="O280" s="235">
        <f t="shared" si="8"/>
        <v>16086.894440622915</v>
      </c>
      <c r="P280" s="701">
        <v>15826.0171680523</v>
      </c>
      <c r="Q280" s="701">
        <v>15849.6759180523</v>
      </c>
      <c r="R280" s="701">
        <v>15873.334668052299</v>
      </c>
      <c r="S280" s="701">
        <v>15769.4272409718</v>
      </c>
      <c r="T280" s="701">
        <v>15793.0859909718</v>
      </c>
      <c r="U280" s="701">
        <v>15816.744740971801</v>
      </c>
      <c r="V280" s="701">
        <v>15712.837313891299</v>
      </c>
      <c r="W280" s="701">
        <v>15736.4960638913</v>
      </c>
      <c r="X280" s="701">
        <v>15760.1548138913</v>
      </c>
      <c r="Y280" s="701">
        <v>15656.247386810701</v>
      </c>
      <c r="Z280" s="701">
        <v>15678.6088034774</v>
      </c>
      <c r="AA280" s="701">
        <v>15700.970220144</v>
      </c>
      <c r="AB280" s="701">
        <v>15590.8353978094</v>
      </c>
      <c r="AC280" s="701">
        <v>15613.196814475999</v>
      </c>
      <c r="AD280" s="701">
        <v>15635.558231142701</v>
      </c>
      <c r="AE280" s="701">
        <v>15525.423408807999</v>
      </c>
      <c r="AF280" s="697">
        <f t="shared" si="9"/>
        <v>15691.506648250577</v>
      </c>
    </row>
    <row r="281" spans="1:32">
      <c r="A281" s="572" t="s">
        <v>1986</v>
      </c>
      <c r="B281" s="696">
        <v>19660.255659999999</v>
      </c>
      <c r="C281" s="696">
        <v>20710.87441</v>
      </c>
      <c r="D281" s="696">
        <v>18353.35745</v>
      </c>
      <c r="E281" s="696">
        <v>18415.28686</v>
      </c>
      <c r="F281" s="696">
        <v>21263.731879999901</v>
      </c>
      <c r="G281" s="696">
        <v>15762.427970000001</v>
      </c>
      <c r="H281" s="696">
        <v>20827.87154</v>
      </c>
      <c r="I281" s="696">
        <v>20704.9074008998</v>
      </c>
      <c r="J281" s="696">
        <v>20704.065817566399</v>
      </c>
      <c r="K281" s="696">
        <v>20703.224234233101</v>
      </c>
      <c r="L281" s="696">
        <v>20580.2600951329</v>
      </c>
      <c r="M281" s="696">
        <v>20603.918845132899</v>
      </c>
      <c r="N281" s="696">
        <v>20627.577595132901</v>
      </c>
      <c r="O281" s="235">
        <f t="shared" si="8"/>
        <v>19916.750750622912</v>
      </c>
      <c r="P281" s="696">
        <v>20523.6701680523</v>
      </c>
      <c r="Q281" s="696">
        <v>20547.328918052299</v>
      </c>
      <c r="R281" s="696">
        <v>20570.987668052301</v>
      </c>
      <c r="S281" s="696">
        <v>20467.080240971802</v>
      </c>
      <c r="T281" s="696">
        <v>20490.7389909718</v>
      </c>
      <c r="U281" s="696">
        <v>20514.397740971799</v>
      </c>
      <c r="V281" s="696">
        <v>20410.4903138913</v>
      </c>
      <c r="W281" s="696">
        <v>20434.149063891298</v>
      </c>
      <c r="X281" s="696">
        <v>20457.807813891301</v>
      </c>
      <c r="Y281" s="696">
        <v>20353.900386810699</v>
      </c>
      <c r="Z281" s="696">
        <v>20376.261803477399</v>
      </c>
      <c r="AA281" s="696">
        <v>20398.623220144</v>
      </c>
      <c r="AB281" s="696">
        <v>20288.4883978094</v>
      </c>
      <c r="AC281" s="696">
        <v>20310.849814476001</v>
      </c>
      <c r="AD281" s="696">
        <v>20333.211231142701</v>
      </c>
      <c r="AE281" s="696">
        <v>20223.076408808</v>
      </c>
      <c r="AF281" s="697">
        <f t="shared" si="9"/>
        <v>20389.159648250574</v>
      </c>
    </row>
    <row r="282" spans="1:32">
      <c r="A282" s="572"/>
      <c r="B282" s="698"/>
      <c r="C282" s="698"/>
      <c r="D282" s="698"/>
      <c r="E282" s="698"/>
      <c r="F282" s="698"/>
      <c r="G282" s="698"/>
      <c r="H282" s="698"/>
      <c r="I282" s="698"/>
      <c r="J282" s="698"/>
      <c r="K282" s="698"/>
      <c r="L282" s="698"/>
      <c r="M282" s="698"/>
      <c r="N282" s="698"/>
      <c r="O282" s="235">
        <f t="shared" si="8"/>
        <v>0</v>
      </c>
      <c r="P282" s="698"/>
      <c r="Q282" s="698"/>
      <c r="R282" s="698"/>
      <c r="S282" s="698"/>
      <c r="T282" s="698"/>
      <c r="U282" s="698"/>
      <c r="V282" s="698"/>
      <c r="W282" s="698"/>
      <c r="X282" s="698"/>
      <c r="Y282" s="698"/>
      <c r="Z282" s="698"/>
      <c r="AA282" s="698"/>
      <c r="AB282" s="698"/>
      <c r="AC282" s="698"/>
      <c r="AD282" s="698"/>
      <c r="AE282" s="698"/>
      <c r="AF282" s="697">
        <f t="shared" si="9"/>
        <v>0</v>
      </c>
    </row>
    <row r="283" spans="1:32">
      <c r="A283" s="572" t="s">
        <v>1975</v>
      </c>
      <c r="B283" s="698"/>
      <c r="C283" s="698"/>
      <c r="D283" s="698"/>
      <c r="E283" s="698"/>
      <c r="F283" s="698"/>
      <c r="G283" s="698"/>
      <c r="H283" s="698"/>
      <c r="I283" s="698"/>
      <c r="J283" s="698"/>
      <c r="K283" s="698"/>
      <c r="L283" s="698"/>
      <c r="M283" s="698"/>
      <c r="N283" s="698"/>
      <c r="O283" s="235">
        <f t="shared" si="8"/>
        <v>0</v>
      </c>
      <c r="P283" s="698"/>
      <c r="Q283" s="698"/>
      <c r="R283" s="698"/>
      <c r="S283" s="698"/>
      <c r="T283" s="698"/>
      <c r="U283" s="698"/>
      <c r="V283" s="698"/>
      <c r="W283" s="698"/>
      <c r="X283" s="698"/>
      <c r="Y283" s="698"/>
      <c r="Z283" s="698"/>
      <c r="AA283" s="698"/>
      <c r="AB283" s="698"/>
      <c r="AC283" s="698"/>
      <c r="AD283" s="698"/>
      <c r="AE283" s="698"/>
      <c r="AF283" s="697">
        <f t="shared" si="9"/>
        <v>0</v>
      </c>
    </row>
    <row r="284" spans="1:32" ht="15.75" thickBot="1">
      <c r="A284" s="702" t="s">
        <v>1447</v>
      </c>
      <c r="B284" s="703">
        <v>2130644.02171</v>
      </c>
      <c r="C284" s="703">
        <v>2145877.8774999999</v>
      </c>
      <c r="D284" s="703">
        <v>2137103.3927699998</v>
      </c>
      <c r="E284" s="703">
        <v>2131924.1851599999</v>
      </c>
      <c r="F284" s="703">
        <v>2134921.9575399999</v>
      </c>
      <c r="G284" s="703">
        <v>2129510.6507899999</v>
      </c>
      <c r="H284" s="703">
        <v>2125428.46196</v>
      </c>
      <c r="I284" s="703">
        <v>2125343.3999496098</v>
      </c>
      <c r="J284" s="703">
        <v>2117022.0546077699</v>
      </c>
      <c r="K284" s="703">
        <v>2114043.08184963</v>
      </c>
      <c r="L284" s="703">
        <v>2114811.5200306401</v>
      </c>
      <c r="M284" s="703">
        <v>2111540.1643626299</v>
      </c>
      <c r="N284" s="703">
        <v>2108922.1245920002</v>
      </c>
      <c r="O284" s="235">
        <f t="shared" si="8"/>
        <v>2125160.99175556</v>
      </c>
      <c r="P284" s="703">
        <v>2105111.3741588201</v>
      </c>
      <c r="Q284" s="703">
        <v>2098300.2070972398</v>
      </c>
      <c r="R284" s="703">
        <v>2092344.7201499899</v>
      </c>
      <c r="S284" s="703">
        <v>2085913.53752035</v>
      </c>
      <c r="T284" s="703">
        <v>2082260.6495389801</v>
      </c>
      <c r="U284" s="703">
        <v>2077759.03524568</v>
      </c>
      <c r="V284" s="703">
        <v>2071077.3747574801</v>
      </c>
      <c r="W284" s="703">
        <v>2067981.8664907201</v>
      </c>
      <c r="X284" s="703">
        <v>2066402.5154506899</v>
      </c>
      <c r="Y284" s="703">
        <v>2060620.30632438</v>
      </c>
      <c r="Z284" s="703">
        <v>2058483.6241441299</v>
      </c>
      <c r="AA284" s="703">
        <v>2056890.40426517</v>
      </c>
      <c r="AB284" s="703">
        <v>2047548.8643302401</v>
      </c>
      <c r="AC284" s="703">
        <v>2046692.6665745999</v>
      </c>
      <c r="AD284" s="703">
        <v>2045446.3978967001</v>
      </c>
      <c r="AE284" s="703">
        <v>2034286.9703412701</v>
      </c>
      <c r="AF284" s="697">
        <f t="shared" si="9"/>
        <v>2061643.4009907991</v>
      </c>
    </row>
    <row r="285" spans="1:32">
      <c r="A285" s="572"/>
      <c r="O285" s="235">
        <f t="shared" si="8"/>
        <v>0</v>
      </c>
      <c r="AF285" s="697">
        <f t="shared" si="9"/>
        <v>0</v>
      </c>
    </row>
    <row r="286" spans="1:32" ht="15.75" thickBot="1">
      <c r="A286" s="702" t="s">
        <v>2210</v>
      </c>
      <c r="B286" s="703">
        <v>8198756.5345099997</v>
      </c>
      <c r="C286" s="703">
        <v>8270457.3301400002</v>
      </c>
      <c r="D286" s="703">
        <v>8232754.1520699998</v>
      </c>
      <c r="E286" s="703">
        <v>8237850.5972600002</v>
      </c>
      <c r="F286" s="703">
        <v>8608970.0548599996</v>
      </c>
      <c r="G286" s="703">
        <v>8831980.5542999897</v>
      </c>
      <c r="H286" s="703">
        <v>8326601.6964600002</v>
      </c>
      <c r="I286" s="703">
        <v>8303211.0137763098</v>
      </c>
      <c r="J286" s="703">
        <v>8326060.1174099501</v>
      </c>
      <c r="K286" s="703">
        <v>8347368.6072278898</v>
      </c>
      <c r="L286" s="703">
        <v>8382303.1402000999</v>
      </c>
      <c r="M286" s="703">
        <v>8413520.7796376292</v>
      </c>
      <c r="N286" s="703">
        <v>8409545.5050888304</v>
      </c>
      <c r="O286" s="235">
        <f t="shared" si="8"/>
        <v>8376106.1602262091</v>
      </c>
      <c r="P286" s="703">
        <v>8426944.5576499607</v>
      </c>
      <c r="Q286" s="703">
        <v>8453342.1311416402</v>
      </c>
      <c r="R286" s="703">
        <v>8472859.00713134</v>
      </c>
      <c r="S286" s="703">
        <v>8514511.6647743192</v>
      </c>
      <c r="T286" s="703">
        <v>8548749.8781097699</v>
      </c>
      <c r="U286" s="703">
        <v>8572332.5695679709</v>
      </c>
      <c r="V286" s="703">
        <v>8573543.1785981897</v>
      </c>
      <c r="W286" s="703">
        <v>8580456.0157581903</v>
      </c>
      <c r="X286" s="703">
        <v>8594885.68609358</v>
      </c>
      <c r="Y286" s="703">
        <v>8619248.6102247406</v>
      </c>
      <c r="Z286" s="703">
        <v>8640351.2854793202</v>
      </c>
      <c r="AA286" s="703">
        <v>8622539.5940398108</v>
      </c>
      <c r="AB286" s="703">
        <v>8625574.0914709792</v>
      </c>
      <c r="AC286" s="703">
        <v>8623839.8243093397</v>
      </c>
      <c r="AD286" s="703">
        <v>8622720.8204358201</v>
      </c>
      <c r="AE286" s="703">
        <v>8636584.8798239809</v>
      </c>
      <c r="AF286" s="697">
        <f t="shared" si="9"/>
        <v>8598102.9306681566</v>
      </c>
    </row>
    <row r="287" spans="1:32">
      <c r="O287" s="235">
        <f t="shared" ref="O287:O288" si="10">SUM(B287:N287)/13</f>
        <v>0</v>
      </c>
      <c r="AF287" s="697">
        <f t="shared" ref="AF287:AF288" si="11">SUM(S287:AE287)/13</f>
        <v>0</v>
      </c>
    </row>
    <row r="288" spans="1:32">
      <c r="A288" s="695"/>
      <c r="O288" s="235">
        <f t="shared" si="10"/>
        <v>0</v>
      </c>
      <c r="AF288" s="697">
        <f t="shared" si="11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0"/>
  <dimension ref="A1:T1403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106"/>
      <c r="D2" s="107"/>
      <c r="E2" s="107"/>
      <c r="G2" s="108" t="s">
        <v>228</v>
      </c>
      <c r="H2" s="107"/>
      <c r="I2" s="107"/>
      <c r="J2" s="107"/>
      <c r="K2" s="107"/>
      <c r="L2" s="107"/>
      <c r="M2" s="107"/>
      <c r="N2" s="103" t="s">
        <v>228</v>
      </c>
      <c r="O2" s="107"/>
      <c r="P2" s="107"/>
      <c r="Q2" s="107">
        <v>44145.768871875</v>
      </c>
      <c r="R2" s="107"/>
      <c r="S2" s="107"/>
      <c r="T2" s="107"/>
    </row>
    <row r="3" spans="1:20" ht="15">
      <c r="A3" s="105"/>
      <c r="B3" s="105"/>
      <c r="C3" s="109"/>
      <c r="D3" s="107"/>
      <c r="E3" s="107"/>
      <c r="G3" s="108" t="s">
        <v>229</v>
      </c>
      <c r="H3" s="107"/>
      <c r="I3" s="107"/>
      <c r="J3" s="110"/>
      <c r="K3" s="107"/>
      <c r="L3" s="107"/>
      <c r="M3" s="107"/>
      <c r="N3" s="103" t="s">
        <v>229</v>
      </c>
      <c r="O3" s="107"/>
      <c r="P3" s="107"/>
      <c r="Q3" s="111">
        <v>44145.768871875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230</v>
      </c>
      <c r="H4" s="107"/>
      <c r="I4" s="107"/>
      <c r="J4" s="107"/>
      <c r="K4" s="107"/>
      <c r="L4" s="107"/>
      <c r="M4" s="107"/>
      <c r="N4" s="103" t="s">
        <v>230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231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232</v>
      </c>
      <c r="D6" s="107"/>
      <c r="E6" s="113"/>
      <c r="G6" s="114" t="s">
        <v>3700</v>
      </c>
      <c r="H6" s="107"/>
      <c r="I6" s="107"/>
      <c r="J6" s="107"/>
      <c r="K6" s="107"/>
      <c r="L6" s="107"/>
      <c r="M6" s="107"/>
      <c r="N6" s="103" t="s">
        <v>2388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233</v>
      </c>
      <c r="F8" s="107"/>
      <c r="G8" s="111" t="s">
        <v>234</v>
      </c>
      <c r="H8" s="107"/>
      <c r="I8" s="111" t="s">
        <v>235</v>
      </c>
      <c r="J8" s="115" t="s">
        <v>236</v>
      </c>
      <c r="K8" s="107"/>
      <c r="L8" s="107"/>
      <c r="M8" s="111" t="s">
        <v>237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234</v>
      </c>
      <c r="F9" s="107"/>
      <c r="G9" s="111" t="s">
        <v>238</v>
      </c>
      <c r="H9" s="107"/>
      <c r="I9" s="111" t="s">
        <v>238</v>
      </c>
      <c r="J9" s="111" t="s">
        <v>237</v>
      </c>
      <c r="K9" s="107"/>
      <c r="L9" s="107"/>
      <c r="M9" s="111" t="s">
        <v>238</v>
      </c>
      <c r="N9" s="111"/>
      <c r="O9" s="111" t="s">
        <v>239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240</v>
      </c>
      <c r="E10" s="111" t="s">
        <v>241</v>
      </c>
      <c r="F10" s="107"/>
      <c r="G10" s="111" t="s">
        <v>242</v>
      </c>
      <c r="H10" s="107"/>
      <c r="I10" s="111" t="s">
        <v>242</v>
      </c>
      <c r="J10" s="111" t="s">
        <v>242</v>
      </c>
      <c r="K10" s="107"/>
      <c r="L10" s="107"/>
      <c r="M10" s="111" t="s">
        <v>242</v>
      </c>
      <c r="N10" s="111"/>
      <c r="O10" s="111" t="s">
        <v>242</v>
      </c>
      <c r="P10" s="111" t="s">
        <v>243</v>
      </c>
      <c r="Q10" s="111" t="s">
        <v>244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245</v>
      </c>
      <c r="F11" s="107"/>
      <c r="G11" s="111" t="s">
        <v>246</v>
      </c>
      <c r="H11" s="107"/>
      <c r="I11" s="118">
        <v>-3</v>
      </c>
      <c r="J11" s="118">
        <v>-4</v>
      </c>
      <c r="K11" s="107"/>
      <c r="L11" s="107"/>
      <c r="M11" s="118">
        <v>-5</v>
      </c>
      <c r="N11" s="111"/>
      <c r="O11" s="111" t="s">
        <v>247</v>
      </c>
      <c r="P11" s="111" t="s">
        <v>248</v>
      </c>
      <c r="Q11" s="111" t="s">
        <v>249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250</v>
      </c>
      <c r="B13" s="105"/>
      <c r="C13" s="107" t="s">
        <v>251</v>
      </c>
      <c r="D13" s="107" t="s">
        <v>250</v>
      </c>
      <c r="E13" s="107" t="s">
        <v>250</v>
      </c>
      <c r="F13" s="107" t="s">
        <v>250</v>
      </c>
      <c r="G13" s="107" t="s">
        <v>250</v>
      </c>
      <c r="H13" s="107" t="s">
        <v>250</v>
      </c>
      <c r="I13" s="107" t="s">
        <v>250</v>
      </c>
      <c r="J13" s="107" t="s">
        <v>250</v>
      </c>
      <c r="K13" s="107" t="s">
        <v>250</v>
      </c>
      <c r="L13" s="107" t="s">
        <v>250</v>
      </c>
      <c r="M13" s="107" t="s">
        <v>250</v>
      </c>
      <c r="N13" s="107" t="s">
        <v>250</v>
      </c>
      <c r="O13" s="107" t="s">
        <v>250</v>
      </c>
      <c r="P13" s="107" t="s">
        <v>250</v>
      </c>
      <c r="Q13" s="107" t="s">
        <v>250</v>
      </c>
      <c r="R13" s="107"/>
      <c r="S13" s="107"/>
      <c r="T13" s="107"/>
    </row>
    <row r="14" spans="1:20" ht="15">
      <c r="A14" s="105" t="s">
        <v>250</v>
      </c>
      <c r="B14" s="105"/>
      <c r="C14" s="107" t="s">
        <v>250</v>
      </c>
      <c r="D14" s="107" t="s">
        <v>250</v>
      </c>
      <c r="E14" s="107" t="s">
        <v>250</v>
      </c>
      <c r="F14" s="107" t="s">
        <v>250</v>
      </c>
      <c r="G14" s="107" t="s">
        <v>250</v>
      </c>
      <c r="H14" s="107" t="s">
        <v>250</v>
      </c>
      <c r="I14" s="107" t="s">
        <v>250</v>
      </c>
      <c r="J14" s="107" t="s">
        <v>250</v>
      </c>
      <c r="K14" s="107" t="s">
        <v>250</v>
      </c>
      <c r="L14" s="107" t="s">
        <v>250</v>
      </c>
      <c r="M14" s="107" t="s">
        <v>250</v>
      </c>
      <c r="N14" s="107" t="s">
        <v>250</v>
      </c>
      <c r="O14" s="107" t="s">
        <v>250</v>
      </c>
      <c r="P14" s="107" t="s">
        <v>250</v>
      </c>
      <c r="Q14" s="107" t="s">
        <v>250</v>
      </c>
      <c r="R14" s="107"/>
      <c r="S14" s="107"/>
      <c r="T14" s="107"/>
    </row>
    <row r="15" spans="1:20" ht="15">
      <c r="A15" s="105" t="s">
        <v>250</v>
      </c>
      <c r="B15" s="105"/>
      <c r="C15" s="107" t="s">
        <v>252</v>
      </c>
      <c r="D15" s="107" t="s">
        <v>250</v>
      </c>
      <c r="E15" s="107" t="s">
        <v>250</v>
      </c>
      <c r="F15" s="107" t="s">
        <v>250</v>
      </c>
      <c r="G15" s="107" t="s">
        <v>250</v>
      </c>
      <c r="H15" s="107" t="s">
        <v>250</v>
      </c>
      <c r="I15" s="107" t="s">
        <v>250</v>
      </c>
      <c r="J15" s="107" t="s">
        <v>250</v>
      </c>
      <c r="K15" s="107" t="s">
        <v>250</v>
      </c>
      <c r="L15" s="107" t="s">
        <v>250</v>
      </c>
      <c r="M15" s="107" t="s">
        <v>250</v>
      </c>
      <c r="N15" s="107" t="s">
        <v>250</v>
      </c>
      <c r="O15" s="107" t="s">
        <v>250</v>
      </c>
      <c r="P15" s="107" t="s">
        <v>250</v>
      </c>
      <c r="Q15" s="107" t="s">
        <v>250</v>
      </c>
      <c r="R15" s="107"/>
      <c r="S15" s="107"/>
      <c r="T15" s="107"/>
    </row>
    <row r="16" spans="1:20" ht="15">
      <c r="A16" s="105" t="s">
        <v>250</v>
      </c>
      <c r="B16" s="105"/>
      <c r="C16" s="107" t="s">
        <v>250</v>
      </c>
      <c r="D16" s="107" t="s">
        <v>250</v>
      </c>
      <c r="E16" s="107" t="s">
        <v>250</v>
      </c>
      <c r="F16" s="107" t="s">
        <v>250</v>
      </c>
      <c r="G16" s="107" t="s">
        <v>250</v>
      </c>
      <c r="H16" s="107" t="s">
        <v>250</v>
      </c>
      <c r="I16" s="107" t="s">
        <v>250</v>
      </c>
      <c r="J16" s="107" t="s">
        <v>250</v>
      </c>
      <c r="K16" s="107" t="s">
        <v>250</v>
      </c>
      <c r="L16" s="107" t="s">
        <v>250</v>
      </c>
      <c r="M16" s="107" t="s">
        <v>250</v>
      </c>
      <c r="N16" s="107" t="s">
        <v>250</v>
      </c>
      <c r="O16" s="107" t="s">
        <v>250</v>
      </c>
      <c r="P16" s="107" t="s">
        <v>250</v>
      </c>
      <c r="Q16" s="107" t="s">
        <v>250</v>
      </c>
      <c r="R16" s="107"/>
      <c r="S16" s="107"/>
      <c r="T16" s="107"/>
    </row>
    <row r="17" spans="1:20" ht="15">
      <c r="A17" s="105">
        <v>1</v>
      </c>
      <c r="B17" s="105"/>
      <c r="C17" s="107" t="s">
        <v>253</v>
      </c>
      <c r="D17" s="107" t="s">
        <v>250</v>
      </c>
      <c r="E17" s="120">
        <v>10511773529.779995</v>
      </c>
      <c r="F17" s="120" t="s">
        <v>250</v>
      </c>
      <c r="G17" s="120">
        <v>9827682073.2017002</v>
      </c>
      <c r="H17" s="120" t="s">
        <v>250</v>
      </c>
      <c r="I17" s="120">
        <v>536346586.68745041</v>
      </c>
      <c r="J17" s="120">
        <v>147744869.89084524</v>
      </c>
      <c r="K17" s="120" t="s">
        <v>250</v>
      </c>
      <c r="L17" s="120" t="s">
        <v>250</v>
      </c>
      <c r="M17" s="120">
        <v>0</v>
      </c>
      <c r="N17" s="120" t="s">
        <v>250</v>
      </c>
      <c r="O17" s="120">
        <v>147744869.89084524</v>
      </c>
      <c r="P17" s="120">
        <v>77243016.877972931</v>
      </c>
      <c r="Q17" s="120">
        <v>70501853.012872308</v>
      </c>
      <c r="R17" s="120"/>
      <c r="S17" s="120"/>
      <c r="T17" s="107"/>
    </row>
    <row r="18" spans="1:20" ht="15">
      <c r="A18" s="105" t="s">
        <v>250</v>
      </c>
      <c r="B18" s="105"/>
      <c r="C18" s="107" t="s">
        <v>250</v>
      </c>
      <c r="D18" s="107" t="s">
        <v>250</v>
      </c>
      <c r="E18" s="120" t="s">
        <v>250</v>
      </c>
      <c r="F18" s="120" t="s">
        <v>250</v>
      </c>
      <c r="G18" s="120" t="s">
        <v>250</v>
      </c>
      <c r="H18" s="120" t="s">
        <v>250</v>
      </c>
      <c r="I18" s="120" t="s">
        <v>250</v>
      </c>
      <c r="J18" s="120" t="s">
        <v>250</v>
      </c>
      <c r="K18" s="120" t="s">
        <v>250</v>
      </c>
      <c r="L18" s="120" t="s">
        <v>250</v>
      </c>
      <c r="M18" s="120" t="s">
        <v>250</v>
      </c>
      <c r="N18" s="120" t="s">
        <v>250</v>
      </c>
      <c r="O18" s="120" t="s">
        <v>250</v>
      </c>
      <c r="P18" s="120" t="s">
        <v>250</v>
      </c>
      <c r="Q18" s="120" t="s">
        <v>250</v>
      </c>
      <c r="R18" s="120"/>
      <c r="S18" s="120"/>
      <c r="T18" s="107"/>
    </row>
    <row r="19" spans="1:20" ht="15">
      <c r="A19" s="105">
        <v>2</v>
      </c>
      <c r="B19" s="105"/>
      <c r="C19" s="107" t="s">
        <v>254</v>
      </c>
      <c r="D19" s="107" t="s">
        <v>250</v>
      </c>
      <c r="E19" s="120">
        <v>3678551999.9235177</v>
      </c>
      <c r="F19" s="120" t="s">
        <v>250</v>
      </c>
      <c r="G19" s="120">
        <v>3418757611.7465563</v>
      </c>
      <c r="H19" s="120" t="s">
        <v>250</v>
      </c>
      <c r="I19" s="120">
        <v>204323151.58103558</v>
      </c>
      <c r="J19" s="120">
        <v>55471236.595925987</v>
      </c>
      <c r="K19" s="120" t="s">
        <v>250</v>
      </c>
      <c r="L19" s="120" t="s">
        <v>250</v>
      </c>
      <c r="M19" s="120">
        <v>0</v>
      </c>
      <c r="N19" s="120" t="s">
        <v>250</v>
      </c>
      <c r="O19" s="120">
        <v>55471236.595925987</v>
      </c>
      <c r="P19" s="120">
        <v>28717637.104470771</v>
      </c>
      <c r="Q19" s="120">
        <v>26753599.491455212</v>
      </c>
      <c r="R19" s="120"/>
      <c r="S19" s="120"/>
      <c r="T19" s="107"/>
    </row>
    <row r="20" spans="1:20" ht="15">
      <c r="A20" s="105">
        <v>3</v>
      </c>
      <c r="B20" s="105"/>
      <c r="C20" s="107" t="s">
        <v>255</v>
      </c>
      <c r="D20" s="107" t="s">
        <v>250</v>
      </c>
      <c r="E20" s="120">
        <v>6833221529.8564777</v>
      </c>
      <c r="F20" s="120" t="s">
        <v>250</v>
      </c>
      <c r="G20" s="120">
        <v>6408924461.4551439</v>
      </c>
      <c r="H20" s="120" t="s">
        <v>250</v>
      </c>
      <c r="I20" s="120">
        <v>332023435.10641479</v>
      </c>
      <c r="J20" s="120">
        <v>92273633.294919252</v>
      </c>
      <c r="K20" s="120" t="s">
        <v>250</v>
      </c>
      <c r="L20" s="120" t="s">
        <v>250</v>
      </c>
      <c r="M20" s="120">
        <v>0</v>
      </c>
      <c r="N20" s="120" t="s">
        <v>250</v>
      </c>
      <c r="O20" s="120">
        <v>92273633.294919252</v>
      </c>
      <c r="P20" s="120">
        <v>48525379.773502156</v>
      </c>
      <c r="Q20" s="120">
        <v>43748253.521417096</v>
      </c>
      <c r="R20" s="120"/>
      <c r="S20" s="120"/>
      <c r="T20" s="107"/>
    </row>
    <row r="21" spans="1:20" ht="15">
      <c r="A21" s="105" t="s">
        <v>250</v>
      </c>
      <c r="B21" s="105"/>
      <c r="C21" s="107" t="s">
        <v>250</v>
      </c>
      <c r="D21" s="107" t="s">
        <v>250</v>
      </c>
      <c r="E21" s="120" t="s">
        <v>250</v>
      </c>
      <c r="F21" s="120" t="s">
        <v>250</v>
      </c>
      <c r="G21" s="120" t="s">
        <v>250</v>
      </c>
      <c r="H21" s="120" t="s">
        <v>250</v>
      </c>
      <c r="I21" s="120" t="s">
        <v>250</v>
      </c>
      <c r="J21" s="120" t="s">
        <v>250</v>
      </c>
      <c r="K21" s="120" t="s">
        <v>250</v>
      </c>
      <c r="L21" s="120" t="s">
        <v>250</v>
      </c>
      <c r="M21" s="120" t="s">
        <v>250</v>
      </c>
      <c r="N21" s="120" t="s">
        <v>250</v>
      </c>
      <c r="O21" s="120" t="s">
        <v>250</v>
      </c>
      <c r="P21" s="120" t="s">
        <v>250</v>
      </c>
      <c r="Q21" s="120" t="s">
        <v>250</v>
      </c>
      <c r="R21" s="120"/>
      <c r="S21" s="120"/>
      <c r="T21" s="107"/>
    </row>
    <row r="22" spans="1:20" ht="15">
      <c r="A22" s="105">
        <v>4</v>
      </c>
      <c r="B22" s="105"/>
      <c r="C22" s="107" t="s">
        <v>256</v>
      </c>
      <c r="D22" s="107" t="s">
        <v>250</v>
      </c>
      <c r="E22" s="120">
        <v>262196410.58473647</v>
      </c>
      <c r="F22" s="120" t="s">
        <v>250</v>
      </c>
      <c r="G22" s="120">
        <v>236474685.01003319</v>
      </c>
      <c r="H22" s="120" t="s">
        <v>250</v>
      </c>
      <c r="I22" s="120">
        <v>22540438.081265066</v>
      </c>
      <c r="J22" s="120">
        <v>3181287.493438215</v>
      </c>
      <c r="K22" s="120" t="s">
        <v>250</v>
      </c>
      <c r="L22" s="120" t="s">
        <v>250</v>
      </c>
      <c r="M22" s="120">
        <v>0</v>
      </c>
      <c r="N22" s="120" t="s">
        <v>250</v>
      </c>
      <c r="O22" s="120">
        <v>3181287.493438215</v>
      </c>
      <c r="P22" s="120">
        <v>1617520.843868406</v>
      </c>
      <c r="Q22" s="120">
        <v>1563766.6495698087</v>
      </c>
      <c r="R22" s="120"/>
      <c r="S22" s="120"/>
      <c r="T22" s="107"/>
    </row>
    <row r="23" spans="1:20" ht="15">
      <c r="A23" s="105">
        <v>5</v>
      </c>
      <c r="B23" s="105"/>
      <c r="C23" s="107" t="s">
        <v>257</v>
      </c>
      <c r="D23" s="107" t="s">
        <v>250</v>
      </c>
      <c r="E23" s="120">
        <v>7095417940.4412155</v>
      </c>
      <c r="F23" s="120" t="s">
        <v>250</v>
      </c>
      <c r="G23" s="120">
        <v>6645399146.4651775</v>
      </c>
      <c r="H23" s="120" t="s">
        <v>250</v>
      </c>
      <c r="I23" s="120">
        <v>354563873.18767989</v>
      </c>
      <c r="J23" s="120">
        <v>95454920.788357466</v>
      </c>
      <c r="K23" s="120" t="s">
        <v>250</v>
      </c>
      <c r="L23" s="120" t="s">
        <v>250</v>
      </c>
      <c r="M23" s="120">
        <v>0</v>
      </c>
      <c r="N23" s="120" t="s">
        <v>250</v>
      </c>
      <c r="O23" s="120">
        <v>95454920.788357466</v>
      </c>
      <c r="P23" s="120">
        <v>50142900.617370561</v>
      </c>
      <c r="Q23" s="120">
        <v>45312020.170986906</v>
      </c>
      <c r="R23" s="120"/>
      <c r="S23" s="120"/>
      <c r="T23" s="107"/>
    </row>
    <row r="24" spans="1:20" ht="15">
      <c r="A24" s="105" t="s">
        <v>250</v>
      </c>
      <c r="B24" s="105"/>
      <c r="C24" s="107" t="s">
        <v>250</v>
      </c>
      <c r="D24" s="107" t="s">
        <v>250</v>
      </c>
      <c r="E24" s="120"/>
      <c r="F24" s="120" t="s">
        <v>250</v>
      </c>
      <c r="G24" s="120" t="s">
        <v>250</v>
      </c>
      <c r="H24" s="120" t="s">
        <v>250</v>
      </c>
      <c r="I24" s="120" t="s">
        <v>250</v>
      </c>
      <c r="J24" s="120" t="s">
        <v>250</v>
      </c>
      <c r="K24" s="120" t="s">
        <v>250</v>
      </c>
      <c r="L24" s="120" t="s">
        <v>250</v>
      </c>
      <c r="M24" s="120" t="s">
        <v>250</v>
      </c>
      <c r="N24" s="120" t="s">
        <v>250</v>
      </c>
      <c r="O24" s="120" t="s">
        <v>250</v>
      </c>
      <c r="P24" s="120" t="s">
        <v>250</v>
      </c>
      <c r="Q24" s="120" t="s">
        <v>250</v>
      </c>
      <c r="R24" s="120"/>
      <c r="S24" s="120"/>
      <c r="T24" s="107"/>
    </row>
    <row r="25" spans="1:20" ht="15">
      <c r="A25" s="105" t="s">
        <v>250</v>
      </c>
      <c r="B25" s="105"/>
      <c r="C25" s="107" t="s">
        <v>258</v>
      </c>
      <c r="D25" s="107" t="s">
        <v>250</v>
      </c>
      <c r="E25" s="120"/>
      <c r="F25" s="120" t="s">
        <v>250</v>
      </c>
      <c r="G25" s="120" t="s">
        <v>250</v>
      </c>
      <c r="H25" s="120" t="s">
        <v>250</v>
      </c>
      <c r="I25" s="120" t="s">
        <v>250</v>
      </c>
      <c r="J25" s="120" t="s">
        <v>250</v>
      </c>
      <c r="K25" s="120" t="s">
        <v>250</v>
      </c>
      <c r="L25" s="120" t="s">
        <v>250</v>
      </c>
      <c r="M25" s="120" t="s">
        <v>250</v>
      </c>
      <c r="N25" s="120" t="s">
        <v>250</v>
      </c>
      <c r="O25" s="120" t="s">
        <v>250</v>
      </c>
      <c r="P25" s="120" t="s">
        <v>250</v>
      </c>
      <c r="Q25" s="120" t="s">
        <v>250</v>
      </c>
      <c r="R25" s="120"/>
      <c r="S25" s="121"/>
    </row>
    <row r="26" spans="1:20" ht="15">
      <c r="A26" s="105">
        <v>6</v>
      </c>
      <c r="B26" s="105"/>
      <c r="C26" s="107" t="s">
        <v>259</v>
      </c>
      <c r="D26" s="107" t="s">
        <v>250</v>
      </c>
      <c r="E26" s="120">
        <v>62390116</v>
      </c>
      <c r="F26" s="120" t="s">
        <v>250</v>
      </c>
      <c r="G26" s="120">
        <v>58009169.664313138</v>
      </c>
      <c r="H26" s="120" t="s">
        <v>250</v>
      </c>
      <c r="I26" s="120">
        <v>3624793.2940602782</v>
      </c>
      <c r="J26" s="120">
        <v>756153.04162658798</v>
      </c>
      <c r="K26" s="120" t="s">
        <v>250</v>
      </c>
      <c r="L26" s="120" t="s">
        <v>250</v>
      </c>
      <c r="M26" s="120">
        <v>0</v>
      </c>
      <c r="N26" s="120" t="s">
        <v>250</v>
      </c>
      <c r="O26" s="120">
        <v>756153.04162658798</v>
      </c>
      <c r="P26" s="120">
        <v>391830.75202658382</v>
      </c>
      <c r="Q26" s="120">
        <v>364322.28960000409</v>
      </c>
      <c r="R26" s="120"/>
      <c r="S26" s="121"/>
    </row>
    <row r="27" spans="1:20" ht="15">
      <c r="A27" s="105">
        <v>7</v>
      </c>
      <c r="B27" s="105"/>
      <c r="C27" s="107" t="s">
        <v>260</v>
      </c>
      <c r="D27" s="107" t="s">
        <v>250</v>
      </c>
      <c r="E27" s="120">
        <v>59919403.999999993</v>
      </c>
      <c r="F27" s="120" t="s">
        <v>250</v>
      </c>
      <c r="G27" s="120">
        <v>56433634.17757576</v>
      </c>
      <c r="H27" s="120" t="s">
        <v>250</v>
      </c>
      <c r="I27" s="120">
        <v>2266354.8820857513</v>
      </c>
      <c r="J27" s="120">
        <v>1219414.9403384835</v>
      </c>
      <c r="K27" s="120" t="s">
        <v>250</v>
      </c>
      <c r="L27" s="120" t="s">
        <v>250</v>
      </c>
      <c r="M27" s="120">
        <v>0</v>
      </c>
      <c r="N27" s="120" t="s">
        <v>250</v>
      </c>
      <c r="O27" s="120">
        <v>1219414.9403384835</v>
      </c>
      <c r="P27" s="120">
        <v>625894.02730079798</v>
      </c>
      <c r="Q27" s="120">
        <v>593520.91303768568</v>
      </c>
      <c r="R27" s="120"/>
      <c r="S27" s="121"/>
    </row>
    <row r="28" spans="1:20" ht="15">
      <c r="A28" s="105">
        <v>8</v>
      </c>
      <c r="B28" s="105"/>
      <c r="C28" s="107" t="s">
        <v>261</v>
      </c>
      <c r="D28" s="107" t="s">
        <v>250</v>
      </c>
      <c r="E28" s="120">
        <v>19186402.650761645</v>
      </c>
      <c r="F28" s="120" t="s">
        <v>250</v>
      </c>
      <c r="G28" s="120">
        <v>18918053.267428812</v>
      </c>
      <c r="H28" s="120" t="s">
        <v>250</v>
      </c>
      <c r="I28" s="120">
        <v>0</v>
      </c>
      <c r="J28" s="120">
        <v>268349.38333283365</v>
      </c>
      <c r="K28" s="120" t="s">
        <v>250</v>
      </c>
      <c r="L28" s="120" t="s">
        <v>250</v>
      </c>
      <c r="M28" s="120">
        <v>0</v>
      </c>
      <c r="N28" s="120" t="s">
        <v>250</v>
      </c>
      <c r="O28" s="120">
        <v>268349.38333283365</v>
      </c>
      <c r="P28" s="120">
        <v>140214.75051006075</v>
      </c>
      <c r="Q28" s="120">
        <v>128134.63282277291</v>
      </c>
      <c r="R28" s="120"/>
      <c r="S28" s="121"/>
    </row>
    <row r="29" spans="1:20" ht="15">
      <c r="A29" s="105">
        <v>9</v>
      </c>
      <c r="B29" s="105"/>
      <c r="C29" s="107" t="s">
        <v>262</v>
      </c>
      <c r="D29" s="107" t="s">
        <v>250</v>
      </c>
      <c r="E29" s="120">
        <v>125889277.68395811</v>
      </c>
      <c r="F29" s="120" t="s">
        <v>250</v>
      </c>
      <c r="G29" s="120">
        <v>115879043.470186</v>
      </c>
      <c r="H29" s="120" t="s">
        <v>250</v>
      </c>
      <c r="I29" s="120">
        <v>8402746.1621519439</v>
      </c>
      <c r="J29" s="120">
        <v>1607488.0516201737</v>
      </c>
      <c r="K29" s="120" t="s">
        <v>250</v>
      </c>
      <c r="L29" s="120" t="s">
        <v>250</v>
      </c>
      <c r="M29" s="120">
        <v>0</v>
      </c>
      <c r="N29" s="120" t="s">
        <v>250</v>
      </c>
      <c r="O29" s="120">
        <v>1607488.0516201737</v>
      </c>
      <c r="P29" s="120">
        <v>828176.69580075878</v>
      </c>
      <c r="Q29" s="120">
        <v>779311.35581941507</v>
      </c>
      <c r="R29" s="120"/>
      <c r="S29" s="121"/>
    </row>
    <row r="30" spans="1:20" ht="15">
      <c r="A30" s="105">
        <v>10</v>
      </c>
      <c r="B30" s="105"/>
      <c r="C30" s="107" t="s">
        <v>263</v>
      </c>
      <c r="D30" s="107" t="s">
        <v>250</v>
      </c>
      <c r="E30" s="120">
        <v>124602</v>
      </c>
      <c r="F30" s="120" t="s">
        <v>250</v>
      </c>
      <c r="G30" s="120">
        <v>116890.75455167225</v>
      </c>
      <c r="H30" s="120" t="s">
        <v>250</v>
      </c>
      <c r="I30" s="120">
        <v>5293.7314376581635</v>
      </c>
      <c r="J30" s="120">
        <v>2417.5140106695849</v>
      </c>
      <c r="K30" s="120" t="s">
        <v>250</v>
      </c>
      <c r="L30" s="120" t="s">
        <v>250</v>
      </c>
      <c r="M30" s="120">
        <v>0</v>
      </c>
      <c r="N30" s="120" t="s">
        <v>250</v>
      </c>
      <c r="O30" s="120">
        <v>2417.5140106695849</v>
      </c>
      <c r="P30" s="120">
        <v>1226.2983807537105</v>
      </c>
      <c r="Q30" s="120">
        <v>1191.2156299158744</v>
      </c>
      <c r="R30" s="120"/>
      <c r="S30" s="121"/>
    </row>
    <row r="31" spans="1:20" ht="15">
      <c r="A31" s="105">
        <v>11</v>
      </c>
      <c r="B31" s="105"/>
      <c r="C31" s="107" t="s">
        <v>2389</v>
      </c>
      <c r="D31" s="107" t="s">
        <v>250</v>
      </c>
      <c r="E31" s="120">
        <v>157279615.09390604</v>
      </c>
      <c r="F31" s="120" t="s">
        <v>250</v>
      </c>
      <c r="G31" s="120">
        <v>150450452</v>
      </c>
      <c r="H31" s="120" t="s">
        <v>250</v>
      </c>
      <c r="I31" s="120">
        <v>5230633.6470487658</v>
      </c>
      <c r="J31" s="120">
        <v>1598529.4468572601</v>
      </c>
      <c r="K31" s="120" t="s">
        <v>250</v>
      </c>
      <c r="L31" s="120" t="s">
        <v>250</v>
      </c>
      <c r="M31" s="120">
        <v>0</v>
      </c>
      <c r="N31" s="120" t="s">
        <v>250</v>
      </c>
      <c r="O31" s="120">
        <v>1598529.4468572601</v>
      </c>
      <c r="P31" s="120">
        <v>810863.58284444478</v>
      </c>
      <c r="Q31" s="120">
        <v>787665.86401281529</v>
      </c>
      <c r="R31" s="120"/>
      <c r="S31" s="121"/>
    </row>
    <row r="32" spans="1:20" ht="15">
      <c r="A32" s="105">
        <v>12</v>
      </c>
      <c r="B32" s="105"/>
      <c r="C32" s="107" t="s">
        <v>264</v>
      </c>
      <c r="D32" s="107" t="s">
        <v>250</v>
      </c>
      <c r="E32" s="120">
        <v>424789417.42862582</v>
      </c>
      <c r="F32" s="120" t="s">
        <v>250</v>
      </c>
      <c r="G32" s="120">
        <v>399807243.33405542</v>
      </c>
      <c r="H32" s="120" t="s">
        <v>250</v>
      </c>
      <c r="I32" s="120">
        <v>19529821.716784399</v>
      </c>
      <c r="J32" s="120">
        <v>5452352.3777860086</v>
      </c>
      <c r="K32" s="120" t="s">
        <v>250</v>
      </c>
      <c r="L32" s="120" t="s">
        <v>250</v>
      </c>
      <c r="M32" s="120">
        <v>0</v>
      </c>
      <c r="N32" s="120" t="s">
        <v>250</v>
      </c>
      <c r="O32" s="120">
        <v>5452352.3777860086</v>
      </c>
      <c r="P32" s="120">
        <v>2798206.1068634</v>
      </c>
      <c r="Q32" s="120">
        <v>2654146.2709226087</v>
      </c>
      <c r="R32" s="120"/>
      <c r="S32" s="121"/>
    </row>
    <row r="33" spans="1:19" ht="15">
      <c r="A33" s="105" t="s">
        <v>250</v>
      </c>
      <c r="B33" s="105"/>
      <c r="C33" s="107" t="s">
        <v>250</v>
      </c>
      <c r="D33" s="107" t="s">
        <v>250</v>
      </c>
      <c r="E33" s="120" t="s">
        <v>250</v>
      </c>
      <c r="F33" s="120" t="s">
        <v>250</v>
      </c>
      <c r="G33" s="120" t="s">
        <v>250</v>
      </c>
      <c r="H33" s="120" t="s">
        <v>250</v>
      </c>
      <c r="I33" s="120" t="s">
        <v>250</v>
      </c>
      <c r="J33" s="120" t="s">
        <v>250</v>
      </c>
      <c r="K33" s="120" t="s">
        <v>250</v>
      </c>
      <c r="L33" s="120" t="s">
        <v>250</v>
      </c>
      <c r="M33" s="120" t="s">
        <v>250</v>
      </c>
      <c r="N33" s="120" t="s">
        <v>250</v>
      </c>
      <c r="O33" s="120" t="s">
        <v>250</v>
      </c>
      <c r="P33" s="120" t="s">
        <v>250</v>
      </c>
      <c r="Q33" s="120" t="s">
        <v>250</v>
      </c>
      <c r="R33" s="120"/>
      <c r="S33" s="121"/>
    </row>
    <row r="34" spans="1:19" ht="15">
      <c r="A34" s="105" t="s">
        <v>250</v>
      </c>
      <c r="B34" s="105"/>
      <c r="C34" s="107" t="s">
        <v>265</v>
      </c>
      <c r="D34" s="107" t="s">
        <v>250</v>
      </c>
      <c r="E34" s="120" t="s">
        <v>250</v>
      </c>
      <c r="F34" s="120" t="s">
        <v>250</v>
      </c>
      <c r="G34" s="120" t="s">
        <v>250</v>
      </c>
      <c r="H34" s="120" t="s">
        <v>250</v>
      </c>
      <c r="I34" s="120" t="s">
        <v>250</v>
      </c>
      <c r="J34" s="120" t="s">
        <v>250</v>
      </c>
      <c r="K34" s="120" t="s">
        <v>250</v>
      </c>
      <c r="L34" s="120" t="s">
        <v>250</v>
      </c>
      <c r="M34" s="120" t="s">
        <v>250</v>
      </c>
      <c r="N34" s="120" t="s">
        <v>250</v>
      </c>
      <c r="O34" s="120" t="s">
        <v>250</v>
      </c>
      <c r="P34" s="120" t="s">
        <v>250</v>
      </c>
      <c r="Q34" s="120" t="s">
        <v>250</v>
      </c>
      <c r="R34" s="120"/>
      <c r="S34" s="121"/>
    </row>
    <row r="35" spans="1:19" ht="15">
      <c r="A35" s="105">
        <v>13</v>
      </c>
      <c r="B35" s="105"/>
      <c r="C35" s="107" t="s">
        <v>266</v>
      </c>
      <c r="D35" s="107" t="s">
        <v>250</v>
      </c>
      <c r="E35" s="120">
        <v>1443601765.3862419</v>
      </c>
      <c r="F35" s="120" t="s">
        <v>250</v>
      </c>
      <c r="G35" s="120">
        <v>1353653196.222369</v>
      </c>
      <c r="H35" s="120" t="s">
        <v>250</v>
      </c>
      <c r="I35" s="120">
        <v>71270176.060580939</v>
      </c>
      <c r="J35" s="120">
        <v>18678393.103291888</v>
      </c>
      <c r="K35" s="120" t="s">
        <v>250</v>
      </c>
      <c r="L35" s="120" t="s">
        <v>250</v>
      </c>
      <c r="M35" s="120">
        <v>0</v>
      </c>
      <c r="N35" s="120" t="s">
        <v>250</v>
      </c>
      <c r="O35" s="120">
        <v>18678393.103291888</v>
      </c>
      <c r="P35" s="120">
        <v>9727307.7237338256</v>
      </c>
      <c r="Q35" s="120">
        <v>8951085.3795580622</v>
      </c>
      <c r="R35" s="120"/>
      <c r="S35" s="121"/>
    </row>
    <row r="36" spans="1:19" ht="15">
      <c r="A36" s="105">
        <v>14</v>
      </c>
      <c r="B36" s="105"/>
      <c r="C36" s="107" t="s">
        <v>267</v>
      </c>
      <c r="D36" s="107" t="s">
        <v>250</v>
      </c>
      <c r="E36" s="120">
        <v>87909987.86999999</v>
      </c>
      <c r="F36" s="120" t="s">
        <v>250</v>
      </c>
      <c r="G36" s="120">
        <v>82288493.059952542</v>
      </c>
      <c r="H36" s="120" t="s">
        <v>250</v>
      </c>
      <c r="I36" s="120">
        <v>3795601.1326752412</v>
      </c>
      <c r="J36" s="120">
        <v>1825893.6773722009</v>
      </c>
      <c r="K36" s="120" t="s">
        <v>250</v>
      </c>
      <c r="L36" s="120" t="s">
        <v>250</v>
      </c>
      <c r="M36" s="120">
        <v>0</v>
      </c>
      <c r="N36" s="120" t="s">
        <v>250</v>
      </c>
      <c r="O36" s="120">
        <v>1825893.6773722009</v>
      </c>
      <c r="P36" s="120">
        <v>926195.44296655443</v>
      </c>
      <c r="Q36" s="120">
        <v>899698.23440564645</v>
      </c>
      <c r="R36" s="120"/>
      <c r="S36" s="121"/>
    </row>
    <row r="37" spans="1:19" ht="15">
      <c r="A37" s="105">
        <v>15</v>
      </c>
      <c r="B37" s="105"/>
      <c r="C37" s="107" t="s">
        <v>268</v>
      </c>
      <c r="D37" s="107" t="s">
        <v>250</v>
      </c>
      <c r="E37" s="120">
        <v>1719771.5899999999</v>
      </c>
      <c r="F37" s="120" t="s">
        <v>250</v>
      </c>
      <c r="G37" s="120">
        <v>1712215.5636785864</v>
      </c>
      <c r="H37" s="120" t="s">
        <v>250</v>
      </c>
      <c r="I37" s="120">
        <v>7556.0263214135402</v>
      </c>
      <c r="J37" s="120">
        <v>0</v>
      </c>
      <c r="K37" s="120" t="s">
        <v>250</v>
      </c>
      <c r="L37" s="120" t="s">
        <v>250</v>
      </c>
      <c r="M37" s="120">
        <v>0</v>
      </c>
      <c r="N37" s="120" t="s">
        <v>250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269</v>
      </c>
      <c r="D38" s="107" t="s">
        <v>250</v>
      </c>
      <c r="E38" s="120">
        <v>31620707.210000001</v>
      </c>
      <c r="F38" s="120" t="s">
        <v>250</v>
      </c>
      <c r="G38" s="120">
        <v>0</v>
      </c>
      <c r="H38" s="120" t="s">
        <v>250</v>
      </c>
      <c r="I38" s="120">
        <v>1227529.9760579544</v>
      </c>
      <c r="J38" s="120">
        <v>1.0040632412851254E-2</v>
      </c>
      <c r="K38" s="120" t="s">
        <v>250</v>
      </c>
      <c r="L38" s="120" t="s">
        <v>250</v>
      </c>
      <c r="M38" s="120">
        <v>0</v>
      </c>
      <c r="N38" s="120" t="s">
        <v>250</v>
      </c>
      <c r="O38" s="120">
        <v>1.0040632412851254E-2</v>
      </c>
      <c r="P38" s="120">
        <v>1.0040632412851254E-2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270</v>
      </c>
      <c r="D39" s="107" t="s">
        <v>250</v>
      </c>
      <c r="E39" s="120">
        <v>833365.37923076935</v>
      </c>
      <c r="F39" s="120" t="s">
        <v>250</v>
      </c>
      <c r="G39" s="120">
        <v>0</v>
      </c>
      <c r="H39" s="120" t="s">
        <v>250</v>
      </c>
      <c r="I39" s="120">
        <v>833365.37923076935</v>
      </c>
      <c r="J39" s="120">
        <v>0</v>
      </c>
      <c r="K39" s="120" t="s">
        <v>250</v>
      </c>
      <c r="L39" s="120" t="s">
        <v>250</v>
      </c>
      <c r="M39" s="120">
        <v>0</v>
      </c>
      <c r="N39" s="120" t="s">
        <v>250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271</v>
      </c>
      <c r="D40" s="107" t="s">
        <v>250</v>
      </c>
      <c r="E40" s="120">
        <v>15929924.595132899</v>
      </c>
      <c r="F40" s="120" t="s">
        <v>250</v>
      </c>
      <c r="G40" s="120">
        <v>0</v>
      </c>
      <c r="H40" s="120" t="s">
        <v>250</v>
      </c>
      <c r="I40" s="120">
        <v>749319.80583447218</v>
      </c>
      <c r="J40" s="120">
        <v>0</v>
      </c>
      <c r="K40" s="120" t="s">
        <v>250</v>
      </c>
      <c r="L40" s="120" t="s">
        <v>250</v>
      </c>
      <c r="M40" s="120">
        <v>0</v>
      </c>
      <c r="N40" s="120" t="s">
        <v>250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272</v>
      </c>
      <c r="D41" s="107" t="s">
        <v>250</v>
      </c>
      <c r="E41" s="120">
        <v>4695135.1538461447</v>
      </c>
      <c r="F41" s="120" t="s">
        <v>250</v>
      </c>
      <c r="G41" s="120">
        <v>0</v>
      </c>
      <c r="H41" s="120" t="s">
        <v>250</v>
      </c>
      <c r="I41" s="120">
        <v>0</v>
      </c>
      <c r="J41" s="120">
        <v>55211.660832384907</v>
      </c>
      <c r="K41" s="120" t="s">
        <v>250</v>
      </c>
      <c r="L41" s="120" t="s">
        <v>250</v>
      </c>
      <c r="M41" s="120">
        <v>0</v>
      </c>
      <c r="N41" s="120" t="s">
        <v>250</v>
      </c>
      <c r="O41" s="120">
        <v>55211.660832384907</v>
      </c>
      <c r="P41" s="120">
        <v>28808.131281380047</v>
      </c>
      <c r="Q41" s="120">
        <v>26403.52955100486</v>
      </c>
      <c r="R41" s="120"/>
      <c r="S41" s="121"/>
    </row>
    <row r="42" spans="1:19" ht="15">
      <c r="A42" s="105">
        <v>20</v>
      </c>
      <c r="B42" s="105"/>
      <c r="C42" s="107" t="s">
        <v>273</v>
      </c>
      <c r="D42" s="107" t="s">
        <v>250</v>
      </c>
      <c r="E42" s="120">
        <v>6613643.3169230781</v>
      </c>
      <c r="F42" s="120" t="s">
        <v>250</v>
      </c>
      <c r="G42" s="120">
        <v>0</v>
      </c>
      <c r="H42" s="120" t="s">
        <v>250</v>
      </c>
      <c r="I42" s="120">
        <v>0</v>
      </c>
      <c r="J42" s="120">
        <v>77772.038443068799</v>
      </c>
      <c r="K42" s="120" t="s">
        <v>250</v>
      </c>
      <c r="L42" s="120" t="s">
        <v>250</v>
      </c>
      <c r="M42" s="120">
        <v>0</v>
      </c>
      <c r="N42" s="120" t="s">
        <v>250</v>
      </c>
      <c r="O42" s="120">
        <v>77772.038443068799</v>
      </c>
      <c r="P42" s="120">
        <v>40579.599666277296</v>
      </c>
      <c r="Q42" s="120">
        <v>37192.438776791503</v>
      </c>
      <c r="R42" s="120"/>
      <c r="S42" s="121"/>
    </row>
    <row r="43" spans="1:19" ht="15">
      <c r="A43" s="105">
        <v>21</v>
      </c>
      <c r="B43" s="105"/>
      <c r="C43" s="107" t="s">
        <v>274</v>
      </c>
      <c r="D43" s="107" t="s">
        <v>250</v>
      </c>
      <c r="E43" s="120">
        <v>1294373.6592307687</v>
      </c>
      <c r="F43" s="120" t="s">
        <v>250</v>
      </c>
      <c r="G43" s="120">
        <v>0</v>
      </c>
      <c r="H43" s="120" t="s">
        <v>250</v>
      </c>
      <c r="I43" s="120">
        <v>0</v>
      </c>
      <c r="J43" s="120">
        <v>15220.971733961716</v>
      </c>
      <c r="K43" s="120" t="s">
        <v>250</v>
      </c>
      <c r="L43" s="120" t="s">
        <v>250</v>
      </c>
      <c r="M43" s="120">
        <v>0</v>
      </c>
      <c r="N43" s="120" t="s">
        <v>250</v>
      </c>
      <c r="O43" s="120">
        <v>15220.971733961716</v>
      </c>
      <c r="P43" s="120">
        <v>7941.940983687</v>
      </c>
      <c r="Q43" s="120">
        <v>7279.0307502747155</v>
      </c>
      <c r="R43" s="120"/>
      <c r="S43" s="121"/>
    </row>
    <row r="44" spans="1:19" ht="15">
      <c r="A44" s="105">
        <v>22</v>
      </c>
      <c r="B44" s="105"/>
      <c r="C44" s="107" t="s">
        <v>275</v>
      </c>
      <c r="D44" s="107" t="s">
        <v>250</v>
      </c>
      <c r="E44" s="120">
        <v>1594218674.1606054</v>
      </c>
      <c r="F44" s="120" t="s">
        <v>250</v>
      </c>
      <c r="G44" s="120">
        <v>1437653904.846</v>
      </c>
      <c r="H44" s="120" t="s">
        <v>250</v>
      </c>
      <c r="I44" s="120">
        <v>77883548.380700797</v>
      </c>
      <c r="J44" s="120">
        <v>20652491.461714134</v>
      </c>
      <c r="K44" s="120" t="s">
        <v>250</v>
      </c>
      <c r="L44" s="120" t="s">
        <v>250</v>
      </c>
      <c r="M44" s="120">
        <v>0</v>
      </c>
      <c r="N44" s="120" t="s">
        <v>250</v>
      </c>
      <c r="O44" s="120">
        <v>20652491.461714134</v>
      </c>
      <c r="P44" s="120">
        <v>10730832.848672355</v>
      </c>
      <c r="Q44" s="120">
        <v>9921658.613041779</v>
      </c>
      <c r="R44" s="120"/>
      <c r="S44" s="121"/>
    </row>
    <row r="45" spans="1:19" ht="15">
      <c r="A45" s="105" t="s">
        <v>250</v>
      </c>
      <c r="B45" s="105"/>
      <c r="C45" s="107" t="s">
        <v>250</v>
      </c>
      <c r="D45" s="107" t="s">
        <v>250</v>
      </c>
      <c r="E45" s="120" t="s">
        <v>250</v>
      </c>
      <c r="F45" s="120" t="s">
        <v>250</v>
      </c>
      <c r="G45" s="120" t="s">
        <v>250</v>
      </c>
      <c r="H45" s="120" t="s">
        <v>250</v>
      </c>
      <c r="I45" s="120" t="s">
        <v>250</v>
      </c>
      <c r="J45" s="120" t="s">
        <v>250</v>
      </c>
      <c r="K45" s="120" t="s">
        <v>250</v>
      </c>
      <c r="L45" s="120" t="s">
        <v>250</v>
      </c>
      <c r="M45" s="120" t="s">
        <v>250</v>
      </c>
      <c r="N45" s="120" t="s">
        <v>250</v>
      </c>
      <c r="O45" s="120" t="s">
        <v>250</v>
      </c>
      <c r="P45" s="120" t="s">
        <v>250</v>
      </c>
      <c r="Q45" s="120" t="s">
        <v>250</v>
      </c>
      <c r="R45" s="120"/>
      <c r="S45" s="121"/>
    </row>
    <row r="46" spans="1:19" ht="15">
      <c r="A46" s="105">
        <v>23</v>
      </c>
      <c r="B46" s="105"/>
      <c r="C46" s="107" t="s">
        <v>276</v>
      </c>
      <c r="D46" s="107" t="s">
        <v>250</v>
      </c>
      <c r="E46" s="120">
        <v>5925988683.7092361</v>
      </c>
      <c r="F46" s="120" t="s">
        <v>250</v>
      </c>
      <c r="G46" s="120">
        <v>5607552484.9532328</v>
      </c>
      <c r="H46" s="120" t="s">
        <v>250</v>
      </c>
      <c r="I46" s="120">
        <v>296210146.52376354</v>
      </c>
      <c r="J46" s="120">
        <v>80254781.704429343</v>
      </c>
      <c r="K46" s="120" t="s">
        <v>250</v>
      </c>
      <c r="L46" s="120" t="s">
        <v>250</v>
      </c>
      <c r="M46" s="120">
        <v>0</v>
      </c>
      <c r="N46" s="120" t="s">
        <v>250</v>
      </c>
      <c r="O46" s="120">
        <v>80254781.704429343</v>
      </c>
      <c r="P46" s="120">
        <v>42210273.87556161</v>
      </c>
      <c r="Q46" s="120">
        <v>38044507.828867733</v>
      </c>
      <c r="R46" s="120"/>
      <c r="S46" s="121"/>
    </row>
    <row r="47" spans="1:19" ht="15">
      <c r="A47" s="105" t="s">
        <v>250</v>
      </c>
      <c r="B47" s="105"/>
      <c r="C47" s="107" t="s">
        <v>250</v>
      </c>
      <c r="D47" s="107" t="s">
        <v>250</v>
      </c>
      <c r="E47" s="120" t="s">
        <v>250</v>
      </c>
      <c r="F47" s="120" t="s">
        <v>250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250</v>
      </c>
      <c r="B48" s="105"/>
      <c r="C48" s="107" t="s">
        <v>277</v>
      </c>
      <c r="D48" s="107" t="s">
        <v>250</v>
      </c>
      <c r="E48" s="120" t="s">
        <v>250</v>
      </c>
      <c r="F48" s="120" t="s">
        <v>250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278</v>
      </c>
      <c r="D49" s="107" t="s">
        <v>250</v>
      </c>
      <c r="E49" s="120">
        <v>1708638267.8925943</v>
      </c>
      <c r="F49" s="120" t="s">
        <v>250</v>
      </c>
      <c r="G49" s="120">
        <v>1606633915.9205875</v>
      </c>
      <c r="H49" s="120" t="s">
        <v>250</v>
      </c>
      <c r="I49" s="120">
        <v>78130390.558172569</v>
      </c>
      <c r="J49" s="120">
        <v>23873961.413834304</v>
      </c>
      <c r="K49" s="120" t="s">
        <v>250</v>
      </c>
      <c r="L49" s="120" t="s">
        <v>250</v>
      </c>
      <c r="M49" s="120">
        <v>0</v>
      </c>
      <c r="N49" s="120" t="s">
        <v>250</v>
      </c>
      <c r="O49" s="120">
        <v>23873961.413834304</v>
      </c>
      <c r="P49" s="120">
        <v>11667219.333347209</v>
      </c>
      <c r="Q49" s="120">
        <v>12206742.080487093</v>
      </c>
      <c r="R49" s="120"/>
      <c r="S49" s="121"/>
    </row>
    <row r="50" spans="1:19" ht="15">
      <c r="A50" s="105" t="s">
        <v>250</v>
      </c>
      <c r="B50" s="105"/>
      <c r="C50" s="107" t="s">
        <v>250</v>
      </c>
      <c r="D50" s="107" t="s">
        <v>250</v>
      </c>
      <c r="E50" s="120" t="s">
        <v>250</v>
      </c>
      <c r="F50" s="120" t="s">
        <v>250</v>
      </c>
      <c r="G50" s="120" t="s">
        <v>250</v>
      </c>
      <c r="H50" s="120" t="s">
        <v>250</v>
      </c>
      <c r="I50" s="120" t="s">
        <v>250</v>
      </c>
      <c r="J50" s="120" t="s">
        <v>250</v>
      </c>
      <c r="K50" s="120" t="s">
        <v>250</v>
      </c>
      <c r="L50" s="120" t="s">
        <v>250</v>
      </c>
      <c r="M50" s="120" t="s">
        <v>250</v>
      </c>
      <c r="N50" s="120" t="s">
        <v>250</v>
      </c>
      <c r="O50" s="120" t="s">
        <v>250</v>
      </c>
      <c r="P50" s="120" t="s">
        <v>250</v>
      </c>
      <c r="Q50" s="120" t="s">
        <v>250</v>
      </c>
      <c r="R50" s="120"/>
      <c r="S50" s="121"/>
    </row>
    <row r="51" spans="1:19" ht="15">
      <c r="A51" s="105" t="s">
        <v>250</v>
      </c>
      <c r="B51" s="105"/>
      <c r="C51" s="107" t="s">
        <v>279</v>
      </c>
      <c r="D51" s="107" t="s">
        <v>250</v>
      </c>
      <c r="E51" s="120" t="s">
        <v>250</v>
      </c>
      <c r="F51" s="120" t="s">
        <v>250</v>
      </c>
      <c r="G51" s="120" t="s">
        <v>250</v>
      </c>
      <c r="H51" s="120" t="s">
        <v>250</v>
      </c>
      <c r="I51" s="120" t="s">
        <v>250</v>
      </c>
      <c r="J51" s="120" t="s">
        <v>250</v>
      </c>
      <c r="K51" s="120" t="s">
        <v>250</v>
      </c>
      <c r="L51" s="120" t="s">
        <v>250</v>
      </c>
      <c r="M51" s="120" t="s">
        <v>250</v>
      </c>
      <c r="N51" s="120" t="s">
        <v>250</v>
      </c>
      <c r="O51" s="120" t="s">
        <v>250</v>
      </c>
      <c r="P51" s="120" t="s">
        <v>250</v>
      </c>
      <c r="Q51" s="120" t="s">
        <v>250</v>
      </c>
      <c r="R51" s="120"/>
      <c r="S51" s="121"/>
    </row>
    <row r="52" spans="1:19" ht="15">
      <c r="A52" s="105">
        <v>25</v>
      </c>
      <c r="B52" s="105"/>
      <c r="C52" s="107" t="s">
        <v>280</v>
      </c>
      <c r="D52" s="107" t="s">
        <v>250</v>
      </c>
      <c r="E52" s="120">
        <v>857599441.40989709</v>
      </c>
      <c r="F52" s="120" t="s">
        <v>250</v>
      </c>
      <c r="G52" s="120">
        <v>805082104.24666893</v>
      </c>
      <c r="H52" s="120" t="s">
        <v>250</v>
      </c>
      <c r="I52" s="120">
        <v>38885874.716857493</v>
      </c>
      <c r="J52" s="120">
        <v>13631462.446370624</v>
      </c>
      <c r="K52" s="120" t="s">
        <v>250</v>
      </c>
      <c r="L52" s="120" t="s">
        <v>250</v>
      </c>
      <c r="M52" s="120">
        <v>0</v>
      </c>
      <c r="N52" s="120" t="s">
        <v>250</v>
      </c>
      <c r="O52" s="120">
        <v>13631462.446370624</v>
      </c>
      <c r="P52" s="120">
        <v>7020310.9167755572</v>
      </c>
      <c r="Q52" s="120">
        <v>6611151.5295950677</v>
      </c>
      <c r="R52" s="120"/>
      <c r="S52" s="121"/>
    </row>
    <row r="53" spans="1:19" ht="15">
      <c r="A53" s="105">
        <v>26</v>
      </c>
      <c r="B53" s="105"/>
      <c r="C53" s="107" t="s">
        <v>281</v>
      </c>
      <c r="D53" s="107" t="s">
        <v>250</v>
      </c>
      <c r="E53" s="120">
        <v>338908014.67533129</v>
      </c>
      <c r="F53" s="120" t="s">
        <v>250</v>
      </c>
      <c r="G53" s="120">
        <v>317077866.15466666</v>
      </c>
      <c r="H53" s="120" t="s">
        <v>250</v>
      </c>
      <c r="I53" s="120">
        <v>16397231.812285803</v>
      </c>
      <c r="J53" s="120">
        <v>5432916.7083788645</v>
      </c>
      <c r="K53" s="120" t="s">
        <v>250</v>
      </c>
      <c r="L53" s="120" t="s">
        <v>250</v>
      </c>
      <c r="M53" s="120">
        <v>0</v>
      </c>
      <c r="N53" s="120" t="s">
        <v>250</v>
      </c>
      <c r="O53" s="120">
        <v>5432916.7083788645</v>
      </c>
      <c r="P53" s="120">
        <v>2792517.0651977519</v>
      </c>
      <c r="Q53" s="120">
        <v>2640399.6431811131</v>
      </c>
      <c r="R53" s="120"/>
      <c r="S53" s="121"/>
    </row>
    <row r="54" spans="1:19" ht="15">
      <c r="A54" s="105">
        <v>27</v>
      </c>
      <c r="B54" s="105"/>
      <c r="C54" s="107" t="s">
        <v>2215</v>
      </c>
      <c r="D54" s="107" t="s">
        <v>250</v>
      </c>
      <c r="E54" s="120">
        <v>12336694.960949101</v>
      </c>
      <c r="F54" s="120" t="s">
        <v>250</v>
      </c>
      <c r="G54" s="120">
        <v>11601860.7409491</v>
      </c>
      <c r="H54" s="120" t="s">
        <v>250</v>
      </c>
      <c r="I54" s="120">
        <v>734834.22</v>
      </c>
      <c r="J54" s="120">
        <v>0</v>
      </c>
      <c r="K54" s="120" t="s">
        <v>250</v>
      </c>
      <c r="L54" s="120" t="s">
        <v>250</v>
      </c>
      <c r="M54" s="120">
        <v>0</v>
      </c>
      <c r="N54" s="120" t="s">
        <v>250</v>
      </c>
      <c r="O54" s="120">
        <v>0</v>
      </c>
      <c r="P54" s="120">
        <v>0</v>
      </c>
      <c r="Q54" s="120">
        <v>0</v>
      </c>
      <c r="R54" s="120"/>
      <c r="S54" s="121"/>
    </row>
    <row r="55" spans="1:19" ht="15">
      <c r="A55" s="105">
        <v>28</v>
      </c>
      <c r="B55" s="105"/>
      <c r="C55" s="107" t="s">
        <v>282</v>
      </c>
      <c r="D55" s="107" t="s">
        <v>250</v>
      </c>
      <c r="E55" s="120">
        <v>47352105.931244075</v>
      </c>
      <c r="F55" s="120" t="s">
        <v>250</v>
      </c>
      <c r="G55" s="120">
        <v>44651020.451722473</v>
      </c>
      <c r="H55" s="120" t="s">
        <v>250</v>
      </c>
      <c r="I55" s="120">
        <v>2123993.0108395945</v>
      </c>
      <c r="J55" s="120">
        <v>577092.46868200856</v>
      </c>
      <c r="K55" s="120" t="s">
        <v>250</v>
      </c>
      <c r="L55" s="120" t="s">
        <v>250</v>
      </c>
      <c r="M55" s="120">
        <v>0</v>
      </c>
      <c r="N55" s="120" t="s">
        <v>250</v>
      </c>
      <c r="O55" s="120">
        <v>577092.46868200856</v>
      </c>
      <c r="P55" s="120">
        <v>302996.55386173323</v>
      </c>
      <c r="Q55" s="120">
        <v>274095.91482027533</v>
      </c>
      <c r="R55" s="120"/>
      <c r="S55" s="121"/>
    </row>
    <row r="56" spans="1:19" ht="15">
      <c r="A56" s="105">
        <v>29</v>
      </c>
      <c r="B56" s="105"/>
      <c r="C56" s="107" t="s">
        <v>283</v>
      </c>
      <c r="D56" s="107" t="s">
        <v>250</v>
      </c>
      <c r="E56" s="120">
        <v>68924739.700000003</v>
      </c>
      <c r="F56" s="120" t="s">
        <v>250</v>
      </c>
      <c r="G56" s="120">
        <v>65373710.993305564</v>
      </c>
      <c r="H56" s="120" t="s">
        <v>250</v>
      </c>
      <c r="I56" s="120">
        <v>2832659.8669454195</v>
      </c>
      <c r="J56" s="120">
        <v>692112.09502317256</v>
      </c>
      <c r="K56" s="120" t="s">
        <v>250</v>
      </c>
      <c r="L56" s="120" t="s">
        <v>250</v>
      </c>
      <c r="M56" s="120">
        <v>0</v>
      </c>
      <c r="N56" s="120" t="s">
        <v>250</v>
      </c>
      <c r="O56" s="120">
        <v>692112.09502317256</v>
      </c>
      <c r="P56" s="120">
        <v>192300.33262723027</v>
      </c>
      <c r="Q56" s="120">
        <v>499811.76239594229</v>
      </c>
      <c r="R56" s="120"/>
      <c r="S56" s="121"/>
    </row>
    <row r="57" spans="1:19" ht="15">
      <c r="A57" s="105">
        <v>30</v>
      </c>
      <c r="B57" s="105"/>
      <c r="C57" s="107" t="s">
        <v>284</v>
      </c>
      <c r="D57" s="107" t="s">
        <v>250</v>
      </c>
      <c r="E57" s="120">
        <v>13833.71</v>
      </c>
      <c r="F57" s="120" t="s">
        <v>250</v>
      </c>
      <c r="G57" s="120">
        <v>12977.583025545448</v>
      </c>
      <c r="H57" s="120" t="s">
        <v>250</v>
      </c>
      <c r="I57" s="120">
        <v>587.72688661856228</v>
      </c>
      <c r="J57" s="120">
        <v>268.40008783598932</v>
      </c>
      <c r="K57" s="120"/>
      <c r="L57" s="120"/>
      <c r="M57" s="120">
        <v>0</v>
      </c>
      <c r="N57" s="120" t="s">
        <v>250</v>
      </c>
      <c r="O57" s="120">
        <v>268.40008783598932</v>
      </c>
      <c r="P57" s="120">
        <v>136.14754315995259</v>
      </c>
      <c r="Q57" s="120">
        <v>132.25254467603673</v>
      </c>
      <c r="R57" s="120"/>
      <c r="S57" s="121"/>
    </row>
    <row r="58" spans="1:19" ht="15">
      <c r="A58" s="105">
        <v>31</v>
      </c>
      <c r="B58" s="105"/>
      <c r="C58" s="107" t="s">
        <v>285</v>
      </c>
      <c r="D58" s="107" t="s">
        <v>250</v>
      </c>
      <c r="E58" s="120">
        <v>-1626.6950039999956</v>
      </c>
      <c r="F58" s="120" t="s">
        <v>250</v>
      </c>
      <c r="G58" s="120">
        <v>0</v>
      </c>
      <c r="H58" s="120" t="s">
        <v>250</v>
      </c>
      <c r="I58" s="120">
        <v>-82.999534807822911</v>
      </c>
      <c r="J58" s="120">
        <v>0</v>
      </c>
      <c r="K58" s="120"/>
      <c r="L58" s="120"/>
      <c r="M58" s="120">
        <v>0</v>
      </c>
      <c r="N58" s="120" t="s">
        <v>250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286</v>
      </c>
      <c r="D59" s="107" t="s">
        <v>250</v>
      </c>
      <c r="E59" s="120">
        <v>269006.10739999998</v>
      </c>
      <c r="F59" s="120" t="s">
        <v>250</v>
      </c>
      <c r="G59" s="120">
        <v>0</v>
      </c>
      <c r="H59" s="120" t="s">
        <v>250</v>
      </c>
      <c r="I59" s="120">
        <v>6326.8222947785243</v>
      </c>
      <c r="J59" s="120">
        <v>0</v>
      </c>
      <c r="K59" s="120"/>
      <c r="L59" s="120"/>
      <c r="M59" s="120">
        <v>0</v>
      </c>
      <c r="N59" s="120" t="s">
        <v>250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287</v>
      </c>
      <c r="D60" s="107" t="s">
        <v>250</v>
      </c>
      <c r="E60" s="120">
        <v>552516.76613099989</v>
      </c>
      <c r="F60" s="120" t="s">
        <v>250</v>
      </c>
      <c r="G60" s="120">
        <v>0</v>
      </c>
      <c r="H60" s="120" t="s">
        <v>250</v>
      </c>
      <c r="I60" s="120">
        <v>23268.303409999993</v>
      </c>
      <c r="J60" s="120">
        <v>0</v>
      </c>
      <c r="K60" s="120"/>
      <c r="L60" s="120"/>
      <c r="M60" s="120">
        <v>0</v>
      </c>
      <c r="N60" s="120" t="s">
        <v>250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288</v>
      </c>
      <c r="D61" s="107" t="s">
        <v>250</v>
      </c>
      <c r="E61" s="120">
        <v>0</v>
      </c>
      <c r="F61" s="120" t="s">
        <v>250</v>
      </c>
      <c r="G61" s="120">
        <v>0</v>
      </c>
      <c r="H61" s="120" t="s">
        <v>250</v>
      </c>
      <c r="I61" s="120">
        <v>0</v>
      </c>
      <c r="J61" s="120">
        <v>0</v>
      </c>
      <c r="K61" s="120"/>
      <c r="L61" s="120"/>
      <c r="M61" s="120">
        <v>0</v>
      </c>
      <c r="N61" s="120" t="s">
        <v>250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289</v>
      </c>
      <c r="D62" s="107" t="s">
        <v>250</v>
      </c>
      <c r="E62" s="120">
        <v>1325954726.5659487</v>
      </c>
      <c r="F62" s="120" t="s">
        <v>250</v>
      </c>
      <c r="G62" s="120">
        <v>1243799540.1703382</v>
      </c>
      <c r="H62" s="120" t="s">
        <v>250</v>
      </c>
      <c r="I62" s="120">
        <v>61004693.479984902</v>
      </c>
      <c r="J62" s="120">
        <v>20333852.118542507</v>
      </c>
      <c r="K62" s="120" t="s">
        <v>250</v>
      </c>
      <c r="L62" s="120" t="s">
        <v>250</v>
      </c>
      <c r="M62" s="120">
        <v>0</v>
      </c>
      <c r="N62" s="120" t="s">
        <v>250</v>
      </c>
      <c r="O62" s="120">
        <v>20333852.118542507</v>
      </c>
      <c r="P62" s="120">
        <v>10308261.016005432</v>
      </c>
      <c r="Q62" s="120">
        <v>10025591.102537077</v>
      </c>
      <c r="R62" s="120"/>
      <c r="S62" s="121"/>
    </row>
    <row r="63" spans="1:19" ht="15">
      <c r="A63" s="105" t="s">
        <v>250</v>
      </c>
      <c r="B63" s="105"/>
      <c r="C63" s="107" t="s">
        <v>250</v>
      </c>
      <c r="D63" s="107" t="s">
        <v>250</v>
      </c>
      <c r="E63" s="120" t="s">
        <v>250</v>
      </c>
      <c r="F63" s="120" t="s">
        <v>250</v>
      </c>
      <c r="G63" s="120" t="s">
        <v>250</v>
      </c>
      <c r="H63" s="120" t="s">
        <v>250</v>
      </c>
      <c r="I63" s="120" t="s">
        <v>250</v>
      </c>
      <c r="J63" s="120" t="s">
        <v>250</v>
      </c>
      <c r="K63" s="120" t="s">
        <v>250</v>
      </c>
      <c r="L63" s="120" t="s">
        <v>250</v>
      </c>
      <c r="M63" s="120" t="s">
        <v>250</v>
      </c>
      <c r="N63" s="120" t="s">
        <v>250</v>
      </c>
      <c r="O63" s="120" t="s">
        <v>250</v>
      </c>
      <c r="P63" s="120" t="s">
        <v>250</v>
      </c>
      <c r="Q63" s="120" t="s">
        <v>250</v>
      </c>
      <c r="R63" s="120"/>
      <c r="S63" s="121"/>
    </row>
    <row r="64" spans="1:19" ht="15">
      <c r="A64" s="105">
        <v>36</v>
      </c>
      <c r="B64" s="105"/>
      <c r="C64" s="107" t="s">
        <v>290</v>
      </c>
      <c r="D64" s="107" t="s">
        <v>250</v>
      </c>
      <c r="E64" s="120">
        <v>382683541.32664561</v>
      </c>
      <c r="F64" s="120" t="s">
        <v>250</v>
      </c>
      <c r="G64" s="120">
        <v>362834375.75024939</v>
      </c>
      <c r="H64" s="120" t="s">
        <v>250</v>
      </c>
      <c r="I64" s="120">
        <v>17125697.078187667</v>
      </c>
      <c r="J64" s="120">
        <v>3540109.2952917926</v>
      </c>
      <c r="K64" s="120" t="s">
        <v>250</v>
      </c>
      <c r="L64" s="120" t="s">
        <v>250</v>
      </c>
      <c r="M64" s="120">
        <v>0</v>
      </c>
      <c r="N64" s="120" t="s">
        <v>250</v>
      </c>
      <c r="O64" s="120">
        <v>3540109.2952917926</v>
      </c>
      <c r="P64" s="120">
        <v>1358958.3173417766</v>
      </c>
      <c r="Q64" s="120">
        <v>2181150.977950016</v>
      </c>
      <c r="R64" s="122"/>
      <c r="S64" s="121"/>
    </row>
    <row r="65" spans="1:19" ht="15">
      <c r="A65" s="105">
        <v>37</v>
      </c>
      <c r="B65" s="105"/>
      <c r="C65" s="107" t="s">
        <v>291</v>
      </c>
      <c r="D65" s="107" t="s">
        <v>250</v>
      </c>
      <c r="E65" s="122">
        <v>6.4577163702431106E-2</v>
      </c>
      <c r="F65" s="120" t="s">
        <v>250</v>
      </c>
      <c r="G65" s="122">
        <v>6.4704588449924327E-2</v>
      </c>
      <c r="H65" s="122" t="s">
        <v>250</v>
      </c>
      <c r="I65" s="122">
        <v>5.7816037968887582E-2</v>
      </c>
      <c r="J65" s="122">
        <v>4.4110883116344084E-2</v>
      </c>
      <c r="K65" s="122" t="s">
        <v>250</v>
      </c>
      <c r="L65" s="122" t="s">
        <v>250</v>
      </c>
      <c r="M65" s="122">
        <v>0</v>
      </c>
      <c r="N65" s="122" t="s">
        <v>250</v>
      </c>
      <c r="O65" s="122">
        <v>4.4110883116344084E-2</v>
      </c>
      <c r="P65" s="122">
        <v>3.2194965646232629E-2</v>
      </c>
      <c r="Q65" s="122">
        <v>5.7331559860395509E-2</v>
      </c>
      <c r="R65" s="120"/>
      <c r="S65" s="121"/>
    </row>
    <row r="66" spans="1:19" ht="15">
      <c r="A66" s="105" t="s">
        <v>250</v>
      </c>
      <c r="B66" s="105"/>
      <c r="C66" s="107" t="s">
        <v>250</v>
      </c>
      <c r="D66" s="107" t="s">
        <v>250</v>
      </c>
      <c r="E66" s="120" t="s">
        <v>250</v>
      </c>
      <c r="F66" s="120" t="s">
        <v>250</v>
      </c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1"/>
    </row>
    <row r="67" spans="1:19" ht="15">
      <c r="A67" s="105" t="s">
        <v>250</v>
      </c>
      <c r="B67" s="105"/>
      <c r="C67" s="107" t="s">
        <v>250</v>
      </c>
      <c r="D67" s="107" t="s">
        <v>250</v>
      </c>
      <c r="E67" s="120" t="s">
        <v>250</v>
      </c>
      <c r="F67" s="120" t="s">
        <v>250</v>
      </c>
      <c r="G67" s="120" t="s">
        <v>250</v>
      </c>
      <c r="H67" s="120" t="s">
        <v>250</v>
      </c>
      <c r="I67" s="120" t="s">
        <v>250</v>
      </c>
      <c r="J67" s="120" t="s">
        <v>250</v>
      </c>
      <c r="K67" s="120" t="s">
        <v>250</v>
      </c>
      <c r="L67" s="120" t="s">
        <v>250</v>
      </c>
      <c r="M67" s="120" t="s">
        <v>250</v>
      </c>
      <c r="N67" s="120" t="s">
        <v>250</v>
      </c>
      <c r="O67" s="120" t="s">
        <v>250</v>
      </c>
      <c r="P67" s="120" t="s">
        <v>250</v>
      </c>
      <c r="Q67" s="120" t="s">
        <v>250</v>
      </c>
      <c r="R67" s="120"/>
      <c r="S67" s="121"/>
    </row>
    <row r="68" spans="1:19" ht="15">
      <c r="A68" s="105" t="s">
        <v>250</v>
      </c>
      <c r="B68" s="105"/>
      <c r="C68" s="107" t="s">
        <v>250</v>
      </c>
      <c r="D68" s="107" t="s">
        <v>250</v>
      </c>
      <c r="E68" s="120" t="s">
        <v>250</v>
      </c>
      <c r="F68" s="120" t="s">
        <v>250</v>
      </c>
      <c r="G68" s="120" t="s">
        <v>250</v>
      </c>
      <c r="H68" s="120" t="s">
        <v>250</v>
      </c>
      <c r="I68" s="120" t="s">
        <v>250</v>
      </c>
      <c r="J68" s="120" t="s">
        <v>250</v>
      </c>
      <c r="K68" s="120" t="s">
        <v>250</v>
      </c>
      <c r="L68" s="120" t="s">
        <v>250</v>
      </c>
      <c r="M68" s="120" t="s">
        <v>250</v>
      </c>
      <c r="N68" s="120" t="s">
        <v>250</v>
      </c>
      <c r="O68" s="120" t="s">
        <v>250</v>
      </c>
      <c r="P68" s="120" t="s">
        <v>250</v>
      </c>
      <c r="Q68" s="120" t="s">
        <v>250</v>
      </c>
      <c r="R68" s="120"/>
      <c r="S68" s="121"/>
    </row>
    <row r="69" spans="1:19" ht="15">
      <c r="A69" s="105" t="s">
        <v>250</v>
      </c>
      <c r="B69" s="105"/>
      <c r="C69" s="107" t="s">
        <v>292</v>
      </c>
      <c r="D69" s="107" t="s">
        <v>250</v>
      </c>
      <c r="E69" s="120" t="s">
        <v>250</v>
      </c>
      <c r="F69" s="120" t="s">
        <v>250</v>
      </c>
      <c r="G69" s="120" t="s">
        <v>250</v>
      </c>
      <c r="H69" s="120" t="s">
        <v>250</v>
      </c>
      <c r="I69" s="120" t="s">
        <v>250</v>
      </c>
      <c r="J69" s="120" t="s">
        <v>250</v>
      </c>
      <c r="K69" s="120" t="s">
        <v>250</v>
      </c>
      <c r="L69" s="120" t="s">
        <v>250</v>
      </c>
      <c r="M69" s="120" t="s">
        <v>250</v>
      </c>
      <c r="N69" s="120" t="s">
        <v>250</v>
      </c>
      <c r="O69" s="120" t="s">
        <v>250</v>
      </c>
      <c r="P69" s="120" t="s">
        <v>250</v>
      </c>
      <c r="Q69" s="120" t="s">
        <v>250</v>
      </c>
      <c r="R69" s="120"/>
      <c r="S69" s="121"/>
    </row>
    <row r="70" spans="1:19" ht="15">
      <c r="A70" s="105" t="s">
        <v>250</v>
      </c>
      <c r="B70" s="105"/>
      <c r="C70" s="107" t="s">
        <v>250</v>
      </c>
      <c r="D70" s="107" t="s">
        <v>250</v>
      </c>
      <c r="E70" s="120" t="s">
        <v>250</v>
      </c>
      <c r="F70" s="120" t="s">
        <v>250</v>
      </c>
      <c r="G70" s="120" t="s">
        <v>250</v>
      </c>
      <c r="H70" s="120" t="s">
        <v>250</v>
      </c>
      <c r="I70" s="120" t="s">
        <v>250</v>
      </c>
      <c r="J70" s="120" t="s">
        <v>250</v>
      </c>
      <c r="K70" s="120" t="s">
        <v>250</v>
      </c>
      <c r="L70" s="120" t="s">
        <v>250</v>
      </c>
      <c r="M70" s="120" t="s">
        <v>250</v>
      </c>
      <c r="N70" s="120" t="s">
        <v>250</v>
      </c>
      <c r="O70" s="120" t="s">
        <v>250</v>
      </c>
      <c r="P70" s="120" t="s">
        <v>250</v>
      </c>
      <c r="Q70" s="120" t="s">
        <v>250</v>
      </c>
      <c r="R70" s="120"/>
      <c r="S70" s="121"/>
    </row>
    <row r="71" spans="1:19" ht="15">
      <c r="A71" s="105" t="s">
        <v>250</v>
      </c>
      <c r="B71" s="129"/>
      <c r="C71" s="107" t="s">
        <v>293</v>
      </c>
      <c r="D71" s="107" t="s">
        <v>250</v>
      </c>
      <c r="E71" s="120" t="s">
        <v>250</v>
      </c>
      <c r="F71" s="120" t="s">
        <v>250</v>
      </c>
      <c r="G71" s="120" t="s">
        <v>250</v>
      </c>
      <c r="H71" s="120" t="s">
        <v>250</v>
      </c>
      <c r="I71" s="120" t="s">
        <v>250</v>
      </c>
      <c r="J71" s="120" t="s">
        <v>250</v>
      </c>
      <c r="K71" s="120" t="s">
        <v>250</v>
      </c>
      <c r="L71" s="120" t="s">
        <v>250</v>
      </c>
      <c r="M71" s="120" t="s">
        <v>250</v>
      </c>
      <c r="N71" s="120" t="s">
        <v>250</v>
      </c>
      <c r="O71" s="120" t="s">
        <v>250</v>
      </c>
      <c r="P71" s="120" t="s">
        <v>250</v>
      </c>
      <c r="Q71" s="120" t="s">
        <v>250</v>
      </c>
      <c r="R71" s="120"/>
      <c r="S71" s="121"/>
    </row>
    <row r="72" spans="1:19" ht="15">
      <c r="A72" s="105">
        <v>1</v>
      </c>
      <c r="B72" s="129" t="str">
        <f t="shared" ref="B72:B111" si="1">MID(C72,2,3)</f>
        <v>301</v>
      </c>
      <c r="C72" s="107" t="s">
        <v>294</v>
      </c>
      <c r="D72" s="107" t="s">
        <v>295</v>
      </c>
      <c r="E72" s="120">
        <v>44455.580000000009</v>
      </c>
      <c r="F72" s="120" t="s">
        <v>250</v>
      </c>
      <c r="G72" s="120">
        <v>41562.433561033293</v>
      </c>
      <c r="H72" s="120" t="s">
        <v>250</v>
      </c>
      <c r="I72" s="120">
        <v>2268.3066750873086</v>
      </c>
      <c r="J72" s="120">
        <v>624.83976387940265</v>
      </c>
      <c r="K72" s="120" t="s">
        <v>250</v>
      </c>
      <c r="L72" s="120" t="s">
        <v>250</v>
      </c>
      <c r="M72" s="120">
        <v>0</v>
      </c>
      <c r="N72" s="120" t="s">
        <v>250</v>
      </c>
      <c r="O72" s="120">
        <v>624.83976387940265</v>
      </c>
      <c r="P72" s="120">
        <v>326.67468226154597</v>
      </c>
      <c r="Q72" s="120">
        <v>298.16508161785674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296</v>
      </c>
      <c r="D73" s="107" t="s">
        <v>297</v>
      </c>
      <c r="E73" s="120">
        <v>144368.66</v>
      </c>
      <c r="F73" s="120" t="s">
        <v>250</v>
      </c>
      <c r="G73" s="120">
        <v>144368.66</v>
      </c>
      <c r="H73" s="120" t="s">
        <v>250</v>
      </c>
      <c r="I73" s="120">
        <v>0</v>
      </c>
      <c r="J73" s="120">
        <v>0</v>
      </c>
      <c r="K73" s="120" t="s">
        <v>250</v>
      </c>
      <c r="L73" s="120" t="s">
        <v>250</v>
      </c>
      <c r="M73" s="120">
        <v>0</v>
      </c>
      <c r="N73" s="120" t="s">
        <v>250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298</v>
      </c>
      <c r="D74" s="107" t="s">
        <v>295</v>
      </c>
      <c r="E74" s="120">
        <v>105007944.4999999</v>
      </c>
      <c r="F74" s="120" t="s">
        <v>250</v>
      </c>
      <c r="G74" s="120">
        <v>98174081.108871296</v>
      </c>
      <c r="H74" s="120" t="s">
        <v>250</v>
      </c>
      <c r="I74" s="120">
        <v>5357937.5512938388</v>
      </c>
      <c r="J74" s="120">
        <v>1475925.8398347599</v>
      </c>
      <c r="K74" s="120" t="s">
        <v>250</v>
      </c>
      <c r="L74" s="120" t="s">
        <v>250</v>
      </c>
      <c r="M74" s="120">
        <v>0</v>
      </c>
      <c r="N74" s="120" t="s">
        <v>250</v>
      </c>
      <c r="O74" s="120">
        <v>1475925.8398347599</v>
      </c>
      <c r="P74" s="120">
        <v>771633.99745263741</v>
      </c>
      <c r="Q74" s="120">
        <v>704291.84238212253</v>
      </c>
      <c r="R74" s="120"/>
      <c r="S74" s="121"/>
    </row>
    <row r="75" spans="1:19" ht="15">
      <c r="A75" s="105">
        <v>4</v>
      </c>
      <c r="B75" s="129"/>
      <c r="C75" s="107" t="s">
        <v>299</v>
      </c>
      <c r="D75" s="107" t="s">
        <v>250</v>
      </c>
      <c r="E75" s="120">
        <v>105196768.73999991</v>
      </c>
      <c r="F75" s="120" t="s">
        <v>250</v>
      </c>
      <c r="G75" s="120">
        <v>98360012.202432334</v>
      </c>
      <c r="H75" s="120" t="s">
        <v>250</v>
      </c>
      <c r="I75" s="120">
        <v>5360205.8579689264</v>
      </c>
      <c r="J75" s="120">
        <v>1476550.6795986393</v>
      </c>
      <c r="K75" s="120" t="s">
        <v>250</v>
      </c>
      <c r="L75" s="120" t="s">
        <v>250</v>
      </c>
      <c r="M75" s="120">
        <v>0</v>
      </c>
      <c r="N75" s="120" t="s">
        <v>250</v>
      </c>
      <c r="O75" s="120">
        <v>1476550.6795986393</v>
      </c>
      <c r="P75" s="120">
        <v>771960.67213489895</v>
      </c>
      <c r="Q75" s="120">
        <v>704590.00746374042</v>
      </c>
      <c r="R75" s="120"/>
      <c r="S75" s="121"/>
    </row>
    <row r="76" spans="1:19" ht="15">
      <c r="A76" s="105" t="s">
        <v>250</v>
      </c>
      <c r="B76" s="129" t="str">
        <f t="shared" si="1"/>
        <v/>
      </c>
      <c r="C76" s="107" t="s">
        <v>250</v>
      </c>
      <c r="D76" s="107" t="s">
        <v>250</v>
      </c>
      <c r="E76" s="120" t="s">
        <v>250</v>
      </c>
      <c r="F76" s="120" t="s">
        <v>250</v>
      </c>
      <c r="G76" s="120" t="s">
        <v>250</v>
      </c>
      <c r="H76" s="120" t="s">
        <v>250</v>
      </c>
      <c r="I76" s="120" t="s">
        <v>250</v>
      </c>
      <c r="J76" s="120" t="s">
        <v>250</v>
      </c>
      <c r="K76" s="120" t="s">
        <v>250</v>
      </c>
      <c r="L76" s="120" t="s">
        <v>250</v>
      </c>
      <c r="M76" s="120" t="s">
        <v>250</v>
      </c>
      <c r="N76" s="120" t="s">
        <v>250</v>
      </c>
      <c r="O76" s="120" t="s">
        <v>250</v>
      </c>
      <c r="P76" s="120" t="s">
        <v>250</v>
      </c>
      <c r="Q76" s="120" t="s">
        <v>250</v>
      </c>
      <c r="R76" s="120"/>
      <c r="S76" s="121"/>
    </row>
    <row r="77" spans="1:19" ht="15">
      <c r="A77" s="105" t="s">
        <v>250</v>
      </c>
      <c r="B77" s="129"/>
      <c r="C77" s="107" t="s">
        <v>300</v>
      </c>
      <c r="D77" s="107" t="s">
        <v>250</v>
      </c>
      <c r="E77" s="120" t="s">
        <v>250</v>
      </c>
      <c r="F77" s="120" t="s">
        <v>250</v>
      </c>
      <c r="G77" s="120" t="s">
        <v>250</v>
      </c>
      <c r="H77" s="120" t="s">
        <v>250</v>
      </c>
      <c r="I77" s="120" t="s">
        <v>250</v>
      </c>
      <c r="J77" s="120" t="s">
        <v>250</v>
      </c>
      <c r="K77" s="120" t="s">
        <v>250</v>
      </c>
      <c r="L77" s="120" t="s">
        <v>250</v>
      </c>
      <c r="M77" s="120" t="s">
        <v>250</v>
      </c>
      <c r="N77" s="120" t="s">
        <v>250</v>
      </c>
      <c r="O77" s="120" t="s">
        <v>250</v>
      </c>
      <c r="P77" s="120" t="s">
        <v>250</v>
      </c>
      <c r="Q77" s="120" t="s">
        <v>250</v>
      </c>
      <c r="R77" s="120"/>
      <c r="S77" s="121"/>
    </row>
    <row r="78" spans="1:19" ht="15">
      <c r="A78" s="105" t="s">
        <v>250</v>
      </c>
      <c r="B78" s="129"/>
      <c r="C78" s="107" t="s">
        <v>301</v>
      </c>
      <c r="D78" s="107" t="s">
        <v>250</v>
      </c>
      <c r="E78" s="120" t="s">
        <v>250</v>
      </c>
      <c r="F78" s="120" t="s">
        <v>250</v>
      </c>
      <c r="G78" s="120" t="s">
        <v>250</v>
      </c>
      <c r="H78" s="120" t="s">
        <v>250</v>
      </c>
      <c r="I78" s="120" t="s">
        <v>250</v>
      </c>
      <c r="J78" s="120" t="s">
        <v>250</v>
      </c>
      <c r="K78" s="120" t="s">
        <v>250</v>
      </c>
      <c r="L78" s="120" t="s">
        <v>250</v>
      </c>
      <c r="M78" s="120" t="s">
        <v>250</v>
      </c>
      <c r="N78" s="120" t="s">
        <v>250</v>
      </c>
      <c r="O78" s="120" t="s">
        <v>250</v>
      </c>
      <c r="P78" s="120" t="s">
        <v>250</v>
      </c>
      <c r="Q78" s="120" t="s">
        <v>250</v>
      </c>
      <c r="R78" s="120"/>
      <c r="S78" s="121"/>
    </row>
    <row r="79" spans="1:19" ht="15">
      <c r="A79" s="105">
        <v>5</v>
      </c>
      <c r="B79" s="129" t="str">
        <f t="shared" si="1"/>
        <v>310</v>
      </c>
      <c r="C79" s="107" t="s">
        <v>302</v>
      </c>
      <c r="D79" s="107" t="s">
        <v>303</v>
      </c>
      <c r="E79" s="120">
        <v>24993712.409999903</v>
      </c>
      <c r="F79" s="120" t="s">
        <v>250</v>
      </c>
      <c r="G79" s="120">
        <v>23446926.234349236</v>
      </c>
      <c r="H79" s="120" t="s">
        <v>250</v>
      </c>
      <c r="I79" s="120">
        <v>1061860.9743712256</v>
      </c>
      <c r="J79" s="120">
        <v>484925.20127944206</v>
      </c>
      <c r="K79" s="120" t="s">
        <v>250</v>
      </c>
      <c r="L79" s="120" t="s">
        <v>250</v>
      </c>
      <c r="M79" s="120">
        <v>0</v>
      </c>
      <c r="N79" s="120" t="s">
        <v>250</v>
      </c>
      <c r="O79" s="120">
        <v>484925.20127944206</v>
      </c>
      <c r="P79" s="120">
        <v>245981.19658919441</v>
      </c>
      <c r="Q79" s="120">
        <v>238944.00469024768</v>
      </c>
      <c r="R79" s="120"/>
      <c r="S79" s="121"/>
    </row>
    <row r="80" spans="1:19" ht="15">
      <c r="A80" s="105">
        <v>6</v>
      </c>
      <c r="B80" s="129" t="str">
        <f t="shared" si="1"/>
        <v>311</v>
      </c>
      <c r="C80" s="107" t="s">
        <v>304</v>
      </c>
      <c r="D80" s="107" t="s">
        <v>303</v>
      </c>
      <c r="E80" s="120">
        <v>355011949.38999909</v>
      </c>
      <c r="F80" s="120" t="s">
        <v>250</v>
      </c>
      <c r="G80" s="120">
        <v>333041320.67749369</v>
      </c>
      <c r="H80" s="120" t="s">
        <v>250</v>
      </c>
      <c r="I80" s="120">
        <v>15082726.739780635</v>
      </c>
      <c r="J80" s="120">
        <v>6887901.9727247097</v>
      </c>
      <c r="K80" s="120" t="s">
        <v>250</v>
      </c>
      <c r="L80" s="120" t="s">
        <v>250</v>
      </c>
      <c r="M80" s="120">
        <v>0</v>
      </c>
      <c r="N80" s="120" t="s">
        <v>250</v>
      </c>
      <c r="O80" s="120">
        <v>6887901.9727247097</v>
      </c>
      <c r="P80" s="120">
        <v>3493929.3003737824</v>
      </c>
      <c r="Q80" s="120">
        <v>3393972.6723509268</v>
      </c>
      <c r="R80" s="120"/>
      <c r="S80" s="121"/>
    </row>
    <row r="81" spans="1:19" ht="15">
      <c r="A81" s="105">
        <v>7</v>
      </c>
      <c r="B81" s="129" t="str">
        <f t="shared" si="1"/>
        <v>312</v>
      </c>
      <c r="C81" s="107" t="s">
        <v>305</v>
      </c>
      <c r="D81" s="107" t="s">
        <v>303</v>
      </c>
      <c r="E81" s="120">
        <v>4307602630.1599998</v>
      </c>
      <c r="F81" s="120" t="s">
        <v>250</v>
      </c>
      <c r="G81" s="120">
        <v>4041017975.2184582</v>
      </c>
      <c r="H81" s="120" t="s">
        <v>250</v>
      </c>
      <c r="I81" s="120">
        <v>183009032.47313029</v>
      </c>
      <c r="J81" s="120">
        <v>83575622.468411058</v>
      </c>
      <c r="K81" s="120" t="s">
        <v>250</v>
      </c>
      <c r="L81" s="120" t="s">
        <v>250</v>
      </c>
      <c r="M81" s="120">
        <v>0</v>
      </c>
      <c r="N81" s="120" t="s">
        <v>250</v>
      </c>
      <c r="O81" s="120">
        <v>83575622.468411058</v>
      </c>
      <c r="P81" s="120">
        <v>42394232.277938016</v>
      </c>
      <c r="Q81" s="120">
        <v>41181390.190473035</v>
      </c>
      <c r="R81" s="120"/>
      <c r="S81" s="121"/>
    </row>
    <row r="82" spans="1:19" ht="15">
      <c r="A82" s="105">
        <v>8</v>
      </c>
      <c r="B82" s="129" t="str">
        <f t="shared" si="1"/>
        <v>314</v>
      </c>
      <c r="C82" s="107" t="s">
        <v>306</v>
      </c>
      <c r="D82" s="107" t="s">
        <v>303</v>
      </c>
      <c r="E82" s="120">
        <v>349364456.68999982</v>
      </c>
      <c r="F82" s="120" t="s">
        <v>250</v>
      </c>
      <c r="G82" s="120">
        <v>327743334.42504215</v>
      </c>
      <c r="H82" s="120" t="s">
        <v>250</v>
      </c>
      <c r="I82" s="120">
        <v>14842792.311361102</v>
      </c>
      <c r="J82" s="120">
        <v>6778329.9535965882</v>
      </c>
      <c r="K82" s="120" t="s">
        <v>250</v>
      </c>
      <c r="L82" s="120" t="s">
        <v>250</v>
      </c>
      <c r="M82" s="120">
        <v>0</v>
      </c>
      <c r="N82" s="120" t="s">
        <v>250</v>
      </c>
      <c r="O82" s="120">
        <v>6778329.9535965882</v>
      </c>
      <c r="P82" s="120">
        <v>3438348.2410542904</v>
      </c>
      <c r="Q82" s="120">
        <v>3339981.7125422978</v>
      </c>
      <c r="R82" s="120"/>
      <c r="S82" s="121"/>
    </row>
    <row r="83" spans="1:19" ht="15">
      <c r="A83" s="105">
        <v>9</v>
      </c>
      <c r="B83" s="129" t="str">
        <f t="shared" si="1"/>
        <v>315</v>
      </c>
      <c r="C83" s="107" t="s">
        <v>307</v>
      </c>
      <c r="D83" s="107" t="s">
        <v>303</v>
      </c>
      <c r="E83" s="120">
        <v>259192556.96999988</v>
      </c>
      <c r="F83" s="120" t="s">
        <v>250</v>
      </c>
      <c r="G83" s="120">
        <v>243151904.12995443</v>
      </c>
      <c r="H83" s="120" t="s">
        <v>250</v>
      </c>
      <c r="I83" s="120">
        <v>11011827.958131433</v>
      </c>
      <c r="J83" s="120">
        <v>5028824.8819140084</v>
      </c>
      <c r="K83" s="120" t="s">
        <v>250</v>
      </c>
      <c r="L83" s="120" t="s">
        <v>250</v>
      </c>
      <c r="M83" s="120">
        <v>0</v>
      </c>
      <c r="N83" s="120" t="s">
        <v>250</v>
      </c>
      <c r="O83" s="120">
        <v>5028824.8819140084</v>
      </c>
      <c r="P83" s="120">
        <v>2550901.3732983796</v>
      </c>
      <c r="Q83" s="120">
        <v>2477923.5086156288</v>
      </c>
      <c r="R83" s="120"/>
      <c r="S83" s="121"/>
    </row>
    <row r="84" spans="1:19" ht="15">
      <c r="A84" s="105">
        <v>10</v>
      </c>
      <c r="B84" s="129" t="str">
        <f t="shared" si="1"/>
        <v>316</v>
      </c>
      <c r="C84" s="107" t="s">
        <v>308</v>
      </c>
      <c r="D84" s="107" t="s">
        <v>303</v>
      </c>
      <c r="E84" s="120">
        <v>42750323.139999993</v>
      </c>
      <c r="F84" s="120" t="s">
        <v>250</v>
      </c>
      <c r="G84" s="120">
        <v>40104633.386000335</v>
      </c>
      <c r="H84" s="120" t="s">
        <v>250</v>
      </c>
      <c r="I84" s="120">
        <v>1816252.7854790709</v>
      </c>
      <c r="J84" s="120">
        <v>829436.96852058673</v>
      </c>
      <c r="K84" s="120" t="s">
        <v>250</v>
      </c>
      <c r="L84" s="120" t="s">
        <v>250</v>
      </c>
      <c r="M84" s="120">
        <v>0</v>
      </c>
      <c r="N84" s="120" t="s">
        <v>250</v>
      </c>
      <c r="O84" s="120">
        <v>829436.96852058673</v>
      </c>
      <c r="P84" s="120">
        <v>420736.84245260811</v>
      </c>
      <c r="Q84" s="120">
        <v>408700.12606797862</v>
      </c>
      <c r="R84" s="120"/>
      <c r="S84" s="121"/>
    </row>
    <row r="85" spans="1:19" ht="15">
      <c r="A85" s="105">
        <v>11</v>
      </c>
      <c r="B85" s="129" t="str">
        <f t="shared" si="1"/>
        <v>317</v>
      </c>
      <c r="C85" s="107" t="s">
        <v>309</v>
      </c>
      <c r="D85" s="107" t="s">
        <v>303</v>
      </c>
      <c r="E85" s="120">
        <v>169288108.67000002</v>
      </c>
      <c r="F85" s="120" t="s">
        <v>250</v>
      </c>
      <c r="G85" s="120">
        <v>158811373.48567271</v>
      </c>
      <c r="H85" s="120" t="s">
        <v>250</v>
      </c>
      <c r="I85" s="120">
        <v>7192226.3116809567</v>
      </c>
      <c r="J85" s="120">
        <v>3284508.8726463481</v>
      </c>
      <c r="K85" s="120" t="s">
        <v>250</v>
      </c>
      <c r="L85" s="120" t="s">
        <v>250</v>
      </c>
      <c r="M85" s="120">
        <v>0</v>
      </c>
      <c r="N85" s="120" t="s">
        <v>250</v>
      </c>
      <c r="O85" s="120">
        <v>3284508.8726463481</v>
      </c>
      <c r="P85" s="120">
        <v>1666086.6883587679</v>
      </c>
      <c r="Q85" s="120">
        <v>1618422.1842875802</v>
      </c>
      <c r="R85" s="120"/>
      <c r="S85" s="121"/>
    </row>
    <row r="86" spans="1:19" ht="15">
      <c r="A86" s="105">
        <v>12</v>
      </c>
      <c r="B86" s="129"/>
      <c r="C86" s="107" t="s">
        <v>310</v>
      </c>
      <c r="D86" s="107" t="s">
        <v>311</v>
      </c>
      <c r="E86" s="120">
        <v>7769119.6200000001</v>
      </c>
      <c r="F86" s="120" t="s">
        <v>250</v>
      </c>
      <c r="G86" s="120">
        <v>0</v>
      </c>
      <c r="H86" s="120" t="s">
        <v>250</v>
      </c>
      <c r="I86" s="120">
        <v>5333461.767092336</v>
      </c>
      <c r="J86" s="120">
        <v>2435657.8529076641</v>
      </c>
      <c r="K86" s="120" t="s">
        <v>250</v>
      </c>
      <c r="L86" s="120" t="s">
        <v>250</v>
      </c>
      <c r="M86" s="120">
        <v>0</v>
      </c>
      <c r="N86" s="120" t="s">
        <v>250</v>
      </c>
      <c r="O86" s="120">
        <v>2435657.8529076641</v>
      </c>
      <c r="P86" s="120">
        <v>1235501.952794662</v>
      </c>
      <c r="Q86" s="120">
        <v>1200155.9001130022</v>
      </c>
      <c r="R86" s="120"/>
      <c r="S86" s="121"/>
    </row>
    <row r="87" spans="1:19" ht="15">
      <c r="A87" s="105">
        <v>13</v>
      </c>
      <c r="B87" s="129"/>
      <c r="C87" s="107" t="s">
        <v>312</v>
      </c>
      <c r="D87" s="107" t="s">
        <v>313</v>
      </c>
      <c r="E87" s="120">
        <v>5888379.9600000009</v>
      </c>
      <c r="F87" s="120" t="s">
        <v>250</v>
      </c>
      <c r="G87" s="120">
        <v>0</v>
      </c>
      <c r="H87" s="120" t="s">
        <v>250</v>
      </c>
      <c r="I87" s="120">
        <v>0</v>
      </c>
      <c r="J87" s="120">
        <v>5888379.9600000009</v>
      </c>
      <c r="K87" s="120" t="s">
        <v>250</v>
      </c>
      <c r="L87" s="120" t="s">
        <v>250</v>
      </c>
      <c r="M87" s="120">
        <v>0</v>
      </c>
      <c r="N87" s="120" t="s">
        <v>250</v>
      </c>
      <c r="O87" s="120">
        <v>5888379.9600000009</v>
      </c>
      <c r="P87" s="120">
        <v>2986915.8062130962</v>
      </c>
      <c r="Q87" s="120">
        <v>2901464.1537869046</v>
      </c>
      <c r="R87" s="120"/>
      <c r="S87" s="121"/>
    </row>
    <row r="88" spans="1:19" ht="15">
      <c r="A88" s="105">
        <v>14</v>
      </c>
      <c r="B88" s="129"/>
      <c r="C88" s="107" t="s">
        <v>314</v>
      </c>
      <c r="D88" s="107" t="s">
        <v>250</v>
      </c>
      <c r="E88" s="120">
        <v>5521861237.0099983</v>
      </c>
      <c r="F88" s="120" t="s">
        <v>250</v>
      </c>
      <c r="G88" s="120">
        <v>5167317467.5569715</v>
      </c>
      <c r="H88" s="120" t="s">
        <v>250</v>
      </c>
      <c r="I88" s="120">
        <v>239350181.32102704</v>
      </c>
      <c r="J88" s="120">
        <v>115193588.13200039</v>
      </c>
      <c r="K88" s="120" t="s">
        <v>250</v>
      </c>
      <c r="L88" s="120" t="s">
        <v>250</v>
      </c>
      <c r="M88" s="120">
        <v>0</v>
      </c>
      <c r="N88" s="120" t="s">
        <v>250</v>
      </c>
      <c r="O88" s="120">
        <v>115193588.13200039</v>
      </c>
      <c r="P88" s="120">
        <v>58432633.679072797</v>
      </c>
      <c r="Q88" s="120">
        <v>56760954.452927597</v>
      </c>
      <c r="R88" s="120"/>
      <c r="S88" s="121"/>
    </row>
    <row r="89" spans="1:19" ht="15">
      <c r="A89" s="105" t="s">
        <v>250</v>
      </c>
      <c r="B89" s="129" t="str">
        <f t="shared" si="1"/>
        <v/>
      </c>
      <c r="C89" s="107" t="s">
        <v>250</v>
      </c>
      <c r="D89" s="107" t="s">
        <v>250</v>
      </c>
      <c r="E89" s="120" t="s">
        <v>250</v>
      </c>
      <c r="F89" s="120" t="s">
        <v>250</v>
      </c>
      <c r="G89" s="120" t="s">
        <v>250</v>
      </c>
      <c r="H89" s="120" t="s">
        <v>250</v>
      </c>
      <c r="I89" s="120" t="s">
        <v>250</v>
      </c>
      <c r="J89" s="120" t="s">
        <v>250</v>
      </c>
      <c r="K89" s="120" t="s">
        <v>250</v>
      </c>
      <c r="L89" s="120" t="s">
        <v>250</v>
      </c>
      <c r="M89" s="120" t="s">
        <v>250</v>
      </c>
      <c r="N89" s="120" t="s">
        <v>250</v>
      </c>
      <c r="O89" s="120" t="s">
        <v>250</v>
      </c>
      <c r="P89" s="120" t="s">
        <v>250</v>
      </c>
      <c r="Q89" s="120" t="s">
        <v>250</v>
      </c>
      <c r="R89" s="120"/>
      <c r="S89" s="121"/>
    </row>
    <row r="90" spans="1:19" ht="15">
      <c r="A90" s="105" t="s">
        <v>250</v>
      </c>
      <c r="B90" s="129"/>
      <c r="C90" s="107" t="s">
        <v>315</v>
      </c>
      <c r="D90" s="107" t="s">
        <v>250</v>
      </c>
      <c r="E90" s="120" t="s">
        <v>250</v>
      </c>
      <c r="F90" s="120" t="s">
        <v>250</v>
      </c>
      <c r="G90" s="120" t="s">
        <v>250</v>
      </c>
      <c r="H90" s="120" t="s">
        <v>250</v>
      </c>
      <c r="I90" s="120" t="s">
        <v>250</v>
      </c>
      <c r="J90" s="120" t="s">
        <v>250</v>
      </c>
      <c r="K90" s="120" t="s">
        <v>250</v>
      </c>
      <c r="L90" s="120" t="s">
        <v>250</v>
      </c>
      <c r="M90" s="120" t="s">
        <v>250</v>
      </c>
      <c r="N90" s="120" t="s">
        <v>250</v>
      </c>
      <c r="O90" s="120" t="s">
        <v>250</v>
      </c>
      <c r="P90" s="120" t="s">
        <v>250</v>
      </c>
      <c r="Q90" s="120" t="s">
        <v>250</v>
      </c>
      <c r="R90" s="120"/>
      <c r="S90" s="121"/>
    </row>
    <row r="91" spans="1:19" ht="15">
      <c r="A91" s="105">
        <v>15</v>
      </c>
      <c r="B91" s="129" t="str">
        <f t="shared" si="1"/>
        <v>330</v>
      </c>
      <c r="C91" s="107" t="s">
        <v>316</v>
      </c>
      <c r="D91" s="107" t="s">
        <v>303</v>
      </c>
      <c r="E91" s="120">
        <v>855636.47000000009</v>
      </c>
      <c r="F91" s="120" t="s">
        <v>250</v>
      </c>
      <c r="G91" s="120">
        <v>802683.68565696606</v>
      </c>
      <c r="H91" s="120" t="s">
        <v>250</v>
      </c>
      <c r="I91" s="120">
        <v>36351.821643680327</v>
      </c>
      <c r="J91" s="120">
        <v>16600.962699353669</v>
      </c>
      <c r="K91" s="120" t="s">
        <v>250</v>
      </c>
      <c r="L91" s="120" t="s">
        <v>250</v>
      </c>
      <c r="M91" s="120">
        <v>0</v>
      </c>
      <c r="N91" s="120" t="s">
        <v>250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1"/>
        <v>331</v>
      </c>
      <c r="C92" s="107" t="s">
        <v>317</v>
      </c>
      <c r="D92" s="107" t="s">
        <v>303</v>
      </c>
      <c r="E92" s="120">
        <v>4525763.0500000007</v>
      </c>
      <c r="F92" s="120" t="s">
        <v>250</v>
      </c>
      <c r="G92" s="120">
        <v>4245677.0985744828</v>
      </c>
      <c r="H92" s="120" t="s">
        <v>250</v>
      </c>
      <c r="I92" s="120">
        <v>192277.60499170717</v>
      </c>
      <c r="J92" s="120">
        <v>87808.346433810977</v>
      </c>
      <c r="K92" s="120" t="s">
        <v>250</v>
      </c>
      <c r="L92" s="120" t="s">
        <v>250</v>
      </c>
      <c r="M92" s="120">
        <v>0</v>
      </c>
      <c r="N92" s="120" t="s">
        <v>250</v>
      </c>
      <c r="O92" s="120">
        <v>87808.346433810977</v>
      </c>
      <c r="P92" s="120">
        <v>44541.306719715372</v>
      </c>
      <c r="Q92" s="120">
        <v>43267.039714095597</v>
      </c>
      <c r="R92" s="120"/>
      <c r="S92" s="121"/>
    </row>
    <row r="93" spans="1:19" ht="15">
      <c r="A93" s="105">
        <v>17</v>
      </c>
      <c r="B93" s="129" t="str">
        <f t="shared" si="1"/>
        <v>332</v>
      </c>
      <c r="C93" s="107" t="s">
        <v>318</v>
      </c>
      <c r="D93" s="107" t="s">
        <v>303</v>
      </c>
      <c r="E93" s="120">
        <v>21970131.239999995</v>
      </c>
      <c r="F93" s="120" t="s">
        <v>250</v>
      </c>
      <c r="G93" s="120">
        <v>20610465.467993017</v>
      </c>
      <c r="H93" s="120" t="s">
        <v>250</v>
      </c>
      <c r="I93" s="120">
        <v>933403.75302694738</v>
      </c>
      <c r="J93" s="120">
        <v>426262.01898002863</v>
      </c>
      <c r="K93" s="120" t="s">
        <v>250</v>
      </c>
      <c r="L93" s="120" t="s">
        <v>250</v>
      </c>
      <c r="M93" s="120">
        <v>0</v>
      </c>
      <c r="N93" s="120" t="s">
        <v>250</v>
      </c>
      <c r="O93" s="120">
        <v>426262.01898002863</v>
      </c>
      <c r="P93" s="120">
        <v>216223.94796679431</v>
      </c>
      <c r="Q93" s="120">
        <v>210038.07101323432</v>
      </c>
      <c r="R93" s="120"/>
      <c r="S93" s="121"/>
    </row>
    <row r="94" spans="1:19" ht="15">
      <c r="A94" s="105">
        <v>18</v>
      </c>
      <c r="B94" s="129" t="str">
        <f t="shared" si="1"/>
        <v>333</v>
      </c>
      <c r="C94" s="107" t="s">
        <v>319</v>
      </c>
      <c r="D94" s="107" t="s">
        <v>303</v>
      </c>
      <c r="E94" s="120">
        <v>14033802.560000001</v>
      </c>
      <c r="F94" s="120" t="s">
        <v>250</v>
      </c>
      <c r="G94" s="120">
        <v>13165292.454917174</v>
      </c>
      <c r="H94" s="120" t="s">
        <v>250</v>
      </c>
      <c r="I94" s="120">
        <v>596227.84386895562</v>
      </c>
      <c r="J94" s="120">
        <v>272282.26121387049</v>
      </c>
      <c r="K94" s="120" t="s">
        <v>250</v>
      </c>
      <c r="L94" s="120" t="s">
        <v>250</v>
      </c>
      <c r="M94" s="120">
        <v>0</v>
      </c>
      <c r="N94" s="120" t="s">
        <v>250</v>
      </c>
      <c r="O94" s="120">
        <v>272282.26121387049</v>
      </c>
      <c r="P94" s="120">
        <v>138116.79872831318</v>
      </c>
      <c r="Q94" s="120">
        <v>134165.46248555731</v>
      </c>
      <c r="R94" s="120"/>
      <c r="S94" s="121"/>
    </row>
    <row r="95" spans="1:19" ht="15">
      <c r="A95" s="105">
        <v>19</v>
      </c>
      <c r="B95" s="129" t="str">
        <f t="shared" si="1"/>
        <v>334</v>
      </c>
      <c r="C95" s="107" t="s">
        <v>320</v>
      </c>
      <c r="D95" s="107" t="s">
        <v>303</v>
      </c>
      <c r="E95" s="120">
        <v>1359788</v>
      </c>
      <c r="F95" s="120" t="s">
        <v>250</v>
      </c>
      <c r="G95" s="120">
        <v>1275634.7839545859</v>
      </c>
      <c r="H95" s="120" t="s">
        <v>250</v>
      </c>
      <c r="I95" s="120">
        <v>57770.761979344781</v>
      </c>
      <c r="J95" s="120">
        <v>26382.454066069353</v>
      </c>
      <c r="K95" s="120" t="s">
        <v>250</v>
      </c>
      <c r="L95" s="120" t="s">
        <v>250</v>
      </c>
      <c r="M95" s="120">
        <v>0</v>
      </c>
      <c r="N95" s="120" t="s">
        <v>250</v>
      </c>
      <c r="O95" s="120">
        <v>26382.454066069353</v>
      </c>
      <c r="P95" s="120">
        <v>13382.656960308233</v>
      </c>
      <c r="Q95" s="120">
        <v>12999.797105761119</v>
      </c>
      <c r="R95" s="120"/>
      <c r="S95" s="121"/>
    </row>
    <row r="96" spans="1:19" ht="15">
      <c r="A96" s="105">
        <v>20</v>
      </c>
      <c r="B96" s="129" t="str">
        <f t="shared" si="1"/>
        <v>335</v>
      </c>
      <c r="C96" s="107" t="s">
        <v>321</v>
      </c>
      <c r="D96" s="107" t="s">
        <v>303</v>
      </c>
      <c r="E96" s="120">
        <v>328984.82</v>
      </c>
      <c r="F96" s="120" t="s">
        <v>250</v>
      </c>
      <c r="G96" s="120">
        <v>308624.93255201424</v>
      </c>
      <c r="H96" s="120" t="s">
        <v>250</v>
      </c>
      <c r="I96" s="120">
        <v>13976.960916729366</v>
      </c>
      <c r="J96" s="120">
        <v>6382.926531256413</v>
      </c>
      <c r="K96" s="120" t="s">
        <v>250</v>
      </c>
      <c r="L96" s="120" t="s">
        <v>250</v>
      </c>
      <c r="M96" s="120">
        <v>0</v>
      </c>
      <c r="N96" s="120" t="s">
        <v>250</v>
      </c>
      <c r="O96" s="120">
        <v>6382.926531256413</v>
      </c>
      <c r="P96" s="120">
        <v>3237.7775000284987</v>
      </c>
      <c r="Q96" s="120">
        <v>3145.1490312279147</v>
      </c>
      <c r="R96" s="120"/>
      <c r="S96" s="121"/>
    </row>
    <row r="97" spans="1:19" ht="15">
      <c r="A97" s="105">
        <v>21</v>
      </c>
      <c r="B97" s="129" t="str">
        <f t="shared" si="1"/>
        <v>336</v>
      </c>
      <c r="C97" s="107" t="s">
        <v>322</v>
      </c>
      <c r="D97" s="107" t="s">
        <v>303</v>
      </c>
      <c r="E97" s="120">
        <v>198899.83000000002</v>
      </c>
      <c r="F97" s="120" t="s">
        <v>250</v>
      </c>
      <c r="G97" s="120">
        <v>186590.51386734835</v>
      </c>
      <c r="H97" s="120" t="s">
        <v>250</v>
      </c>
      <c r="I97" s="120">
        <v>8450.2839682819249</v>
      </c>
      <c r="J97" s="120">
        <v>3859.0321643697425</v>
      </c>
      <c r="K97" s="120" t="s">
        <v>250</v>
      </c>
      <c r="L97" s="120" t="s">
        <v>250</v>
      </c>
      <c r="M97" s="120">
        <v>0</v>
      </c>
      <c r="N97" s="120" t="s">
        <v>250</v>
      </c>
      <c r="O97" s="120">
        <v>3859.0321643697425</v>
      </c>
      <c r="P97" s="120">
        <v>1957.5170499766321</v>
      </c>
      <c r="Q97" s="120">
        <v>1901.5151143931105</v>
      </c>
      <c r="R97" s="120"/>
      <c r="S97" s="121"/>
    </row>
    <row r="98" spans="1:19" ht="15">
      <c r="A98" s="105">
        <v>22</v>
      </c>
      <c r="B98" s="129" t="str">
        <f t="shared" si="1"/>
        <v>337</v>
      </c>
      <c r="C98" s="107" t="s">
        <v>323</v>
      </c>
      <c r="D98" s="107" t="s">
        <v>303</v>
      </c>
      <c r="E98" s="120">
        <v>645787.98999999987</v>
      </c>
      <c r="F98" s="120" t="s">
        <v>250</v>
      </c>
      <c r="G98" s="120">
        <v>605822.10102171532</v>
      </c>
      <c r="H98" s="120" t="s">
        <v>250</v>
      </c>
      <c r="I98" s="120">
        <v>27436.382921021133</v>
      </c>
      <c r="J98" s="120">
        <v>12529.506057263525</v>
      </c>
      <c r="K98" s="120" t="s">
        <v>250</v>
      </c>
      <c r="L98" s="120" t="s">
        <v>250</v>
      </c>
      <c r="M98" s="120">
        <v>0</v>
      </c>
      <c r="N98" s="120" t="s">
        <v>250</v>
      </c>
      <c r="O98" s="120">
        <v>12529.506057263525</v>
      </c>
      <c r="P98" s="120">
        <v>6355.6665739490008</v>
      </c>
      <c r="Q98" s="120">
        <v>6173.8394833145239</v>
      </c>
      <c r="R98" s="120"/>
      <c r="S98" s="121"/>
    </row>
    <row r="99" spans="1:19" ht="15">
      <c r="A99" s="105">
        <v>23</v>
      </c>
      <c r="B99" s="129"/>
      <c r="C99" s="107" t="s">
        <v>310</v>
      </c>
      <c r="D99" s="107" t="s">
        <v>311</v>
      </c>
      <c r="E99" s="120">
        <v>389.35999999999996</v>
      </c>
      <c r="F99" s="120" t="s">
        <v>250</v>
      </c>
      <c r="G99" s="120">
        <v>0</v>
      </c>
      <c r="H99" s="120" t="s">
        <v>250</v>
      </c>
      <c r="I99" s="120">
        <v>267.29369287727246</v>
      </c>
      <c r="J99" s="120">
        <v>122.06630712272749</v>
      </c>
      <c r="K99" s="120" t="s">
        <v>250</v>
      </c>
      <c r="L99" s="120" t="s">
        <v>250</v>
      </c>
      <c r="M99" s="120">
        <v>0</v>
      </c>
      <c r="N99" s="120" t="s">
        <v>250</v>
      </c>
      <c r="O99" s="120">
        <v>122.06630712272749</v>
      </c>
      <c r="P99" s="120">
        <v>61.918861321397642</v>
      </c>
      <c r="Q99" s="120">
        <v>60.147445801329859</v>
      </c>
      <c r="R99" s="120"/>
      <c r="S99" s="121"/>
    </row>
    <row r="100" spans="1:19" ht="15">
      <c r="A100" s="105">
        <v>24</v>
      </c>
      <c r="B100" s="129"/>
      <c r="C100" s="107" t="s">
        <v>312</v>
      </c>
      <c r="D100" s="107" t="s">
        <v>313</v>
      </c>
      <c r="E100" s="120">
        <v>24149.519999999997</v>
      </c>
      <c r="F100" s="120" t="s">
        <v>250</v>
      </c>
      <c r="G100" s="120">
        <v>0</v>
      </c>
      <c r="H100" s="120" t="s">
        <v>250</v>
      </c>
      <c r="I100" s="120">
        <v>0</v>
      </c>
      <c r="J100" s="120">
        <v>24149.519999999997</v>
      </c>
      <c r="K100" s="120" t="s">
        <v>250</v>
      </c>
      <c r="L100" s="120" t="s">
        <v>250</v>
      </c>
      <c r="M100" s="120">
        <v>0</v>
      </c>
      <c r="N100" s="120" t="s">
        <v>250</v>
      </c>
      <c r="O100" s="120">
        <v>24149.519999999997</v>
      </c>
      <c r="P100" s="120">
        <v>12249.98785582092</v>
      </c>
      <c r="Q100" s="120">
        <v>11899.532144179077</v>
      </c>
      <c r="R100" s="120"/>
      <c r="S100" s="121"/>
    </row>
    <row r="101" spans="1:19" ht="15">
      <c r="A101" s="105">
        <v>25</v>
      </c>
      <c r="B101" s="129"/>
      <c r="C101" s="107" t="s">
        <v>324</v>
      </c>
      <c r="D101" s="107" t="s">
        <v>250</v>
      </c>
      <c r="E101" s="120">
        <v>43943332.839999996</v>
      </c>
      <c r="F101" s="120" t="s">
        <v>250</v>
      </c>
      <c r="G101" s="120">
        <v>41200791.038537301</v>
      </c>
      <c r="H101" s="120" t="s">
        <v>250</v>
      </c>
      <c r="I101" s="120">
        <v>1866162.7070095453</v>
      </c>
      <c r="J101" s="120">
        <v>876379.09445314552</v>
      </c>
      <c r="K101" s="120" t="s">
        <v>250</v>
      </c>
      <c r="L101" s="120" t="s">
        <v>250</v>
      </c>
      <c r="M101" s="120">
        <v>0</v>
      </c>
      <c r="N101" s="120" t="s">
        <v>250</v>
      </c>
      <c r="O101" s="120">
        <v>876379.09445314552</v>
      </c>
      <c r="P101" s="120">
        <v>444548.51542168832</v>
      </c>
      <c r="Q101" s="120">
        <v>431830.57903145725</v>
      </c>
      <c r="R101" s="120"/>
      <c r="S101" s="121"/>
    </row>
    <row r="102" spans="1:19" ht="15">
      <c r="A102" s="105" t="s">
        <v>250</v>
      </c>
      <c r="B102" s="129" t="str">
        <f t="shared" si="1"/>
        <v/>
      </c>
      <c r="C102" s="107" t="s">
        <v>250</v>
      </c>
      <c r="D102" s="107" t="s">
        <v>250</v>
      </c>
      <c r="E102" s="120" t="s">
        <v>250</v>
      </c>
      <c r="F102" s="120" t="s">
        <v>250</v>
      </c>
      <c r="G102" s="120" t="s">
        <v>250</v>
      </c>
      <c r="H102" s="120" t="s">
        <v>250</v>
      </c>
      <c r="I102" s="120" t="s">
        <v>250</v>
      </c>
      <c r="J102" s="120" t="s">
        <v>250</v>
      </c>
      <c r="K102" s="120" t="s">
        <v>250</v>
      </c>
      <c r="L102" s="120" t="s">
        <v>250</v>
      </c>
      <c r="M102" s="120" t="s">
        <v>250</v>
      </c>
      <c r="N102" s="120" t="s">
        <v>250</v>
      </c>
      <c r="O102" s="120" t="s">
        <v>250</v>
      </c>
      <c r="P102" s="120" t="s">
        <v>250</v>
      </c>
      <c r="Q102" s="120" t="s">
        <v>250</v>
      </c>
      <c r="R102" s="120"/>
      <c r="S102" s="121"/>
    </row>
    <row r="103" spans="1:19" ht="15">
      <c r="A103" s="105" t="s">
        <v>250</v>
      </c>
      <c r="B103" s="129"/>
      <c r="C103" s="107" t="s">
        <v>325</v>
      </c>
      <c r="D103" s="107" t="s">
        <v>250</v>
      </c>
      <c r="E103" s="120" t="s">
        <v>250</v>
      </c>
      <c r="F103" s="120" t="s">
        <v>250</v>
      </c>
      <c r="G103" s="120" t="s">
        <v>250</v>
      </c>
      <c r="H103" s="120" t="s">
        <v>250</v>
      </c>
      <c r="I103" s="120" t="s">
        <v>250</v>
      </c>
      <c r="J103" s="120" t="s">
        <v>250</v>
      </c>
      <c r="K103" s="120" t="s">
        <v>250</v>
      </c>
      <c r="L103" s="120" t="s">
        <v>250</v>
      </c>
      <c r="M103" s="120" t="s">
        <v>250</v>
      </c>
      <c r="N103" s="120" t="s">
        <v>250</v>
      </c>
      <c r="O103" s="120" t="s">
        <v>250</v>
      </c>
      <c r="P103" s="120" t="s">
        <v>250</v>
      </c>
      <c r="Q103" s="120" t="s">
        <v>250</v>
      </c>
      <c r="R103" s="120"/>
      <c r="S103" s="121"/>
    </row>
    <row r="104" spans="1:19" ht="15">
      <c r="A104" s="105">
        <v>26</v>
      </c>
      <c r="B104" s="129" t="str">
        <f t="shared" si="1"/>
        <v>340</v>
      </c>
      <c r="C104" s="107" t="s">
        <v>326</v>
      </c>
      <c r="D104" s="107" t="s">
        <v>303</v>
      </c>
      <c r="E104" s="120">
        <v>894512.89999999979</v>
      </c>
      <c r="F104" s="120" t="s">
        <v>250</v>
      </c>
      <c r="G104" s="120">
        <v>861471.35197493318</v>
      </c>
      <c r="H104" s="120" t="s">
        <v>250</v>
      </c>
      <c r="I104" s="120">
        <v>22682.857484081112</v>
      </c>
      <c r="J104" s="120">
        <v>10358.690540985568</v>
      </c>
      <c r="K104" s="120" t="s">
        <v>250</v>
      </c>
      <c r="L104" s="120" t="s">
        <v>250</v>
      </c>
      <c r="M104" s="120">
        <v>0</v>
      </c>
      <c r="N104" s="120" t="s">
        <v>250</v>
      </c>
      <c r="O104" s="120">
        <v>10358.690540985568</v>
      </c>
      <c r="P104" s="120">
        <v>5254.5074738247495</v>
      </c>
      <c r="Q104" s="120">
        <v>5104.1830671608177</v>
      </c>
      <c r="R104" s="120"/>
      <c r="S104" s="121"/>
    </row>
    <row r="105" spans="1:19" ht="15">
      <c r="A105" s="105">
        <v>27</v>
      </c>
      <c r="B105" s="129" t="str">
        <f t="shared" si="1"/>
        <v>341</v>
      </c>
      <c r="C105" s="107" t="s">
        <v>327</v>
      </c>
      <c r="D105" s="107" t="s">
        <v>303</v>
      </c>
      <c r="E105" s="120">
        <v>90414570.890000001</v>
      </c>
      <c r="F105" s="120" t="s">
        <v>250</v>
      </c>
      <c r="G105" s="120">
        <v>84869439.383909687</v>
      </c>
      <c r="H105" s="120" t="s">
        <v>250</v>
      </c>
      <c r="I105" s="120">
        <v>3806705.0486772964</v>
      </c>
      <c r="J105" s="120">
        <v>1738426.4574130189</v>
      </c>
      <c r="K105" s="120" t="s">
        <v>250</v>
      </c>
      <c r="L105" s="120" t="s">
        <v>250</v>
      </c>
      <c r="M105" s="120">
        <v>0</v>
      </c>
      <c r="N105" s="120" t="s">
        <v>250</v>
      </c>
      <c r="O105" s="120">
        <v>1738426.4574130189</v>
      </c>
      <c r="P105" s="120">
        <v>881827.17468286201</v>
      </c>
      <c r="Q105" s="120">
        <v>856599.28273015691</v>
      </c>
      <c r="R105" s="120"/>
      <c r="S105" s="121"/>
    </row>
    <row r="106" spans="1:19" ht="15">
      <c r="A106" s="105">
        <v>28</v>
      </c>
      <c r="B106" s="129" t="str">
        <f t="shared" si="1"/>
        <v>342</v>
      </c>
      <c r="C106" s="107" t="s">
        <v>328</v>
      </c>
      <c r="D106" s="107" t="s">
        <v>303</v>
      </c>
      <c r="E106" s="120">
        <v>84141316.649999991</v>
      </c>
      <c r="F106" s="120" t="s">
        <v>250</v>
      </c>
      <c r="G106" s="120">
        <v>78934061.990896478</v>
      </c>
      <c r="H106" s="120" t="s">
        <v>250</v>
      </c>
      <c r="I106" s="120">
        <v>3574754.2828851477</v>
      </c>
      <c r="J106" s="120">
        <v>1632500.3762183674</v>
      </c>
      <c r="K106" s="120" t="s">
        <v>250</v>
      </c>
      <c r="L106" s="120" t="s">
        <v>250</v>
      </c>
      <c r="M106" s="120">
        <v>0</v>
      </c>
      <c r="N106" s="120" t="s">
        <v>250</v>
      </c>
      <c r="O106" s="120">
        <v>1632500.3762183674</v>
      </c>
      <c r="P106" s="120">
        <v>828095.53909552179</v>
      </c>
      <c r="Q106" s="120">
        <v>804404.83712284546</v>
      </c>
      <c r="R106" s="120"/>
      <c r="S106" s="121"/>
    </row>
    <row r="107" spans="1:19" ht="15">
      <c r="A107" s="105">
        <v>29</v>
      </c>
      <c r="B107" s="129" t="str">
        <f t="shared" si="1"/>
        <v>343</v>
      </c>
      <c r="C107" s="107" t="s">
        <v>329</v>
      </c>
      <c r="D107" s="107" t="s">
        <v>303</v>
      </c>
      <c r="E107" s="120">
        <v>682731869.3299979</v>
      </c>
      <c r="F107" s="120" t="s">
        <v>250</v>
      </c>
      <c r="G107" s="120">
        <v>640479634.05448675</v>
      </c>
      <c r="H107" s="120" t="s">
        <v>250</v>
      </c>
      <c r="I107" s="120">
        <v>29005948.220440563</v>
      </c>
      <c r="J107" s="120">
        <v>13246287.055070594</v>
      </c>
      <c r="K107" s="120" t="s">
        <v>250</v>
      </c>
      <c r="L107" s="120" t="s">
        <v>250</v>
      </c>
      <c r="M107" s="120">
        <v>0</v>
      </c>
      <c r="N107" s="120" t="s">
        <v>250</v>
      </c>
      <c r="O107" s="120">
        <v>13246287.055070594</v>
      </c>
      <c r="P107" s="120">
        <v>6719258.0042722449</v>
      </c>
      <c r="Q107" s="120">
        <v>6527029.0507983491</v>
      </c>
      <c r="R107" s="120"/>
      <c r="S107" s="121"/>
    </row>
    <row r="108" spans="1:19" ht="15">
      <c r="A108" s="105">
        <v>30</v>
      </c>
      <c r="B108" s="129" t="str">
        <f t="shared" si="1"/>
        <v>344</v>
      </c>
      <c r="C108" s="107" t="s">
        <v>330</v>
      </c>
      <c r="D108" s="107" t="s">
        <v>303</v>
      </c>
      <c r="E108" s="120">
        <v>137182955.13999993</v>
      </c>
      <c r="F108" s="120" t="s">
        <v>250</v>
      </c>
      <c r="G108" s="120">
        <v>128752763.2920742</v>
      </c>
      <c r="H108" s="120" t="s">
        <v>250</v>
      </c>
      <c r="I108" s="120">
        <v>5787284.5456542615</v>
      </c>
      <c r="J108" s="120">
        <v>2642907.3022714574</v>
      </c>
      <c r="K108" s="120" t="s">
        <v>250</v>
      </c>
      <c r="L108" s="120" t="s">
        <v>250</v>
      </c>
      <c r="M108" s="120">
        <v>0</v>
      </c>
      <c r="N108" s="120" t="s">
        <v>250</v>
      </c>
      <c r="O108" s="120">
        <v>2642907.3022714574</v>
      </c>
      <c r="P108" s="120">
        <v>1340630.4703731497</v>
      </c>
      <c r="Q108" s="120">
        <v>1302276.8318983074</v>
      </c>
      <c r="R108" s="120"/>
      <c r="S108" s="121"/>
    </row>
    <row r="109" spans="1:19" ht="15">
      <c r="A109" s="105">
        <v>31</v>
      </c>
      <c r="B109" s="129" t="str">
        <f t="shared" si="1"/>
        <v>345</v>
      </c>
      <c r="C109" s="107" t="s">
        <v>331</v>
      </c>
      <c r="D109" s="107" t="s">
        <v>303</v>
      </c>
      <c r="E109" s="120">
        <v>77360129.030000001</v>
      </c>
      <c r="F109" s="120" t="s">
        <v>250</v>
      </c>
      <c r="G109" s="120">
        <v>72602570.96996437</v>
      </c>
      <c r="H109" s="120" t="s">
        <v>250</v>
      </c>
      <c r="I109" s="120">
        <v>3266039.816480781</v>
      </c>
      <c r="J109" s="120">
        <v>1491518.2435548524</v>
      </c>
      <c r="K109" s="120" t="s">
        <v>250</v>
      </c>
      <c r="L109" s="120" t="s">
        <v>250</v>
      </c>
      <c r="M109" s="120">
        <v>0</v>
      </c>
      <c r="N109" s="120" t="s">
        <v>250</v>
      </c>
      <c r="O109" s="120">
        <v>1491518.2435548524</v>
      </c>
      <c r="P109" s="120">
        <v>756581.51260490052</v>
      </c>
      <c r="Q109" s="120">
        <v>734936.73094995203</v>
      </c>
      <c r="R109" s="120"/>
      <c r="S109" s="121"/>
    </row>
    <row r="110" spans="1:19" ht="15">
      <c r="A110" s="105">
        <v>32</v>
      </c>
      <c r="B110" s="129" t="str">
        <f t="shared" si="1"/>
        <v>346</v>
      </c>
      <c r="C110" s="107" t="s">
        <v>332</v>
      </c>
      <c r="D110" s="107" t="s">
        <v>303</v>
      </c>
      <c r="E110" s="120">
        <v>9391959.5500000007</v>
      </c>
      <c r="F110" s="120" t="s">
        <v>250</v>
      </c>
      <c r="G110" s="120">
        <v>8812596.9427436572</v>
      </c>
      <c r="H110" s="120" t="s">
        <v>250</v>
      </c>
      <c r="I110" s="120">
        <v>397729.53258822934</v>
      </c>
      <c r="J110" s="120">
        <v>181633.07466811436</v>
      </c>
      <c r="K110" s="120" t="s">
        <v>250</v>
      </c>
      <c r="L110" s="120" t="s">
        <v>250</v>
      </c>
      <c r="M110" s="120">
        <v>0</v>
      </c>
      <c r="N110" s="120" t="s">
        <v>250</v>
      </c>
      <c r="O110" s="120">
        <v>181633.07466811436</v>
      </c>
      <c r="P110" s="120">
        <v>92134.458941619378</v>
      </c>
      <c r="Q110" s="120">
        <v>89498.615726495002</v>
      </c>
      <c r="R110" s="120"/>
      <c r="S110" s="121"/>
    </row>
    <row r="111" spans="1:19" ht="15">
      <c r="A111" s="105">
        <v>33</v>
      </c>
      <c r="B111" s="129" t="str">
        <f t="shared" si="1"/>
        <v>347</v>
      </c>
      <c r="C111" s="107" t="s">
        <v>333</v>
      </c>
      <c r="D111" s="107" t="s">
        <v>303</v>
      </c>
      <c r="E111" s="120">
        <v>406991.12</v>
      </c>
      <c r="F111" s="120" t="s">
        <v>250</v>
      </c>
      <c r="G111" s="120">
        <v>381803.65574092057</v>
      </c>
      <c r="H111" s="120" t="s">
        <v>250</v>
      </c>
      <c r="I111" s="120">
        <v>17291.068255659669</v>
      </c>
      <c r="J111" s="120">
        <v>7896.3960034197389</v>
      </c>
      <c r="K111" s="120" t="s">
        <v>250</v>
      </c>
      <c r="L111" s="120" t="s">
        <v>250</v>
      </c>
      <c r="M111" s="120">
        <v>0</v>
      </c>
      <c r="N111" s="120" t="s">
        <v>250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310</v>
      </c>
      <c r="D112" s="107" t="s">
        <v>311</v>
      </c>
      <c r="E112" s="120">
        <v>914.31000000000006</v>
      </c>
      <c r="F112" s="120" t="s">
        <v>250</v>
      </c>
      <c r="G112" s="120">
        <v>0</v>
      </c>
      <c r="H112" s="120" t="s">
        <v>250</v>
      </c>
      <c r="I112" s="120">
        <v>627.66924269215895</v>
      </c>
      <c r="J112" s="120">
        <v>286.64075730784111</v>
      </c>
      <c r="K112" s="120" t="s">
        <v>250</v>
      </c>
      <c r="L112" s="120" t="s">
        <v>250</v>
      </c>
      <c r="M112" s="120">
        <v>0</v>
      </c>
      <c r="N112" s="120" t="s">
        <v>250</v>
      </c>
      <c r="O112" s="120">
        <v>286.64075730784111</v>
      </c>
      <c r="P112" s="120">
        <v>145.40023139194341</v>
      </c>
      <c r="Q112" s="120">
        <v>141.24052591589768</v>
      </c>
      <c r="R112" s="120"/>
      <c r="S112" s="121"/>
    </row>
    <row r="113" spans="1:19" ht="15">
      <c r="A113" s="105">
        <v>35</v>
      </c>
      <c r="B113" s="105"/>
      <c r="C113" s="107" t="s">
        <v>312</v>
      </c>
      <c r="D113" s="107" t="s">
        <v>313</v>
      </c>
      <c r="E113" s="120">
        <v>1087278.79</v>
      </c>
      <c r="F113" s="120" t="s">
        <v>250</v>
      </c>
      <c r="G113" s="120">
        <v>0</v>
      </c>
      <c r="H113" s="120" t="s">
        <v>250</v>
      </c>
      <c r="I113" s="120">
        <v>0</v>
      </c>
      <c r="J113" s="120">
        <v>1087278.79</v>
      </c>
      <c r="K113" s="120" t="s">
        <v>250</v>
      </c>
      <c r="L113" s="120" t="s">
        <v>250</v>
      </c>
      <c r="M113" s="120">
        <v>0</v>
      </c>
      <c r="N113" s="120" t="s">
        <v>250</v>
      </c>
      <c r="O113" s="120">
        <v>1087278.79</v>
      </c>
      <c r="P113" s="120">
        <v>551528.64211759344</v>
      </c>
      <c r="Q113" s="120">
        <v>535750.1478824066</v>
      </c>
      <c r="R113" s="120"/>
      <c r="S113" s="121"/>
    </row>
    <row r="114" spans="1:19" ht="15">
      <c r="A114" s="105">
        <v>36</v>
      </c>
      <c r="B114" s="105"/>
      <c r="C114" s="107" t="s">
        <v>334</v>
      </c>
      <c r="D114" s="107" t="s">
        <v>250</v>
      </c>
      <c r="E114" s="120">
        <v>1083612497.7099979</v>
      </c>
      <c r="F114" s="120" t="s">
        <v>250</v>
      </c>
      <c r="G114" s="120">
        <v>1015694341.6417911</v>
      </c>
      <c r="H114" s="120" t="s">
        <v>250</v>
      </c>
      <c r="I114" s="120">
        <v>45879063.041708715</v>
      </c>
      <c r="J114" s="120">
        <v>22039093.026498117</v>
      </c>
      <c r="K114" s="120" t="s">
        <v>250</v>
      </c>
      <c r="L114" s="120" t="s">
        <v>250</v>
      </c>
      <c r="M114" s="120">
        <v>0</v>
      </c>
      <c r="N114" s="120" t="s">
        <v>250</v>
      </c>
      <c r="O114" s="120">
        <v>22039093.026498117</v>
      </c>
      <c r="P114" s="120">
        <v>11179461.203697195</v>
      </c>
      <c r="Q114" s="120">
        <v>10859631.822800919</v>
      </c>
      <c r="R114" s="120"/>
      <c r="S114" s="121"/>
    </row>
    <row r="115" spans="1:19" ht="15">
      <c r="A115" s="105" t="s">
        <v>250</v>
      </c>
      <c r="B115" s="105"/>
      <c r="C115" s="107" t="s">
        <v>250</v>
      </c>
      <c r="D115" s="107" t="s">
        <v>250</v>
      </c>
      <c r="E115" s="120" t="s">
        <v>250</v>
      </c>
      <c r="F115" s="120" t="s">
        <v>250</v>
      </c>
      <c r="G115" s="120" t="s">
        <v>250</v>
      </c>
      <c r="H115" s="120" t="s">
        <v>250</v>
      </c>
      <c r="I115" s="120" t="s">
        <v>250</v>
      </c>
      <c r="J115" s="120" t="s">
        <v>250</v>
      </c>
      <c r="K115" s="120" t="s">
        <v>250</v>
      </c>
      <c r="L115" s="120" t="s">
        <v>250</v>
      </c>
      <c r="M115" s="120" t="s">
        <v>250</v>
      </c>
      <c r="N115" s="120" t="s">
        <v>250</v>
      </c>
      <c r="O115" s="120" t="s">
        <v>250</v>
      </c>
      <c r="P115" s="120" t="s">
        <v>250</v>
      </c>
      <c r="Q115" s="120" t="s">
        <v>250</v>
      </c>
      <c r="R115" s="120"/>
      <c r="S115" s="121"/>
    </row>
    <row r="116" spans="1:19" ht="15">
      <c r="A116" s="105">
        <v>37</v>
      </c>
      <c r="B116" s="105"/>
      <c r="C116" s="107" t="s">
        <v>335</v>
      </c>
      <c r="D116" s="107" t="s">
        <v>250</v>
      </c>
      <c r="E116" s="120">
        <v>6649417067.5599966</v>
      </c>
      <c r="F116" s="120" t="s">
        <v>250</v>
      </c>
      <c r="G116" s="120">
        <v>6224212600.2372999</v>
      </c>
      <c r="H116" s="120" t="s">
        <v>250</v>
      </c>
      <c r="I116" s="120">
        <v>287095407.0697453</v>
      </c>
      <c r="J116" s="120">
        <v>138109060.25295165</v>
      </c>
      <c r="K116" s="120" t="s">
        <v>250</v>
      </c>
      <c r="L116" s="120" t="s">
        <v>250</v>
      </c>
      <c r="M116" s="120">
        <v>0</v>
      </c>
      <c r="N116" s="120" t="s">
        <v>250</v>
      </c>
      <c r="O116" s="120">
        <v>138109060.25295165</v>
      </c>
      <c r="P116" s="120">
        <v>70056643.398191676</v>
      </c>
      <c r="Q116" s="120">
        <v>68052416.854759976</v>
      </c>
      <c r="R116" s="120"/>
      <c r="S116" s="121"/>
    </row>
    <row r="117" spans="1:19" ht="15">
      <c r="A117" s="105" t="s">
        <v>250</v>
      </c>
      <c r="B117" s="105"/>
      <c r="C117" s="107" t="s">
        <v>250</v>
      </c>
      <c r="D117" s="107" t="s">
        <v>250</v>
      </c>
      <c r="E117" s="120" t="s">
        <v>250</v>
      </c>
      <c r="F117" s="120" t="s">
        <v>250</v>
      </c>
      <c r="G117" s="120" t="s">
        <v>250</v>
      </c>
      <c r="H117" s="120" t="s">
        <v>250</v>
      </c>
      <c r="I117" s="120" t="s">
        <v>250</v>
      </c>
      <c r="J117" s="120" t="s">
        <v>250</v>
      </c>
      <c r="K117" s="120" t="s">
        <v>250</v>
      </c>
      <c r="L117" s="120" t="s">
        <v>250</v>
      </c>
      <c r="M117" s="120" t="s">
        <v>250</v>
      </c>
      <c r="N117" s="120" t="s">
        <v>250</v>
      </c>
      <c r="O117" s="120" t="s">
        <v>250</v>
      </c>
      <c r="P117" s="120" t="s">
        <v>250</v>
      </c>
      <c r="Q117" s="120" t="s">
        <v>250</v>
      </c>
      <c r="R117" s="120"/>
      <c r="S117" s="121"/>
    </row>
    <row r="118" spans="1:19" ht="15">
      <c r="A118" s="105" t="s">
        <v>250</v>
      </c>
      <c r="B118" s="105"/>
      <c r="C118" s="107" t="s">
        <v>336</v>
      </c>
      <c r="D118" s="107" t="s">
        <v>250</v>
      </c>
      <c r="E118" s="120" t="s">
        <v>250</v>
      </c>
      <c r="F118" s="120" t="s">
        <v>250</v>
      </c>
      <c r="G118" s="120" t="s">
        <v>250</v>
      </c>
      <c r="H118" s="120" t="s">
        <v>250</v>
      </c>
      <c r="I118" s="120" t="s">
        <v>250</v>
      </c>
      <c r="J118" s="120" t="s">
        <v>250</v>
      </c>
      <c r="K118" s="120" t="s">
        <v>250</v>
      </c>
      <c r="L118" s="120" t="s">
        <v>250</v>
      </c>
      <c r="M118" s="120" t="s">
        <v>250</v>
      </c>
      <c r="N118" s="120" t="s">
        <v>250</v>
      </c>
      <c r="O118" s="120" t="s">
        <v>250</v>
      </c>
      <c r="P118" s="120" t="s">
        <v>250</v>
      </c>
      <c r="Q118" s="120" t="s">
        <v>250</v>
      </c>
      <c r="R118" s="120"/>
      <c r="S118" s="121"/>
    </row>
    <row r="119" spans="1:19" ht="15">
      <c r="A119" s="105" t="s">
        <v>250</v>
      </c>
      <c r="B119" s="105"/>
      <c r="C119" s="107" t="s">
        <v>250</v>
      </c>
      <c r="D119" s="107" t="s">
        <v>250</v>
      </c>
      <c r="E119" s="120" t="s">
        <v>250</v>
      </c>
      <c r="F119" s="120" t="s">
        <v>250</v>
      </c>
      <c r="G119" s="120" t="s">
        <v>250</v>
      </c>
      <c r="H119" s="120" t="s">
        <v>250</v>
      </c>
      <c r="I119" s="120" t="s">
        <v>250</v>
      </c>
      <c r="J119" s="120" t="s">
        <v>250</v>
      </c>
      <c r="K119" s="120" t="s">
        <v>250</v>
      </c>
      <c r="L119" s="120" t="s">
        <v>250</v>
      </c>
      <c r="M119" s="120" t="s">
        <v>250</v>
      </c>
      <c r="N119" s="120" t="s">
        <v>250</v>
      </c>
      <c r="O119" s="120" t="s">
        <v>250</v>
      </c>
      <c r="P119" s="120" t="s">
        <v>250</v>
      </c>
      <c r="Q119" s="120" t="s">
        <v>250</v>
      </c>
      <c r="R119" s="120"/>
      <c r="S119" s="121"/>
    </row>
    <row r="120" spans="1:19" ht="15">
      <c r="A120" s="105" t="s">
        <v>250</v>
      </c>
      <c r="B120" s="105"/>
      <c r="C120" s="107" t="s">
        <v>337</v>
      </c>
      <c r="D120" s="107" t="s">
        <v>250</v>
      </c>
      <c r="E120" s="120" t="s">
        <v>250</v>
      </c>
      <c r="F120" s="120" t="s">
        <v>250</v>
      </c>
      <c r="G120" s="120" t="s">
        <v>250</v>
      </c>
      <c r="H120" s="120" t="s">
        <v>250</v>
      </c>
      <c r="I120" s="120" t="s">
        <v>250</v>
      </c>
      <c r="J120" s="120" t="s">
        <v>250</v>
      </c>
      <c r="K120" s="120" t="s">
        <v>250</v>
      </c>
      <c r="L120" s="120" t="s">
        <v>250</v>
      </c>
      <c r="M120" s="120" t="s">
        <v>250</v>
      </c>
      <c r="N120" s="120" t="s">
        <v>250</v>
      </c>
      <c r="O120" s="120" t="s">
        <v>250</v>
      </c>
      <c r="P120" s="120" t="s">
        <v>250</v>
      </c>
      <c r="Q120" s="120" t="s">
        <v>250</v>
      </c>
      <c r="R120" s="120"/>
      <c r="S120" s="121"/>
    </row>
    <row r="121" spans="1:19" ht="15">
      <c r="A121" s="105" t="s">
        <v>250</v>
      </c>
      <c r="B121" s="129"/>
      <c r="C121" s="107" t="s">
        <v>338</v>
      </c>
      <c r="D121" s="107" t="s">
        <v>250</v>
      </c>
      <c r="E121" s="120" t="s">
        <v>250</v>
      </c>
      <c r="F121" s="120" t="s">
        <v>250</v>
      </c>
      <c r="G121" s="120" t="s">
        <v>250</v>
      </c>
      <c r="H121" s="120" t="s">
        <v>250</v>
      </c>
      <c r="I121" s="120" t="s">
        <v>250</v>
      </c>
      <c r="J121" s="120" t="s">
        <v>250</v>
      </c>
      <c r="K121" s="120" t="s">
        <v>250</v>
      </c>
      <c r="L121" s="120" t="s">
        <v>250</v>
      </c>
      <c r="M121" s="120" t="s">
        <v>250</v>
      </c>
      <c r="N121" s="120" t="s">
        <v>250</v>
      </c>
      <c r="O121" s="120" t="s">
        <v>250</v>
      </c>
      <c r="P121" s="120" t="s">
        <v>250</v>
      </c>
      <c r="Q121" s="120" t="s">
        <v>250</v>
      </c>
      <c r="R121" s="120"/>
      <c r="S121" s="121"/>
    </row>
    <row r="122" spans="1:19" ht="15">
      <c r="A122" s="105">
        <v>1</v>
      </c>
      <c r="B122" s="129" t="str">
        <f t="shared" ref="B122:B130" si="2">MID(C122,2,3)</f>
        <v>350</v>
      </c>
      <c r="C122" s="107" t="s">
        <v>339</v>
      </c>
      <c r="D122" s="107" t="s">
        <v>340</v>
      </c>
      <c r="E122" s="120">
        <v>30571512.440000001</v>
      </c>
      <c r="F122" s="120" t="s">
        <v>250</v>
      </c>
      <c r="G122" s="120">
        <v>29206035.361727834</v>
      </c>
      <c r="H122" s="120" t="s">
        <v>250</v>
      </c>
      <c r="I122" s="120">
        <v>1322678.6682721672</v>
      </c>
      <c r="J122" s="120">
        <v>42798.409999999989</v>
      </c>
      <c r="K122" s="120" t="s">
        <v>250</v>
      </c>
      <c r="L122" s="120" t="s">
        <v>250</v>
      </c>
      <c r="M122" s="120">
        <v>0</v>
      </c>
      <c r="N122" s="120" t="s">
        <v>250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2"/>
        <v>352</v>
      </c>
      <c r="C123" s="107" t="s">
        <v>341</v>
      </c>
      <c r="D123" s="107" t="s">
        <v>340</v>
      </c>
      <c r="E123" s="120">
        <v>31924560.509999998</v>
      </c>
      <c r="F123" s="120" t="s">
        <v>250</v>
      </c>
      <c r="G123" s="120">
        <v>30541405.781011205</v>
      </c>
      <c r="H123" s="120" t="s">
        <v>250</v>
      </c>
      <c r="I123" s="120">
        <v>1383154.7289887932</v>
      </c>
      <c r="J123" s="120">
        <v>0</v>
      </c>
      <c r="K123" s="120" t="s">
        <v>250</v>
      </c>
      <c r="L123" s="120" t="s">
        <v>250</v>
      </c>
      <c r="M123" s="120">
        <v>0</v>
      </c>
      <c r="N123" s="120" t="s">
        <v>250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2"/>
        <v>353</v>
      </c>
      <c r="C124" s="107" t="s">
        <v>342</v>
      </c>
      <c r="D124" s="107" t="s">
        <v>340</v>
      </c>
      <c r="E124" s="120">
        <v>358405734.85000008</v>
      </c>
      <c r="F124" s="120" t="s">
        <v>250</v>
      </c>
      <c r="G124" s="120">
        <v>342877546.54810631</v>
      </c>
      <c r="H124" s="120" t="s">
        <v>250</v>
      </c>
      <c r="I124" s="120">
        <v>15528188.301893746</v>
      </c>
      <c r="J124" s="120">
        <v>0</v>
      </c>
      <c r="K124" s="120" t="s">
        <v>250</v>
      </c>
      <c r="L124" s="120" t="s">
        <v>250</v>
      </c>
      <c r="M124" s="120">
        <v>0</v>
      </c>
      <c r="N124" s="120" t="s">
        <v>250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2"/>
        <v>354</v>
      </c>
      <c r="C125" s="107" t="s">
        <v>343</v>
      </c>
      <c r="D125" s="107" t="s">
        <v>340</v>
      </c>
      <c r="E125" s="120">
        <v>70360450.750000015</v>
      </c>
      <c r="F125" s="120" t="s">
        <v>250</v>
      </c>
      <c r="G125" s="120">
        <v>67312033.210840419</v>
      </c>
      <c r="H125" s="120" t="s">
        <v>250</v>
      </c>
      <c r="I125" s="120">
        <v>3048417.539159589</v>
      </c>
      <c r="J125" s="120">
        <v>0</v>
      </c>
      <c r="K125" s="120" t="s">
        <v>250</v>
      </c>
      <c r="L125" s="120" t="s">
        <v>250</v>
      </c>
      <c r="M125" s="120">
        <v>0</v>
      </c>
      <c r="N125" s="120" t="s">
        <v>250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2"/>
        <v>355</v>
      </c>
      <c r="C126" s="107" t="s">
        <v>344</v>
      </c>
      <c r="D126" s="107" t="s">
        <v>340</v>
      </c>
      <c r="E126" s="120">
        <v>508977498.44999987</v>
      </c>
      <c r="F126" s="120" t="s">
        <v>250</v>
      </c>
      <c r="G126" s="120">
        <v>486298549.54944909</v>
      </c>
      <c r="H126" s="120" t="s">
        <v>250</v>
      </c>
      <c r="I126" s="120">
        <v>22023417.760550812</v>
      </c>
      <c r="J126" s="120">
        <v>655531.14000000013</v>
      </c>
      <c r="K126" s="120" t="s">
        <v>250</v>
      </c>
      <c r="L126" s="120" t="s">
        <v>250</v>
      </c>
      <c r="M126" s="120">
        <v>0</v>
      </c>
      <c r="N126" s="120" t="s">
        <v>250</v>
      </c>
      <c r="O126" s="120">
        <v>655531.14000000013</v>
      </c>
      <c r="P126" s="120">
        <v>655531.14000000013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2"/>
        <v>356</v>
      </c>
      <c r="C127" s="107" t="s">
        <v>345</v>
      </c>
      <c r="D127" s="107" t="s">
        <v>340</v>
      </c>
      <c r="E127" s="120">
        <v>221381600.40000004</v>
      </c>
      <c r="F127" s="120" t="s">
        <v>250</v>
      </c>
      <c r="G127" s="120">
        <v>211443551.08814561</v>
      </c>
      <c r="H127" s="120" t="s">
        <v>250</v>
      </c>
      <c r="I127" s="120">
        <v>9575824.6918544099</v>
      </c>
      <c r="J127" s="120">
        <v>362224.62</v>
      </c>
      <c r="K127" s="120" t="s">
        <v>250</v>
      </c>
      <c r="L127" s="120" t="s">
        <v>250</v>
      </c>
      <c r="M127" s="120">
        <v>0</v>
      </c>
      <c r="N127" s="120" t="s">
        <v>250</v>
      </c>
      <c r="O127" s="120">
        <v>362224.62</v>
      </c>
      <c r="P127" s="120">
        <v>362224.62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2"/>
        <v>357</v>
      </c>
      <c r="C128" s="107" t="s">
        <v>346</v>
      </c>
      <c r="D128" s="107" t="s">
        <v>340</v>
      </c>
      <c r="E128" s="120">
        <v>618115.07000000007</v>
      </c>
      <c r="F128" s="120" t="s">
        <v>250</v>
      </c>
      <c r="G128" s="120">
        <v>591334.78646682703</v>
      </c>
      <c r="H128" s="120" t="s">
        <v>250</v>
      </c>
      <c r="I128" s="120">
        <v>26780.283533173031</v>
      </c>
      <c r="J128" s="120">
        <v>0</v>
      </c>
      <c r="K128" s="120" t="s">
        <v>250</v>
      </c>
      <c r="L128" s="120" t="s">
        <v>250</v>
      </c>
      <c r="M128" s="120">
        <v>0</v>
      </c>
      <c r="N128" s="120" t="s">
        <v>250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2"/>
        <v>358</v>
      </c>
      <c r="C129" s="107" t="s">
        <v>347</v>
      </c>
      <c r="D129" s="107" t="s">
        <v>340</v>
      </c>
      <c r="E129" s="120">
        <v>1233715.81</v>
      </c>
      <c r="F129" s="120" t="s">
        <v>250</v>
      </c>
      <c r="G129" s="120">
        <v>1180264.1781037606</v>
      </c>
      <c r="H129" s="120" t="s">
        <v>250</v>
      </c>
      <c r="I129" s="120">
        <v>53451.631896239356</v>
      </c>
      <c r="J129" s="120">
        <v>0</v>
      </c>
      <c r="K129" s="120" t="s">
        <v>250</v>
      </c>
      <c r="L129" s="120" t="s">
        <v>250</v>
      </c>
      <c r="M129" s="120">
        <v>0</v>
      </c>
      <c r="N129" s="120" t="s">
        <v>250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2"/>
        <v>359</v>
      </c>
      <c r="C130" s="107" t="s">
        <v>348</v>
      </c>
      <c r="D130" s="107" t="s">
        <v>340</v>
      </c>
      <c r="E130" s="120">
        <v>254317.41</v>
      </c>
      <c r="F130" s="120" t="s">
        <v>250</v>
      </c>
      <c r="G130" s="120">
        <v>243298.9238349204</v>
      </c>
      <c r="H130" s="120" t="s">
        <v>250</v>
      </c>
      <c r="I130" s="120">
        <v>11018.486165079608</v>
      </c>
      <c r="J130" s="120">
        <v>0</v>
      </c>
      <c r="K130" s="120" t="s">
        <v>250</v>
      </c>
      <c r="L130" s="120" t="s">
        <v>250</v>
      </c>
      <c r="M130" s="120">
        <v>0</v>
      </c>
      <c r="N130" s="120" t="s">
        <v>250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310</v>
      </c>
      <c r="D131" s="107" t="s">
        <v>311</v>
      </c>
      <c r="E131" s="120">
        <v>1317205.2200000002</v>
      </c>
      <c r="F131" s="120" t="s">
        <v>250</v>
      </c>
      <c r="G131" s="120">
        <v>0</v>
      </c>
      <c r="H131" s="120" t="s">
        <v>250</v>
      </c>
      <c r="I131" s="120">
        <v>904254.79641211266</v>
      </c>
      <c r="J131" s="120">
        <v>412950.42358788755</v>
      </c>
      <c r="K131" s="120" t="s">
        <v>250</v>
      </c>
      <c r="L131" s="120" t="s">
        <v>250</v>
      </c>
      <c r="M131" s="120">
        <v>0</v>
      </c>
      <c r="N131" s="120" t="s">
        <v>250</v>
      </c>
      <c r="O131" s="120">
        <v>412950.42358788755</v>
      </c>
      <c r="P131" s="120">
        <v>209471.56191956313</v>
      </c>
      <c r="Q131" s="120">
        <v>203478.86166832442</v>
      </c>
      <c r="R131" s="120"/>
      <c r="S131" s="121"/>
    </row>
    <row r="132" spans="1:19" ht="15">
      <c r="A132" s="105">
        <v>11</v>
      </c>
      <c r="B132" s="105"/>
      <c r="C132" s="107" t="s">
        <v>312</v>
      </c>
      <c r="D132" s="107" t="s">
        <v>313</v>
      </c>
      <c r="E132" s="120">
        <v>312671.92000000004</v>
      </c>
      <c r="F132" s="120" t="s">
        <v>250</v>
      </c>
      <c r="G132" s="120">
        <v>0</v>
      </c>
      <c r="H132" s="120" t="s">
        <v>250</v>
      </c>
      <c r="I132" s="120">
        <v>0</v>
      </c>
      <c r="J132" s="120">
        <v>312671.92000000004</v>
      </c>
      <c r="K132" s="120" t="s">
        <v>250</v>
      </c>
      <c r="L132" s="120" t="s">
        <v>250</v>
      </c>
      <c r="M132" s="120">
        <v>0</v>
      </c>
      <c r="N132" s="120" t="s">
        <v>250</v>
      </c>
      <c r="O132" s="120">
        <v>312671.92000000004</v>
      </c>
      <c r="P132" s="120">
        <v>158604.69371052555</v>
      </c>
      <c r="Q132" s="120">
        <v>154067.22628947449</v>
      </c>
      <c r="R132" s="120"/>
      <c r="S132" s="121"/>
    </row>
    <row r="133" spans="1:19" ht="15">
      <c r="A133" s="105">
        <v>12</v>
      </c>
      <c r="B133" s="105"/>
      <c r="C133" s="107" t="s">
        <v>349</v>
      </c>
      <c r="D133" s="107" t="s">
        <v>250</v>
      </c>
      <c r="E133" s="120">
        <v>1225357382.8299999</v>
      </c>
      <c r="F133" s="120" t="s">
        <v>250</v>
      </c>
      <c r="G133" s="120">
        <v>1169694019.427686</v>
      </c>
      <c r="H133" s="120" t="s">
        <v>250</v>
      </c>
      <c r="I133" s="120">
        <v>53877186.888726115</v>
      </c>
      <c r="J133" s="120">
        <v>1786176.5135878879</v>
      </c>
      <c r="K133" s="120" t="s">
        <v>250</v>
      </c>
      <c r="L133" s="120" t="s">
        <v>250</v>
      </c>
      <c r="M133" s="120">
        <v>0</v>
      </c>
      <c r="N133" s="120" t="s">
        <v>250</v>
      </c>
      <c r="O133" s="120">
        <v>1786176.5135878879</v>
      </c>
      <c r="P133" s="120">
        <v>1428630.4256300889</v>
      </c>
      <c r="Q133" s="120">
        <v>357546.08795779891</v>
      </c>
      <c r="R133" s="120"/>
      <c r="S133" s="121"/>
    </row>
    <row r="134" spans="1:19" ht="15">
      <c r="A134" s="105" t="s">
        <v>250</v>
      </c>
      <c r="B134" s="105"/>
      <c r="C134" s="107" t="s">
        <v>250</v>
      </c>
      <c r="D134" s="107" t="s">
        <v>250</v>
      </c>
      <c r="E134" s="120" t="s">
        <v>250</v>
      </c>
      <c r="F134" s="120" t="s">
        <v>250</v>
      </c>
      <c r="G134" s="120" t="s">
        <v>250</v>
      </c>
      <c r="H134" s="120" t="s">
        <v>250</v>
      </c>
      <c r="I134" s="120" t="s">
        <v>250</v>
      </c>
      <c r="J134" s="120" t="s">
        <v>250</v>
      </c>
      <c r="K134" s="120" t="s">
        <v>250</v>
      </c>
      <c r="L134" s="120" t="s">
        <v>250</v>
      </c>
      <c r="M134" s="120" t="s">
        <v>250</v>
      </c>
      <c r="N134" s="120" t="s">
        <v>250</v>
      </c>
      <c r="O134" s="120" t="s">
        <v>250</v>
      </c>
      <c r="P134" s="120" t="s">
        <v>250</v>
      </c>
      <c r="Q134" s="120" t="s">
        <v>250</v>
      </c>
      <c r="R134" s="120"/>
      <c r="S134" s="121"/>
    </row>
    <row r="135" spans="1:19" ht="15">
      <c r="A135" s="105" t="s">
        <v>250</v>
      </c>
      <c r="B135" s="129"/>
      <c r="C135" s="107" t="s">
        <v>350</v>
      </c>
      <c r="D135" s="107" t="s">
        <v>250</v>
      </c>
      <c r="E135" s="120" t="s">
        <v>250</v>
      </c>
      <c r="F135" s="120" t="s">
        <v>250</v>
      </c>
      <c r="G135" s="120" t="s">
        <v>250</v>
      </c>
      <c r="H135" s="120" t="s">
        <v>250</v>
      </c>
      <c r="I135" s="120" t="s">
        <v>250</v>
      </c>
      <c r="J135" s="120" t="s">
        <v>250</v>
      </c>
      <c r="K135" s="120" t="s">
        <v>250</v>
      </c>
      <c r="L135" s="120" t="s">
        <v>250</v>
      </c>
      <c r="M135" s="120" t="s">
        <v>250</v>
      </c>
      <c r="N135" s="120" t="s">
        <v>250</v>
      </c>
      <c r="O135" s="120" t="s">
        <v>250</v>
      </c>
      <c r="P135" s="120" t="s">
        <v>250</v>
      </c>
      <c r="Q135" s="120" t="s">
        <v>250</v>
      </c>
      <c r="R135" s="120"/>
      <c r="S135" s="121"/>
    </row>
    <row r="136" spans="1:19" ht="15">
      <c r="A136" s="105">
        <v>13</v>
      </c>
      <c r="B136" s="129" t="str">
        <f t="shared" ref="B136:B141" si="3">MID(C136,2,3)</f>
        <v>350</v>
      </c>
      <c r="C136" s="107" t="s">
        <v>339</v>
      </c>
      <c r="D136" s="107" t="s">
        <v>351</v>
      </c>
      <c r="E136" s="120">
        <v>2185587.0499999998</v>
      </c>
      <c r="F136" s="120" t="s">
        <v>250</v>
      </c>
      <c r="G136" s="120">
        <v>0</v>
      </c>
      <c r="H136" s="120" t="s">
        <v>250</v>
      </c>
      <c r="I136" s="120">
        <v>2185587.0499999998</v>
      </c>
      <c r="J136" s="120">
        <v>0</v>
      </c>
      <c r="K136" s="120" t="s">
        <v>250</v>
      </c>
      <c r="L136" s="120" t="s">
        <v>250</v>
      </c>
      <c r="M136" s="120">
        <v>0</v>
      </c>
      <c r="N136" s="120" t="s">
        <v>250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3"/>
        <v>352</v>
      </c>
      <c r="C137" s="107" t="s">
        <v>341</v>
      </c>
      <c r="D137" s="107" t="s">
        <v>351</v>
      </c>
      <c r="E137" s="120">
        <v>1801901.6999999902</v>
      </c>
      <c r="F137" s="120" t="s">
        <v>250</v>
      </c>
      <c r="G137" s="120">
        <v>0</v>
      </c>
      <c r="H137" s="120" t="s">
        <v>250</v>
      </c>
      <c r="I137" s="120">
        <v>1801901.6999999902</v>
      </c>
      <c r="J137" s="120">
        <v>0</v>
      </c>
      <c r="K137" s="120" t="s">
        <v>250</v>
      </c>
      <c r="L137" s="120" t="s">
        <v>250</v>
      </c>
      <c r="M137" s="120">
        <v>0</v>
      </c>
      <c r="N137" s="120" t="s">
        <v>250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3"/>
        <v>353</v>
      </c>
      <c r="C138" s="107" t="s">
        <v>342</v>
      </c>
      <c r="D138" s="107" t="s">
        <v>351</v>
      </c>
      <c r="E138" s="120">
        <v>30756642.929999992</v>
      </c>
      <c r="F138" s="120" t="s">
        <v>250</v>
      </c>
      <c r="G138" s="120">
        <v>0</v>
      </c>
      <c r="H138" s="120" t="s">
        <v>250</v>
      </c>
      <c r="I138" s="120">
        <v>30756642.929999992</v>
      </c>
      <c r="J138" s="120">
        <v>0</v>
      </c>
      <c r="K138" s="120" t="s">
        <v>250</v>
      </c>
      <c r="L138" s="120" t="s">
        <v>250</v>
      </c>
      <c r="M138" s="120">
        <v>0</v>
      </c>
      <c r="N138" s="120" t="s">
        <v>250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3"/>
        <v>354</v>
      </c>
      <c r="C139" s="107" t="s">
        <v>343</v>
      </c>
      <c r="D139" s="107" t="s">
        <v>351</v>
      </c>
      <c r="E139" s="120">
        <v>2411758.4299999988</v>
      </c>
      <c r="F139" s="120" t="s">
        <v>250</v>
      </c>
      <c r="G139" s="120">
        <v>0</v>
      </c>
      <c r="H139" s="120" t="s">
        <v>250</v>
      </c>
      <c r="I139" s="120">
        <v>2411758.4299999988</v>
      </c>
      <c r="J139" s="120">
        <v>0</v>
      </c>
      <c r="K139" s="120" t="s">
        <v>250</v>
      </c>
      <c r="L139" s="120" t="s">
        <v>250</v>
      </c>
      <c r="M139" s="120">
        <v>0</v>
      </c>
      <c r="N139" s="120" t="s">
        <v>250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3"/>
        <v>355</v>
      </c>
      <c r="C140" s="107" t="s">
        <v>344</v>
      </c>
      <c r="D140" s="107" t="s">
        <v>351</v>
      </c>
      <c r="E140" s="120">
        <v>20432114.84</v>
      </c>
      <c r="F140" s="120" t="s">
        <v>250</v>
      </c>
      <c r="G140" s="120">
        <v>0</v>
      </c>
      <c r="H140" s="120" t="s">
        <v>250</v>
      </c>
      <c r="I140" s="120">
        <v>20432114.84</v>
      </c>
      <c r="J140" s="120">
        <v>0</v>
      </c>
      <c r="K140" s="120" t="s">
        <v>250</v>
      </c>
      <c r="L140" s="120" t="s">
        <v>250</v>
      </c>
      <c r="M140" s="120">
        <v>0</v>
      </c>
      <c r="N140" s="120" t="s">
        <v>250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3"/>
        <v>356</v>
      </c>
      <c r="C141" s="107" t="s">
        <v>345</v>
      </c>
      <c r="D141" s="107" t="s">
        <v>351</v>
      </c>
      <c r="E141" s="120">
        <v>16512914.310000001</v>
      </c>
      <c r="F141" s="120" t="s">
        <v>250</v>
      </c>
      <c r="G141" s="120">
        <v>0</v>
      </c>
      <c r="H141" s="120" t="s">
        <v>250</v>
      </c>
      <c r="I141" s="120">
        <v>16512914.310000001</v>
      </c>
      <c r="J141" s="120">
        <v>0</v>
      </c>
      <c r="K141" s="120" t="s">
        <v>250</v>
      </c>
      <c r="L141" s="120" t="s">
        <v>250</v>
      </c>
      <c r="M141" s="120">
        <v>0</v>
      </c>
      <c r="N141" s="120" t="s">
        <v>250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310</v>
      </c>
      <c r="D142" s="107" t="s">
        <v>351</v>
      </c>
      <c r="E142" s="120">
        <v>0</v>
      </c>
      <c r="F142" s="120" t="s">
        <v>250</v>
      </c>
      <c r="G142" s="120">
        <v>0</v>
      </c>
      <c r="H142" s="120" t="s">
        <v>250</v>
      </c>
      <c r="I142" s="120">
        <v>0</v>
      </c>
      <c r="J142" s="120">
        <v>0</v>
      </c>
      <c r="K142" s="120" t="s">
        <v>250</v>
      </c>
      <c r="L142" s="120" t="s">
        <v>250</v>
      </c>
      <c r="M142" s="120">
        <v>0</v>
      </c>
      <c r="N142" s="120" t="s">
        <v>250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312</v>
      </c>
      <c r="D143" s="107" t="s">
        <v>351</v>
      </c>
      <c r="E143" s="120">
        <v>0</v>
      </c>
      <c r="F143" s="120" t="s">
        <v>250</v>
      </c>
      <c r="G143" s="120">
        <v>0</v>
      </c>
      <c r="H143" s="120" t="s">
        <v>250</v>
      </c>
      <c r="I143" s="120">
        <v>0</v>
      </c>
      <c r="J143" s="120">
        <v>0</v>
      </c>
      <c r="K143" s="120" t="s">
        <v>250</v>
      </c>
      <c r="L143" s="120" t="s">
        <v>250</v>
      </c>
      <c r="M143" s="120">
        <v>0</v>
      </c>
      <c r="N143" s="120" t="s">
        <v>250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352</v>
      </c>
      <c r="D144" s="107" t="s">
        <v>250</v>
      </c>
      <c r="E144" s="120">
        <v>74100919.25999999</v>
      </c>
      <c r="F144" s="120" t="s">
        <v>250</v>
      </c>
      <c r="G144" s="120">
        <v>0</v>
      </c>
      <c r="H144" s="120" t="s">
        <v>250</v>
      </c>
      <c r="I144" s="120">
        <v>74100919.25999999</v>
      </c>
      <c r="J144" s="120">
        <v>0</v>
      </c>
      <c r="K144" s="120" t="s">
        <v>250</v>
      </c>
      <c r="L144" s="120" t="s">
        <v>250</v>
      </c>
      <c r="M144" s="120">
        <v>0</v>
      </c>
      <c r="N144" s="120" t="s">
        <v>250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250</v>
      </c>
      <c r="B145" s="105"/>
      <c r="C145" s="107" t="s">
        <v>250</v>
      </c>
      <c r="D145" s="107" t="s">
        <v>250</v>
      </c>
      <c r="E145" s="120" t="s">
        <v>250</v>
      </c>
      <c r="F145" s="120" t="s">
        <v>250</v>
      </c>
      <c r="G145" s="120" t="s">
        <v>250</v>
      </c>
      <c r="H145" s="120" t="s">
        <v>250</v>
      </c>
      <c r="I145" s="120" t="s">
        <v>250</v>
      </c>
      <c r="J145" s="120" t="s">
        <v>250</v>
      </c>
      <c r="K145" s="120" t="s">
        <v>250</v>
      </c>
      <c r="L145" s="120" t="s">
        <v>250</v>
      </c>
      <c r="M145" s="120" t="s">
        <v>250</v>
      </c>
      <c r="N145" s="120" t="s">
        <v>250</v>
      </c>
      <c r="O145" s="120" t="s">
        <v>250</v>
      </c>
      <c r="P145" s="120" t="s">
        <v>250</v>
      </c>
      <c r="Q145" s="120" t="s">
        <v>250</v>
      </c>
      <c r="R145" s="120"/>
      <c r="S145" s="121"/>
    </row>
    <row r="146" spans="1:19" ht="15">
      <c r="A146" s="105" t="s">
        <v>250</v>
      </c>
      <c r="B146" s="129"/>
      <c r="C146" s="107" t="s">
        <v>353</v>
      </c>
      <c r="D146" s="107" t="s">
        <v>250</v>
      </c>
      <c r="E146" s="120" t="s">
        <v>250</v>
      </c>
      <c r="F146" s="120" t="s">
        <v>250</v>
      </c>
      <c r="G146" s="120" t="s">
        <v>250</v>
      </c>
      <c r="H146" s="120" t="s">
        <v>250</v>
      </c>
      <c r="I146" s="120" t="s">
        <v>250</v>
      </c>
      <c r="J146" s="120" t="s">
        <v>250</v>
      </c>
      <c r="K146" s="120" t="s">
        <v>250</v>
      </c>
      <c r="L146" s="120" t="s">
        <v>250</v>
      </c>
      <c r="M146" s="120" t="s">
        <v>250</v>
      </c>
      <c r="N146" s="120" t="s">
        <v>250</v>
      </c>
      <c r="O146" s="120" t="s">
        <v>250</v>
      </c>
      <c r="P146" s="120" t="s">
        <v>250</v>
      </c>
      <c r="Q146" s="120" t="s">
        <v>250</v>
      </c>
      <c r="R146" s="120"/>
      <c r="S146" s="121"/>
    </row>
    <row r="147" spans="1:19" ht="15">
      <c r="A147" s="105">
        <v>22</v>
      </c>
      <c r="B147" s="129" t="str">
        <f t="shared" ref="B147:B150" si="4">MID(C147,2,3)</f>
        <v>350</v>
      </c>
      <c r="C147" s="107" t="s">
        <v>339</v>
      </c>
      <c r="D147" s="107" t="s">
        <v>354</v>
      </c>
      <c r="E147" s="120">
        <v>280370.75</v>
      </c>
      <c r="F147" s="120" t="s">
        <v>250</v>
      </c>
      <c r="G147" s="120">
        <v>280370.75</v>
      </c>
      <c r="H147" s="120" t="s">
        <v>250</v>
      </c>
      <c r="I147" s="120">
        <v>0</v>
      </c>
      <c r="J147" s="120">
        <v>0</v>
      </c>
      <c r="K147" s="120" t="s">
        <v>250</v>
      </c>
      <c r="L147" s="120" t="s">
        <v>250</v>
      </c>
      <c r="M147" s="120">
        <v>0</v>
      </c>
      <c r="N147" s="120" t="s">
        <v>250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4"/>
        <v>354</v>
      </c>
      <c r="C148" s="107" t="s">
        <v>343</v>
      </c>
      <c r="D148" s="107" t="s">
        <v>354</v>
      </c>
      <c r="E148" s="120">
        <v>4769322.870000001</v>
      </c>
      <c r="F148" s="120" t="s">
        <v>250</v>
      </c>
      <c r="G148" s="120">
        <v>4769322.870000001</v>
      </c>
      <c r="H148" s="120" t="s">
        <v>250</v>
      </c>
      <c r="I148" s="120">
        <v>0</v>
      </c>
      <c r="J148" s="120">
        <v>0</v>
      </c>
      <c r="K148" s="120" t="s">
        <v>250</v>
      </c>
      <c r="L148" s="120" t="s">
        <v>250</v>
      </c>
      <c r="M148" s="120">
        <v>0</v>
      </c>
      <c r="N148" s="120" t="s">
        <v>250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4"/>
        <v>355</v>
      </c>
      <c r="C149" s="107" t="s">
        <v>344</v>
      </c>
      <c r="D149" s="107" t="s">
        <v>354</v>
      </c>
      <c r="E149" s="120">
        <v>51357.979999999996</v>
      </c>
      <c r="F149" s="120" t="s">
        <v>250</v>
      </c>
      <c r="G149" s="120">
        <v>51357.979999999996</v>
      </c>
      <c r="H149" s="120" t="s">
        <v>250</v>
      </c>
      <c r="I149" s="120">
        <v>0</v>
      </c>
      <c r="J149" s="120">
        <v>0</v>
      </c>
      <c r="K149" s="120" t="s">
        <v>250</v>
      </c>
      <c r="L149" s="120" t="s">
        <v>250</v>
      </c>
      <c r="M149" s="120">
        <v>0</v>
      </c>
      <c r="N149" s="120" t="s">
        <v>250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4"/>
        <v>356</v>
      </c>
      <c r="C150" s="107" t="s">
        <v>345</v>
      </c>
      <c r="D150" s="107" t="s">
        <v>354</v>
      </c>
      <c r="E150" s="120">
        <v>3129377.81</v>
      </c>
      <c r="F150" s="120" t="s">
        <v>250</v>
      </c>
      <c r="G150" s="120">
        <v>3129377.81</v>
      </c>
      <c r="H150" s="120" t="s">
        <v>250</v>
      </c>
      <c r="I150" s="120">
        <v>0</v>
      </c>
      <c r="J150" s="120">
        <v>0</v>
      </c>
      <c r="K150" s="120" t="s">
        <v>250</v>
      </c>
      <c r="L150" s="120" t="s">
        <v>250</v>
      </c>
      <c r="M150" s="120">
        <v>0</v>
      </c>
      <c r="N150" s="120" t="s">
        <v>250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310</v>
      </c>
      <c r="D151" s="107" t="s">
        <v>311</v>
      </c>
      <c r="E151" s="120">
        <v>0</v>
      </c>
      <c r="F151" s="120" t="s">
        <v>250</v>
      </c>
      <c r="G151" s="120">
        <v>0</v>
      </c>
      <c r="H151" s="120" t="s">
        <v>250</v>
      </c>
      <c r="I151" s="120">
        <v>0</v>
      </c>
      <c r="J151" s="120">
        <v>0</v>
      </c>
      <c r="K151" s="120" t="s">
        <v>250</v>
      </c>
      <c r="L151" s="120" t="s">
        <v>250</v>
      </c>
      <c r="M151" s="120">
        <v>0</v>
      </c>
      <c r="N151" s="120" t="s">
        <v>250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312</v>
      </c>
      <c r="D152" s="107" t="s">
        <v>313</v>
      </c>
      <c r="E152" s="120">
        <v>0</v>
      </c>
      <c r="F152" s="120" t="s">
        <v>250</v>
      </c>
      <c r="G152" s="120">
        <v>0</v>
      </c>
      <c r="H152" s="120" t="s">
        <v>250</v>
      </c>
      <c r="I152" s="120">
        <v>0</v>
      </c>
      <c r="J152" s="120">
        <v>0</v>
      </c>
      <c r="K152" s="120" t="s">
        <v>250</v>
      </c>
      <c r="L152" s="120" t="s">
        <v>250</v>
      </c>
      <c r="M152" s="120">
        <v>0</v>
      </c>
      <c r="N152" s="120" t="s">
        <v>250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355</v>
      </c>
      <c r="D153" s="107" t="s">
        <v>250</v>
      </c>
      <c r="E153" s="120">
        <v>8230429.410000002</v>
      </c>
      <c r="F153" s="120" t="s">
        <v>250</v>
      </c>
      <c r="G153" s="120">
        <v>8230429.410000002</v>
      </c>
      <c r="H153" s="120" t="s">
        <v>250</v>
      </c>
      <c r="I153" s="120">
        <v>0</v>
      </c>
      <c r="J153" s="120">
        <v>0</v>
      </c>
      <c r="K153" s="120" t="s">
        <v>250</v>
      </c>
      <c r="L153" s="120" t="s">
        <v>250</v>
      </c>
      <c r="M153" s="120">
        <v>0</v>
      </c>
      <c r="N153" s="120" t="s">
        <v>250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250</v>
      </c>
      <c r="B154" s="105"/>
      <c r="C154" s="107" t="s">
        <v>250</v>
      </c>
      <c r="D154" s="107" t="s">
        <v>250</v>
      </c>
      <c r="E154" s="120" t="s">
        <v>250</v>
      </c>
      <c r="F154" s="120" t="s">
        <v>250</v>
      </c>
      <c r="G154" s="120" t="s">
        <v>250</v>
      </c>
      <c r="H154" s="120" t="s">
        <v>250</v>
      </c>
      <c r="I154" s="120" t="s">
        <v>250</v>
      </c>
      <c r="J154" s="120" t="s">
        <v>250</v>
      </c>
      <c r="K154" s="120" t="s">
        <v>250</v>
      </c>
      <c r="L154" s="120" t="s">
        <v>250</v>
      </c>
      <c r="M154" s="120" t="s">
        <v>250</v>
      </c>
      <c r="N154" s="120" t="s">
        <v>250</v>
      </c>
      <c r="O154" s="120" t="s">
        <v>250</v>
      </c>
      <c r="P154" s="120" t="s">
        <v>250</v>
      </c>
      <c r="Q154" s="120" t="s">
        <v>250</v>
      </c>
      <c r="R154" s="120"/>
      <c r="S154" s="121"/>
    </row>
    <row r="155" spans="1:19" ht="15">
      <c r="A155" s="105">
        <v>29</v>
      </c>
      <c r="B155" s="105"/>
      <c r="C155" s="107" t="s">
        <v>356</v>
      </c>
      <c r="D155" s="107" t="s">
        <v>250</v>
      </c>
      <c r="E155" s="120">
        <v>1307688731.5</v>
      </c>
      <c r="F155" s="120" t="s">
        <v>250</v>
      </c>
      <c r="G155" s="120">
        <v>1177924448.8376861</v>
      </c>
      <c r="H155" s="120" t="s">
        <v>250</v>
      </c>
      <c r="I155" s="120">
        <v>127978106.14872611</v>
      </c>
      <c r="J155" s="120">
        <v>1786176.5135878879</v>
      </c>
      <c r="K155" s="120" t="s">
        <v>250</v>
      </c>
      <c r="L155" s="120" t="s">
        <v>250</v>
      </c>
      <c r="M155" s="120">
        <v>0</v>
      </c>
      <c r="N155" s="120" t="s">
        <v>250</v>
      </c>
      <c r="O155" s="120">
        <v>1786176.5135878879</v>
      </c>
      <c r="P155" s="120">
        <v>1428630.4256300889</v>
      </c>
      <c r="Q155" s="120">
        <v>357546.08795779891</v>
      </c>
      <c r="R155" s="120"/>
      <c r="S155" s="121"/>
    </row>
    <row r="156" spans="1:19" ht="15">
      <c r="A156" s="105" t="s">
        <v>250</v>
      </c>
      <c r="B156" s="105"/>
      <c r="C156" s="107" t="s">
        <v>250</v>
      </c>
      <c r="D156" s="107" t="s">
        <v>250</v>
      </c>
      <c r="E156" s="120" t="s">
        <v>250</v>
      </c>
      <c r="F156" s="120" t="s">
        <v>250</v>
      </c>
      <c r="G156" s="120" t="s">
        <v>250</v>
      </c>
      <c r="H156" s="120" t="s">
        <v>250</v>
      </c>
      <c r="I156" s="120" t="s">
        <v>250</v>
      </c>
      <c r="J156" s="120" t="s">
        <v>250</v>
      </c>
      <c r="K156" s="120" t="s">
        <v>250</v>
      </c>
      <c r="L156" s="120" t="s">
        <v>250</v>
      </c>
      <c r="M156" s="120" t="s">
        <v>250</v>
      </c>
      <c r="N156" s="120" t="s">
        <v>250</v>
      </c>
      <c r="O156" s="120" t="s">
        <v>250</v>
      </c>
      <c r="P156" s="120" t="s">
        <v>250</v>
      </c>
      <c r="Q156" s="120" t="s">
        <v>250</v>
      </c>
      <c r="R156" s="120"/>
      <c r="S156" s="121"/>
    </row>
    <row r="157" spans="1:19" ht="15">
      <c r="A157" s="105" t="s">
        <v>250</v>
      </c>
      <c r="B157" s="105"/>
      <c r="C157" s="107" t="s">
        <v>336</v>
      </c>
      <c r="D157" s="107" t="s">
        <v>250</v>
      </c>
      <c r="E157" s="120" t="s">
        <v>250</v>
      </c>
      <c r="F157" s="120" t="s">
        <v>250</v>
      </c>
      <c r="G157" s="120" t="s">
        <v>250</v>
      </c>
      <c r="H157" s="120" t="s">
        <v>250</v>
      </c>
      <c r="I157" s="120" t="s">
        <v>250</v>
      </c>
      <c r="J157" s="120" t="s">
        <v>250</v>
      </c>
      <c r="K157" s="120" t="s">
        <v>250</v>
      </c>
      <c r="L157" s="120" t="s">
        <v>250</v>
      </c>
      <c r="M157" s="120" t="s">
        <v>250</v>
      </c>
      <c r="N157" s="120" t="s">
        <v>250</v>
      </c>
      <c r="O157" s="120" t="s">
        <v>250</v>
      </c>
      <c r="P157" s="120" t="s">
        <v>250</v>
      </c>
      <c r="Q157" s="120" t="s">
        <v>250</v>
      </c>
      <c r="R157" s="120"/>
      <c r="S157" s="121"/>
    </row>
    <row r="158" spans="1:19" ht="15">
      <c r="A158" s="105" t="s">
        <v>250</v>
      </c>
      <c r="B158" s="105"/>
      <c r="C158" s="107" t="s">
        <v>250</v>
      </c>
      <c r="D158" s="107" t="s">
        <v>250</v>
      </c>
      <c r="E158" s="120" t="s">
        <v>250</v>
      </c>
      <c r="F158" s="120" t="s">
        <v>250</v>
      </c>
      <c r="G158" s="120" t="s">
        <v>250</v>
      </c>
      <c r="H158" s="120" t="s">
        <v>250</v>
      </c>
      <c r="I158" s="120" t="s">
        <v>250</v>
      </c>
      <c r="J158" s="120" t="s">
        <v>250</v>
      </c>
      <c r="K158" s="120" t="s">
        <v>250</v>
      </c>
      <c r="L158" s="120" t="s">
        <v>250</v>
      </c>
      <c r="M158" s="120" t="s">
        <v>250</v>
      </c>
      <c r="N158" s="120" t="s">
        <v>250</v>
      </c>
      <c r="O158" s="120" t="s">
        <v>250</v>
      </c>
      <c r="P158" s="120" t="s">
        <v>250</v>
      </c>
      <c r="Q158" s="120" t="s">
        <v>250</v>
      </c>
      <c r="R158" s="120"/>
      <c r="S158" s="121"/>
    </row>
    <row r="159" spans="1:19" ht="15">
      <c r="A159" s="105" t="s">
        <v>250</v>
      </c>
      <c r="B159" s="105"/>
      <c r="C159" s="107" t="s">
        <v>357</v>
      </c>
      <c r="D159" s="107" t="s">
        <v>250</v>
      </c>
      <c r="E159" s="120" t="s">
        <v>250</v>
      </c>
      <c r="F159" s="120" t="s">
        <v>250</v>
      </c>
      <c r="G159" s="120" t="s">
        <v>250</v>
      </c>
      <c r="H159" s="120" t="s">
        <v>250</v>
      </c>
      <c r="I159" s="120" t="s">
        <v>250</v>
      </c>
      <c r="J159" s="120" t="s">
        <v>250</v>
      </c>
      <c r="K159" s="120" t="s">
        <v>250</v>
      </c>
      <c r="L159" s="120" t="s">
        <v>250</v>
      </c>
      <c r="M159" s="120" t="s">
        <v>250</v>
      </c>
      <c r="N159" s="120" t="s">
        <v>250</v>
      </c>
      <c r="O159" s="120" t="s">
        <v>250</v>
      </c>
      <c r="P159" s="120" t="s">
        <v>250</v>
      </c>
      <c r="Q159" s="120" t="s">
        <v>250</v>
      </c>
      <c r="R159" s="120"/>
      <c r="S159" s="121"/>
    </row>
    <row r="160" spans="1:19" ht="15">
      <c r="A160" s="105" t="s">
        <v>250</v>
      </c>
      <c r="B160" s="129"/>
      <c r="C160" s="107" t="s">
        <v>358</v>
      </c>
      <c r="D160" s="107" t="s">
        <v>250</v>
      </c>
      <c r="E160" s="120" t="s">
        <v>250</v>
      </c>
      <c r="F160" s="120" t="s">
        <v>250</v>
      </c>
      <c r="G160" s="120" t="s">
        <v>250</v>
      </c>
      <c r="H160" s="120" t="s">
        <v>250</v>
      </c>
      <c r="I160" s="120" t="s">
        <v>250</v>
      </c>
      <c r="J160" s="120" t="s">
        <v>250</v>
      </c>
      <c r="K160" s="120" t="s">
        <v>250</v>
      </c>
      <c r="L160" s="120" t="s">
        <v>250</v>
      </c>
      <c r="M160" s="120" t="s">
        <v>250</v>
      </c>
      <c r="N160" s="120" t="s">
        <v>250</v>
      </c>
      <c r="O160" s="120" t="s">
        <v>250</v>
      </c>
      <c r="P160" s="120" t="s">
        <v>250</v>
      </c>
      <c r="Q160" s="120" t="s">
        <v>250</v>
      </c>
      <c r="R160" s="120"/>
      <c r="S160" s="121"/>
    </row>
    <row r="161" spans="1:19" ht="15">
      <c r="A161" s="105">
        <v>1</v>
      </c>
      <c r="B161" s="129" t="str">
        <f t="shared" ref="B161:B167" si="5">MID(C161,2,3)</f>
        <v>360</v>
      </c>
      <c r="C161" s="107" t="s">
        <v>359</v>
      </c>
      <c r="D161" s="107" t="s">
        <v>360</v>
      </c>
      <c r="E161" s="120">
        <v>8925330.3600000013</v>
      </c>
      <c r="F161" s="120" t="s">
        <v>250</v>
      </c>
      <c r="G161" s="120">
        <v>8916173.3600000013</v>
      </c>
      <c r="H161" s="120" t="s">
        <v>250</v>
      </c>
      <c r="I161" s="120">
        <v>0</v>
      </c>
      <c r="J161" s="120">
        <v>9157</v>
      </c>
      <c r="K161" s="120" t="s">
        <v>250</v>
      </c>
      <c r="L161" s="120" t="s">
        <v>250</v>
      </c>
      <c r="M161" s="120">
        <v>0</v>
      </c>
      <c r="N161" s="120" t="s">
        <v>250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5"/>
        <v>361</v>
      </c>
      <c r="C162" s="107" t="s">
        <v>361</v>
      </c>
      <c r="D162" s="107" t="s">
        <v>362</v>
      </c>
      <c r="E162" s="120">
        <v>28011801.769999899</v>
      </c>
      <c r="F162" s="120" t="s">
        <v>250</v>
      </c>
      <c r="G162" s="120">
        <v>27642463.769999899</v>
      </c>
      <c r="H162" s="120" t="s">
        <v>250</v>
      </c>
      <c r="I162" s="120">
        <v>0</v>
      </c>
      <c r="J162" s="120">
        <v>369338</v>
      </c>
      <c r="K162" s="120" t="s">
        <v>250</v>
      </c>
      <c r="L162" s="120" t="s">
        <v>250</v>
      </c>
      <c r="M162" s="120">
        <v>0</v>
      </c>
      <c r="N162" s="120" t="s">
        <v>250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5"/>
        <v>362</v>
      </c>
      <c r="C163" s="107" t="s">
        <v>363</v>
      </c>
      <c r="D163" s="107" t="s">
        <v>364</v>
      </c>
      <c r="E163" s="120">
        <v>278162034.50999999</v>
      </c>
      <c r="F163" s="120" t="s">
        <v>250</v>
      </c>
      <c r="G163" s="120">
        <v>275059366.50999999</v>
      </c>
      <c r="H163" s="120" t="s">
        <v>250</v>
      </c>
      <c r="I163" s="120">
        <v>0</v>
      </c>
      <c r="J163" s="120">
        <v>3102668</v>
      </c>
      <c r="K163" s="120" t="s">
        <v>250</v>
      </c>
      <c r="L163" s="120" t="s">
        <v>250</v>
      </c>
      <c r="M163" s="120">
        <v>0</v>
      </c>
      <c r="N163" s="120" t="s">
        <v>250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5"/>
        <v>364</v>
      </c>
      <c r="C164" s="107" t="s">
        <v>365</v>
      </c>
      <c r="D164" s="107" t="s">
        <v>366</v>
      </c>
      <c r="E164" s="120">
        <v>436486048.65000004</v>
      </c>
      <c r="F164" s="120" t="s">
        <v>250</v>
      </c>
      <c r="G164" s="120">
        <v>436486048.65000004</v>
      </c>
      <c r="H164" s="120" t="s">
        <v>250</v>
      </c>
      <c r="I164" s="120">
        <v>0</v>
      </c>
      <c r="J164" s="120">
        <v>0</v>
      </c>
      <c r="K164" s="120" t="s">
        <v>250</v>
      </c>
      <c r="L164" s="120" t="s">
        <v>250</v>
      </c>
      <c r="M164" s="120">
        <v>0</v>
      </c>
      <c r="N164" s="120" t="s">
        <v>250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5"/>
        <v>365</v>
      </c>
      <c r="C165" s="107" t="s">
        <v>367</v>
      </c>
      <c r="D165" s="107" t="s">
        <v>368</v>
      </c>
      <c r="E165" s="120">
        <v>451018393.37999994</v>
      </c>
      <c r="F165" s="120" t="s">
        <v>250</v>
      </c>
      <c r="G165" s="120">
        <v>451018393.37999994</v>
      </c>
      <c r="H165" s="120" t="s">
        <v>250</v>
      </c>
      <c r="I165" s="120">
        <v>0</v>
      </c>
      <c r="J165" s="120">
        <v>0</v>
      </c>
      <c r="K165" s="120" t="s">
        <v>250</v>
      </c>
      <c r="L165" s="120" t="s">
        <v>250</v>
      </c>
      <c r="M165" s="120">
        <v>0</v>
      </c>
      <c r="N165" s="120" t="s">
        <v>250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5"/>
        <v>366</v>
      </c>
      <c r="C166" s="107" t="s">
        <v>369</v>
      </c>
      <c r="D166" s="107" t="s">
        <v>370</v>
      </c>
      <c r="E166" s="120">
        <v>2524144.5199999991</v>
      </c>
      <c r="F166" s="120" t="s">
        <v>250</v>
      </c>
      <c r="G166" s="120">
        <v>2524144.5199999991</v>
      </c>
      <c r="H166" s="120" t="s">
        <v>250</v>
      </c>
      <c r="I166" s="120">
        <v>0</v>
      </c>
      <c r="J166" s="120">
        <v>0</v>
      </c>
      <c r="K166" s="120" t="s">
        <v>250</v>
      </c>
      <c r="L166" s="120" t="s">
        <v>250</v>
      </c>
      <c r="M166" s="120">
        <v>0</v>
      </c>
      <c r="N166" s="120" t="s">
        <v>250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5"/>
        <v>367</v>
      </c>
      <c r="C167" s="107" t="s">
        <v>371</v>
      </c>
      <c r="D167" s="107" t="s">
        <v>372</v>
      </c>
      <c r="E167" s="120">
        <v>229126404.88999996</v>
      </c>
      <c r="F167" s="120" t="s">
        <v>250</v>
      </c>
      <c r="G167" s="120">
        <v>229126404.88999996</v>
      </c>
      <c r="H167" s="120" t="s">
        <v>250</v>
      </c>
      <c r="I167" s="120">
        <v>0</v>
      </c>
      <c r="J167" s="120">
        <v>0</v>
      </c>
      <c r="K167" s="120" t="s">
        <v>250</v>
      </c>
      <c r="L167" s="120" t="s">
        <v>250</v>
      </c>
      <c r="M167" s="120">
        <v>0</v>
      </c>
      <c r="N167" s="120" t="s">
        <v>250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250</v>
      </c>
      <c r="B168" s="105"/>
      <c r="C168" s="107" t="s">
        <v>373</v>
      </c>
      <c r="D168" s="107" t="s">
        <v>250</v>
      </c>
      <c r="E168" s="120" t="s">
        <v>250</v>
      </c>
      <c r="F168" s="120" t="s">
        <v>250</v>
      </c>
      <c r="G168" s="120" t="s">
        <v>250</v>
      </c>
      <c r="H168" s="120" t="s">
        <v>250</v>
      </c>
      <c r="I168" s="120" t="s">
        <v>250</v>
      </c>
      <c r="J168" s="120" t="s">
        <v>250</v>
      </c>
      <c r="K168" s="120" t="s">
        <v>250</v>
      </c>
      <c r="L168" s="120" t="s">
        <v>250</v>
      </c>
      <c r="M168" s="120" t="s">
        <v>250</v>
      </c>
      <c r="N168" s="120" t="s">
        <v>250</v>
      </c>
      <c r="O168" s="120" t="s">
        <v>250</v>
      </c>
      <c r="P168" s="120" t="s">
        <v>250</v>
      </c>
      <c r="Q168" s="120" t="s">
        <v>250</v>
      </c>
      <c r="R168" s="120"/>
      <c r="S168" s="121"/>
    </row>
    <row r="169" spans="1:19" ht="15">
      <c r="A169" s="105">
        <v>8</v>
      </c>
      <c r="B169" s="105"/>
      <c r="C169" s="107" t="s">
        <v>374</v>
      </c>
      <c r="D169" s="107" t="s">
        <v>377</v>
      </c>
      <c r="E169" s="120">
        <v>5363041.5999999996</v>
      </c>
      <c r="F169" s="120" t="s">
        <v>250</v>
      </c>
      <c r="G169" s="120">
        <v>5363041.5999999996</v>
      </c>
      <c r="H169" s="120" t="s">
        <v>250</v>
      </c>
      <c r="I169" s="120">
        <v>0</v>
      </c>
      <c r="J169" s="120">
        <v>0</v>
      </c>
      <c r="K169" s="120" t="s">
        <v>250</v>
      </c>
      <c r="L169" s="120" t="s">
        <v>250</v>
      </c>
      <c r="M169" s="120">
        <v>0</v>
      </c>
      <c r="N169" s="120" t="s">
        <v>250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376</v>
      </c>
      <c r="D170" s="107" t="s">
        <v>377</v>
      </c>
      <c r="E170" s="120">
        <v>316316431.46999997</v>
      </c>
      <c r="F170" s="120" t="s">
        <v>250</v>
      </c>
      <c r="G170" s="120">
        <v>316316431.46999997</v>
      </c>
      <c r="H170" s="120" t="s">
        <v>250</v>
      </c>
      <c r="I170" s="120">
        <v>0</v>
      </c>
      <c r="J170" s="120">
        <v>0</v>
      </c>
      <c r="K170" s="120" t="s">
        <v>250</v>
      </c>
      <c r="L170" s="120" t="s">
        <v>250</v>
      </c>
      <c r="M170" s="120">
        <v>0</v>
      </c>
      <c r="N170" s="120" t="s">
        <v>250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378</v>
      </c>
      <c r="D171" s="107" t="s">
        <v>250</v>
      </c>
      <c r="E171" s="120">
        <v>321679473.06999999</v>
      </c>
      <c r="F171" s="120" t="s">
        <v>250</v>
      </c>
      <c r="G171" s="120">
        <v>321679473.06999999</v>
      </c>
      <c r="H171" s="120" t="s">
        <v>250</v>
      </c>
      <c r="I171" s="120">
        <v>0</v>
      </c>
      <c r="J171" s="120">
        <v>0</v>
      </c>
      <c r="K171" s="120" t="s">
        <v>250</v>
      </c>
      <c r="L171" s="120" t="s">
        <v>250</v>
      </c>
      <c r="M171" s="120">
        <v>0</v>
      </c>
      <c r="N171" s="120" t="s">
        <v>250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6">MID(C172,2,3)</f>
        <v>369</v>
      </c>
      <c r="C172" s="107" t="s">
        <v>379</v>
      </c>
      <c r="D172" s="107" t="s">
        <v>380</v>
      </c>
      <c r="E172" s="120">
        <v>124898418.40000001</v>
      </c>
      <c r="F172" s="120" t="s">
        <v>250</v>
      </c>
      <c r="G172" s="120">
        <v>124898418.40000001</v>
      </c>
      <c r="H172" s="120" t="s">
        <v>250</v>
      </c>
      <c r="I172" s="120">
        <v>0</v>
      </c>
      <c r="J172" s="120">
        <v>0</v>
      </c>
      <c r="K172" s="120" t="s">
        <v>250</v>
      </c>
      <c r="L172" s="120" t="s">
        <v>250</v>
      </c>
      <c r="M172" s="120">
        <v>0</v>
      </c>
      <c r="N172" s="120" t="s">
        <v>250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6"/>
        <v>370</v>
      </c>
      <c r="C173" s="107" t="s">
        <v>381</v>
      </c>
      <c r="D173" s="107" t="s">
        <v>382</v>
      </c>
      <c r="E173" s="120">
        <v>76243249.36999999</v>
      </c>
      <c r="F173" s="120" t="s">
        <v>250</v>
      </c>
      <c r="G173" s="120">
        <v>76195941.36999999</v>
      </c>
      <c r="H173" s="120" t="s">
        <v>250</v>
      </c>
      <c r="I173" s="120">
        <v>0</v>
      </c>
      <c r="J173" s="120">
        <v>47308</v>
      </c>
      <c r="K173" s="120" t="s">
        <v>250</v>
      </c>
      <c r="L173" s="120" t="s">
        <v>250</v>
      </c>
      <c r="M173" s="120">
        <v>0</v>
      </c>
      <c r="N173" s="120" t="s">
        <v>250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6"/>
        <v>371</v>
      </c>
      <c r="C174" s="107" t="s">
        <v>383</v>
      </c>
      <c r="D174" s="107" t="s">
        <v>384</v>
      </c>
      <c r="E174" s="120">
        <v>159233.81</v>
      </c>
      <c r="F174" s="120" t="s">
        <v>250</v>
      </c>
      <c r="G174" s="120">
        <v>159233.81</v>
      </c>
      <c r="H174" s="120" t="s">
        <v>250</v>
      </c>
      <c r="I174" s="120">
        <v>0</v>
      </c>
      <c r="J174" s="120">
        <v>0</v>
      </c>
      <c r="K174" s="120" t="s">
        <v>250</v>
      </c>
      <c r="L174" s="120" t="s">
        <v>250</v>
      </c>
      <c r="M174" s="120">
        <v>0</v>
      </c>
      <c r="N174" s="120" t="s">
        <v>250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6"/>
        <v>373</v>
      </c>
      <c r="C175" s="107" t="s">
        <v>385</v>
      </c>
      <c r="D175" s="107" t="s">
        <v>386</v>
      </c>
      <c r="E175" s="120">
        <v>136881191.10999998</v>
      </c>
      <c r="F175" s="120" t="s">
        <v>250</v>
      </c>
      <c r="G175" s="120">
        <v>136881191.10999998</v>
      </c>
      <c r="H175" s="120" t="s">
        <v>250</v>
      </c>
      <c r="I175" s="120">
        <v>0</v>
      </c>
      <c r="J175" s="120">
        <v>0</v>
      </c>
      <c r="K175" s="120" t="s">
        <v>250</v>
      </c>
      <c r="L175" s="120" t="s">
        <v>250</v>
      </c>
      <c r="M175" s="120">
        <v>0</v>
      </c>
      <c r="N175" s="120" t="s">
        <v>250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6"/>
        <v>374</v>
      </c>
      <c r="C176" s="107" t="s">
        <v>387</v>
      </c>
      <c r="D176" s="107" t="s">
        <v>388</v>
      </c>
      <c r="E176" s="120">
        <v>510376.10000000003</v>
      </c>
      <c r="F176" s="120" t="s">
        <v>250</v>
      </c>
      <c r="G176" s="120">
        <v>510376.10000000003</v>
      </c>
      <c r="H176" s="120" t="s">
        <v>250</v>
      </c>
      <c r="I176" s="120">
        <v>0</v>
      </c>
      <c r="J176" s="120">
        <v>0</v>
      </c>
      <c r="K176" s="120" t="s">
        <v>250</v>
      </c>
      <c r="L176" s="120" t="s">
        <v>250</v>
      </c>
      <c r="M176" s="120">
        <v>0</v>
      </c>
      <c r="N176" s="120" t="s">
        <v>250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389</v>
      </c>
      <c r="D177" s="107" t="s">
        <v>250</v>
      </c>
      <c r="E177" s="120">
        <v>2094626099.9399996</v>
      </c>
      <c r="F177" s="120" t="s">
        <v>250</v>
      </c>
      <c r="G177" s="120">
        <v>2091097628.9399996</v>
      </c>
      <c r="H177" s="120" t="s">
        <v>250</v>
      </c>
      <c r="I177" s="120">
        <v>0</v>
      </c>
      <c r="J177" s="120">
        <v>3528471</v>
      </c>
      <c r="K177" s="120" t="s">
        <v>250</v>
      </c>
      <c r="L177" s="120" t="s">
        <v>250</v>
      </c>
      <c r="M177" s="120">
        <v>0</v>
      </c>
      <c r="N177" s="120" t="s">
        <v>250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250</v>
      </c>
      <c r="B178" s="105"/>
      <c r="C178" s="107" t="s">
        <v>250</v>
      </c>
      <c r="D178" s="107" t="s">
        <v>250</v>
      </c>
      <c r="E178" s="120"/>
      <c r="F178" s="120" t="s">
        <v>250</v>
      </c>
      <c r="G178" s="120" t="s">
        <v>250</v>
      </c>
      <c r="H178" s="120" t="s">
        <v>250</v>
      </c>
      <c r="I178" s="120" t="s">
        <v>250</v>
      </c>
      <c r="J178" s="120" t="s">
        <v>250</v>
      </c>
      <c r="K178" s="120" t="s">
        <v>250</v>
      </c>
      <c r="L178" s="120" t="s">
        <v>250</v>
      </c>
      <c r="M178" s="120" t="s">
        <v>250</v>
      </c>
      <c r="N178" s="120" t="s">
        <v>250</v>
      </c>
      <c r="O178" s="120" t="s">
        <v>250</v>
      </c>
      <c r="P178" s="120" t="s">
        <v>250</v>
      </c>
      <c r="Q178" s="120" t="s">
        <v>250</v>
      </c>
      <c r="R178" s="120"/>
      <c r="S178" s="121"/>
    </row>
    <row r="179" spans="1:19" ht="15">
      <c r="A179" s="105" t="s">
        <v>250</v>
      </c>
      <c r="B179" s="129"/>
      <c r="C179" s="107" t="s">
        <v>390</v>
      </c>
      <c r="D179" s="107" t="s">
        <v>250</v>
      </c>
      <c r="E179" s="120" t="s">
        <v>250</v>
      </c>
      <c r="F179" s="120" t="s">
        <v>250</v>
      </c>
      <c r="G179" s="120" t="s">
        <v>250</v>
      </c>
      <c r="H179" s="120" t="s">
        <v>250</v>
      </c>
      <c r="I179" s="120" t="s">
        <v>250</v>
      </c>
      <c r="J179" s="120" t="s">
        <v>250</v>
      </c>
      <c r="K179" s="120" t="s">
        <v>250</v>
      </c>
      <c r="L179" s="120" t="s">
        <v>250</v>
      </c>
      <c r="M179" s="120" t="s">
        <v>250</v>
      </c>
      <c r="N179" s="120" t="s">
        <v>250</v>
      </c>
      <c r="O179" s="120" t="s">
        <v>250</v>
      </c>
      <c r="P179" s="120" t="s">
        <v>250</v>
      </c>
      <c r="Q179" s="120" t="s">
        <v>250</v>
      </c>
      <c r="R179" s="120"/>
      <c r="S179" s="121"/>
    </row>
    <row r="180" spans="1:19" ht="15">
      <c r="A180" s="105">
        <v>17</v>
      </c>
      <c r="B180" s="129" t="str">
        <f t="shared" ref="B180:B185" si="7">MID(C180,2,3)</f>
        <v>360</v>
      </c>
      <c r="C180" s="107" t="s">
        <v>359</v>
      </c>
      <c r="D180" s="107" t="s">
        <v>391</v>
      </c>
      <c r="E180" s="120">
        <v>305487.90000000002</v>
      </c>
      <c r="F180" s="120" t="s">
        <v>250</v>
      </c>
      <c r="G180" s="120">
        <v>0</v>
      </c>
      <c r="H180" s="120" t="s">
        <v>250</v>
      </c>
      <c r="I180" s="120">
        <v>305487.90000000002</v>
      </c>
      <c r="J180" s="120">
        <v>0</v>
      </c>
      <c r="K180" s="120" t="s">
        <v>250</v>
      </c>
      <c r="L180" s="120" t="s">
        <v>250</v>
      </c>
      <c r="M180" s="120">
        <v>0</v>
      </c>
      <c r="N180" s="120" t="s">
        <v>250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7"/>
        <v>361</v>
      </c>
      <c r="C181" s="107" t="s">
        <v>361</v>
      </c>
      <c r="D181" s="107" t="s">
        <v>392</v>
      </c>
      <c r="E181" s="120">
        <v>652265.46</v>
      </c>
      <c r="F181" s="120" t="s">
        <v>250</v>
      </c>
      <c r="G181" s="120">
        <v>0</v>
      </c>
      <c r="H181" s="120" t="s">
        <v>250</v>
      </c>
      <c r="I181" s="120">
        <v>652265.46</v>
      </c>
      <c r="J181" s="120">
        <v>0</v>
      </c>
      <c r="K181" s="120" t="s">
        <v>250</v>
      </c>
      <c r="L181" s="120" t="s">
        <v>250</v>
      </c>
      <c r="M181" s="120">
        <v>0</v>
      </c>
      <c r="N181" s="120" t="s">
        <v>250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7"/>
        <v>362</v>
      </c>
      <c r="C182" s="107" t="s">
        <v>363</v>
      </c>
      <c r="D182" s="107" t="s">
        <v>393</v>
      </c>
      <c r="E182" s="120">
        <v>9218684.629999999</v>
      </c>
      <c r="F182" s="120" t="s">
        <v>250</v>
      </c>
      <c r="G182" s="120">
        <v>0</v>
      </c>
      <c r="H182" s="120" t="s">
        <v>250</v>
      </c>
      <c r="I182" s="120">
        <v>9218684.629999999</v>
      </c>
      <c r="J182" s="120">
        <v>0</v>
      </c>
      <c r="K182" s="120" t="s">
        <v>250</v>
      </c>
      <c r="L182" s="120" t="s">
        <v>250</v>
      </c>
      <c r="M182" s="120">
        <v>0</v>
      </c>
      <c r="N182" s="120" t="s">
        <v>250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7"/>
        <v>364</v>
      </c>
      <c r="C183" s="107" t="s">
        <v>365</v>
      </c>
      <c r="D183" s="107" t="s">
        <v>394</v>
      </c>
      <c r="E183" s="120">
        <v>33137269.020000003</v>
      </c>
      <c r="F183" s="120" t="s">
        <v>250</v>
      </c>
      <c r="G183" s="120">
        <v>0</v>
      </c>
      <c r="H183" s="120" t="s">
        <v>250</v>
      </c>
      <c r="I183" s="120">
        <v>33137269.020000003</v>
      </c>
      <c r="J183" s="120">
        <v>0</v>
      </c>
      <c r="K183" s="120" t="s">
        <v>250</v>
      </c>
      <c r="L183" s="120" t="s">
        <v>250</v>
      </c>
      <c r="M183" s="120">
        <v>0</v>
      </c>
      <c r="N183" s="120" t="s">
        <v>250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7"/>
        <v>365</v>
      </c>
      <c r="C184" s="107" t="s">
        <v>367</v>
      </c>
      <c r="D184" s="107" t="s">
        <v>395</v>
      </c>
      <c r="E184" s="120">
        <v>30091068.519999996</v>
      </c>
      <c r="F184" s="120" t="s">
        <v>250</v>
      </c>
      <c r="G184" s="120">
        <v>0</v>
      </c>
      <c r="H184" s="120" t="s">
        <v>250</v>
      </c>
      <c r="I184" s="120">
        <v>30091068.519999996</v>
      </c>
      <c r="J184" s="120">
        <v>0</v>
      </c>
      <c r="K184" s="120" t="s">
        <v>250</v>
      </c>
      <c r="L184" s="120" t="s">
        <v>250</v>
      </c>
      <c r="M184" s="120">
        <v>0</v>
      </c>
      <c r="N184" s="120" t="s">
        <v>250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7"/>
        <v>367</v>
      </c>
      <c r="C185" s="107" t="s">
        <v>371</v>
      </c>
      <c r="D185" s="107" t="s">
        <v>396</v>
      </c>
      <c r="E185" s="120">
        <v>4965375.32</v>
      </c>
      <c r="F185" s="120" t="s">
        <v>250</v>
      </c>
      <c r="G185" s="120">
        <v>0</v>
      </c>
      <c r="H185" s="120" t="s">
        <v>250</v>
      </c>
      <c r="I185" s="120">
        <v>4965375.32</v>
      </c>
      <c r="J185" s="120">
        <v>0</v>
      </c>
      <c r="K185" s="120" t="s">
        <v>250</v>
      </c>
      <c r="L185" s="120" t="s">
        <v>250</v>
      </c>
      <c r="M185" s="120">
        <v>0</v>
      </c>
      <c r="N185" s="120" t="s">
        <v>250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250</v>
      </c>
      <c r="B186" s="105"/>
      <c r="C186" s="107" t="s">
        <v>373</v>
      </c>
      <c r="D186" s="107" t="s">
        <v>250</v>
      </c>
      <c r="E186" s="120" t="s">
        <v>250</v>
      </c>
      <c r="F186" s="120" t="s">
        <v>250</v>
      </c>
      <c r="G186" s="120" t="s">
        <v>250</v>
      </c>
      <c r="H186" s="120" t="s">
        <v>250</v>
      </c>
      <c r="I186" s="120" t="s">
        <v>250</v>
      </c>
      <c r="J186" s="120" t="s">
        <v>250</v>
      </c>
      <c r="K186" s="120" t="s">
        <v>250</v>
      </c>
      <c r="L186" s="120" t="s">
        <v>250</v>
      </c>
      <c r="M186" s="120" t="s">
        <v>250</v>
      </c>
      <c r="N186" s="120" t="s">
        <v>250</v>
      </c>
      <c r="O186" s="120" t="s">
        <v>250</v>
      </c>
      <c r="P186" s="120" t="s">
        <v>250</v>
      </c>
      <c r="Q186" s="120" t="s">
        <v>250</v>
      </c>
      <c r="R186" s="120"/>
      <c r="S186" s="121"/>
    </row>
    <row r="187" spans="1:19" ht="15">
      <c r="A187" s="105">
        <v>23</v>
      </c>
      <c r="B187" s="105"/>
      <c r="C187" s="107" t="s">
        <v>374</v>
      </c>
      <c r="D187" s="107" t="s">
        <v>398</v>
      </c>
      <c r="E187" s="120">
        <v>110559.51</v>
      </c>
      <c r="F187" s="120" t="s">
        <v>250</v>
      </c>
      <c r="G187" s="120">
        <v>0</v>
      </c>
      <c r="H187" s="120" t="s">
        <v>250</v>
      </c>
      <c r="I187" s="120">
        <v>110559.51</v>
      </c>
      <c r="J187" s="120">
        <v>0</v>
      </c>
      <c r="K187" s="120" t="s">
        <v>250</v>
      </c>
      <c r="L187" s="120" t="s">
        <v>250</v>
      </c>
      <c r="M187" s="120">
        <v>0</v>
      </c>
      <c r="N187" s="120" t="s">
        <v>250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376</v>
      </c>
      <c r="D188" s="107" t="s">
        <v>398</v>
      </c>
      <c r="E188" s="120">
        <v>10920626.23</v>
      </c>
      <c r="F188" s="120" t="s">
        <v>250</v>
      </c>
      <c r="G188" s="120">
        <v>0</v>
      </c>
      <c r="H188" s="120" t="s">
        <v>250</v>
      </c>
      <c r="I188" s="120">
        <v>10920626.23</v>
      </c>
      <c r="J188" s="120">
        <v>0</v>
      </c>
      <c r="K188" s="120" t="s">
        <v>250</v>
      </c>
      <c r="L188" s="120" t="s">
        <v>250</v>
      </c>
      <c r="M188" s="120">
        <v>0</v>
      </c>
      <c r="N188" s="120" t="s">
        <v>250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378</v>
      </c>
      <c r="D189" s="107" t="s">
        <v>250</v>
      </c>
      <c r="E189" s="120">
        <v>11031185.74</v>
      </c>
      <c r="F189" s="120" t="s">
        <v>250</v>
      </c>
      <c r="G189" s="120">
        <v>0</v>
      </c>
      <c r="H189" s="120" t="s">
        <v>250</v>
      </c>
      <c r="I189" s="120">
        <v>11031185.74</v>
      </c>
      <c r="J189" s="120">
        <v>0</v>
      </c>
      <c r="K189" s="120" t="s">
        <v>250</v>
      </c>
      <c r="L189" s="120" t="s">
        <v>250</v>
      </c>
      <c r="M189" s="120">
        <v>0</v>
      </c>
      <c r="N189" s="120" t="s">
        <v>250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8">MID(C190,2,3)</f>
        <v>369</v>
      </c>
      <c r="C190" s="107" t="s">
        <v>379</v>
      </c>
      <c r="D190" s="107" t="s">
        <v>399</v>
      </c>
      <c r="E190" s="120">
        <v>6306473.2199999997</v>
      </c>
      <c r="F190" s="120" t="s">
        <v>250</v>
      </c>
      <c r="G190" s="120">
        <v>0</v>
      </c>
      <c r="H190" s="120" t="s">
        <v>250</v>
      </c>
      <c r="I190" s="120">
        <v>6306473.2199999997</v>
      </c>
      <c r="J190" s="120">
        <v>0</v>
      </c>
      <c r="K190" s="120" t="s">
        <v>250</v>
      </c>
      <c r="L190" s="120" t="s">
        <v>250</v>
      </c>
      <c r="M190" s="120">
        <v>0</v>
      </c>
      <c r="N190" s="120" t="s">
        <v>250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8"/>
        <v>370</v>
      </c>
      <c r="C191" s="107" t="s">
        <v>381</v>
      </c>
      <c r="D191" s="107" t="s">
        <v>400</v>
      </c>
      <c r="E191" s="120">
        <v>4187480.85</v>
      </c>
      <c r="F191" s="120" t="s">
        <v>250</v>
      </c>
      <c r="G191" s="120">
        <v>0</v>
      </c>
      <c r="H191" s="120" t="s">
        <v>250</v>
      </c>
      <c r="I191" s="120">
        <v>4187480.85</v>
      </c>
      <c r="J191" s="120">
        <v>0</v>
      </c>
      <c r="K191" s="120" t="s">
        <v>250</v>
      </c>
      <c r="L191" s="120" t="s">
        <v>250</v>
      </c>
      <c r="M191" s="120">
        <v>0</v>
      </c>
      <c r="N191" s="120" t="s">
        <v>250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8"/>
        <v>371</v>
      </c>
      <c r="C192" s="107" t="s">
        <v>383</v>
      </c>
      <c r="D192" s="107" t="s">
        <v>401</v>
      </c>
      <c r="E192" s="120">
        <v>0</v>
      </c>
      <c r="F192" s="120" t="s">
        <v>250</v>
      </c>
      <c r="G192" s="120">
        <v>0</v>
      </c>
      <c r="H192" s="120" t="s">
        <v>250</v>
      </c>
      <c r="I192" s="120">
        <v>0</v>
      </c>
      <c r="J192" s="120">
        <v>0</v>
      </c>
      <c r="K192" s="120" t="s">
        <v>250</v>
      </c>
      <c r="L192" s="120" t="s">
        <v>250</v>
      </c>
      <c r="M192" s="120">
        <v>0</v>
      </c>
      <c r="N192" s="120" t="s">
        <v>250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8"/>
        <v>373</v>
      </c>
      <c r="C193" s="107" t="s">
        <v>385</v>
      </c>
      <c r="D193" s="107" t="s">
        <v>402</v>
      </c>
      <c r="E193" s="120">
        <v>4084779.92</v>
      </c>
      <c r="F193" s="120" t="s">
        <v>250</v>
      </c>
      <c r="G193" s="120">
        <v>0</v>
      </c>
      <c r="H193" s="120" t="s">
        <v>250</v>
      </c>
      <c r="I193" s="120">
        <v>4084779.92</v>
      </c>
      <c r="J193" s="120">
        <v>0</v>
      </c>
      <c r="K193" s="120" t="s">
        <v>250</v>
      </c>
      <c r="L193" s="120" t="s">
        <v>250</v>
      </c>
      <c r="M193" s="120">
        <v>0</v>
      </c>
      <c r="N193" s="120" t="s">
        <v>250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403</v>
      </c>
      <c r="D194" s="107" t="s">
        <v>250</v>
      </c>
      <c r="E194" s="120">
        <v>103980070.58</v>
      </c>
      <c r="F194" s="120" t="s">
        <v>250</v>
      </c>
      <c r="G194" s="120">
        <v>0</v>
      </c>
      <c r="H194" s="120" t="s">
        <v>250</v>
      </c>
      <c r="I194" s="120">
        <v>103980070.58</v>
      </c>
      <c r="J194" s="120">
        <v>0</v>
      </c>
      <c r="K194" s="120" t="s">
        <v>250</v>
      </c>
      <c r="L194" s="120" t="s">
        <v>250</v>
      </c>
      <c r="M194" s="120">
        <v>0</v>
      </c>
      <c r="N194" s="120" t="s">
        <v>250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250</v>
      </c>
      <c r="B195" s="105"/>
      <c r="C195" s="107" t="s">
        <v>250</v>
      </c>
      <c r="D195" s="107" t="s">
        <v>250</v>
      </c>
      <c r="E195" s="120" t="s">
        <v>250</v>
      </c>
      <c r="F195" s="120" t="s">
        <v>250</v>
      </c>
      <c r="G195" s="120" t="s">
        <v>250</v>
      </c>
      <c r="H195" s="120" t="s">
        <v>250</v>
      </c>
      <c r="I195" s="120" t="s">
        <v>250</v>
      </c>
      <c r="J195" s="120" t="s">
        <v>250</v>
      </c>
      <c r="K195" s="120" t="s">
        <v>250</v>
      </c>
      <c r="L195" s="120" t="s">
        <v>250</v>
      </c>
      <c r="M195" s="120" t="s">
        <v>250</v>
      </c>
      <c r="N195" s="120" t="s">
        <v>250</v>
      </c>
      <c r="O195" s="120" t="s">
        <v>250</v>
      </c>
      <c r="P195" s="120" t="s">
        <v>250</v>
      </c>
      <c r="Q195" s="120" t="s">
        <v>250</v>
      </c>
      <c r="R195" s="120"/>
      <c r="S195" s="121"/>
    </row>
    <row r="196" spans="1:19" ht="15">
      <c r="A196" s="105" t="s">
        <v>250</v>
      </c>
      <c r="B196" s="129"/>
      <c r="C196" s="107" t="s">
        <v>404</v>
      </c>
      <c r="D196" s="107" t="s">
        <v>250</v>
      </c>
      <c r="E196" s="120" t="s">
        <v>250</v>
      </c>
      <c r="F196" s="120" t="s">
        <v>250</v>
      </c>
      <c r="G196" s="120" t="s">
        <v>250</v>
      </c>
      <c r="H196" s="120" t="s">
        <v>250</v>
      </c>
      <c r="I196" s="120" t="s">
        <v>250</v>
      </c>
      <c r="J196" s="120" t="s">
        <v>250</v>
      </c>
      <c r="K196" s="120" t="s">
        <v>250</v>
      </c>
      <c r="L196" s="120" t="s">
        <v>250</v>
      </c>
      <c r="M196" s="120" t="s">
        <v>250</v>
      </c>
      <c r="N196" s="120" t="s">
        <v>250</v>
      </c>
      <c r="O196" s="120" t="s">
        <v>250</v>
      </c>
      <c r="P196" s="120" t="s">
        <v>250</v>
      </c>
      <c r="Q196" s="120" t="s">
        <v>250</v>
      </c>
      <c r="R196" s="120"/>
      <c r="S196" s="121"/>
    </row>
    <row r="197" spans="1:19" ht="15">
      <c r="A197" s="105">
        <v>31</v>
      </c>
      <c r="B197" s="129" t="str">
        <f t="shared" ref="B197:B205" si="9">MID(C197,2,3)</f>
        <v>360</v>
      </c>
      <c r="C197" s="107" t="s">
        <v>359</v>
      </c>
      <c r="D197" s="107" t="s">
        <v>405</v>
      </c>
      <c r="E197" s="120">
        <v>5040.2300000000005</v>
      </c>
      <c r="F197" s="120" t="s">
        <v>250</v>
      </c>
      <c r="G197" s="120">
        <v>5040.2300000000005</v>
      </c>
      <c r="H197" s="120" t="s">
        <v>250</v>
      </c>
      <c r="I197" s="120">
        <v>0</v>
      </c>
      <c r="J197" s="120">
        <v>0</v>
      </c>
      <c r="K197" s="120" t="s">
        <v>250</v>
      </c>
      <c r="L197" s="120" t="s">
        <v>250</v>
      </c>
      <c r="M197" s="120">
        <v>0</v>
      </c>
      <c r="N197" s="120" t="s">
        <v>250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9"/>
        <v>361</v>
      </c>
      <c r="C198" s="107" t="s">
        <v>361</v>
      </c>
      <c r="D198" s="107" t="s">
        <v>406</v>
      </c>
      <c r="E198" s="120">
        <v>2545.13</v>
      </c>
      <c r="F198" s="120" t="s">
        <v>250</v>
      </c>
      <c r="G198" s="120">
        <v>2545.13</v>
      </c>
      <c r="H198" s="120" t="s">
        <v>250</v>
      </c>
      <c r="I198" s="120">
        <v>0</v>
      </c>
      <c r="J198" s="120">
        <v>0</v>
      </c>
      <c r="K198" s="120" t="s">
        <v>250</v>
      </c>
      <c r="L198" s="120" t="s">
        <v>250</v>
      </c>
      <c r="M198" s="120">
        <v>0</v>
      </c>
      <c r="N198" s="120" t="s">
        <v>250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9"/>
        <v>362</v>
      </c>
      <c r="C199" s="107" t="s">
        <v>363</v>
      </c>
      <c r="D199" s="107" t="s">
        <v>407</v>
      </c>
      <c r="E199" s="120">
        <v>66853.42</v>
      </c>
      <c r="F199" s="120" t="s">
        <v>250</v>
      </c>
      <c r="G199" s="120">
        <v>66853.42</v>
      </c>
      <c r="H199" s="120" t="s">
        <v>250</v>
      </c>
      <c r="I199" s="120">
        <v>0</v>
      </c>
      <c r="J199" s="120">
        <v>0</v>
      </c>
      <c r="K199" s="120" t="s">
        <v>250</v>
      </c>
      <c r="L199" s="120" t="s">
        <v>250</v>
      </c>
      <c r="M199" s="120">
        <v>0</v>
      </c>
      <c r="N199" s="120" t="s">
        <v>250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9"/>
        <v>364</v>
      </c>
      <c r="C200" s="107" t="s">
        <v>365</v>
      </c>
      <c r="D200" s="107" t="s">
        <v>408</v>
      </c>
      <c r="E200" s="120">
        <v>15954.52</v>
      </c>
      <c r="F200" s="120" t="s">
        <v>250</v>
      </c>
      <c r="G200" s="120">
        <v>15954.52</v>
      </c>
      <c r="H200" s="120" t="s">
        <v>250</v>
      </c>
      <c r="I200" s="120">
        <v>0</v>
      </c>
      <c r="J200" s="120">
        <v>0</v>
      </c>
      <c r="K200" s="120" t="s">
        <v>250</v>
      </c>
      <c r="L200" s="120" t="s">
        <v>250</v>
      </c>
      <c r="M200" s="120">
        <v>0</v>
      </c>
      <c r="N200" s="120" t="s">
        <v>250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9"/>
        <v>365</v>
      </c>
      <c r="C201" s="107" t="s">
        <v>367</v>
      </c>
      <c r="D201" s="107" t="s">
        <v>409</v>
      </c>
      <c r="E201" s="120">
        <v>17140.309999999998</v>
      </c>
      <c r="F201" s="120" t="s">
        <v>250</v>
      </c>
      <c r="G201" s="120">
        <v>17140.309999999998</v>
      </c>
      <c r="H201" s="120" t="s">
        <v>250</v>
      </c>
      <c r="I201" s="120">
        <v>0</v>
      </c>
      <c r="J201" s="120">
        <v>0</v>
      </c>
      <c r="K201" s="120" t="s">
        <v>250</v>
      </c>
      <c r="L201" s="120" t="s">
        <v>250</v>
      </c>
      <c r="M201" s="120">
        <v>0</v>
      </c>
      <c r="N201" s="120" t="s">
        <v>250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9"/>
        <v>368</v>
      </c>
      <c r="C202" s="107" t="s">
        <v>373</v>
      </c>
      <c r="D202" s="107" t="s">
        <v>410</v>
      </c>
      <c r="E202" s="120">
        <v>0</v>
      </c>
      <c r="F202" s="120" t="s">
        <v>250</v>
      </c>
      <c r="G202" s="120">
        <v>0</v>
      </c>
      <c r="H202" s="120" t="s">
        <v>250</v>
      </c>
      <c r="I202" s="120">
        <v>0</v>
      </c>
      <c r="J202" s="120">
        <v>0</v>
      </c>
      <c r="K202" s="120" t="s">
        <v>250</v>
      </c>
      <c r="L202" s="120" t="s">
        <v>250</v>
      </c>
      <c r="M202" s="120">
        <v>0</v>
      </c>
      <c r="N202" s="120" t="s">
        <v>250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9"/>
        <v>369</v>
      </c>
      <c r="C203" s="107" t="s">
        <v>379</v>
      </c>
      <c r="D203" s="107" t="s">
        <v>411</v>
      </c>
      <c r="E203" s="120">
        <v>0</v>
      </c>
      <c r="F203" s="120" t="s">
        <v>250</v>
      </c>
      <c r="G203" s="120">
        <v>0</v>
      </c>
      <c r="H203" s="120" t="s">
        <v>250</v>
      </c>
      <c r="I203" s="120">
        <v>0</v>
      </c>
      <c r="J203" s="120">
        <v>0</v>
      </c>
      <c r="K203" s="120" t="s">
        <v>250</v>
      </c>
      <c r="L203" s="120" t="s">
        <v>250</v>
      </c>
      <c r="M203" s="120">
        <v>0</v>
      </c>
      <c r="N203" s="120" t="s">
        <v>250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9"/>
        <v>370</v>
      </c>
      <c r="C204" s="107" t="s">
        <v>381</v>
      </c>
      <c r="D204" s="107" t="s">
        <v>412</v>
      </c>
      <c r="E204" s="120">
        <v>0</v>
      </c>
      <c r="F204" s="120" t="s">
        <v>250</v>
      </c>
      <c r="G204" s="120">
        <v>0</v>
      </c>
      <c r="H204" s="120" t="s">
        <v>250</v>
      </c>
      <c r="I204" s="120">
        <v>0</v>
      </c>
      <c r="J204" s="120">
        <v>0</v>
      </c>
      <c r="K204" s="120" t="s">
        <v>250</v>
      </c>
      <c r="L204" s="120" t="s">
        <v>250</v>
      </c>
      <c r="M204" s="120">
        <v>0</v>
      </c>
      <c r="N204" s="120" t="s">
        <v>250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9"/>
        <v>371</v>
      </c>
      <c r="C205" s="107" t="s">
        <v>383</v>
      </c>
      <c r="D205" s="107" t="s">
        <v>413</v>
      </c>
      <c r="E205" s="120">
        <v>0</v>
      </c>
      <c r="F205" s="120" t="s">
        <v>250</v>
      </c>
      <c r="G205" s="120">
        <v>0</v>
      </c>
      <c r="H205" s="120" t="s">
        <v>250</v>
      </c>
      <c r="I205" s="120">
        <v>0</v>
      </c>
      <c r="J205" s="120">
        <v>0</v>
      </c>
      <c r="K205" s="120" t="s">
        <v>250</v>
      </c>
      <c r="L205" s="120" t="s">
        <v>250</v>
      </c>
      <c r="M205" s="120">
        <v>0</v>
      </c>
      <c r="N205" s="120" t="s">
        <v>250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414</v>
      </c>
      <c r="D206" s="107" t="s">
        <v>250</v>
      </c>
      <c r="E206" s="120">
        <v>107533.61</v>
      </c>
      <c r="F206" s="120" t="s">
        <v>250</v>
      </c>
      <c r="G206" s="120">
        <v>107533.61</v>
      </c>
      <c r="H206" s="120" t="s">
        <v>250</v>
      </c>
      <c r="I206" s="120">
        <v>0</v>
      </c>
      <c r="J206" s="120">
        <v>0</v>
      </c>
      <c r="K206" s="120" t="s">
        <v>250</v>
      </c>
      <c r="L206" s="120" t="s">
        <v>250</v>
      </c>
      <c r="M206" s="120">
        <v>0</v>
      </c>
      <c r="N206" s="120" t="s">
        <v>250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250</v>
      </c>
      <c r="B207" s="105"/>
      <c r="C207" s="107" t="s">
        <v>250</v>
      </c>
      <c r="D207" s="107" t="s">
        <v>250</v>
      </c>
      <c r="E207" s="120" t="s">
        <v>250</v>
      </c>
      <c r="F207" s="120" t="s">
        <v>250</v>
      </c>
      <c r="G207" s="120" t="s">
        <v>250</v>
      </c>
      <c r="H207" s="120" t="s">
        <v>250</v>
      </c>
      <c r="I207" s="120" t="s">
        <v>250</v>
      </c>
      <c r="J207" s="120" t="s">
        <v>250</v>
      </c>
      <c r="K207" s="120" t="s">
        <v>250</v>
      </c>
      <c r="L207" s="120" t="s">
        <v>250</v>
      </c>
      <c r="M207" s="120" t="s">
        <v>250</v>
      </c>
      <c r="N207" s="120" t="s">
        <v>250</v>
      </c>
      <c r="O207" s="120" t="s">
        <v>250</v>
      </c>
      <c r="P207" s="120" t="s">
        <v>250</v>
      </c>
      <c r="Q207" s="120" t="s">
        <v>250</v>
      </c>
      <c r="R207" s="120"/>
      <c r="S207" s="121"/>
    </row>
    <row r="208" spans="1:19" ht="15">
      <c r="A208" s="105">
        <v>41</v>
      </c>
      <c r="B208" s="105"/>
      <c r="C208" s="107" t="s">
        <v>415</v>
      </c>
      <c r="D208" s="107" t="s">
        <v>250</v>
      </c>
      <c r="E208" s="120">
        <v>2198713704.1299996</v>
      </c>
      <c r="F208" s="120" t="s">
        <v>250</v>
      </c>
      <c r="G208" s="120">
        <v>2091205162.5499995</v>
      </c>
      <c r="H208" s="120" t="s">
        <v>250</v>
      </c>
      <c r="I208" s="120">
        <v>103980070.58</v>
      </c>
      <c r="J208" s="120">
        <v>3528471</v>
      </c>
      <c r="K208" s="120" t="s">
        <v>250</v>
      </c>
      <c r="L208" s="120" t="s">
        <v>250</v>
      </c>
      <c r="M208" s="120">
        <v>0</v>
      </c>
      <c r="N208" s="120" t="s">
        <v>250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250</v>
      </c>
      <c r="B209" s="105"/>
      <c r="C209" s="107" t="s">
        <v>250</v>
      </c>
      <c r="D209" s="107" t="s">
        <v>250</v>
      </c>
      <c r="E209" s="120" t="s">
        <v>250</v>
      </c>
      <c r="F209" s="120" t="s">
        <v>250</v>
      </c>
      <c r="G209" s="120" t="s">
        <v>250</v>
      </c>
      <c r="H209" s="120" t="s">
        <v>250</v>
      </c>
      <c r="I209" s="120" t="s">
        <v>250</v>
      </c>
      <c r="J209" s="120" t="s">
        <v>250</v>
      </c>
      <c r="K209" s="120" t="s">
        <v>250</v>
      </c>
      <c r="L209" s="120" t="s">
        <v>250</v>
      </c>
      <c r="M209" s="120" t="s">
        <v>250</v>
      </c>
      <c r="N209" s="120" t="s">
        <v>250</v>
      </c>
      <c r="O209" s="120" t="s">
        <v>250</v>
      </c>
      <c r="P209" s="120" t="s">
        <v>250</v>
      </c>
      <c r="Q209" s="120" t="s">
        <v>250</v>
      </c>
      <c r="R209" s="120"/>
      <c r="S209" s="121"/>
    </row>
    <row r="210" spans="1:19" ht="15">
      <c r="A210" s="105" t="s">
        <v>250</v>
      </c>
      <c r="B210" s="105"/>
      <c r="C210" s="107" t="s">
        <v>336</v>
      </c>
      <c r="D210" s="107" t="s">
        <v>250</v>
      </c>
      <c r="E210" s="120" t="s">
        <v>250</v>
      </c>
      <c r="F210" s="120" t="s">
        <v>250</v>
      </c>
      <c r="G210" s="120" t="s">
        <v>250</v>
      </c>
      <c r="H210" s="120" t="s">
        <v>250</v>
      </c>
      <c r="I210" s="120" t="s">
        <v>250</v>
      </c>
      <c r="J210" s="120" t="s">
        <v>250</v>
      </c>
      <c r="K210" s="120" t="s">
        <v>250</v>
      </c>
      <c r="L210" s="120" t="s">
        <v>250</v>
      </c>
      <c r="M210" s="120" t="s">
        <v>250</v>
      </c>
      <c r="N210" s="120" t="s">
        <v>250</v>
      </c>
      <c r="O210" s="120" t="s">
        <v>250</v>
      </c>
      <c r="P210" s="120" t="s">
        <v>250</v>
      </c>
      <c r="Q210" s="120" t="s">
        <v>250</v>
      </c>
      <c r="R210" s="120"/>
      <c r="S210" s="121"/>
    </row>
    <row r="211" spans="1:19" ht="15">
      <c r="A211" s="105" t="s">
        <v>250</v>
      </c>
      <c r="B211" s="105"/>
      <c r="C211" s="107" t="s">
        <v>250</v>
      </c>
      <c r="D211" s="107" t="s">
        <v>250</v>
      </c>
      <c r="E211" s="120" t="s">
        <v>250</v>
      </c>
      <c r="F211" s="120" t="s">
        <v>250</v>
      </c>
      <c r="G211" s="120" t="s">
        <v>250</v>
      </c>
      <c r="H211" s="120" t="s">
        <v>250</v>
      </c>
      <c r="I211" s="120" t="s">
        <v>250</v>
      </c>
      <c r="J211" s="120" t="s">
        <v>250</v>
      </c>
      <c r="K211" s="120" t="s">
        <v>250</v>
      </c>
      <c r="L211" s="120" t="s">
        <v>250</v>
      </c>
      <c r="M211" s="120" t="s">
        <v>250</v>
      </c>
      <c r="N211" s="120" t="s">
        <v>250</v>
      </c>
      <c r="O211" s="120" t="s">
        <v>250</v>
      </c>
      <c r="P211" s="120" t="s">
        <v>250</v>
      </c>
      <c r="Q211" s="120" t="s">
        <v>250</v>
      </c>
      <c r="R211" s="120"/>
      <c r="S211" s="121"/>
    </row>
    <row r="212" spans="1:19" ht="15">
      <c r="A212" s="105" t="s">
        <v>250</v>
      </c>
      <c r="B212" s="129"/>
      <c r="C212" s="107" t="s">
        <v>416</v>
      </c>
      <c r="D212" s="107" t="s">
        <v>250</v>
      </c>
      <c r="E212" s="120" t="s">
        <v>250</v>
      </c>
      <c r="F212" s="120" t="s">
        <v>250</v>
      </c>
      <c r="G212" s="120" t="s">
        <v>250</v>
      </c>
      <c r="H212" s="120" t="s">
        <v>250</v>
      </c>
      <c r="I212" s="120" t="s">
        <v>250</v>
      </c>
      <c r="J212" s="120" t="s">
        <v>250</v>
      </c>
      <c r="K212" s="120" t="s">
        <v>250</v>
      </c>
      <c r="L212" s="120" t="s">
        <v>250</v>
      </c>
      <c r="M212" s="120" t="s">
        <v>250</v>
      </c>
      <c r="N212" s="120" t="s">
        <v>250</v>
      </c>
      <c r="O212" s="120" t="s">
        <v>250</v>
      </c>
      <c r="P212" s="120" t="s">
        <v>250</v>
      </c>
      <c r="Q212" s="120" t="s">
        <v>250</v>
      </c>
      <c r="R212" s="120"/>
      <c r="S212" s="121"/>
    </row>
    <row r="213" spans="1:19" ht="15">
      <c r="A213" s="105">
        <v>1</v>
      </c>
      <c r="B213" s="129" t="str">
        <f t="shared" ref="B213:B220" si="10">MID(C213,2,3)</f>
        <v>389</v>
      </c>
      <c r="C213" s="107" t="s">
        <v>417</v>
      </c>
      <c r="D213" s="107" t="s">
        <v>418</v>
      </c>
      <c r="E213" s="120">
        <v>3587136.6599999997</v>
      </c>
      <c r="F213" s="120" t="s">
        <v>250</v>
      </c>
      <c r="G213" s="120">
        <v>3376220.7846091571</v>
      </c>
      <c r="H213" s="120" t="s">
        <v>250</v>
      </c>
      <c r="I213" s="120">
        <v>168733.5385375371</v>
      </c>
      <c r="J213" s="120">
        <v>42182.336853305416</v>
      </c>
      <c r="K213" s="120" t="s">
        <v>250</v>
      </c>
      <c r="L213" s="120" t="s">
        <v>250</v>
      </c>
      <c r="M213" s="120">
        <v>0</v>
      </c>
      <c r="N213" s="120" t="s">
        <v>250</v>
      </c>
      <c r="O213" s="120">
        <v>42182.336853305416</v>
      </c>
      <c r="P213" s="120">
        <v>22009.739962624612</v>
      </c>
      <c r="Q213" s="120">
        <v>20172.596890680801</v>
      </c>
      <c r="R213" s="120"/>
      <c r="S213" s="121"/>
    </row>
    <row r="214" spans="1:19" ht="15">
      <c r="A214" s="105">
        <v>2</v>
      </c>
      <c r="B214" s="129" t="str">
        <f t="shared" si="10"/>
        <v>390</v>
      </c>
      <c r="C214" s="107" t="s">
        <v>419</v>
      </c>
      <c r="D214" s="107" t="s">
        <v>418</v>
      </c>
      <c r="E214" s="120">
        <v>98273963.279999897</v>
      </c>
      <c r="F214" s="120" t="s">
        <v>250</v>
      </c>
      <c r="G214" s="120">
        <v>92495666.839705184</v>
      </c>
      <c r="H214" s="120" t="s">
        <v>250</v>
      </c>
      <c r="I214" s="120">
        <v>4622660.1164234346</v>
      </c>
      <c r="J214" s="120">
        <v>1155636.3238712861</v>
      </c>
      <c r="K214" s="120" t="s">
        <v>250</v>
      </c>
      <c r="L214" s="120" t="s">
        <v>250</v>
      </c>
      <c r="M214" s="120">
        <v>0</v>
      </c>
      <c r="N214" s="120" t="s">
        <v>250</v>
      </c>
      <c r="O214" s="120">
        <v>1155636.3238712861</v>
      </c>
      <c r="P214" s="120">
        <v>602983.54423143656</v>
      </c>
      <c r="Q214" s="120">
        <v>552652.77963984944</v>
      </c>
      <c r="R214" s="120"/>
      <c r="S214" s="121"/>
    </row>
    <row r="215" spans="1:19" ht="15">
      <c r="A215" s="105">
        <v>3</v>
      </c>
      <c r="B215" s="129" t="str">
        <f t="shared" si="10"/>
        <v>391</v>
      </c>
      <c r="C215" s="107" t="s">
        <v>420</v>
      </c>
      <c r="D215" s="107" t="s">
        <v>418</v>
      </c>
      <c r="E215" s="120">
        <v>44094939.43</v>
      </c>
      <c r="F215" s="120" t="s">
        <v>250</v>
      </c>
      <c r="G215" s="120">
        <v>41502252.384119615</v>
      </c>
      <c r="H215" s="120" t="s">
        <v>250</v>
      </c>
      <c r="I215" s="120">
        <v>2074159.9405979333</v>
      </c>
      <c r="J215" s="120">
        <v>518527.10528245079</v>
      </c>
      <c r="K215" s="120" t="s">
        <v>250</v>
      </c>
      <c r="L215" s="120" t="s">
        <v>250</v>
      </c>
      <c r="M215" s="120">
        <v>0</v>
      </c>
      <c r="N215" s="120" t="s">
        <v>250</v>
      </c>
      <c r="O215" s="120">
        <v>518527.10528245079</v>
      </c>
      <c r="P215" s="120">
        <v>270555.10913319443</v>
      </c>
      <c r="Q215" s="120">
        <v>247971.99614925636</v>
      </c>
      <c r="R215" s="120"/>
      <c r="S215" s="121"/>
    </row>
    <row r="216" spans="1:19" ht="15">
      <c r="A216" s="105">
        <v>4</v>
      </c>
      <c r="B216" s="129" t="str">
        <f t="shared" si="10"/>
        <v>392</v>
      </c>
      <c r="C216" s="107" t="s">
        <v>421</v>
      </c>
      <c r="D216" s="107" t="s">
        <v>418</v>
      </c>
      <c r="E216" s="120">
        <v>8624433.2000000011</v>
      </c>
      <c r="F216" s="120" t="s">
        <v>250</v>
      </c>
      <c r="G216" s="120">
        <v>8117335.1854716539</v>
      </c>
      <c r="H216" s="120" t="s">
        <v>250</v>
      </c>
      <c r="I216" s="120">
        <v>405680.42693879822</v>
      </c>
      <c r="J216" s="120">
        <v>101417.5875895486</v>
      </c>
      <c r="K216" s="120" t="s">
        <v>250</v>
      </c>
      <c r="L216" s="120" t="s">
        <v>250</v>
      </c>
      <c r="M216" s="120">
        <v>0</v>
      </c>
      <c r="N216" s="120" t="s">
        <v>250</v>
      </c>
      <c r="O216" s="120">
        <v>101417.5875895486</v>
      </c>
      <c r="P216" s="120">
        <v>52917.284745161196</v>
      </c>
      <c r="Q216" s="120">
        <v>48500.302844387399</v>
      </c>
      <c r="R216" s="120"/>
      <c r="S216" s="121"/>
    </row>
    <row r="217" spans="1:19" ht="15">
      <c r="A217" s="105">
        <v>5</v>
      </c>
      <c r="B217" s="129" t="str">
        <f t="shared" si="10"/>
        <v>393</v>
      </c>
      <c r="C217" s="107" t="s">
        <v>422</v>
      </c>
      <c r="D217" s="107" t="s">
        <v>418</v>
      </c>
      <c r="E217" s="120">
        <v>1069959.0199999998</v>
      </c>
      <c r="F217" s="120" t="s">
        <v>250</v>
      </c>
      <c r="G217" s="120">
        <v>1007047.7443153908</v>
      </c>
      <c r="H217" s="120" t="s">
        <v>250</v>
      </c>
      <c r="I217" s="120">
        <v>50329.270570571302</v>
      </c>
      <c r="J217" s="120">
        <v>12582.00511403782</v>
      </c>
      <c r="K217" s="120" t="s">
        <v>250</v>
      </c>
      <c r="L217" s="120" t="s">
        <v>250</v>
      </c>
      <c r="M217" s="120">
        <v>0</v>
      </c>
      <c r="N217" s="120" t="s">
        <v>250</v>
      </c>
      <c r="O217" s="120">
        <v>12582.00511403782</v>
      </c>
      <c r="P217" s="120">
        <v>6564.9909755221497</v>
      </c>
      <c r="Q217" s="120">
        <v>6017.0141385156703</v>
      </c>
      <c r="R217" s="120"/>
      <c r="S217" s="121"/>
    </row>
    <row r="218" spans="1:19" ht="15">
      <c r="A218" s="105">
        <v>6</v>
      </c>
      <c r="B218" s="129" t="str">
        <f t="shared" si="10"/>
        <v>394</v>
      </c>
      <c r="C218" s="107" t="s">
        <v>423</v>
      </c>
      <c r="D218" s="107" t="s">
        <v>418</v>
      </c>
      <c r="E218" s="120">
        <v>16763106.239999996</v>
      </c>
      <c r="F218" s="120" t="s">
        <v>250</v>
      </c>
      <c r="G218" s="120">
        <v>15777471.857484084</v>
      </c>
      <c r="H218" s="120" t="s">
        <v>250</v>
      </c>
      <c r="I218" s="120">
        <v>788511.42313487118</v>
      </c>
      <c r="J218" s="120">
        <v>197122.95938104176</v>
      </c>
      <c r="K218" s="120" t="s">
        <v>250</v>
      </c>
      <c r="L218" s="120" t="s">
        <v>250</v>
      </c>
      <c r="M218" s="120">
        <v>0</v>
      </c>
      <c r="N218" s="120" t="s">
        <v>250</v>
      </c>
      <c r="O218" s="120">
        <v>197122.95938104176</v>
      </c>
      <c r="P218" s="120">
        <v>102854.07116556578</v>
      </c>
      <c r="Q218" s="120">
        <v>94268.888215475992</v>
      </c>
      <c r="R218" s="120"/>
      <c r="S218" s="121"/>
    </row>
    <row r="219" spans="1:19" ht="15">
      <c r="A219" s="105">
        <v>7</v>
      </c>
      <c r="B219" s="129" t="str">
        <f t="shared" si="10"/>
        <v>395</v>
      </c>
      <c r="C219" s="107" t="s">
        <v>424</v>
      </c>
      <c r="D219" s="107" t="s">
        <v>418</v>
      </c>
      <c r="E219" s="120">
        <v>0</v>
      </c>
      <c r="F219" s="120" t="s">
        <v>250</v>
      </c>
      <c r="G219" s="120">
        <v>0</v>
      </c>
      <c r="H219" s="120" t="s">
        <v>250</v>
      </c>
      <c r="I219" s="120">
        <v>0</v>
      </c>
      <c r="J219" s="120">
        <v>0</v>
      </c>
      <c r="K219" s="120" t="s">
        <v>250</v>
      </c>
      <c r="L219" s="120" t="s">
        <v>250</v>
      </c>
      <c r="M219" s="120">
        <v>0</v>
      </c>
      <c r="N219" s="120" t="s">
        <v>250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0"/>
        <v>396</v>
      </c>
      <c r="C220" s="107" t="s">
        <v>425</v>
      </c>
      <c r="D220" s="107" t="s">
        <v>418</v>
      </c>
      <c r="E220" s="120">
        <v>5841644.1200000001</v>
      </c>
      <c r="F220" s="120" t="s">
        <v>250</v>
      </c>
      <c r="G220" s="120">
        <v>5498168.0832404839</v>
      </c>
      <c r="H220" s="120" t="s">
        <v>250</v>
      </c>
      <c r="I220" s="120">
        <v>274782.19445494923</v>
      </c>
      <c r="J220" s="120">
        <v>68693.842304566919</v>
      </c>
      <c r="K220" s="120" t="s">
        <v>250</v>
      </c>
      <c r="L220" s="120" t="s">
        <v>250</v>
      </c>
      <c r="M220" s="120">
        <v>0</v>
      </c>
      <c r="N220" s="120" t="s">
        <v>250</v>
      </c>
      <c r="O220" s="120">
        <v>68693.842304566919</v>
      </c>
      <c r="P220" s="120">
        <v>35842.81286774145</v>
      </c>
      <c r="Q220" s="120">
        <v>32851.029436825469</v>
      </c>
      <c r="R220" s="120"/>
      <c r="S220" s="121"/>
    </row>
    <row r="221" spans="1:19" ht="15">
      <c r="A221" s="105" t="s">
        <v>250</v>
      </c>
      <c r="B221" s="129"/>
      <c r="C221" s="107" t="s">
        <v>426</v>
      </c>
      <c r="D221" s="107" t="s">
        <v>250</v>
      </c>
      <c r="E221" s="120" t="s">
        <v>250</v>
      </c>
      <c r="F221" s="120" t="s">
        <v>250</v>
      </c>
      <c r="G221" s="120" t="s">
        <v>250</v>
      </c>
      <c r="H221" s="120" t="s">
        <v>250</v>
      </c>
      <c r="I221" s="120" t="s">
        <v>250</v>
      </c>
      <c r="J221" s="120" t="s">
        <v>250</v>
      </c>
      <c r="K221" s="120" t="s">
        <v>250</v>
      </c>
      <c r="L221" s="120" t="s">
        <v>250</v>
      </c>
      <c r="M221" s="120" t="s">
        <v>250</v>
      </c>
      <c r="N221" s="120" t="s">
        <v>250</v>
      </c>
      <c r="O221" s="120" t="s">
        <v>250</v>
      </c>
      <c r="P221" s="120" t="s">
        <v>250</v>
      </c>
      <c r="Q221" s="120" t="s">
        <v>250</v>
      </c>
      <c r="R221" s="120"/>
      <c r="S221" s="121"/>
    </row>
    <row r="222" spans="1:19" ht="15">
      <c r="A222" s="105">
        <v>9</v>
      </c>
      <c r="B222" s="105"/>
      <c r="C222" s="107" t="s">
        <v>427</v>
      </c>
      <c r="D222" s="107" t="s">
        <v>428</v>
      </c>
      <c r="E222" s="120">
        <v>7584575.4299999988</v>
      </c>
      <c r="F222" s="120" t="s">
        <v>250</v>
      </c>
      <c r="G222" s="120">
        <v>7584575.4299999988</v>
      </c>
      <c r="H222" s="120" t="s">
        <v>250</v>
      </c>
      <c r="I222" s="120">
        <v>0</v>
      </c>
      <c r="J222" s="120">
        <v>0</v>
      </c>
      <c r="K222" s="120" t="s">
        <v>250</v>
      </c>
      <c r="L222" s="120" t="s">
        <v>250</v>
      </c>
      <c r="M222" s="120">
        <v>0</v>
      </c>
      <c r="N222" s="120" t="s">
        <v>250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376</v>
      </c>
      <c r="D223" s="107" t="s">
        <v>418</v>
      </c>
      <c r="E223" s="120">
        <v>63136537.259999998</v>
      </c>
      <c r="F223" s="120" t="s">
        <v>250</v>
      </c>
      <c r="G223" s="120">
        <v>59424245.455276996</v>
      </c>
      <c r="H223" s="120" t="s">
        <v>250</v>
      </c>
      <c r="I223" s="120">
        <v>2969848.197221139</v>
      </c>
      <c r="J223" s="120">
        <v>742443.60750186432</v>
      </c>
      <c r="K223" s="120" t="s">
        <v>250</v>
      </c>
      <c r="L223" s="120" t="s">
        <v>250</v>
      </c>
      <c r="M223" s="120">
        <v>0</v>
      </c>
      <c r="N223" s="120" t="s">
        <v>250</v>
      </c>
      <c r="O223" s="120">
        <v>742443.60750186432</v>
      </c>
      <c r="P223" s="120">
        <v>387389.41360353964</v>
      </c>
      <c r="Q223" s="120">
        <v>355054.19389832468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429</v>
      </c>
      <c r="D224" s="107" t="s">
        <v>250</v>
      </c>
      <c r="E224" s="120">
        <v>70721112.689999998</v>
      </c>
      <c r="F224" s="120" t="s">
        <v>250</v>
      </c>
      <c r="G224" s="120">
        <v>67008820.885276996</v>
      </c>
      <c r="H224" s="120" t="s">
        <v>250</v>
      </c>
      <c r="I224" s="120">
        <v>2969848.197221139</v>
      </c>
      <c r="J224" s="120">
        <v>742443.60750186432</v>
      </c>
      <c r="K224" s="120" t="s">
        <v>250</v>
      </c>
      <c r="L224" s="120" t="s">
        <v>250</v>
      </c>
      <c r="M224" s="120">
        <v>0</v>
      </c>
      <c r="N224" s="120" t="s">
        <v>250</v>
      </c>
      <c r="O224" s="120">
        <v>742443.60750186432</v>
      </c>
      <c r="P224" s="120">
        <v>387389.41360353964</v>
      </c>
      <c r="Q224" s="120">
        <v>355054.19389832468</v>
      </c>
      <c r="R224" s="120"/>
      <c r="S224" s="121"/>
    </row>
    <row r="225" spans="1:19" ht="15">
      <c r="A225" s="105">
        <v>12</v>
      </c>
      <c r="B225" s="129" t="str">
        <f t="shared" ref="B225" si="11">MID(C225,2,3)</f>
        <v>398</v>
      </c>
      <c r="C225" s="107" t="s">
        <v>430</v>
      </c>
      <c r="D225" s="107" t="s">
        <v>418</v>
      </c>
      <c r="E225" s="120">
        <v>0</v>
      </c>
      <c r="F225" s="120" t="s">
        <v>250</v>
      </c>
      <c r="G225" s="120">
        <v>0</v>
      </c>
      <c r="H225" s="120" t="s">
        <v>250</v>
      </c>
      <c r="I225" s="120">
        <v>0</v>
      </c>
      <c r="J225" s="120">
        <v>0</v>
      </c>
      <c r="K225" s="120" t="s">
        <v>250</v>
      </c>
      <c r="L225" s="120" t="s">
        <v>250</v>
      </c>
      <c r="M225" s="120">
        <v>0</v>
      </c>
      <c r="N225" s="120" t="s">
        <v>250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431</v>
      </c>
      <c r="D226" s="107" t="s">
        <v>250</v>
      </c>
      <c r="E226" s="120">
        <v>248976294.63999987</v>
      </c>
      <c r="F226" s="120" t="s">
        <v>250</v>
      </c>
      <c r="G226" s="120">
        <v>234782983.76422253</v>
      </c>
      <c r="H226" s="120" t="s">
        <v>250</v>
      </c>
      <c r="I226" s="120">
        <v>11354705.107879233</v>
      </c>
      <c r="J226" s="120">
        <v>2838605.7678981014</v>
      </c>
      <c r="K226" s="120" t="s">
        <v>250</v>
      </c>
      <c r="L226" s="120" t="s">
        <v>250</v>
      </c>
      <c r="M226" s="120">
        <v>0</v>
      </c>
      <c r="N226" s="120" t="s">
        <v>250</v>
      </c>
      <c r="O226" s="120">
        <v>2838605.7678981014</v>
      </c>
      <c r="P226" s="120">
        <v>1481116.9666847857</v>
      </c>
      <c r="Q226" s="120">
        <v>1357488.8012133157</v>
      </c>
      <c r="R226" s="120"/>
      <c r="S226" s="121"/>
    </row>
    <row r="227" spans="1:19" ht="15">
      <c r="A227" s="105" t="s">
        <v>250</v>
      </c>
      <c r="B227" s="105"/>
      <c r="C227" s="107" t="s">
        <v>250</v>
      </c>
      <c r="D227" s="107" t="s">
        <v>250</v>
      </c>
      <c r="E227" s="120" t="s">
        <v>250</v>
      </c>
      <c r="F227" s="120" t="s">
        <v>250</v>
      </c>
      <c r="G227" s="120" t="s">
        <v>250</v>
      </c>
      <c r="H227" s="120" t="s">
        <v>250</v>
      </c>
      <c r="I227" s="120" t="s">
        <v>250</v>
      </c>
      <c r="J227" s="120" t="s">
        <v>250</v>
      </c>
      <c r="K227" s="120" t="s">
        <v>250</v>
      </c>
      <c r="L227" s="120" t="s">
        <v>250</v>
      </c>
      <c r="M227" s="120" t="s">
        <v>250</v>
      </c>
      <c r="N227" s="120" t="s">
        <v>250</v>
      </c>
      <c r="O227" s="120" t="s">
        <v>250</v>
      </c>
      <c r="P227" s="120" t="s">
        <v>250</v>
      </c>
      <c r="Q227" s="120" t="s">
        <v>250</v>
      </c>
      <c r="R227" s="120"/>
      <c r="S227" s="121"/>
    </row>
    <row r="228" spans="1:19" ht="15">
      <c r="A228" s="105" t="s">
        <v>250</v>
      </c>
      <c r="B228" s="105"/>
      <c r="C228" s="107" t="s">
        <v>432</v>
      </c>
      <c r="D228" s="107" t="s">
        <v>250</v>
      </c>
      <c r="E228" s="120" t="s">
        <v>250</v>
      </c>
      <c r="F228" s="120" t="s">
        <v>250</v>
      </c>
      <c r="G228" s="120" t="s">
        <v>250</v>
      </c>
      <c r="H228" s="120" t="s">
        <v>250</v>
      </c>
      <c r="I228" s="120" t="s">
        <v>250</v>
      </c>
      <c r="J228" s="120" t="s">
        <v>250</v>
      </c>
      <c r="K228" s="120" t="s">
        <v>250</v>
      </c>
      <c r="L228" s="120" t="s">
        <v>250</v>
      </c>
      <c r="M228" s="120" t="s">
        <v>250</v>
      </c>
      <c r="N228" s="120" t="s">
        <v>250</v>
      </c>
      <c r="O228" s="120" t="s">
        <v>250</v>
      </c>
      <c r="P228" s="120" t="s">
        <v>250</v>
      </c>
      <c r="Q228" s="120" t="s">
        <v>250</v>
      </c>
      <c r="R228" s="120"/>
      <c r="S228" s="121"/>
    </row>
    <row r="229" spans="1:19" ht="15">
      <c r="A229" s="105">
        <v>14</v>
      </c>
      <c r="B229" s="105"/>
      <c r="C229" s="107" t="s">
        <v>433</v>
      </c>
      <c r="D229" s="107" t="s">
        <v>303</v>
      </c>
      <c r="E229" s="120">
        <v>309540.84999999998</v>
      </c>
      <c r="F229" s="120" t="s">
        <v>250</v>
      </c>
      <c r="G229" s="120">
        <v>290384.29175347101</v>
      </c>
      <c r="H229" s="120" t="s">
        <v>250</v>
      </c>
      <c r="I229" s="120">
        <v>13150.881437572669</v>
      </c>
      <c r="J229" s="120">
        <v>6005.6768089562956</v>
      </c>
      <c r="K229" s="120" t="s">
        <v>250</v>
      </c>
      <c r="L229" s="120" t="s">
        <v>250</v>
      </c>
      <c r="M229" s="120">
        <v>0</v>
      </c>
      <c r="N229" s="120" t="s">
        <v>250</v>
      </c>
      <c r="O229" s="120">
        <v>6005.6768089562956</v>
      </c>
      <c r="P229" s="120">
        <v>3046.4153314724254</v>
      </c>
      <c r="Q229" s="120">
        <v>2959.2614774838698</v>
      </c>
      <c r="R229" s="120"/>
      <c r="S229" s="121"/>
    </row>
    <row r="230" spans="1:19" ht="15">
      <c r="A230" s="105">
        <v>15</v>
      </c>
      <c r="B230" s="105"/>
      <c r="C230" s="107" t="s">
        <v>434</v>
      </c>
      <c r="D230" s="107" t="s">
        <v>340</v>
      </c>
      <c r="E230" s="120">
        <v>0</v>
      </c>
      <c r="F230" s="120" t="s">
        <v>250</v>
      </c>
      <c r="G230" s="120">
        <v>0</v>
      </c>
      <c r="H230" s="120" t="s">
        <v>250</v>
      </c>
      <c r="I230" s="120">
        <v>0</v>
      </c>
      <c r="J230" s="120">
        <v>0</v>
      </c>
      <c r="K230" s="120" t="s">
        <v>250</v>
      </c>
      <c r="L230" s="120" t="s">
        <v>250</v>
      </c>
      <c r="M230" s="120">
        <v>0</v>
      </c>
      <c r="N230" s="120" t="s">
        <v>250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435</v>
      </c>
      <c r="D231" s="107" t="s">
        <v>2216</v>
      </c>
      <c r="E231" s="120">
        <v>1471422.3600000003</v>
      </c>
      <c r="F231" s="120" t="s">
        <v>250</v>
      </c>
      <c r="G231" s="120">
        <v>906481.31830669113</v>
      </c>
      <c r="H231" s="120" t="s">
        <v>250</v>
      </c>
      <c r="I231" s="120">
        <v>564941.04169330909</v>
      </c>
      <c r="J231" s="120">
        <v>0</v>
      </c>
      <c r="K231" s="120" t="s">
        <v>250</v>
      </c>
      <c r="L231" s="120" t="s">
        <v>250</v>
      </c>
      <c r="M231" s="120">
        <v>0</v>
      </c>
      <c r="N231" s="120" t="s">
        <v>250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436</v>
      </c>
      <c r="D232" s="107" t="s">
        <v>418</v>
      </c>
      <c r="E232" s="120">
        <v>0</v>
      </c>
      <c r="F232" s="120" t="s">
        <v>250</v>
      </c>
      <c r="G232" s="120">
        <v>0</v>
      </c>
      <c r="H232" s="120" t="s">
        <v>250</v>
      </c>
      <c r="I232" s="120">
        <v>0</v>
      </c>
      <c r="J232" s="120">
        <v>0</v>
      </c>
      <c r="K232" s="120" t="s">
        <v>250</v>
      </c>
      <c r="L232" s="120" t="s">
        <v>250</v>
      </c>
      <c r="M232" s="120">
        <v>0</v>
      </c>
      <c r="N232" s="120" t="s">
        <v>250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437</v>
      </c>
      <c r="D233" s="107" t="s">
        <v>250</v>
      </c>
      <c r="E233" s="120">
        <v>1780963.2100000002</v>
      </c>
      <c r="F233" s="120" t="s">
        <v>250</v>
      </c>
      <c r="G233" s="120">
        <v>1196865.6100601621</v>
      </c>
      <c r="H233" s="120" t="s">
        <v>250</v>
      </c>
      <c r="I233" s="120">
        <v>578091.92313088174</v>
      </c>
      <c r="J233" s="120">
        <v>6005.6768089562956</v>
      </c>
      <c r="K233" s="120" t="s">
        <v>250</v>
      </c>
      <c r="L233" s="120" t="s">
        <v>250</v>
      </c>
      <c r="M233" s="120">
        <v>0</v>
      </c>
      <c r="N233" s="120" t="s">
        <v>250</v>
      </c>
      <c r="O233" s="120">
        <v>6005.6768089562956</v>
      </c>
      <c r="P233" s="120">
        <v>3046.4153314724254</v>
      </c>
      <c r="Q233" s="120">
        <v>2959.2614774838698</v>
      </c>
      <c r="R233" s="120"/>
      <c r="S233" s="121"/>
    </row>
    <row r="234" spans="1:19" ht="15">
      <c r="A234" s="105" t="s">
        <v>250</v>
      </c>
      <c r="B234" s="105"/>
      <c r="C234" s="107" t="s">
        <v>250</v>
      </c>
      <c r="D234" s="107" t="s">
        <v>250</v>
      </c>
      <c r="E234" s="120" t="s">
        <v>250</v>
      </c>
      <c r="F234" s="120" t="s">
        <v>250</v>
      </c>
      <c r="G234" s="120" t="s">
        <v>250</v>
      </c>
      <c r="H234" s="120" t="s">
        <v>250</v>
      </c>
      <c r="I234" s="120" t="s">
        <v>250</v>
      </c>
      <c r="J234" s="120" t="s">
        <v>250</v>
      </c>
      <c r="K234" s="120" t="s">
        <v>250</v>
      </c>
      <c r="L234" s="120" t="s">
        <v>250</v>
      </c>
      <c r="M234" s="120" t="s">
        <v>250</v>
      </c>
      <c r="N234" s="120" t="s">
        <v>250</v>
      </c>
      <c r="O234" s="120" t="s">
        <v>250</v>
      </c>
      <c r="P234" s="120" t="s">
        <v>250</v>
      </c>
      <c r="Q234" s="120" t="s">
        <v>250</v>
      </c>
      <c r="R234" s="120"/>
      <c r="S234" s="121"/>
    </row>
    <row r="235" spans="1:19" ht="15">
      <c r="A235" s="105">
        <v>19</v>
      </c>
      <c r="B235" s="105"/>
      <c r="C235" s="107" t="s">
        <v>438</v>
      </c>
      <c r="D235" s="107" t="s">
        <v>250</v>
      </c>
      <c r="E235" s="120">
        <v>10511773529.779995</v>
      </c>
      <c r="F235" s="120" t="s">
        <v>250</v>
      </c>
      <c r="G235" s="120">
        <v>9827682073.2017002</v>
      </c>
      <c r="H235" s="120" t="s">
        <v>250</v>
      </c>
      <c r="I235" s="120">
        <v>536346586.68745041</v>
      </c>
      <c r="J235" s="120">
        <v>147744869.89084524</v>
      </c>
      <c r="K235" s="120" t="s">
        <v>250</v>
      </c>
      <c r="L235" s="120" t="s">
        <v>250</v>
      </c>
      <c r="M235" s="120">
        <v>0</v>
      </c>
      <c r="N235" s="120" t="s">
        <v>250</v>
      </c>
      <c r="O235" s="120">
        <v>147744869.89084524</v>
      </c>
      <c r="P235" s="120">
        <v>77243016.877972931</v>
      </c>
      <c r="Q235" s="120">
        <v>70501853.012872308</v>
      </c>
      <c r="R235" s="120"/>
      <c r="S235" s="121"/>
    </row>
    <row r="236" spans="1:19" ht="15">
      <c r="A236" s="105" t="s">
        <v>250</v>
      </c>
      <c r="B236" s="105"/>
      <c r="C236" s="107" t="s">
        <v>250</v>
      </c>
      <c r="D236" s="107" t="s">
        <v>250</v>
      </c>
      <c r="E236" s="120" t="s">
        <v>250</v>
      </c>
      <c r="F236" s="120" t="s">
        <v>250</v>
      </c>
      <c r="G236" s="120" t="s">
        <v>250</v>
      </c>
      <c r="H236" s="120" t="s">
        <v>250</v>
      </c>
      <c r="I236" s="120" t="s">
        <v>250</v>
      </c>
      <c r="J236" s="120" t="s">
        <v>250</v>
      </c>
      <c r="K236" s="120" t="s">
        <v>250</v>
      </c>
      <c r="L236" s="120" t="s">
        <v>250</v>
      </c>
      <c r="M236" s="120" t="s">
        <v>250</v>
      </c>
      <c r="N236" s="120" t="s">
        <v>250</v>
      </c>
      <c r="O236" s="120" t="s">
        <v>250</v>
      </c>
      <c r="P236" s="120" t="s">
        <v>250</v>
      </c>
      <c r="Q236" s="120" t="s">
        <v>250</v>
      </c>
      <c r="R236" s="120"/>
      <c r="S236" s="121"/>
    </row>
    <row r="237" spans="1:19" ht="15">
      <c r="A237" s="105" t="s">
        <v>250</v>
      </c>
      <c r="B237" s="105"/>
      <c r="C237" s="107" t="s">
        <v>336</v>
      </c>
      <c r="D237" s="107" t="s">
        <v>250</v>
      </c>
      <c r="E237" s="120" t="s">
        <v>250</v>
      </c>
      <c r="F237" s="120" t="s">
        <v>250</v>
      </c>
      <c r="G237" s="120" t="s">
        <v>250</v>
      </c>
      <c r="H237" s="120" t="s">
        <v>250</v>
      </c>
      <c r="I237" s="120" t="s">
        <v>250</v>
      </c>
      <c r="J237" s="120" t="s">
        <v>250</v>
      </c>
      <c r="K237" s="120" t="s">
        <v>250</v>
      </c>
      <c r="L237" s="120" t="s">
        <v>250</v>
      </c>
      <c r="M237" s="120" t="s">
        <v>250</v>
      </c>
      <c r="N237" s="120" t="s">
        <v>250</v>
      </c>
      <c r="O237" s="120" t="s">
        <v>250</v>
      </c>
      <c r="P237" s="120" t="s">
        <v>250</v>
      </c>
      <c r="Q237" s="120" t="s">
        <v>250</v>
      </c>
      <c r="R237" s="120"/>
      <c r="S237" s="121"/>
    </row>
    <row r="238" spans="1:19" ht="15">
      <c r="A238" s="105" t="s">
        <v>250</v>
      </c>
      <c r="B238" s="105"/>
      <c r="C238" s="107" t="s">
        <v>250</v>
      </c>
      <c r="D238" s="107" t="s">
        <v>250</v>
      </c>
      <c r="E238" s="120" t="s">
        <v>250</v>
      </c>
      <c r="F238" s="120" t="s">
        <v>250</v>
      </c>
      <c r="G238" s="120" t="s">
        <v>250</v>
      </c>
      <c r="H238" s="120" t="s">
        <v>250</v>
      </c>
      <c r="I238" s="120" t="s">
        <v>250</v>
      </c>
      <c r="J238" s="120" t="s">
        <v>250</v>
      </c>
      <c r="K238" s="120" t="s">
        <v>250</v>
      </c>
      <c r="L238" s="120" t="s">
        <v>250</v>
      </c>
      <c r="M238" s="120" t="s">
        <v>250</v>
      </c>
      <c r="N238" s="120" t="s">
        <v>250</v>
      </c>
      <c r="O238" s="120" t="s">
        <v>250</v>
      </c>
      <c r="P238" s="120" t="s">
        <v>250</v>
      </c>
      <c r="Q238" s="120" t="s">
        <v>250</v>
      </c>
      <c r="R238" s="120"/>
      <c r="S238" s="121"/>
    </row>
    <row r="239" spans="1:19" ht="15">
      <c r="A239" s="105" t="s">
        <v>250</v>
      </c>
      <c r="B239" s="105"/>
      <c r="C239" s="107" t="s">
        <v>439</v>
      </c>
      <c r="D239" s="107" t="s">
        <v>250</v>
      </c>
      <c r="E239" s="120" t="s">
        <v>250</v>
      </c>
      <c r="F239" s="120" t="s">
        <v>250</v>
      </c>
      <c r="G239" s="120" t="s">
        <v>250</v>
      </c>
      <c r="H239" s="120" t="s">
        <v>250</v>
      </c>
      <c r="I239" s="120" t="s">
        <v>250</v>
      </c>
      <c r="J239" s="120" t="s">
        <v>250</v>
      </c>
      <c r="K239" s="120" t="s">
        <v>250</v>
      </c>
      <c r="L239" s="120" t="s">
        <v>250</v>
      </c>
      <c r="M239" s="120" t="s">
        <v>250</v>
      </c>
      <c r="N239" s="120" t="s">
        <v>250</v>
      </c>
      <c r="O239" s="120" t="s">
        <v>250</v>
      </c>
      <c r="P239" s="120" t="s">
        <v>250</v>
      </c>
      <c r="Q239" s="120" t="s">
        <v>250</v>
      </c>
      <c r="R239" s="120"/>
      <c r="S239" s="121"/>
    </row>
    <row r="240" spans="1:19" ht="15">
      <c r="A240" s="105" t="s">
        <v>250</v>
      </c>
      <c r="B240" s="105"/>
      <c r="C240" s="107" t="s">
        <v>250</v>
      </c>
      <c r="D240" s="107" t="s">
        <v>250</v>
      </c>
      <c r="E240" s="120" t="s">
        <v>250</v>
      </c>
      <c r="F240" s="120" t="s">
        <v>250</v>
      </c>
      <c r="G240" s="120" t="s">
        <v>250</v>
      </c>
      <c r="H240" s="120" t="s">
        <v>250</v>
      </c>
      <c r="I240" s="120" t="s">
        <v>250</v>
      </c>
      <c r="J240" s="120" t="s">
        <v>250</v>
      </c>
      <c r="K240" s="120" t="s">
        <v>250</v>
      </c>
      <c r="L240" s="120" t="s">
        <v>250</v>
      </c>
      <c r="M240" s="120" t="s">
        <v>250</v>
      </c>
      <c r="N240" s="120" t="s">
        <v>250</v>
      </c>
      <c r="O240" s="120" t="s">
        <v>250</v>
      </c>
      <c r="P240" s="120" t="s">
        <v>250</v>
      </c>
      <c r="Q240" s="120" t="s">
        <v>250</v>
      </c>
      <c r="R240" s="120"/>
      <c r="S240" s="121"/>
    </row>
    <row r="241" spans="1:19" ht="15">
      <c r="A241" s="105" t="s">
        <v>250</v>
      </c>
      <c r="B241" s="105"/>
      <c r="C241" s="107" t="s">
        <v>440</v>
      </c>
      <c r="D241" s="107" t="s">
        <v>250</v>
      </c>
      <c r="E241" s="120" t="s">
        <v>250</v>
      </c>
      <c r="F241" s="120" t="s">
        <v>250</v>
      </c>
      <c r="G241" s="120" t="s">
        <v>250</v>
      </c>
      <c r="H241" s="120" t="s">
        <v>250</v>
      </c>
      <c r="I241" s="120" t="s">
        <v>250</v>
      </c>
      <c r="J241" s="120" t="s">
        <v>250</v>
      </c>
      <c r="K241" s="120" t="s">
        <v>250</v>
      </c>
      <c r="L241" s="120" t="s">
        <v>250</v>
      </c>
      <c r="M241" s="120" t="s">
        <v>250</v>
      </c>
      <c r="N241" s="120" t="s">
        <v>250</v>
      </c>
      <c r="O241" s="120" t="s">
        <v>250</v>
      </c>
      <c r="P241" s="120" t="s">
        <v>250</v>
      </c>
      <c r="Q241" s="120" t="s">
        <v>250</v>
      </c>
      <c r="R241" s="120"/>
      <c r="S241" s="121"/>
    </row>
    <row r="242" spans="1:19" ht="15">
      <c r="A242" s="105" t="s">
        <v>250</v>
      </c>
      <c r="B242" s="105"/>
      <c r="C242" s="107" t="s">
        <v>441</v>
      </c>
      <c r="D242" s="107" t="s">
        <v>250</v>
      </c>
      <c r="E242" s="120" t="s">
        <v>250</v>
      </c>
      <c r="F242" s="120" t="s">
        <v>250</v>
      </c>
      <c r="G242" s="120" t="s">
        <v>250</v>
      </c>
      <c r="H242" s="120" t="s">
        <v>250</v>
      </c>
      <c r="I242" s="120" t="s">
        <v>250</v>
      </c>
      <c r="J242" s="120" t="s">
        <v>250</v>
      </c>
      <c r="K242" s="120" t="s">
        <v>250</v>
      </c>
      <c r="L242" s="120" t="s">
        <v>250</v>
      </c>
      <c r="M242" s="120" t="s">
        <v>250</v>
      </c>
      <c r="N242" s="120" t="s">
        <v>250</v>
      </c>
      <c r="O242" s="120" t="s">
        <v>250</v>
      </c>
      <c r="P242" s="120" t="s">
        <v>250</v>
      </c>
      <c r="Q242" s="120" t="s">
        <v>250</v>
      </c>
      <c r="R242" s="120"/>
      <c r="S242" s="121"/>
    </row>
    <row r="243" spans="1:19" ht="15">
      <c r="A243" s="105">
        <v>1</v>
      </c>
      <c r="B243" s="105"/>
      <c r="C243" s="107" t="s">
        <v>442</v>
      </c>
      <c r="D243" s="107" t="s">
        <v>443</v>
      </c>
      <c r="E243" s="120">
        <v>1995895617.6671536</v>
      </c>
      <c r="F243" s="120" t="s">
        <v>250</v>
      </c>
      <c r="G243" s="120">
        <v>1872375601.9605587</v>
      </c>
      <c r="H243" s="120" t="s">
        <v>250</v>
      </c>
      <c r="I243" s="120">
        <v>84795873.080117226</v>
      </c>
      <c r="J243" s="120">
        <v>38724142.626477644</v>
      </c>
      <c r="K243" s="120" t="s">
        <v>250</v>
      </c>
      <c r="L243" s="120" t="s">
        <v>250</v>
      </c>
      <c r="M243" s="120">
        <v>0</v>
      </c>
      <c r="N243" s="120" t="s">
        <v>250</v>
      </c>
      <c r="O243" s="120">
        <v>38724142.626477644</v>
      </c>
      <c r="P243" s="120">
        <v>19643051.990326453</v>
      </c>
      <c r="Q243" s="120">
        <v>19081090.636151191</v>
      </c>
      <c r="R243" s="120"/>
      <c r="S243" s="121"/>
    </row>
    <row r="244" spans="1:19" ht="15">
      <c r="A244" s="105">
        <v>2</v>
      </c>
      <c r="B244" s="105"/>
      <c r="C244" s="107" t="s">
        <v>444</v>
      </c>
      <c r="D244" s="107" t="s">
        <v>311</v>
      </c>
      <c r="E244" s="120">
        <v>8788628.6555186715</v>
      </c>
      <c r="F244" s="120" t="s">
        <v>250</v>
      </c>
      <c r="G244" s="120">
        <v>0</v>
      </c>
      <c r="H244" s="120" t="s">
        <v>250</v>
      </c>
      <c r="I244" s="120">
        <v>6033349.6215856886</v>
      </c>
      <c r="J244" s="120">
        <v>2755279.0339329825</v>
      </c>
      <c r="K244" s="120" t="s">
        <v>250</v>
      </c>
      <c r="L244" s="120" t="s">
        <v>250</v>
      </c>
      <c r="M244" s="120">
        <v>0</v>
      </c>
      <c r="N244" s="120" t="s">
        <v>250</v>
      </c>
      <c r="O244" s="120">
        <v>2755279.0339329825</v>
      </c>
      <c r="P244" s="120">
        <v>1397631.7005504472</v>
      </c>
      <c r="Q244" s="120">
        <v>1357647.3333825353</v>
      </c>
      <c r="R244" s="120"/>
      <c r="S244" s="121"/>
    </row>
    <row r="245" spans="1:19" ht="15">
      <c r="A245" s="105">
        <v>3</v>
      </c>
      <c r="B245" s="105"/>
      <c r="C245" s="107" t="s">
        <v>445</v>
      </c>
      <c r="D245" s="107" t="s">
        <v>313</v>
      </c>
      <c r="E245" s="120">
        <v>1789864.9263955364</v>
      </c>
      <c r="F245" s="120" t="s">
        <v>250</v>
      </c>
      <c r="G245" s="120">
        <v>0</v>
      </c>
      <c r="H245" s="120" t="s">
        <v>250</v>
      </c>
      <c r="I245" s="120">
        <v>0</v>
      </c>
      <c r="J245" s="120">
        <v>1789864.9263955364</v>
      </c>
      <c r="K245" s="120" t="s">
        <v>250</v>
      </c>
      <c r="L245" s="120" t="s">
        <v>250</v>
      </c>
      <c r="M245" s="120">
        <v>0</v>
      </c>
      <c r="N245" s="120" t="s">
        <v>250</v>
      </c>
      <c r="O245" s="120">
        <v>1789864.9263955364</v>
      </c>
      <c r="P245" s="120">
        <v>907919.64444449113</v>
      </c>
      <c r="Q245" s="120">
        <v>881945.28195104527</v>
      </c>
      <c r="R245" s="120"/>
      <c r="S245" s="121"/>
    </row>
    <row r="246" spans="1:19" ht="15">
      <c r="A246" s="105">
        <v>4</v>
      </c>
      <c r="B246" s="105"/>
      <c r="C246" s="107" t="s">
        <v>446</v>
      </c>
      <c r="D246" s="107" t="s">
        <v>250</v>
      </c>
      <c r="E246" s="120">
        <v>2006474111.2490675</v>
      </c>
      <c r="F246" s="120" t="s">
        <v>250</v>
      </c>
      <c r="G246" s="120">
        <v>1872375601.9605587</v>
      </c>
      <c r="H246" s="120" t="s">
        <v>250</v>
      </c>
      <c r="I246" s="120">
        <v>90829222.701702908</v>
      </c>
      <c r="J246" s="120">
        <v>43269286.586806163</v>
      </c>
      <c r="K246" s="120" t="s">
        <v>250</v>
      </c>
      <c r="L246" s="120" t="s">
        <v>250</v>
      </c>
      <c r="M246" s="120">
        <v>0</v>
      </c>
      <c r="N246" s="120" t="s">
        <v>250</v>
      </c>
      <c r="O246" s="120">
        <v>43269286.586806163</v>
      </c>
      <c r="P246" s="120">
        <v>21948603.335321393</v>
      </c>
      <c r="Q246" s="120">
        <v>21320683.25148477</v>
      </c>
      <c r="R246" s="120"/>
      <c r="S246" s="121"/>
    </row>
    <row r="247" spans="1:19" ht="15">
      <c r="A247" s="105" t="s">
        <v>250</v>
      </c>
      <c r="B247" s="105"/>
      <c r="C247" s="107" t="s">
        <v>250</v>
      </c>
      <c r="D247" s="107" t="s">
        <v>250</v>
      </c>
      <c r="E247" s="120" t="s">
        <v>250</v>
      </c>
      <c r="F247" s="120" t="s">
        <v>250</v>
      </c>
      <c r="G247" s="120" t="s">
        <v>250</v>
      </c>
      <c r="H247" s="120" t="s">
        <v>250</v>
      </c>
      <c r="I247" s="120" t="s">
        <v>250</v>
      </c>
      <c r="J247" s="120" t="s">
        <v>250</v>
      </c>
      <c r="K247" s="120" t="s">
        <v>250</v>
      </c>
      <c r="L247" s="120" t="s">
        <v>250</v>
      </c>
      <c r="M247" s="120" t="s">
        <v>250</v>
      </c>
      <c r="N247" s="120" t="s">
        <v>250</v>
      </c>
      <c r="O247" s="120" t="s">
        <v>250</v>
      </c>
      <c r="P247" s="120" t="s">
        <v>250</v>
      </c>
      <c r="Q247" s="120" t="s">
        <v>250</v>
      </c>
      <c r="R247" s="120"/>
      <c r="S247" s="121"/>
    </row>
    <row r="248" spans="1:19" ht="15">
      <c r="A248" s="105" t="s">
        <v>250</v>
      </c>
      <c r="B248" s="105"/>
      <c r="C248" s="107" t="s">
        <v>447</v>
      </c>
      <c r="D248" s="107" t="s">
        <v>250</v>
      </c>
      <c r="E248" s="120" t="s">
        <v>250</v>
      </c>
      <c r="F248" s="120" t="s">
        <v>250</v>
      </c>
      <c r="G248" s="120" t="s">
        <v>250</v>
      </c>
      <c r="H248" s="120" t="s">
        <v>250</v>
      </c>
      <c r="I248" s="120" t="s">
        <v>250</v>
      </c>
      <c r="J248" s="120" t="s">
        <v>250</v>
      </c>
      <c r="K248" s="120" t="s">
        <v>250</v>
      </c>
      <c r="L248" s="120" t="s">
        <v>250</v>
      </c>
      <c r="M248" s="120" t="s">
        <v>250</v>
      </c>
      <c r="N248" s="120" t="s">
        <v>250</v>
      </c>
      <c r="O248" s="120" t="s">
        <v>250</v>
      </c>
      <c r="P248" s="120" t="s">
        <v>250</v>
      </c>
      <c r="Q248" s="120" t="s">
        <v>250</v>
      </c>
      <c r="R248" s="120"/>
      <c r="S248" s="121"/>
    </row>
    <row r="249" spans="1:19" ht="15">
      <c r="A249" s="105">
        <v>5</v>
      </c>
      <c r="B249" s="105"/>
      <c r="C249" s="107" t="s">
        <v>442</v>
      </c>
      <c r="D249" s="107" t="s">
        <v>448</v>
      </c>
      <c r="E249" s="120">
        <v>16755732.256824575</v>
      </c>
      <c r="F249" s="120" t="s">
        <v>250</v>
      </c>
      <c r="G249" s="120">
        <v>15718770.056387689</v>
      </c>
      <c r="H249" s="120" t="s">
        <v>250</v>
      </c>
      <c r="I249" s="120">
        <v>711869.36492941715</v>
      </c>
      <c r="J249" s="120">
        <v>325092.83550746954</v>
      </c>
      <c r="K249" s="120" t="s">
        <v>250</v>
      </c>
      <c r="L249" s="120" t="s">
        <v>250</v>
      </c>
      <c r="M249" s="120">
        <v>0</v>
      </c>
      <c r="N249" s="120" t="s">
        <v>250</v>
      </c>
      <c r="O249" s="120">
        <v>325092.83550746954</v>
      </c>
      <c r="P249" s="120">
        <v>164905.2770813205</v>
      </c>
      <c r="Q249" s="120">
        <v>160187.55842614904</v>
      </c>
      <c r="R249" s="120"/>
      <c r="S249" s="121"/>
    </row>
    <row r="250" spans="1:19" ht="15">
      <c r="A250" s="105">
        <v>6</v>
      </c>
      <c r="B250" s="105"/>
      <c r="C250" s="107" t="s">
        <v>444</v>
      </c>
      <c r="D250" s="107" t="s">
        <v>311</v>
      </c>
      <c r="E250" s="120">
        <v>1637.32654</v>
      </c>
      <c r="F250" s="120" t="s">
        <v>250</v>
      </c>
      <c r="G250" s="120">
        <v>0</v>
      </c>
      <c r="H250" s="120" t="s">
        <v>250</v>
      </c>
      <c r="I250" s="120">
        <v>1124.0164817201746</v>
      </c>
      <c r="J250" s="120">
        <v>513.3100582798254</v>
      </c>
      <c r="K250" s="120" t="s">
        <v>250</v>
      </c>
      <c r="L250" s="120" t="s">
        <v>250</v>
      </c>
      <c r="M250" s="120">
        <v>0</v>
      </c>
      <c r="N250" s="120" t="s">
        <v>250</v>
      </c>
      <c r="O250" s="120">
        <v>513.3100582798254</v>
      </c>
      <c r="P250" s="120">
        <v>260.37958436435133</v>
      </c>
      <c r="Q250" s="120">
        <v>252.93047391547401</v>
      </c>
      <c r="R250" s="120"/>
      <c r="S250" s="121"/>
    </row>
    <row r="251" spans="1:19" ht="15">
      <c r="A251" s="105">
        <v>7</v>
      </c>
      <c r="B251" s="105"/>
      <c r="C251" s="107" t="s">
        <v>445</v>
      </c>
      <c r="D251" s="107" t="s">
        <v>313</v>
      </c>
      <c r="E251" s="120">
        <v>5778.1099116666601</v>
      </c>
      <c r="F251" s="120" t="s">
        <v>250</v>
      </c>
      <c r="G251" s="120">
        <v>0</v>
      </c>
      <c r="H251" s="120" t="s">
        <v>250</v>
      </c>
      <c r="I251" s="120">
        <v>0</v>
      </c>
      <c r="J251" s="120">
        <v>5778.1099116666601</v>
      </c>
      <c r="K251" s="120" t="s">
        <v>250</v>
      </c>
      <c r="L251" s="120" t="s">
        <v>250</v>
      </c>
      <c r="M251" s="120">
        <v>0</v>
      </c>
      <c r="N251" s="120" t="s">
        <v>250</v>
      </c>
      <c r="O251" s="120">
        <v>5778.1099116666601</v>
      </c>
      <c r="P251" s="120">
        <v>2930.9806674217575</v>
      </c>
      <c r="Q251" s="120">
        <v>2847.1292442449026</v>
      </c>
      <c r="R251" s="120"/>
      <c r="S251" s="121"/>
    </row>
    <row r="252" spans="1:19" ht="15">
      <c r="A252" s="105">
        <v>8</v>
      </c>
      <c r="B252" s="105"/>
      <c r="C252" s="107" t="s">
        <v>449</v>
      </c>
      <c r="D252" s="107" t="s">
        <v>250</v>
      </c>
      <c r="E252" s="120">
        <v>16763147.693276241</v>
      </c>
      <c r="F252" s="120" t="s">
        <v>250</v>
      </c>
      <c r="G252" s="120">
        <v>15718770.056387689</v>
      </c>
      <c r="H252" s="120" t="s">
        <v>250</v>
      </c>
      <c r="I252" s="120">
        <v>712993.38141113729</v>
      </c>
      <c r="J252" s="120">
        <v>331384.25547741604</v>
      </c>
      <c r="K252" s="120" t="s">
        <v>250</v>
      </c>
      <c r="L252" s="120" t="s">
        <v>250</v>
      </c>
      <c r="M252" s="120">
        <v>0</v>
      </c>
      <c r="N252" s="120" t="s">
        <v>250</v>
      </c>
      <c r="O252" s="120">
        <v>331384.25547741604</v>
      </c>
      <c r="P252" s="120">
        <v>168096.63733310663</v>
      </c>
      <c r="Q252" s="120">
        <v>163287.61814430941</v>
      </c>
      <c r="R252" s="120"/>
      <c r="S252" s="121"/>
    </row>
    <row r="253" spans="1:19" ht="15">
      <c r="A253" s="105" t="s">
        <v>250</v>
      </c>
      <c r="B253" s="105"/>
      <c r="C253" s="107" t="s">
        <v>250</v>
      </c>
      <c r="D253" s="107" t="s">
        <v>250</v>
      </c>
      <c r="E253" s="120" t="s">
        <v>250</v>
      </c>
      <c r="F253" s="120" t="s">
        <v>250</v>
      </c>
      <c r="G253" s="120" t="s">
        <v>250</v>
      </c>
      <c r="H253" s="120" t="s">
        <v>250</v>
      </c>
      <c r="I253" s="120" t="s">
        <v>250</v>
      </c>
      <c r="J253" s="120" t="s">
        <v>250</v>
      </c>
      <c r="K253" s="120" t="s">
        <v>250</v>
      </c>
      <c r="L253" s="120" t="s">
        <v>250</v>
      </c>
      <c r="M253" s="120" t="s">
        <v>250</v>
      </c>
      <c r="N253" s="120" t="s">
        <v>250</v>
      </c>
      <c r="O253" s="120" t="s">
        <v>250</v>
      </c>
      <c r="P253" s="120" t="s">
        <v>250</v>
      </c>
      <c r="Q253" s="120" t="s">
        <v>250</v>
      </c>
      <c r="R253" s="120"/>
      <c r="S253" s="121"/>
    </row>
    <row r="254" spans="1:19" ht="15">
      <c r="A254" s="105" t="s">
        <v>250</v>
      </c>
      <c r="B254" s="105"/>
      <c r="C254" s="107" t="s">
        <v>450</v>
      </c>
      <c r="D254" s="107" t="s">
        <v>250</v>
      </c>
      <c r="E254" s="120" t="s">
        <v>250</v>
      </c>
      <c r="F254" s="120" t="s">
        <v>250</v>
      </c>
      <c r="G254" s="120" t="s">
        <v>250</v>
      </c>
      <c r="H254" s="120" t="s">
        <v>250</v>
      </c>
      <c r="I254" s="120" t="s">
        <v>250</v>
      </c>
      <c r="J254" s="120" t="s">
        <v>250</v>
      </c>
      <c r="K254" s="120" t="s">
        <v>250</v>
      </c>
      <c r="L254" s="120" t="s">
        <v>250</v>
      </c>
      <c r="M254" s="120" t="s">
        <v>250</v>
      </c>
      <c r="N254" s="120" t="s">
        <v>250</v>
      </c>
      <c r="O254" s="120" t="s">
        <v>250</v>
      </c>
      <c r="P254" s="120" t="s">
        <v>250</v>
      </c>
      <c r="Q254" s="120" t="s">
        <v>250</v>
      </c>
      <c r="R254" s="120"/>
      <c r="S254" s="121"/>
    </row>
    <row r="255" spans="1:19" ht="15">
      <c r="A255" s="105">
        <v>9</v>
      </c>
      <c r="B255" s="105"/>
      <c r="C255" s="107" t="s">
        <v>442</v>
      </c>
      <c r="D255" s="107" t="s">
        <v>451</v>
      </c>
      <c r="E255" s="120">
        <v>423420329.73478663</v>
      </c>
      <c r="F255" s="120" t="s">
        <v>250</v>
      </c>
      <c r="G255" s="120">
        <v>397280348.54853845</v>
      </c>
      <c r="H255" s="120" t="s">
        <v>250</v>
      </c>
      <c r="I255" s="120">
        <v>17944966.36278687</v>
      </c>
      <c r="J255" s="120">
        <v>8195014.8234612867</v>
      </c>
      <c r="K255" s="120" t="s">
        <v>250</v>
      </c>
      <c r="L255" s="120" t="s">
        <v>250</v>
      </c>
      <c r="M255" s="120">
        <v>0</v>
      </c>
      <c r="N255" s="120" t="s">
        <v>250</v>
      </c>
      <c r="O255" s="120">
        <v>8195014.8234612867</v>
      </c>
      <c r="P255" s="120">
        <v>4156970.0791433207</v>
      </c>
      <c r="Q255" s="120">
        <v>4038044.7443179656</v>
      </c>
      <c r="R255" s="120"/>
      <c r="S255" s="121"/>
    </row>
    <row r="256" spans="1:19" ht="15">
      <c r="A256" s="105">
        <v>10</v>
      </c>
      <c r="B256" s="105"/>
      <c r="C256" s="107" t="s">
        <v>444</v>
      </c>
      <c r="D256" s="107" t="s">
        <v>311</v>
      </c>
      <c r="E256" s="120">
        <v>929.41280986666698</v>
      </c>
      <c r="F256" s="120" t="s">
        <v>250</v>
      </c>
      <c r="G256" s="120">
        <v>0</v>
      </c>
      <c r="H256" s="120" t="s">
        <v>250</v>
      </c>
      <c r="I256" s="120">
        <v>638.0372461390582</v>
      </c>
      <c r="J256" s="120">
        <v>291.37556372760872</v>
      </c>
      <c r="K256" s="120" t="s">
        <v>250</v>
      </c>
      <c r="L256" s="120" t="s">
        <v>250</v>
      </c>
      <c r="M256" s="120">
        <v>0</v>
      </c>
      <c r="N256" s="120" t="s">
        <v>250</v>
      </c>
      <c r="O256" s="120">
        <v>291.37556372760872</v>
      </c>
      <c r="P256" s="120">
        <v>147.8019901491285</v>
      </c>
      <c r="Q256" s="120">
        <v>143.57357357848022</v>
      </c>
      <c r="R256" s="120"/>
      <c r="S256" s="121"/>
    </row>
    <row r="257" spans="1:19" ht="15">
      <c r="A257" s="105">
        <v>11</v>
      </c>
      <c r="B257" s="105"/>
      <c r="C257" s="107" t="s">
        <v>445</v>
      </c>
      <c r="D257" s="107" t="s">
        <v>313</v>
      </c>
      <c r="E257" s="120">
        <v>451473.94486519997</v>
      </c>
      <c r="F257" s="120" t="s">
        <v>250</v>
      </c>
      <c r="G257" s="120">
        <v>0</v>
      </c>
      <c r="H257" s="120" t="s">
        <v>250</v>
      </c>
      <c r="I257" s="120">
        <v>0</v>
      </c>
      <c r="J257" s="120">
        <v>451473.94486519997</v>
      </c>
      <c r="K257" s="120" t="s">
        <v>250</v>
      </c>
      <c r="L257" s="120" t="s">
        <v>250</v>
      </c>
      <c r="M257" s="120">
        <v>0</v>
      </c>
      <c r="N257" s="120" t="s">
        <v>250</v>
      </c>
      <c r="O257" s="120">
        <v>451473.94486519997</v>
      </c>
      <c r="P257" s="120">
        <v>229012.84753561413</v>
      </c>
      <c r="Q257" s="120">
        <v>222461.09732958584</v>
      </c>
      <c r="R257" s="120"/>
      <c r="S257" s="121"/>
    </row>
    <row r="258" spans="1:19" ht="15">
      <c r="A258" s="105">
        <v>12</v>
      </c>
      <c r="B258" s="105"/>
      <c r="C258" s="107" t="s">
        <v>452</v>
      </c>
      <c r="D258" s="107" t="s">
        <v>250</v>
      </c>
      <c r="E258" s="120">
        <v>423872733.09246165</v>
      </c>
      <c r="F258" s="120" t="s">
        <v>250</v>
      </c>
      <c r="G258" s="120">
        <v>397280348.54853845</v>
      </c>
      <c r="H258" s="120" t="s">
        <v>250</v>
      </c>
      <c r="I258" s="120">
        <v>17945604.400033008</v>
      </c>
      <c r="J258" s="120">
        <v>8646780.1438902132</v>
      </c>
      <c r="K258" s="120" t="s">
        <v>250</v>
      </c>
      <c r="L258" s="120" t="s">
        <v>250</v>
      </c>
      <c r="M258" s="120">
        <v>0</v>
      </c>
      <c r="N258" s="120" t="s">
        <v>250</v>
      </c>
      <c r="O258" s="120">
        <v>8646780.1438902132</v>
      </c>
      <c r="P258" s="120">
        <v>4386130.7286690837</v>
      </c>
      <c r="Q258" s="120">
        <v>4260649.4152211305</v>
      </c>
      <c r="R258" s="120"/>
      <c r="S258" s="121"/>
    </row>
    <row r="259" spans="1:19" ht="15">
      <c r="A259" s="105" t="s">
        <v>250</v>
      </c>
      <c r="B259" s="105"/>
      <c r="C259" s="107" t="s">
        <v>250</v>
      </c>
      <c r="D259" s="107" t="s">
        <v>250</v>
      </c>
      <c r="E259" s="120" t="s">
        <v>250</v>
      </c>
      <c r="F259" s="120" t="s">
        <v>250</v>
      </c>
      <c r="G259" s="120" t="s">
        <v>250</v>
      </c>
      <c r="H259" s="120" t="s">
        <v>250</v>
      </c>
      <c r="I259" s="120" t="s">
        <v>250</v>
      </c>
      <c r="J259" s="120" t="s">
        <v>250</v>
      </c>
      <c r="K259" s="120" t="s">
        <v>250</v>
      </c>
      <c r="L259" s="120" t="s">
        <v>250</v>
      </c>
      <c r="M259" s="120" t="s">
        <v>250</v>
      </c>
      <c r="N259" s="120" t="s">
        <v>250</v>
      </c>
      <c r="O259" s="120" t="s">
        <v>250</v>
      </c>
      <c r="P259" s="120" t="s">
        <v>250</v>
      </c>
      <c r="Q259" s="120" t="s">
        <v>250</v>
      </c>
      <c r="R259" s="120"/>
      <c r="S259" s="121"/>
    </row>
    <row r="260" spans="1:19" ht="15">
      <c r="A260" s="105">
        <v>13</v>
      </c>
      <c r="B260" s="105"/>
      <c r="C260" s="107" t="s">
        <v>453</v>
      </c>
      <c r="D260" s="107" t="s">
        <v>250</v>
      </c>
      <c r="E260" s="120">
        <v>2447109992.0348058</v>
      </c>
      <c r="F260" s="120" t="s">
        <v>250</v>
      </c>
      <c r="G260" s="120">
        <v>2285374720.565485</v>
      </c>
      <c r="H260" s="120" t="s">
        <v>250</v>
      </c>
      <c r="I260" s="120">
        <v>109487820.48314705</v>
      </c>
      <c r="J260" s="120">
        <v>52247450.986173794</v>
      </c>
      <c r="K260" s="120" t="s">
        <v>250</v>
      </c>
      <c r="L260" s="120" t="s">
        <v>250</v>
      </c>
      <c r="M260" s="120">
        <v>0</v>
      </c>
      <c r="N260" s="120" t="s">
        <v>250</v>
      </c>
      <c r="O260" s="120">
        <v>52247450.986173794</v>
      </c>
      <c r="P260" s="120">
        <v>26502830.701323584</v>
      </c>
      <c r="Q260" s="120">
        <v>25744620.28485021</v>
      </c>
      <c r="R260" s="120"/>
      <c r="S260" s="121"/>
    </row>
    <row r="261" spans="1:19" ht="15">
      <c r="A261" s="105" t="s">
        <v>250</v>
      </c>
      <c r="B261" s="105"/>
      <c r="C261" s="107" t="s">
        <v>250</v>
      </c>
      <c r="D261" s="107" t="s">
        <v>250</v>
      </c>
      <c r="E261" s="120" t="s">
        <v>250</v>
      </c>
      <c r="F261" s="120" t="s">
        <v>250</v>
      </c>
      <c r="G261" s="120" t="s">
        <v>250</v>
      </c>
      <c r="H261" s="120" t="s">
        <v>250</v>
      </c>
      <c r="I261" s="120" t="s">
        <v>250</v>
      </c>
      <c r="J261" s="120" t="s">
        <v>250</v>
      </c>
      <c r="K261" s="120" t="s">
        <v>250</v>
      </c>
      <c r="L261" s="120" t="s">
        <v>250</v>
      </c>
      <c r="M261" s="120" t="s">
        <v>250</v>
      </c>
      <c r="N261" s="120" t="s">
        <v>250</v>
      </c>
      <c r="O261" s="120" t="s">
        <v>250</v>
      </c>
      <c r="P261" s="120" t="s">
        <v>250</v>
      </c>
      <c r="Q261" s="120" t="s">
        <v>250</v>
      </c>
      <c r="R261" s="120"/>
      <c r="S261" s="121"/>
    </row>
    <row r="262" spans="1:19" ht="15">
      <c r="A262" s="105" t="s">
        <v>250</v>
      </c>
      <c r="B262" s="105"/>
      <c r="C262" s="107" t="s">
        <v>454</v>
      </c>
      <c r="D262" s="107" t="s">
        <v>250</v>
      </c>
      <c r="E262" s="120" t="s">
        <v>250</v>
      </c>
      <c r="F262" s="120" t="s">
        <v>250</v>
      </c>
      <c r="G262" s="120" t="s">
        <v>250</v>
      </c>
      <c r="H262" s="120" t="s">
        <v>250</v>
      </c>
      <c r="I262" s="120" t="s">
        <v>250</v>
      </c>
      <c r="J262" s="120" t="s">
        <v>250</v>
      </c>
      <c r="K262" s="120" t="s">
        <v>250</v>
      </c>
      <c r="L262" s="120" t="s">
        <v>250</v>
      </c>
      <c r="M262" s="120" t="s">
        <v>250</v>
      </c>
      <c r="N262" s="120" t="s">
        <v>250</v>
      </c>
      <c r="O262" s="120" t="s">
        <v>250</v>
      </c>
      <c r="P262" s="120" t="s">
        <v>250</v>
      </c>
      <c r="Q262" s="120" t="s">
        <v>250</v>
      </c>
      <c r="R262" s="120"/>
      <c r="S262" s="121"/>
    </row>
    <row r="263" spans="1:19" ht="15">
      <c r="A263" s="105">
        <v>14</v>
      </c>
      <c r="B263" s="105"/>
      <c r="C263" s="107" t="s">
        <v>455</v>
      </c>
      <c r="D263" s="107" t="s">
        <v>456</v>
      </c>
      <c r="E263" s="120">
        <v>346006132.94911385</v>
      </c>
      <c r="F263" s="120" t="s">
        <v>250</v>
      </c>
      <c r="G263" s="120">
        <v>330770536.52995121</v>
      </c>
      <c r="H263" s="120" t="s">
        <v>250</v>
      </c>
      <c r="I263" s="120">
        <v>15235596.419162624</v>
      </c>
      <c r="J263" s="120">
        <v>0</v>
      </c>
      <c r="K263" s="120" t="s">
        <v>250</v>
      </c>
      <c r="L263" s="120" t="s">
        <v>250</v>
      </c>
      <c r="M263" s="120">
        <v>0</v>
      </c>
      <c r="N263" s="120" t="s">
        <v>250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457</v>
      </c>
      <c r="D264" s="107" t="s">
        <v>458</v>
      </c>
      <c r="E264" s="120">
        <v>33354749.163551994</v>
      </c>
      <c r="F264" s="120" t="s">
        <v>250</v>
      </c>
      <c r="G264" s="120">
        <v>3334378.8594939257</v>
      </c>
      <c r="H264" s="120" t="s">
        <v>250</v>
      </c>
      <c r="I264" s="120">
        <v>30020370.304058068</v>
      </c>
      <c r="J264" s="120">
        <v>0</v>
      </c>
      <c r="K264" s="120" t="s">
        <v>250</v>
      </c>
      <c r="L264" s="120" t="s">
        <v>250</v>
      </c>
      <c r="M264" s="120">
        <v>0</v>
      </c>
      <c r="N264" s="120" t="s">
        <v>250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459</v>
      </c>
      <c r="D265" s="107" t="s">
        <v>311</v>
      </c>
      <c r="E265" s="120">
        <v>1305739.4658828001</v>
      </c>
      <c r="F265" s="120" t="s">
        <v>250</v>
      </c>
      <c r="G265" s="120">
        <v>0</v>
      </c>
      <c r="H265" s="120" t="s">
        <v>250</v>
      </c>
      <c r="I265" s="120">
        <v>896383.61354892887</v>
      </c>
      <c r="J265" s="120">
        <v>409355.85233387112</v>
      </c>
      <c r="K265" s="120" t="s">
        <v>250</v>
      </c>
      <c r="L265" s="120" t="s">
        <v>250</v>
      </c>
      <c r="M265" s="120">
        <v>0</v>
      </c>
      <c r="N265" s="120" t="s">
        <v>250</v>
      </c>
      <c r="O265" s="120">
        <v>409355.85233387112</v>
      </c>
      <c r="P265" s="120">
        <v>207648.1942415064</v>
      </c>
      <c r="Q265" s="120">
        <v>201707.65809236473</v>
      </c>
      <c r="R265" s="120"/>
      <c r="S265" s="121"/>
    </row>
    <row r="266" spans="1:19" ht="15">
      <c r="A266" s="105">
        <v>17</v>
      </c>
      <c r="B266" s="105"/>
      <c r="C266" s="107" t="s">
        <v>460</v>
      </c>
      <c r="D266" s="107" t="s">
        <v>313</v>
      </c>
      <c r="E266" s="120">
        <v>86390.117435733395</v>
      </c>
      <c r="F266" s="120" t="s">
        <v>250</v>
      </c>
      <c r="G266" s="120">
        <v>0</v>
      </c>
      <c r="H266" s="120" t="s">
        <v>250</v>
      </c>
      <c r="I266" s="120">
        <v>0</v>
      </c>
      <c r="J266" s="120">
        <v>86390.117435733395</v>
      </c>
      <c r="K266" s="120" t="s">
        <v>250</v>
      </c>
      <c r="L266" s="120" t="s">
        <v>250</v>
      </c>
      <c r="M266" s="120">
        <v>0</v>
      </c>
      <c r="N266" s="120" t="s">
        <v>250</v>
      </c>
      <c r="O266" s="120">
        <v>86390.117435733395</v>
      </c>
      <c r="P266" s="120">
        <v>43821.901613393449</v>
      </c>
      <c r="Q266" s="120">
        <v>42568.215822339946</v>
      </c>
      <c r="R266" s="120"/>
      <c r="S266" s="121"/>
    </row>
    <row r="267" spans="1:19" ht="15">
      <c r="A267" s="105">
        <v>18</v>
      </c>
      <c r="B267" s="105"/>
      <c r="C267" s="107" t="s">
        <v>461</v>
      </c>
      <c r="D267" s="107" t="s">
        <v>250</v>
      </c>
      <c r="E267" s="120">
        <v>380753011.69598436</v>
      </c>
      <c r="F267" s="120" t="s">
        <v>250</v>
      </c>
      <c r="G267" s="120">
        <v>334104915.38944513</v>
      </c>
      <c r="H267" s="120" t="s">
        <v>250</v>
      </c>
      <c r="I267" s="120">
        <v>46152350.336769618</v>
      </c>
      <c r="J267" s="120">
        <v>495745.9697696045</v>
      </c>
      <c r="K267" s="120" t="s">
        <v>250</v>
      </c>
      <c r="L267" s="120" t="s">
        <v>250</v>
      </c>
      <c r="M267" s="120">
        <v>0</v>
      </c>
      <c r="N267" s="120" t="s">
        <v>250</v>
      </c>
      <c r="O267" s="120">
        <v>495745.9697696045</v>
      </c>
      <c r="P267" s="120">
        <v>251470.09585489985</v>
      </c>
      <c r="Q267" s="120">
        <v>244275.87391470466</v>
      </c>
      <c r="R267" s="120"/>
      <c r="S267" s="121"/>
    </row>
    <row r="268" spans="1:19" ht="15">
      <c r="A268" s="105" t="s">
        <v>250</v>
      </c>
      <c r="B268" s="105"/>
      <c r="C268" s="107" t="s">
        <v>250</v>
      </c>
      <c r="D268" s="107" t="s">
        <v>250</v>
      </c>
      <c r="E268" s="120" t="s">
        <v>250</v>
      </c>
      <c r="F268" s="120" t="s">
        <v>250</v>
      </c>
      <c r="G268" s="120" t="s">
        <v>250</v>
      </c>
      <c r="H268" s="120" t="s">
        <v>250</v>
      </c>
      <c r="I268" s="120" t="s">
        <v>250</v>
      </c>
      <c r="J268" s="120" t="s">
        <v>250</v>
      </c>
      <c r="K268" s="120" t="s">
        <v>250</v>
      </c>
      <c r="L268" s="120" t="s">
        <v>250</v>
      </c>
      <c r="M268" s="120" t="s">
        <v>250</v>
      </c>
      <c r="N268" s="120" t="s">
        <v>250</v>
      </c>
      <c r="O268" s="120" t="s">
        <v>250</v>
      </c>
      <c r="P268" s="120" t="s">
        <v>250</v>
      </c>
      <c r="Q268" s="120" t="s">
        <v>250</v>
      </c>
      <c r="R268" s="120"/>
      <c r="S268" s="121"/>
    </row>
    <row r="269" spans="1:19" ht="15">
      <c r="A269" s="105">
        <v>19</v>
      </c>
      <c r="B269" s="105"/>
      <c r="C269" s="107" t="s">
        <v>462</v>
      </c>
      <c r="D269" s="107" t="s">
        <v>463</v>
      </c>
      <c r="E269" s="120">
        <v>42616401.478556141</v>
      </c>
      <c r="F269" s="120" t="s">
        <v>250</v>
      </c>
      <c r="G269" s="120">
        <v>18054.624209478086</v>
      </c>
      <c r="H269" s="120" t="s">
        <v>250</v>
      </c>
      <c r="I269" s="120">
        <v>42598346.854346663</v>
      </c>
      <c r="J269" s="120">
        <v>0</v>
      </c>
      <c r="K269" s="120" t="s">
        <v>250</v>
      </c>
      <c r="L269" s="120" t="s">
        <v>250</v>
      </c>
      <c r="M269" s="120">
        <v>0</v>
      </c>
      <c r="N269" s="120" t="s">
        <v>250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464</v>
      </c>
      <c r="D270" s="107" t="s">
        <v>465</v>
      </c>
      <c r="E270" s="120">
        <v>680181632.49871814</v>
      </c>
      <c r="F270" s="120" t="s">
        <v>250</v>
      </c>
      <c r="G270" s="120">
        <v>679035842.7250334</v>
      </c>
      <c r="H270" s="120" t="s">
        <v>250</v>
      </c>
      <c r="I270" s="120">
        <v>0</v>
      </c>
      <c r="J270" s="120">
        <v>1145789.7736847319</v>
      </c>
      <c r="K270" s="120" t="s">
        <v>250</v>
      </c>
      <c r="L270" s="120" t="s">
        <v>250</v>
      </c>
      <c r="M270" s="120">
        <v>0</v>
      </c>
      <c r="N270" s="120" t="s">
        <v>250</v>
      </c>
      <c r="O270" s="120">
        <v>1145789.7736847319</v>
      </c>
      <c r="P270" s="120">
        <v>1137070.2044993872</v>
      </c>
      <c r="Q270" s="120">
        <v>8719.5691853447061</v>
      </c>
      <c r="R270" s="120"/>
      <c r="S270" s="121"/>
    </row>
    <row r="271" spans="1:19" ht="15">
      <c r="A271" s="105">
        <v>21</v>
      </c>
      <c r="B271" s="105"/>
      <c r="C271" s="107" t="s">
        <v>466</v>
      </c>
      <c r="D271" s="107" t="s">
        <v>250</v>
      </c>
      <c r="E271" s="120">
        <v>722798033.9772743</v>
      </c>
      <c r="F271" s="120" t="s">
        <v>250</v>
      </c>
      <c r="G271" s="120">
        <v>679053897.34924293</v>
      </c>
      <c r="H271" s="120" t="s">
        <v>250</v>
      </c>
      <c r="I271" s="120">
        <v>42598346.854346663</v>
      </c>
      <c r="J271" s="120">
        <v>1145789.7736847319</v>
      </c>
      <c r="K271" s="120" t="s">
        <v>250</v>
      </c>
      <c r="L271" s="120" t="s">
        <v>250</v>
      </c>
      <c r="M271" s="120">
        <v>0</v>
      </c>
      <c r="N271" s="120" t="s">
        <v>250</v>
      </c>
      <c r="O271" s="120">
        <v>1145789.7736847319</v>
      </c>
      <c r="P271" s="120">
        <v>1137070.2044993872</v>
      </c>
      <c r="Q271" s="120">
        <v>8719.5691853447061</v>
      </c>
      <c r="R271" s="120"/>
      <c r="S271" s="121"/>
    </row>
    <row r="272" spans="1:19" ht="15">
      <c r="A272" s="105" t="s">
        <v>250</v>
      </c>
      <c r="B272" s="105"/>
      <c r="C272" s="107" t="s">
        <v>250</v>
      </c>
      <c r="D272" s="107" t="s">
        <v>250</v>
      </c>
      <c r="E272" s="120" t="s">
        <v>250</v>
      </c>
      <c r="F272" s="120" t="s">
        <v>250</v>
      </c>
      <c r="G272" s="120" t="s">
        <v>250</v>
      </c>
      <c r="H272" s="120" t="s">
        <v>250</v>
      </c>
      <c r="I272" s="120" t="s">
        <v>250</v>
      </c>
      <c r="J272" s="120" t="s">
        <v>250</v>
      </c>
      <c r="K272" s="120" t="s">
        <v>250</v>
      </c>
      <c r="L272" s="120" t="s">
        <v>250</v>
      </c>
      <c r="M272" s="120" t="s">
        <v>250</v>
      </c>
      <c r="N272" s="120" t="s">
        <v>250</v>
      </c>
      <c r="O272" s="120" t="s">
        <v>250</v>
      </c>
      <c r="P272" s="120" t="s">
        <v>250</v>
      </c>
      <c r="Q272" s="120" t="s">
        <v>250</v>
      </c>
      <c r="R272" s="120"/>
      <c r="S272" s="121"/>
    </row>
    <row r="273" spans="1:19" ht="15">
      <c r="A273" s="105">
        <v>22</v>
      </c>
      <c r="B273" s="105"/>
      <c r="C273" s="107" t="s">
        <v>416</v>
      </c>
      <c r="D273" s="107" t="s">
        <v>467</v>
      </c>
      <c r="E273" s="120">
        <v>80795607.000774786</v>
      </c>
      <c r="F273" s="120" t="s">
        <v>250</v>
      </c>
      <c r="G273" s="120">
        <v>76189718.03766185</v>
      </c>
      <c r="H273" s="120" t="s">
        <v>250</v>
      </c>
      <c r="I273" s="120">
        <v>3684729.4752795785</v>
      </c>
      <c r="J273" s="120">
        <v>921159.48783334985</v>
      </c>
      <c r="K273" s="120" t="s">
        <v>250</v>
      </c>
      <c r="L273" s="120" t="s">
        <v>250</v>
      </c>
      <c r="M273" s="120">
        <v>0</v>
      </c>
      <c r="N273" s="120" t="s">
        <v>250</v>
      </c>
      <c r="O273" s="120">
        <v>921159.48783334985</v>
      </c>
      <c r="P273" s="120">
        <v>480639.1087772983</v>
      </c>
      <c r="Q273" s="120">
        <v>440520.37905605155</v>
      </c>
      <c r="R273" s="120"/>
      <c r="S273" s="121"/>
    </row>
    <row r="274" spans="1:19" ht="15">
      <c r="A274" s="105" t="s">
        <v>250</v>
      </c>
      <c r="B274" s="105"/>
      <c r="C274" s="107" t="s">
        <v>250</v>
      </c>
      <c r="D274" s="107" t="s">
        <v>250</v>
      </c>
      <c r="E274" s="120" t="s">
        <v>250</v>
      </c>
      <c r="F274" s="120" t="s">
        <v>250</v>
      </c>
      <c r="G274" s="120" t="s">
        <v>250</v>
      </c>
      <c r="H274" s="120" t="s">
        <v>250</v>
      </c>
      <c r="I274" s="120" t="s">
        <v>250</v>
      </c>
      <c r="J274" s="120" t="s">
        <v>250</v>
      </c>
      <c r="K274" s="120" t="s">
        <v>250</v>
      </c>
      <c r="L274" s="120" t="s">
        <v>250</v>
      </c>
      <c r="M274" s="120" t="s">
        <v>250</v>
      </c>
      <c r="N274" s="120" t="s">
        <v>250</v>
      </c>
      <c r="O274" s="120" t="s">
        <v>250</v>
      </c>
      <c r="P274" s="120" t="s">
        <v>250</v>
      </c>
      <c r="Q274" s="120" t="s">
        <v>250</v>
      </c>
      <c r="R274" s="120"/>
      <c r="S274" s="121"/>
    </row>
    <row r="275" spans="1:19" ht="15">
      <c r="A275" s="105">
        <v>23</v>
      </c>
      <c r="B275" s="105"/>
      <c r="C275" s="107" t="s">
        <v>468</v>
      </c>
      <c r="D275" s="107" t="s">
        <v>469</v>
      </c>
      <c r="E275" s="120">
        <v>60646.628603999998</v>
      </c>
      <c r="F275" s="120" t="s">
        <v>250</v>
      </c>
      <c r="G275" s="120">
        <v>60646.628603999998</v>
      </c>
      <c r="H275" s="120" t="s">
        <v>250</v>
      </c>
      <c r="I275" s="120">
        <v>0</v>
      </c>
      <c r="J275" s="120">
        <v>0</v>
      </c>
      <c r="K275" s="120" t="s">
        <v>250</v>
      </c>
      <c r="L275" s="120" t="s">
        <v>250</v>
      </c>
      <c r="M275" s="120">
        <v>0</v>
      </c>
      <c r="N275" s="120" t="s">
        <v>250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470</v>
      </c>
      <c r="D276" s="107" t="s">
        <v>471</v>
      </c>
      <c r="E276" s="120">
        <v>47034708.586073995</v>
      </c>
      <c r="F276" s="120" t="s">
        <v>250</v>
      </c>
      <c r="G276" s="120">
        <v>43973713.776116796</v>
      </c>
      <c r="H276" s="120" t="s">
        <v>250</v>
      </c>
      <c r="I276" s="120">
        <v>2399904.4314926937</v>
      </c>
      <c r="J276" s="120">
        <v>661090.37846450298</v>
      </c>
      <c r="K276" s="120" t="s">
        <v>250</v>
      </c>
      <c r="L276" s="120" t="s">
        <v>250</v>
      </c>
      <c r="M276" s="120">
        <v>0</v>
      </c>
      <c r="N276" s="120" t="s">
        <v>250</v>
      </c>
      <c r="O276" s="120">
        <v>661090.37846450298</v>
      </c>
      <c r="P276" s="120">
        <v>345626.99401560234</v>
      </c>
      <c r="Q276" s="120">
        <v>315463.38444890064</v>
      </c>
      <c r="R276" s="120"/>
      <c r="S276" s="121"/>
    </row>
    <row r="277" spans="1:19" ht="15">
      <c r="A277" s="105" t="s">
        <v>250</v>
      </c>
      <c r="B277" s="105"/>
      <c r="C277" s="107" t="s">
        <v>250</v>
      </c>
      <c r="D277" s="107" t="s">
        <v>250</v>
      </c>
      <c r="E277" s="120" t="s">
        <v>250</v>
      </c>
      <c r="F277" s="120" t="s">
        <v>250</v>
      </c>
      <c r="G277" s="120" t="s">
        <v>250</v>
      </c>
      <c r="H277" s="120" t="s">
        <v>250</v>
      </c>
      <c r="I277" s="120" t="s">
        <v>250</v>
      </c>
      <c r="J277" s="120" t="s">
        <v>250</v>
      </c>
      <c r="K277" s="120" t="s">
        <v>250</v>
      </c>
      <c r="L277" s="120" t="s">
        <v>250</v>
      </c>
      <c r="M277" s="120" t="s">
        <v>250</v>
      </c>
      <c r="N277" s="120" t="s">
        <v>250</v>
      </c>
      <c r="O277" s="120" t="s">
        <v>250</v>
      </c>
      <c r="P277" s="120" t="s">
        <v>250</v>
      </c>
      <c r="Q277" s="120" t="s">
        <v>250</v>
      </c>
      <c r="R277" s="120"/>
      <c r="S277" s="121"/>
    </row>
    <row r="278" spans="1:19" ht="15">
      <c r="A278" s="105">
        <v>25</v>
      </c>
      <c r="B278" s="105"/>
      <c r="C278" s="107" t="s">
        <v>472</v>
      </c>
      <c r="D278" s="107" t="s">
        <v>250</v>
      </c>
      <c r="E278" s="120">
        <v>3678551999.9235177</v>
      </c>
      <c r="F278" s="120" t="s">
        <v>250</v>
      </c>
      <c r="G278" s="120">
        <v>3418757611.7465563</v>
      </c>
      <c r="H278" s="120" t="s">
        <v>250</v>
      </c>
      <c r="I278" s="120">
        <v>204323151.58103558</v>
      </c>
      <c r="J278" s="120">
        <v>55471236.595925987</v>
      </c>
      <c r="K278" s="120" t="s">
        <v>250</v>
      </c>
      <c r="L278" s="120" t="s">
        <v>250</v>
      </c>
      <c r="M278" s="120">
        <v>0</v>
      </c>
      <c r="N278" s="120" t="s">
        <v>250</v>
      </c>
      <c r="O278" s="120">
        <v>55471236.595925987</v>
      </c>
      <c r="P278" s="120">
        <v>28717637.104470771</v>
      </c>
      <c r="Q278" s="120">
        <v>26753599.491455212</v>
      </c>
      <c r="R278" s="120"/>
      <c r="S278" s="121"/>
    </row>
    <row r="279" spans="1:19" ht="15">
      <c r="A279" s="105" t="s">
        <v>250</v>
      </c>
      <c r="B279" s="105"/>
      <c r="C279" s="107" t="s">
        <v>250</v>
      </c>
      <c r="D279" s="107" t="s">
        <v>250</v>
      </c>
      <c r="E279" s="120" t="s">
        <v>250</v>
      </c>
      <c r="F279" s="120" t="s">
        <v>250</v>
      </c>
      <c r="G279" s="120" t="s">
        <v>250</v>
      </c>
      <c r="H279" s="120" t="s">
        <v>250</v>
      </c>
      <c r="I279" s="120" t="s">
        <v>250</v>
      </c>
      <c r="J279" s="120" t="s">
        <v>250</v>
      </c>
      <c r="K279" s="120" t="s">
        <v>250</v>
      </c>
      <c r="L279" s="120" t="s">
        <v>250</v>
      </c>
      <c r="M279" s="120" t="s">
        <v>250</v>
      </c>
      <c r="N279" s="120" t="s">
        <v>250</v>
      </c>
      <c r="O279" s="120" t="s">
        <v>250</v>
      </c>
      <c r="P279" s="120" t="s">
        <v>250</v>
      </c>
      <c r="Q279" s="120" t="s">
        <v>250</v>
      </c>
      <c r="R279" s="120"/>
      <c r="S279" s="121"/>
    </row>
    <row r="280" spans="1:19" ht="15">
      <c r="A280" s="105">
        <v>26</v>
      </c>
      <c r="B280" s="105"/>
      <c r="C280" s="107" t="s">
        <v>473</v>
      </c>
      <c r="D280" s="107" t="s">
        <v>250</v>
      </c>
      <c r="E280" s="120">
        <v>6833221529.8564777</v>
      </c>
      <c r="F280" s="120" t="s">
        <v>250</v>
      </c>
      <c r="G280" s="120">
        <v>6408924461.4551439</v>
      </c>
      <c r="H280" s="120" t="s">
        <v>250</v>
      </c>
      <c r="I280" s="120">
        <v>332023435.10641479</v>
      </c>
      <c r="J280" s="120">
        <v>92273633.294919252</v>
      </c>
      <c r="K280" s="120" t="s">
        <v>250</v>
      </c>
      <c r="L280" s="120" t="s">
        <v>250</v>
      </c>
      <c r="M280" s="120">
        <v>0</v>
      </c>
      <c r="N280" s="120" t="s">
        <v>250</v>
      </c>
      <c r="O280" s="120">
        <v>92273633.294919252</v>
      </c>
      <c r="P280" s="120">
        <v>48525379.773502156</v>
      </c>
      <c r="Q280" s="120">
        <v>43748253.521417096</v>
      </c>
      <c r="R280" s="120"/>
      <c r="S280" s="121"/>
    </row>
    <row r="281" spans="1:19" ht="15">
      <c r="A281" s="105" t="s">
        <v>250</v>
      </c>
      <c r="B281" s="105"/>
      <c r="C281" s="107" t="s">
        <v>250</v>
      </c>
      <c r="D281" s="107" t="s">
        <v>250</v>
      </c>
      <c r="E281" s="120" t="s">
        <v>250</v>
      </c>
      <c r="F281" s="120" t="s">
        <v>250</v>
      </c>
      <c r="G281" s="120" t="s">
        <v>250</v>
      </c>
      <c r="H281" s="120" t="s">
        <v>250</v>
      </c>
      <c r="I281" s="120" t="s">
        <v>250</v>
      </c>
      <c r="J281" s="120" t="s">
        <v>250</v>
      </c>
      <c r="K281" s="120" t="s">
        <v>250</v>
      </c>
      <c r="L281" s="120" t="s">
        <v>250</v>
      </c>
      <c r="M281" s="120" t="s">
        <v>250</v>
      </c>
      <c r="N281" s="120" t="s">
        <v>250</v>
      </c>
      <c r="O281" s="120" t="s">
        <v>250</v>
      </c>
      <c r="P281" s="120" t="s">
        <v>250</v>
      </c>
      <c r="Q281" s="120" t="s">
        <v>250</v>
      </c>
      <c r="R281" s="120"/>
      <c r="S281" s="121"/>
    </row>
    <row r="282" spans="1:19" ht="15">
      <c r="A282" s="105" t="s">
        <v>250</v>
      </c>
      <c r="B282" s="105"/>
      <c r="C282" s="107" t="s">
        <v>250</v>
      </c>
      <c r="D282" s="107" t="s">
        <v>250</v>
      </c>
      <c r="E282" s="120" t="s">
        <v>250</v>
      </c>
      <c r="F282" s="120" t="s">
        <v>250</v>
      </c>
      <c r="G282" s="120" t="s">
        <v>250</v>
      </c>
      <c r="H282" s="120" t="s">
        <v>250</v>
      </c>
      <c r="I282" s="120" t="s">
        <v>250</v>
      </c>
      <c r="J282" s="120" t="s">
        <v>250</v>
      </c>
      <c r="K282" s="120" t="s">
        <v>250</v>
      </c>
      <c r="L282" s="120" t="s">
        <v>250</v>
      </c>
      <c r="M282" s="120" t="s">
        <v>250</v>
      </c>
      <c r="N282" s="120" t="s">
        <v>250</v>
      </c>
      <c r="O282" s="120" t="s">
        <v>250</v>
      </c>
      <c r="P282" s="120" t="s">
        <v>250</v>
      </c>
      <c r="Q282" s="120" t="s">
        <v>250</v>
      </c>
      <c r="R282" s="120"/>
      <c r="S282" s="121"/>
    </row>
    <row r="283" spans="1:19" ht="15">
      <c r="A283" s="105" t="s">
        <v>250</v>
      </c>
      <c r="B283" s="105"/>
      <c r="C283" s="107" t="s">
        <v>474</v>
      </c>
      <c r="D283" s="107" t="s">
        <v>250</v>
      </c>
      <c r="E283" s="120" t="s">
        <v>250</v>
      </c>
      <c r="F283" s="120" t="s">
        <v>250</v>
      </c>
      <c r="G283" s="120" t="s">
        <v>250</v>
      </c>
      <c r="H283" s="120" t="s">
        <v>250</v>
      </c>
      <c r="I283" s="120" t="s">
        <v>250</v>
      </c>
      <c r="J283" s="120" t="s">
        <v>250</v>
      </c>
      <c r="K283" s="120" t="s">
        <v>250</v>
      </c>
      <c r="L283" s="120" t="s">
        <v>250</v>
      </c>
      <c r="M283" s="120" t="s">
        <v>250</v>
      </c>
      <c r="N283" s="120" t="s">
        <v>250</v>
      </c>
      <c r="O283" s="120" t="s">
        <v>250</v>
      </c>
      <c r="P283" s="120" t="s">
        <v>250</v>
      </c>
      <c r="Q283" s="120" t="s">
        <v>250</v>
      </c>
      <c r="R283" s="120"/>
      <c r="S283" s="121"/>
    </row>
    <row r="284" spans="1:19" ht="15">
      <c r="A284" s="105" t="s">
        <v>250</v>
      </c>
      <c r="B284" s="105"/>
      <c r="C284" s="107" t="s">
        <v>250</v>
      </c>
      <c r="D284" s="107" t="s">
        <v>250</v>
      </c>
      <c r="E284" s="120" t="s">
        <v>250</v>
      </c>
      <c r="F284" s="120" t="s">
        <v>250</v>
      </c>
      <c r="G284" s="120" t="s">
        <v>250</v>
      </c>
      <c r="H284" s="120" t="s">
        <v>250</v>
      </c>
      <c r="I284" s="120" t="s">
        <v>250</v>
      </c>
      <c r="J284" s="120" t="s">
        <v>250</v>
      </c>
      <c r="K284" s="120" t="s">
        <v>250</v>
      </c>
      <c r="L284" s="120" t="s">
        <v>250</v>
      </c>
      <c r="M284" s="120" t="s">
        <v>250</v>
      </c>
      <c r="N284" s="120" t="s">
        <v>250</v>
      </c>
      <c r="O284" s="120" t="s">
        <v>250</v>
      </c>
      <c r="P284" s="120" t="s">
        <v>250</v>
      </c>
      <c r="Q284" s="120" t="s">
        <v>250</v>
      </c>
      <c r="R284" s="120"/>
      <c r="S284" s="121"/>
    </row>
    <row r="285" spans="1:19" ht="15">
      <c r="A285" s="105" t="s">
        <v>250</v>
      </c>
      <c r="B285" s="105"/>
      <c r="C285" s="107" t="s">
        <v>475</v>
      </c>
      <c r="D285" s="107" t="s">
        <v>250</v>
      </c>
      <c r="E285" s="120" t="s">
        <v>250</v>
      </c>
      <c r="F285" s="120" t="s">
        <v>250</v>
      </c>
      <c r="G285" s="120" t="s">
        <v>250</v>
      </c>
      <c r="H285" s="120" t="s">
        <v>250</v>
      </c>
      <c r="I285" s="120" t="s">
        <v>250</v>
      </c>
      <c r="J285" s="120" t="s">
        <v>250</v>
      </c>
      <c r="K285" s="120" t="s">
        <v>250</v>
      </c>
      <c r="L285" s="120" t="s">
        <v>250</v>
      </c>
      <c r="M285" s="120" t="s">
        <v>250</v>
      </c>
      <c r="N285" s="120" t="s">
        <v>250</v>
      </c>
      <c r="O285" s="120" t="s">
        <v>250</v>
      </c>
      <c r="P285" s="120" t="s">
        <v>250</v>
      </c>
      <c r="Q285" s="120" t="s">
        <v>250</v>
      </c>
      <c r="R285" s="120"/>
      <c r="S285" s="121"/>
    </row>
    <row r="286" spans="1:19" ht="15">
      <c r="A286" s="105" t="s">
        <v>250</v>
      </c>
      <c r="B286" s="105"/>
      <c r="C286" s="107" t="s">
        <v>250</v>
      </c>
      <c r="D286" s="107" t="s">
        <v>250</v>
      </c>
      <c r="E286" s="120" t="s">
        <v>250</v>
      </c>
      <c r="F286" s="120" t="s">
        <v>250</v>
      </c>
      <c r="G286" s="120" t="s">
        <v>250</v>
      </c>
      <c r="H286" s="120" t="s">
        <v>250</v>
      </c>
      <c r="I286" s="120" t="s">
        <v>250</v>
      </c>
      <c r="J286" s="120" t="s">
        <v>250</v>
      </c>
      <c r="K286" s="120" t="s">
        <v>250</v>
      </c>
      <c r="L286" s="120" t="s">
        <v>250</v>
      </c>
      <c r="M286" s="120" t="s">
        <v>250</v>
      </c>
      <c r="N286" s="120" t="s">
        <v>250</v>
      </c>
      <c r="O286" s="120" t="s">
        <v>250</v>
      </c>
      <c r="P286" s="120" t="s">
        <v>250</v>
      </c>
      <c r="Q286" s="120" t="s">
        <v>250</v>
      </c>
      <c r="R286" s="120"/>
      <c r="S286" s="121"/>
    </row>
    <row r="287" spans="1:19" ht="15">
      <c r="A287" s="105" t="s">
        <v>250</v>
      </c>
      <c r="B287" s="105"/>
      <c r="C287" s="107" t="s">
        <v>440</v>
      </c>
      <c r="D287" s="107" t="s">
        <v>250</v>
      </c>
      <c r="E287" s="120" t="s">
        <v>250</v>
      </c>
      <c r="F287" s="120" t="s">
        <v>250</v>
      </c>
      <c r="G287" s="120" t="s">
        <v>250</v>
      </c>
      <c r="H287" s="120" t="s">
        <v>250</v>
      </c>
      <c r="I287" s="120" t="s">
        <v>250</v>
      </c>
      <c r="J287" s="120" t="s">
        <v>250</v>
      </c>
      <c r="K287" s="120" t="s">
        <v>250</v>
      </c>
      <c r="L287" s="120" t="s">
        <v>250</v>
      </c>
      <c r="M287" s="120" t="s">
        <v>250</v>
      </c>
      <c r="N287" s="120" t="s">
        <v>250</v>
      </c>
      <c r="O287" s="120" t="s">
        <v>250</v>
      </c>
      <c r="P287" s="120" t="s">
        <v>250</v>
      </c>
      <c r="Q287" s="120" t="s">
        <v>250</v>
      </c>
      <c r="R287" s="120"/>
      <c r="S287" s="121"/>
    </row>
    <row r="288" spans="1:19" ht="15">
      <c r="A288" s="105">
        <v>1</v>
      </c>
      <c r="B288" s="105"/>
      <c r="C288" s="107" t="s">
        <v>476</v>
      </c>
      <c r="D288" s="107" t="s">
        <v>477</v>
      </c>
      <c r="E288" s="120">
        <v>135826347.03999987</v>
      </c>
      <c r="F288" s="120" t="s">
        <v>250</v>
      </c>
      <c r="G288" s="120">
        <v>127423822.48642297</v>
      </c>
      <c r="H288" s="120" t="s">
        <v>250</v>
      </c>
      <c r="I288" s="120">
        <v>5768291.0864431933</v>
      </c>
      <c r="J288" s="120">
        <v>2634233.4671336957</v>
      </c>
      <c r="K288" s="120" t="s">
        <v>250</v>
      </c>
      <c r="L288" s="120" t="s">
        <v>250</v>
      </c>
      <c r="M288" s="120">
        <v>0</v>
      </c>
      <c r="N288" s="120" t="s">
        <v>250</v>
      </c>
      <c r="O288" s="120">
        <v>2634233.4671336957</v>
      </c>
      <c r="P288" s="120">
        <v>1336230.6158376986</v>
      </c>
      <c r="Q288" s="120">
        <v>1298002.8512959972</v>
      </c>
      <c r="R288" s="120"/>
      <c r="S288" s="121"/>
    </row>
    <row r="289" spans="1:19" ht="15">
      <c r="A289" s="105">
        <v>2</v>
      </c>
      <c r="B289" s="105"/>
      <c r="C289" s="107" t="s">
        <v>478</v>
      </c>
      <c r="D289" s="107" t="s">
        <v>311</v>
      </c>
      <c r="E289" s="120">
        <v>0</v>
      </c>
      <c r="F289" s="120" t="s">
        <v>250</v>
      </c>
      <c r="G289" s="120">
        <v>0</v>
      </c>
      <c r="H289" s="120" t="s">
        <v>250</v>
      </c>
      <c r="I289" s="120">
        <v>0</v>
      </c>
      <c r="J289" s="120">
        <v>0</v>
      </c>
      <c r="K289" s="120" t="s">
        <v>250</v>
      </c>
      <c r="L289" s="120" t="s">
        <v>250</v>
      </c>
      <c r="M289" s="120">
        <v>0</v>
      </c>
      <c r="N289" s="120" t="s">
        <v>250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479</v>
      </c>
      <c r="D290" s="107" t="s">
        <v>313</v>
      </c>
      <c r="E290" s="120">
        <v>285776.62473684002</v>
      </c>
      <c r="F290" s="120" t="s">
        <v>250</v>
      </c>
      <c r="G290" s="120">
        <v>0</v>
      </c>
      <c r="H290" s="120" t="s">
        <v>250</v>
      </c>
      <c r="I290" s="120">
        <v>0</v>
      </c>
      <c r="J290" s="120">
        <v>285776.62473684002</v>
      </c>
      <c r="K290" s="120" t="s">
        <v>250</v>
      </c>
      <c r="L290" s="120" t="s">
        <v>250</v>
      </c>
      <c r="M290" s="120">
        <v>0</v>
      </c>
      <c r="N290" s="120" t="s">
        <v>250</v>
      </c>
      <c r="O290" s="120">
        <v>285776.62473684002</v>
      </c>
      <c r="P290" s="120">
        <v>144961.89499848374</v>
      </c>
      <c r="Q290" s="120">
        <v>140814.72973835628</v>
      </c>
      <c r="R290" s="120"/>
      <c r="S290" s="121"/>
    </row>
    <row r="291" spans="1:19" ht="15">
      <c r="A291" s="105">
        <v>4</v>
      </c>
      <c r="B291" s="105"/>
      <c r="C291" s="107" t="s">
        <v>480</v>
      </c>
      <c r="D291" s="107" t="s">
        <v>250</v>
      </c>
      <c r="E291" s="120">
        <v>136112123.66473672</v>
      </c>
      <c r="F291" s="120" t="s">
        <v>250</v>
      </c>
      <c r="G291" s="120">
        <v>127423822.48642297</v>
      </c>
      <c r="H291" s="120" t="s">
        <v>250</v>
      </c>
      <c r="I291" s="120">
        <v>5768291.0864431933</v>
      </c>
      <c r="J291" s="120">
        <v>2920010.0918705361</v>
      </c>
      <c r="K291" s="120" t="s">
        <v>250</v>
      </c>
      <c r="L291" s="120" t="s">
        <v>250</v>
      </c>
      <c r="M291" s="120">
        <v>0</v>
      </c>
      <c r="N291" s="120" t="s">
        <v>250</v>
      </c>
      <c r="O291" s="120">
        <v>2920010.0918705361</v>
      </c>
      <c r="P291" s="120">
        <v>1481192.5108361824</v>
      </c>
      <c r="Q291" s="120">
        <v>1438817.5810343535</v>
      </c>
      <c r="R291" s="120"/>
      <c r="S291" s="121"/>
    </row>
    <row r="292" spans="1:19" ht="15">
      <c r="A292" s="105" t="s">
        <v>250</v>
      </c>
      <c r="B292" s="105"/>
      <c r="C292" s="107" t="s">
        <v>250</v>
      </c>
      <c r="D292" s="107" t="s">
        <v>250</v>
      </c>
      <c r="E292" s="120" t="s">
        <v>250</v>
      </c>
      <c r="F292" s="120" t="s">
        <v>250</v>
      </c>
      <c r="G292" s="120" t="s">
        <v>250</v>
      </c>
      <c r="H292" s="120" t="s">
        <v>250</v>
      </c>
      <c r="I292" s="120" t="s">
        <v>250</v>
      </c>
      <c r="J292" s="120" t="s">
        <v>250</v>
      </c>
      <c r="K292" s="120" t="s">
        <v>250</v>
      </c>
      <c r="L292" s="120" t="s">
        <v>250</v>
      </c>
      <c r="M292" s="120" t="s">
        <v>250</v>
      </c>
      <c r="N292" s="120" t="s">
        <v>250</v>
      </c>
      <c r="O292" s="120" t="s">
        <v>250</v>
      </c>
      <c r="P292" s="120" t="s">
        <v>250</v>
      </c>
      <c r="Q292" s="120" t="s">
        <v>250</v>
      </c>
      <c r="R292" s="120"/>
      <c r="S292" s="121"/>
    </row>
    <row r="293" spans="1:19" ht="15">
      <c r="A293" s="105" t="s">
        <v>250</v>
      </c>
      <c r="B293" s="105"/>
      <c r="C293" s="107" t="s">
        <v>454</v>
      </c>
      <c r="D293" s="107" t="s">
        <v>250</v>
      </c>
      <c r="E293" s="120" t="s">
        <v>250</v>
      </c>
      <c r="F293" s="120" t="s">
        <v>250</v>
      </c>
      <c r="G293" s="120" t="s">
        <v>250</v>
      </c>
      <c r="H293" s="120" t="s">
        <v>250</v>
      </c>
      <c r="I293" s="120" t="s">
        <v>250</v>
      </c>
      <c r="J293" s="120" t="s">
        <v>250</v>
      </c>
      <c r="K293" s="120" t="s">
        <v>250</v>
      </c>
      <c r="L293" s="120" t="s">
        <v>250</v>
      </c>
      <c r="M293" s="120" t="s">
        <v>250</v>
      </c>
      <c r="N293" s="120" t="s">
        <v>250</v>
      </c>
      <c r="O293" s="120" t="s">
        <v>250</v>
      </c>
      <c r="P293" s="120" t="s">
        <v>250</v>
      </c>
      <c r="Q293" s="120" t="s">
        <v>250</v>
      </c>
      <c r="R293" s="120"/>
      <c r="S293" s="121"/>
    </row>
    <row r="294" spans="1:19" ht="15">
      <c r="A294" s="105">
        <v>5</v>
      </c>
      <c r="B294" s="105"/>
      <c r="C294" s="107" t="s">
        <v>476</v>
      </c>
      <c r="D294" s="107" t="s">
        <v>456</v>
      </c>
      <c r="E294" s="120">
        <v>69583723.040000007</v>
      </c>
      <c r="F294" s="120" t="s">
        <v>250</v>
      </c>
      <c r="G294" s="120">
        <v>66519761.391273558</v>
      </c>
      <c r="H294" s="120" t="s">
        <v>250</v>
      </c>
      <c r="I294" s="120">
        <v>3063961.6487264433</v>
      </c>
      <c r="J294" s="120">
        <v>0</v>
      </c>
      <c r="K294" s="120" t="s">
        <v>250</v>
      </c>
      <c r="L294" s="120" t="s">
        <v>250</v>
      </c>
      <c r="M294" s="120">
        <v>0</v>
      </c>
      <c r="N294" s="120" t="s">
        <v>250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481</v>
      </c>
      <c r="D295" s="107" t="s">
        <v>456</v>
      </c>
      <c r="E295" s="120">
        <v>0</v>
      </c>
      <c r="F295" s="120" t="s">
        <v>250</v>
      </c>
      <c r="G295" s="120">
        <v>0</v>
      </c>
      <c r="H295" s="120" t="s">
        <v>250</v>
      </c>
      <c r="I295" s="120">
        <v>0</v>
      </c>
      <c r="J295" s="120">
        <v>0</v>
      </c>
      <c r="K295" s="120" t="s">
        <v>250</v>
      </c>
      <c r="L295" s="120" t="s">
        <v>250</v>
      </c>
      <c r="M295" s="120">
        <v>0</v>
      </c>
      <c r="N295" s="120" t="s">
        <v>250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482</v>
      </c>
      <c r="D296" s="107" t="s">
        <v>483</v>
      </c>
      <c r="E296" s="120">
        <v>12663049.779999999</v>
      </c>
      <c r="F296" s="120" t="s">
        <v>250</v>
      </c>
      <c r="G296" s="120">
        <v>0</v>
      </c>
      <c r="H296" s="120" t="s">
        <v>250</v>
      </c>
      <c r="I296" s="120">
        <v>12663049.779999999</v>
      </c>
      <c r="J296" s="120">
        <v>0</v>
      </c>
      <c r="K296" s="120" t="s">
        <v>250</v>
      </c>
      <c r="L296" s="120" t="s">
        <v>250</v>
      </c>
      <c r="M296" s="120">
        <v>0</v>
      </c>
      <c r="N296" s="120" t="s">
        <v>250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478</v>
      </c>
      <c r="D297" s="107" t="s">
        <v>311</v>
      </c>
      <c r="E297" s="120">
        <v>0</v>
      </c>
      <c r="F297" s="120" t="s">
        <v>250</v>
      </c>
      <c r="G297" s="120">
        <v>0</v>
      </c>
      <c r="H297" s="120" t="s">
        <v>250</v>
      </c>
      <c r="I297" s="120">
        <v>0</v>
      </c>
      <c r="J297" s="120">
        <v>0</v>
      </c>
      <c r="K297" s="120" t="s">
        <v>250</v>
      </c>
      <c r="L297" s="120" t="s">
        <v>250</v>
      </c>
      <c r="M297" s="120">
        <v>0</v>
      </c>
      <c r="N297" s="120" t="s">
        <v>250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479</v>
      </c>
      <c r="D298" s="107" t="s">
        <v>313</v>
      </c>
      <c r="E298" s="120">
        <v>0</v>
      </c>
      <c r="F298" s="120" t="s">
        <v>250</v>
      </c>
      <c r="G298" s="120">
        <v>0</v>
      </c>
      <c r="H298" s="120" t="s">
        <v>250</v>
      </c>
      <c r="I298" s="120">
        <v>0</v>
      </c>
      <c r="J298" s="120">
        <v>0</v>
      </c>
      <c r="K298" s="120" t="s">
        <v>250</v>
      </c>
      <c r="L298" s="120" t="s">
        <v>250</v>
      </c>
      <c r="M298" s="120">
        <v>0</v>
      </c>
      <c r="N298" s="120" t="s">
        <v>250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484</v>
      </c>
      <c r="D299" s="107" t="s">
        <v>250</v>
      </c>
      <c r="E299" s="120">
        <v>82246772.819999993</v>
      </c>
      <c r="F299" s="120" t="s">
        <v>250</v>
      </c>
      <c r="G299" s="120">
        <v>66519761.391273558</v>
      </c>
      <c r="H299" s="120" t="s">
        <v>250</v>
      </c>
      <c r="I299" s="120">
        <v>15727011.428726442</v>
      </c>
      <c r="J299" s="120">
        <v>0</v>
      </c>
      <c r="K299" s="120" t="s">
        <v>250</v>
      </c>
      <c r="L299" s="120" t="s">
        <v>250</v>
      </c>
      <c r="M299" s="120">
        <v>0</v>
      </c>
      <c r="N299" s="120" t="s">
        <v>250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250</v>
      </c>
      <c r="B300" s="105"/>
      <c r="C300" s="107" t="s">
        <v>250</v>
      </c>
      <c r="D300" s="107" t="s">
        <v>250</v>
      </c>
      <c r="E300" s="120" t="s">
        <v>250</v>
      </c>
      <c r="F300" s="120" t="s">
        <v>250</v>
      </c>
      <c r="G300" s="120" t="s">
        <v>250</v>
      </c>
      <c r="H300" s="120" t="s">
        <v>250</v>
      </c>
      <c r="I300" s="120" t="s">
        <v>250</v>
      </c>
      <c r="J300" s="120" t="s">
        <v>250</v>
      </c>
      <c r="K300" s="120" t="s">
        <v>250</v>
      </c>
      <c r="L300" s="120" t="s">
        <v>250</v>
      </c>
      <c r="M300" s="120" t="s">
        <v>250</v>
      </c>
      <c r="N300" s="120" t="s">
        <v>250</v>
      </c>
      <c r="O300" s="120" t="s">
        <v>250</v>
      </c>
      <c r="P300" s="120" t="s">
        <v>250</v>
      </c>
      <c r="Q300" s="120" t="s">
        <v>250</v>
      </c>
      <c r="R300" s="120"/>
      <c r="S300" s="121"/>
    </row>
    <row r="301" spans="1:19" ht="15">
      <c r="A301" s="105">
        <v>11</v>
      </c>
      <c r="B301" s="105"/>
      <c r="C301" s="107" t="s">
        <v>485</v>
      </c>
      <c r="D301" s="107" t="s">
        <v>486</v>
      </c>
      <c r="E301" s="120">
        <v>2.5579538487363602E-10</v>
      </c>
      <c r="F301" s="120" t="s">
        <v>250</v>
      </c>
      <c r="G301" s="120">
        <v>0</v>
      </c>
      <c r="H301" s="120" t="s">
        <v>250</v>
      </c>
      <c r="I301" s="120">
        <v>2.5579538487363602E-10</v>
      </c>
      <c r="J301" s="120">
        <v>0</v>
      </c>
      <c r="K301" s="120" t="s">
        <v>250</v>
      </c>
      <c r="L301" s="120" t="s">
        <v>250</v>
      </c>
      <c r="M301" s="120">
        <v>0</v>
      </c>
      <c r="N301" s="120" t="s">
        <v>250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487</v>
      </c>
      <c r="D302" s="107" t="s">
        <v>488</v>
      </c>
      <c r="E302" s="120">
        <v>20920672.299999896</v>
      </c>
      <c r="F302" s="120" t="s">
        <v>250</v>
      </c>
      <c r="G302" s="120">
        <v>20920672.299999896</v>
      </c>
      <c r="H302" s="120" t="s">
        <v>250</v>
      </c>
      <c r="I302" s="120">
        <v>0</v>
      </c>
      <c r="J302" s="120">
        <v>0</v>
      </c>
      <c r="K302" s="120" t="s">
        <v>250</v>
      </c>
      <c r="L302" s="120" t="s">
        <v>250</v>
      </c>
      <c r="M302" s="120">
        <v>0</v>
      </c>
      <c r="N302" s="120" t="s">
        <v>250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489</v>
      </c>
      <c r="D303" s="107" t="s">
        <v>250</v>
      </c>
      <c r="E303" s="120">
        <v>20920672.299999896</v>
      </c>
      <c r="F303" s="120" t="s">
        <v>250</v>
      </c>
      <c r="G303" s="120">
        <v>20920672.299999896</v>
      </c>
      <c r="H303" s="120" t="s">
        <v>250</v>
      </c>
      <c r="I303" s="120">
        <v>2.5579538487363602E-10</v>
      </c>
      <c r="J303" s="120">
        <v>0</v>
      </c>
      <c r="K303" s="120" t="s">
        <v>250</v>
      </c>
      <c r="L303" s="120" t="s">
        <v>250</v>
      </c>
      <c r="M303" s="120">
        <v>0</v>
      </c>
      <c r="N303" s="120" t="s">
        <v>250</v>
      </c>
      <c r="O303" s="120">
        <v>0</v>
      </c>
      <c r="P303" s="120">
        <v>0</v>
      </c>
      <c r="Q303" s="120">
        <v>0</v>
      </c>
      <c r="R303" s="120"/>
      <c r="S303" s="121"/>
    </row>
    <row r="304" spans="1:19" ht="15">
      <c r="A304" s="105" t="s">
        <v>250</v>
      </c>
      <c r="B304" s="105"/>
      <c r="C304" s="107" t="s">
        <v>250</v>
      </c>
      <c r="D304" s="107" t="s">
        <v>250</v>
      </c>
      <c r="E304" s="120" t="s">
        <v>250</v>
      </c>
      <c r="F304" s="120" t="s">
        <v>250</v>
      </c>
      <c r="G304" s="120" t="s">
        <v>250</v>
      </c>
      <c r="H304" s="120" t="s">
        <v>250</v>
      </c>
      <c r="I304" s="120" t="s">
        <v>250</v>
      </c>
      <c r="J304" s="120" t="s">
        <v>250</v>
      </c>
      <c r="K304" s="120" t="s">
        <v>250</v>
      </c>
      <c r="L304" s="120" t="s">
        <v>250</v>
      </c>
      <c r="M304" s="120" t="s">
        <v>250</v>
      </c>
      <c r="N304" s="120" t="s">
        <v>250</v>
      </c>
      <c r="O304" s="120" t="s">
        <v>250</v>
      </c>
      <c r="P304" s="120" t="s">
        <v>250</v>
      </c>
      <c r="Q304" s="120" t="s">
        <v>250</v>
      </c>
      <c r="R304" s="120"/>
      <c r="S304" s="121"/>
    </row>
    <row r="305" spans="1:19" ht="15">
      <c r="A305" s="105">
        <v>14</v>
      </c>
      <c r="B305" s="105"/>
      <c r="C305" s="107" t="s">
        <v>436</v>
      </c>
      <c r="D305" s="107" t="s">
        <v>467</v>
      </c>
      <c r="E305" s="120">
        <v>22916841.799999896</v>
      </c>
      <c r="F305" s="120" t="s">
        <v>250</v>
      </c>
      <c r="G305" s="120">
        <v>21610428.832336787</v>
      </c>
      <c r="H305" s="120" t="s">
        <v>250</v>
      </c>
      <c r="I305" s="120">
        <v>1045135.5660954312</v>
      </c>
      <c r="J305" s="120">
        <v>261277.40156767901</v>
      </c>
      <c r="K305" s="120" t="s">
        <v>250</v>
      </c>
      <c r="L305" s="120" t="s">
        <v>250</v>
      </c>
      <c r="M305" s="120">
        <v>0</v>
      </c>
      <c r="N305" s="120" t="s">
        <v>250</v>
      </c>
      <c r="O305" s="120">
        <v>261277.40156767901</v>
      </c>
      <c r="P305" s="120">
        <v>136328.33303222369</v>
      </c>
      <c r="Q305" s="120">
        <v>124949.06853545533</v>
      </c>
      <c r="R305" s="120"/>
      <c r="S305" s="121"/>
    </row>
    <row r="306" spans="1:19" ht="15">
      <c r="A306" s="105" t="s">
        <v>250</v>
      </c>
      <c r="B306" s="105"/>
      <c r="C306" s="107" t="s">
        <v>250</v>
      </c>
      <c r="D306" s="107" t="s">
        <v>250</v>
      </c>
      <c r="E306" s="120" t="s">
        <v>250</v>
      </c>
      <c r="F306" s="120" t="s">
        <v>250</v>
      </c>
      <c r="G306" s="120" t="s">
        <v>250</v>
      </c>
      <c r="H306" s="120" t="s">
        <v>250</v>
      </c>
      <c r="I306" s="120" t="s">
        <v>250</v>
      </c>
      <c r="J306" s="120" t="s">
        <v>250</v>
      </c>
      <c r="K306" s="120" t="s">
        <v>250</v>
      </c>
      <c r="L306" s="120" t="s">
        <v>250</v>
      </c>
      <c r="M306" s="120" t="s">
        <v>250</v>
      </c>
      <c r="N306" s="120" t="s">
        <v>250</v>
      </c>
      <c r="O306" s="120" t="s">
        <v>250</v>
      </c>
      <c r="P306" s="120" t="s">
        <v>250</v>
      </c>
      <c r="Q306" s="120" t="s">
        <v>250</v>
      </c>
      <c r="R306" s="120"/>
      <c r="S306" s="121"/>
    </row>
    <row r="307" spans="1:19" ht="15">
      <c r="A307" s="105">
        <v>15</v>
      </c>
      <c r="B307" s="105"/>
      <c r="C307" s="107" t="s">
        <v>490</v>
      </c>
      <c r="D307" s="107" t="s">
        <v>250</v>
      </c>
      <c r="E307" s="120">
        <v>262196410.58473647</v>
      </c>
      <c r="F307" s="120" t="s">
        <v>250</v>
      </c>
      <c r="G307" s="120">
        <v>236474685.01003319</v>
      </c>
      <c r="H307" s="120" t="s">
        <v>250</v>
      </c>
      <c r="I307" s="120">
        <v>22540438.081265066</v>
      </c>
      <c r="J307" s="120">
        <v>3181287.493438215</v>
      </c>
      <c r="K307" s="120" t="s">
        <v>250</v>
      </c>
      <c r="L307" s="120" t="s">
        <v>250</v>
      </c>
      <c r="M307" s="120">
        <v>0</v>
      </c>
      <c r="N307" s="120" t="s">
        <v>250</v>
      </c>
      <c r="O307" s="120">
        <v>3181287.493438215</v>
      </c>
      <c r="P307" s="120">
        <v>1617520.843868406</v>
      </c>
      <c r="Q307" s="120">
        <v>1563766.6495698087</v>
      </c>
      <c r="R307" s="120"/>
      <c r="S307" s="121"/>
    </row>
    <row r="308" spans="1:19" ht="15">
      <c r="A308" s="105" t="s">
        <v>250</v>
      </c>
      <c r="B308" s="105"/>
      <c r="C308" s="107" t="s">
        <v>250</v>
      </c>
      <c r="D308" s="107" t="s">
        <v>250</v>
      </c>
      <c r="E308" s="120" t="s">
        <v>250</v>
      </c>
      <c r="F308" s="120" t="s">
        <v>250</v>
      </c>
      <c r="G308" s="120" t="s">
        <v>250</v>
      </c>
      <c r="H308" s="120" t="s">
        <v>250</v>
      </c>
      <c r="I308" s="120" t="s">
        <v>250</v>
      </c>
      <c r="J308" s="120" t="s">
        <v>250</v>
      </c>
      <c r="K308" s="120" t="s">
        <v>250</v>
      </c>
      <c r="L308" s="120" t="s">
        <v>250</v>
      </c>
      <c r="M308" s="120" t="s">
        <v>250</v>
      </c>
      <c r="N308" s="120" t="s">
        <v>250</v>
      </c>
      <c r="O308" s="120" t="s">
        <v>250</v>
      </c>
      <c r="P308" s="120" t="s">
        <v>250</v>
      </c>
      <c r="Q308" s="120" t="s">
        <v>250</v>
      </c>
      <c r="R308" s="120"/>
      <c r="S308" s="121"/>
    </row>
    <row r="309" spans="1:19" ht="15">
      <c r="A309" s="105" t="s">
        <v>250</v>
      </c>
      <c r="B309" s="105"/>
      <c r="C309" s="107" t="s">
        <v>491</v>
      </c>
      <c r="D309" s="107" t="s">
        <v>250</v>
      </c>
      <c r="E309" s="120" t="s">
        <v>250</v>
      </c>
      <c r="F309" s="120" t="s">
        <v>250</v>
      </c>
      <c r="G309" s="120" t="s">
        <v>250</v>
      </c>
      <c r="H309" s="120" t="s">
        <v>250</v>
      </c>
      <c r="I309" s="120" t="s">
        <v>250</v>
      </c>
      <c r="J309" s="120" t="s">
        <v>250</v>
      </c>
      <c r="K309" s="120" t="s">
        <v>250</v>
      </c>
      <c r="L309" s="120" t="s">
        <v>250</v>
      </c>
      <c r="M309" s="120" t="s">
        <v>250</v>
      </c>
      <c r="N309" s="120" t="s">
        <v>250</v>
      </c>
      <c r="O309" s="120" t="s">
        <v>250</v>
      </c>
      <c r="P309" s="120" t="s">
        <v>250</v>
      </c>
      <c r="Q309" s="120" t="s">
        <v>250</v>
      </c>
      <c r="R309" s="120"/>
      <c r="S309" s="121"/>
    </row>
    <row r="310" spans="1:19" ht="15">
      <c r="A310" s="105" t="s">
        <v>250</v>
      </c>
      <c r="B310" s="105"/>
      <c r="C310" s="107" t="s">
        <v>492</v>
      </c>
      <c r="D310" s="107" t="s">
        <v>250</v>
      </c>
      <c r="E310" s="120" t="s">
        <v>250</v>
      </c>
      <c r="F310" s="120" t="s">
        <v>250</v>
      </c>
      <c r="G310" s="120" t="s">
        <v>250</v>
      </c>
      <c r="H310" s="120" t="s">
        <v>250</v>
      </c>
      <c r="I310" s="120" t="s">
        <v>250</v>
      </c>
      <c r="J310" s="120" t="s">
        <v>250</v>
      </c>
      <c r="K310" s="120" t="s">
        <v>250</v>
      </c>
      <c r="L310" s="120" t="s">
        <v>250</v>
      </c>
      <c r="M310" s="120" t="s">
        <v>250</v>
      </c>
      <c r="N310" s="120" t="s">
        <v>250</v>
      </c>
      <c r="O310" s="120" t="s">
        <v>250</v>
      </c>
      <c r="P310" s="120" t="s">
        <v>250</v>
      </c>
      <c r="Q310" s="120" t="s">
        <v>250</v>
      </c>
      <c r="R310" s="120"/>
      <c r="S310" s="121"/>
    </row>
    <row r="311" spans="1:19" ht="15">
      <c r="A311" s="105">
        <v>16</v>
      </c>
      <c r="B311" s="105"/>
      <c r="C311" s="107" t="s">
        <v>493</v>
      </c>
      <c r="D311" s="107" t="s">
        <v>494</v>
      </c>
      <c r="E311" s="120">
        <v>59919403.999999993</v>
      </c>
      <c r="F311" s="120" t="s">
        <v>250</v>
      </c>
      <c r="G311" s="120">
        <v>56433634.17757576</v>
      </c>
      <c r="H311" s="120" t="s">
        <v>250</v>
      </c>
      <c r="I311" s="120">
        <v>2266354.8820857513</v>
      </c>
      <c r="J311" s="120">
        <v>1219414.9403384835</v>
      </c>
      <c r="K311" s="120" t="s">
        <v>250</v>
      </c>
      <c r="L311" s="120" t="s">
        <v>250</v>
      </c>
      <c r="M311" s="120">
        <v>0</v>
      </c>
      <c r="N311" s="120" t="s">
        <v>250</v>
      </c>
      <c r="O311" s="120">
        <v>1219414.9403384835</v>
      </c>
      <c r="P311" s="120">
        <v>625894.02730079798</v>
      </c>
      <c r="Q311" s="120">
        <v>593520.91303768568</v>
      </c>
      <c r="R311" s="120"/>
      <c r="S311" s="121"/>
    </row>
    <row r="312" spans="1:19" ht="15">
      <c r="A312" s="105" t="s">
        <v>250</v>
      </c>
      <c r="B312" s="105"/>
      <c r="C312" s="107" t="s">
        <v>495</v>
      </c>
      <c r="D312" s="107" t="s">
        <v>250</v>
      </c>
      <c r="E312" s="120" t="s">
        <v>250</v>
      </c>
      <c r="F312" s="120" t="s">
        <v>250</v>
      </c>
      <c r="G312" s="120" t="s">
        <v>250</v>
      </c>
      <c r="H312" s="120" t="s">
        <v>250</v>
      </c>
      <c r="I312" s="120" t="s">
        <v>250</v>
      </c>
      <c r="J312" s="120" t="s">
        <v>250</v>
      </c>
      <c r="K312" s="120" t="s">
        <v>250</v>
      </c>
      <c r="L312" s="120" t="s">
        <v>250</v>
      </c>
      <c r="M312" s="120" t="s">
        <v>250</v>
      </c>
      <c r="N312" s="120" t="s">
        <v>250</v>
      </c>
      <c r="O312" s="120" t="s">
        <v>250</v>
      </c>
      <c r="P312" s="120" t="s">
        <v>250</v>
      </c>
      <c r="Q312" s="120" t="s">
        <v>250</v>
      </c>
      <c r="R312" s="120"/>
      <c r="S312" s="121"/>
    </row>
    <row r="313" spans="1:19" ht="15">
      <c r="A313" s="105">
        <v>17</v>
      </c>
      <c r="B313" s="105"/>
      <c r="C313" s="107" t="s">
        <v>496</v>
      </c>
      <c r="D313" s="107" t="s">
        <v>497</v>
      </c>
      <c r="E313" s="120">
        <v>33634261.463259995</v>
      </c>
      <c r="F313" s="120" t="s">
        <v>250</v>
      </c>
      <c r="G313" s="120">
        <v>31483483.936875898</v>
      </c>
      <c r="H313" s="120" t="s">
        <v>250</v>
      </c>
      <c r="I313" s="120">
        <v>1452192.6802609726</v>
      </c>
      <c r="J313" s="120">
        <v>698584.84612312703</v>
      </c>
      <c r="K313" s="120" t="s">
        <v>250</v>
      </c>
      <c r="L313" s="120" t="s">
        <v>250</v>
      </c>
      <c r="M313" s="120">
        <v>0</v>
      </c>
      <c r="N313" s="120" t="s">
        <v>250</v>
      </c>
      <c r="O313" s="120">
        <v>698584.84612312703</v>
      </c>
      <c r="P313" s="120">
        <v>354361.32400432118</v>
      </c>
      <c r="Q313" s="120">
        <v>344223.52211880591</v>
      </c>
      <c r="R313" s="120"/>
      <c r="S313" s="121"/>
    </row>
    <row r="314" spans="1:19" ht="15">
      <c r="A314" s="105">
        <v>18</v>
      </c>
      <c r="B314" s="105"/>
      <c r="C314" s="107" t="s">
        <v>498</v>
      </c>
      <c r="D314" s="107" t="s">
        <v>499</v>
      </c>
      <c r="E314" s="120">
        <v>15297789.34516</v>
      </c>
      <c r="F314" s="120" t="s">
        <v>250</v>
      </c>
      <c r="G314" s="120">
        <v>13798610.021878786</v>
      </c>
      <c r="H314" s="120" t="s">
        <v>250</v>
      </c>
      <c r="I314" s="120">
        <v>1499179.3232812139</v>
      </c>
      <c r="J314" s="120">
        <v>0</v>
      </c>
      <c r="K314" s="120" t="s">
        <v>250</v>
      </c>
      <c r="L314" s="120" t="s">
        <v>250</v>
      </c>
      <c r="M314" s="120">
        <v>0</v>
      </c>
      <c r="N314" s="120" t="s">
        <v>250</v>
      </c>
      <c r="O314" s="120">
        <v>0</v>
      </c>
      <c r="P314" s="120">
        <v>0</v>
      </c>
      <c r="Q314" s="120">
        <v>0</v>
      </c>
      <c r="R314" s="120"/>
      <c r="S314" s="121"/>
    </row>
    <row r="315" spans="1:19" ht="15">
      <c r="A315" s="105">
        <v>19</v>
      </c>
      <c r="B315" s="105"/>
      <c r="C315" s="107" t="s">
        <v>500</v>
      </c>
      <c r="D315" s="107" t="s">
        <v>501</v>
      </c>
      <c r="E315" s="120">
        <v>10037147.191579998</v>
      </c>
      <c r="F315" s="120" t="s">
        <v>250</v>
      </c>
      <c r="G315" s="120">
        <v>9546369.7637758926</v>
      </c>
      <c r="H315" s="120" t="s">
        <v>250</v>
      </c>
      <c r="I315" s="120">
        <v>474669.9269859239</v>
      </c>
      <c r="J315" s="120">
        <v>16107.500818181785</v>
      </c>
      <c r="K315" s="120" t="s">
        <v>250</v>
      </c>
      <c r="L315" s="120" t="s">
        <v>250</v>
      </c>
      <c r="M315" s="120">
        <v>0</v>
      </c>
      <c r="N315" s="120" t="s">
        <v>250</v>
      </c>
      <c r="O315" s="120">
        <v>16107.500818181785</v>
      </c>
      <c r="P315" s="120">
        <v>15984.921204527651</v>
      </c>
      <c r="Q315" s="120">
        <v>122.57961365413441</v>
      </c>
      <c r="R315" s="120"/>
      <c r="S315" s="121"/>
    </row>
    <row r="316" spans="1:19" ht="15">
      <c r="A316" s="105">
        <v>20</v>
      </c>
      <c r="B316" s="105"/>
      <c r="C316" s="107" t="s">
        <v>502</v>
      </c>
      <c r="D316" s="107" t="s">
        <v>467</v>
      </c>
      <c r="E316" s="120">
        <v>0</v>
      </c>
      <c r="F316" s="120" t="s">
        <v>250</v>
      </c>
      <c r="G316" s="120">
        <v>0</v>
      </c>
      <c r="H316" s="120" t="s">
        <v>250</v>
      </c>
      <c r="I316" s="120">
        <v>0</v>
      </c>
      <c r="J316" s="120">
        <v>0</v>
      </c>
      <c r="K316" s="120" t="s">
        <v>250</v>
      </c>
      <c r="L316" s="120" t="s">
        <v>250</v>
      </c>
      <c r="M316" s="120">
        <v>0</v>
      </c>
      <c r="N316" s="120" t="s">
        <v>250</v>
      </c>
      <c r="O316" s="120">
        <v>0</v>
      </c>
      <c r="P316" s="120">
        <v>0</v>
      </c>
      <c r="Q316" s="120">
        <v>0</v>
      </c>
      <c r="R316" s="120"/>
      <c r="S316" s="121"/>
    </row>
    <row r="317" spans="1:19" ht="15">
      <c r="A317" s="105">
        <v>21</v>
      </c>
      <c r="B317" s="105"/>
      <c r="C317" s="107" t="s">
        <v>503</v>
      </c>
      <c r="D317" s="107" t="s">
        <v>504</v>
      </c>
      <c r="E317" s="120">
        <v>3420918</v>
      </c>
      <c r="F317" s="120" t="s">
        <v>250</v>
      </c>
      <c r="G317" s="120">
        <v>3180705.9417825537</v>
      </c>
      <c r="H317" s="120" t="s">
        <v>250</v>
      </c>
      <c r="I317" s="120">
        <v>198751.36353216748</v>
      </c>
      <c r="J317" s="120">
        <v>41460.694685279057</v>
      </c>
      <c r="K317" s="120" t="s">
        <v>250</v>
      </c>
      <c r="L317" s="120" t="s">
        <v>250</v>
      </c>
      <c r="M317" s="120">
        <v>0</v>
      </c>
      <c r="N317" s="120" t="s">
        <v>250</v>
      </c>
      <c r="O317" s="120">
        <v>41460.694685279057</v>
      </c>
      <c r="P317" s="120">
        <v>21484.506817734997</v>
      </c>
      <c r="Q317" s="120">
        <v>19976.187867544064</v>
      </c>
      <c r="R317" s="120"/>
      <c r="S317" s="121"/>
    </row>
    <row r="318" spans="1:19" ht="15">
      <c r="A318" s="105">
        <v>22</v>
      </c>
      <c r="B318" s="105"/>
      <c r="C318" s="107" t="s">
        <v>505</v>
      </c>
      <c r="D318" s="107" t="s">
        <v>250</v>
      </c>
      <c r="E318" s="120">
        <v>62390116</v>
      </c>
      <c r="F318" s="120" t="s">
        <v>250</v>
      </c>
      <c r="G318" s="120">
        <v>58009169.664313138</v>
      </c>
      <c r="H318" s="120" t="s">
        <v>250</v>
      </c>
      <c r="I318" s="120">
        <v>3624793.2940602782</v>
      </c>
      <c r="J318" s="120">
        <v>756153.04162658798</v>
      </c>
      <c r="K318" s="120" t="s">
        <v>250</v>
      </c>
      <c r="L318" s="120" t="s">
        <v>250</v>
      </c>
      <c r="M318" s="120">
        <v>0</v>
      </c>
      <c r="N318" s="120" t="s">
        <v>250</v>
      </c>
      <c r="O318" s="120">
        <v>756153.04162658798</v>
      </c>
      <c r="P318" s="120">
        <v>391830.75202658382</v>
      </c>
      <c r="Q318" s="120">
        <v>364322.28960000409</v>
      </c>
      <c r="R318" s="120"/>
      <c r="S318" s="121"/>
    </row>
    <row r="319" spans="1:19" ht="15">
      <c r="A319" s="105">
        <v>23</v>
      </c>
      <c r="B319" s="105"/>
      <c r="C319" s="107" t="s">
        <v>506</v>
      </c>
      <c r="D319" s="107" t="s">
        <v>250</v>
      </c>
      <c r="E319" s="120">
        <v>122309520</v>
      </c>
      <c r="F319" s="120" t="s">
        <v>250</v>
      </c>
      <c r="G319" s="120">
        <v>114442803.8418889</v>
      </c>
      <c r="H319" s="120" t="s">
        <v>250</v>
      </c>
      <c r="I319" s="120">
        <v>5891148.1761460295</v>
      </c>
      <c r="J319" s="120">
        <v>1975567.9819650715</v>
      </c>
      <c r="K319" s="120" t="s">
        <v>250</v>
      </c>
      <c r="L319" s="120" t="s">
        <v>250</v>
      </c>
      <c r="M319" s="120">
        <v>0</v>
      </c>
      <c r="N319" s="120" t="s">
        <v>250</v>
      </c>
      <c r="O319" s="120">
        <v>1975567.9819650715</v>
      </c>
      <c r="P319" s="120">
        <v>1017724.7793273819</v>
      </c>
      <c r="Q319" s="120">
        <v>957843.20263768977</v>
      </c>
      <c r="R319" s="120"/>
      <c r="S319" s="121"/>
    </row>
    <row r="320" spans="1:19" ht="15">
      <c r="A320" s="105" t="s">
        <v>250</v>
      </c>
      <c r="B320" s="105"/>
      <c r="C320" s="107" t="s">
        <v>250</v>
      </c>
      <c r="D320" s="107" t="s">
        <v>250</v>
      </c>
      <c r="E320" s="120" t="s">
        <v>250</v>
      </c>
      <c r="F320" s="120" t="s">
        <v>250</v>
      </c>
      <c r="G320" s="120" t="s">
        <v>250</v>
      </c>
      <c r="H320" s="120" t="s">
        <v>250</v>
      </c>
      <c r="I320" s="120" t="s">
        <v>250</v>
      </c>
      <c r="J320" s="120" t="s">
        <v>250</v>
      </c>
      <c r="K320" s="120" t="s">
        <v>250</v>
      </c>
      <c r="L320" s="120" t="s">
        <v>250</v>
      </c>
      <c r="M320" s="120" t="s">
        <v>250</v>
      </c>
      <c r="N320" s="120" t="s">
        <v>250</v>
      </c>
      <c r="O320" s="120" t="s">
        <v>250</v>
      </c>
      <c r="P320" s="120" t="s">
        <v>250</v>
      </c>
      <c r="Q320" s="120" t="s">
        <v>250</v>
      </c>
      <c r="R320" s="120"/>
      <c r="S320" s="121"/>
    </row>
    <row r="321" spans="1:19" ht="15">
      <c r="A321" s="105" t="s">
        <v>250</v>
      </c>
      <c r="B321" s="105"/>
      <c r="C321" s="107" t="s">
        <v>507</v>
      </c>
      <c r="D321" s="107" t="s">
        <v>250</v>
      </c>
      <c r="E321" s="120" t="s">
        <v>250</v>
      </c>
      <c r="F321" s="120" t="s">
        <v>250</v>
      </c>
      <c r="G321" s="120" t="s">
        <v>250</v>
      </c>
      <c r="H321" s="120" t="s">
        <v>250</v>
      </c>
      <c r="I321" s="120" t="s">
        <v>250</v>
      </c>
      <c r="J321" s="120" t="s">
        <v>250</v>
      </c>
      <c r="K321" s="120" t="s">
        <v>250</v>
      </c>
      <c r="L321" s="120" t="s">
        <v>250</v>
      </c>
      <c r="M321" s="120" t="s">
        <v>250</v>
      </c>
      <c r="N321" s="120" t="s">
        <v>250</v>
      </c>
      <c r="O321" s="120" t="s">
        <v>250</v>
      </c>
      <c r="P321" s="120" t="s">
        <v>250</v>
      </c>
      <c r="Q321" s="120" t="s">
        <v>250</v>
      </c>
      <c r="R321" s="120"/>
      <c r="S321" s="121"/>
    </row>
    <row r="322" spans="1:19" ht="15">
      <c r="A322" s="105">
        <v>24</v>
      </c>
      <c r="B322" s="105"/>
      <c r="C322" s="107" t="s">
        <v>508</v>
      </c>
      <c r="D322" s="107" t="s">
        <v>509</v>
      </c>
      <c r="E322" s="120">
        <v>19186402.650761645</v>
      </c>
      <c r="F322" s="120" t="s">
        <v>250</v>
      </c>
      <c r="G322" s="120">
        <v>18918053.267428812</v>
      </c>
      <c r="H322" s="120" t="s">
        <v>250</v>
      </c>
      <c r="I322" s="120">
        <v>0</v>
      </c>
      <c r="J322" s="120">
        <v>268349.38333283365</v>
      </c>
      <c r="K322" s="120" t="s">
        <v>250</v>
      </c>
      <c r="L322" s="120" t="s">
        <v>250</v>
      </c>
      <c r="M322" s="120">
        <v>0</v>
      </c>
      <c r="N322" s="120" t="s">
        <v>250</v>
      </c>
      <c r="O322" s="120">
        <v>268349.38333283365</v>
      </c>
      <c r="P322" s="120">
        <v>140214.75051006075</v>
      </c>
      <c r="Q322" s="120">
        <v>128134.63282277291</v>
      </c>
      <c r="R322" s="120"/>
      <c r="S322" s="121"/>
    </row>
    <row r="323" spans="1:19" ht="15">
      <c r="A323" s="105">
        <v>25</v>
      </c>
      <c r="B323" s="105"/>
      <c r="C323" s="107" t="s">
        <v>510</v>
      </c>
      <c r="D323" s="107" t="s">
        <v>511</v>
      </c>
      <c r="E323" s="120">
        <v>0</v>
      </c>
      <c r="F323" s="120" t="s">
        <v>250</v>
      </c>
      <c r="G323" s="120">
        <v>0</v>
      </c>
      <c r="H323" s="120" t="s">
        <v>250</v>
      </c>
      <c r="I323" s="120">
        <v>0</v>
      </c>
      <c r="J323" s="120">
        <v>0</v>
      </c>
      <c r="K323" s="120" t="s">
        <v>250</v>
      </c>
      <c r="L323" s="120" t="s">
        <v>250</v>
      </c>
      <c r="M323" s="120">
        <v>0</v>
      </c>
      <c r="N323" s="120" t="s">
        <v>250</v>
      </c>
      <c r="O323" s="120">
        <v>0</v>
      </c>
      <c r="P323" s="120">
        <v>0</v>
      </c>
      <c r="Q323" s="120">
        <v>0</v>
      </c>
      <c r="R323" s="120"/>
      <c r="S323" s="121"/>
    </row>
    <row r="324" spans="1:19" ht="15">
      <c r="A324" s="105">
        <v>26</v>
      </c>
      <c r="B324" s="105"/>
      <c r="C324" s="107" t="s">
        <v>512</v>
      </c>
      <c r="D324" s="107" t="s">
        <v>250</v>
      </c>
      <c r="E324" s="120">
        <v>19186402.650761645</v>
      </c>
      <c r="F324" s="120" t="s">
        <v>250</v>
      </c>
      <c r="G324" s="120">
        <v>18918053.267428812</v>
      </c>
      <c r="H324" s="120" t="s">
        <v>250</v>
      </c>
      <c r="I324" s="120">
        <v>0</v>
      </c>
      <c r="J324" s="120">
        <v>268349.38333283365</v>
      </c>
      <c r="K324" s="120" t="s">
        <v>250</v>
      </c>
      <c r="L324" s="120" t="s">
        <v>250</v>
      </c>
      <c r="M324" s="120">
        <v>0</v>
      </c>
      <c r="N324" s="120" t="s">
        <v>250</v>
      </c>
      <c r="O324" s="120">
        <v>268349.38333283365</v>
      </c>
      <c r="P324" s="120">
        <v>140214.75051006075</v>
      </c>
      <c r="Q324" s="120">
        <v>128134.63282277291</v>
      </c>
      <c r="R324" s="120"/>
      <c r="S324" s="121"/>
    </row>
    <row r="325" spans="1:19" ht="15">
      <c r="A325" s="105" t="s">
        <v>250</v>
      </c>
      <c r="B325" s="105"/>
      <c r="C325" s="107" t="s">
        <v>250</v>
      </c>
      <c r="D325" s="107" t="s">
        <v>250</v>
      </c>
      <c r="E325" s="120" t="s">
        <v>250</v>
      </c>
      <c r="F325" s="120" t="s">
        <v>250</v>
      </c>
      <c r="G325" s="120" t="s">
        <v>250</v>
      </c>
      <c r="H325" s="120" t="s">
        <v>250</v>
      </c>
      <c r="I325" s="120" t="s">
        <v>250</v>
      </c>
      <c r="J325" s="120" t="s">
        <v>250</v>
      </c>
      <c r="K325" s="120" t="s">
        <v>250</v>
      </c>
      <c r="L325" s="120" t="s">
        <v>250</v>
      </c>
      <c r="M325" s="120" t="s">
        <v>250</v>
      </c>
      <c r="N325" s="120" t="s">
        <v>250</v>
      </c>
      <c r="O325" s="120" t="s">
        <v>250</v>
      </c>
      <c r="P325" s="120" t="s">
        <v>250</v>
      </c>
      <c r="Q325" s="120" t="s">
        <v>250</v>
      </c>
      <c r="R325" s="120"/>
      <c r="S325" s="121"/>
    </row>
    <row r="326" spans="1:19" ht="15">
      <c r="A326" s="105">
        <v>27</v>
      </c>
      <c r="B326" s="105"/>
      <c r="C326" s="107" t="s">
        <v>513</v>
      </c>
      <c r="D326" s="107" t="s">
        <v>250</v>
      </c>
      <c r="E326" s="120">
        <v>125889277.68395811</v>
      </c>
      <c r="F326" s="120" t="s">
        <v>250</v>
      </c>
      <c r="G326" s="120">
        <v>115879043.470186</v>
      </c>
      <c r="H326" s="120" t="s">
        <v>250</v>
      </c>
      <c r="I326" s="120">
        <v>8402746.1621519439</v>
      </c>
      <c r="J326" s="120">
        <v>1607488.0516201737</v>
      </c>
      <c r="K326" s="120" t="s">
        <v>250</v>
      </c>
      <c r="L326" s="120" t="s">
        <v>250</v>
      </c>
      <c r="M326" s="120">
        <v>0</v>
      </c>
      <c r="N326" s="120" t="s">
        <v>250</v>
      </c>
      <c r="O326" s="120">
        <v>1607488.0516201737</v>
      </c>
      <c r="P326" s="120">
        <v>828176.69580075878</v>
      </c>
      <c r="Q326" s="120">
        <v>779311.35581941507</v>
      </c>
      <c r="R326" s="120"/>
      <c r="S326" s="121"/>
    </row>
    <row r="327" spans="1:19" ht="15">
      <c r="A327" s="105" t="s">
        <v>250</v>
      </c>
      <c r="B327" s="105"/>
      <c r="C327" s="107" t="s">
        <v>250</v>
      </c>
      <c r="D327" s="107" t="s">
        <v>250</v>
      </c>
      <c r="E327" s="120" t="s">
        <v>250</v>
      </c>
      <c r="F327" s="120" t="s">
        <v>250</v>
      </c>
      <c r="G327" s="120" t="s">
        <v>250</v>
      </c>
      <c r="H327" s="120" t="s">
        <v>250</v>
      </c>
      <c r="I327" s="120" t="s">
        <v>250</v>
      </c>
      <c r="J327" s="120" t="s">
        <v>250</v>
      </c>
      <c r="K327" s="120" t="s">
        <v>250</v>
      </c>
      <c r="L327" s="120" t="s">
        <v>250</v>
      </c>
      <c r="M327" s="120" t="s">
        <v>250</v>
      </c>
      <c r="N327" s="120" t="s">
        <v>250</v>
      </c>
      <c r="O327" s="120" t="s">
        <v>250</v>
      </c>
      <c r="P327" s="120" t="s">
        <v>250</v>
      </c>
      <c r="Q327" s="120" t="s">
        <v>250</v>
      </c>
      <c r="R327" s="120"/>
      <c r="S327" s="121"/>
    </row>
    <row r="328" spans="1:19" ht="15">
      <c r="A328" s="105">
        <v>28</v>
      </c>
      <c r="B328" s="105"/>
      <c r="C328" s="107" t="s">
        <v>514</v>
      </c>
      <c r="D328" s="107" t="s">
        <v>250</v>
      </c>
      <c r="E328" s="120">
        <v>267385200.33471975</v>
      </c>
      <c r="F328" s="120" t="s">
        <v>250</v>
      </c>
      <c r="G328" s="120">
        <v>249239900.57950372</v>
      </c>
      <c r="H328" s="120" t="s">
        <v>250</v>
      </c>
      <c r="I328" s="120">
        <v>14293894.338297974</v>
      </c>
      <c r="J328" s="120">
        <v>3851405.4169180794</v>
      </c>
      <c r="K328" s="120" t="s">
        <v>250</v>
      </c>
      <c r="L328" s="120" t="s">
        <v>250</v>
      </c>
      <c r="M328" s="120">
        <v>0</v>
      </c>
      <c r="N328" s="120" t="s">
        <v>250</v>
      </c>
      <c r="O328" s="120">
        <v>3851405.4169180794</v>
      </c>
      <c r="P328" s="120">
        <v>1986116.2256382015</v>
      </c>
      <c r="Q328" s="120">
        <v>1865289.1912798779</v>
      </c>
      <c r="R328" s="120"/>
      <c r="S328" s="121"/>
    </row>
    <row r="329" spans="1:19" ht="15">
      <c r="A329" s="105" t="s">
        <v>250</v>
      </c>
      <c r="B329" s="105"/>
      <c r="C329" s="107" t="s">
        <v>250</v>
      </c>
      <c r="D329" s="107" t="s">
        <v>250</v>
      </c>
      <c r="E329" s="120" t="s">
        <v>250</v>
      </c>
      <c r="F329" s="120" t="s">
        <v>250</v>
      </c>
      <c r="G329" s="120" t="s">
        <v>250</v>
      </c>
      <c r="H329" s="120" t="s">
        <v>250</v>
      </c>
      <c r="I329" s="120" t="s">
        <v>250</v>
      </c>
      <c r="J329" s="120" t="s">
        <v>250</v>
      </c>
      <c r="K329" s="120" t="s">
        <v>250</v>
      </c>
      <c r="L329" s="120" t="s">
        <v>250</v>
      </c>
      <c r="M329" s="120" t="s">
        <v>250</v>
      </c>
      <c r="N329" s="120" t="s">
        <v>250</v>
      </c>
      <c r="O329" s="120" t="s">
        <v>250</v>
      </c>
      <c r="P329" s="120" t="s">
        <v>250</v>
      </c>
      <c r="Q329" s="120" t="s">
        <v>250</v>
      </c>
      <c r="R329" s="120"/>
      <c r="S329" s="121"/>
    </row>
    <row r="330" spans="1:19" ht="15">
      <c r="A330" s="105">
        <v>29</v>
      </c>
      <c r="B330" s="105"/>
      <c r="C330" s="107" t="s">
        <v>515</v>
      </c>
      <c r="D330" s="107" t="s">
        <v>303</v>
      </c>
      <c r="E330" s="120">
        <v>124602</v>
      </c>
      <c r="F330" s="120" t="s">
        <v>250</v>
      </c>
      <c r="G330" s="120">
        <v>116890.75455167225</v>
      </c>
      <c r="H330" s="120" t="s">
        <v>250</v>
      </c>
      <c r="I330" s="120">
        <v>5293.7314376581635</v>
      </c>
      <c r="J330" s="120">
        <v>2417.5140106695849</v>
      </c>
      <c r="K330" s="120" t="s">
        <v>250</v>
      </c>
      <c r="L330" s="120" t="s">
        <v>250</v>
      </c>
      <c r="M330" s="120">
        <v>0</v>
      </c>
      <c r="N330" s="120" t="s">
        <v>250</v>
      </c>
      <c r="O330" s="120">
        <v>2417.5140106695849</v>
      </c>
      <c r="P330" s="120">
        <v>1226.2983807537105</v>
      </c>
      <c r="Q330" s="120">
        <v>1191.2156299158744</v>
      </c>
      <c r="R330" s="120"/>
      <c r="S330" s="121"/>
    </row>
    <row r="331" spans="1:19" ht="15">
      <c r="A331" s="105" t="s">
        <v>250</v>
      </c>
      <c r="B331" s="105"/>
      <c r="C331" s="107" t="s">
        <v>250</v>
      </c>
      <c r="D331" s="107" t="s">
        <v>250</v>
      </c>
      <c r="E331" s="120" t="s">
        <v>250</v>
      </c>
      <c r="F331" s="120" t="s">
        <v>250</v>
      </c>
      <c r="G331" s="120" t="s">
        <v>250</v>
      </c>
      <c r="H331" s="120" t="s">
        <v>250</v>
      </c>
      <c r="I331" s="120" t="s">
        <v>250</v>
      </c>
      <c r="J331" s="120" t="s">
        <v>250</v>
      </c>
      <c r="K331" s="120" t="s">
        <v>250</v>
      </c>
      <c r="L331" s="120" t="s">
        <v>250</v>
      </c>
      <c r="M331" s="120" t="s">
        <v>250</v>
      </c>
      <c r="N331" s="120" t="s">
        <v>250</v>
      </c>
      <c r="O331" s="120" t="s">
        <v>250</v>
      </c>
      <c r="P331" s="120" t="s">
        <v>250</v>
      </c>
      <c r="Q331" s="120" t="s">
        <v>250</v>
      </c>
      <c r="R331" s="120"/>
      <c r="S331" s="121"/>
    </row>
    <row r="332" spans="1:19" ht="15">
      <c r="A332" s="105">
        <v>30</v>
      </c>
      <c r="B332" s="105"/>
      <c r="C332" s="107" t="s">
        <v>2390</v>
      </c>
      <c r="D332" s="107" t="s">
        <v>303</v>
      </c>
      <c r="E332" s="120">
        <v>157279615.09390604</v>
      </c>
      <c r="F332" s="120" t="s">
        <v>250</v>
      </c>
      <c r="G332" s="120">
        <v>150450452</v>
      </c>
      <c r="H332" s="120" t="s">
        <v>250</v>
      </c>
      <c r="I332" s="120">
        <v>5230633.6470487658</v>
      </c>
      <c r="J332" s="120">
        <v>1598529.4468572601</v>
      </c>
      <c r="K332" s="120" t="s">
        <v>250</v>
      </c>
      <c r="L332" s="120" t="s">
        <v>250</v>
      </c>
      <c r="M332" s="120">
        <v>0</v>
      </c>
      <c r="N332" s="120" t="s">
        <v>250</v>
      </c>
      <c r="O332" s="120">
        <v>1598529.4468572601</v>
      </c>
      <c r="P332" s="120">
        <v>810863.58284444478</v>
      </c>
      <c r="Q332" s="120">
        <v>787665.86401281529</v>
      </c>
      <c r="R332" s="120"/>
      <c r="S332" s="121"/>
    </row>
    <row r="333" spans="1:19" ht="15">
      <c r="A333" s="105" t="s">
        <v>250</v>
      </c>
      <c r="B333" s="105"/>
      <c r="C333" s="107" t="s">
        <v>250</v>
      </c>
      <c r="D333" s="107" t="s">
        <v>250</v>
      </c>
      <c r="E333" s="120" t="s">
        <v>250</v>
      </c>
      <c r="F333" s="120" t="s">
        <v>250</v>
      </c>
      <c r="G333" s="120" t="s">
        <v>250</v>
      </c>
      <c r="H333" s="120" t="s">
        <v>250</v>
      </c>
      <c r="I333" s="120" t="s">
        <v>250</v>
      </c>
      <c r="J333" s="120" t="s">
        <v>250</v>
      </c>
      <c r="K333" s="120" t="s">
        <v>250</v>
      </c>
      <c r="L333" s="120" t="s">
        <v>250</v>
      </c>
      <c r="M333" s="120" t="s">
        <v>250</v>
      </c>
      <c r="N333" s="120" t="s">
        <v>250</v>
      </c>
      <c r="O333" s="120" t="s">
        <v>250</v>
      </c>
      <c r="P333" s="120" t="s">
        <v>250</v>
      </c>
      <c r="Q333" s="120" t="s">
        <v>250</v>
      </c>
      <c r="R333" s="120"/>
      <c r="S333" s="121"/>
    </row>
    <row r="334" spans="1:19" ht="15">
      <c r="A334" s="105">
        <v>31</v>
      </c>
      <c r="B334" s="105"/>
      <c r="C334" s="107" t="s">
        <v>516</v>
      </c>
      <c r="D334" s="107" t="s">
        <v>250</v>
      </c>
      <c r="E334" s="120">
        <v>686985828.01336217</v>
      </c>
      <c r="F334" s="120" t="s">
        <v>250</v>
      </c>
      <c r="G334" s="120">
        <v>636281928.34408855</v>
      </c>
      <c r="H334" s="120" t="s">
        <v>250</v>
      </c>
      <c r="I334" s="120">
        <v>42070259.798049465</v>
      </c>
      <c r="J334" s="120">
        <v>8633639.8712242246</v>
      </c>
      <c r="K334" s="120" t="s">
        <v>250</v>
      </c>
      <c r="L334" s="120" t="s">
        <v>250</v>
      </c>
      <c r="M334" s="120">
        <v>0</v>
      </c>
      <c r="N334" s="120" t="s">
        <v>250</v>
      </c>
      <c r="O334" s="120">
        <v>8633639.8712242246</v>
      </c>
      <c r="P334" s="120">
        <v>4415726.9507318065</v>
      </c>
      <c r="Q334" s="120">
        <v>4217912.9204924181</v>
      </c>
      <c r="R334" s="120"/>
      <c r="S334" s="121"/>
    </row>
    <row r="335" spans="1:19" ht="15">
      <c r="A335" s="105" t="s">
        <v>250</v>
      </c>
      <c r="B335" s="105"/>
      <c r="C335" s="107" t="s">
        <v>250</v>
      </c>
      <c r="D335" s="107" t="s">
        <v>250</v>
      </c>
      <c r="E335" s="120" t="s">
        <v>250</v>
      </c>
      <c r="F335" s="120" t="s">
        <v>250</v>
      </c>
      <c r="G335" s="120" t="s">
        <v>250</v>
      </c>
      <c r="H335" s="120" t="s">
        <v>250</v>
      </c>
      <c r="I335" s="120" t="s">
        <v>250</v>
      </c>
      <c r="J335" s="120" t="s">
        <v>250</v>
      </c>
      <c r="K335" s="120" t="s">
        <v>250</v>
      </c>
      <c r="L335" s="120" t="s">
        <v>250</v>
      </c>
      <c r="M335" s="120" t="s">
        <v>250</v>
      </c>
      <c r="N335" s="120" t="s">
        <v>250</v>
      </c>
      <c r="O335" s="120" t="s">
        <v>250</v>
      </c>
      <c r="P335" s="120" t="s">
        <v>250</v>
      </c>
      <c r="Q335" s="120" t="s">
        <v>250</v>
      </c>
      <c r="R335" s="120"/>
      <c r="S335" s="121"/>
    </row>
    <row r="336" spans="1:19" ht="15">
      <c r="A336" s="105" t="s">
        <v>250</v>
      </c>
      <c r="B336" s="105"/>
      <c r="C336" s="107" t="s">
        <v>250</v>
      </c>
      <c r="D336" s="107" t="s">
        <v>250</v>
      </c>
      <c r="E336" s="120" t="s">
        <v>250</v>
      </c>
      <c r="F336" s="120" t="s">
        <v>250</v>
      </c>
      <c r="G336" s="120" t="s">
        <v>250</v>
      </c>
      <c r="H336" s="120" t="s">
        <v>250</v>
      </c>
      <c r="I336" s="120" t="s">
        <v>250</v>
      </c>
      <c r="J336" s="120" t="s">
        <v>250</v>
      </c>
      <c r="K336" s="120" t="s">
        <v>250</v>
      </c>
      <c r="L336" s="120" t="s">
        <v>250</v>
      </c>
      <c r="M336" s="120" t="s">
        <v>250</v>
      </c>
      <c r="N336" s="120" t="s">
        <v>250</v>
      </c>
      <c r="O336" s="120" t="s">
        <v>250</v>
      </c>
      <c r="P336" s="120" t="s">
        <v>250</v>
      </c>
      <c r="Q336" s="120" t="s">
        <v>250</v>
      </c>
      <c r="R336" s="120"/>
      <c r="S336" s="121"/>
    </row>
    <row r="337" spans="1:19" ht="15">
      <c r="A337" s="105" t="s">
        <v>250</v>
      </c>
      <c r="B337" s="105"/>
      <c r="C337" s="107" t="s">
        <v>517</v>
      </c>
      <c r="D337" s="107" t="s">
        <v>250</v>
      </c>
      <c r="E337" s="120" t="s">
        <v>250</v>
      </c>
      <c r="F337" s="120" t="s">
        <v>250</v>
      </c>
      <c r="G337" s="120" t="s">
        <v>250</v>
      </c>
      <c r="H337" s="120" t="s">
        <v>250</v>
      </c>
      <c r="I337" s="120" t="s">
        <v>250</v>
      </c>
      <c r="J337" s="120" t="s">
        <v>250</v>
      </c>
      <c r="K337" s="120" t="s">
        <v>250</v>
      </c>
      <c r="L337" s="120" t="s">
        <v>250</v>
      </c>
      <c r="M337" s="120" t="s">
        <v>250</v>
      </c>
      <c r="N337" s="120" t="s">
        <v>250</v>
      </c>
      <c r="O337" s="120" t="s">
        <v>250</v>
      </c>
      <c r="P337" s="120" t="s">
        <v>250</v>
      </c>
      <c r="Q337" s="120" t="s">
        <v>250</v>
      </c>
      <c r="R337" s="120"/>
      <c r="S337" s="121"/>
    </row>
    <row r="338" spans="1:19" ht="15">
      <c r="A338" s="105" t="s">
        <v>250</v>
      </c>
      <c r="B338" s="105"/>
      <c r="C338" s="107" t="s">
        <v>250</v>
      </c>
      <c r="D338" s="107" t="s">
        <v>250</v>
      </c>
      <c r="E338" s="120" t="s">
        <v>250</v>
      </c>
      <c r="F338" s="120" t="s">
        <v>250</v>
      </c>
      <c r="G338" s="120" t="s">
        <v>250</v>
      </c>
      <c r="H338" s="120" t="s">
        <v>250</v>
      </c>
      <c r="I338" s="120" t="s">
        <v>250</v>
      </c>
      <c r="J338" s="120" t="s">
        <v>250</v>
      </c>
      <c r="K338" s="120" t="s">
        <v>250</v>
      </c>
      <c r="L338" s="120" t="s">
        <v>250</v>
      </c>
      <c r="M338" s="120" t="s">
        <v>250</v>
      </c>
      <c r="N338" s="120" t="s">
        <v>250</v>
      </c>
      <c r="O338" s="120" t="s">
        <v>250</v>
      </c>
      <c r="P338" s="120" t="s">
        <v>250</v>
      </c>
      <c r="Q338" s="120" t="s">
        <v>250</v>
      </c>
      <c r="R338" s="120"/>
      <c r="S338" s="121"/>
    </row>
    <row r="339" spans="1:19" ht="15">
      <c r="A339" s="105" t="s">
        <v>250</v>
      </c>
      <c r="B339" s="105"/>
      <c r="C339" s="107" t="s">
        <v>518</v>
      </c>
      <c r="D339" s="107" t="s">
        <v>250</v>
      </c>
      <c r="E339" s="120" t="s">
        <v>250</v>
      </c>
      <c r="F339" s="120" t="s">
        <v>250</v>
      </c>
      <c r="G339" s="120" t="s">
        <v>250</v>
      </c>
      <c r="H339" s="120" t="s">
        <v>250</v>
      </c>
      <c r="I339" s="120" t="s">
        <v>250</v>
      </c>
      <c r="J339" s="120" t="s">
        <v>250</v>
      </c>
      <c r="K339" s="120" t="s">
        <v>250</v>
      </c>
      <c r="L339" s="120" t="s">
        <v>250</v>
      </c>
      <c r="M339" s="120" t="s">
        <v>250</v>
      </c>
      <c r="N339" s="120" t="s">
        <v>250</v>
      </c>
      <c r="O339" s="120" t="s">
        <v>250</v>
      </c>
      <c r="P339" s="120" t="s">
        <v>250</v>
      </c>
      <c r="Q339" s="120" t="s">
        <v>250</v>
      </c>
      <c r="R339" s="120"/>
      <c r="S339" s="121"/>
    </row>
    <row r="340" spans="1:19" ht="15">
      <c r="A340" s="105" t="s">
        <v>250</v>
      </c>
      <c r="B340" s="105"/>
      <c r="C340" s="107" t="s">
        <v>250</v>
      </c>
      <c r="D340" s="107" t="s">
        <v>250</v>
      </c>
      <c r="E340" s="120" t="s">
        <v>250</v>
      </c>
      <c r="F340" s="120" t="s">
        <v>250</v>
      </c>
      <c r="G340" s="120" t="s">
        <v>250</v>
      </c>
      <c r="H340" s="120" t="s">
        <v>250</v>
      </c>
      <c r="I340" s="120" t="s">
        <v>250</v>
      </c>
      <c r="J340" s="120" t="s">
        <v>250</v>
      </c>
      <c r="K340" s="120" t="s">
        <v>250</v>
      </c>
      <c r="L340" s="120" t="s">
        <v>250</v>
      </c>
      <c r="M340" s="120" t="s">
        <v>250</v>
      </c>
      <c r="N340" s="120" t="s">
        <v>250</v>
      </c>
      <c r="O340" s="120" t="s">
        <v>250</v>
      </c>
      <c r="P340" s="120" t="s">
        <v>250</v>
      </c>
      <c r="Q340" s="120" t="s">
        <v>250</v>
      </c>
      <c r="R340" s="120"/>
      <c r="S340" s="121"/>
    </row>
    <row r="341" spans="1:19" ht="15">
      <c r="A341" s="105" t="s">
        <v>250</v>
      </c>
      <c r="B341" s="105"/>
      <c r="C341" s="107" t="s">
        <v>440</v>
      </c>
      <c r="D341" s="107" t="s">
        <v>250</v>
      </c>
      <c r="E341" s="120" t="s">
        <v>250</v>
      </c>
      <c r="F341" s="120" t="s">
        <v>250</v>
      </c>
      <c r="G341" s="120" t="s">
        <v>250</v>
      </c>
      <c r="H341" s="120" t="s">
        <v>250</v>
      </c>
      <c r="I341" s="120" t="s">
        <v>250</v>
      </c>
      <c r="J341" s="120" t="s">
        <v>250</v>
      </c>
      <c r="K341" s="120" t="s">
        <v>250</v>
      </c>
      <c r="L341" s="120" t="s">
        <v>250</v>
      </c>
      <c r="M341" s="120" t="s">
        <v>250</v>
      </c>
      <c r="N341" s="120" t="s">
        <v>250</v>
      </c>
      <c r="O341" s="120" t="s">
        <v>250</v>
      </c>
      <c r="P341" s="120" t="s">
        <v>250</v>
      </c>
      <c r="Q341" s="120" t="s">
        <v>250</v>
      </c>
      <c r="R341" s="120"/>
      <c r="S341" s="121"/>
    </row>
    <row r="342" spans="1:19" ht="15">
      <c r="A342" s="105">
        <v>1</v>
      </c>
      <c r="B342" s="105"/>
      <c r="C342" s="107" t="s">
        <v>476</v>
      </c>
      <c r="D342" s="107" t="s">
        <v>477</v>
      </c>
      <c r="E342" s="120">
        <v>895446744.61137223</v>
      </c>
      <c r="F342" s="120" t="s">
        <v>250</v>
      </c>
      <c r="G342" s="120">
        <v>840052386.87456441</v>
      </c>
      <c r="H342" s="120" t="s">
        <v>250</v>
      </c>
      <c r="I342" s="120">
        <v>38027949.568615288</v>
      </c>
      <c r="J342" s="120">
        <v>17366408.168192454</v>
      </c>
      <c r="K342" s="120" t="s">
        <v>250</v>
      </c>
      <c r="L342" s="120" t="s">
        <v>250</v>
      </c>
      <c r="M342" s="120">
        <v>0</v>
      </c>
      <c r="N342" s="120" t="s">
        <v>250</v>
      </c>
      <c r="O342" s="120">
        <v>17366408.168192454</v>
      </c>
      <c r="P342" s="120">
        <v>8809213.9785630032</v>
      </c>
      <c r="Q342" s="120">
        <v>8557194.1896294486</v>
      </c>
      <c r="R342" s="120"/>
      <c r="S342" s="121"/>
    </row>
    <row r="343" spans="1:19" ht="15">
      <c r="A343" s="105">
        <v>2</v>
      </c>
      <c r="B343" s="105"/>
      <c r="C343" s="107" t="s">
        <v>478</v>
      </c>
      <c r="D343" s="107" t="s">
        <v>311</v>
      </c>
      <c r="E343" s="120">
        <v>9813.4620450774237</v>
      </c>
      <c r="F343" s="120" t="s">
        <v>250</v>
      </c>
      <c r="G343" s="120">
        <v>0</v>
      </c>
      <c r="H343" s="120" t="s">
        <v>250</v>
      </c>
      <c r="I343" s="120">
        <v>6736.8926185013743</v>
      </c>
      <c r="J343" s="120">
        <v>3076.5694265760494</v>
      </c>
      <c r="K343" s="120" t="s">
        <v>250</v>
      </c>
      <c r="L343" s="120" t="s">
        <v>250</v>
      </c>
      <c r="M343" s="120">
        <v>0</v>
      </c>
      <c r="N343" s="120" t="s">
        <v>250</v>
      </c>
      <c r="O343" s="120">
        <v>3076.5694265760494</v>
      </c>
      <c r="P343" s="120">
        <v>1560.6081658412481</v>
      </c>
      <c r="Q343" s="120">
        <v>1515.961260734801</v>
      </c>
      <c r="R343" s="120"/>
      <c r="S343" s="121"/>
    </row>
    <row r="344" spans="1:19" ht="15">
      <c r="A344" s="105">
        <v>3</v>
      </c>
      <c r="B344" s="105"/>
      <c r="C344" s="107" t="s">
        <v>479</v>
      </c>
      <c r="D344" s="107" t="s">
        <v>313</v>
      </c>
      <c r="E344" s="120">
        <v>332457.66187147354</v>
      </c>
      <c r="F344" s="120" t="s">
        <v>250</v>
      </c>
      <c r="G344" s="120">
        <v>0</v>
      </c>
      <c r="H344" s="120" t="s">
        <v>250</v>
      </c>
      <c r="I344" s="120">
        <v>0</v>
      </c>
      <c r="J344" s="120">
        <v>332457.66187147354</v>
      </c>
      <c r="K344" s="120" t="s">
        <v>250</v>
      </c>
      <c r="L344" s="120" t="s">
        <v>250</v>
      </c>
      <c r="M344" s="120">
        <v>0</v>
      </c>
      <c r="N344" s="120" t="s">
        <v>250</v>
      </c>
      <c r="O344" s="120">
        <v>332457.66187147354</v>
      </c>
      <c r="P344" s="120">
        <v>168641.12911975762</v>
      </c>
      <c r="Q344" s="120">
        <v>163816.53275171592</v>
      </c>
      <c r="R344" s="120"/>
      <c r="S344" s="121"/>
    </row>
    <row r="345" spans="1:19" ht="15">
      <c r="A345" s="105">
        <v>4</v>
      </c>
      <c r="B345" s="105"/>
      <c r="C345" s="107" t="s">
        <v>480</v>
      </c>
      <c r="D345" s="107" t="s">
        <v>250</v>
      </c>
      <c r="E345" s="120">
        <v>895789015.73528862</v>
      </c>
      <c r="F345" s="120" t="s">
        <v>250</v>
      </c>
      <c r="G345" s="120">
        <v>840052386.87456441</v>
      </c>
      <c r="H345" s="120" t="s">
        <v>250</v>
      </c>
      <c r="I345" s="120">
        <v>38034686.461233787</v>
      </c>
      <c r="J345" s="120">
        <v>17701942.399490502</v>
      </c>
      <c r="K345" s="120" t="s">
        <v>250</v>
      </c>
      <c r="L345" s="120" t="s">
        <v>250</v>
      </c>
      <c r="M345" s="120">
        <v>0</v>
      </c>
      <c r="N345" s="120" t="s">
        <v>250</v>
      </c>
      <c r="O345" s="120">
        <v>17701942.399490502</v>
      </c>
      <c r="P345" s="120">
        <v>8979415.7158486024</v>
      </c>
      <c r="Q345" s="120">
        <v>8722526.6836418994</v>
      </c>
      <c r="R345" s="120"/>
      <c r="S345" s="121"/>
    </row>
    <row r="346" spans="1:19" ht="15">
      <c r="A346" s="105" t="s">
        <v>250</v>
      </c>
      <c r="B346" s="105"/>
      <c r="C346" s="107" t="s">
        <v>250</v>
      </c>
      <c r="D346" s="107" t="s">
        <v>250</v>
      </c>
      <c r="E346" s="120" t="s">
        <v>250</v>
      </c>
      <c r="F346" s="120" t="s">
        <v>250</v>
      </c>
      <c r="G346" s="120" t="s">
        <v>250</v>
      </c>
      <c r="H346" s="120" t="s">
        <v>250</v>
      </c>
      <c r="I346" s="120" t="s">
        <v>250</v>
      </c>
      <c r="J346" s="120" t="s">
        <v>250</v>
      </c>
      <c r="K346" s="120" t="s">
        <v>250</v>
      </c>
      <c r="L346" s="120" t="s">
        <v>250</v>
      </c>
      <c r="M346" s="120" t="s">
        <v>250</v>
      </c>
      <c r="N346" s="120" t="s">
        <v>250</v>
      </c>
      <c r="O346" s="120" t="s">
        <v>250</v>
      </c>
      <c r="P346" s="120" t="s">
        <v>250</v>
      </c>
      <c r="Q346" s="120" t="s">
        <v>250</v>
      </c>
      <c r="R346" s="120"/>
      <c r="S346" s="121"/>
    </row>
    <row r="347" spans="1:19" ht="15">
      <c r="A347" s="105" t="s">
        <v>250</v>
      </c>
      <c r="B347" s="105"/>
      <c r="C347" s="107" t="s">
        <v>454</v>
      </c>
      <c r="D347" s="107" t="s">
        <v>250</v>
      </c>
      <c r="E347" s="120" t="s">
        <v>250</v>
      </c>
      <c r="F347" s="120" t="s">
        <v>250</v>
      </c>
      <c r="G347" s="120" t="s">
        <v>250</v>
      </c>
      <c r="H347" s="120" t="s">
        <v>250</v>
      </c>
      <c r="I347" s="120" t="s">
        <v>250</v>
      </c>
      <c r="J347" s="120" t="s">
        <v>250</v>
      </c>
      <c r="K347" s="120" t="s">
        <v>250</v>
      </c>
      <c r="L347" s="120" t="s">
        <v>250</v>
      </c>
      <c r="M347" s="120" t="s">
        <v>250</v>
      </c>
      <c r="N347" s="120" t="s">
        <v>250</v>
      </c>
      <c r="O347" s="120" t="s">
        <v>250</v>
      </c>
      <c r="P347" s="120" t="s">
        <v>250</v>
      </c>
      <c r="Q347" s="120" t="s">
        <v>250</v>
      </c>
      <c r="R347" s="120"/>
      <c r="S347" s="121"/>
    </row>
    <row r="348" spans="1:19" ht="15">
      <c r="A348" s="105">
        <v>5</v>
      </c>
      <c r="B348" s="105"/>
      <c r="C348" s="107" t="s">
        <v>455</v>
      </c>
      <c r="D348" s="107" t="s">
        <v>456</v>
      </c>
      <c r="E348" s="120">
        <v>186691277.85194203</v>
      </c>
      <c r="F348" s="120" t="s">
        <v>250</v>
      </c>
      <c r="G348" s="120">
        <v>178470750.25583652</v>
      </c>
      <c r="H348" s="120" t="s">
        <v>250</v>
      </c>
      <c r="I348" s="120">
        <v>8220527.5961055113</v>
      </c>
      <c r="J348" s="120">
        <v>0</v>
      </c>
      <c r="K348" s="120" t="s">
        <v>250</v>
      </c>
      <c r="L348" s="120" t="s">
        <v>250</v>
      </c>
      <c r="M348" s="120">
        <v>0</v>
      </c>
      <c r="N348" s="120" t="s">
        <v>250</v>
      </c>
      <c r="O348" s="120">
        <v>0</v>
      </c>
      <c r="P348" s="120">
        <v>0</v>
      </c>
      <c r="Q348" s="120">
        <v>0</v>
      </c>
      <c r="R348" s="120"/>
      <c r="S348" s="121"/>
    </row>
    <row r="349" spans="1:19" ht="15">
      <c r="A349" s="105">
        <v>6</v>
      </c>
      <c r="B349" s="105"/>
      <c r="C349" s="107" t="s">
        <v>519</v>
      </c>
      <c r="D349" s="107" t="s">
        <v>354</v>
      </c>
      <c r="E349" s="120">
        <v>0</v>
      </c>
      <c r="F349" s="120" t="s">
        <v>250</v>
      </c>
      <c r="G349" s="120">
        <v>0</v>
      </c>
      <c r="H349" s="120" t="s">
        <v>250</v>
      </c>
      <c r="I349" s="120">
        <v>0</v>
      </c>
      <c r="J349" s="120">
        <v>0</v>
      </c>
      <c r="K349" s="120" t="s">
        <v>250</v>
      </c>
      <c r="L349" s="120" t="s">
        <v>250</v>
      </c>
      <c r="M349" s="120">
        <v>0</v>
      </c>
      <c r="N349" s="120" t="s">
        <v>250</v>
      </c>
      <c r="O349" s="120">
        <v>0</v>
      </c>
      <c r="P349" s="120">
        <v>0</v>
      </c>
      <c r="Q349" s="120">
        <v>0</v>
      </c>
      <c r="R349" s="120"/>
      <c r="S349" s="121"/>
    </row>
    <row r="350" spans="1:19" ht="15">
      <c r="A350" s="105">
        <v>7</v>
      </c>
      <c r="B350" s="105"/>
      <c r="C350" s="107" t="s">
        <v>520</v>
      </c>
      <c r="D350" s="107" t="s">
        <v>483</v>
      </c>
      <c r="E350" s="120">
        <v>10290676.330724211</v>
      </c>
      <c r="F350" s="120" t="s">
        <v>250</v>
      </c>
      <c r="G350" s="120">
        <v>0</v>
      </c>
      <c r="H350" s="120" t="s">
        <v>250</v>
      </c>
      <c r="I350" s="120">
        <v>10290676.330724211</v>
      </c>
      <c r="J350" s="120">
        <v>0</v>
      </c>
      <c r="K350" s="120" t="s">
        <v>250</v>
      </c>
      <c r="L350" s="120" t="s">
        <v>250</v>
      </c>
      <c r="M350" s="120">
        <v>0</v>
      </c>
      <c r="N350" s="120" t="s">
        <v>250</v>
      </c>
      <c r="O350" s="120">
        <v>0</v>
      </c>
      <c r="P350" s="120">
        <v>0</v>
      </c>
      <c r="Q350" s="120">
        <v>0</v>
      </c>
      <c r="R350" s="120"/>
      <c r="S350" s="121"/>
    </row>
    <row r="351" spans="1:19" ht="15">
      <c r="A351" s="105">
        <v>8</v>
      </c>
      <c r="B351" s="105"/>
      <c r="C351" s="107" t="s">
        <v>459</v>
      </c>
      <c r="D351" s="107" t="s">
        <v>311</v>
      </c>
      <c r="E351" s="120">
        <v>1731.7874197195392</v>
      </c>
      <c r="F351" s="120" t="s">
        <v>250</v>
      </c>
      <c r="G351" s="120">
        <v>0</v>
      </c>
      <c r="H351" s="120" t="s">
        <v>250</v>
      </c>
      <c r="I351" s="120">
        <v>1188.8634032649443</v>
      </c>
      <c r="J351" s="120">
        <v>542.92401645459506</v>
      </c>
      <c r="K351" s="120" t="s">
        <v>250</v>
      </c>
      <c r="L351" s="120" t="s">
        <v>250</v>
      </c>
      <c r="M351" s="120">
        <v>0</v>
      </c>
      <c r="N351" s="120" t="s">
        <v>250</v>
      </c>
      <c r="O351" s="120">
        <v>542.92401645459506</v>
      </c>
      <c r="P351" s="120">
        <v>275.40144103080758</v>
      </c>
      <c r="Q351" s="120">
        <v>267.52257542378749</v>
      </c>
      <c r="R351" s="120"/>
      <c r="S351" s="121"/>
    </row>
    <row r="352" spans="1:19" ht="15">
      <c r="A352" s="105">
        <v>9</v>
      </c>
      <c r="B352" s="105"/>
      <c r="C352" s="107" t="s">
        <v>460</v>
      </c>
      <c r="D352" s="107" t="s">
        <v>313</v>
      </c>
      <c r="E352" s="120">
        <v>58668.999153789395</v>
      </c>
      <c r="F352" s="120" t="s">
        <v>250</v>
      </c>
      <c r="G352" s="120">
        <v>0</v>
      </c>
      <c r="H352" s="120" t="s">
        <v>250</v>
      </c>
      <c r="I352" s="120">
        <v>0</v>
      </c>
      <c r="J352" s="120">
        <v>58668.999153789395</v>
      </c>
      <c r="K352" s="120" t="s">
        <v>250</v>
      </c>
      <c r="L352" s="120" t="s">
        <v>250</v>
      </c>
      <c r="M352" s="120">
        <v>0</v>
      </c>
      <c r="N352" s="120" t="s">
        <v>250</v>
      </c>
      <c r="O352" s="120">
        <v>58668.999153789395</v>
      </c>
      <c r="P352" s="120">
        <v>29760.199256427786</v>
      </c>
      <c r="Q352" s="120">
        <v>28908.799897361609</v>
      </c>
      <c r="R352" s="120"/>
      <c r="S352" s="121"/>
    </row>
    <row r="353" spans="1:19" ht="15">
      <c r="A353" s="105">
        <v>10</v>
      </c>
      <c r="B353" s="105"/>
      <c r="C353" s="107" t="s">
        <v>461</v>
      </c>
      <c r="D353" s="107" t="s">
        <v>250</v>
      </c>
      <c r="E353" s="120">
        <v>197042354.96923974</v>
      </c>
      <c r="F353" s="120" t="s">
        <v>250</v>
      </c>
      <c r="G353" s="120">
        <v>178470750.25583652</v>
      </c>
      <c r="H353" s="120" t="s">
        <v>250</v>
      </c>
      <c r="I353" s="120">
        <v>18512392.790232986</v>
      </c>
      <c r="J353" s="120">
        <v>59211.923170243987</v>
      </c>
      <c r="K353" s="120" t="s">
        <v>250</v>
      </c>
      <c r="L353" s="120" t="s">
        <v>250</v>
      </c>
      <c r="M353" s="120">
        <v>0</v>
      </c>
      <c r="N353" s="120" t="s">
        <v>250</v>
      </c>
      <c r="O353" s="120">
        <v>59211.923170243987</v>
      </c>
      <c r="P353" s="120">
        <v>30035.600697458594</v>
      </c>
      <c r="Q353" s="120">
        <v>29176.322472785396</v>
      </c>
      <c r="R353" s="120"/>
      <c r="S353" s="121"/>
    </row>
    <row r="354" spans="1:19" ht="15">
      <c r="A354" s="105" t="s">
        <v>250</v>
      </c>
      <c r="B354" s="105"/>
      <c r="C354" s="107" t="s">
        <v>250</v>
      </c>
      <c r="D354" s="107" t="s">
        <v>250</v>
      </c>
      <c r="E354" s="120" t="s">
        <v>250</v>
      </c>
      <c r="F354" s="120" t="s">
        <v>250</v>
      </c>
      <c r="G354" s="120" t="s">
        <v>250</v>
      </c>
      <c r="H354" s="120" t="s">
        <v>250</v>
      </c>
      <c r="I354" s="120" t="s">
        <v>250</v>
      </c>
      <c r="J354" s="120" t="s">
        <v>250</v>
      </c>
      <c r="K354" s="120" t="s">
        <v>250</v>
      </c>
      <c r="L354" s="120" t="s">
        <v>250</v>
      </c>
      <c r="M354" s="120" t="s">
        <v>250</v>
      </c>
      <c r="N354" s="120" t="s">
        <v>250</v>
      </c>
      <c r="O354" s="120" t="s">
        <v>250</v>
      </c>
      <c r="P354" s="120" t="s">
        <v>250</v>
      </c>
      <c r="Q354" s="120" t="s">
        <v>250</v>
      </c>
      <c r="R354" s="120"/>
      <c r="S354" s="121"/>
    </row>
    <row r="355" spans="1:19" ht="15">
      <c r="A355" s="105">
        <v>11</v>
      </c>
      <c r="B355" s="105"/>
      <c r="C355" s="107" t="s">
        <v>521</v>
      </c>
      <c r="D355" s="107" t="s">
        <v>522</v>
      </c>
      <c r="E355" s="120">
        <v>13087726.811439056</v>
      </c>
      <c r="F355" s="120" t="s">
        <v>250</v>
      </c>
      <c r="G355" s="120">
        <v>0</v>
      </c>
      <c r="H355" s="120" t="s">
        <v>250</v>
      </c>
      <c r="I355" s="120">
        <v>13087726.811439056</v>
      </c>
      <c r="J355" s="120">
        <v>0</v>
      </c>
      <c r="K355" s="120" t="s">
        <v>250</v>
      </c>
      <c r="L355" s="120" t="s">
        <v>250</v>
      </c>
      <c r="M355" s="120">
        <v>0</v>
      </c>
      <c r="N355" s="120" t="s">
        <v>250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12</v>
      </c>
      <c r="B356" s="105"/>
      <c r="C356" s="107" t="s">
        <v>523</v>
      </c>
      <c r="D356" s="107" t="s">
        <v>524</v>
      </c>
      <c r="E356" s="120">
        <v>301823668.58159792</v>
      </c>
      <c r="F356" s="120" t="s">
        <v>250</v>
      </c>
      <c r="G356" s="120">
        <v>301315262.14526314</v>
      </c>
      <c r="H356" s="120" t="s">
        <v>250</v>
      </c>
      <c r="I356" s="120">
        <v>0</v>
      </c>
      <c r="J356" s="120">
        <v>508406.43633478915</v>
      </c>
      <c r="K356" s="120" t="s">
        <v>250</v>
      </c>
      <c r="L356" s="120" t="s">
        <v>250</v>
      </c>
      <c r="M356" s="120">
        <v>0</v>
      </c>
      <c r="N356" s="120" t="s">
        <v>250</v>
      </c>
      <c r="O356" s="120">
        <v>508406.43633478915</v>
      </c>
      <c r="P356" s="120">
        <v>504537.41498575109</v>
      </c>
      <c r="Q356" s="120">
        <v>3869.0213490380847</v>
      </c>
      <c r="R356" s="120"/>
      <c r="S356" s="121"/>
    </row>
    <row r="357" spans="1:19" ht="15">
      <c r="A357" s="105">
        <v>13</v>
      </c>
      <c r="B357" s="105"/>
      <c r="C357" s="107" t="s">
        <v>466</v>
      </c>
      <c r="D357" s="107" t="s">
        <v>250</v>
      </c>
      <c r="E357" s="120">
        <v>314911395.39303696</v>
      </c>
      <c r="F357" s="120" t="s">
        <v>250</v>
      </c>
      <c r="G357" s="120">
        <v>301315262.14526314</v>
      </c>
      <c r="H357" s="120" t="s">
        <v>250</v>
      </c>
      <c r="I357" s="120">
        <v>13087726.811439056</v>
      </c>
      <c r="J357" s="120">
        <v>508406.43633478915</v>
      </c>
      <c r="K357" s="120" t="s">
        <v>250</v>
      </c>
      <c r="L357" s="120" t="s">
        <v>250</v>
      </c>
      <c r="M357" s="120">
        <v>0</v>
      </c>
      <c r="N357" s="120" t="s">
        <v>250</v>
      </c>
      <c r="O357" s="120">
        <v>508406.43633478915</v>
      </c>
      <c r="P357" s="120">
        <v>504537.41498575109</v>
      </c>
      <c r="Q357" s="120">
        <v>3869.0213490380847</v>
      </c>
      <c r="R357" s="120"/>
      <c r="S357" s="121"/>
    </row>
    <row r="358" spans="1:19" ht="15">
      <c r="A358" s="105" t="s">
        <v>250</v>
      </c>
      <c r="B358" s="105"/>
      <c r="C358" s="107" t="s">
        <v>250</v>
      </c>
      <c r="D358" s="107" t="s">
        <v>250</v>
      </c>
      <c r="E358" s="120" t="s">
        <v>250</v>
      </c>
      <c r="F358" s="120" t="s">
        <v>250</v>
      </c>
      <c r="G358" s="120" t="s">
        <v>250</v>
      </c>
      <c r="H358" s="120" t="s">
        <v>250</v>
      </c>
      <c r="I358" s="120" t="s">
        <v>250</v>
      </c>
      <c r="J358" s="120" t="s">
        <v>250</v>
      </c>
      <c r="K358" s="120" t="s">
        <v>250</v>
      </c>
      <c r="L358" s="120" t="s">
        <v>250</v>
      </c>
      <c r="M358" s="120" t="s">
        <v>250</v>
      </c>
      <c r="N358" s="120" t="s">
        <v>250</v>
      </c>
      <c r="O358" s="120" t="s">
        <v>250</v>
      </c>
      <c r="P358" s="120" t="s">
        <v>250</v>
      </c>
      <c r="Q358" s="120" t="s">
        <v>250</v>
      </c>
      <c r="R358" s="120"/>
      <c r="S358" s="121"/>
    </row>
    <row r="359" spans="1:19" ht="15">
      <c r="A359" s="105">
        <v>14</v>
      </c>
      <c r="B359" s="105"/>
      <c r="C359" s="107" t="s">
        <v>436</v>
      </c>
      <c r="D359" s="107" t="s">
        <v>467</v>
      </c>
      <c r="E359" s="120">
        <v>35858999.288676359</v>
      </c>
      <c r="F359" s="120" t="s">
        <v>250</v>
      </c>
      <c r="G359" s="120">
        <v>33814796.946704909</v>
      </c>
      <c r="H359" s="120" t="s">
        <v>250</v>
      </c>
      <c r="I359" s="120">
        <v>1635369.9976750985</v>
      </c>
      <c r="J359" s="120">
        <v>408832.34429635288</v>
      </c>
      <c r="K359" s="120" t="s">
        <v>250</v>
      </c>
      <c r="L359" s="120" t="s">
        <v>250</v>
      </c>
      <c r="M359" s="120">
        <v>0</v>
      </c>
      <c r="N359" s="120" t="s">
        <v>250</v>
      </c>
      <c r="O359" s="120">
        <v>408832.34429635288</v>
      </c>
      <c r="P359" s="120">
        <v>213318.99220201297</v>
      </c>
      <c r="Q359" s="120">
        <v>195513.35209433991</v>
      </c>
      <c r="R359" s="120"/>
      <c r="S359" s="121"/>
    </row>
    <row r="360" spans="1:19" ht="15">
      <c r="A360" s="105" t="s">
        <v>250</v>
      </c>
      <c r="B360" s="105"/>
      <c r="C360" s="107" t="s">
        <v>250</v>
      </c>
      <c r="D360" s="107" t="s">
        <v>250</v>
      </c>
      <c r="E360" s="120" t="s">
        <v>250</v>
      </c>
      <c r="F360" s="120" t="s">
        <v>250</v>
      </c>
      <c r="G360" s="120" t="s">
        <v>250</v>
      </c>
      <c r="H360" s="120" t="s">
        <v>250</v>
      </c>
      <c r="I360" s="120" t="s">
        <v>250</v>
      </c>
      <c r="J360" s="120" t="s">
        <v>250</v>
      </c>
      <c r="K360" s="120" t="s">
        <v>250</v>
      </c>
      <c r="L360" s="120" t="s">
        <v>250</v>
      </c>
      <c r="M360" s="120" t="s">
        <v>250</v>
      </c>
      <c r="N360" s="120" t="s">
        <v>250</v>
      </c>
      <c r="O360" s="120" t="s">
        <v>250</v>
      </c>
      <c r="P360" s="120" t="s">
        <v>250</v>
      </c>
      <c r="Q360" s="120" t="s">
        <v>250</v>
      </c>
      <c r="R360" s="120"/>
      <c r="S360" s="121"/>
    </row>
    <row r="361" spans="1:19" ht="15">
      <c r="A361" s="105">
        <v>15</v>
      </c>
      <c r="B361" s="105"/>
      <c r="C361" s="107" t="s">
        <v>525</v>
      </c>
      <c r="D361" s="107" t="s">
        <v>250</v>
      </c>
      <c r="E361" s="120">
        <v>1443601765.3862419</v>
      </c>
      <c r="F361" s="120" t="s">
        <v>250</v>
      </c>
      <c r="G361" s="120">
        <v>1353653196.222369</v>
      </c>
      <c r="H361" s="120" t="s">
        <v>250</v>
      </c>
      <c r="I361" s="120">
        <v>71270176.060580939</v>
      </c>
      <c r="J361" s="120">
        <v>18678393.103291888</v>
      </c>
      <c r="K361" s="120" t="s">
        <v>250</v>
      </c>
      <c r="L361" s="120" t="s">
        <v>250</v>
      </c>
      <c r="M361" s="120">
        <v>0</v>
      </c>
      <c r="N361" s="120" t="s">
        <v>250</v>
      </c>
      <c r="O361" s="120">
        <v>18678393.103291888</v>
      </c>
      <c r="P361" s="120">
        <v>9727307.7237338256</v>
      </c>
      <c r="Q361" s="120">
        <v>8951085.3795580622</v>
      </c>
      <c r="R361" s="120"/>
      <c r="S361" s="121"/>
    </row>
    <row r="362" spans="1:19" ht="15">
      <c r="A362" s="105" t="s">
        <v>250</v>
      </c>
      <c r="B362" s="105"/>
      <c r="C362" s="107" t="s">
        <v>250</v>
      </c>
      <c r="D362" s="107" t="s">
        <v>250</v>
      </c>
      <c r="E362" s="120" t="s">
        <v>250</v>
      </c>
      <c r="F362" s="120" t="s">
        <v>250</v>
      </c>
      <c r="G362" s="120" t="s">
        <v>250</v>
      </c>
      <c r="H362" s="120" t="s">
        <v>250</v>
      </c>
      <c r="I362" s="120" t="s">
        <v>250</v>
      </c>
      <c r="J362" s="120" t="s">
        <v>250</v>
      </c>
      <c r="K362" s="120" t="s">
        <v>250</v>
      </c>
      <c r="L362" s="120" t="s">
        <v>250</v>
      </c>
      <c r="M362" s="120" t="s">
        <v>250</v>
      </c>
      <c r="N362" s="120" t="s">
        <v>250</v>
      </c>
      <c r="O362" s="120" t="s">
        <v>250</v>
      </c>
      <c r="P362" s="120" t="s">
        <v>250</v>
      </c>
      <c r="Q362" s="120" t="s">
        <v>250</v>
      </c>
      <c r="R362" s="120"/>
      <c r="S362" s="121"/>
    </row>
    <row r="363" spans="1:19" ht="15">
      <c r="A363" s="105" t="s">
        <v>250</v>
      </c>
      <c r="B363" s="105"/>
      <c r="C363" s="107" t="s">
        <v>526</v>
      </c>
      <c r="D363" s="107" t="s">
        <v>250</v>
      </c>
      <c r="E363" s="120" t="s">
        <v>250</v>
      </c>
      <c r="F363" s="120" t="s">
        <v>250</v>
      </c>
      <c r="G363" s="120" t="s">
        <v>250</v>
      </c>
      <c r="H363" s="120" t="s">
        <v>250</v>
      </c>
      <c r="I363" s="120" t="s">
        <v>250</v>
      </c>
      <c r="J363" s="120" t="s">
        <v>250</v>
      </c>
      <c r="K363" s="120" t="s">
        <v>250</v>
      </c>
      <c r="L363" s="120" t="s">
        <v>250</v>
      </c>
      <c r="M363" s="120" t="s">
        <v>250</v>
      </c>
      <c r="N363" s="120" t="s">
        <v>250</v>
      </c>
      <c r="O363" s="120" t="s">
        <v>250</v>
      </c>
      <c r="P363" s="120" t="s">
        <v>250</v>
      </c>
      <c r="Q363" s="120" t="s">
        <v>250</v>
      </c>
      <c r="R363" s="120"/>
      <c r="S363" s="121"/>
    </row>
    <row r="364" spans="1:19" ht="15">
      <c r="A364" s="105">
        <v>16</v>
      </c>
      <c r="B364" s="105"/>
      <c r="C364" s="107" t="s">
        <v>527</v>
      </c>
      <c r="D364" s="107" t="s">
        <v>497</v>
      </c>
      <c r="E364" s="120">
        <v>87909987.86999999</v>
      </c>
      <c r="F364" s="120" t="s">
        <v>250</v>
      </c>
      <c r="G364" s="120">
        <v>82288493.059952542</v>
      </c>
      <c r="H364" s="120" t="s">
        <v>250</v>
      </c>
      <c r="I364" s="120">
        <v>3795601.1326752412</v>
      </c>
      <c r="J364" s="120">
        <v>1825893.6773722009</v>
      </c>
      <c r="K364" s="120" t="s">
        <v>250</v>
      </c>
      <c r="L364" s="120" t="s">
        <v>250</v>
      </c>
      <c r="M364" s="120">
        <v>0</v>
      </c>
      <c r="N364" s="120" t="s">
        <v>250</v>
      </c>
      <c r="O364" s="120">
        <v>1825893.6773722009</v>
      </c>
      <c r="P364" s="120">
        <v>926195.44296655443</v>
      </c>
      <c r="Q364" s="120">
        <v>899698.23440564645</v>
      </c>
      <c r="R364" s="120"/>
      <c r="S364" s="121"/>
    </row>
    <row r="365" spans="1:19" ht="15">
      <c r="A365" s="105">
        <v>17</v>
      </c>
      <c r="B365" s="105"/>
      <c r="C365" s="107" t="s">
        <v>528</v>
      </c>
      <c r="D365" s="107" t="s">
        <v>499</v>
      </c>
      <c r="E365" s="120">
        <v>0</v>
      </c>
      <c r="F365" s="120" t="s">
        <v>250</v>
      </c>
      <c r="G365" s="120">
        <v>0</v>
      </c>
      <c r="H365" s="120" t="s">
        <v>250</v>
      </c>
      <c r="I365" s="120">
        <v>0</v>
      </c>
      <c r="J365" s="120">
        <v>0</v>
      </c>
      <c r="K365" s="120" t="s">
        <v>250</v>
      </c>
      <c r="L365" s="120" t="s">
        <v>250</v>
      </c>
      <c r="M365" s="120">
        <v>0</v>
      </c>
      <c r="N365" s="120" t="s">
        <v>250</v>
      </c>
      <c r="O365" s="120">
        <v>0</v>
      </c>
      <c r="P365" s="120">
        <v>0</v>
      </c>
      <c r="Q365" s="120">
        <v>0</v>
      </c>
      <c r="R365" s="120"/>
      <c r="S365" s="121"/>
    </row>
    <row r="366" spans="1:19" ht="15">
      <c r="A366" s="105">
        <v>18</v>
      </c>
      <c r="B366" s="105"/>
      <c r="C366" s="107" t="s">
        <v>529</v>
      </c>
      <c r="D366" s="107" t="s">
        <v>458</v>
      </c>
      <c r="E366" s="120">
        <v>0</v>
      </c>
      <c r="F366" s="120" t="s">
        <v>250</v>
      </c>
      <c r="G366" s="120">
        <v>0</v>
      </c>
      <c r="H366" s="120" t="s">
        <v>250</v>
      </c>
      <c r="I366" s="120">
        <v>0</v>
      </c>
      <c r="J366" s="120">
        <v>0</v>
      </c>
      <c r="K366" s="120" t="s">
        <v>250</v>
      </c>
      <c r="L366" s="120" t="s">
        <v>250</v>
      </c>
      <c r="M366" s="120">
        <v>0</v>
      </c>
      <c r="N366" s="120" t="s">
        <v>250</v>
      </c>
      <c r="O366" s="120">
        <v>0</v>
      </c>
      <c r="P366" s="120">
        <v>0</v>
      </c>
      <c r="Q366" s="120">
        <v>0</v>
      </c>
      <c r="R366" s="120"/>
      <c r="S366" s="121"/>
    </row>
    <row r="367" spans="1:19" ht="15">
      <c r="A367" s="105">
        <v>18</v>
      </c>
      <c r="B367" s="105"/>
      <c r="C367" s="107" t="s">
        <v>530</v>
      </c>
      <c r="D367" s="107" t="s">
        <v>531</v>
      </c>
      <c r="E367" s="120">
        <v>0</v>
      </c>
      <c r="F367" s="120" t="s">
        <v>250</v>
      </c>
      <c r="G367" s="120">
        <v>0</v>
      </c>
      <c r="H367" s="120" t="s">
        <v>250</v>
      </c>
      <c r="I367" s="120">
        <v>0</v>
      </c>
      <c r="J367" s="120">
        <v>0</v>
      </c>
      <c r="K367" s="120" t="s">
        <v>250</v>
      </c>
      <c r="L367" s="120" t="s">
        <v>250</v>
      </c>
      <c r="M367" s="120">
        <v>0</v>
      </c>
      <c r="N367" s="120" t="s">
        <v>250</v>
      </c>
      <c r="O367" s="120">
        <v>0</v>
      </c>
      <c r="P367" s="120">
        <v>0</v>
      </c>
      <c r="Q367" s="120">
        <v>0</v>
      </c>
      <c r="R367" s="120"/>
      <c r="S367" s="121"/>
    </row>
    <row r="368" spans="1:19" ht="15">
      <c r="A368" s="105">
        <v>20</v>
      </c>
      <c r="B368" s="105"/>
      <c r="C368" s="107" t="s">
        <v>532</v>
      </c>
      <c r="D368" s="107" t="s">
        <v>524</v>
      </c>
      <c r="E368" s="120">
        <v>0</v>
      </c>
      <c r="F368" s="120" t="s">
        <v>250</v>
      </c>
      <c r="G368" s="120">
        <v>0</v>
      </c>
      <c r="H368" s="120" t="s">
        <v>250</v>
      </c>
      <c r="I368" s="120">
        <v>0</v>
      </c>
      <c r="J368" s="120">
        <v>0</v>
      </c>
      <c r="K368" s="120" t="s">
        <v>250</v>
      </c>
      <c r="L368" s="120" t="s">
        <v>250</v>
      </c>
      <c r="M368" s="120">
        <v>0</v>
      </c>
      <c r="N368" s="120" t="s">
        <v>250</v>
      </c>
      <c r="O368" s="120">
        <v>0</v>
      </c>
      <c r="P368" s="120">
        <v>0</v>
      </c>
      <c r="Q368" s="120">
        <v>0</v>
      </c>
      <c r="R368" s="120"/>
      <c r="S368" s="121"/>
    </row>
    <row r="369" spans="1:19" ht="15">
      <c r="A369" s="105">
        <v>21</v>
      </c>
      <c r="B369" s="105"/>
      <c r="C369" s="107" t="s">
        <v>533</v>
      </c>
      <c r="D369" s="107" t="s">
        <v>467</v>
      </c>
      <c r="E369" s="120">
        <v>0</v>
      </c>
      <c r="F369" s="120" t="s">
        <v>250</v>
      </c>
      <c r="G369" s="120">
        <v>0</v>
      </c>
      <c r="H369" s="120" t="s">
        <v>250</v>
      </c>
      <c r="I369" s="120">
        <v>0</v>
      </c>
      <c r="J369" s="120">
        <v>0</v>
      </c>
      <c r="K369" s="120" t="s">
        <v>250</v>
      </c>
      <c r="L369" s="120" t="s">
        <v>250</v>
      </c>
      <c r="M369" s="120">
        <v>0</v>
      </c>
      <c r="N369" s="120" t="s">
        <v>250</v>
      </c>
      <c r="O369" s="120">
        <v>0</v>
      </c>
      <c r="P369" s="120">
        <v>0</v>
      </c>
      <c r="Q369" s="120">
        <v>0</v>
      </c>
      <c r="R369" s="120"/>
      <c r="S369" s="121"/>
    </row>
    <row r="370" spans="1:19" ht="15">
      <c r="A370" s="105">
        <v>22</v>
      </c>
      <c r="B370" s="105"/>
      <c r="C370" s="107" t="s">
        <v>534</v>
      </c>
      <c r="D370" s="107" t="s">
        <v>250</v>
      </c>
      <c r="E370" s="120">
        <v>87909987.86999999</v>
      </c>
      <c r="F370" s="120" t="s">
        <v>250</v>
      </c>
      <c r="G370" s="120">
        <v>82288493.059952542</v>
      </c>
      <c r="H370" s="120" t="s">
        <v>250</v>
      </c>
      <c r="I370" s="120">
        <v>3795601.1326752412</v>
      </c>
      <c r="J370" s="120">
        <v>1825893.6773722009</v>
      </c>
      <c r="K370" s="120" t="s">
        <v>250</v>
      </c>
      <c r="L370" s="120" t="s">
        <v>250</v>
      </c>
      <c r="M370" s="120">
        <v>0</v>
      </c>
      <c r="N370" s="120" t="s">
        <v>250</v>
      </c>
      <c r="O370" s="120">
        <v>1825893.6773722009</v>
      </c>
      <c r="P370" s="120">
        <v>926195.44296655443</v>
      </c>
      <c r="Q370" s="120">
        <v>899698.23440564645</v>
      </c>
      <c r="R370" s="120"/>
      <c r="S370" s="121"/>
    </row>
    <row r="371" spans="1:19" ht="15">
      <c r="A371" s="105" t="s">
        <v>250</v>
      </c>
      <c r="B371" s="105"/>
      <c r="C371" s="107" t="s">
        <v>250</v>
      </c>
      <c r="D371" s="107" t="s">
        <v>250</v>
      </c>
      <c r="E371" s="120" t="s">
        <v>250</v>
      </c>
      <c r="F371" s="120" t="s">
        <v>250</v>
      </c>
      <c r="G371" s="120" t="s">
        <v>250</v>
      </c>
      <c r="H371" s="120" t="s">
        <v>250</v>
      </c>
      <c r="I371" s="120" t="s">
        <v>250</v>
      </c>
      <c r="J371" s="120" t="s">
        <v>250</v>
      </c>
      <c r="K371" s="120" t="s">
        <v>250</v>
      </c>
      <c r="L371" s="120" t="s">
        <v>250</v>
      </c>
      <c r="M371" s="120" t="s">
        <v>250</v>
      </c>
      <c r="N371" s="120" t="s">
        <v>250</v>
      </c>
      <c r="O371" s="120" t="s">
        <v>250</v>
      </c>
      <c r="P371" s="120" t="s">
        <v>250</v>
      </c>
      <c r="Q371" s="120" t="s">
        <v>250</v>
      </c>
      <c r="R371" s="120"/>
      <c r="S371" s="121"/>
    </row>
    <row r="372" spans="1:19" ht="15">
      <c r="A372" s="105">
        <v>23</v>
      </c>
      <c r="B372" s="105"/>
      <c r="C372" s="107" t="s">
        <v>535</v>
      </c>
      <c r="D372" s="107" t="s">
        <v>536</v>
      </c>
      <c r="E372" s="120">
        <v>1719771.5899999999</v>
      </c>
      <c r="F372" s="120" t="s">
        <v>250</v>
      </c>
      <c r="G372" s="120">
        <v>1712215.5636785864</v>
      </c>
      <c r="H372" s="120" t="s">
        <v>250</v>
      </c>
      <c r="I372" s="120">
        <v>7556.0263214135402</v>
      </c>
      <c r="J372" s="120">
        <v>0</v>
      </c>
      <c r="K372" s="120" t="s">
        <v>250</v>
      </c>
      <c r="L372" s="120" t="s">
        <v>250</v>
      </c>
      <c r="M372" s="120">
        <v>0</v>
      </c>
      <c r="N372" s="120" t="s">
        <v>250</v>
      </c>
      <c r="O372" s="120">
        <v>0</v>
      </c>
      <c r="P372" s="120">
        <v>0</v>
      </c>
      <c r="Q372" s="120">
        <v>0</v>
      </c>
      <c r="R372" s="120"/>
      <c r="S372" s="121"/>
    </row>
    <row r="373" spans="1:19" ht="15">
      <c r="A373" s="105">
        <v>24</v>
      </c>
      <c r="B373" s="105"/>
      <c r="C373" s="107" t="s">
        <v>537</v>
      </c>
      <c r="D373" s="107" t="s">
        <v>538</v>
      </c>
      <c r="E373" s="120">
        <v>31620707.210000001</v>
      </c>
      <c r="F373" s="120" t="s">
        <v>250</v>
      </c>
      <c r="G373" s="120">
        <v>0</v>
      </c>
      <c r="H373" s="120" t="s">
        <v>250</v>
      </c>
      <c r="I373" s="120">
        <v>1227529.9760579544</v>
      </c>
      <c r="J373" s="120">
        <v>1.0040632412851254E-2</v>
      </c>
      <c r="K373" s="120" t="s">
        <v>250</v>
      </c>
      <c r="L373" s="120" t="s">
        <v>250</v>
      </c>
      <c r="M373" s="120">
        <v>0</v>
      </c>
      <c r="N373" s="120" t="s">
        <v>250</v>
      </c>
      <c r="O373" s="120">
        <v>1.0040632412851254E-2</v>
      </c>
      <c r="P373" s="120">
        <v>1.0040632412851254E-2</v>
      </c>
      <c r="Q373" s="120">
        <v>0</v>
      </c>
      <c r="R373" s="120"/>
      <c r="S373" s="121"/>
    </row>
    <row r="374" spans="1:19" ht="15">
      <c r="A374" s="105">
        <v>25</v>
      </c>
      <c r="B374" s="105"/>
      <c r="C374" s="107" t="s">
        <v>539</v>
      </c>
      <c r="D374" s="107" t="s">
        <v>540</v>
      </c>
      <c r="E374" s="120">
        <v>833365.37923076935</v>
      </c>
      <c r="F374" s="120" t="s">
        <v>250</v>
      </c>
      <c r="G374" s="120">
        <v>0</v>
      </c>
      <c r="H374" s="120" t="s">
        <v>250</v>
      </c>
      <c r="I374" s="120">
        <v>833365.37923076935</v>
      </c>
      <c r="J374" s="120">
        <v>0</v>
      </c>
      <c r="K374" s="120" t="s">
        <v>250</v>
      </c>
      <c r="L374" s="120" t="s">
        <v>250</v>
      </c>
      <c r="M374" s="120">
        <v>0</v>
      </c>
      <c r="N374" s="120" t="s">
        <v>250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26</v>
      </c>
      <c r="B375" s="105"/>
      <c r="C375" s="107" t="s">
        <v>541</v>
      </c>
      <c r="D375" s="107" t="s">
        <v>418</v>
      </c>
      <c r="E375" s="120">
        <v>15929924.595132899</v>
      </c>
      <c r="F375" s="120" t="s">
        <v>250</v>
      </c>
      <c r="G375" s="120">
        <v>0</v>
      </c>
      <c r="H375" s="120" t="s">
        <v>250</v>
      </c>
      <c r="I375" s="120">
        <v>749319.80583447218</v>
      </c>
      <c r="J375" s="120">
        <v>0</v>
      </c>
      <c r="K375" s="120" t="s">
        <v>250</v>
      </c>
      <c r="L375" s="120" t="s">
        <v>250</v>
      </c>
      <c r="M375" s="120">
        <v>0</v>
      </c>
      <c r="N375" s="120" t="s">
        <v>250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27</v>
      </c>
      <c r="B376" s="105"/>
      <c r="C376" s="107" t="s">
        <v>542</v>
      </c>
      <c r="D376" s="107" t="s">
        <v>418</v>
      </c>
      <c r="E376" s="120">
        <v>4695135.1538461447</v>
      </c>
      <c r="F376" s="120" t="s">
        <v>250</v>
      </c>
      <c r="G376" s="120">
        <v>0</v>
      </c>
      <c r="H376" s="120" t="s">
        <v>250</v>
      </c>
      <c r="I376" s="120">
        <v>0</v>
      </c>
      <c r="J376" s="120">
        <v>55211.660832384907</v>
      </c>
      <c r="K376" s="120" t="s">
        <v>250</v>
      </c>
      <c r="L376" s="120" t="s">
        <v>250</v>
      </c>
      <c r="M376" s="120">
        <v>0</v>
      </c>
      <c r="N376" s="120" t="s">
        <v>250</v>
      </c>
      <c r="O376" s="120">
        <v>55211.660832384907</v>
      </c>
      <c r="P376" s="120">
        <v>28808.131281380047</v>
      </c>
      <c r="Q376" s="120">
        <v>26403.52955100486</v>
      </c>
      <c r="R376" s="120"/>
      <c r="S376" s="121"/>
    </row>
    <row r="377" spans="1:19" ht="15">
      <c r="A377" s="105">
        <v>28</v>
      </c>
      <c r="B377" s="105"/>
      <c r="C377" s="107" t="s">
        <v>543</v>
      </c>
      <c r="D377" s="107" t="s">
        <v>418</v>
      </c>
      <c r="E377" s="120">
        <v>6613643.3169230781</v>
      </c>
      <c r="F377" s="120" t="s">
        <v>250</v>
      </c>
      <c r="G377" s="120">
        <v>0</v>
      </c>
      <c r="H377" s="120" t="s">
        <v>250</v>
      </c>
      <c r="I377" s="120">
        <v>0</v>
      </c>
      <c r="J377" s="120">
        <v>77772.038443068799</v>
      </c>
      <c r="K377" s="120" t="s">
        <v>250</v>
      </c>
      <c r="L377" s="120" t="s">
        <v>250</v>
      </c>
      <c r="M377" s="120">
        <v>0</v>
      </c>
      <c r="N377" s="120" t="s">
        <v>250</v>
      </c>
      <c r="O377" s="120">
        <v>77772.038443068799</v>
      </c>
      <c r="P377" s="120">
        <v>40579.599666277296</v>
      </c>
      <c r="Q377" s="120">
        <v>37192.438776791503</v>
      </c>
      <c r="R377" s="120"/>
      <c r="S377" s="121"/>
    </row>
    <row r="378" spans="1:19" ht="15">
      <c r="A378" s="105">
        <v>29</v>
      </c>
      <c r="B378" s="105"/>
      <c r="C378" s="107" t="s">
        <v>544</v>
      </c>
      <c r="D378" s="107" t="s">
        <v>418</v>
      </c>
      <c r="E378" s="120">
        <v>1294373.6592307687</v>
      </c>
      <c r="F378" s="120" t="s">
        <v>250</v>
      </c>
      <c r="G378" s="120">
        <v>0</v>
      </c>
      <c r="H378" s="120" t="s">
        <v>250</v>
      </c>
      <c r="I378" s="120">
        <v>0</v>
      </c>
      <c r="J378" s="120">
        <v>15220.971733961716</v>
      </c>
      <c r="K378" s="120" t="s">
        <v>250</v>
      </c>
      <c r="L378" s="120" t="s">
        <v>250</v>
      </c>
      <c r="M378" s="120">
        <v>0</v>
      </c>
      <c r="N378" s="120" t="s">
        <v>250</v>
      </c>
      <c r="O378" s="120">
        <v>15220.971733961716</v>
      </c>
      <c r="P378" s="120">
        <v>7941.940983687</v>
      </c>
      <c r="Q378" s="120">
        <v>7279.0307502747155</v>
      </c>
      <c r="R378" s="120"/>
      <c r="S378" s="121"/>
    </row>
    <row r="379" spans="1:19" ht="15">
      <c r="A379" s="105">
        <v>30</v>
      </c>
      <c r="B379" s="105"/>
      <c r="C379" s="107" t="s">
        <v>545</v>
      </c>
      <c r="D379" s="107" t="s">
        <v>250</v>
      </c>
      <c r="E379" s="120">
        <v>1594218674.1606054</v>
      </c>
      <c r="F379" s="120" t="s">
        <v>250</v>
      </c>
      <c r="G379" s="120">
        <v>1437653904.846</v>
      </c>
      <c r="H379" s="120" t="s">
        <v>250</v>
      </c>
      <c r="I379" s="120">
        <v>77883548.380700797</v>
      </c>
      <c r="J379" s="120">
        <v>20652491.461714134</v>
      </c>
      <c r="K379" s="120" t="s">
        <v>250</v>
      </c>
      <c r="L379" s="120" t="s">
        <v>250</v>
      </c>
      <c r="M379" s="120">
        <v>0</v>
      </c>
      <c r="N379" s="120" t="s">
        <v>250</v>
      </c>
      <c r="O379" s="120">
        <v>20652491.461714134</v>
      </c>
      <c r="P379" s="120">
        <v>10730832.848672355</v>
      </c>
      <c r="Q379" s="120">
        <v>9921658.613041779</v>
      </c>
      <c r="R379" s="120"/>
      <c r="S379" s="121"/>
    </row>
    <row r="380" spans="1:19" ht="15">
      <c r="A380" s="105" t="s">
        <v>250</v>
      </c>
      <c r="B380" s="105"/>
      <c r="C380" s="107" t="s">
        <v>250</v>
      </c>
      <c r="D380" s="107" t="s">
        <v>250</v>
      </c>
      <c r="E380" s="120" t="s">
        <v>250</v>
      </c>
      <c r="F380" s="120" t="s">
        <v>250</v>
      </c>
      <c r="G380" s="120" t="s">
        <v>250</v>
      </c>
      <c r="H380" s="120" t="s">
        <v>250</v>
      </c>
      <c r="I380" s="120" t="s">
        <v>250</v>
      </c>
      <c r="J380" s="120" t="s">
        <v>250</v>
      </c>
      <c r="K380" s="120" t="s">
        <v>250</v>
      </c>
      <c r="L380" s="120" t="s">
        <v>250</v>
      </c>
      <c r="M380" s="120" t="s">
        <v>250</v>
      </c>
      <c r="N380" s="120" t="s">
        <v>250</v>
      </c>
      <c r="O380" s="120" t="s">
        <v>250</v>
      </c>
      <c r="P380" s="120" t="s">
        <v>250</v>
      </c>
      <c r="Q380" s="120" t="s">
        <v>250</v>
      </c>
      <c r="R380" s="120"/>
      <c r="S380" s="121"/>
    </row>
    <row r="381" spans="1:19" ht="15">
      <c r="A381" s="105">
        <v>31</v>
      </c>
      <c r="B381" s="105"/>
      <c r="C381" s="107" t="s">
        <v>546</v>
      </c>
      <c r="D381" s="107" t="s">
        <v>250</v>
      </c>
      <c r="E381" s="120">
        <v>5925988683.7092342</v>
      </c>
      <c r="F381" s="120" t="s">
        <v>250</v>
      </c>
      <c r="G381" s="120">
        <v>5607552484.9532328</v>
      </c>
      <c r="H381" s="120" t="s">
        <v>250</v>
      </c>
      <c r="I381" s="120">
        <v>296210146.52376342</v>
      </c>
      <c r="J381" s="120">
        <v>80254781.704429343</v>
      </c>
      <c r="K381" s="120" t="s">
        <v>250</v>
      </c>
      <c r="L381" s="120" t="s">
        <v>250</v>
      </c>
      <c r="M381" s="120">
        <v>0</v>
      </c>
      <c r="N381" s="120" t="s">
        <v>250</v>
      </c>
      <c r="O381" s="120">
        <v>80254781.704429343</v>
      </c>
      <c r="P381" s="120">
        <v>42210273.87556161</v>
      </c>
      <c r="Q381" s="120">
        <v>38044507.828867733</v>
      </c>
      <c r="R381" s="120"/>
      <c r="S381" s="121"/>
    </row>
    <row r="382" spans="1:19" ht="15">
      <c r="A382" s="105" t="s">
        <v>250</v>
      </c>
      <c r="B382" s="105"/>
      <c r="C382" s="107" t="s">
        <v>250</v>
      </c>
      <c r="D382" s="107" t="s">
        <v>250</v>
      </c>
      <c r="E382" s="120" t="s">
        <v>250</v>
      </c>
      <c r="F382" s="120" t="s">
        <v>250</v>
      </c>
      <c r="G382" s="120" t="s">
        <v>250</v>
      </c>
      <c r="H382" s="120" t="s">
        <v>250</v>
      </c>
      <c r="I382" s="120" t="s">
        <v>250</v>
      </c>
      <c r="J382" s="120" t="s">
        <v>250</v>
      </c>
      <c r="K382" s="120" t="s">
        <v>250</v>
      </c>
      <c r="L382" s="120" t="s">
        <v>250</v>
      </c>
      <c r="M382" s="120" t="s">
        <v>250</v>
      </c>
      <c r="N382" s="120" t="s">
        <v>250</v>
      </c>
      <c r="O382" s="120" t="s">
        <v>250</v>
      </c>
      <c r="P382" s="120" t="s">
        <v>250</v>
      </c>
      <c r="Q382" s="120" t="s">
        <v>250</v>
      </c>
      <c r="R382" s="120"/>
      <c r="S382" s="121"/>
    </row>
    <row r="383" spans="1:19" ht="15">
      <c r="A383" s="105" t="s">
        <v>250</v>
      </c>
      <c r="B383" s="105"/>
      <c r="C383" s="107" t="s">
        <v>250</v>
      </c>
      <c r="D383" s="107" t="s">
        <v>250</v>
      </c>
      <c r="E383" s="120" t="s">
        <v>250</v>
      </c>
      <c r="F383" s="120" t="s">
        <v>250</v>
      </c>
      <c r="G383" s="120" t="s">
        <v>250</v>
      </c>
      <c r="H383" s="120" t="s">
        <v>250</v>
      </c>
      <c r="I383" s="120" t="s">
        <v>250</v>
      </c>
      <c r="J383" s="120" t="s">
        <v>250</v>
      </c>
      <c r="K383" s="120" t="s">
        <v>250</v>
      </c>
      <c r="L383" s="120" t="s">
        <v>250</v>
      </c>
      <c r="M383" s="120" t="s">
        <v>250</v>
      </c>
      <c r="N383" s="120" t="s">
        <v>250</v>
      </c>
      <c r="O383" s="120" t="s">
        <v>250</v>
      </c>
      <c r="P383" s="120" t="s">
        <v>250</v>
      </c>
      <c r="Q383" s="120" t="s">
        <v>250</v>
      </c>
      <c r="R383" s="120"/>
      <c r="S383" s="121"/>
    </row>
    <row r="384" spans="1:19" ht="15">
      <c r="A384" s="105" t="s">
        <v>250</v>
      </c>
      <c r="B384" s="129"/>
      <c r="C384" s="107" t="s">
        <v>278</v>
      </c>
      <c r="D384" s="107" t="s">
        <v>250</v>
      </c>
      <c r="E384" s="120" t="s">
        <v>250</v>
      </c>
      <c r="F384" s="120" t="s">
        <v>250</v>
      </c>
      <c r="G384" s="120" t="s">
        <v>250</v>
      </c>
      <c r="H384" s="120" t="s">
        <v>250</v>
      </c>
      <c r="I384" s="120" t="s">
        <v>250</v>
      </c>
      <c r="J384" s="120" t="s">
        <v>250</v>
      </c>
      <c r="K384" s="120" t="s">
        <v>250</v>
      </c>
      <c r="L384" s="120" t="s">
        <v>250</v>
      </c>
      <c r="M384" s="120" t="s">
        <v>250</v>
      </c>
      <c r="N384" s="120" t="s">
        <v>250</v>
      </c>
      <c r="O384" s="120" t="s">
        <v>250</v>
      </c>
      <c r="P384" s="120" t="s">
        <v>250</v>
      </c>
      <c r="Q384" s="120" t="s">
        <v>250</v>
      </c>
      <c r="R384" s="120"/>
      <c r="S384" s="121"/>
    </row>
    <row r="385" spans="1:19" ht="15">
      <c r="A385" s="105" t="s">
        <v>250</v>
      </c>
      <c r="B385" s="129" t="str">
        <f t="shared" ref="B385:B449" si="12">MID(C385,3,3)</f>
        <v/>
      </c>
      <c r="C385" s="107" t="s">
        <v>250</v>
      </c>
      <c r="D385" s="107" t="s">
        <v>250</v>
      </c>
      <c r="E385" s="120" t="s">
        <v>250</v>
      </c>
      <c r="F385" s="120" t="s">
        <v>250</v>
      </c>
      <c r="G385" s="120" t="s">
        <v>250</v>
      </c>
      <c r="H385" s="120" t="s">
        <v>250</v>
      </c>
      <c r="I385" s="120" t="s">
        <v>250</v>
      </c>
      <c r="J385" s="120" t="s">
        <v>250</v>
      </c>
      <c r="K385" s="120" t="s">
        <v>250</v>
      </c>
      <c r="L385" s="120" t="s">
        <v>250</v>
      </c>
      <c r="M385" s="120" t="s">
        <v>250</v>
      </c>
      <c r="N385" s="120" t="s">
        <v>250</v>
      </c>
      <c r="O385" s="120" t="s">
        <v>250</v>
      </c>
      <c r="P385" s="120" t="s">
        <v>250</v>
      </c>
      <c r="Q385" s="120" t="s">
        <v>250</v>
      </c>
      <c r="R385" s="120"/>
      <c r="S385" s="121"/>
    </row>
    <row r="386" spans="1:19" ht="15">
      <c r="A386" s="105" t="s">
        <v>250</v>
      </c>
      <c r="B386" s="129"/>
      <c r="C386" s="107" t="s">
        <v>547</v>
      </c>
      <c r="D386" s="107" t="s">
        <v>250</v>
      </c>
      <c r="E386" s="120" t="s">
        <v>250</v>
      </c>
      <c r="F386" s="120" t="s">
        <v>250</v>
      </c>
      <c r="G386" s="120" t="s">
        <v>250</v>
      </c>
      <c r="H386" s="120" t="s">
        <v>250</v>
      </c>
      <c r="I386" s="120" t="s">
        <v>250</v>
      </c>
      <c r="J386" s="120" t="s">
        <v>250</v>
      </c>
      <c r="K386" s="120" t="s">
        <v>250</v>
      </c>
      <c r="L386" s="120" t="s">
        <v>250</v>
      </c>
      <c r="M386" s="120" t="s">
        <v>250</v>
      </c>
      <c r="N386" s="120" t="s">
        <v>250</v>
      </c>
      <c r="O386" s="120" t="s">
        <v>250</v>
      </c>
      <c r="P386" s="120" t="s">
        <v>250</v>
      </c>
      <c r="Q386" s="120" t="s">
        <v>250</v>
      </c>
      <c r="R386" s="120"/>
      <c r="S386" s="121"/>
    </row>
    <row r="387" spans="1:19" ht="15">
      <c r="A387" s="105">
        <v>1</v>
      </c>
      <c r="B387" s="129" t="str">
        <f t="shared" si="12"/>
        <v>440</v>
      </c>
      <c r="C387" s="107" t="s">
        <v>548</v>
      </c>
      <c r="D387" s="107" t="s">
        <v>250</v>
      </c>
      <c r="E387" s="120">
        <v>686915543.30342388</v>
      </c>
      <c r="F387" s="120" t="s">
        <v>250</v>
      </c>
      <c r="G387" s="120">
        <v>645498445.13669002</v>
      </c>
      <c r="H387" s="120" t="s">
        <v>250</v>
      </c>
      <c r="I387" s="120">
        <v>41417098.166733816</v>
      </c>
      <c r="J387" s="120">
        <v>0</v>
      </c>
      <c r="K387" s="120" t="s">
        <v>250</v>
      </c>
      <c r="L387" s="120" t="s">
        <v>250</v>
      </c>
      <c r="M387" s="120">
        <v>0</v>
      </c>
      <c r="N387" s="120" t="s">
        <v>250</v>
      </c>
      <c r="O387" s="120">
        <v>0</v>
      </c>
      <c r="P387" s="120">
        <v>0</v>
      </c>
      <c r="Q387" s="120">
        <v>0</v>
      </c>
      <c r="R387" s="120"/>
      <c r="S387" s="121"/>
    </row>
    <row r="388" spans="1:19" ht="15">
      <c r="A388" s="105">
        <v>2</v>
      </c>
      <c r="B388" s="129" t="str">
        <f t="shared" si="12"/>
        <v>442</v>
      </c>
      <c r="C388" s="107" t="s">
        <v>549</v>
      </c>
      <c r="D388" s="107" t="s">
        <v>250</v>
      </c>
      <c r="E388" s="120">
        <v>430116615.75865459</v>
      </c>
      <c r="F388" s="120" t="s">
        <v>250</v>
      </c>
      <c r="G388" s="120">
        <v>412153544.04914832</v>
      </c>
      <c r="H388" s="120" t="s">
        <v>250</v>
      </c>
      <c r="I388" s="120">
        <v>17963071.709506247</v>
      </c>
      <c r="J388" s="120">
        <v>0</v>
      </c>
      <c r="K388" s="120" t="s">
        <v>250</v>
      </c>
      <c r="L388" s="120" t="s">
        <v>250</v>
      </c>
      <c r="M388" s="120">
        <v>0</v>
      </c>
      <c r="N388" s="120" t="s">
        <v>250</v>
      </c>
      <c r="O388" s="120">
        <v>0</v>
      </c>
      <c r="P388" s="120">
        <v>0</v>
      </c>
      <c r="Q388" s="120">
        <v>0</v>
      </c>
      <c r="R388" s="120"/>
      <c r="S388" s="121"/>
    </row>
    <row r="389" spans="1:19" ht="15">
      <c r="A389" s="105">
        <v>3</v>
      </c>
      <c r="B389" s="129" t="str">
        <f t="shared" si="12"/>
        <v>442</v>
      </c>
      <c r="C389" s="107" t="s">
        <v>550</v>
      </c>
      <c r="D389" s="107" t="s">
        <v>250</v>
      </c>
      <c r="E389" s="120">
        <v>361308655.23026764</v>
      </c>
      <c r="F389" s="120" t="s">
        <v>250</v>
      </c>
      <c r="G389" s="120">
        <v>353118959.00594628</v>
      </c>
      <c r="H389" s="120" t="s">
        <v>250</v>
      </c>
      <c r="I389" s="120">
        <v>8189696.2243213933</v>
      </c>
      <c r="J389" s="120">
        <v>0</v>
      </c>
      <c r="K389" s="120" t="s">
        <v>250</v>
      </c>
      <c r="L389" s="120" t="s">
        <v>250</v>
      </c>
      <c r="M389" s="120">
        <v>0</v>
      </c>
      <c r="N389" s="120" t="s">
        <v>250</v>
      </c>
      <c r="O389" s="120">
        <v>0</v>
      </c>
      <c r="P389" s="120">
        <v>0</v>
      </c>
      <c r="Q389" s="120">
        <v>0</v>
      </c>
      <c r="R389" s="120"/>
      <c r="S389" s="121"/>
    </row>
    <row r="390" spans="1:19" ht="15">
      <c r="A390" s="105">
        <v>4</v>
      </c>
      <c r="B390" s="129" t="str">
        <f t="shared" si="12"/>
        <v>444</v>
      </c>
      <c r="C390" s="107" t="s">
        <v>551</v>
      </c>
      <c r="D390" s="107" t="s">
        <v>250</v>
      </c>
      <c r="E390" s="120">
        <v>11423230.290103801</v>
      </c>
      <c r="F390" s="120" t="s">
        <v>250</v>
      </c>
      <c r="G390" s="120">
        <v>11043891.781045847</v>
      </c>
      <c r="H390" s="120" t="s">
        <v>250</v>
      </c>
      <c r="I390" s="120">
        <v>379338.50905795401</v>
      </c>
      <c r="J390" s="120">
        <v>0</v>
      </c>
      <c r="K390" s="120" t="s">
        <v>250</v>
      </c>
      <c r="L390" s="120" t="s">
        <v>250</v>
      </c>
      <c r="M390" s="120">
        <v>0</v>
      </c>
      <c r="N390" s="120" t="s">
        <v>250</v>
      </c>
      <c r="O390" s="120">
        <v>0</v>
      </c>
      <c r="P390" s="120">
        <v>0</v>
      </c>
      <c r="Q390" s="120">
        <v>0</v>
      </c>
      <c r="R390" s="120"/>
      <c r="S390" s="121"/>
    </row>
    <row r="391" spans="1:19" ht="15">
      <c r="A391" s="105">
        <v>5</v>
      </c>
      <c r="B391" s="129" t="str">
        <f t="shared" si="12"/>
        <v>445</v>
      </c>
      <c r="C391" s="107" t="s">
        <v>552</v>
      </c>
      <c r="D391" s="107" t="s">
        <v>250</v>
      </c>
      <c r="E391" s="120">
        <v>132633077.62242344</v>
      </c>
      <c r="F391" s="120" t="s">
        <v>250</v>
      </c>
      <c r="G391" s="120">
        <v>125787029.88222556</v>
      </c>
      <c r="H391" s="120" t="s">
        <v>250</v>
      </c>
      <c r="I391" s="120">
        <v>6846047.7401978765</v>
      </c>
      <c r="J391" s="120">
        <v>0</v>
      </c>
      <c r="K391" s="120" t="s">
        <v>250</v>
      </c>
      <c r="L391" s="120" t="s">
        <v>250</v>
      </c>
      <c r="M391" s="120">
        <v>0</v>
      </c>
      <c r="N391" s="120" t="s">
        <v>250</v>
      </c>
      <c r="O391" s="120">
        <v>0</v>
      </c>
      <c r="P391" s="120">
        <v>0</v>
      </c>
      <c r="Q391" s="120">
        <v>0</v>
      </c>
      <c r="R391" s="120"/>
      <c r="S391" s="121"/>
    </row>
    <row r="392" spans="1:19" ht="15">
      <c r="A392" s="105">
        <v>6</v>
      </c>
      <c r="B392" s="129" t="str">
        <f t="shared" si="12"/>
        <v>447</v>
      </c>
      <c r="C392" s="107" t="s">
        <v>553</v>
      </c>
      <c r="D392" s="107" t="s">
        <v>250</v>
      </c>
      <c r="E392" s="120">
        <v>22976700.318359286</v>
      </c>
      <c r="F392" s="120" t="s">
        <v>250</v>
      </c>
      <c r="G392" s="120">
        <v>0</v>
      </c>
      <c r="H392" s="120" t="s">
        <v>250</v>
      </c>
      <c r="I392" s="120">
        <v>0</v>
      </c>
      <c r="J392" s="120">
        <v>22976700.318359286</v>
      </c>
      <c r="K392" s="120" t="s">
        <v>250</v>
      </c>
      <c r="L392" s="120" t="s">
        <v>250</v>
      </c>
      <c r="M392" s="120">
        <v>0</v>
      </c>
      <c r="N392" s="120" t="s">
        <v>250</v>
      </c>
      <c r="O392" s="120">
        <v>22976700.318359286</v>
      </c>
      <c r="P392" s="120">
        <v>11103222.254691027</v>
      </c>
      <c r="Q392" s="120">
        <v>11873478.06366826</v>
      </c>
      <c r="R392" s="120"/>
      <c r="S392" s="121"/>
    </row>
    <row r="393" spans="1:19" ht="15">
      <c r="A393" s="105">
        <v>7</v>
      </c>
      <c r="B393" s="129" t="str">
        <f t="shared" si="12"/>
        <v>447</v>
      </c>
      <c r="C393" s="107" t="s">
        <v>2217</v>
      </c>
      <c r="D393" s="107" t="s">
        <v>250</v>
      </c>
      <c r="E393" s="120">
        <v>2585.3991486604441</v>
      </c>
      <c r="F393" s="120" t="s">
        <v>250</v>
      </c>
      <c r="G393" s="120">
        <v>0</v>
      </c>
      <c r="H393" s="120" t="s">
        <v>250</v>
      </c>
      <c r="I393" s="120">
        <v>2585.3991486604441</v>
      </c>
      <c r="J393" s="120">
        <v>0</v>
      </c>
      <c r="K393" s="120" t="s">
        <v>250</v>
      </c>
      <c r="L393" s="120" t="s">
        <v>250</v>
      </c>
      <c r="M393" s="120">
        <v>0</v>
      </c>
      <c r="N393" s="120" t="s">
        <v>250</v>
      </c>
      <c r="O393" s="120">
        <v>0</v>
      </c>
      <c r="P393" s="120">
        <v>0</v>
      </c>
      <c r="Q393" s="120">
        <v>0</v>
      </c>
      <c r="R393" s="120"/>
      <c r="S393" s="121"/>
    </row>
    <row r="394" spans="1:19" ht="15">
      <c r="A394" s="105">
        <v>8</v>
      </c>
      <c r="B394" s="129"/>
      <c r="C394" s="107" t="s">
        <v>554</v>
      </c>
      <c r="D394" s="107" t="s">
        <v>250</v>
      </c>
      <c r="E394" s="120" t="s">
        <v>250</v>
      </c>
      <c r="F394" s="120" t="s">
        <v>250</v>
      </c>
      <c r="G394" s="120" t="s">
        <v>250</v>
      </c>
      <c r="H394" s="120" t="s">
        <v>250</v>
      </c>
      <c r="I394" s="120" t="s">
        <v>250</v>
      </c>
      <c r="J394" s="120" t="s">
        <v>250</v>
      </c>
      <c r="K394" s="120" t="s">
        <v>250</v>
      </c>
      <c r="L394" s="120" t="s">
        <v>250</v>
      </c>
      <c r="M394" s="120" t="s">
        <v>250</v>
      </c>
      <c r="N394" s="120" t="s">
        <v>250</v>
      </c>
      <c r="O394" s="120" t="s">
        <v>250</v>
      </c>
      <c r="P394" s="120" t="s">
        <v>250</v>
      </c>
      <c r="Q394" s="120" t="s">
        <v>250</v>
      </c>
      <c r="R394" s="120"/>
      <c r="S394" s="121"/>
    </row>
    <row r="395" spans="1:19" ht="15">
      <c r="A395" s="105">
        <v>9</v>
      </c>
      <c r="B395" s="129" t="str">
        <f t="shared" si="12"/>
        <v xml:space="preserve">   </v>
      </c>
      <c r="C395" s="107" t="s">
        <v>555</v>
      </c>
      <c r="D395" s="107" t="s">
        <v>303</v>
      </c>
      <c r="E395" s="120">
        <v>0</v>
      </c>
      <c r="F395" s="120" t="s">
        <v>250</v>
      </c>
      <c r="G395" s="120">
        <v>0</v>
      </c>
      <c r="H395" s="120" t="s">
        <v>250</v>
      </c>
      <c r="I395" s="120">
        <v>0</v>
      </c>
      <c r="J395" s="120">
        <v>0</v>
      </c>
      <c r="K395" s="120" t="s">
        <v>250</v>
      </c>
      <c r="L395" s="120" t="s">
        <v>250</v>
      </c>
      <c r="M395" s="120">
        <v>0</v>
      </c>
      <c r="N395" s="120" t="s">
        <v>250</v>
      </c>
      <c r="O395" s="120">
        <v>0</v>
      </c>
      <c r="P395" s="120">
        <v>0</v>
      </c>
      <c r="Q395" s="120">
        <v>0</v>
      </c>
      <c r="R395" s="120"/>
      <c r="S395" s="121"/>
    </row>
    <row r="396" spans="1:19" ht="15">
      <c r="A396" s="105">
        <v>10</v>
      </c>
      <c r="B396" s="129" t="str">
        <f t="shared" si="12"/>
        <v xml:space="preserve">   </v>
      </c>
      <c r="C396" s="107" t="s">
        <v>556</v>
      </c>
      <c r="D396" s="107" t="s">
        <v>494</v>
      </c>
      <c r="E396" s="120">
        <v>24271935.417803813</v>
      </c>
      <c r="F396" s="120" t="s">
        <v>250</v>
      </c>
      <c r="G396" s="120">
        <v>22859932.387680039</v>
      </c>
      <c r="H396" s="120" t="s">
        <v>250</v>
      </c>
      <c r="I396" s="120">
        <v>918046.83724507224</v>
      </c>
      <c r="J396" s="120">
        <v>493956.19287870027</v>
      </c>
      <c r="K396" s="120" t="s">
        <v>250</v>
      </c>
      <c r="L396" s="120" t="s">
        <v>250</v>
      </c>
      <c r="M396" s="120">
        <v>0</v>
      </c>
      <c r="N396" s="120" t="s">
        <v>250</v>
      </c>
      <c r="O396" s="120">
        <v>493956.19287870027</v>
      </c>
      <c r="P396" s="120">
        <v>253534.88844839152</v>
      </c>
      <c r="Q396" s="120">
        <v>240421.30443030875</v>
      </c>
      <c r="R396" s="120"/>
      <c r="S396" s="121"/>
    </row>
    <row r="397" spans="1:19" ht="15">
      <c r="A397" s="105">
        <v>11</v>
      </c>
      <c r="B397" s="129">
        <v>447</v>
      </c>
      <c r="C397" s="107" t="s">
        <v>557</v>
      </c>
      <c r="D397" s="107" t="s">
        <v>250</v>
      </c>
      <c r="E397" s="120">
        <v>24271935.417803813</v>
      </c>
      <c r="F397" s="120" t="s">
        <v>250</v>
      </c>
      <c r="G397" s="120">
        <v>22859932.387680039</v>
      </c>
      <c r="H397" s="120" t="s">
        <v>250</v>
      </c>
      <c r="I397" s="120">
        <v>918046.83724507224</v>
      </c>
      <c r="J397" s="120">
        <v>493956.19287870027</v>
      </c>
      <c r="K397" s="120" t="s">
        <v>250</v>
      </c>
      <c r="L397" s="120" t="s">
        <v>250</v>
      </c>
      <c r="M397" s="120">
        <v>0</v>
      </c>
      <c r="N397" s="120" t="s">
        <v>250</v>
      </c>
      <c r="O397" s="120">
        <v>493956.19287870027</v>
      </c>
      <c r="P397" s="120">
        <v>253534.88844839152</v>
      </c>
      <c r="Q397" s="120">
        <v>240421.30443030875</v>
      </c>
      <c r="R397" s="120"/>
      <c r="S397" s="121"/>
    </row>
    <row r="398" spans="1:19" ht="15">
      <c r="A398" s="105" t="s">
        <v>250</v>
      </c>
      <c r="B398" s="129" t="str">
        <f t="shared" si="12"/>
        <v/>
      </c>
      <c r="C398" s="107" t="s">
        <v>250</v>
      </c>
      <c r="D398" s="107" t="s">
        <v>250</v>
      </c>
      <c r="E398" s="120" t="s">
        <v>250</v>
      </c>
      <c r="F398" s="120" t="s">
        <v>250</v>
      </c>
      <c r="G398" s="120" t="s">
        <v>250</v>
      </c>
      <c r="H398" s="120" t="s">
        <v>250</v>
      </c>
      <c r="I398" s="120" t="s">
        <v>250</v>
      </c>
      <c r="J398" s="120" t="s">
        <v>250</v>
      </c>
      <c r="K398" s="120" t="s">
        <v>250</v>
      </c>
      <c r="L398" s="120" t="s">
        <v>250</v>
      </c>
      <c r="M398" s="120" t="s">
        <v>250</v>
      </c>
      <c r="N398" s="120" t="s">
        <v>250</v>
      </c>
      <c r="O398" s="120" t="s">
        <v>250</v>
      </c>
      <c r="P398" s="120" t="s">
        <v>250</v>
      </c>
      <c r="Q398" s="120" t="s">
        <v>250</v>
      </c>
      <c r="R398" s="120"/>
      <c r="S398" s="121"/>
    </row>
    <row r="399" spans="1:19" ht="15">
      <c r="A399" s="105">
        <v>12</v>
      </c>
      <c r="B399" s="129" t="str">
        <f t="shared" si="12"/>
        <v>449</v>
      </c>
      <c r="C399" s="107" t="s">
        <v>558</v>
      </c>
      <c r="D399" s="107" t="s">
        <v>250</v>
      </c>
      <c r="E399" s="120">
        <v>0</v>
      </c>
      <c r="F399" s="120" t="s">
        <v>250</v>
      </c>
      <c r="G399" s="120">
        <v>0</v>
      </c>
      <c r="H399" s="120" t="s">
        <v>250</v>
      </c>
      <c r="I399" s="120">
        <v>0</v>
      </c>
      <c r="J399" s="120">
        <v>0</v>
      </c>
      <c r="K399" s="120" t="s">
        <v>250</v>
      </c>
      <c r="L399" s="120" t="s">
        <v>250</v>
      </c>
      <c r="M399" s="120">
        <v>0</v>
      </c>
      <c r="N399" s="120" t="s">
        <v>250</v>
      </c>
      <c r="O399" s="120">
        <v>0</v>
      </c>
      <c r="P399" s="120">
        <v>0</v>
      </c>
      <c r="Q399" s="120">
        <v>0</v>
      </c>
      <c r="R399" s="120"/>
      <c r="S399" s="121"/>
    </row>
    <row r="400" spans="1:19" ht="15">
      <c r="A400" s="105" t="s">
        <v>250</v>
      </c>
      <c r="B400" s="129" t="str">
        <f t="shared" si="12"/>
        <v/>
      </c>
      <c r="C400" s="107" t="s">
        <v>250</v>
      </c>
      <c r="D400" s="107" t="s">
        <v>250</v>
      </c>
      <c r="E400" s="120" t="s">
        <v>250</v>
      </c>
      <c r="F400" s="120" t="s">
        <v>250</v>
      </c>
      <c r="G400" s="120" t="s">
        <v>250</v>
      </c>
      <c r="H400" s="120" t="s">
        <v>250</v>
      </c>
      <c r="I400" s="120" t="s">
        <v>250</v>
      </c>
      <c r="J400" s="120" t="s">
        <v>250</v>
      </c>
      <c r="K400" s="120" t="s">
        <v>250</v>
      </c>
      <c r="L400" s="120" t="s">
        <v>250</v>
      </c>
      <c r="M400" s="120" t="s">
        <v>250</v>
      </c>
      <c r="N400" s="120" t="s">
        <v>250</v>
      </c>
      <c r="O400" s="120" t="s">
        <v>250</v>
      </c>
      <c r="P400" s="120" t="s">
        <v>250</v>
      </c>
      <c r="Q400" s="120" t="s">
        <v>250</v>
      </c>
      <c r="R400" s="120"/>
      <c r="S400" s="121"/>
    </row>
    <row r="401" spans="1:19" ht="15">
      <c r="A401" s="105">
        <v>13</v>
      </c>
      <c r="B401" s="129"/>
      <c r="C401" s="107" t="s">
        <v>559</v>
      </c>
      <c r="D401" s="107" t="s">
        <v>250</v>
      </c>
      <c r="E401" s="120">
        <v>1669648343.3401852</v>
      </c>
      <c r="F401" s="120" t="s">
        <v>250</v>
      </c>
      <c r="G401" s="120">
        <v>1570461802.2427361</v>
      </c>
      <c r="H401" s="120" t="s">
        <v>250</v>
      </c>
      <c r="I401" s="120">
        <v>75715884.586211026</v>
      </c>
      <c r="J401" s="120">
        <v>23470656.511237986</v>
      </c>
      <c r="K401" s="120" t="s">
        <v>250</v>
      </c>
      <c r="L401" s="120" t="s">
        <v>250</v>
      </c>
      <c r="M401" s="120">
        <v>0</v>
      </c>
      <c r="N401" s="120" t="s">
        <v>250</v>
      </c>
      <c r="O401" s="120">
        <v>23470656.511237986</v>
      </c>
      <c r="P401" s="120">
        <v>11356757.143139418</v>
      </c>
      <c r="Q401" s="120">
        <v>12113899.368098568</v>
      </c>
      <c r="R401" s="120"/>
      <c r="S401" s="121"/>
    </row>
    <row r="402" spans="1:19" ht="15">
      <c r="A402" s="105" t="s">
        <v>250</v>
      </c>
      <c r="B402" s="129" t="str">
        <f t="shared" si="12"/>
        <v/>
      </c>
      <c r="C402" s="107" t="s">
        <v>250</v>
      </c>
      <c r="D402" s="107" t="s">
        <v>250</v>
      </c>
      <c r="E402" s="120" t="s">
        <v>250</v>
      </c>
      <c r="F402" s="120" t="s">
        <v>250</v>
      </c>
      <c r="G402" s="120" t="s">
        <v>250</v>
      </c>
      <c r="H402" s="120" t="s">
        <v>250</v>
      </c>
      <c r="I402" s="120" t="s">
        <v>250</v>
      </c>
      <c r="J402" s="120" t="s">
        <v>250</v>
      </c>
      <c r="K402" s="120" t="s">
        <v>250</v>
      </c>
      <c r="L402" s="120" t="s">
        <v>250</v>
      </c>
      <c r="M402" s="120" t="s">
        <v>250</v>
      </c>
      <c r="N402" s="120" t="s">
        <v>250</v>
      </c>
      <c r="O402" s="120" t="s">
        <v>250</v>
      </c>
      <c r="P402" s="120" t="s">
        <v>250</v>
      </c>
      <c r="Q402" s="120" t="s">
        <v>250</v>
      </c>
      <c r="R402" s="120"/>
      <c r="S402" s="121"/>
    </row>
    <row r="403" spans="1:19" ht="15">
      <c r="A403" s="105" t="s">
        <v>250</v>
      </c>
      <c r="B403" s="129"/>
      <c r="C403" s="107" t="s">
        <v>560</v>
      </c>
      <c r="D403" s="107" t="s">
        <v>250</v>
      </c>
      <c r="E403" s="120" t="s">
        <v>250</v>
      </c>
      <c r="F403" s="120" t="s">
        <v>250</v>
      </c>
      <c r="G403" s="120" t="s">
        <v>250</v>
      </c>
      <c r="H403" s="120" t="s">
        <v>250</v>
      </c>
      <c r="I403" s="120" t="s">
        <v>250</v>
      </c>
      <c r="J403" s="120" t="s">
        <v>250</v>
      </c>
      <c r="K403" s="120" t="s">
        <v>250</v>
      </c>
      <c r="L403" s="120" t="s">
        <v>250</v>
      </c>
      <c r="M403" s="120" t="s">
        <v>250</v>
      </c>
      <c r="N403" s="120" t="s">
        <v>250</v>
      </c>
      <c r="O403" s="120" t="s">
        <v>250</v>
      </c>
      <c r="P403" s="120" t="s">
        <v>250</v>
      </c>
      <c r="Q403" s="120" t="s">
        <v>250</v>
      </c>
      <c r="R403" s="120"/>
      <c r="S403" s="121"/>
    </row>
    <row r="404" spans="1:19" ht="15">
      <c r="A404" s="105">
        <v>14</v>
      </c>
      <c r="B404" s="129" t="str">
        <f t="shared" si="12"/>
        <v>450</v>
      </c>
      <c r="C404" s="107" t="s">
        <v>561</v>
      </c>
      <c r="D404" s="107" t="s">
        <v>562</v>
      </c>
      <c r="E404" s="120">
        <v>1274209.1408324388</v>
      </c>
      <c r="F404" s="120" t="s">
        <v>250</v>
      </c>
      <c r="G404" s="120">
        <v>1222531.9043586303</v>
      </c>
      <c r="H404" s="120" t="s">
        <v>250</v>
      </c>
      <c r="I404" s="120">
        <v>51596.853469311325</v>
      </c>
      <c r="J404" s="120">
        <v>80.383004497170162</v>
      </c>
      <c r="K404" s="120" t="s">
        <v>250</v>
      </c>
      <c r="L404" s="120" t="s">
        <v>250</v>
      </c>
      <c r="M404" s="120">
        <v>0</v>
      </c>
      <c r="N404" s="120" t="s">
        <v>250</v>
      </c>
      <c r="O404" s="120">
        <v>80.383004497170162</v>
      </c>
      <c r="P404" s="120">
        <v>80.383004497170162</v>
      </c>
      <c r="Q404" s="120">
        <v>0</v>
      </c>
      <c r="R404" s="120"/>
      <c r="S404" s="121"/>
    </row>
    <row r="405" spans="1:19" ht="15">
      <c r="A405" s="105">
        <v>15</v>
      </c>
      <c r="B405" s="129" t="str">
        <f t="shared" si="12"/>
        <v>451</v>
      </c>
      <c r="C405" s="107" t="s">
        <v>563</v>
      </c>
      <c r="D405" s="107" t="s">
        <v>564</v>
      </c>
      <c r="E405" s="120">
        <v>723849.95161290199</v>
      </c>
      <c r="F405" s="120" t="s">
        <v>250</v>
      </c>
      <c r="G405" s="120">
        <v>653109.95161290199</v>
      </c>
      <c r="H405" s="120" t="s">
        <v>250</v>
      </c>
      <c r="I405" s="120">
        <v>70740</v>
      </c>
      <c r="J405" s="120">
        <v>0</v>
      </c>
      <c r="K405" s="120" t="s">
        <v>250</v>
      </c>
      <c r="L405" s="120" t="s">
        <v>250</v>
      </c>
      <c r="M405" s="120">
        <v>0</v>
      </c>
      <c r="N405" s="120" t="s">
        <v>250</v>
      </c>
      <c r="O405" s="120">
        <v>0</v>
      </c>
      <c r="P405" s="120">
        <v>0</v>
      </c>
      <c r="Q405" s="120">
        <v>0</v>
      </c>
      <c r="R405" s="120"/>
      <c r="S405" s="121"/>
    </row>
    <row r="406" spans="1:19" ht="15">
      <c r="A406" s="105">
        <v>16</v>
      </c>
      <c r="B406" s="129" t="str">
        <f t="shared" si="12"/>
        <v>451</v>
      </c>
      <c r="C406" s="107" t="s">
        <v>565</v>
      </c>
      <c r="D406" s="107" t="s">
        <v>566</v>
      </c>
      <c r="E406" s="120">
        <v>95329.654999999926</v>
      </c>
      <c r="F406" s="120" t="s">
        <v>250</v>
      </c>
      <c r="G406" s="120">
        <v>95229.654999999926</v>
      </c>
      <c r="H406" s="120" t="s">
        <v>250</v>
      </c>
      <c r="I406" s="120">
        <v>100</v>
      </c>
      <c r="J406" s="120">
        <v>0</v>
      </c>
      <c r="K406" s="120" t="s">
        <v>250</v>
      </c>
      <c r="L406" s="120" t="s">
        <v>250</v>
      </c>
      <c r="M406" s="120">
        <v>0</v>
      </c>
      <c r="N406" s="120" t="s">
        <v>250</v>
      </c>
      <c r="O406" s="120">
        <v>0</v>
      </c>
      <c r="P406" s="120">
        <v>0</v>
      </c>
      <c r="Q406" s="120">
        <v>0</v>
      </c>
      <c r="R406" s="120"/>
      <c r="S406" s="121"/>
    </row>
    <row r="407" spans="1:19" ht="15">
      <c r="A407" s="105">
        <v>17</v>
      </c>
      <c r="B407" s="129" t="str">
        <f t="shared" si="12"/>
        <v>454</v>
      </c>
      <c r="C407" s="107" t="s">
        <v>567</v>
      </c>
      <c r="D407" s="107" t="s">
        <v>568</v>
      </c>
      <c r="E407" s="120">
        <v>3689657.1225000015</v>
      </c>
      <c r="F407" s="120" t="s">
        <v>250</v>
      </c>
      <c r="G407" s="120">
        <v>2678351.372500001</v>
      </c>
      <c r="H407" s="120" t="s">
        <v>250</v>
      </c>
      <c r="I407" s="120">
        <v>789057.5900000002</v>
      </c>
      <c r="J407" s="120">
        <v>222248.16</v>
      </c>
      <c r="K407" s="120" t="s">
        <v>250</v>
      </c>
      <c r="L407" s="120" t="s">
        <v>250</v>
      </c>
      <c r="M407" s="120">
        <v>0</v>
      </c>
      <c r="N407" s="120" t="s">
        <v>250</v>
      </c>
      <c r="O407" s="120">
        <v>222248.16</v>
      </c>
      <c r="P407" s="120">
        <v>222248.16</v>
      </c>
      <c r="Q407" s="120">
        <v>0</v>
      </c>
      <c r="R407" s="120"/>
      <c r="S407" s="121"/>
    </row>
    <row r="408" spans="1:19" ht="15">
      <c r="A408" s="105">
        <v>18</v>
      </c>
      <c r="B408" s="129" t="str">
        <f t="shared" si="12"/>
        <v>454</v>
      </c>
      <c r="C408" s="107" t="s">
        <v>2392</v>
      </c>
      <c r="D408" s="107" t="s">
        <v>511</v>
      </c>
      <c r="E408" s="120">
        <v>2422.2799999999997</v>
      </c>
      <c r="F408" s="120" t="s">
        <v>250</v>
      </c>
      <c r="G408" s="120">
        <v>2422.2799999999997</v>
      </c>
      <c r="H408" s="120" t="s">
        <v>250</v>
      </c>
      <c r="I408" s="120">
        <v>0</v>
      </c>
      <c r="J408" s="120">
        <v>0</v>
      </c>
      <c r="K408" s="120" t="s">
        <v>250</v>
      </c>
      <c r="L408" s="120" t="s">
        <v>250</v>
      </c>
      <c r="M408" s="120">
        <v>0</v>
      </c>
      <c r="N408" s="120" t="s">
        <v>250</v>
      </c>
      <c r="O408" s="120">
        <v>0</v>
      </c>
      <c r="P408" s="120">
        <v>0</v>
      </c>
      <c r="Q408" s="120">
        <v>0</v>
      </c>
      <c r="R408" s="120"/>
      <c r="S408" s="121"/>
    </row>
    <row r="409" spans="1:19" ht="15">
      <c r="A409" s="105">
        <v>19</v>
      </c>
      <c r="B409" s="129" t="str">
        <f t="shared" si="12"/>
        <v>454</v>
      </c>
      <c r="C409" s="107" t="s">
        <v>2393</v>
      </c>
      <c r="D409" s="107" t="s">
        <v>732</v>
      </c>
      <c r="E409" s="120">
        <v>8729367.3800000027</v>
      </c>
      <c r="F409" s="120" t="s">
        <v>250</v>
      </c>
      <c r="G409" s="120">
        <v>8132443.6500000013</v>
      </c>
      <c r="H409" s="120" t="s">
        <v>250</v>
      </c>
      <c r="I409" s="120">
        <v>443678.52</v>
      </c>
      <c r="J409" s="120">
        <v>153245.21000000002</v>
      </c>
      <c r="K409" s="120" t="s">
        <v>250</v>
      </c>
      <c r="L409" s="120" t="s">
        <v>250</v>
      </c>
      <c r="M409" s="120">
        <v>0</v>
      </c>
      <c r="N409" s="120" t="s">
        <v>250</v>
      </c>
      <c r="O409" s="120">
        <v>153245.21000000002</v>
      </c>
      <c r="P409" s="120">
        <v>74053.959120371277</v>
      </c>
      <c r="Q409" s="120">
        <v>79191.250879628758</v>
      </c>
      <c r="R409" s="120"/>
      <c r="S409" s="121"/>
    </row>
    <row r="410" spans="1:19" ht="15">
      <c r="A410" s="105">
        <v>20</v>
      </c>
      <c r="B410" s="129" t="str">
        <f t="shared" si="12"/>
        <v>456</v>
      </c>
      <c r="C410" s="107" t="s">
        <v>569</v>
      </c>
      <c r="D410" s="107" t="s">
        <v>340</v>
      </c>
      <c r="E410" s="120">
        <v>22653311.532927372</v>
      </c>
      <c r="F410" s="120" t="s">
        <v>250</v>
      </c>
      <c r="G410" s="120">
        <v>21671840.387405723</v>
      </c>
      <c r="H410" s="120" t="s">
        <v>250</v>
      </c>
      <c r="I410" s="120">
        <v>981471.14552164788</v>
      </c>
      <c r="J410" s="120">
        <v>0</v>
      </c>
      <c r="K410" s="120" t="s">
        <v>250</v>
      </c>
      <c r="L410" s="120" t="s">
        <v>250</v>
      </c>
      <c r="M410" s="120">
        <v>0</v>
      </c>
      <c r="N410" s="120" t="s">
        <v>250</v>
      </c>
      <c r="O410" s="120">
        <v>0</v>
      </c>
      <c r="P410" s="120">
        <v>0</v>
      </c>
      <c r="Q410" s="120">
        <v>0</v>
      </c>
      <c r="R410" s="120"/>
      <c r="S410" s="121"/>
    </row>
    <row r="411" spans="1:19" ht="15">
      <c r="A411" s="105">
        <v>21</v>
      </c>
      <c r="B411" s="129" t="str">
        <f t="shared" si="12"/>
        <v>456</v>
      </c>
      <c r="C411" s="107" t="s">
        <v>570</v>
      </c>
      <c r="D411" s="107" t="s">
        <v>571</v>
      </c>
      <c r="E411" s="120">
        <v>1318843.8278698453</v>
      </c>
      <c r="F411" s="120" t="s">
        <v>250</v>
      </c>
      <c r="G411" s="120">
        <v>1237224.5242895135</v>
      </c>
      <c r="H411" s="120" t="s">
        <v>250</v>
      </c>
      <c r="I411" s="120">
        <v>56031.243743728272</v>
      </c>
      <c r="J411" s="120">
        <v>25588.059836603399</v>
      </c>
      <c r="K411" s="120" t="s">
        <v>250</v>
      </c>
      <c r="L411" s="120" t="s">
        <v>250</v>
      </c>
      <c r="M411" s="120">
        <v>0</v>
      </c>
      <c r="N411" s="120" t="s">
        <v>250</v>
      </c>
      <c r="O411" s="120">
        <v>25588.059836603399</v>
      </c>
      <c r="P411" s="120">
        <v>12979.695755957498</v>
      </c>
      <c r="Q411" s="120">
        <v>12608.364080645901</v>
      </c>
      <c r="R411" s="120"/>
      <c r="S411" s="121"/>
    </row>
    <row r="412" spans="1:19" ht="15">
      <c r="A412" s="105">
        <v>22</v>
      </c>
      <c r="B412" s="129" t="str">
        <f t="shared" si="12"/>
        <v>456</v>
      </c>
      <c r="C412" s="107" t="s">
        <v>572</v>
      </c>
      <c r="D412" s="107" t="s">
        <v>511</v>
      </c>
      <c r="E412" s="120">
        <v>1081.1500000000003</v>
      </c>
      <c r="F412" s="120" t="s">
        <v>250</v>
      </c>
      <c r="G412" s="120">
        <v>1081.1500000000003</v>
      </c>
      <c r="H412" s="120" t="s">
        <v>250</v>
      </c>
      <c r="I412" s="120">
        <v>0</v>
      </c>
      <c r="J412" s="120">
        <v>0</v>
      </c>
      <c r="K412" s="120" t="s">
        <v>250</v>
      </c>
      <c r="L412" s="120" t="s">
        <v>250</v>
      </c>
      <c r="M412" s="120">
        <v>0</v>
      </c>
      <c r="N412" s="120" t="s">
        <v>250</v>
      </c>
      <c r="O412" s="120">
        <v>0</v>
      </c>
      <c r="P412" s="120">
        <v>0</v>
      </c>
      <c r="Q412" s="120">
        <v>0</v>
      </c>
      <c r="R412" s="120"/>
      <c r="S412" s="121"/>
    </row>
    <row r="413" spans="1:19" ht="15">
      <c r="A413" s="105">
        <v>23</v>
      </c>
      <c r="B413" s="129" t="str">
        <f t="shared" si="12"/>
        <v>456</v>
      </c>
      <c r="C413" s="107" t="s">
        <v>3691</v>
      </c>
      <c r="D413" s="107" t="s">
        <v>494</v>
      </c>
      <c r="E413" s="120">
        <v>105306.77999999998</v>
      </c>
      <c r="F413" s="120" t="s">
        <v>250</v>
      </c>
      <c r="G413" s="120">
        <v>99180.631017932872</v>
      </c>
      <c r="H413" s="120" t="s">
        <v>250</v>
      </c>
      <c r="I413" s="120">
        <v>3983.0592268529595</v>
      </c>
      <c r="J413" s="120">
        <v>2143.0897552141505</v>
      </c>
      <c r="K413" s="120" t="s">
        <v>250</v>
      </c>
      <c r="L413" s="120" t="s">
        <v>250</v>
      </c>
      <c r="M413" s="120">
        <v>0</v>
      </c>
      <c r="N413" s="120" t="s">
        <v>250</v>
      </c>
      <c r="O413" s="120">
        <v>2143.0897552141505</v>
      </c>
      <c r="P413" s="120">
        <v>1099.9923269643857</v>
      </c>
      <c r="Q413" s="120">
        <v>1043.097428249765</v>
      </c>
      <c r="R413" s="120"/>
      <c r="S413" s="121"/>
    </row>
    <row r="414" spans="1:19" ht="15">
      <c r="A414" s="105">
        <v>24</v>
      </c>
      <c r="B414" s="129" t="str">
        <f t="shared" si="12"/>
        <v>456</v>
      </c>
      <c r="C414" s="107" t="s">
        <v>573</v>
      </c>
      <c r="D414" s="107" t="s">
        <v>574</v>
      </c>
      <c r="E414" s="120">
        <v>53752.000000000007</v>
      </c>
      <c r="F414" s="120" t="s">
        <v>250</v>
      </c>
      <c r="G414" s="120">
        <v>45878.000000000007</v>
      </c>
      <c r="H414" s="120" t="s">
        <v>250</v>
      </c>
      <c r="I414" s="120">
        <v>7874.0000000000009</v>
      </c>
      <c r="J414" s="120">
        <v>0</v>
      </c>
      <c r="K414" s="120" t="s">
        <v>250</v>
      </c>
      <c r="L414" s="120" t="s">
        <v>250</v>
      </c>
      <c r="M414" s="120">
        <v>0</v>
      </c>
      <c r="N414" s="120" t="s">
        <v>250</v>
      </c>
      <c r="O414" s="120">
        <v>0</v>
      </c>
      <c r="P414" s="120">
        <v>0</v>
      </c>
      <c r="Q414" s="120">
        <v>0</v>
      </c>
      <c r="R414" s="120"/>
      <c r="S414" s="121"/>
    </row>
    <row r="415" spans="1:19" ht="15">
      <c r="A415" s="105">
        <v>25</v>
      </c>
      <c r="B415" s="129" t="str">
        <f t="shared" si="12"/>
        <v>456</v>
      </c>
      <c r="C415" s="107" t="s">
        <v>575</v>
      </c>
      <c r="D415" s="107" t="s">
        <v>576</v>
      </c>
      <c r="E415" s="120">
        <v>37846.9950000014</v>
      </c>
      <c r="F415" s="120" t="s">
        <v>250</v>
      </c>
      <c r="G415" s="120">
        <v>37846.9950000014</v>
      </c>
      <c r="H415" s="120" t="s">
        <v>250</v>
      </c>
      <c r="I415" s="120">
        <v>0</v>
      </c>
      <c r="J415" s="120">
        <v>0</v>
      </c>
      <c r="K415" s="120" t="s">
        <v>250</v>
      </c>
      <c r="L415" s="120" t="s">
        <v>250</v>
      </c>
      <c r="M415" s="120">
        <v>0</v>
      </c>
      <c r="N415" s="120" t="s">
        <v>250</v>
      </c>
      <c r="O415" s="120">
        <v>0</v>
      </c>
      <c r="P415" s="120">
        <v>0</v>
      </c>
      <c r="Q415" s="120">
        <v>0</v>
      </c>
      <c r="R415" s="120"/>
      <c r="S415" s="121"/>
    </row>
    <row r="416" spans="1:19" ht="15">
      <c r="A416" s="105">
        <v>26</v>
      </c>
      <c r="B416" s="129" t="str">
        <f t="shared" si="12"/>
        <v>456</v>
      </c>
      <c r="C416" s="107" t="s">
        <v>577</v>
      </c>
      <c r="D416" s="107" t="s">
        <v>578</v>
      </c>
      <c r="E416" s="120">
        <v>33304.956666666658</v>
      </c>
      <c r="F416" s="120" t="s">
        <v>250</v>
      </c>
      <c r="G416" s="120">
        <v>32152.956666666658</v>
      </c>
      <c r="H416" s="120" t="s">
        <v>250</v>
      </c>
      <c r="I416" s="120">
        <v>1152</v>
      </c>
      <c r="J416" s="120">
        <v>0</v>
      </c>
      <c r="K416" s="120" t="s">
        <v>250</v>
      </c>
      <c r="L416" s="120" t="s">
        <v>250</v>
      </c>
      <c r="M416" s="120">
        <v>0</v>
      </c>
      <c r="N416" s="120" t="s">
        <v>250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27</v>
      </c>
      <c r="B417" s="129" t="str">
        <f t="shared" si="12"/>
        <v>456</v>
      </c>
      <c r="C417" s="107" t="s">
        <v>2394</v>
      </c>
      <c r="D417" s="107" t="s">
        <v>732</v>
      </c>
      <c r="E417" s="120">
        <v>271641.78000000003</v>
      </c>
      <c r="F417" s="120" t="s">
        <v>250</v>
      </c>
      <c r="G417" s="120">
        <v>262820.22000000003</v>
      </c>
      <c r="H417" s="120" t="s">
        <v>250</v>
      </c>
      <c r="I417" s="120">
        <v>8821.56</v>
      </c>
      <c r="J417" s="120">
        <v>0</v>
      </c>
      <c r="K417" s="120" t="s">
        <v>250</v>
      </c>
      <c r="L417" s="120" t="s">
        <v>250</v>
      </c>
      <c r="M417" s="120">
        <v>0</v>
      </c>
      <c r="N417" s="120" t="s">
        <v>250</v>
      </c>
      <c r="O417" s="120">
        <v>0</v>
      </c>
      <c r="P417" s="120">
        <v>0</v>
      </c>
      <c r="Q417" s="120">
        <v>0</v>
      </c>
      <c r="R417" s="120"/>
      <c r="S417" s="121"/>
    </row>
    <row r="418" spans="1:19" ht="15">
      <c r="A418" s="105">
        <v>28</v>
      </c>
      <c r="B418" s="129" t="str">
        <f t="shared" si="12"/>
        <v>TAL</v>
      </c>
      <c r="C418" s="107" t="s">
        <v>579</v>
      </c>
      <c r="D418" s="107" t="s">
        <v>250</v>
      </c>
      <c r="E418" s="120">
        <v>38989924.552409224</v>
      </c>
      <c r="F418" s="120" t="s">
        <v>250</v>
      </c>
      <c r="G418" s="120">
        <v>36172113.677851364</v>
      </c>
      <c r="H418" s="120" t="s">
        <v>250</v>
      </c>
      <c r="I418" s="120">
        <v>2414505.9719615406</v>
      </c>
      <c r="J418" s="120">
        <v>403304.90259631479</v>
      </c>
      <c r="K418" s="120" t="s">
        <v>250</v>
      </c>
      <c r="L418" s="120" t="s">
        <v>250</v>
      </c>
      <c r="M418" s="120">
        <v>0</v>
      </c>
      <c r="N418" s="120" t="s">
        <v>250</v>
      </c>
      <c r="O418" s="120">
        <v>403304.90259631479</v>
      </c>
      <c r="P418" s="120">
        <v>310462.19020779035</v>
      </c>
      <c r="Q418" s="120">
        <v>92842.712388524422</v>
      </c>
      <c r="R418" s="120"/>
      <c r="S418" s="121"/>
    </row>
    <row r="419" spans="1:19" ht="15">
      <c r="A419" s="105" t="s">
        <v>250</v>
      </c>
      <c r="B419" s="129"/>
      <c r="C419" s="107" t="s">
        <v>250</v>
      </c>
      <c r="D419" s="107" t="s">
        <v>250</v>
      </c>
      <c r="E419" s="120" t="s">
        <v>250</v>
      </c>
      <c r="F419" s="120" t="s">
        <v>250</v>
      </c>
      <c r="G419" s="120" t="s">
        <v>250</v>
      </c>
      <c r="H419" s="120" t="s">
        <v>250</v>
      </c>
      <c r="I419" s="120" t="s">
        <v>250</v>
      </c>
      <c r="J419" s="120" t="s">
        <v>250</v>
      </c>
      <c r="K419" s="120" t="s">
        <v>250</v>
      </c>
      <c r="L419" s="120" t="s">
        <v>250</v>
      </c>
      <c r="M419" s="120" t="s">
        <v>250</v>
      </c>
      <c r="N419" s="120" t="s">
        <v>250</v>
      </c>
      <c r="O419" s="120" t="s">
        <v>250</v>
      </c>
      <c r="P419" s="120" t="s">
        <v>250</v>
      </c>
      <c r="Q419" s="120" t="s">
        <v>250</v>
      </c>
      <c r="R419" s="120"/>
      <c r="S419" s="121"/>
    </row>
    <row r="420" spans="1:19" ht="15">
      <c r="A420" s="105">
        <v>29</v>
      </c>
      <c r="B420" s="129" t="str">
        <f t="shared" si="12"/>
        <v>TAL</v>
      </c>
      <c r="C420" s="107" t="s">
        <v>580</v>
      </c>
      <c r="D420" s="107" t="s">
        <v>250</v>
      </c>
      <c r="E420" s="120">
        <v>1708638267.8925943</v>
      </c>
      <c r="F420" s="120" t="s">
        <v>250</v>
      </c>
      <c r="G420" s="120">
        <v>1606633915.9205875</v>
      </c>
      <c r="H420" s="120" t="s">
        <v>250</v>
      </c>
      <c r="I420" s="120">
        <v>78130390.558172569</v>
      </c>
      <c r="J420" s="120">
        <v>23873961.413834304</v>
      </c>
      <c r="K420" s="120" t="s">
        <v>250</v>
      </c>
      <c r="L420" s="120" t="s">
        <v>250</v>
      </c>
      <c r="M420" s="120">
        <v>0</v>
      </c>
      <c r="N420" s="120" t="s">
        <v>250</v>
      </c>
      <c r="O420" s="120">
        <v>23873961.413834304</v>
      </c>
      <c r="P420" s="120">
        <v>11667219.333347209</v>
      </c>
      <c r="Q420" s="120">
        <v>12206742.080487093</v>
      </c>
      <c r="R420" s="120"/>
      <c r="S420" s="121"/>
    </row>
    <row r="421" spans="1:19" ht="15">
      <c r="A421" s="105" t="s">
        <v>250</v>
      </c>
      <c r="B421" s="129"/>
      <c r="C421" s="107" t="s">
        <v>250</v>
      </c>
      <c r="D421" s="107" t="s">
        <v>250</v>
      </c>
      <c r="E421" s="120" t="s">
        <v>250</v>
      </c>
      <c r="F421" s="120" t="s">
        <v>250</v>
      </c>
      <c r="G421" s="120" t="s">
        <v>250</v>
      </c>
      <c r="H421" s="120" t="s">
        <v>250</v>
      </c>
      <c r="I421" s="120" t="s">
        <v>250</v>
      </c>
      <c r="J421" s="120" t="s">
        <v>250</v>
      </c>
      <c r="K421" s="120" t="s">
        <v>250</v>
      </c>
      <c r="L421" s="120" t="s">
        <v>250</v>
      </c>
      <c r="M421" s="120" t="s">
        <v>250</v>
      </c>
      <c r="N421" s="120" t="s">
        <v>250</v>
      </c>
      <c r="O421" s="120" t="s">
        <v>250</v>
      </c>
      <c r="P421" s="120" t="s">
        <v>250</v>
      </c>
      <c r="Q421" s="120" t="s">
        <v>250</v>
      </c>
      <c r="R421" s="120"/>
      <c r="S421" s="121"/>
    </row>
    <row r="422" spans="1:19" ht="15">
      <c r="A422" s="105" t="s">
        <v>250</v>
      </c>
      <c r="B422" s="129" t="str">
        <f t="shared" si="12"/>
        <v/>
      </c>
      <c r="C422" s="107" t="s">
        <v>250</v>
      </c>
      <c r="D422" s="107" t="s">
        <v>250</v>
      </c>
      <c r="E422" s="120" t="s">
        <v>250</v>
      </c>
      <c r="F422" s="120" t="s">
        <v>250</v>
      </c>
      <c r="G422" s="120" t="s">
        <v>250</v>
      </c>
      <c r="H422" s="120" t="s">
        <v>250</v>
      </c>
      <c r="I422" s="120" t="s">
        <v>250</v>
      </c>
      <c r="J422" s="120" t="s">
        <v>250</v>
      </c>
      <c r="K422" s="120" t="s">
        <v>250</v>
      </c>
      <c r="L422" s="120" t="s">
        <v>250</v>
      </c>
      <c r="M422" s="120" t="s">
        <v>250</v>
      </c>
      <c r="N422" s="120" t="s">
        <v>250</v>
      </c>
      <c r="O422" s="120" t="s">
        <v>250</v>
      </c>
      <c r="P422" s="120" t="s">
        <v>250</v>
      </c>
      <c r="Q422" s="120" t="s">
        <v>250</v>
      </c>
      <c r="R422" s="120"/>
      <c r="S422" s="121"/>
    </row>
    <row r="423" spans="1:19" ht="15">
      <c r="A423" s="105" t="s">
        <v>250</v>
      </c>
      <c r="B423" s="129" t="str">
        <f t="shared" si="12"/>
        <v>ERA</v>
      </c>
      <c r="C423" s="107" t="s">
        <v>581</v>
      </c>
      <c r="D423" s="107" t="s">
        <v>250</v>
      </c>
      <c r="E423" s="120" t="s">
        <v>250</v>
      </c>
      <c r="F423" s="120" t="s">
        <v>250</v>
      </c>
      <c r="G423" s="120" t="s">
        <v>250</v>
      </c>
      <c r="H423" s="120" t="s">
        <v>250</v>
      </c>
      <c r="I423" s="120" t="s">
        <v>250</v>
      </c>
      <c r="J423" s="120" t="s">
        <v>250</v>
      </c>
      <c r="K423" s="120" t="s">
        <v>250</v>
      </c>
      <c r="L423" s="120" t="s">
        <v>250</v>
      </c>
      <c r="M423" s="120" t="s">
        <v>250</v>
      </c>
      <c r="N423" s="120" t="s">
        <v>250</v>
      </c>
      <c r="O423" s="120" t="s">
        <v>250</v>
      </c>
      <c r="P423" s="120" t="s">
        <v>250</v>
      </c>
      <c r="Q423" s="120" t="s">
        <v>250</v>
      </c>
      <c r="R423" s="120"/>
      <c r="S423" s="121"/>
    </row>
    <row r="424" spans="1:19" ht="15">
      <c r="A424" s="105" t="s">
        <v>250</v>
      </c>
      <c r="B424" s="129"/>
      <c r="C424" s="107" t="s">
        <v>250</v>
      </c>
      <c r="D424" s="107" t="s">
        <v>250</v>
      </c>
      <c r="E424" s="120" t="s">
        <v>250</v>
      </c>
      <c r="F424" s="120" t="s">
        <v>250</v>
      </c>
      <c r="G424" s="120" t="s">
        <v>250</v>
      </c>
      <c r="H424" s="120" t="s">
        <v>250</v>
      </c>
      <c r="I424" s="120" t="s">
        <v>250</v>
      </c>
      <c r="J424" s="120" t="s">
        <v>250</v>
      </c>
      <c r="K424" s="120" t="s">
        <v>250</v>
      </c>
      <c r="L424" s="120" t="s">
        <v>250</v>
      </c>
      <c r="M424" s="120" t="s">
        <v>250</v>
      </c>
      <c r="N424" s="120" t="s">
        <v>250</v>
      </c>
      <c r="O424" s="120" t="s">
        <v>250</v>
      </c>
      <c r="P424" s="120" t="s">
        <v>250</v>
      </c>
      <c r="Q424" s="120" t="s">
        <v>250</v>
      </c>
      <c r="R424" s="120"/>
      <c r="S424" s="121"/>
    </row>
    <row r="425" spans="1:19" ht="15">
      <c r="A425" s="105" t="s">
        <v>250</v>
      </c>
      <c r="B425" s="129" t="str">
        <f t="shared" si="12"/>
        <v>ODU</v>
      </c>
      <c r="C425" s="107" t="s">
        <v>582</v>
      </c>
      <c r="D425" s="107" t="s">
        <v>250</v>
      </c>
      <c r="E425" s="120" t="s">
        <v>250</v>
      </c>
      <c r="F425" s="120" t="s">
        <v>250</v>
      </c>
      <c r="G425" s="120" t="s">
        <v>250</v>
      </c>
      <c r="H425" s="120" t="s">
        <v>250</v>
      </c>
      <c r="I425" s="120" t="s">
        <v>250</v>
      </c>
      <c r="J425" s="120" t="s">
        <v>250</v>
      </c>
      <c r="K425" s="120" t="s">
        <v>250</v>
      </c>
      <c r="L425" s="120" t="s">
        <v>250</v>
      </c>
      <c r="M425" s="120" t="s">
        <v>250</v>
      </c>
      <c r="N425" s="120" t="s">
        <v>250</v>
      </c>
      <c r="O425" s="120" t="s">
        <v>250</v>
      </c>
      <c r="P425" s="120" t="s">
        <v>250</v>
      </c>
      <c r="Q425" s="120" t="s">
        <v>250</v>
      </c>
      <c r="R425" s="120"/>
      <c r="S425" s="121"/>
    </row>
    <row r="426" spans="1:19" ht="15">
      <c r="A426" s="105">
        <v>1</v>
      </c>
      <c r="B426" s="129"/>
      <c r="C426" s="107" t="s">
        <v>583</v>
      </c>
      <c r="D426" s="107" t="s">
        <v>584</v>
      </c>
      <c r="E426" s="120">
        <v>6091774.3699999908</v>
      </c>
      <c r="F426" s="120" t="s">
        <v>250</v>
      </c>
      <c r="G426" s="120">
        <v>5700638.0202994253</v>
      </c>
      <c r="H426" s="120" t="s">
        <v>250</v>
      </c>
      <c r="I426" s="120">
        <v>264053.59306272672</v>
      </c>
      <c r="J426" s="120">
        <v>127082.75663783841</v>
      </c>
      <c r="K426" s="120" t="s">
        <v>250</v>
      </c>
      <c r="L426" s="120" t="s">
        <v>250</v>
      </c>
      <c r="M426" s="120">
        <v>0</v>
      </c>
      <c r="N426" s="120" t="s">
        <v>250</v>
      </c>
      <c r="O426" s="120">
        <v>127082.75663783841</v>
      </c>
      <c r="P426" s="120">
        <v>64463.485216176821</v>
      </c>
      <c r="Q426" s="120">
        <v>62619.271421661593</v>
      </c>
      <c r="R426" s="120"/>
      <c r="S426" s="121"/>
    </row>
    <row r="427" spans="1:19" ht="15">
      <c r="A427" s="105">
        <v>2</v>
      </c>
      <c r="B427" s="129" t="str">
        <f t="shared" si="12"/>
        <v>501</v>
      </c>
      <c r="C427" s="107" t="s">
        <v>585</v>
      </c>
      <c r="D427" s="107" t="s">
        <v>494</v>
      </c>
      <c r="E427" s="120">
        <v>293479482.80536169</v>
      </c>
      <c r="F427" s="120" t="s">
        <v>250</v>
      </c>
      <c r="G427" s="120">
        <v>276444962.80825317</v>
      </c>
      <c r="H427" s="120" t="s">
        <v>250</v>
      </c>
      <c r="I427" s="120">
        <v>11057647.50605396</v>
      </c>
      <c r="J427" s="120">
        <v>5976872.4910545424</v>
      </c>
      <c r="K427" s="120" t="s">
        <v>250</v>
      </c>
      <c r="L427" s="120" t="s">
        <v>250</v>
      </c>
      <c r="M427" s="120">
        <v>0</v>
      </c>
      <c r="N427" s="120" t="s">
        <v>250</v>
      </c>
      <c r="O427" s="120">
        <v>5976872.4910545424</v>
      </c>
      <c r="P427" s="120">
        <v>3069786.0176440058</v>
      </c>
      <c r="Q427" s="120">
        <v>2907086.4734105361</v>
      </c>
      <c r="R427" s="120"/>
      <c r="S427" s="121"/>
    </row>
    <row r="428" spans="1:19" ht="15">
      <c r="A428" s="105">
        <v>3</v>
      </c>
      <c r="B428" s="129" t="str">
        <f t="shared" si="12"/>
        <v>502</v>
      </c>
      <c r="C428" s="107" t="s">
        <v>2218</v>
      </c>
      <c r="D428" s="107" t="s">
        <v>584</v>
      </c>
      <c r="E428" s="120">
        <v>21832971.649999898</v>
      </c>
      <c r="F428" s="120" t="s">
        <v>250</v>
      </c>
      <c r="G428" s="120">
        <v>20431135.614123061</v>
      </c>
      <c r="H428" s="120" t="s">
        <v>250</v>
      </c>
      <c r="I428" s="120">
        <v>946370.34487197036</v>
      </c>
      <c r="J428" s="120">
        <v>455465.69100486342</v>
      </c>
      <c r="K428" s="120" t="s">
        <v>250</v>
      </c>
      <c r="L428" s="120" t="s">
        <v>250</v>
      </c>
      <c r="M428" s="120">
        <v>0</v>
      </c>
      <c r="N428" s="120" t="s">
        <v>250</v>
      </c>
      <c r="O428" s="120">
        <v>455465.69100486342</v>
      </c>
      <c r="P428" s="120">
        <v>231037.68454001</v>
      </c>
      <c r="Q428" s="120">
        <v>224428.00646485342</v>
      </c>
      <c r="R428" s="120"/>
      <c r="S428" s="121"/>
    </row>
    <row r="429" spans="1:19" ht="15">
      <c r="A429" s="105">
        <v>4</v>
      </c>
      <c r="B429" s="129" t="str">
        <f t="shared" si="12"/>
        <v>504</v>
      </c>
      <c r="C429" s="107" t="s">
        <v>2219</v>
      </c>
      <c r="D429" s="107" t="s">
        <v>584</v>
      </c>
      <c r="E429" s="120">
        <v>0</v>
      </c>
      <c r="F429" s="120" t="s">
        <v>250</v>
      </c>
      <c r="G429" s="120">
        <v>0</v>
      </c>
      <c r="H429" s="120" t="s">
        <v>250</v>
      </c>
      <c r="I429" s="120">
        <v>0</v>
      </c>
      <c r="J429" s="120">
        <v>0</v>
      </c>
      <c r="K429" s="120" t="s">
        <v>250</v>
      </c>
      <c r="L429" s="120" t="s">
        <v>250</v>
      </c>
      <c r="M429" s="120">
        <v>0</v>
      </c>
      <c r="N429" s="120" t="s">
        <v>250</v>
      </c>
      <c r="O429" s="120">
        <v>0</v>
      </c>
      <c r="P429" s="120">
        <v>0</v>
      </c>
      <c r="Q429" s="120">
        <v>0</v>
      </c>
      <c r="R429" s="120"/>
      <c r="S429" s="121"/>
    </row>
    <row r="430" spans="1:19" ht="15">
      <c r="A430" s="105">
        <v>5</v>
      </c>
      <c r="B430" s="129" t="str">
        <f t="shared" si="12"/>
        <v>505</v>
      </c>
      <c r="C430" s="107" t="s">
        <v>587</v>
      </c>
      <c r="D430" s="107" t="s">
        <v>584</v>
      </c>
      <c r="E430" s="120">
        <v>7641902.1799999997</v>
      </c>
      <c r="F430" s="120" t="s">
        <v>250</v>
      </c>
      <c r="G430" s="120">
        <v>7151236.3178213267</v>
      </c>
      <c r="H430" s="120" t="s">
        <v>250</v>
      </c>
      <c r="I430" s="120">
        <v>331245.31637288583</v>
      </c>
      <c r="J430" s="120">
        <v>159420.54580578767</v>
      </c>
      <c r="K430" s="120" t="s">
        <v>250</v>
      </c>
      <c r="L430" s="120" t="s">
        <v>250</v>
      </c>
      <c r="M430" s="120">
        <v>0</v>
      </c>
      <c r="N430" s="120" t="s">
        <v>250</v>
      </c>
      <c r="O430" s="120">
        <v>159420.54580578767</v>
      </c>
      <c r="P430" s="120">
        <v>80867.021377205121</v>
      </c>
      <c r="Q430" s="120">
        <v>78553.524428582561</v>
      </c>
      <c r="R430" s="120"/>
      <c r="S430" s="121"/>
    </row>
    <row r="431" spans="1:19" ht="15">
      <c r="A431" s="105">
        <v>6</v>
      </c>
      <c r="B431" s="129" t="str">
        <f t="shared" si="12"/>
        <v>506</v>
      </c>
      <c r="C431" s="107" t="s">
        <v>588</v>
      </c>
      <c r="D431" s="107" t="s">
        <v>584</v>
      </c>
      <c r="E431" s="120">
        <v>28201785.500000004</v>
      </c>
      <c r="F431" s="120" t="s">
        <v>250</v>
      </c>
      <c r="G431" s="120">
        <v>26391025.159001302</v>
      </c>
      <c r="H431" s="120" t="s">
        <v>250</v>
      </c>
      <c r="I431" s="120">
        <v>1222432.4703705858</v>
      </c>
      <c r="J431" s="120">
        <v>588327.87062811491</v>
      </c>
      <c r="K431" s="120" t="s">
        <v>250</v>
      </c>
      <c r="L431" s="120" t="s">
        <v>250</v>
      </c>
      <c r="M431" s="120">
        <v>0</v>
      </c>
      <c r="N431" s="120" t="s">
        <v>250</v>
      </c>
      <c r="O431" s="120">
        <v>588327.87062811491</v>
      </c>
      <c r="P431" s="120">
        <v>298432.81648808718</v>
      </c>
      <c r="Q431" s="120">
        <v>289895.05414002773</v>
      </c>
      <c r="R431" s="120"/>
      <c r="S431" s="121"/>
    </row>
    <row r="432" spans="1:19" ht="15">
      <c r="A432" s="105">
        <v>7</v>
      </c>
      <c r="B432" s="129" t="str">
        <f t="shared" si="12"/>
        <v>507</v>
      </c>
      <c r="C432" s="107" t="s">
        <v>2220</v>
      </c>
      <c r="D432" s="107" t="s">
        <v>584</v>
      </c>
      <c r="E432" s="120">
        <v>0</v>
      </c>
      <c r="F432" s="120" t="s">
        <v>250</v>
      </c>
      <c r="G432" s="120">
        <v>0</v>
      </c>
      <c r="H432" s="120" t="s">
        <v>250</v>
      </c>
      <c r="I432" s="120">
        <v>0</v>
      </c>
      <c r="J432" s="120">
        <v>0</v>
      </c>
      <c r="K432" s="120" t="s">
        <v>250</v>
      </c>
      <c r="L432" s="120" t="s">
        <v>250</v>
      </c>
      <c r="M432" s="120">
        <v>0</v>
      </c>
      <c r="N432" s="120" t="s">
        <v>250</v>
      </c>
      <c r="O432" s="120">
        <v>0</v>
      </c>
      <c r="P432" s="120">
        <v>0</v>
      </c>
      <c r="Q432" s="120">
        <v>0</v>
      </c>
      <c r="R432" s="120"/>
      <c r="S432" s="121"/>
    </row>
    <row r="433" spans="1:19" ht="15">
      <c r="A433" s="105">
        <v>8</v>
      </c>
      <c r="B433" s="129" t="str">
        <f t="shared" si="12"/>
        <v>509</v>
      </c>
      <c r="C433" s="107" t="s">
        <v>2221</v>
      </c>
      <c r="D433" s="107" t="s">
        <v>584</v>
      </c>
      <c r="E433" s="120">
        <v>1010.4000000000001</v>
      </c>
      <c r="F433" s="120" t="s">
        <v>250</v>
      </c>
      <c r="G433" s="120">
        <v>945.5249498530834</v>
      </c>
      <c r="H433" s="120" t="s">
        <v>250</v>
      </c>
      <c r="I433" s="120">
        <v>43.796722305488061</v>
      </c>
      <c r="J433" s="120">
        <v>21.078327841428596</v>
      </c>
      <c r="K433" s="120" t="s">
        <v>250</v>
      </c>
      <c r="L433" s="120" t="s">
        <v>250</v>
      </c>
      <c r="M433" s="120">
        <v>0</v>
      </c>
      <c r="N433" s="120" t="s">
        <v>250</v>
      </c>
      <c r="O433" s="120">
        <v>21.078327841428596</v>
      </c>
      <c r="P433" s="120">
        <v>10.692107341202325</v>
      </c>
      <c r="Q433" s="120">
        <v>10.386220500226271</v>
      </c>
      <c r="R433" s="120"/>
      <c r="S433" s="121"/>
    </row>
    <row r="434" spans="1:19" ht="15">
      <c r="A434" s="105">
        <v>9</v>
      </c>
      <c r="B434" s="129" t="str">
        <f t="shared" si="12"/>
        <v xml:space="preserve">  T</v>
      </c>
      <c r="C434" s="107" t="s">
        <v>589</v>
      </c>
      <c r="D434" s="107" t="s">
        <v>250</v>
      </c>
      <c r="E434" s="120">
        <v>357248926.90536153</v>
      </c>
      <c r="F434" s="120" t="s">
        <v>250</v>
      </c>
      <c r="G434" s="120">
        <v>336119943.44444811</v>
      </c>
      <c r="H434" s="120" t="s">
        <v>250</v>
      </c>
      <c r="I434" s="120">
        <v>13821793.027454434</v>
      </c>
      <c r="J434" s="120">
        <v>7307190.4334589876</v>
      </c>
      <c r="K434" s="120" t="s">
        <v>250</v>
      </c>
      <c r="L434" s="120" t="s">
        <v>250</v>
      </c>
      <c r="M434" s="120">
        <v>0</v>
      </c>
      <c r="N434" s="120" t="s">
        <v>250</v>
      </c>
      <c r="O434" s="120">
        <v>7307190.4334589876</v>
      </c>
      <c r="P434" s="120">
        <v>3744597.7173728258</v>
      </c>
      <c r="Q434" s="120">
        <v>3562592.7160861618</v>
      </c>
      <c r="R434" s="120"/>
      <c r="S434" s="121"/>
    </row>
    <row r="435" spans="1:19" ht="15">
      <c r="A435" s="105">
        <v>10</v>
      </c>
      <c r="B435" s="129" t="str">
        <f t="shared" si="12"/>
        <v>510</v>
      </c>
      <c r="C435" s="107" t="s">
        <v>590</v>
      </c>
      <c r="D435" s="107" t="s">
        <v>584</v>
      </c>
      <c r="E435" s="120">
        <v>11469011.82</v>
      </c>
      <c r="F435" s="120" t="s">
        <v>250</v>
      </c>
      <c r="G435" s="120">
        <v>10753564.621362608</v>
      </c>
      <c r="H435" s="120" t="s">
        <v>250</v>
      </c>
      <c r="I435" s="120">
        <v>482996.16289565922</v>
      </c>
      <c r="J435" s="120">
        <v>232451.03574173426</v>
      </c>
      <c r="K435" s="120" t="s">
        <v>250</v>
      </c>
      <c r="L435" s="120" t="s">
        <v>250</v>
      </c>
      <c r="M435" s="120">
        <v>0</v>
      </c>
      <c r="N435" s="120" t="s">
        <v>250</v>
      </c>
      <c r="O435" s="120">
        <v>232451.03574173426</v>
      </c>
      <c r="P435" s="120">
        <v>117912.17237068234</v>
      </c>
      <c r="Q435" s="120">
        <v>114538.86337105194</v>
      </c>
      <c r="R435" s="120"/>
      <c r="S435" s="121"/>
    </row>
    <row r="436" spans="1:19" ht="15">
      <c r="A436" s="105">
        <v>11</v>
      </c>
      <c r="B436" s="129" t="str">
        <f t="shared" si="12"/>
        <v>511</v>
      </c>
      <c r="C436" s="107" t="s">
        <v>591</v>
      </c>
      <c r="D436" s="107" t="s">
        <v>584</v>
      </c>
      <c r="E436" s="120">
        <v>11118803.479999898</v>
      </c>
      <c r="F436" s="120" t="s">
        <v>250</v>
      </c>
      <c r="G436" s="120">
        <v>10412031.361306809</v>
      </c>
      <c r="H436" s="120" t="s">
        <v>250</v>
      </c>
      <c r="I436" s="120">
        <v>477139.85301331454</v>
      </c>
      <c r="J436" s="120">
        <v>229632.26567977539</v>
      </c>
      <c r="K436" s="120" t="s">
        <v>250</v>
      </c>
      <c r="L436" s="120" t="s">
        <v>250</v>
      </c>
      <c r="M436" s="120">
        <v>0</v>
      </c>
      <c r="N436" s="120" t="s">
        <v>250</v>
      </c>
      <c r="O436" s="120">
        <v>229632.26567977539</v>
      </c>
      <c r="P436" s="120">
        <v>116482.33446800981</v>
      </c>
      <c r="Q436" s="120">
        <v>113149.93121176556</v>
      </c>
      <c r="R436" s="120"/>
      <c r="S436" s="121"/>
    </row>
    <row r="437" spans="1:19" ht="15">
      <c r="A437" s="105">
        <v>12</v>
      </c>
      <c r="B437" s="129" t="str">
        <f t="shared" si="12"/>
        <v>512</v>
      </c>
      <c r="C437" s="107" t="s">
        <v>592</v>
      </c>
      <c r="D437" s="107" t="s">
        <v>494</v>
      </c>
      <c r="E437" s="120">
        <v>41771152.199999981</v>
      </c>
      <c r="F437" s="120" t="s">
        <v>250</v>
      </c>
      <c r="G437" s="120">
        <v>39065951.520913601</v>
      </c>
      <c r="H437" s="120" t="s">
        <v>250</v>
      </c>
      <c r="I437" s="120">
        <v>1758849.8821686315</v>
      </c>
      <c r="J437" s="120">
        <v>946350.79691775166</v>
      </c>
      <c r="K437" s="120" t="s">
        <v>250</v>
      </c>
      <c r="L437" s="120" t="s">
        <v>250</v>
      </c>
      <c r="M437" s="120">
        <v>0</v>
      </c>
      <c r="N437" s="120" t="s">
        <v>250</v>
      </c>
      <c r="O437" s="120">
        <v>946350.79691775166</v>
      </c>
      <c r="P437" s="120">
        <v>485737.41806132172</v>
      </c>
      <c r="Q437" s="120">
        <v>460613.37885643</v>
      </c>
      <c r="R437" s="120"/>
      <c r="S437" s="121"/>
    </row>
    <row r="438" spans="1:19" ht="15">
      <c r="A438" s="105">
        <v>13</v>
      </c>
      <c r="B438" s="129" t="str">
        <f t="shared" si="12"/>
        <v>513</v>
      </c>
      <c r="C438" s="107" t="s">
        <v>593</v>
      </c>
      <c r="D438" s="107" t="s">
        <v>494</v>
      </c>
      <c r="E438" s="120">
        <v>9031283.8799999915</v>
      </c>
      <c r="F438" s="120" t="s">
        <v>250</v>
      </c>
      <c r="G438" s="120">
        <v>8206336.2114372738</v>
      </c>
      <c r="H438" s="120" t="s">
        <v>250</v>
      </c>
      <c r="I438" s="120">
        <v>536359.2439587703</v>
      </c>
      <c r="J438" s="120">
        <v>288588.42460394558</v>
      </c>
      <c r="K438" s="120" t="s">
        <v>250</v>
      </c>
      <c r="L438" s="120" t="s">
        <v>250</v>
      </c>
      <c r="M438" s="120">
        <v>0</v>
      </c>
      <c r="N438" s="120" t="s">
        <v>250</v>
      </c>
      <c r="O438" s="120">
        <v>288588.42460394558</v>
      </c>
      <c r="P438" s="120">
        <v>148125.02591254571</v>
      </c>
      <c r="Q438" s="120">
        <v>140463.39869139987</v>
      </c>
      <c r="R438" s="120"/>
      <c r="S438" s="121"/>
    </row>
    <row r="439" spans="1:19" ht="15">
      <c r="A439" s="105">
        <v>14</v>
      </c>
      <c r="B439" s="129" t="str">
        <f t="shared" si="12"/>
        <v>514</v>
      </c>
      <c r="C439" s="107" t="s">
        <v>594</v>
      </c>
      <c r="D439" s="107" t="s">
        <v>584</v>
      </c>
      <c r="E439" s="120">
        <v>3070848.0600000005</v>
      </c>
      <c r="F439" s="120" t="s">
        <v>250</v>
      </c>
      <c r="G439" s="120">
        <v>2913540.984046557</v>
      </c>
      <c r="H439" s="120" t="s">
        <v>250</v>
      </c>
      <c r="I439" s="120">
        <v>106197.05521664859</v>
      </c>
      <c r="J439" s="120">
        <v>51110.020736794817</v>
      </c>
      <c r="K439" s="120" t="s">
        <v>250</v>
      </c>
      <c r="L439" s="120" t="s">
        <v>250</v>
      </c>
      <c r="M439" s="120">
        <v>0</v>
      </c>
      <c r="N439" s="120" t="s">
        <v>250</v>
      </c>
      <c r="O439" s="120">
        <v>51110.020736794817</v>
      </c>
      <c r="P439" s="120">
        <v>25925.862432731254</v>
      </c>
      <c r="Q439" s="120">
        <v>25184.15830406356</v>
      </c>
      <c r="R439" s="120"/>
      <c r="S439" s="121"/>
    </row>
    <row r="440" spans="1:19" ht="15">
      <c r="A440" s="105">
        <v>15</v>
      </c>
      <c r="B440" s="129" t="str">
        <f t="shared" si="12"/>
        <v xml:space="preserve">  T</v>
      </c>
      <c r="C440" s="107" t="s">
        <v>595</v>
      </c>
      <c r="D440" s="107" t="s">
        <v>250</v>
      </c>
      <c r="E440" s="120">
        <v>76461099.439999864</v>
      </c>
      <c r="F440" s="120" t="s">
        <v>250</v>
      </c>
      <c r="G440" s="120">
        <v>71351424.699066848</v>
      </c>
      <c r="H440" s="120" t="s">
        <v>250</v>
      </c>
      <c r="I440" s="120">
        <v>3361542.1972530242</v>
      </c>
      <c r="J440" s="120">
        <v>1748132.5436800017</v>
      </c>
      <c r="K440" s="120" t="s">
        <v>250</v>
      </c>
      <c r="L440" s="120" t="s">
        <v>250</v>
      </c>
      <c r="M440" s="120">
        <v>0</v>
      </c>
      <c r="N440" s="120" t="s">
        <v>250</v>
      </c>
      <c r="O440" s="120">
        <v>1748132.5436800017</v>
      </c>
      <c r="P440" s="120">
        <v>894182.81324529077</v>
      </c>
      <c r="Q440" s="120">
        <v>853949.73043471097</v>
      </c>
      <c r="R440" s="120"/>
      <c r="S440" s="121"/>
    </row>
    <row r="441" spans="1:19" ht="15">
      <c r="A441" s="105" t="s">
        <v>250</v>
      </c>
      <c r="B441" s="129" t="str">
        <f t="shared" si="12"/>
        <v/>
      </c>
      <c r="C441" s="107" t="s">
        <v>250</v>
      </c>
      <c r="D441" s="107" t="s">
        <v>250</v>
      </c>
      <c r="E441" s="120" t="s">
        <v>250</v>
      </c>
      <c r="F441" s="120" t="s">
        <v>250</v>
      </c>
      <c r="G441" s="120" t="s">
        <v>250</v>
      </c>
      <c r="H441" s="120" t="s">
        <v>250</v>
      </c>
      <c r="I441" s="120" t="s">
        <v>250</v>
      </c>
      <c r="J441" s="120" t="s">
        <v>250</v>
      </c>
      <c r="K441" s="120" t="s">
        <v>250</v>
      </c>
      <c r="L441" s="120" t="s">
        <v>250</v>
      </c>
      <c r="M441" s="120" t="s">
        <v>250</v>
      </c>
      <c r="N441" s="120" t="s">
        <v>250</v>
      </c>
      <c r="O441" s="120" t="s">
        <v>250</v>
      </c>
      <c r="P441" s="120" t="s">
        <v>250</v>
      </c>
      <c r="Q441" s="120" t="s">
        <v>250</v>
      </c>
      <c r="R441" s="120"/>
      <c r="S441" s="121"/>
    </row>
    <row r="442" spans="1:19" ht="15">
      <c r="A442" s="105">
        <v>16</v>
      </c>
      <c r="B442" s="129" t="str">
        <f t="shared" si="12"/>
        <v>TAL</v>
      </c>
      <c r="C442" s="107" t="s">
        <v>596</v>
      </c>
      <c r="D442" s="107" t="s">
        <v>250</v>
      </c>
      <c r="E442" s="120">
        <v>433710026.34536147</v>
      </c>
      <c r="F442" s="120" t="s">
        <v>250</v>
      </c>
      <c r="G442" s="120">
        <v>407471368.14351499</v>
      </c>
      <c r="H442" s="120" t="s">
        <v>250</v>
      </c>
      <c r="I442" s="120">
        <v>17183335.224707458</v>
      </c>
      <c r="J442" s="120">
        <v>9055322.9771389887</v>
      </c>
      <c r="K442" s="120" t="s">
        <v>250</v>
      </c>
      <c r="L442" s="120" t="s">
        <v>250</v>
      </c>
      <c r="M442" s="120">
        <v>0</v>
      </c>
      <c r="N442" s="120" t="s">
        <v>250</v>
      </c>
      <c r="O442" s="120">
        <v>9055322.9771389887</v>
      </c>
      <c r="P442" s="120">
        <v>4638780.5306181163</v>
      </c>
      <c r="Q442" s="120">
        <v>4416542.4465208724</v>
      </c>
      <c r="R442" s="120"/>
      <c r="S442" s="121"/>
    </row>
    <row r="443" spans="1:19" ht="15">
      <c r="A443" s="105" t="s">
        <v>250</v>
      </c>
      <c r="B443" s="129" t="str">
        <f t="shared" si="12"/>
        <v/>
      </c>
      <c r="C443" s="107" t="s">
        <v>250</v>
      </c>
      <c r="D443" s="107" t="s">
        <v>250</v>
      </c>
      <c r="E443" s="120" t="s">
        <v>250</v>
      </c>
      <c r="F443" s="120" t="s">
        <v>250</v>
      </c>
      <c r="G443" s="120" t="s">
        <v>250</v>
      </c>
      <c r="H443" s="120" t="s">
        <v>250</v>
      </c>
      <c r="I443" s="120" t="s">
        <v>250</v>
      </c>
      <c r="J443" s="120" t="s">
        <v>250</v>
      </c>
      <c r="K443" s="120" t="s">
        <v>250</v>
      </c>
      <c r="L443" s="120" t="s">
        <v>250</v>
      </c>
      <c r="M443" s="120" t="s">
        <v>250</v>
      </c>
      <c r="N443" s="120" t="s">
        <v>250</v>
      </c>
      <c r="O443" s="120" t="s">
        <v>250</v>
      </c>
      <c r="P443" s="120" t="s">
        <v>250</v>
      </c>
      <c r="Q443" s="120" t="s">
        <v>250</v>
      </c>
      <c r="R443" s="120"/>
      <c r="S443" s="121"/>
    </row>
    <row r="444" spans="1:19" ht="15">
      <c r="A444" s="105" t="s">
        <v>250</v>
      </c>
      <c r="B444" s="129" t="str">
        <f t="shared" si="12"/>
        <v>ODU</v>
      </c>
      <c r="C444" s="107" t="s">
        <v>597</v>
      </c>
      <c r="D444" s="107" t="s">
        <v>250</v>
      </c>
      <c r="E444" s="120" t="s">
        <v>250</v>
      </c>
      <c r="F444" s="120" t="s">
        <v>250</v>
      </c>
      <c r="G444" s="120" t="s">
        <v>250</v>
      </c>
      <c r="H444" s="120" t="s">
        <v>250</v>
      </c>
      <c r="I444" s="120" t="s">
        <v>250</v>
      </c>
      <c r="J444" s="120" t="s">
        <v>250</v>
      </c>
      <c r="K444" s="120" t="s">
        <v>250</v>
      </c>
      <c r="L444" s="120" t="s">
        <v>250</v>
      </c>
      <c r="M444" s="120" t="s">
        <v>250</v>
      </c>
      <c r="N444" s="120" t="s">
        <v>250</v>
      </c>
      <c r="O444" s="120" t="s">
        <v>250</v>
      </c>
      <c r="P444" s="120" t="s">
        <v>250</v>
      </c>
      <c r="Q444" s="120" t="s">
        <v>250</v>
      </c>
      <c r="R444" s="120"/>
      <c r="S444" s="121"/>
    </row>
    <row r="445" spans="1:19" ht="15">
      <c r="A445" s="105">
        <v>17</v>
      </c>
      <c r="B445" s="129" t="str">
        <f t="shared" si="12"/>
        <v>535</v>
      </c>
      <c r="C445" s="107" t="s">
        <v>598</v>
      </c>
      <c r="D445" s="107" t="s">
        <v>599</v>
      </c>
      <c r="E445" s="120">
        <v>0</v>
      </c>
      <c r="F445" s="120" t="s">
        <v>250</v>
      </c>
      <c r="G445" s="120">
        <v>0</v>
      </c>
      <c r="H445" s="120" t="s">
        <v>250</v>
      </c>
      <c r="I445" s="120">
        <v>0</v>
      </c>
      <c r="J445" s="120">
        <v>0</v>
      </c>
      <c r="K445" s="120" t="s">
        <v>250</v>
      </c>
      <c r="L445" s="120" t="s">
        <v>250</v>
      </c>
      <c r="M445" s="120">
        <v>0</v>
      </c>
      <c r="N445" s="120" t="s">
        <v>250</v>
      </c>
      <c r="O445" s="120">
        <v>0</v>
      </c>
      <c r="P445" s="120">
        <v>0</v>
      </c>
      <c r="Q445" s="120">
        <v>0</v>
      </c>
      <c r="R445" s="120"/>
      <c r="S445" s="121"/>
    </row>
    <row r="446" spans="1:19" ht="15">
      <c r="A446" s="105">
        <v>18</v>
      </c>
      <c r="B446" s="129" t="str">
        <f t="shared" si="12"/>
        <v>536</v>
      </c>
      <c r="C446" s="107" t="s">
        <v>600</v>
      </c>
      <c r="D446" s="107" t="s">
        <v>599</v>
      </c>
      <c r="E446" s="120">
        <v>0</v>
      </c>
      <c r="F446" s="120" t="s">
        <v>250</v>
      </c>
      <c r="G446" s="120">
        <v>0</v>
      </c>
      <c r="H446" s="120" t="s">
        <v>250</v>
      </c>
      <c r="I446" s="120">
        <v>0</v>
      </c>
      <c r="J446" s="120">
        <v>0</v>
      </c>
      <c r="K446" s="120" t="s">
        <v>250</v>
      </c>
      <c r="L446" s="120" t="s">
        <v>250</v>
      </c>
      <c r="M446" s="120">
        <v>0</v>
      </c>
      <c r="N446" s="120" t="s">
        <v>250</v>
      </c>
      <c r="O446" s="120">
        <v>0</v>
      </c>
      <c r="P446" s="120">
        <v>0</v>
      </c>
      <c r="Q446" s="120">
        <v>0</v>
      </c>
      <c r="R446" s="120"/>
      <c r="S446" s="121"/>
    </row>
    <row r="447" spans="1:19" ht="15">
      <c r="A447" s="105">
        <v>19</v>
      </c>
      <c r="B447" s="129" t="str">
        <f t="shared" si="12"/>
        <v>537</v>
      </c>
      <c r="C447" s="107" t="s">
        <v>601</v>
      </c>
      <c r="D447" s="107" t="s">
        <v>599</v>
      </c>
      <c r="E447" s="120">
        <v>0</v>
      </c>
      <c r="F447" s="120" t="s">
        <v>250</v>
      </c>
      <c r="G447" s="120">
        <v>0</v>
      </c>
      <c r="H447" s="120" t="s">
        <v>250</v>
      </c>
      <c r="I447" s="120">
        <v>0</v>
      </c>
      <c r="J447" s="120">
        <v>0</v>
      </c>
      <c r="K447" s="120" t="s">
        <v>250</v>
      </c>
      <c r="L447" s="120" t="s">
        <v>250</v>
      </c>
      <c r="M447" s="120">
        <v>0</v>
      </c>
      <c r="N447" s="120" t="s">
        <v>250</v>
      </c>
      <c r="O447" s="120">
        <v>0</v>
      </c>
      <c r="P447" s="120">
        <v>0</v>
      </c>
      <c r="Q447" s="120">
        <v>0</v>
      </c>
      <c r="R447" s="120"/>
      <c r="S447" s="121"/>
    </row>
    <row r="448" spans="1:19" ht="15">
      <c r="A448" s="105">
        <v>20</v>
      </c>
      <c r="B448" s="129" t="str">
        <f t="shared" si="12"/>
        <v>538</v>
      </c>
      <c r="C448" s="107" t="s">
        <v>602</v>
      </c>
      <c r="D448" s="107" t="s">
        <v>599</v>
      </c>
      <c r="E448" s="120">
        <v>0</v>
      </c>
      <c r="F448" s="120" t="s">
        <v>250</v>
      </c>
      <c r="G448" s="120">
        <v>0</v>
      </c>
      <c r="H448" s="120" t="s">
        <v>250</v>
      </c>
      <c r="I448" s="120">
        <v>0</v>
      </c>
      <c r="J448" s="120">
        <v>0</v>
      </c>
      <c r="K448" s="120" t="s">
        <v>250</v>
      </c>
      <c r="L448" s="120" t="s">
        <v>250</v>
      </c>
      <c r="M448" s="120">
        <v>0</v>
      </c>
      <c r="N448" s="120" t="s">
        <v>250</v>
      </c>
      <c r="O448" s="120">
        <v>0</v>
      </c>
      <c r="P448" s="120">
        <v>0</v>
      </c>
      <c r="Q448" s="120">
        <v>0</v>
      </c>
      <c r="R448" s="120"/>
      <c r="S448" s="121"/>
    </row>
    <row r="449" spans="1:19" ht="15">
      <c r="A449" s="105">
        <v>21</v>
      </c>
      <c r="B449" s="129" t="str">
        <f t="shared" si="12"/>
        <v>539</v>
      </c>
      <c r="C449" s="107" t="s">
        <v>2222</v>
      </c>
      <c r="D449" s="107" t="s">
        <v>599</v>
      </c>
      <c r="E449" s="120">
        <v>34264.57</v>
      </c>
      <c r="F449" s="120" t="s">
        <v>250</v>
      </c>
      <c r="G449" s="120">
        <v>32126.088244956482</v>
      </c>
      <c r="H449" s="120" t="s">
        <v>250</v>
      </c>
      <c r="I449" s="120">
        <v>1455.130017983362</v>
      </c>
      <c r="J449" s="120">
        <v>683.35173706015189</v>
      </c>
      <c r="K449" s="120" t="s">
        <v>250</v>
      </c>
      <c r="L449" s="120" t="s">
        <v>250</v>
      </c>
      <c r="M449" s="120">
        <v>0</v>
      </c>
      <c r="N449" s="120" t="s">
        <v>250</v>
      </c>
      <c r="O449" s="120">
        <v>683.35173706015189</v>
      </c>
      <c r="P449" s="120">
        <v>346.63423870292218</v>
      </c>
      <c r="Q449" s="120">
        <v>336.71749835722972</v>
      </c>
      <c r="R449" s="120"/>
      <c r="S449" s="121"/>
    </row>
    <row r="450" spans="1:19" ht="15">
      <c r="A450" s="105">
        <v>22</v>
      </c>
      <c r="B450" s="129" t="str">
        <f t="shared" ref="B450:B513" si="13">MID(C450,3,3)</f>
        <v>540</v>
      </c>
      <c r="C450" s="107" t="s">
        <v>603</v>
      </c>
      <c r="D450" s="107" t="s">
        <v>599</v>
      </c>
      <c r="E450" s="120">
        <v>0</v>
      </c>
      <c r="F450" s="120" t="s">
        <v>250</v>
      </c>
      <c r="G450" s="120">
        <v>0</v>
      </c>
      <c r="H450" s="120" t="s">
        <v>250</v>
      </c>
      <c r="I450" s="120">
        <v>0</v>
      </c>
      <c r="J450" s="120">
        <v>0</v>
      </c>
      <c r="K450" s="120" t="s">
        <v>250</v>
      </c>
      <c r="L450" s="120" t="s">
        <v>250</v>
      </c>
      <c r="M450" s="120">
        <v>0</v>
      </c>
      <c r="N450" s="120" t="s">
        <v>250</v>
      </c>
      <c r="O450" s="120">
        <v>0</v>
      </c>
      <c r="P450" s="120">
        <v>0</v>
      </c>
      <c r="Q450" s="120">
        <v>0</v>
      </c>
      <c r="R450" s="120"/>
      <c r="S450" s="121"/>
    </row>
    <row r="451" spans="1:19" ht="15">
      <c r="A451" s="105">
        <v>23</v>
      </c>
      <c r="B451" s="129" t="str">
        <f t="shared" si="13"/>
        <v xml:space="preserve">  T</v>
      </c>
      <c r="C451" s="107" t="s">
        <v>604</v>
      </c>
      <c r="D451" s="107" t="s">
        <v>250</v>
      </c>
      <c r="E451" s="120">
        <v>34264.57</v>
      </c>
      <c r="F451" s="120" t="s">
        <v>250</v>
      </c>
      <c r="G451" s="120">
        <v>32126.088244956482</v>
      </c>
      <c r="H451" s="120" t="s">
        <v>250</v>
      </c>
      <c r="I451" s="120">
        <v>1455.130017983362</v>
      </c>
      <c r="J451" s="120">
        <v>683.35173706015189</v>
      </c>
      <c r="K451" s="120" t="s">
        <v>250</v>
      </c>
      <c r="L451" s="120" t="s">
        <v>250</v>
      </c>
      <c r="M451" s="120">
        <v>0</v>
      </c>
      <c r="N451" s="120" t="s">
        <v>250</v>
      </c>
      <c r="O451" s="120">
        <v>683.35173706015189</v>
      </c>
      <c r="P451" s="120">
        <v>346.63423870292218</v>
      </c>
      <c r="Q451" s="120">
        <v>336.71749835722972</v>
      </c>
      <c r="R451" s="120"/>
      <c r="S451" s="121"/>
    </row>
    <row r="452" spans="1:19" ht="15">
      <c r="A452" s="105">
        <v>24</v>
      </c>
      <c r="B452" s="129" t="str">
        <f t="shared" si="13"/>
        <v>541</v>
      </c>
      <c r="C452" s="107" t="s">
        <v>605</v>
      </c>
      <c r="D452" s="107" t="s">
        <v>599</v>
      </c>
      <c r="E452" s="120">
        <v>143888.75999999998</v>
      </c>
      <c r="F452" s="120" t="s">
        <v>250</v>
      </c>
      <c r="G452" s="120">
        <v>134908.53675436068</v>
      </c>
      <c r="H452" s="120" t="s">
        <v>250</v>
      </c>
      <c r="I452" s="120">
        <v>6110.5933600335175</v>
      </c>
      <c r="J452" s="120">
        <v>2869.629885605782</v>
      </c>
      <c r="K452" s="120" t="s">
        <v>250</v>
      </c>
      <c r="L452" s="120" t="s">
        <v>250</v>
      </c>
      <c r="M452" s="120">
        <v>0</v>
      </c>
      <c r="N452" s="120" t="s">
        <v>250</v>
      </c>
      <c r="O452" s="120">
        <v>2869.629885605782</v>
      </c>
      <c r="P452" s="120">
        <v>1455.6368511412074</v>
      </c>
      <c r="Q452" s="120">
        <v>1413.9930344645745</v>
      </c>
      <c r="R452" s="120"/>
      <c r="S452" s="121"/>
    </row>
    <row r="453" spans="1:19" ht="15">
      <c r="A453" s="105">
        <v>25</v>
      </c>
      <c r="B453" s="129" t="str">
        <f t="shared" si="13"/>
        <v>542</v>
      </c>
      <c r="C453" s="107" t="s">
        <v>606</v>
      </c>
      <c r="D453" s="107" t="s">
        <v>599</v>
      </c>
      <c r="E453" s="120">
        <v>245712.71999999997</v>
      </c>
      <c r="F453" s="120" t="s">
        <v>250</v>
      </c>
      <c r="G453" s="120">
        <v>230377.57443412492</v>
      </c>
      <c r="H453" s="120" t="s">
        <v>250</v>
      </c>
      <c r="I453" s="120">
        <v>10434.800573080029</v>
      </c>
      <c r="J453" s="120">
        <v>4900.3449927950278</v>
      </c>
      <c r="K453" s="120" t="s">
        <v>250</v>
      </c>
      <c r="L453" s="120" t="s">
        <v>250</v>
      </c>
      <c r="M453" s="120">
        <v>0</v>
      </c>
      <c r="N453" s="120" t="s">
        <v>250</v>
      </c>
      <c r="O453" s="120">
        <v>4900.3449927950278</v>
      </c>
      <c r="P453" s="120">
        <v>2485.7291843097487</v>
      </c>
      <c r="Q453" s="120">
        <v>2414.6158084852796</v>
      </c>
      <c r="R453" s="120"/>
      <c r="S453" s="121"/>
    </row>
    <row r="454" spans="1:19" ht="15">
      <c r="A454" s="105">
        <v>26</v>
      </c>
      <c r="B454" s="129" t="str">
        <f t="shared" si="13"/>
        <v>543</v>
      </c>
      <c r="C454" s="107" t="s">
        <v>607</v>
      </c>
      <c r="D454" s="107" t="s">
        <v>599</v>
      </c>
      <c r="E454" s="120">
        <v>16825</v>
      </c>
      <c r="F454" s="120" t="s">
        <v>250</v>
      </c>
      <c r="G454" s="120">
        <v>15774.937047842504</v>
      </c>
      <c r="H454" s="120" t="s">
        <v>250</v>
      </c>
      <c r="I454" s="120">
        <v>714.51538871113996</v>
      </c>
      <c r="J454" s="120">
        <v>335.5475634463545</v>
      </c>
      <c r="K454" s="120" t="s">
        <v>250</v>
      </c>
      <c r="L454" s="120" t="s">
        <v>250</v>
      </c>
      <c r="M454" s="120">
        <v>0</v>
      </c>
      <c r="N454" s="120" t="s">
        <v>250</v>
      </c>
      <c r="O454" s="120">
        <v>335.5475634463545</v>
      </c>
      <c r="P454" s="120">
        <v>170.20850009723355</v>
      </c>
      <c r="Q454" s="120">
        <v>165.33906334912098</v>
      </c>
      <c r="R454" s="120"/>
      <c r="S454" s="121"/>
    </row>
    <row r="455" spans="1:19" ht="15">
      <c r="A455" s="105">
        <v>27</v>
      </c>
      <c r="B455" s="129" t="str">
        <f t="shared" si="13"/>
        <v>544</v>
      </c>
      <c r="C455" s="107" t="s">
        <v>608</v>
      </c>
      <c r="D455" s="107" t="s">
        <v>494</v>
      </c>
      <c r="E455" s="120">
        <v>76087.649999999907</v>
      </c>
      <c r="F455" s="120" t="s">
        <v>250</v>
      </c>
      <c r="G455" s="120">
        <v>71661.303666028078</v>
      </c>
      <c r="H455" s="120" t="s">
        <v>250</v>
      </c>
      <c r="I455" s="120">
        <v>2877.8927281040997</v>
      </c>
      <c r="J455" s="120">
        <v>1548.4536058677304</v>
      </c>
      <c r="K455" s="120" t="s">
        <v>250</v>
      </c>
      <c r="L455" s="120" t="s">
        <v>250</v>
      </c>
      <c r="M455" s="120">
        <v>0</v>
      </c>
      <c r="N455" s="120" t="s">
        <v>250</v>
      </c>
      <c r="O455" s="120">
        <v>1548.4536058677304</v>
      </c>
      <c r="P455" s="120">
        <v>794.78103097209555</v>
      </c>
      <c r="Q455" s="120">
        <v>753.67257489563497</v>
      </c>
      <c r="R455" s="120"/>
      <c r="S455" s="121"/>
    </row>
    <row r="456" spans="1:19" ht="15">
      <c r="A456" s="105">
        <v>28</v>
      </c>
      <c r="B456" s="129" t="str">
        <f t="shared" si="13"/>
        <v>545</v>
      </c>
      <c r="C456" s="107" t="s">
        <v>609</v>
      </c>
      <c r="D456" s="107" t="s">
        <v>599</v>
      </c>
      <c r="E456" s="120">
        <v>13280.1899999999</v>
      </c>
      <c r="F456" s="120" t="s">
        <v>250</v>
      </c>
      <c r="G456" s="120">
        <v>12451.361737496938</v>
      </c>
      <c r="H456" s="120" t="s">
        <v>250</v>
      </c>
      <c r="I456" s="120">
        <v>563.97623298708606</v>
      </c>
      <c r="J456" s="120">
        <v>264.85202951587576</v>
      </c>
      <c r="K456" s="120" t="s">
        <v>250</v>
      </c>
      <c r="L456" s="120" t="s">
        <v>250</v>
      </c>
      <c r="M456" s="120">
        <v>0</v>
      </c>
      <c r="N456" s="120" t="s">
        <v>250</v>
      </c>
      <c r="O456" s="120">
        <v>264.85202951587576</v>
      </c>
      <c r="P456" s="120">
        <v>134.34776944465159</v>
      </c>
      <c r="Q456" s="120">
        <v>130.50426007122417</v>
      </c>
      <c r="R456" s="120"/>
      <c r="S456" s="121"/>
    </row>
    <row r="457" spans="1:19" ht="15">
      <c r="A457" s="105">
        <v>29</v>
      </c>
      <c r="B457" s="129" t="str">
        <f t="shared" si="13"/>
        <v xml:space="preserve">  T</v>
      </c>
      <c r="C457" s="107" t="s">
        <v>610</v>
      </c>
      <c r="D457" s="107" t="s">
        <v>250</v>
      </c>
      <c r="E457" s="120">
        <v>495794.31999999977</v>
      </c>
      <c r="F457" s="120" t="s">
        <v>250</v>
      </c>
      <c r="G457" s="120">
        <v>465173.71363985311</v>
      </c>
      <c r="H457" s="120" t="s">
        <v>250</v>
      </c>
      <c r="I457" s="120">
        <v>20701.778282915875</v>
      </c>
      <c r="J457" s="120">
        <v>9918.8280772307698</v>
      </c>
      <c r="K457" s="120" t="s">
        <v>250</v>
      </c>
      <c r="L457" s="120" t="s">
        <v>250</v>
      </c>
      <c r="M457" s="120">
        <v>0</v>
      </c>
      <c r="N457" s="120" t="s">
        <v>250</v>
      </c>
      <c r="O457" s="120">
        <v>9918.8280772307698</v>
      </c>
      <c r="P457" s="120">
        <v>5040.7033359649367</v>
      </c>
      <c r="Q457" s="120">
        <v>4878.124741265834</v>
      </c>
      <c r="R457" s="120"/>
      <c r="S457" s="121"/>
    </row>
    <row r="458" spans="1:19" ht="15">
      <c r="A458" s="105" t="s">
        <v>250</v>
      </c>
      <c r="B458" s="129" t="str">
        <f t="shared" si="13"/>
        <v/>
      </c>
      <c r="C458" s="107" t="s">
        <v>250</v>
      </c>
      <c r="D458" s="107" t="s">
        <v>250</v>
      </c>
      <c r="E458" s="120" t="s">
        <v>250</v>
      </c>
      <c r="F458" s="120" t="s">
        <v>250</v>
      </c>
      <c r="G458" s="120" t="s">
        <v>250</v>
      </c>
      <c r="H458" s="120" t="s">
        <v>250</v>
      </c>
      <c r="I458" s="120" t="s">
        <v>250</v>
      </c>
      <c r="J458" s="120" t="s">
        <v>250</v>
      </c>
      <c r="K458" s="120" t="s">
        <v>250</v>
      </c>
      <c r="L458" s="120" t="s">
        <v>250</v>
      </c>
      <c r="M458" s="120" t="s">
        <v>250</v>
      </c>
      <c r="N458" s="120" t="s">
        <v>250</v>
      </c>
      <c r="O458" s="120" t="s">
        <v>250</v>
      </c>
      <c r="P458" s="120" t="s">
        <v>250</v>
      </c>
      <c r="Q458" s="120" t="s">
        <v>250</v>
      </c>
      <c r="R458" s="120"/>
      <c r="S458" s="121"/>
    </row>
    <row r="459" spans="1:19" ht="15">
      <c r="A459" s="105">
        <v>30</v>
      </c>
      <c r="B459" s="129" t="str">
        <f t="shared" si="13"/>
        <v>TAL</v>
      </c>
      <c r="C459" s="107" t="s">
        <v>611</v>
      </c>
      <c r="D459" s="107" t="s">
        <v>250</v>
      </c>
      <c r="E459" s="120">
        <v>530058.88999999978</v>
      </c>
      <c r="F459" s="120" t="s">
        <v>250</v>
      </c>
      <c r="G459" s="120">
        <v>497299.80188480963</v>
      </c>
      <c r="H459" s="120" t="s">
        <v>250</v>
      </c>
      <c r="I459" s="120">
        <v>22156.908300899238</v>
      </c>
      <c r="J459" s="120">
        <v>10602.179814290923</v>
      </c>
      <c r="K459" s="120" t="s">
        <v>250</v>
      </c>
      <c r="L459" s="120" t="s">
        <v>250</v>
      </c>
      <c r="M459" s="120">
        <v>0</v>
      </c>
      <c r="N459" s="120" t="s">
        <v>250</v>
      </c>
      <c r="O459" s="120">
        <v>10602.179814290923</v>
      </c>
      <c r="P459" s="120">
        <v>5387.3375746678594</v>
      </c>
      <c r="Q459" s="120">
        <v>5214.8422396230635</v>
      </c>
      <c r="R459" s="120"/>
      <c r="S459" s="121"/>
    </row>
    <row r="460" spans="1:19" ht="15">
      <c r="A460" s="105" t="s">
        <v>250</v>
      </c>
      <c r="B460" s="129" t="str">
        <f t="shared" si="13"/>
        <v/>
      </c>
      <c r="C460" s="107" t="s">
        <v>250</v>
      </c>
      <c r="D460" s="107" t="s">
        <v>250</v>
      </c>
      <c r="E460" s="120" t="s">
        <v>250</v>
      </c>
      <c r="F460" s="120" t="s">
        <v>250</v>
      </c>
      <c r="G460" s="120" t="s">
        <v>250</v>
      </c>
      <c r="H460" s="120" t="s">
        <v>250</v>
      </c>
      <c r="I460" s="120" t="s">
        <v>250</v>
      </c>
      <c r="J460" s="120" t="s">
        <v>250</v>
      </c>
      <c r="K460" s="120" t="s">
        <v>250</v>
      </c>
      <c r="L460" s="120" t="s">
        <v>250</v>
      </c>
      <c r="M460" s="120" t="s">
        <v>250</v>
      </c>
      <c r="N460" s="120" t="s">
        <v>250</v>
      </c>
      <c r="O460" s="120" t="s">
        <v>250</v>
      </c>
      <c r="P460" s="120" t="s">
        <v>250</v>
      </c>
      <c r="Q460" s="120" t="s">
        <v>250</v>
      </c>
      <c r="R460" s="120"/>
      <c r="S460" s="121"/>
    </row>
    <row r="461" spans="1:19" ht="15">
      <c r="A461" s="105" t="s">
        <v>250</v>
      </c>
      <c r="B461" s="129" t="str">
        <f t="shared" si="13"/>
        <v>ODU</v>
      </c>
      <c r="C461" s="107" t="s">
        <v>612</v>
      </c>
      <c r="D461" s="107" t="s">
        <v>250</v>
      </c>
      <c r="E461" s="120" t="s">
        <v>250</v>
      </c>
      <c r="F461" s="120" t="s">
        <v>250</v>
      </c>
      <c r="G461" s="120" t="s">
        <v>250</v>
      </c>
      <c r="H461" s="120" t="s">
        <v>250</v>
      </c>
      <c r="I461" s="120" t="s">
        <v>250</v>
      </c>
      <c r="J461" s="120" t="s">
        <v>250</v>
      </c>
      <c r="K461" s="120" t="s">
        <v>250</v>
      </c>
      <c r="L461" s="120" t="s">
        <v>250</v>
      </c>
      <c r="M461" s="120" t="s">
        <v>250</v>
      </c>
      <c r="N461" s="120" t="s">
        <v>250</v>
      </c>
      <c r="O461" s="120" t="s">
        <v>250</v>
      </c>
      <c r="P461" s="120" t="s">
        <v>250</v>
      </c>
      <c r="Q461" s="120" t="s">
        <v>250</v>
      </c>
      <c r="R461" s="120"/>
      <c r="S461" s="121"/>
    </row>
    <row r="462" spans="1:19" ht="15">
      <c r="A462" s="105">
        <v>31</v>
      </c>
      <c r="B462" s="129" t="str">
        <f t="shared" si="13"/>
        <v>546</v>
      </c>
      <c r="C462" s="107" t="s">
        <v>613</v>
      </c>
      <c r="D462" s="107" t="s">
        <v>614</v>
      </c>
      <c r="E462" s="120">
        <v>950016.25</v>
      </c>
      <c r="F462" s="120" t="s">
        <v>250</v>
      </c>
      <c r="G462" s="120">
        <v>890471.57690773683</v>
      </c>
      <c r="H462" s="120" t="s">
        <v>250</v>
      </c>
      <c r="I462" s="120">
        <v>40222.732311142448</v>
      </c>
      <c r="J462" s="120">
        <v>19321.94078112072</v>
      </c>
      <c r="K462" s="120" t="s">
        <v>250</v>
      </c>
      <c r="L462" s="120" t="s">
        <v>250</v>
      </c>
      <c r="M462" s="120">
        <v>0</v>
      </c>
      <c r="N462" s="120" t="s">
        <v>250</v>
      </c>
      <c r="O462" s="120">
        <v>19321.94078112072</v>
      </c>
      <c r="P462" s="120">
        <v>9801.1695437267426</v>
      </c>
      <c r="Q462" s="120">
        <v>9520.7712373939758</v>
      </c>
      <c r="R462" s="120"/>
      <c r="S462" s="121"/>
    </row>
    <row r="463" spans="1:19" ht="15">
      <c r="A463" s="105">
        <v>32</v>
      </c>
      <c r="B463" s="129" t="str">
        <f t="shared" si="13"/>
        <v>547</v>
      </c>
      <c r="C463" s="107" t="s">
        <v>615</v>
      </c>
      <c r="D463" s="107" t="s">
        <v>494</v>
      </c>
      <c r="E463" s="120">
        <v>94728068.944563404</v>
      </c>
      <c r="F463" s="120" t="s">
        <v>250</v>
      </c>
      <c r="G463" s="120">
        <v>89217329.150431246</v>
      </c>
      <c r="H463" s="120" t="s">
        <v>250</v>
      </c>
      <c r="I463" s="120">
        <v>3582936.5312623424</v>
      </c>
      <c r="J463" s="120">
        <v>1927803.2628698135</v>
      </c>
      <c r="K463" s="120" t="s">
        <v>250</v>
      </c>
      <c r="L463" s="120" t="s">
        <v>250</v>
      </c>
      <c r="M463" s="120">
        <v>0</v>
      </c>
      <c r="N463" s="120" t="s">
        <v>250</v>
      </c>
      <c r="O463" s="120">
        <v>1927803.2628698135</v>
      </c>
      <c r="P463" s="120">
        <v>989491.36026353738</v>
      </c>
      <c r="Q463" s="120">
        <v>938311.9026062761</v>
      </c>
      <c r="R463" s="120"/>
      <c r="S463" s="121"/>
    </row>
    <row r="464" spans="1:19" ht="15">
      <c r="A464" s="105">
        <v>33</v>
      </c>
      <c r="B464" s="129" t="str">
        <f t="shared" si="13"/>
        <v>548</v>
      </c>
      <c r="C464" s="107" t="s">
        <v>616</v>
      </c>
      <c r="D464" s="107" t="s">
        <v>614</v>
      </c>
      <c r="E464" s="120">
        <v>540963.71</v>
      </c>
      <c r="F464" s="120" t="s">
        <v>250</v>
      </c>
      <c r="G464" s="120">
        <v>507057.44022121688</v>
      </c>
      <c r="H464" s="120" t="s">
        <v>250</v>
      </c>
      <c r="I464" s="120">
        <v>22903.859273325583</v>
      </c>
      <c r="J464" s="120">
        <v>11002.410505457523</v>
      </c>
      <c r="K464" s="120" t="s">
        <v>250</v>
      </c>
      <c r="L464" s="120" t="s">
        <v>250</v>
      </c>
      <c r="M464" s="120">
        <v>0</v>
      </c>
      <c r="N464" s="120" t="s">
        <v>250</v>
      </c>
      <c r="O464" s="120">
        <v>11002.410505457523</v>
      </c>
      <c r="P464" s="120">
        <v>5581.0382598333717</v>
      </c>
      <c r="Q464" s="120">
        <v>5421.3722456241521</v>
      </c>
      <c r="R464" s="120"/>
      <c r="S464" s="121"/>
    </row>
    <row r="465" spans="1:19" ht="15">
      <c r="A465" s="105">
        <v>34</v>
      </c>
      <c r="B465" s="129" t="str">
        <f t="shared" si="13"/>
        <v>549</v>
      </c>
      <c r="C465" s="107" t="s">
        <v>2223</v>
      </c>
      <c r="D465" s="107" t="s">
        <v>614</v>
      </c>
      <c r="E465" s="120">
        <v>4914768.91</v>
      </c>
      <c r="F465" s="120" t="s">
        <v>250</v>
      </c>
      <c r="G465" s="120">
        <v>4610647.0553710675</v>
      </c>
      <c r="H465" s="120" t="s">
        <v>250</v>
      </c>
      <c r="I465" s="120">
        <v>205435.8738312927</v>
      </c>
      <c r="J465" s="120">
        <v>98685.980797640179</v>
      </c>
      <c r="K465" s="120" t="s">
        <v>250</v>
      </c>
      <c r="L465" s="120" t="s">
        <v>250</v>
      </c>
      <c r="M465" s="120">
        <v>0</v>
      </c>
      <c r="N465" s="120" t="s">
        <v>250</v>
      </c>
      <c r="O465" s="120">
        <v>98685.980797640179</v>
      </c>
      <c r="P465" s="120">
        <v>50059.05153853447</v>
      </c>
      <c r="Q465" s="120">
        <v>48626.929259105709</v>
      </c>
      <c r="R465" s="120"/>
      <c r="S465" s="121"/>
    </row>
    <row r="466" spans="1:19" ht="15">
      <c r="A466" s="105">
        <v>35</v>
      </c>
      <c r="B466" s="129" t="str">
        <f t="shared" si="13"/>
        <v>550</v>
      </c>
      <c r="C466" s="107" t="s">
        <v>2224</v>
      </c>
      <c r="D466" s="107" t="s">
        <v>614</v>
      </c>
      <c r="E466" s="120">
        <v>5087.6400000000012</v>
      </c>
      <c r="F466" s="120" t="s">
        <v>250</v>
      </c>
      <c r="G466" s="120">
        <v>4768.7592854741997</v>
      </c>
      <c r="H466" s="120" t="s">
        <v>250</v>
      </c>
      <c r="I466" s="120">
        <v>215.40555944749451</v>
      </c>
      <c r="J466" s="120">
        <v>103.47515507830632</v>
      </c>
      <c r="K466" s="120" t="s">
        <v>250</v>
      </c>
      <c r="L466" s="120" t="s">
        <v>250</v>
      </c>
      <c r="M466" s="120">
        <v>0</v>
      </c>
      <c r="N466" s="120" t="s">
        <v>250</v>
      </c>
      <c r="O466" s="120">
        <v>103.47515507830632</v>
      </c>
      <c r="P466" s="120">
        <v>52.488388716978186</v>
      </c>
      <c r="Q466" s="120">
        <v>50.986766361328129</v>
      </c>
      <c r="R466" s="120"/>
      <c r="S466" s="121"/>
    </row>
    <row r="467" spans="1:19" ht="15">
      <c r="A467" s="105">
        <v>36</v>
      </c>
      <c r="B467" s="129" t="str">
        <f t="shared" si="13"/>
        <v xml:space="preserve">  T</v>
      </c>
      <c r="C467" s="107" t="s">
        <v>617</v>
      </c>
      <c r="D467" s="107" t="s">
        <v>250</v>
      </c>
      <c r="E467" s="120">
        <v>101138905.45456341</v>
      </c>
      <c r="F467" s="120" t="s">
        <v>250</v>
      </c>
      <c r="G467" s="120">
        <v>95230273.982216746</v>
      </c>
      <c r="H467" s="120" t="s">
        <v>250</v>
      </c>
      <c r="I467" s="120">
        <v>3851714.4022375508</v>
      </c>
      <c r="J467" s="120">
        <v>2056917.0701091103</v>
      </c>
      <c r="K467" s="120" t="s">
        <v>250</v>
      </c>
      <c r="L467" s="120" t="s">
        <v>250</v>
      </c>
      <c r="M467" s="120">
        <v>0</v>
      </c>
      <c r="N467" s="120" t="s">
        <v>250</v>
      </c>
      <c r="O467" s="120">
        <v>2056917.0701091103</v>
      </c>
      <c r="P467" s="120">
        <v>1054985.107994349</v>
      </c>
      <c r="Q467" s="120">
        <v>1001931.9621147612</v>
      </c>
      <c r="R467" s="120"/>
      <c r="S467" s="121"/>
    </row>
    <row r="468" spans="1:19" ht="15">
      <c r="A468" s="105">
        <v>37</v>
      </c>
      <c r="B468" s="129" t="str">
        <f t="shared" si="13"/>
        <v>551</v>
      </c>
      <c r="C468" s="107" t="s">
        <v>618</v>
      </c>
      <c r="D468" s="107" t="s">
        <v>614</v>
      </c>
      <c r="E468" s="120">
        <v>846683.73</v>
      </c>
      <c r="F468" s="120" t="s">
        <v>250</v>
      </c>
      <c r="G468" s="120">
        <v>775272.34869792999</v>
      </c>
      <c r="H468" s="120" t="s">
        <v>250</v>
      </c>
      <c r="I468" s="120">
        <v>48231.033915993175</v>
      </c>
      <c r="J468" s="120">
        <v>23180.347386076828</v>
      </c>
      <c r="K468" s="120" t="s">
        <v>250</v>
      </c>
      <c r="L468" s="120" t="s">
        <v>250</v>
      </c>
      <c r="M468" s="120">
        <v>0</v>
      </c>
      <c r="N468" s="120" t="s">
        <v>250</v>
      </c>
      <c r="O468" s="120">
        <v>23180.347386076828</v>
      </c>
      <c r="P468" s="120">
        <v>11758.369274964942</v>
      </c>
      <c r="Q468" s="120">
        <v>11421.978111111885</v>
      </c>
      <c r="R468" s="120"/>
      <c r="S468" s="121"/>
    </row>
    <row r="469" spans="1:19" ht="15">
      <c r="A469" s="105">
        <v>38</v>
      </c>
      <c r="B469" s="129" t="str">
        <f t="shared" si="13"/>
        <v>552</v>
      </c>
      <c r="C469" s="107" t="s">
        <v>619</v>
      </c>
      <c r="D469" s="107" t="s">
        <v>614</v>
      </c>
      <c r="E469" s="120">
        <v>1537746.1599999997</v>
      </c>
      <c r="F469" s="120" t="s">
        <v>250</v>
      </c>
      <c r="G469" s="120">
        <v>1425306.3285563395</v>
      </c>
      <c r="H469" s="120" t="s">
        <v>250</v>
      </c>
      <c r="I469" s="120">
        <v>75948.76451328471</v>
      </c>
      <c r="J469" s="120">
        <v>36491.066930375564</v>
      </c>
      <c r="K469" s="120" t="s">
        <v>250</v>
      </c>
      <c r="L469" s="120" t="s">
        <v>250</v>
      </c>
      <c r="M469" s="120">
        <v>0</v>
      </c>
      <c r="N469" s="120" t="s">
        <v>250</v>
      </c>
      <c r="O469" s="120">
        <v>36491.066930375564</v>
      </c>
      <c r="P469" s="120">
        <v>18510.311043161484</v>
      </c>
      <c r="Q469" s="120">
        <v>17980.75588721408</v>
      </c>
      <c r="R469" s="120"/>
      <c r="S469" s="121"/>
    </row>
    <row r="470" spans="1:19" ht="15">
      <c r="A470" s="105">
        <v>39</v>
      </c>
      <c r="B470" s="129" t="str">
        <f t="shared" si="13"/>
        <v>553</v>
      </c>
      <c r="C470" s="107" t="s">
        <v>620</v>
      </c>
      <c r="D470" s="107" t="s">
        <v>614</v>
      </c>
      <c r="E470" s="120">
        <v>4232216.9800000004</v>
      </c>
      <c r="F470" s="120" t="s">
        <v>250</v>
      </c>
      <c r="G470" s="120">
        <v>3705748.1467669099</v>
      </c>
      <c r="H470" s="120" t="s">
        <v>250</v>
      </c>
      <c r="I470" s="120">
        <v>355495.13041630003</v>
      </c>
      <c r="J470" s="120">
        <v>170973.70281679038</v>
      </c>
      <c r="K470" s="120" t="s">
        <v>250</v>
      </c>
      <c r="L470" s="120" t="s">
        <v>250</v>
      </c>
      <c r="M470" s="120">
        <v>0</v>
      </c>
      <c r="N470" s="120" t="s">
        <v>250</v>
      </c>
      <c r="O470" s="120">
        <v>170973.70281679038</v>
      </c>
      <c r="P470" s="120">
        <v>86727.429082251634</v>
      </c>
      <c r="Q470" s="120">
        <v>84246.273734538729</v>
      </c>
      <c r="R470" s="120"/>
      <c r="S470" s="121"/>
    </row>
    <row r="471" spans="1:19" ht="15">
      <c r="A471" s="105">
        <v>40</v>
      </c>
      <c r="B471" s="129" t="str">
        <f t="shared" si="13"/>
        <v>554</v>
      </c>
      <c r="C471" s="107" t="s">
        <v>621</v>
      </c>
      <c r="D471" s="107" t="s">
        <v>614</v>
      </c>
      <c r="E471" s="120">
        <v>3159290.0900000003</v>
      </c>
      <c r="F471" s="120" t="s">
        <v>250</v>
      </c>
      <c r="G471" s="120">
        <v>2941276.5986460922</v>
      </c>
      <c r="H471" s="120" t="s">
        <v>250</v>
      </c>
      <c r="I471" s="120">
        <v>147255.97820126568</v>
      </c>
      <c r="J471" s="120">
        <v>70757.513152642437</v>
      </c>
      <c r="K471" s="120" t="s">
        <v>250</v>
      </c>
      <c r="L471" s="120" t="s">
        <v>250</v>
      </c>
      <c r="M471" s="120">
        <v>0</v>
      </c>
      <c r="N471" s="120" t="s">
        <v>250</v>
      </c>
      <c r="O471" s="120">
        <v>70757.513152642437</v>
      </c>
      <c r="P471" s="120">
        <v>35892.169982176005</v>
      </c>
      <c r="Q471" s="120">
        <v>34865.34317046644</v>
      </c>
      <c r="R471" s="120"/>
      <c r="S471" s="121"/>
    </row>
    <row r="472" spans="1:19" ht="15">
      <c r="A472" s="105">
        <v>41</v>
      </c>
      <c r="B472" s="129" t="str">
        <f t="shared" si="13"/>
        <v xml:space="preserve">  T</v>
      </c>
      <c r="C472" s="107" t="s">
        <v>622</v>
      </c>
      <c r="D472" s="107" t="s">
        <v>250</v>
      </c>
      <c r="E472" s="120">
        <v>9775936.9600000009</v>
      </c>
      <c r="F472" s="120" t="s">
        <v>250</v>
      </c>
      <c r="G472" s="120">
        <v>8847603.4226672724</v>
      </c>
      <c r="H472" s="120" t="s">
        <v>250</v>
      </c>
      <c r="I472" s="120">
        <v>626930.90704684355</v>
      </c>
      <c r="J472" s="120">
        <v>301402.63028588519</v>
      </c>
      <c r="K472" s="120" t="s">
        <v>250</v>
      </c>
      <c r="L472" s="120" t="s">
        <v>250</v>
      </c>
      <c r="M472" s="120">
        <v>0</v>
      </c>
      <c r="N472" s="120" t="s">
        <v>250</v>
      </c>
      <c r="O472" s="120">
        <v>301402.63028588519</v>
      </c>
      <c r="P472" s="120">
        <v>152888.27938255406</v>
      </c>
      <c r="Q472" s="120">
        <v>148514.35090333113</v>
      </c>
      <c r="R472" s="120"/>
      <c r="S472" s="121"/>
    </row>
    <row r="473" spans="1:19" ht="15">
      <c r="A473" s="105" t="s">
        <v>250</v>
      </c>
      <c r="B473" s="129" t="str">
        <f t="shared" si="13"/>
        <v/>
      </c>
      <c r="C473" s="107" t="s">
        <v>250</v>
      </c>
      <c r="D473" s="107" t="s">
        <v>250</v>
      </c>
      <c r="E473" s="120" t="s">
        <v>250</v>
      </c>
      <c r="F473" s="120" t="s">
        <v>250</v>
      </c>
      <c r="G473" s="120" t="s">
        <v>250</v>
      </c>
      <c r="H473" s="120" t="s">
        <v>250</v>
      </c>
      <c r="I473" s="120" t="s">
        <v>250</v>
      </c>
      <c r="J473" s="120" t="s">
        <v>250</v>
      </c>
      <c r="K473" s="120" t="s">
        <v>250</v>
      </c>
      <c r="L473" s="120" t="s">
        <v>250</v>
      </c>
      <c r="M473" s="120" t="s">
        <v>250</v>
      </c>
      <c r="N473" s="120" t="s">
        <v>250</v>
      </c>
      <c r="O473" s="120" t="s">
        <v>250</v>
      </c>
      <c r="P473" s="120" t="s">
        <v>250</v>
      </c>
      <c r="Q473" s="120" t="s">
        <v>250</v>
      </c>
      <c r="R473" s="120"/>
      <c r="S473" s="121"/>
    </row>
    <row r="474" spans="1:19" ht="15">
      <c r="A474" s="105">
        <v>42</v>
      </c>
      <c r="B474" s="129" t="str">
        <f t="shared" si="13"/>
        <v>TAL</v>
      </c>
      <c r="C474" s="107" t="s">
        <v>623</v>
      </c>
      <c r="D474" s="107" t="s">
        <v>250</v>
      </c>
      <c r="E474" s="120">
        <v>110914842.41456339</v>
      </c>
      <c r="F474" s="120" t="s">
        <v>250</v>
      </c>
      <c r="G474" s="120">
        <v>104077877.40488401</v>
      </c>
      <c r="H474" s="120" t="s">
        <v>250</v>
      </c>
      <c r="I474" s="120">
        <v>4478645.3092843946</v>
      </c>
      <c r="J474" s="120">
        <v>2358319.7003949955</v>
      </c>
      <c r="K474" s="120" t="s">
        <v>250</v>
      </c>
      <c r="L474" s="120" t="s">
        <v>250</v>
      </c>
      <c r="M474" s="120">
        <v>0</v>
      </c>
      <c r="N474" s="120" t="s">
        <v>250</v>
      </c>
      <c r="O474" s="120">
        <v>2358319.7003949955</v>
      </c>
      <c r="P474" s="120">
        <v>1207873.3873769031</v>
      </c>
      <c r="Q474" s="120">
        <v>1150446.3130180924</v>
      </c>
      <c r="R474" s="120"/>
      <c r="S474" s="121"/>
    </row>
    <row r="475" spans="1:19" ht="15">
      <c r="A475" s="105" t="s">
        <v>250</v>
      </c>
      <c r="B475" s="129" t="str">
        <f t="shared" si="13"/>
        <v/>
      </c>
      <c r="C475" s="107" t="s">
        <v>250</v>
      </c>
      <c r="D475" s="107" t="s">
        <v>250</v>
      </c>
      <c r="E475" s="120" t="s">
        <v>250</v>
      </c>
      <c r="F475" s="120" t="s">
        <v>250</v>
      </c>
      <c r="G475" s="120" t="s">
        <v>250</v>
      </c>
      <c r="H475" s="120" t="s">
        <v>250</v>
      </c>
      <c r="I475" s="120" t="s">
        <v>250</v>
      </c>
      <c r="J475" s="120" t="s">
        <v>250</v>
      </c>
      <c r="K475" s="120" t="s">
        <v>250</v>
      </c>
      <c r="L475" s="120" t="s">
        <v>250</v>
      </c>
      <c r="M475" s="120" t="s">
        <v>250</v>
      </c>
      <c r="N475" s="120" t="s">
        <v>250</v>
      </c>
      <c r="O475" s="120" t="s">
        <v>250</v>
      </c>
      <c r="P475" s="120" t="s">
        <v>250</v>
      </c>
      <c r="Q475" s="120" t="s">
        <v>250</v>
      </c>
      <c r="R475" s="120"/>
      <c r="S475" s="121"/>
    </row>
    <row r="476" spans="1:19" ht="15">
      <c r="A476" s="105" t="s">
        <v>250</v>
      </c>
      <c r="B476" s="129" t="str">
        <f t="shared" si="13"/>
        <v>ERA</v>
      </c>
      <c r="C476" s="107" t="s">
        <v>631</v>
      </c>
      <c r="D476" s="107" t="s">
        <v>250</v>
      </c>
      <c r="E476" s="120" t="s">
        <v>250</v>
      </c>
      <c r="F476" s="120" t="s">
        <v>250</v>
      </c>
      <c r="G476" s="120" t="s">
        <v>250</v>
      </c>
      <c r="H476" s="120" t="s">
        <v>250</v>
      </c>
      <c r="I476" s="120" t="s">
        <v>250</v>
      </c>
      <c r="J476" s="120" t="s">
        <v>250</v>
      </c>
      <c r="K476" s="120" t="s">
        <v>250</v>
      </c>
      <c r="L476" s="120" t="s">
        <v>250</v>
      </c>
      <c r="M476" s="120" t="s">
        <v>250</v>
      </c>
      <c r="N476" s="120" t="s">
        <v>250</v>
      </c>
      <c r="O476" s="120" t="s">
        <v>250</v>
      </c>
      <c r="P476" s="120" t="s">
        <v>250</v>
      </c>
      <c r="Q476" s="120" t="s">
        <v>250</v>
      </c>
      <c r="R476" s="120"/>
      <c r="S476" s="121"/>
    </row>
    <row r="477" spans="1:19" ht="15">
      <c r="A477" s="105" t="s">
        <v>250</v>
      </c>
      <c r="B477" s="129" t="str">
        <f t="shared" si="13"/>
        <v/>
      </c>
      <c r="C477" s="107" t="s">
        <v>250</v>
      </c>
      <c r="D477" s="107" t="s">
        <v>250</v>
      </c>
      <c r="E477" s="120" t="s">
        <v>250</v>
      </c>
      <c r="F477" s="120" t="s">
        <v>250</v>
      </c>
      <c r="G477" s="120" t="s">
        <v>250</v>
      </c>
      <c r="H477" s="120" t="s">
        <v>250</v>
      </c>
      <c r="I477" s="120" t="s">
        <v>250</v>
      </c>
      <c r="J477" s="120" t="s">
        <v>250</v>
      </c>
      <c r="K477" s="120" t="s">
        <v>250</v>
      </c>
      <c r="L477" s="120" t="s">
        <v>250</v>
      </c>
      <c r="M477" s="120" t="s">
        <v>250</v>
      </c>
      <c r="N477" s="120" t="s">
        <v>250</v>
      </c>
      <c r="O477" s="120" t="s">
        <v>250</v>
      </c>
      <c r="P477" s="120" t="s">
        <v>250</v>
      </c>
      <c r="Q477" s="120" t="s">
        <v>250</v>
      </c>
      <c r="R477" s="120"/>
      <c r="S477" s="121"/>
    </row>
    <row r="478" spans="1:19" ht="15">
      <c r="A478" s="105" t="s">
        <v>250</v>
      </c>
      <c r="B478" s="129" t="str">
        <f t="shared" si="13"/>
        <v>5-P</v>
      </c>
      <c r="C478" s="107" t="s">
        <v>624</v>
      </c>
      <c r="D478" s="107" t="s">
        <v>250</v>
      </c>
      <c r="E478" s="120" t="s">
        <v>250</v>
      </c>
      <c r="F478" s="120" t="s">
        <v>250</v>
      </c>
      <c r="G478" s="120" t="s">
        <v>250</v>
      </c>
      <c r="H478" s="120" t="s">
        <v>250</v>
      </c>
      <c r="I478" s="120" t="s">
        <v>250</v>
      </c>
      <c r="J478" s="120" t="s">
        <v>250</v>
      </c>
      <c r="K478" s="120" t="s">
        <v>250</v>
      </c>
      <c r="L478" s="120" t="s">
        <v>250</v>
      </c>
      <c r="M478" s="120" t="s">
        <v>250</v>
      </c>
      <c r="N478" s="120" t="s">
        <v>250</v>
      </c>
      <c r="O478" s="120" t="s">
        <v>250</v>
      </c>
      <c r="P478" s="120" t="s">
        <v>250</v>
      </c>
      <c r="Q478" s="120" t="s">
        <v>250</v>
      </c>
      <c r="R478" s="120"/>
      <c r="S478" s="121"/>
    </row>
    <row r="479" spans="1:19" ht="15">
      <c r="A479" s="105">
        <v>43</v>
      </c>
      <c r="B479" s="129" t="str">
        <f t="shared" si="13"/>
        <v>CAP</v>
      </c>
      <c r="C479" s="107" t="s">
        <v>625</v>
      </c>
      <c r="D479" s="107" t="s">
        <v>303</v>
      </c>
      <c r="E479" s="120">
        <v>9620887.3379094508</v>
      </c>
      <c r="F479" s="120" t="s">
        <v>250</v>
      </c>
      <c r="G479" s="120">
        <v>9025479.3693910614</v>
      </c>
      <c r="H479" s="120" t="s">
        <v>250</v>
      </c>
      <c r="I479" s="120">
        <v>408744.59285451769</v>
      </c>
      <c r="J479" s="120">
        <v>186663.37566387138</v>
      </c>
      <c r="K479" s="120" t="s">
        <v>250</v>
      </c>
      <c r="L479" s="120" t="s">
        <v>250</v>
      </c>
      <c r="M479" s="120">
        <v>0</v>
      </c>
      <c r="N479" s="120" t="s">
        <v>250</v>
      </c>
      <c r="O479" s="120">
        <v>186663.37566387138</v>
      </c>
      <c r="P479" s="120">
        <v>94686.109082456431</v>
      </c>
      <c r="Q479" s="120">
        <v>91977.266581414951</v>
      </c>
      <c r="R479" s="120"/>
      <c r="S479" s="121"/>
    </row>
    <row r="480" spans="1:19" ht="15">
      <c r="A480" s="105">
        <v>44</v>
      </c>
      <c r="B480" s="129" t="str">
        <f t="shared" si="13"/>
        <v>ENE</v>
      </c>
      <c r="C480" s="107" t="s">
        <v>626</v>
      </c>
      <c r="D480" s="107" t="s">
        <v>494</v>
      </c>
      <c r="E480" s="120">
        <v>28740454.242062952</v>
      </c>
      <c r="F480" s="120" t="s">
        <v>250</v>
      </c>
      <c r="G480" s="120">
        <v>27068498.224614121</v>
      </c>
      <c r="H480" s="120" t="s">
        <v>250</v>
      </c>
      <c r="I480" s="120">
        <v>1087061.3597034698</v>
      </c>
      <c r="J480" s="120">
        <v>584894.65774536273</v>
      </c>
      <c r="K480" s="120" t="s">
        <v>250</v>
      </c>
      <c r="L480" s="120" t="s">
        <v>250</v>
      </c>
      <c r="M480" s="120">
        <v>0</v>
      </c>
      <c r="N480" s="120" t="s">
        <v>250</v>
      </c>
      <c r="O480" s="120">
        <v>584894.65774536273</v>
      </c>
      <c r="P480" s="120">
        <v>300211.24128703092</v>
      </c>
      <c r="Q480" s="120">
        <v>284683.41645833181</v>
      </c>
      <c r="R480" s="120"/>
      <c r="S480" s="121"/>
    </row>
    <row r="481" spans="1:19" ht="15">
      <c r="A481" s="105">
        <v>45</v>
      </c>
      <c r="B481" s="129" t="str">
        <f t="shared" si="13"/>
        <v xml:space="preserve">  T</v>
      </c>
      <c r="C481" s="107" t="s">
        <v>627</v>
      </c>
      <c r="D481" s="107" t="s">
        <v>250</v>
      </c>
      <c r="E481" s="120">
        <v>38361341.579972401</v>
      </c>
      <c r="F481" s="120" t="s">
        <v>250</v>
      </c>
      <c r="G481" s="120">
        <v>36093977.594005182</v>
      </c>
      <c r="H481" s="120" t="s">
        <v>250</v>
      </c>
      <c r="I481" s="120">
        <v>1495805.9525579875</v>
      </c>
      <c r="J481" s="120">
        <v>771558.03340923414</v>
      </c>
      <c r="K481" s="120" t="s">
        <v>250</v>
      </c>
      <c r="L481" s="120" t="s">
        <v>250</v>
      </c>
      <c r="M481" s="120">
        <v>0</v>
      </c>
      <c r="N481" s="120" t="s">
        <v>250</v>
      </c>
      <c r="O481" s="120">
        <v>771558.03340923414</v>
      </c>
      <c r="P481" s="120">
        <v>394897.35036948737</v>
      </c>
      <c r="Q481" s="120">
        <v>376660.68303974677</v>
      </c>
      <c r="R481" s="120"/>
      <c r="S481" s="121"/>
    </row>
    <row r="482" spans="1:19" ht="15">
      <c r="A482" s="105" t="s">
        <v>250</v>
      </c>
      <c r="B482" s="129">
        <v>555</v>
      </c>
      <c r="C482" s="107" t="s">
        <v>250</v>
      </c>
      <c r="D482" s="107" t="s">
        <v>250</v>
      </c>
      <c r="E482" s="120" t="s">
        <v>250</v>
      </c>
      <c r="F482" s="120" t="s">
        <v>250</v>
      </c>
      <c r="G482" s="120" t="s">
        <v>250</v>
      </c>
      <c r="H482" s="120" t="s">
        <v>250</v>
      </c>
      <c r="I482" s="120" t="s">
        <v>250</v>
      </c>
      <c r="J482" s="120" t="s">
        <v>250</v>
      </c>
      <c r="K482" s="120" t="s">
        <v>250</v>
      </c>
      <c r="L482" s="120" t="s">
        <v>250</v>
      </c>
      <c r="M482" s="120" t="s">
        <v>250</v>
      </c>
      <c r="N482" s="120" t="s">
        <v>250</v>
      </c>
      <c r="O482" s="120" t="s">
        <v>250</v>
      </c>
      <c r="P482" s="120" t="s">
        <v>250</v>
      </c>
      <c r="Q482" s="120" t="s">
        <v>250</v>
      </c>
      <c r="R482" s="120"/>
      <c r="S482" s="121"/>
    </row>
    <row r="483" spans="1:19" ht="15">
      <c r="A483" s="105">
        <v>46</v>
      </c>
      <c r="B483" s="129" t="str">
        <f t="shared" si="13"/>
        <v>6-S</v>
      </c>
      <c r="C483" s="107" t="s">
        <v>628</v>
      </c>
      <c r="D483" s="107" t="s">
        <v>303</v>
      </c>
      <c r="E483" s="120">
        <v>2254521.87</v>
      </c>
      <c r="F483" s="120" t="s">
        <v>250</v>
      </c>
      <c r="G483" s="120">
        <v>2114996.24835514</v>
      </c>
      <c r="H483" s="120" t="s">
        <v>250</v>
      </c>
      <c r="I483" s="120">
        <v>95783.641515440133</v>
      </c>
      <c r="J483" s="120">
        <v>43741.980129420015</v>
      </c>
      <c r="K483" s="120" t="s">
        <v>250</v>
      </c>
      <c r="L483" s="120" t="s">
        <v>250</v>
      </c>
      <c r="M483" s="120">
        <v>0</v>
      </c>
      <c r="N483" s="120" t="s">
        <v>250</v>
      </c>
      <c r="O483" s="120">
        <v>43741.980129420015</v>
      </c>
      <c r="P483" s="120">
        <v>22188.379950200058</v>
      </c>
      <c r="Q483" s="120">
        <v>21553.600179219957</v>
      </c>
      <c r="R483" s="120"/>
      <c r="S483" s="121"/>
    </row>
    <row r="484" spans="1:19" ht="15">
      <c r="A484" s="105">
        <v>47</v>
      </c>
      <c r="B484" s="129">
        <v>556</v>
      </c>
      <c r="C484" s="107" t="s">
        <v>629</v>
      </c>
      <c r="D484" s="107" t="s">
        <v>497</v>
      </c>
      <c r="E484" s="120">
        <v>175193.25999999896</v>
      </c>
      <c r="F484" s="120" t="s">
        <v>250</v>
      </c>
      <c r="G484" s="120">
        <v>163990.34636404595</v>
      </c>
      <c r="H484" s="120" t="s">
        <v>250</v>
      </c>
      <c r="I484" s="120">
        <v>7564.1431901503947</v>
      </c>
      <c r="J484" s="120">
        <v>3638.7704458026142</v>
      </c>
      <c r="K484" s="120" t="s">
        <v>250</v>
      </c>
      <c r="L484" s="120" t="s">
        <v>250</v>
      </c>
      <c r="M484" s="120">
        <v>0</v>
      </c>
      <c r="N484" s="120" t="s">
        <v>250</v>
      </c>
      <c r="O484" s="120">
        <v>3638.7704458026142</v>
      </c>
      <c r="P484" s="120">
        <v>1845.7879813429877</v>
      </c>
      <c r="Q484" s="120">
        <v>1792.9824644596265</v>
      </c>
      <c r="R484" s="120"/>
      <c r="S484" s="121"/>
    </row>
    <row r="485" spans="1:19" ht="15">
      <c r="A485" s="105" t="s">
        <v>250</v>
      </c>
      <c r="B485" s="129">
        <v>557</v>
      </c>
      <c r="C485" s="107" t="s">
        <v>250</v>
      </c>
      <c r="D485" s="107" t="s">
        <v>250</v>
      </c>
      <c r="E485" s="120" t="s">
        <v>250</v>
      </c>
      <c r="F485" s="120" t="s">
        <v>250</v>
      </c>
      <c r="G485" s="120" t="s">
        <v>250</v>
      </c>
      <c r="H485" s="120" t="s">
        <v>250</v>
      </c>
      <c r="I485" s="120" t="s">
        <v>250</v>
      </c>
      <c r="J485" s="120" t="s">
        <v>250</v>
      </c>
      <c r="K485" s="120" t="s">
        <v>250</v>
      </c>
      <c r="L485" s="120" t="s">
        <v>250</v>
      </c>
      <c r="M485" s="120" t="s">
        <v>250</v>
      </c>
      <c r="N485" s="120" t="s">
        <v>250</v>
      </c>
      <c r="O485" s="120" t="s">
        <v>250</v>
      </c>
      <c r="P485" s="120" t="s">
        <v>250</v>
      </c>
      <c r="Q485" s="120" t="s">
        <v>250</v>
      </c>
      <c r="R485" s="120"/>
      <c r="S485" s="121"/>
    </row>
    <row r="486" spans="1:19" ht="15">
      <c r="A486" s="105">
        <v>48</v>
      </c>
      <c r="B486" s="129" t="str">
        <f t="shared" si="13"/>
        <v>TAL</v>
      </c>
      <c r="C486" s="107" t="s">
        <v>630</v>
      </c>
      <c r="D486" s="107" t="s">
        <v>250</v>
      </c>
      <c r="E486" s="120">
        <v>585945984.35989738</v>
      </c>
      <c r="F486" s="120" t="s">
        <v>250</v>
      </c>
      <c r="G486" s="120">
        <v>550419509.53900826</v>
      </c>
      <c r="H486" s="120" t="s">
        <v>250</v>
      </c>
      <c r="I486" s="120">
        <v>23283291.179556329</v>
      </c>
      <c r="J486" s="120">
        <v>12243183.641332731</v>
      </c>
      <c r="K486" s="120" t="s">
        <v>250</v>
      </c>
      <c r="L486" s="120" t="s">
        <v>250</v>
      </c>
      <c r="M486" s="120">
        <v>0</v>
      </c>
      <c r="N486" s="120" t="s">
        <v>250</v>
      </c>
      <c r="O486" s="120">
        <v>12243183.641332731</v>
      </c>
      <c r="P486" s="120">
        <v>6270972.7738707168</v>
      </c>
      <c r="Q486" s="120">
        <v>5972210.8674620138</v>
      </c>
      <c r="R486" s="120"/>
      <c r="S486" s="121"/>
    </row>
    <row r="487" spans="1:19" ht="15">
      <c r="A487" s="105" t="s">
        <v>250</v>
      </c>
      <c r="B487" s="129" t="str">
        <f t="shared" si="13"/>
        <v/>
      </c>
      <c r="C487" s="107" t="s">
        <v>250</v>
      </c>
      <c r="D487" s="107" t="s">
        <v>250</v>
      </c>
      <c r="E487" s="120" t="s">
        <v>250</v>
      </c>
      <c r="F487" s="120" t="s">
        <v>250</v>
      </c>
      <c r="G487" s="120" t="s">
        <v>250</v>
      </c>
      <c r="H487" s="120" t="s">
        <v>250</v>
      </c>
      <c r="I487" s="120" t="s">
        <v>250</v>
      </c>
      <c r="J487" s="120" t="s">
        <v>250</v>
      </c>
      <c r="K487" s="120" t="s">
        <v>250</v>
      </c>
      <c r="L487" s="120" t="s">
        <v>250</v>
      </c>
      <c r="M487" s="120" t="s">
        <v>250</v>
      </c>
      <c r="N487" s="120" t="s">
        <v>250</v>
      </c>
      <c r="O487" s="120" t="s">
        <v>250</v>
      </c>
      <c r="P487" s="120" t="s">
        <v>250</v>
      </c>
      <c r="Q487" s="120" t="s">
        <v>250</v>
      </c>
      <c r="R487" s="120"/>
      <c r="S487" s="121"/>
    </row>
    <row r="488" spans="1:19" ht="15">
      <c r="A488" s="105" t="s">
        <v>250</v>
      </c>
      <c r="B488" s="129" t="str">
        <f t="shared" si="13"/>
        <v>ERA</v>
      </c>
      <c r="C488" s="107" t="s">
        <v>631</v>
      </c>
      <c r="D488" s="107" t="s">
        <v>250</v>
      </c>
      <c r="E488" s="120" t="s">
        <v>250</v>
      </c>
      <c r="F488" s="120" t="s">
        <v>250</v>
      </c>
      <c r="G488" s="120" t="s">
        <v>250</v>
      </c>
      <c r="H488" s="120" t="s">
        <v>250</v>
      </c>
      <c r="I488" s="120" t="s">
        <v>250</v>
      </c>
      <c r="J488" s="120" t="s">
        <v>250</v>
      </c>
      <c r="K488" s="120" t="s">
        <v>250</v>
      </c>
      <c r="L488" s="120" t="s">
        <v>250</v>
      </c>
      <c r="M488" s="120" t="s">
        <v>250</v>
      </c>
      <c r="N488" s="120" t="s">
        <v>250</v>
      </c>
      <c r="O488" s="120" t="s">
        <v>250</v>
      </c>
      <c r="P488" s="120" t="s">
        <v>250</v>
      </c>
      <c r="Q488" s="120" t="s">
        <v>250</v>
      </c>
      <c r="R488" s="120"/>
      <c r="S488" s="121"/>
    </row>
    <row r="489" spans="1:19" ht="15">
      <c r="A489" s="105" t="s">
        <v>250</v>
      </c>
      <c r="B489" s="129" t="str">
        <f t="shared" si="13"/>
        <v/>
      </c>
      <c r="C489" s="107" t="s">
        <v>250</v>
      </c>
      <c r="D489" s="107" t="s">
        <v>250</v>
      </c>
      <c r="E489" s="120" t="s">
        <v>250</v>
      </c>
      <c r="F489" s="120" t="s">
        <v>250</v>
      </c>
      <c r="G489" s="120" t="s">
        <v>250</v>
      </c>
      <c r="H489" s="120" t="s">
        <v>250</v>
      </c>
      <c r="I489" s="120" t="s">
        <v>250</v>
      </c>
      <c r="J489" s="120" t="s">
        <v>250</v>
      </c>
      <c r="K489" s="120" t="s">
        <v>250</v>
      </c>
      <c r="L489" s="120" t="s">
        <v>250</v>
      </c>
      <c r="M489" s="120" t="s">
        <v>250</v>
      </c>
      <c r="N489" s="120" t="s">
        <v>250</v>
      </c>
      <c r="O489" s="120" t="s">
        <v>250</v>
      </c>
      <c r="P489" s="120" t="s">
        <v>250</v>
      </c>
      <c r="Q489" s="120" t="s">
        <v>250</v>
      </c>
      <c r="R489" s="120"/>
      <c r="S489" s="121"/>
    </row>
    <row r="490" spans="1:19" ht="15">
      <c r="A490" s="105" t="s">
        <v>250</v>
      </c>
      <c r="B490" s="129" t="str">
        <f t="shared" si="13"/>
        <v>ANS</v>
      </c>
      <c r="C490" s="107" t="s">
        <v>632</v>
      </c>
      <c r="D490" s="107" t="s">
        <v>250</v>
      </c>
      <c r="E490" s="120" t="s">
        <v>250</v>
      </c>
      <c r="F490" s="120" t="s">
        <v>250</v>
      </c>
      <c r="G490" s="120" t="s">
        <v>250</v>
      </c>
      <c r="H490" s="120" t="s">
        <v>250</v>
      </c>
      <c r="I490" s="120" t="s">
        <v>250</v>
      </c>
      <c r="J490" s="120" t="s">
        <v>250</v>
      </c>
      <c r="K490" s="120" t="s">
        <v>250</v>
      </c>
      <c r="L490" s="120" t="s">
        <v>250</v>
      </c>
      <c r="M490" s="120" t="s">
        <v>250</v>
      </c>
      <c r="N490" s="120" t="s">
        <v>250</v>
      </c>
      <c r="O490" s="120" t="s">
        <v>250</v>
      </c>
      <c r="P490" s="120" t="s">
        <v>250</v>
      </c>
      <c r="Q490" s="120" t="s">
        <v>250</v>
      </c>
      <c r="R490" s="120"/>
      <c r="S490" s="121"/>
    </row>
    <row r="491" spans="1:19" ht="15">
      <c r="A491" s="105">
        <v>1</v>
      </c>
      <c r="B491" s="129" t="str">
        <f t="shared" si="13"/>
        <v>560</v>
      </c>
      <c r="C491" s="107" t="s">
        <v>633</v>
      </c>
      <c r="D491" s="107" t="s">
        <v>634</v>
      </c>
      <c r="E491" s="120">
        <v>2524706.09</v>
      </c>
      <c r="F491" s="120" t="s">
        <v>250</v>
      </c>
      <c r="G491" s="120">
        <v>2277285.5587003143</v>
      </c>
      <c r="H491" s="120" t="s">
        <v>250</v>
      </c>
      <c r="I491" s="120">
        <v>247420.53129968571</v>
      </c>
      <c r="J491" s="120">
        <v>0</v>
      </c>
      <c r="K491" s="120" t="s">
        <v>250</v>
      </c>
      <c r="L491" s="120" t="s">
        <v>250</v>
      </c>
      <c r="M491" s="120">
        <v>0</v>
      </c>
      <c r="N491" s="120" t="s">
        <v>250</v>
      </c>
      <c r="O491" s="120">
        <v>0</v>
      </c>
      <c r="P491" s="120">
        <v>0</v>
      </c>
      <c r="Q491" s="120">
        <v>0</v>
      </c>
      <c r="R491" s="120"/>
      <c r="S491" s="121"/>
    </row>
    <row r="492" spans="1:19" ht="15">
      <c r="A492" s="105">
        <v>2</v>
      </c>
      <c r="B492" s="129" t="str">
        <f t="shared" si="13"/>
        <v>561</v>
      </c>
      <c r="C492" s="107" t="s">
        <v>635</v>
      </c>
      <c r="D492" s="107" t="s">
        <v>499</v>
      </c>
      <c r="E492" s="120">
        <v>3670083.79</v>
      </c>
      <c r="F492" s="120" t="s">
        <v>250</v>
      </c>
      <c r="G492" s="120">
        <v>3310416.5460254094</v>
      </c>
      <c r="H492" s="120" t="s">
        <v>250</v>
      </c>
      <c r="I492" s="120">
        <v>359667.2439745905</v>
      </c>
      <c r="J492" s="120">
        <v>0</v>
      </c>
      <c r="K492" s="120" t="s">
        <v>250</v>
      </c>
      <c r="L492" s="120" t="s">
        <v>250</v>
      </c>
      <c r="M492" s="120">
        <v>0</v>
      </c>
      <c r="N492" s="120" t="s">
        <v>250</v>
      </c>
      <c r="O492" s="120">
        <v>0</v>
      </c>
      <c r="P492" s="120">
        <v>0</v>
      </c>
      <c r="Q492" s="120">
        <v>0</v>
      </c>
      <c r="R492" s="120"/>
      <c r="S492" s="121"/>
    </row>
    <row r="493" spans="1:19" ht="15">
      <c r="A493" s="105">
        <v>3</v>
      </c>
      <c r="B493" s="129" t="str">
        <f t="shared" si="13"/>
        <v>562</v>
      </c>
      <c r="C493" s="107" t="s">
        <v>636</v>
      </c>
      <c r="D493" s="107" t="s">
        <v>499</v>
      </c>
      <c r="E493" s="120">
        <v>1261875.23</v>
      </c>
      <c r="F493" s="120" t="s">
        <v>250</v>
      </c>
      <c r="G493" s="120">
        <v>1138211.7900942035</v>
      </c>
      <c r="H493" s="120" t="s">
        <v>250</v>
      </c>
      <c r="I493" s="120">
        <v>123663.4399057964</v>
      </c>
      <c r="J493" s="120">
        <v>0</v>
      </c>
      <c r="K493" s="120" t="s">
        <v>250</v>
      </c>
      <c r="L493" s="120" t="s">
        <v>250</v>
      </c>
      <c r="M493" s="120">
        <v>0</v>
      </c>
      <c r="N493" s="120" t="s">
        <v>250</v>
      </c>
      <c r="O493" s="120">
        <v>0</v>
      </c>
      <c r="P493" s="120">
        <v>0</v>
      </c>
      <c r="Q493" s="120">
        <v>0</v>
      </c>
      <c r="R493" s="120"/>
      <c r="S493" s="121"/>
    </row>
    <row r="494" spans="1:19" ht="15">
      <c r="A494" s="105">
        <v>4</v>
      </c>
      <c r="B494" s="129" t="str">
        <f t="shared" si="13"/>
        <v>563</v>
      </c>
      <c r="C494" s="107" t="s">
        <v>637</v>
      </c>
      <c r="D494" s="107" t="s">
        <v>499</v>
      </c>
      <c r="E494" s="120">
        <v>890675.46999999916</v>
      </c>
      <c r="F494" s="120" t="s">
        <v>250</v>
      </c>
      <c r="G494" s="120">
        <v>803389.50872480089</v>
      </c>
      <c r="H494" s="120" t="s">
        <v>250</v>
      </c>
      <c r="I494" s="120">
        <v>87285.961275198235</v>
      </c>
      <c r="J494" s="120">
        <v>0</v>
      </c>
      <c r="K494" s="120" t="s">
        <v>250</v>
      </c>
      <c r="L494" s="120" t="s">
        <v>250</v>
      </c>
      <c r="M494" s="120">
        <v>0</v>
      </c>
      <c r="N494" s="120" t="s">
        <v>250</v>
      </c>
      <c r="O494" s="120">
        <v>0</v>
      </c>
      <c r="P494" s="120">
        <v>0</v>
      </c>
      <c r="Q494" s="120">
        <v>0</v>
      </c>
      <c r="R494" s="120"/>
      <c r="S494" s="121"/>
    </row>
    <row r="495" spans="1:19" ht="15">
      <c r="A495" s="105">
        <v>5</v>
      </c>
      <c r="B495" s="129" t="str">
        <f t="shared" si="13"/>
        <v>564</v>
      </c>
      <c r="C495" s="107" t="s">
        <v>638</v>
      </c>
      <c r="D495" s="107" t="s">
        <v>499</v>
      </c>
      <c r="E495" s="120">
        <v>0</v>
      </c>
      <c r="F495" s="120" t="s">
        <v>250</v>
      </c>
      <c r="G495" s="120">
        <v>0</v>
      </c>
      <c r="H495" s="120" t="s">
        <v>250</v>
      </c>
      <c r="I495" s="120">
        <v>0</v>
      </c>
      <c r="J495" s="120">
        <v>0</v>
      </c>
      <c r="K495" s="120" t="s">
        <v>250</v>
      </c>
      <c r="L495" s="120" t="s">
        <v>250</v>
      </c>
      <c r="M495" s="120">
        <v>0</v>
      </c>
      <c r="N495" s="120" t="s">
        <v>250</v>
      </c>
      <c r="O495" s="120">
        <v>0</v>
      </c>
      <c r="P495" s="120">
        <v>0</v>
      </c>
      <c r="Q495" s="120">
        <v>0</v>
      </c>
      <c r="R495" s="120"/>
      <c r="S495" s="121"/>
    </row>
    <row r="496" spans="1:19" ht="15">
      <c r="A496" s="105">
        <v>6</v>
      </c>
      <c r="B496" s="129" t="str">
        <f t="shared" si="13"/>
        <v>565</v>
      </c>
      <c r="C496" s="107" t="s">
        <v>639</v>
      </c>
      <c r="D496" s="107" t="s">
        <v>499</v>
      </c>
      <c r="E496" s="120">
        <v>3685637.8200000003</v>
      </c>
      <c r="F496" s="120" t="s">
        <v>250</v>
      </c>
      <c r="G496" s="120">
        <v>3324446.2851855</v>
      </c>
      <c r="H496" s="120" t="s">
        <v>250</v>
      </c>
      <c r="I496" s="120">
        <v>361191.53481450025</v>
      </c>
      <c r="J496" s="120">
        <v>0</v>
      </c>
      <c r="K496" s="120" t="s">
        <v>250</v>
      </c>
      <c r="L496" s="120" t="s">
        <v>250</v>
      </c>
      <c r="M496" s="120">
        <v>0</v>
      </c>
      <c r="N496" s="120" t="s">
        <v>250</v>
      </c>
      <c r="O496" s="120">
        <v>0</v>
      </c>
      <c r="P496" s="120">
        <v>0</v>
      </c>
      <c r="Q496" s="120">
        <v>0</v>
      </c>
      <c r="R496" s="120"/>
      <c r="S496" s="121"/>
    </row>
    <row r="497" spans="1:19" ht="15">
      <c r="A497" s="105">
        <v>7</v>
      </c>
      <c r="B497" s="129" t="str">
        <f t="shared" si="13"/>
        <v>566</v>
      </c>
      <c r="C497" s="107" t="s">
        <v>640</v>
      </c>
      <c r="D497" s="107" t="s">
        <v>499</v>
      </c>
      <c r="E497" s="120">
        <v>25560722.500000004</v>
      </c>
      <c r="F497" s="120" t="s">
        <v>250</v>
      </c>
      <c r="G497" s="120">
        <v>23055778.432885312</v>
      </c>
      <c r="H497" s="120" t="s">
        <v>250</v>
      </c>
      <c r="I497" s="120">
        <v>2504944.0671146926</v>
      </c>
      <c r="J497" s="120">
        <v>0</v>
      </c>
      <c r="K497" s="120" t="s">
        <v>250</v>
      </c>
      <c r="L497" s="120" t="s">
        <v>250</v>
      </c>
      <c r="M497" s="120">
        <v>0</v>
      </c>
      <c r="N497" s="120" t="s">
        <v>250</v>
      </c>
      <c r="O497" s="120">
        <v>0</v>
      </c>
      <c r="P497" s="120">
        <v>0</v>
      </c>
      <c r="Q497" s="120">
        <v>0</v>
      </c>
      <c r="R497" s="120"/>
      <c r="S497" s="121"/>
    </row>
    <row r="498" spans="1:19" ht="15">
      <c r="A498" s="105">
        <v>8</v>
      </c>
      <c r="B498" s="129" t="str">
        <f t="shared" si="13"/>
        <v>567</v>
      </c>
      <c r="C498" s="107" t="s">
        <v>641</v>
      </c>
      <c r="D498" s="107" t="s">
        <v>499</v>
      </c>
      <c r="E498" s="120">
        <v>113931.56000000001</v>
      </c>
      <c r="F498" s="120" t="s">
        <v>250</v>
      </c>
      <c r="G498" s="120">
        <v>102766.29715271071</v>
      </c>
      <c r="H498" s="120" t="s">
        <v>250</v>
      </c>
      <c r="I498" s="120">
        <v>11165.262847289299</v>
      </c>
      <c r="J498" s="120">
        <v>0</v>
      </c>
      <c r="K498" s="120" t="s">
        <v>250</v>
      </c>
      <c r="L498" s="120" t="s">
        <v>250</v>
      </c>
      <c r="M498" s="120">
        <v>0</v>
      </c>
      <c r="N498" s="120" t="s">
        <v>250</v>
      </c>
      <c r="O498" s="120">
        <v>0</v>
      </c>
      <c r="P498" s="120">
        <v>0</v>
      </c>
      <c r="Q498" s="120">
        <v>0</v>
      </c>
      <c r="R498" s="120"/>
      <c r="S498" s="121"/>
    </row>
    <row r="499" spans="1:19" ht="15">
      <c r="A499" s="105">
        <v>9</v>
      </c>
      <c r="B499" s="129" t="str">
        <f t="shared" si="13"/>
        <v>575</v>
      </c>
      <c r="C499" s="107" t="s">
        <v>642</v>
      </c>
      <c r="D499" s="107" t="s">
        <v>499</v>
      </c>
      <c r="E499" s="120">
        <v>1041.25</v>
      </c>
      <c r="F499" s="120" t="s">
        <v>250</v>
      </c>
      <c r="G499" s="120">
        <v>939.20777447671242</v>
      </c>
      <c r="H499" s="120" t="s">
        <v>250</v>
      </c>
      <c r="I499" s="120">
        <v>102.0422255232877</v>
      </c>
      <c r="J499" s="120">
        <v>0</v>
      </c>
      <c r="K499" s="120" t="s">
        <v>250</v>
      </c>
      <c r="L499" s="120" t="s">
        <v>250</v>
      </c>
      <c r="M499" s="120">
        <v>0</v>
      </c>
      <c r="N499" s="120" t="s">
        <v>250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10</v>
      </c>
      <c r="B500" s="129" t="str">
        <f t="shared" si="13"/>
        <v xml:space="preserve">  T</v>
      </c>
      <c r="C500" s="107" t="s">
        <v>643</v>
      </c>
      <c r="D500" s="107" t="s">
        <v>250</v>
      </c>
      <c r="E500" s="120">
        <v>37708673.710000008</v>
      </c>
      <c r="F500" s="120" t="s">
        <v>250</v>
      </c>
      <c r="G500" s="120">
        <v>34013233.626542732</v>
      </c>
      <c r="H500" s="120" t="s">
        <v>250</v>
      </c>
      <c r="I500" s="120">
        <v>3695440.0834572767</v>
      </c>
      <c r="J500" s="120">
        <v>0</v>
      </c>
      <c r="K500" s="120" t="s">
        <v>250</v>
      </c>
      <c r="L500" s="120" t="s">
        <v>250</v>
      </c>
      <c r="M500" s="120">
        <v>0</v>
      </c>
      <c r="N500" s="120" t="s">
        <v>250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11</v>
      </c>
      <c r="B501" s="129" t="str">
        <f t="shared" si="13"/>
        <v>568</v>
      </c>
      <c r="C501" s="107" t="s">
        <v>644</v>
      </c>
      <c r="D501" s="107" t="s">
        <v>499</v>
      </c>
      <c r="E501" s="120">
        <v>0</v>
      </c>
      <c r="F501" s="120" t="s">
        <v>250</v>
      </c>
      <c r="G501" s="120">
        <v>0</v>
      </c>
      <c r="H501" s="120" t="s">
        <v>250</v>
      </c>
      <c r="I501" s="120">
        <v>0</v>
      </c>
      <c r="J501" s="120">
        <v>0</v>
      </c>
      <c r="K501" s="120" t="s">
        <v>250</v>
      </c>
      <c r="L501" s="120" t="s">
        <v>250</v>
      </c>
      <c r="M501" s="120">
        <v>0</v>
      </c>
      <c r="N501" s="120" t="s">
        <v>250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12</v>
      </c>
      <c r="B502" s="129" t="str">
        <f t="shared" si="13"/>
        <v>569</v>
      </c>
      <c r="C502" s="107" t="s">
        <v>645</v>
      </c>
      <c r="D502" s="107" t="s">
        <v>499</v>
      </c>
      <c r="E502" s="120">
        <v>0</v>
      </c>
      <c r="F502" s="120" t="s">
        <v>250</v>
      </c>
      <c r="G502" s="120">
        <v>0</v>
      </c>
      <c r="H502" s="120" t="s">
        <v>250</v>
      </c>
      <c r="I502" s="120">
        <v>0</v>
      </c>
      <c r="J502" s="120">
        <v>0</v>
      </c>
      <c r="K502" s="120" t="s">
        <v>250</v>
      </c>
      <c r="L502" s="120" t="s">
        <v>250</v>
      </c>
      <c r="M502" s="120">
        <v>0</v>
      </c>
      <c r="N502" s="120" t="s">
        <v>250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13</v>
      </c>
      <c r="B503" s="129" t="str">
        <f t="shared" si="13"/>
        <v>570</v>
      </c>
      <c r="C503" s="107" t="s">
        <v>646</v>
      </c>
      <c r="D503" s="107" t="s">
        <v>499</v>
      </c>
      <c r="E503" s="120">
        <v>1997347.2999999903</v>
      </c>
      <c r="F503" s="120" t="s">
        <v>250</v>
      </c>
      <c r="G503" s="120">
        <v>1801607.7911069014</v>
      </c>
      <c r="H503" s="120" t="s">
        <v>250</v>
      </c>
      <c r="I503" s="120">
        <v>195739.50889308882</v>
      </c>
      <c r="J503" s="120">
        <v>0</v>
      </c>
      <c r="K503" s="120" t="s">
        <v>250</v>
      </c>
      <c r="L503" s="120" t="s">
        <v>250</v>
      </c>
      <c r="M503" s="120">
        <v>0</v>
      </c>
      <c r="N503" s="120" t="s">
        <v>250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14</v>
      </c>
      <c r="B504" s="129" t="str">
        <f t="shared" si="13"/>
        <v>571</v>
      </c>
      <c r="C504" s="107" t="s">
        <v>647</v>
      </c>
      <c r="D504" s="107" t="s">
        <v>499</v>
      </c>
      <c r="E504" s="120">
        <v>10522530.330000002</v>
      </c>
      <c r="F504" s="120" t="s">
        <v>250</v>
      </c>
      <c r="G504" s="120">
        <v>9495644.1797339339</v>
      </c>
      <c r="H504" s="120" t="s">
        <v>250</v>
      </c>
      <c r="I504" s="120">
        <v>1026886.1502660683</v>
      </c>
      <c r="J504" s="120">
        <v>0</v>
      </c>
      <c r="K504" s="120" t="s">
        <v>250</v>
      </c>
      <c r="L504" s="120" t="s">
        <v>250</v>
      </c>
      <c r="M504" s="120">
        <v>0</v>
      </c>
      <c r="N504" s="120" t="s">
        <v>250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15</v>
      </c>
      <c r="B505" s="129" t="str">
        <f t="shared" si="13"/>
        <v>572</v>
      </c>
      <c r="C505" s="107" t="s">
        <v>648</v>
      </c>
      <c r="D505" s="107" t="s">
        <v>499</v>
      </c>
      <c r="E505" s="120">
        <v>0</v>
      </c>
      <c r="F505" s="120" t="s">
        <v>250</v>
      </c>
      <c r="G505" s="120">
        <v>0</v>
      </c>
      <c r="H505" s="120" t="s">
        <v>250</v>
      </c>
      <c r="I505" s="120">
        <v>0</v>
      </c>
      <c r="J505" s="120">
        <v>0</v>
      </c>
      <c r="K505" s="120" t="s">
        <v>250</v>
      </c>
      <c r="L505" s="120" t="s">
        <v>250</v>
      </c>
      <c r="M505" s="120">
        <v>0</v>
      </c>
      <c r="N505" s="120" t="s">
        <v>250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16</v>
      </c>
      <c r="B506" s="129" t="str">
        <f t="shared" si="13"/>
        <v>573</v>
      </c>
      <c r="C506" s="107" t="s">
        <v>649</v>
      </c>
      <c r="D506" s="107" t="s">
        <v>499</v>
      </c>
      <c r="E506" s="120">
        <v>186488.68000000002</v>
      </c>
      <c r="F506" s="120" t="s">
        <v>250</v>
      </c>
      <c r="G506" s="120">
        <v>168212.8385189914</v>
      </c>
      <c r="H506" s="120" t="s">
        <v>250</v>
      </c>
      <c r="I506" s="120">
        <v>18275.841481008625</v>
      </c>
      <c r="J506" s="120">
        <v>0</v>
      </c>
      <c r="K506" s="120" t="s">
        <v>250</v>
      </c>
      <c r="L506" s="120" t="s">
        <v>250</v>
      </c>
      <c r="M506" s="120">
        <v>0</v>
      </c>
      <c r="N506" s="120" t="s">
        <v>250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17</v>
      </c>
      <c r="B507" s="129" t="str">
        <f t="shared" si="13"/>
        <v xml:space="preserve">  T</v>
      </c>
      <c r="C507" s="107" t="s">
        <v>650</v>
      </c>
      <c r="D507" s="107" t="s">
        <v>250</v>
      </c>
      <c r="E507" s="120">
        <v>12706366.309999993</v>
      </c>
      <c r="F507" s="120" t="s">
        <v>250</v>
      </c>
      <c r="G507" s="120">
        <v>11465464.809359828</v>
      </c>
      <c r="H507" s="120" t="s">
        <v>250</v>
      </c>
      <c r="I507" s="120">
        <v>1240901.5006401658</v>
      </c>
      <c r="J507" s="120">
        <v>0</v>
      </c>
      <c r="K507" s="120" t="s">
        <v>250</v>
      </c>
      <c r="L507" s="120" t="s">
        <v>250</v>
      </c>
      <c r="M507" s="120">
        <v>0</v>
      </c>
      <c r="N507" s="120" t="s">
        <v>250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 t="s">
        <v>250</v>
      </c>
      <c r="B508" s="129" t="str">
        <f t="shared" si="13"/>
        <v/>
      </c>
      <c r="C508" s="107" t="s">
        <v>250</v>
      </c>
      <c r="D508" s="107" t="s">
        <v>250</v>
      </c>
      <c r="E508" s="120" t="s">
        <v>250</v>
      </c>
      <c r="F508" s="120" t="s">
        <v>250</v>
      </c>
      <c r="G508" s="120" t="s">
        <v>250</v>
      </c>
      <c r="H508" s="120" t="s">
        <v>250</v>
      </c>
      <c r="I508" s="120" t="s">
        <v>250</v>
      </c>
      <c r="J508" s="120" t="s">
        <v>250</v>
      </c>
      <c r="K508" s="120" t="s">
        <v>250</v>
      </c>
      <c r="L508" s="120" t="s">
        <v>250</v>
      </c>
      <c r="M508" s="120" t="s">
        <v>250</v>
      </c>
      <c r="N508" s="120" t="s">
        <v>250</v>
      </c>
      <c r="O508" s="120" t="s">
        <v>250</v>
      </c>
      <c r="P508" s="120" t="s">
        <v>250</v>
      </c>
      <c r="Q508" s="120" t="s">
        <v>250</v>
      </c>
      <c r="R508" s="120"/>
      <c r="S508" s="121"/>
    </row>
    <row r="509" spans="1:19" ht="15">
      <c r="A509" s="105">
        <v>18</v>
      </c>
      <c r="B509" s="129" t="str">
        <f t="shared" si="13"/>
        <v>TAL</v>
      </c>
      <c r="C509" s="107" t="s">
        <v>651</v>
      </c>
      <c r="D509" s="107" t="s">
        <v>250</v>
      </c>
      <c r="E509" s="120">
        <v>50415040.020000003</v>
      </c>
      <c r="F509" s="120" t="s">
        <v>250</v>
      </c>
      <c r="G509" s="120">
        <v>45478698.435902558</v>
      </c>
      <c r="H509" s="120" t="s">
        <v>250</v>
      </c>
      <c r="I509" s="120">
        <v>4936341.5840974422</v>
      </c>
      <c r="J509" s="120">
        <v>0</v>
      </c>
      <c r="K509" s="120" t="s">
        <v>250</v>
      </c>
      <c r="L509" s="120" t="s">
        <v>250</v>
      </c>
      <c r="M509" s="120">
        <v>0</v>
      </c>
      <c r="N509" s="120" t="s">
        <v>250</v>
      </c>
      <c r="O509" s="120">
        <v>0</v>
      </c>
      <c r="P509" s="120">
        <v>0</v>
      </c>
      <c r="Q509" s="120">
        <v>0</v>
      </c>
      <c r="R509" s="120"/>
      <c r="S509" s="121"/>
    </row>
    <row r="510" spans="1:19" ht="15">
      <c r="A510" s="105" t="s">
        <v>250</v>
      </c>
      <c r="B510" s="129" t="str">
        <f t="shared" si="13"/>
        <v/>
      </c>
      <c r="C510" s="107" t="s">
        <v>250</v>
      </c>
      <c r="D510" s="107" t="s">
        <v>250</v>
      </c>
      <c r="E510" s="120" t="s">
        <v>250</v>
      </c>
      <c r="F510" s="120" t="s">
        <v>250</v>
      </c>
      <c r="G510" s="120" t="s">
        <v>250</v>
      </c>
      <c r="H510" s="120" t="s">
        <v>250</v>
      </c>
      <c r="I510" s="120" t="s">
        <v>250</v>
      </c>
      <c r="J510" s="120" t="s">
        <v>250</v>
      </c>
      <c r="K510" s="120" t="s">
        <v>250</v>
      </c>
      <c r="L510" s="120" t="s">
        <v>250</v>
      </c>
      <c r="M510" s="120" t="s">
        <v>250</v>
      </c>
      <c r="N510" s="120" t="s">
        <v>250</v>
      </c>
      <c r="O510" s="120" t="s">
        <v>250</v>
      </c>
      <c r="P510" s="120" t="s">
        <v>250</v>
      </c>
      <c r="Q510" s="120" t="s">
        <v>250</v>
      </c>
      <c r="R510" s="120"/>
      <c r="S510" s="121"/>
    </row>
    <row r="511" spans="1:19" ht="15">
      <c r="A511" s="105" t="s">
        <v>250</v>
      </c>
      <c r="B511" s="129" t="str">
        <f t="shared" si="13"/>
        <v>STR</v>
      </c>
      <c r="C511" s="107" t="s">
        <v>652</v>
      </c>
      <c r="D511" s="107" t="s">
        <v>250</v>
      </c>
      <c r="E511" s="120" t="s">
        <v>250</v>
      </c>
      <c r="F511" s="120" t="s">
        <v>250</v>
      </c>
      <c r="G511" s="120" t="s">
        <v>250</v>
      </c>
      <c r="H511" s="120" t="s">
        <v>250</v>
      </c>
      <c r="I511" s="120" t="s">
        <v>250</v>
      </c>
      <c r="J511" s="120" t="s">
        <v>250</v>
      </c>
      <c r="K511" s="120" t="s">
        <v>250</v>
      </c>
      <c r="L511" s="120" t="s">
        <v>250</v>
      </c>
      <c r="M511" s="120" t="s">
        <v>250</v>
      </c>
      <c r="N511" s="120" t="s">
        <v>250</v>
      </c>
      <c r="O511" s="120" t="s">
        <v>250</v>
      </c>
      <c r="P511" s="120" t="s">
        <v>250</v>
      </c>
      <c r="Q511" s="120" t="s">
        <v>250</v>
      </c>
      <c r="R511" s="120"/>
      <c r="S511" s="121"/>
    </row>
    <row r="512" spans="1:19" ht="15">
      <c r="A512" s="105">
        <v>19</v>
      </c>
      <c r="B512" s="129" t="str">
        <f t="shared" si="13"/>
        <v>580</v>
      </c>
      <c r="C512" s="107" t="s">
        <v>653</v>
      </c>
      <c r="D512" s="107" t="s">
        <v>501</v>
      </c>
      <c r="E512" s="120">
        <v>1771051.9699999997</v>
      </c>
      <c r="F512" s="120" t="s">
        <v>250</v>
      </c>
      <c r="G512" s="120">
        <v>1684454.4225342073</v>
      </c>
      <c r="H512" s="120" t="s">
        <v>250</v>
      </c>
      <c r="I512" s="120">
        <v>83755.383202250639</v>
      </c>
      <c r="J512" s="120">
        <v>2842.1642635417843</v>
      </c>
      <c r="K512" s="120" t="s">
        <v>250</v>
      </c>
      <c r="L512" s="120" t="s">
        <v>250</v>
      </c>
      <c r="M512" s="120">
        <v>0</v>
      </c>
      <c r="N512" s="120" t="s">
        <v>250</v>
      </c>
      <c r="O512" s="120">
        <v>2842.1642635417843</v>
      </c>
      <c r="P512" s="120">
        <v>2820.5351230997562</v>
      </c>
      <c r="Q512" s="120">
        <v>21.629140442028287</v>
      </c>
      <c r="R512" s="120"/>
      <c r="S512" s="121"/>
    </row>
    <row r="513" spans="1:19" ht="15">
      <c r="A513" s="105">
        <v>20</v>
      </c>
      <c r="B513" s="129" t="str">
        <f t="shared" si="13"/>
        <v>581</v>
      </c>
      <c r="C513" s="107" t="s">
        <v>654</v>
      </c>
      <c r="D513" s="107" t="s">
        <v>655</v>
      </c>
      <c r="E513" s="120">
        <v>436781.36999999994</v>
      </c>
      <c r="F513" s="120" t="s">
        <v>250</v>
      </c>
      <c r="G513" s="120">
        <v>418446.08530539158</v>
      </c>
      <c r="H513" s="120" t="s">
        <v>250</v>
      </c>
      <c r="I513" s="120">
        <v>13661.83474391271</v>
      </c>
      <c r="J513" s="120">
        <v>4673.4499506957063</v>
      </c>
      <c r="K513" s="120" t="s">
        <v>250</v>
      </c>
      <c r="L513" s="120" t="s">
        <v>250</v>
      </c>
      <c r="M513" s="120">
        <v>0</v>
      </c>
      <c r="N513" s="120" t="s">
        <v>250</v>
      </c>
      <c r="O513" s="120">
        <v>4673.4499506957063</v>
      </c>
      <c r="P513" s="120">
        <v>4673.4499506957063</v>
      </c>
      <c r="Q513" s="120">
        <v>0</v>
      </c>
      <c r="R513" s="120"/>
      <c r="S513" s="121"/>
    </row>
    <row r="514" spans="1:19" ht="15">
      <c r="A514" s="105">
        <v>21</v>
      </c>
      <c r="B514" s="129" t="str">
        <f t="shared" ref="B514:B579" si="14">MID(C514,3,3)</f>
        <v>582</v>
      </c>
      <c r="C514" s="107" t="s">
        <v>656</v>
      </c>
      <c r="D514" s="107" t="s">
        <v>655</v>
      </c>
      <c r="E514" s="120">
        <v>2117819.4</v>
      </c>
      <c r="F514" s="120" t="s">
        <v>250</v>
      </c>
      <c r="G514" s="120">
        <v>2028917.2070544427</v>
      </c>
      <c r="H514" s="120" t="s">
        <v>250</v>
      </c>
      <c r="I514" s="120">
        <v>66242.062156296568</v>
      </c>
      <c r="J514" s="120">
        <v>22660.130789260562</v>
      </c>
      <c r="K514" s="120" t="s">
        <v>250</v>
      </c>
      <c r="L514" s="120" t="s">
        <v>250</v>
      </c>
      <c r="M514" s="120">
        <v>0</v>
      </c>
      <c r="N514" s="120" t="s">
        <v>250</v>
      </c>
      <c r="O514" s="120">
        <v>22660.130789260562</v>
      </c>
      <c r="P514" s="120">
        <v>22660.130789260562</v>
      </c>
      <c r="Q514" s="120">
        <v>0</v>
      </c>
      <c r="R514" s="120"/>
      <c r="S514" s="121"/>
    </row>
    <row r="515" spans="1:19" ht="15">
      <c r="A515" s="105">
        <v>22</v>
      </c>
      <c r="B515" s="129" t="str">
        <f t="shared" si="14"/>
        <v>583</v>
      </c>
      <c r="C515" s="107" t="s">
        <v>657</v>
      </c>
      <c r="D515" s="107" t="s">
        <v>658</v>
      </c>
      <c r="E515" s="120">
        <v>6304720.8000000007</v>
      </c>
      <c r="F515" s="120" t="s">
        <v>250</v>
      </c>
      <c r="G515" s="120">
        <v>5885440.9062097166</v>
      </c>
      <c r="H515" s="120" t="s">
        <v>250</v>
      </c>
      <c r="I515" s="120">
        <v>419279.89379028446</v>
      </c>
      <c r="J515" s="120">
        <v>0</v>
      </c>
      <c r="K515" s="120" t="s">
        <v>250</v>
      </c>
      <c r="L515" s="120" t="s">
        <v>250</v>
      </c>
      <c r="M515" s="120">
        <v>0</v>
      </c>
      <c r="N515" s="120" t="s">
        <v>250</v>
      </c>
      <c r="O515" s="120">
        <v>0</v>
      </c>
      <c r="P515" s="120">
        <v>0</v>
      </c>
      <c r="Q515" s="120">
        <v>0</v>
      </c>
      <c r="R515" s="120"/>
      <c r="S515" s="121"/>
    </row>
    <row r="516" spans="1:19" ht="15">
      <c r="A516" s="105">
        <v>23</v>
      </c>
      <c r="B516" s="129" t="str">
        <f t="shared" si="14"/>
        <v>584</v>
      </c>
      <c r="C516" s="107" t="s">
        <v>659</v>
      </c>
      <c r="D516" s="107" t="s">
        <v>660</v>
      </c>
      <c r="E516" s="120">
        <v>1292831.94</v>
      </c>
      <c r="F516" s="120" t="s">
        <v>250</v>
      </c>
      <c r="G516" s="120">
        <v>1265701.9156150867</v>
      </c>
      <c r="H516" s="120" t="s">
        <v>250</v>
      </c>
      <c r="I516" s="120">
        <v>27130.024384913351</v>
      </c>
      <c r="J516" s="120">
        <v>0</v>
      </c>
      <c r="K516" s="120" t="s">
        <v>250</v>
      </c>
      <c r="L516" s="120" t="s">
        <v>250</v>
      </c>
      <c r="M516" s="120">
        <v>0</v>
      </c>
      <c r="N516" s="120" t="s">
        <v>250</v>
      </c>
      <c r="O516" s="120">
        <v>0</v>
      </c>
      <c r="P516" s="120">
        <v>0</v>
      </c>
      <c r="Q516" s="120">
        <v>0</v>
      </c>
      <c r="R516" s="120"/>
      <c r="S516" s="121"/>
    </row>
    <row r="517" spans="1:19" ht="15">
      <c r="A517" s="105">
        <v>24</v>
      </c>
      <c r="B517" s="129" t="str">
        <f t="shared" si="14"/>
        <v>585</v>
      </c>
      <c r="C517" s="107" t="s">
        <v>661</v>
      </c>
      <c r="D517" s="107" t="s">
        <v>662</v>
      </c>
      <c r="E517" s="120">
        <v>0</v>
      </c>
      <c r="F517" s="120" t="s">
        <v>250</v>
      </c>
      <c r="G517" s="120">
        <v>0</v>
      </c>
      <c r="H517" s="120" t="s">
        <v>250</v>
      </c>
      <c r="I517" s="120">
        <v>0</v>
      </c>
      <c r="J517" s="120">
        <v>0</v>
      </c>
      <c r="K517" s="120" t="s">
        <v>250</v>
      </c>
      <c r="L517" s="120" t="s">
        <v>250</v>
      </c>
      <c r="M517" s="120">
        <v>0</v>
      </c>
      <c r="N517" s="120" t="s">
        <v>250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>
        <v>25</v>
      </c>
      <c r="B518" s="129" t="str">
        <f t="shared" si="14"/>
        <v>586</v>
      </c>
      <c r="C518" s="107" t="s">
        <v>663</v>
      </c>
      <c r="D518" s="107" t="s">
        <v>664</v>
      </c>
      <c r="E518" s="120">
        <v>9632131.9000000004</v>
      </c>
      <c r="F518" s="120" t="s">
        <v>250</v>
      </c>
      <c r="G518" s="120">
        <v>9124986.8739598617</v>
      </c>
      <c r="H518" s="120" t="s">
        <v>250</v>
      </c>
      <c r="I518" s="120">
        <v>501479.56838883122</v>
      </c>
      <c r="J518" s="120">
        <v>5665.4576513081438</v>
      </c>
      <c r="K518" s="120" t="s">
        <v>250</v>
      </c>
      <c r="L518" s="120" t="s">
        <v>250</v>
      </c>
      <c r="M518" s="120">
        <v>0</v>
      </c>
      <c r="N518" s="120" t="s">
        <v>250</v>
      </c>
      <c r="O518" s="120">
        <v>5665.4576513081438</v>
      </c>
      <c r="P518" s="120">
        <v>2449.7463793683814</v>
      </c>
      <c r="Q518" s="120">
        <v>3215.7112719397624</v>
      </c>
      <c r="R518" s="120"/>
      <c r="S518" s="121"/>
    </row>
    <row r="519" spans="1:19" ht="15">
      <c r="A519" s="105">
        <v>26</v>
      </c>
      <c r="B519" s="129" t="str">
        <f t="shared" si="14"/>
        <v>587</v>
      </c>
      <c r="C519" s="107" t="s">
        <v>665</v>
      </c>
      <c r="D519" s="107" t="s">
        <v>662</v>
      </c>
      <c r="E519" s="120">
        <v>0</v>
      </c>
      <c r="F519" s="120" t="s">
        <v>250</v>
      </c>
      <c r="G519" s="120">
        <v>0</v>
      </c>
      <c r="H519" s="120" t="s">
        <v>250</v>
      </c>
      <c r="I519" s="120">
        <v>0</v>
      </c>
      <c r="J519" s="120">
        <v>0</v>
      </c>
      <c r="K519" s="120" t="s">
        <v>250</v>
      </c>
      <c r="L519" s="120" t="s">
        <v>250</v>
      </c>
      <c r="M519" s="120">
        <v>0</v>
      </c>
      <c r="N519" s="120" t="s">
        <v>250</v>
      </c>
      <c r="O519" s="120">
        <v>0</v>
      </c>
      <c r="P519" s="120">
        <v>0</v>
      </c>
      <c r="Q519" s="120">
        <v>0</v>
      </c>
      <c r="R519" s="120"/>
      <c r="S519" s="121"/>
    </row>
    <row r="520" spans="1:19" ht="15">
      <c r="A520" s="105">
        <v>27</v>
      </c>
      <c r="B520" s="129" t="str">
        <f t="shared" si="14"/>
        <v>588</v>
      </c>
      <c r="C520" s="107" t="s">
        <v>667</v>
      </c>
      <c r="D520" s="107" t="s">
        <v>501</v>
      </c>
      <c r="E520" s="120">
        <v>7361554.0599999987</v>
      </c>
      <c r="F520" s="120" t="s">
        <v>250</v>
      </c>
      <c r="G520" s="120">
        <v>7001602.7215122599</v>
      </c>
      <c r="H520" s="120" t="s">
        <v>250</v>
      </c>
      <c r="I520" s="120">
        <v>348137.59940617887</v>
      </c>
      <c r="J520" s="120">
        <v>11813.739081560059</v>
      </c>
      <c r="K520" s="120" t="s">
        <v>250</v>
      </c>
      <c r="L520" s="120" t="s">
        <v>250</v>
      </c>
      <c r="M520" s="120">
        <v>0</v>
      </c>
      <c r="N520" s="120" t="s">
        <v>250</v>
      </c>
      <c r="O520" s="120">
        <v>11813.739081560059</v>
      </c>
      <c r="P520" s="120">
        <v>11723.835403219484</v>
      </c>
      <c r="Q520" s="120">
        <v>89.90367834057605</v>
      </c>
      <c r="R520" s="120"/>
      <c r="S520" s="121"/>
    </row>
    <row r="521" spans="1:19" ht="15">
      <c r="A521" s="105">
        <v>28</v>
      </c>
      <c r="B521" s="129" t="str">
        <f t="shared" si="14"/>
        <v>589</v>
      </c>
      <c r="C521" s="107" t="s">
        <v>668</v>
      </c>
      <c r="D521" s="107" t="s">
        <v>501</v>
      </c>
      <c r="E521" s="120">
        <v>0</v>
      </c>
      <c r="F521" s="120" t="s">
        <v>250</v>
      </c>
      <c r="G521" s="120">
        <v>0</v>
      </c>
      <c r="H521" s="120" t="s">
        <v>250</v>
      </c>
      <c r="I521" s="120">
        <v>0</v>
      </c>
      <c r="J521" s="120">
        <v>0</v>
      </c>
      <c r="K521" s="120" t="s">
        <v>250</v>
      </c>
      <c r="L521" s="120" t="s">
        <v>250</v>
      </c>
      <c r="M521" s="120">
        <v>0</v>
      </c>
      <c r="N521" s="120" t="s">
        <v>250</v>
      </c>
      <c r="O521" s="120">
        <v>0</v>
      </c>
      <c r="P521" s="120">
        <v>0</v>
      </c>
      <c r="Q521" s="120">
        <v>0</v>
      </c>
      <c r="R521" s="120"/>
      <c r="S521" s="121"/>
    </row>
    <row r="522" spans="1:19" ht="15">
      <c r="A522" s="105">
        <v>29</v>
      </c>
      <c r="B522" s="129" t="str">
        <f t="shared" si="14"/>
        <v xml:space="preserve">  T</v>
      </c>
      <c r="C522" s="107" t="s">
        <v>669</v>
      </c>
      <c r="D522" s="107" t="s">
        <v>250</v>
      </c>
      <c r="E522" s="120">
        <v>28916891.440000001</v>
      </c>
      <c r="F522" s="120" t="s">
        <v>250</v>
      </c>
      <c r="G522" s="120">
        <v>27409550.132190965</v>
      </c>
      <c r="H522" s="120" t="s">
        <v>250</v>
      </c>
      <c r="I522" s="120">
        <v>1459686.3660726678</v>
      </c>
      <c r="J522" s="120">
        <v>47654.941736366251</v>
      </c>
      <c r="K522" s="120" t="s">
        <v>250</v>
      </c>
      <c r="L522" s="120" t="s">
        <v>250</v>
      </c>
      <c r="M522" s="120">
        <v>0</v>
      </c>
      <c r="N522" s="120" t="s">
        <v>250</v>
      </c>
      <c r="O522" s="120">
        <v>47654.941736366251</v>
      </c>
      <c r="P522" s="120">
        <v>44327.697645643886</v>
      </c>
      <c r="Q522" s="120">
        <v>3327.2440907223663</v>
      </c>
      <c r="R522" s="120"/>
      <c r="S522" s="121"/>
    </row>
    <row r="523" spans="1:19" ht="15">
      <c r="A523" s="105">
        <v>30</v>
      </c>
      <c r="B523" s="129" t="str">
        <f t="shared" si="14"/>
        <v>590</v>
      </c>
      <c r="C523" s="107" t="s">
        <v>670</v>
      </c>
      <c r="D523" s="107" t="s">
        <v>501</v>
      </c>
      <c r="E523" s="120">
        <v>17839.409999999996</v>
      </c>
      <c r="F523" s="120" t="s">
        <v>250</v>
      </c>
      <c r="G523" s="120">
        <v>16967.132291381018</v>
      </c>
      <c r="H523" s="120" t="s">
        <v>250</v>
      </c>
      <c r="I523" s="120">
        <v>843.64922428112709</v>
      </c>
      <c r="J523" s="120">
        <v>28.628484337853703</v>
      </c>
      <c r="K523" s="120" t="s">
        <v>250</v>
      </c>
      <c r="L523" s="120" t="s">
        <v>250</v>
      </c>
      <c r="M523" s="120">
        <v>0</v>
      </c>
      <c r="N523" s="120" t="s">
        <v>250</v>
      </c>
      <c r="O523" s="120">
        <v>28.628484337853703</v>
      </c>
      <c r="P523" s="120">
        <v>28.410618848399476</v>
      </c>
      <c r="Q523" s="120">
        <v>0.21786548945422751</v>
      </c>
      <c r="R523" s="120"/>
      <c r="S523" s="121"/>
    </row>
    <row r="524" spans="1:19" ht="15">
      <c r="A524" s="105">
        <v>31</v>
      </c>
      <c r="B524" s="129" t="str">
        <f t="shared" si="14"/>
        <v>591</v>
      </c>
      <c r="C524" s="107" t="s">
        <v>671</v>
      </c>
      <c r="D524" s="107" t="s">
        <v>655</v>
      </c>
      <c r="E524" s="120">
        <v>0</v>
      </c>
      <c r="F524" s="120" t="s">
        <v>250</v>
      </c>
      <c r="G524" s="120">
        <v>0</v>
      </c>
      <c r="H524" s="120" t="s">
        <v>250</v>
      </c>
      <c r="I524" s="120">
        <v>0</v>
      </c>
      <c r="J524" s="120">
        <v>0</v>
      </c>
      <c r="K524" s="120" t="s">
        <v>250</v>
      </c>
      <c r="L524" s="120" t="s">
        <v>250</v>
      </c>
      <c r="M524" s="120">
        <v>0</v>
      </c>
      <c r="N524" s="120" t="s">
        <v>250</v>
      </c>
      <c r="O524" s="120">
        <v>0</v>
      </c>
      <c r="P524" s="120">
        <v>0</v>
      </c>
      <c r="Q524" s="120">
        <v>0</v>
      </c>
      <c r="R524" s="120"/>
      <c r="S524" s="121"/>
    </row>
    <row r="525" spans="1:19" ht="15">
      <c r="A525" s="105">
        <v>32</v>
      </c>
      <c r="B525" s="129" t="str">
        <f t="shared" si="14"/>
        <v>592</v>
      </c>
      <c r="C525" s="107" t="s">
        <v>672</v>
      </c>
      <c r="D525" s="107" t="s">
        <v>655</v>
      </c>
      <c r="E525" s="120">
        <v>1400125.22</v>
      </c>
      <c r="F525" s="120" t="s">
        <v>250</v>
      </c>
      <c r="G525" s="120">
        <v>1341350.5187878094</v>
      </c>
      <c r="H525" s="120" t="s">
        <v>250</v>
      </c>
      <c r="I525" s="120">
        <v>43793.716239372632</v>
      </c>
      <c r="J525" s="120">
        <v>14980.984972817898</v>
      </c>
      <c r="K525" s="120" t="s">
        <v>250</v>
      </c>
      <c r="L525" s="120" t="s">
        <v>250</v>
      </c>
      <c r="M525" s="120">
        <v>0</v>
      </c>
      <c r="N525" s="120" t="s">
        <v>250</v>
      </c>
      <c r="O525" s="120">
        <v>14980.984972817898</v>
      </c>
      <c r="P525" s="120">
        <v>14980.984972817898</v>
      </c>
      <c r="Q525" s="120">
        <v>0</v>
      </c>
      <c r="R525" s="120"/>
      <c r="S525" s="121"/>
    </row>
    <row r="526" spans="1:19" ht="15">
      <c r="A526" s="105">
        <v>33</v>
      </c>
      <c r="B526" s="129" t="str">
        <f t="shared" si="14"/>
        <v>593</v>
      </c>
      <c r="C526" s="107" t="s">
        <v>673</v>
      </c>
      <c r="D526" s="107" t="s">
        <v>658</v>
      </c>
      <c r="E526" s="120">
        <v>29307068.9099999</v>
      </c>
      <c r="F526" s="120" t="s">
        <v>250</v>
      </c>
      <c r="G526" s="120">
        <v>27583166.645362463</v>
      </c>
      <c r="H526" s="120" t="s">
        <v>250</v>
      </c>
      <c r="I526" s="120">
        <v>1723902.2646374367</v>
      </c>
      <c r="J526" s="120">
        <v>0</v>
      </c>
      <c r="K526" s="120" t="s">
        <v>250</v>
      </c>
      <c r="L526" s="120" t="s">
        <v>250</v>
      </c>
      <c r="M526" s="120">
        <v>0</v>
      </c>
      <c r="N526" s="120" t="s">
        <v>250</v>
      </c>
      <c r="O526" s="120">
        <v>0</v>
      </c>
      <c r="P526" s="120">
        <v>0</v>
      </c>
      <c r="Q526" s="120">
        <v>0</v>
      </c>
      <c r="R526" s="120"/>
      <c r="S526" s="121"/>
    </row>
    <row r="527" spans="1:19" ht="15">
      <c r="A527" s="105">
        <v>34</v>
      </c>
      <c r="B527" s="129" t="str">
        <f t="shared" si="14"/>
        <v>594</v>
      </c>
      <c r="C527" s="107" t="s">
        <v>674</v>
      </c>
      <c r="D527" s="107" t="s">
        <v>660</v>
      </c>
      <c r="E527" s="120">
        <v>457506.11000000004</v>
      </c>
      <c r="F527" s="120" t="s">
        <v>250</v>
      </c>
      <c r="G527" s="120">
        <v>447905.36334723182</v>
      </c>
      <c r="H527" s="120" t="s">
        <v>250</v>
      </c>
      <c r="I527" s="120">
        <v>9600.7466527682245</v>
      </c>
      <c r="J527" s="120">
        <v>0</v>
      </c>
      <c r="K527" s="120" t="s">
        <v>250</v>
      </c>
      <c r="L527" s="120" t="s">
        <v>250</v>
      </c>
      <c r="M527" s="120">
        <v>0</v>
      </c>
      <c r="N527" s="120" t="s">
        <v>250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35</v>
      </c>
      <c r="B528" s="129" t="str">
        <f t="shared" si="14"/>
        <v>595</v>
      </c>
      <c r="C528" s="107" t="s">
        <v>675</v>
      </c>
      <c r="D528" s="107" t="s">
        <v>676</v>
      </c>
      <c r="E528" s="120">
        <v>79383.39</v>
      </c>
      <c r="F528" s="120" t="s">
        <v>250</v>
      </c>
      <c r="G528" s="120">
        <v>76751.394611295196</v>
      </c>
      <c r="H528" s="120" t="s">
        <v>250</v>
      </c>
      <c r="I528" s="120">
        <v>2631.9953887048077</v>
      </c>
      <c r="J528" s="120">
        <v>0</v>
      </c>
      <c r="K528" s="120" t="s">
        <v>250</v>
      </c>
      <c r="L528" s="120" t="s">
        <v>250</v>
      </c>
      <c r="M528" s="120">
        <v>0</v>
      </c>
      <c r="N528" s="120" t="s">
        <v>250</v>
      </c>
      <c r="O528" s="120">
        <v>0</v>
      </c>
      <c r="P528" s="120">
        <v>0</v>
      </c>
      <c r="Q528" s="120">
        <v>0</v>
      </c>
      <c r="R528" s="120"/>
      <c r="S528" s="121"/>
    </row>
    <row r="529" spans="1:19" ht="15">
      <c r="A529" s="105">
        <v>36</v>
      </c>
      <c r="B529" s="129" t="str">
        <f t="shared" si="14"/>
        <v>596</v>
      </c>
      <c r="C529" s="107" t="s">
        <v>677</v>
      </c>
      <c r="D529" s="107" t="s">
        <v>662</v>
      </c>
      <c r="E529" s="120">
        <v>0</v>
      </c>
      <c r="F529" s="120" t="s">
        <v>250</v>
      </c>
      <c r="G529" s="120">
        <v>0</v>
      </c>
      <c r="H529" s="120" t="s">
        <v>250</v>
      </c>
      <c r="I529" s="120">
        <v>0</v>
      </c>
      <c r="J529" s="120">
        <v>0</v>
      </c>
      <c r="K529" s="120" t="s">
        <v>250</v>
      </c>
      <c r="L529" s="120" t="s">
        <v>250</v>
      </c>
      <c r="M529" s="120">
        <v>0</v>
      </c>
      <c r="N529" s="120" t="s">
        <v>250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37</v>
      </c>
      <c r="B530" s="129" t="str">
        <f t="shared" si="14"/>
        <v>597</v>
      </c>
      <c r="C530" s="107" t="s">
        <v>678</v>
      </c>
      <c r="D530" s="107" t="s">
        <v>664</v>
      </c>
      <c r="E530" s="120">
        <v>0</v>
      </c>
      <c r="F530" s="120" t="s">
        <v>250</v>
      </c>
      <c r="G530" s="120">
        <v>0</v>
      </c>
      <c r="H530" s="120" t="s">
        <v>250</v>
      </c>
      <c r="I530" s="120">
        <v>0</v>
      </c>
      <c r="J530" s="120">
        <v>0</v>
      </c>
      <c r="K530" s="120" t="s">
        <v>250</v>
      </c>
      <c r="L530" s="120" t="s">
        <v>250</v>
      </c>
      <c r="M530" s="120">
        <v>0</v>
      </c>
      <c r="N530" s="120" t="s">
        <v>250</v>
      </c>
      <c r="O530" s="120">
        <v>0</v>
      </c>
      <c r="P530" s="120">
        <v>0</v>
      </c>
      <c r="Q530" s="120">
        <v>0</v>
      </c>
      <c r="R530" s="120"/>
      <c r="S530" s="121"/>
    </row>
    <row r="531" spans="1:19" ht="15">
      <c r="A531" s="105">
        <v>38</v>
      </c>
      <c r="B531" s="129" t="str">
        <f t="shared" si="14"/>
        <v>598</v>
      </c>
      <c r="C531" s="107" t="s">
        <v>679</v>
      </c>
      <c r="D531" s="107" t="s">
        <v>501</v>
      </c>
      <c r="E531" s="120">
        <v>413189.19999999995</v>
      </c>
      <c r="F531" s="120" t="s">
        <v>250</v>
      </c>
      <c r="G531" s="120">
        <v>392985.85647002282</v>
      </c>
      <c r="H531" s="120" t="s">
        <v>250</v>
      </c>
      <c r="I531" s="120">
        <v>19540.26215336379</v>
      </c>
      <c r="J531" s="120">
        <v>663.081376613369</v>
      </c>
      <c r="K531" s="120" t="s">
        <v>250</v>
      </c>
      <c r="L531" s="120" t="s">
        <v>250</v>
      </c>
      <c r="M531" s="120">
        <v>0</v>
      </c>
      <c r="N531" s="120" t="s">
        <v>250</v>
      </c>
      <c r="O531" s="120">
        <v>663.081376613369</v>
      </c>
      <c r="P531" s="120">
        <v>658.03526425341988</v>
      </c>
      <c r="Q531" s="120">
        <v>5.0461123599491637</v>
      </c>
      <c r="R531" s="120"/>
      <c r="S531" s="121"/>
    </row>
    <row r="532" spans="1:19" ht="15">
      <c r="A532" s="105">
        <v>39</v>
      </c>
      <c r="B532" s="129" t="str">
        <f t="shared" si="14"/>
        <v>880</v>
      </c>
      <c r="C532" s="107" t="s">
        <v>3736</v>
      </c>
      <c r="D532" s="107" t="s">
        <v>732</v>
      </c>
      <c r="E532" s="120">
        <v>27062</v>
      </c>
      <c r="F532" s="120" t="s">
        <v>250</v>
      </c>
      <c r="G532" s="120">
        <v>0</v>
      </c>
      <c r="H532" s="120" t="s">
        <v>250</v>
      </c>
      <c r="I532" s="120">
        <v>27062</v>
      </c>
      <c r="J532" s="120" t="s">
        <v>250</v>
      </c>
      <c r="K532" s="120" t="s">
        <v>250</v>
      </c>
      <c r="L532" s="120" t="s">
        <v>250</v>
      </c>
      <c r="M532" s="120" t="s">
        <v>250</v>
      </c>
      <c r="N532" s="120" t="s">
        <v>250</v>
      </c>
      <c r="O532" s="120">
        <v>0</v>
      </c>
      <c r="P532" s="120">
        <v>0</v>
      </c>
      <c r="Q532" s="120">
        <v>0</v>
      </c>
      <c r="R532" s="120"/>
      <c r="S532" s="121"/>
    </row>
    <row r="533" spans="1:19" ht="15">
      <c r="A533" s="105">
        <v>40</v>
      </c>
      <c r="B533" s="129" t="str">
        <f t="shared" si="14"/>
        <v xml:space="preserve">  T</v>
      </c>
      <c r="C533" s="107" t="s">
        <v>680</v>
      </c>
      <c r="D533" s="107" t="s">
        <v>250</v>
      </c>
      <c r="E533" s="120">
        <v>31702174.239999898</v>
      </c>
      <c r="F533" s="120" t="s">
        <v>250</v>
      </c>
      <c r="G533" s="120">
        <v>29859126.910870202</v>
      </c>
      <c r="H533" s="120" t="s">
        <v>250</v>
      </c>
      <c r="I533" s="120">
        <v>1827374.6342959274</v>
      </c>
      <c r="J533" s="120">
        <v>15672.694833769121</v>
      </c>
      <c r="K533" s="120" t="s">
        <v>250</v>
      </c>
      <c r="L533" s="120" t="s">
        <v>250</v>
      </c>
      <c r="M533" s="120">
        <v>0</v>
      </c>
      <c r="N533" s="120" t="s">
        <v>250</v>
      </c>
      <c r="O533" s="120">
        <v>15672.694833769121</v>
      </c>
      <c r="P533" s="120">
        <v>15667.430855919718</v>
      </c>
      <c r="Q533" s="120">
        <v>5.2639778494033909</v>
      </c>
      <c r="R533" s="120"/>
      <c r="S533" s="121"/>
    </row>
    <row r="534" spans="1:19" ht="15">
      <c r="A534" s="105"/>
      <c r="B534" s="129"/>
      <c r="C534" s="107"/>
      <c r="D534" s="107"/>
      <c r="E534" s="120" t="s">
        <v>250</v>
      </c>
      <c r="F534" s="120" t="s">
        <v>250</v>
      </c>
      <c r="G534" s="120" t="s">
        <v>250</v>
      </c>
      <c r="H534" s="120" t="s">
        <v>250</v>
      </c>
      <c r="I534" s="120" t="s">
        <v>250</v>
      </c>
      <c r="J534" s="120" t="s">
        <v>250</v>
      </c>
      <c r="K534" s="120" t="s">
        <v>250</v>
      </c>
      <c r="L534" s="120" t="s">
        <v>250</v>
      </c>
      <c r="M534" s="120" t="s">
        <v>250</v>
      </c>
      <c r="N534" s="120" t="s">
        <v>250</v>
      </c>
      <c r="O534" s="120" t="s">
        <v>250</v>
      </c>
      <c r="P534" s="120" t="s">
        <v>250</v>
      </c>
      <c r="Q534" s="120" t="s">
        <v>250</v>
      </c>
      <c r="R534" s="120"/>
      <c r="S534" s="121"/>
    </row>
    <row r="535" spans="1:19" ht="15">
      <c r="A535" s="105">
        <v>40</v>
      </c>
      <c r="B535" s="129" t="str">
        <f t="shared" si="14"/>
        <v>TAL</v>
      </c>
      <c r="C535" s="107" t="s">
        <v>681</v>
      </c>
      <c r="D535" s="107" t="s">
        <v>250</v>
      </c>
      <c r="E535" s="120">
        <v>60619065.679999895</v>
      </c>
      <c r="F535" s="120" t="s">
        <v>250</v>
      </c>
      <c r="G535" s="120">
        <v>57268677.043061167</v>
      </c>
      <c r="H535" s="120" t="s">
        <v>250</v>
      </c>
      <c r="I535" s="120">
        <v>3287061.0003685951</v>
      </c>
      <c r="J535" s="120">
        <v>63327.636570135372</v>
      </c>
      <c r="K535" s="120" t="s">
        <v>250</v>
      </c>
      <c r="L535" s="120" t="s">
        <v>250</v>
      </c>
      <c r="M535" s="120">
        <v>0</v>
      </c>
      <c r="N535" s="120" t="s">
        <v>250</v>
      </c>
      <c r="O535" s="120">
        <v>63327.636570135372</v>
      </c>
      <c r="P535" s="120">
        <v>59995.128501563602</v>
      </c>
      <c r="Q535" s="120">
        <v>3332.5080685717699</v>
      </c>
      <c r="R535" s="120"/>
      <c r="S535" s="121"/>
    </row>
    <row r="536" spans="1:19" ht="15">
      <c r="A536" s="105" t="s">
        <v>250</v>
      </c>
      <c r="B536" s="129" t="str">
        <f t="shared" si="14"/>
        <v/>
      </c>
      <c r="C536" s="107" t="s">
        <v>250</v>
      </c>
      <c r="D536" s="107" t="s">
        <v>250</v>
      </c>
      <c r="E536" s="120" t="s">
        <v>250</v>
      </c>
      <c r="F536" s="120" t="s">
        <v>250</v>
      </c>
      <c r="G536" s="120" t="s">
        <v>250</v>
      </c>
      <c r="H536" s="120" t="s">
        <v>250</v>
      </c>
      <c r="I536" s="120" t="s">
        <v>250</v>
      </c>
      <c r="J536" s="120" t="s">
        <v>250</v>
      </c>
      <c r="K536" s="120" t="s">
        <v>250</v>
      </c>
      <c r="L536" s="120" t="s">
        <v>250</v>
      </c>
      <c r="M536" s="120" t="s">
        <v>250</v>
      </c>
      <c r="N536" s="120" t="s">
        <v>250</v>
      </c>
      <c r="O536" s="120" t="s">
        <v>250</v>
      </c>
      <c r="P536" s="120" t="s">
        <v>250</v>
      </c>
      <c r="Q536" s="120" t="s">
        <v>250</v>
      </c>
      <c r="R536" s="120"/>
      <c r="S536" s="121"/>
    </row>
    <row r="537" spans="1:19" ht="15">
      <c r="A537" s="105" t="s">
        <v>250</v>
      </c>
      <c r="B537" s="129" t="str">
        <f t="shared" si="14"/>
        <v/>
      </c>
      <c r="C537" s="107" t="s">
        <v>250</v>
      </c>
      <c r="D537" s="107" t="s">
        <v>250</v>
      </c>
      <c r="E537" s="120" t="s">
        <v>250</v>
      </c>
      <c r="F537" s="120" t="s">
        <v>250</v>
      </c>
      <c r="G537" s="120" t="s">
        <v>250</v>
      </c>
      <c r="H537" s="120" t="s">
        <v>250</v>
      </c>
      <c r="I537" s="120" t="s">
        <v>250</v>
      </c>
      <c r="J537" s="120" t="s">
        <v>250</v>
      </c>
      <c r="K537" s="120" t="s">
        <v>250</v>
      </c>
      <c r="L537" s="120" t="s">
        <v>250</v>
      </c>
      <c r="M537" s="120" t="s">
        <v>250</v>
      </c>
      <c r="N537" s="120" t="s">
        <v>250</v>
      </c>
      <c r="O537" s="120" t="s">
        <v>250</v>
      </c>
      <c r="P537" s="120" t="s">
        <v>250</v>
      </c>
      <c r="Q537" s="120" t="s">
        <v>250</v>
      </c>
      <c r="R537" s="120"/>
      <c r="S537" s="121"/>
    </row>
    <row r="538" spans="1:19" ht="15">
      <c r="A538" s="105" t="s">
        <v>250</v>
      </c>
      <c r="B538" s="129" t="str">
        <f t="shared" si="14"/>
        <v>ERA</v>
      </c>
      <c r="C538" s="107" t="s">
        <v>631</v>
      </c>
      <c r="D538" s="107" t="s">
        <v>250</v>
      </c>
      <c r="E538" s="120" t="s">
        <v>250</v>
      </c>
      <c r="F538" s="120" t="s">
        <v>250</v>
      </c>
      <c r="G538" s="120" t="s">
        <v>250</v>
      </c>
      <c r="H538" s="120" t="s">
        <v>250</v>
      </c>
      <c r="I538" s="120" t="s">
        <v>250</v>
      </c>
      <c r="J538" s="120" t="s">
        <v>250</v>
      </c>
      <c r="K538" s="120" t="s">
        <v>250</v>
      </c>
      <c r="L538" s="120" t="s">
        <v>250</v>
      </c>
      <c r="M538" s="120" t="s">
        <v>250</v>
      </c>
      <c r="N538" s="120" t="s">
        <v>250</v>
      </c>
      <c r="O538" s="120" t="s">
        <v>250</v>
      </c>
      <c r="P538" s="120" t="s">
        <v>250</v>
      </c>
      <c r="Q538" s="120" t="s">
        <v>250</v>
      </c>
      <c r="R538" s="120"/>
      <c r="S538" s="121"/>
    </row>
    <row r="539" spans="1:19" ht="15">
      <c r="A539" s="105" t="s">
        <v>250</v>
      </c>
      <c r="B539" s="129" t="str">
        <f t="shared" si="14"/>
        <v/>
      </c>
      <c r="C539" s="107" t="s">
        <v>250</v>
      </c>
      <c r="D539" s="107" t="s">
        <v>250</v>
      </c>
      <c r="E539" s="120" t="s">
        <v>250</v>
      </c>
      <c r="F539" s="120" t="s">
        <v>250</v>
      </c>
      <c r="G539" s="120" t="s">
        <v>250</v>
      </c>
      <c r="H539" s="120" t="s">
        <v>250</v>
      </c>
      <c r="I539" s="120" t="s">
        <v>250</v>
      </c>
      <c r="J539" s="120" t="s">
        <v>250</v>
      </c>
      <c r="K539" s="120" t="s">
        <v>250</v>
      </c>
      <c r="L539" s="120" t="s">
        <v>250</v>
      </c>
      <c r="M539" s="120" t="s">
        <v>250</v>
      </c>
      <c r="N539" s="120" t="s">
        <v>250</v>
      </c>
      <c r="O539" s="120" t="s">
        <v>250</v>
      </c>
      <c r="P539" s="120" t="s">
        <v>250</v>
      </c>
      <c r="Q539" s="120" t="s">
        <v>250</v>
      </c>
      <c r="R539" s="120"/>
      <c r="S539" s="121"/>
    </row>
    <row r="540" spans="1:19" ht="15">
      <c r="A540" s="105" t="s">
        <v>250</v>
      </c>
      <c r="B540" s="129" t="str">
        <f t="shared" si="14"/>
        <v>STO</v>
      </c>
      <c r="C540" s="107" t="s">
        <v>682</v>
      </c>
      <c r="D540" s="107" t="s">
        <v>250</v>
      </c>
      <c r="E540" s="120" t="s">
        <v>250</v>
      </c>
      <c r="F540" s="120" t="s">
        <v>250</v>
      </c>
      <c r="G540" s="120" t="s">
        <v>250</v>
      </c>
      <c r="H540" s="120" t="s">
        <v>250</v>
      </c>
      <c r="I540" s="120" t="s">
        <v>250</v>
      </c>
      <c r="J540" s="120" t="s">
        <v>250</v>
      </c>
      <c r="K540" s="120" t="s">
        <v>250</v>
      </c>
      <c r="L540" s="120" t="s">
        <v>250</v>
      </c>
      <c r="M540" s="120" t="s">
        <v>250</v>
      </c>
      <c r="N540" s="120" t="s">
        <v>250</v>
      </c>
      <c r="O540" s="120" t="s">
        <v>250</v>
      </c>
      <c r="P540" s="120" t="s">
        <v>250</v>
      </c>
      <c r="Q540" s="120" t="s">
        <v>250</v>
      </c>
      <c r="R540" s="120"/>
      <c r="S540" s="121"/>
    </row>
    <row r="541" spans="1:19" ht="15">
      <c r="A541" s="105">
        <v>1</v>
      </c>
      <c r="B541" s="129" t="str">
        <f t="shared" si="14"/>
        <v>901</v>
      </c>
      <c r="C541" s="107" t="s">
        <v>683</v>
      </c>
      <c r="D541" s="107" t="s">
        <v>684</v>
      </c>
      <c r="E541" s="120">
        <v>4158851.51</v>
      </c>
      <c r="F541" s="120" t="s">
        <v>250</v>
      </c>
      <c r="G541" s="120">
        <v>3955026.2834004792</v>
      </c>
      <c r="H541" s="120" t="s">
        <v>250</v>
      </c>
      <c r="I541" s="120">
        <v>202149.33033758885</v>
      </c>
      <c r="J541" s="120">
        <v>1675.8962619317817</v>
      </c>
      <c r="K541" s="120" t="s">
        <v>250</v>
      </c>
      <c r="L541" s="120" t="s">
        <v>250</v>
      </c>
      <c r="M541" s="120">
        <v>0</v>
      </c>
      <c r="N541" s="120" t="s">
        <v>250</v>
      </c>
      <c r="O541" s="120">
        <v>1675.8962619317817</v>
      </c>
      <c r="P541" s="120">
        <v>670.35850477271265</v>
      </c>
      <c r="Q541" s="120">
        <v>1005.537757159069</v>
      </c>
      <c r="R541" s="120"/>
      <c r="S541" s="121"/>
    </row>
    <row r="542" spans="1:19" ht="15">
      <c r="A542" s="105">
        <v>2</v>
      </c>
      <c r="B542" s="129" t="str">
        <f t="shared" si="14"/>
        <v>902</v>
      </c>
      <c r="C542" s="107" t="s">
        <v>685</v>
      </c>
      <c r="D542" s="107" t="s">
        <v>686</v>
      </c>
      <c r="E542" s="120">
        <v>9732921.8999999892</v>
      </c>
      <c r="F542" s="120" t="s">
        <v>250</v>
      </c>
      <c r="G542" s="120">
        <v>9255911.5987250265</v>
      </c>
      <c r="H542" s="120" t="s">
        <v>250</v>
      </c>
      <c r="I542" s="120">
        <v>473088.21668245882</v>
      </c>
      <c r="J542" s="120">
        <v>3922.0845925042313</v>
      </c>
      <c r="K542" s="120" t="s">
        <v>250</v>
      </c>
      <c r="L542" s="120" t="s">
        <v>250</v>
      </c>
      <c r="M542" s="120">
        <v>0</v>
      </c>
      <c r="N542" s="120" t="s">
        <v>250</v>
      </c>
      <c r="O542" s="120">
        <v>3922.0845925042313</v>
      </c>
      <c r="P542" s="120">
        <v>1568.8338370016925</v>
      </c>
      <c r="Q542" s="120">
        <v>2353.2507555025386</v>
      </c>
      <c r="R542" s="120"/>
      <c r="S542" s="121"/>
    </row>
    <row r="543" spans="1:19" ht="15">
      <c r="A543" s="105">
        <v>3</v>
      </c>
      <c r="B543" s="129" t="str">
        <f t="shared" si="14"/>
        <v>903</v>
      </c>
      <c r="C543" s="107" t="s">
        <v>687</v>
      </c>
      <c r="D543" s="107" t="s">
        <v>688</v>
      </c>
      <c r="E543" s="120">
        <v>21629277.550000004</v>
      </c>
      <c r="F543" s="120" t="s">
        <v>250</v>
      </c>
      <c r="G543" s="120">
        <v>20569227.10405064</v>
      </c>
      <c r="H543" s="120" t="s">
        <v>250</v>
      </c>
      <c r="I543" s="120">
        <v>1051334.4758534899</v>
      </c>
      <c r="J543" s="120">
        <v>8715.970095871493</v>
      </c>
      <c r="K543" s="120" t="s">
        <v>250</v>
      </c>
      <c r="L543" s="120" t="s">
        <v>250</v>
      </c>
      <c r="M543" s="120">
        <v>0</v>
      </c>
      <c r="N543" s="120" t="s">
        <v>250</v>
      </c>
      <c r="O543" s="120">
        <v>8715.970095871493</v>
      </c>
      <c r="P543" s="120">
        <v>3486.3880383485975</v>
      </c>
      <c r="Q543" s="120">
        <v>5229.5820575228963</v>
      </c>
      <c r="R543" s="120"/>
      <c r="S543" s="121"/>
    </row>
    <row r="544" spans="1:19" ht="15">
      <c r="A544" s="105">
        <v>4</v>
      </c>
      <c r="B544" s="129" t="str">
        <f t="shared" si="14"/>
        <v>904</v>
      </c>
      <c r="C544" s="107" t="s">
        <v>689</v>
      </c>
      <c r="D544" s="107" t="s">
        <v>690</v>
      </c>
      <c r="E544" s="120">
        <v>5556033.0999999996</v>
      </c>
      <c r="F544" s="120" t="s">
        <v>250</v>
      </c>
      <c r="G544" s="120">
        <v>5283732.0325348768</v>
      </c>
      <c r="H544" s="120" t="s">
        <v>250</v>
      </c>
      <c r="I544" s="120">
        <v>270062.14763808146</v>
      </c>
      <c r="J544" s="120">
        <v>2238.9198270412035</v>
      </c>
      <c r="K544" s="120" t="s">
        <v>250</v>
      </c>
      <c r="L544" s="120" t="s">
        <v>250</v>
      </c>
      <c r="M544" s="120">
        <v>0</v>
      </c>
      <c r="N544" s="120" t="s">
        <v>250</v>
      </c>
      <c r="O544" s="120">
        <v>2238.9198270412035</v>
      </c>
      <c r="P544" s="120">
        <v>895.56793081648152</v>
      </c>
      <c r="Q544" s="120">
        <v>1343.3518962247222</v>
      </c>
      <c r="R544" s="120"/>
      <c r="S544" s="121"/>
    </row>
    <row r="545" spans="1:19" ht="15">
      <c r="A545" s="105">
        <v>5</v>
      </c>
      <c r="B545" s="129" t="str">
        <f t="shared" si="14"/>
        <v>905</v>
      </c>
      <c r="C545" s="107" t="s">
        <v>691</v>
      </c>
      <c r="D545" s="107" t="s">
        <v>692</v>
      </c>
      <c r="E545" s="120">
        <v>136685.34000000003</v>
      </c>
      <c r="F545" s="120" t="s">
        <v>250</v>
      </c>
      <c r="G545" s="120">
        <v>129986.39430998366</v>
      </c>
      <c r="H545" s="120" t="s">
        <v>250</v>
      </c>
      <c r="I545" s="120">
        <v>6643.8654713992546</v>
      </c>
      <c r="J545" s="120">
        <v>55.080218617104393</v>
      </c>
      <c r="K545" s="120" t="s">
        <v>250</v>
      </c>
      <c r="L545" s="120" t="s">
        <v>250</v>
      </c>
      <c r="M545" s="120">
        <v>0</v>
      </c>
      <c r="N545" s="120" t="s">
        <v>250</v>
      </c>
      <c r="O545" s="120">
        <v>55.080218617104393</v>
      </c>
      <c r="P545" s="120">
        <v>22.032087446841754</v>
      </c>
      <c r="Q545" s="120">
        <v>33.048131170262636</v>
      </c>
      <c r="R545" s="120"/>
      <c r="S545" s="121"/>
    </row>
    <row r="546" spans="1:19" ht="15">
      <c r="A546" s="105">
        <v>6</v>
      </c>
      <c r="B546" s="129" t="str">
        <f t="shared" si="14"/>
        <v>TAL</v>
      </c>
      <c r="C546" s="107" t="s">
        <v>693</v>
      </c>
      <c r="D546" s="107" t="s">
        <v>250</v>
      </c>
      <c r="E546" s="120">
        <v>41213769.399999991</v>
      </c>
      <c r="F546" s="120" t="s">
        <v>250</v>
      </c>
      <c r="G546" s="120">
        <v>39193883.413021006</v>
      </c>
      <c r="H546" s="120" t="s">
        <v>250</v>
      </c>
      <c r="I546" s="120">
        <v>2003278.0359830183</v>
      </c>
      <c r="J546" s="120">
        <v>16607.950995965813</v>
      </c>
      <c r="K546" s="120" t="s">
        <v>250</v>
      </c>
      <c r="L546" s="120" t="s">
        <v>250</v>
      </c>
      <c r="M546" s="120">
        <v>0</v>
      </c>
      <c r="N546" s="120" t="s">
        <v>250</v>
      </c>
      <c r="O546" s="120">
        <v>16607.950995965813</v>
      </c>
      <c r="P546" s="120">
        <v>6643.1803983863265</v>
      </c>
      <c r="Q546" s="120">
        <v>9964.770597579487</v>
      </c>
      <c r="R546" s="120"/>
      <c r="S546" s="121"/>
    </row>
    <row r="547" spans="1:19" ht="15">
      <c r="A547" s="105" t="s">
        <v>250</v>
      </c>
      <c r="B547" s="129" t="str">
        <f t="shared" si="14"/>
        <v/>
      </c>
      <c r="C547" s="107" t="s">
        <v>250</v>
      </c>
      <c r="D547" s="107" t="s">
        <v>250</v>
      </c>
      <c r="E547" s="120" t="s">
        <v>250</v>
      </c>
      <c r="F547" s="120" t="s">
        <v>250</v>
      </c>
      <c r="G547" s="120" t="s">
        <v>250</v>
      </c>
      <c r="H547" s="120" t="s">
        <v>250</v>
      </c>
      <c r="I547" s="120" t="s">
        <v>250</v>
      </c>
      <c r="J547" s="120" t="s">
        <v>250</v>
      </c>
      <c r="K547" s="120" t="s">
        <v>250</v>
      </c>
      <c r="L547" s="120" t="s">
        <v>250</v>
      </c>
      <c r="M547" s="120" t="s">
        <v>250</v>
      </c>
      <c r="N547" s="120" t="s">
        <v>250</v>
      </c>
      <c r="O547" s="120" t="s">
        <v>250</v>
      </c>
      <c r="P547" s="120" t="s">
        <v>250</v>
      </c>
      <c r="Q547" s="120" t="s">
        <v>250</v>
      </c>
      <c r="R547" s="120"/>
      <c r="S547" s="121"/>
    </row>
    <row r="548" spans="1:19" ht="15">
      <c r="A548" s="105" t="s">
        <v>250</v>
      </c>
      <c r="B548" s="129" t="str">
        <f t="shared" si="14"/>
        <v>STO</v>
      </c>
      <c r="C548" s="107" t="s">
        <v>694</v>
      </c>
      <c r="D548" s="107" t="s">
        <v>250</v>
      </c>
      <c r="E548" s="120" t="s">
        <v>250</v>
      </c>
      <c r="F548" s="120" t="s">
        <v>250</v>
      </c>
      <c r="G548" s="120" t="s">
        <v>250</v>
      </c>
      <c r="H548" s="120" t="s">
        <v>250</v>
      </c>
      <c r="I548" s="120" t="s">
        <v>250</v>
      </c>
      <c r="J548" s="120" t="s">
        <v>250</v>
      </c>
      <c r="K548" s="120" t="s">
        <v>250</v>
      </c>
      <c r="L548" s="120" t="s">
        <v>250</v>
      </c>
      <c r="M548" s="120" t="s">
        <v>250</v>
      </c>
      <c r="N548" s="120" t="s">
        <v>250</v>
      </c>
      <c r="O548" s="120" t="s">
        <v>250</v>
      </c>
      <c r="P548" s="120" t="s">
        <v>250</v>
      </c>
      <c r="Q548" s="120" t="s">
        <v>250</v>
      </c>
      <c r="R548" s="120"/>
      <c r="S548" s="121"/>
    </row>
    <row r="549" spans="1:19" ht="15">
      <c r="A549" s="105">
        <v>7</v>
      </c>
      <c r="B549" s="129" t="str">
        <f t="shared" si="14"/>
        <v>907</v>
      </c>
      <c r="C549" s="107" t="s">
        <v>695</v>
      </c>
      <c r="D549" s="107" t="s">
        <v>696</v>
      </c>
      <c r="E549" s="120">
        <v>489200.95999999996</v>
      </c>
      <c r="F549" s="120" t="s">
        <v>250</v>
      </c>
      <c r="G549" s="120">
        <v>482912.80056704785</v>
      </c>
      <c r="H549" s="120" t="s">
        <v>250</v>
      </c>
      <c r="I549" s="120">
        <v>6288.1594329521076</v>
      </c>
      <c r="J549" s="120">
        <v>0</v>
      </c>
      <c r="K549" s="120" t="s">
        <v>250</v>
      </c>
      <c r="L549" s="120" t="s">
        <v>250</v>
      </c>
      <c r="M549" s="120">
        <v>0</v>
      </c>
      <c r="N549" s="120" t="s">
        <v>250</v>
      </c>
      <c r="O549" s="120">
        <v>0</v>
      </c>
      <c r="P549" s="120">
        <v>0</v>
      </c>
      <c r="Q549" s="120">
        <v>0</v>
      </c>
      <c r="R549" s="120"/>
      <c r="S549" s="121"/>
    </row>
    <row r="550" spans="1:19" ht="15">
      <c r="A550" s="105">
        <v>8</v>
      </c>
      <c r="B550" s="129" t="str">
        <f t="shared" si="14"/>
        <v>908</v>
      </c>
      <c r="C550" s="107" t="s">
        <v>697</v>
      </c>
      <c r="D550" s="107" t="s">
        <v>698</v>
      </c>
      <c r="E550" s="120">
        <v>7736804.0499999914</v>
      </c>
      <c r="F550" s="120" t="s">
        <v>250</v>
      </c>
      <c r="G550" s="120">
        <v>7736804.0499999914</v>
      </c>
      <c r="H550" s="120" t="s">
        <v>250</v>
      </c>
      <c r="I550" s="120">
        <v>0</v>
      </c>
      <c r="J550" s="120">
        <v>0</v>
      </c>
      <c r="K550" s="120" t="s">
        <v>250</v>
      </c>
      <c r="L550" s="120" t="s">
        <v>250</v>
      </c>
      <c r="M550" s="120">
        <v>0</v>
      </c>
      <c r="N550" s="120" t="s">
        <v>250</v>
      </c>
      <c r="O550" s="120">
        <v>0</v>
      </c>
      <c r="P550" s="120">
        <v>0</v>
      </c>
      <c r="Q550" s="120">
        <v>0</v>
      </c>
      <c r="R550" s="120"/>
      <c r="S550" s="121"/>
    </row>
    <row r="551" spans="1:19" ht="15">
      <c r="A551" s="105">
        <v>9</v>
      </c>
      <c r="B551" s="129" t="str">
        <f t="shared" si="14"/>
        <v>909</v>
      </c>
      <c r="C551" s="107" t="s">
        <v>699</v>
      </c>
      <c r="D551" s="107" t="s">
        <v>700</v>
      </c>
      <c r="E551" s="120">
        <v>1890070.5400000003</v>
      </c>
      <c r="F551" s="120" t="s">
        <v>250</v>
      </c>
      <c r="G551" s="120">
        <v>1795622.9202811939</v>
      </c>
      <c r="H551" s="120" t="s">
        <v>250</v>
      </c>
      <c r="I551" s="120">
        <v>94447.619718806251</v>
      </c>
      <c r="J551" s="120">
        <v>0</v>
      </c>
      <c r="K551" s="120" t="s">
        <v>250</v>
      </c>
      <c r="L551" s="120" t="s">
        <v>250</v>
      </c>
      <c r="M551" s="120">
        <v>0</v>
      </c>
      <c r="N551" s="120" t="s">
        <v>250</v>
      </c>
      <c r="O551" s="120">
        <v>0</v>
      </c>
      <c r="P551" s="120">
        <v>0</v>
      </c>
      <c r="Q551" s="120">
        <v>0</v>
      </c>
      <c r="R551" s="120"/>
      <c r="S551" s="121"/>
    </row>
    <row r="552" spans="1:19" ht="15">
      <c r="A552" s="105">
        <v>10</v>
      </c>
      <c r="B552" s="129" t="str">
        <f t="shared" si="14"/>
        <v>910</v>
      </c>
      <c r="C552" s="107" t="s">
        <v>701</v>
      </c>
      <c r="D552" s="107" t="s">
        <v>702</v>
      </c>
      <c r="E552" s="120">
        <v>1980057.66</v>
      </c>
      <c r="F552" s="120" t="s">
        <v>250</v>
      </c>
      <c r="G552" s="120">
        <v>1960631.6530291343</v>
      </c>
      <c r="H552" s="120" t="s">
        <v>250</v>
      </c>
      <c r="I552" s="120">
        <v>19426.006970865659</v>
      </c>
      <c r="J552" s="120">
        <v>0</v>
      </c>
      <c r="K552" s="120" t="s">
        <v>250</v>
      </c>
      <c r="L552" s="120" t="s">
        <v>250</v>
      </c>
      <c r="M552" s="120">
        <v>0</v>
      </c>
      <c r="N552" s="120" t="s">
        <v>250</v>
      </c>
      <c r="O552" s="120">
        <v>0</v>
      </c>
      <c r="P552" s="120">
        <v>0</v>
      </c>
      <c r="Q552" s="120">
        <v>0</v>
      </c>
      <c r="R552" s="120"/>
      <c r="S552" s="121"/>
    </row>
    <row r="553" spans="1:19" ht="15">
      <c r="A553" s="105">
        <v>11</v>
      </c>
      <c r="B553" s="129" t="str">
        <f t="shared" si="14"/>
        <v>TAL</v>
      </c>
      <c r="C553" s="107" t="s">
        <v>703</v>
      </c>
      <c r="D553" s="107" t="s">
        <v>250</v>
      </c>
      <c r="E553" s="120">
        <v>12096133.209999992</v>
      </c>
      <c r="F553" s="120" t="s">
        <v>250</v>
      </c>
      <c r="G553" s="120">
        <v>11975971.423877368</v>
      </c>
      <c r="H553" s="120" t="s">
        <v>250</v>
      </c>
      <c r="I553" s="120">
        <v>120161.78612262401</v>
      </c>
      <c r="J553" s="120">
        <v>0</v>
      </c>
      <c r="K553" s="120" t="s">
        <v>250</v>
      </c>
      <c r="L553" s="120" t="s">
        <v>250</v>
      </c>
      <c r="M553" s="120">
        <v>0</v>
      </c>
      <c r="N553" s="120" t="s">
        <v>250</v>
      </c>
      <c r="O553" s="120">
        <v>0</v>
      </c>
      <c r="P553" s="120">
        <v>0</v>
      </c>
      <c r="Q553" s="120">
        <v>0</v>
      </c>
      <c r="R553" s="120"/>
      <c r="S553" s="121"/>
    </row>
    <row r="554" spans="1:19" ht="15">
      <c r="A554" s="105" t="s">
        <v>250</v>
      </c>
      <c r="B554" s="129" t="str">
        <f t="shared" si="14"/>
        <v/>
      </c>
      <c r="C554" s="107" t="s">
        <v>250</v>
      </c>
      <c r="D554" s="107" t="s">
        <v>250</v>
      </c>
      <c r="E554" s="120" t="s">
        <v>250</v>
      </c>
      <c r="F554" s="120" t="s">
        <v>250</v>
      </c>
      <c r="G554" s="120" t="s">
        <v>250</v>
      </c>
      <c r="H554" s="120" t="s">
        <v>250</v>
      </c>
      <c r="I554" s="120" t="s">
        <v>250</v>
      </c>
      <c r="J554" s="120" t="s">
        <v>250</v>
      </c>
      <c r="K554" s="120" t="s">
        <v>250</v>
      </c>
      <c r="L554" s="120" t="s">
        <v>250</v>
      </c>
      <c r="M554" s="120" t="s">
        <v>250</v>
      </c>
      <c r="N554" s="120" t="s">
        <v>250</v>
      </c>
      <c r="O554" s="120" t="s">
        <v>250</v>
      </c>
      <c r="P554" s="120" t="s">
        <v>250</v>
      </c>
      <c r="Q554" s="120" t="s">
        <v>250</v>
      </c>
      <c r="R554" s="120"/>
      <c r="S554" s="121"/>
    </row>
    <row r="555" spans="1:19" ht="15">
      <c r="A555" s="105" t="s">
        <v>250</v>
      </c>
      <c r="B555" s="129" t="str">
        <f t="shared" si="14"/>
        <v>LES</v>
      </c>
      <c r="C555" s="107" t="s">
        <v>704</v>
      </c>
      <c r="D555" s="107" t="s">
        <v>250</v>
      </c>
      <c r="E555" s="120" t="s">
        <v>250</v>
      </c>
      <c r="F555" s="120" t="s">
        <v>250</v>
      </c>
      <c r="G555" s="120" t="s">
        <v>250</v>
      </c>
      <c r="H555" s="120" t="s">
        <v>250</v>
      </c>
      <c r="I555" s="120" t="s">
        <v>250</v>
      </c>
      <c r="J555" s="120" t="s">
        <v>250</v>
      </c>
      <c r="K555" s="120" t="s">
        <v>250</v>
      </c>
      <c r="L555" s="120" t="s">
        <v>250</v>
      </c>
      <c r="M555" s="120" t="s">
        <v>250</v>
      </c>
      <c r="N555" s="120" t="s">
        <v>250</v>
      </c>
      <c r="O555" s="120" t="s">
        <v>250</v>
      </c>
      <c r="P555" s="120" t="s">
        <v>250</v>
      </c>
      <c r="Q555" s="120" t="s">
        <v>250</v>
      </c>
      <c r="R555" s="120"/>
      <c r="S555" s="121"/>
    </row>
    <row r="556" spans="1:19" ht="15">
      <c r="A556" s="105">
        <v>12</v>
      </c>
      <c r="B556" s="129" t="str">
        <f t="shared" si="14"/>
        <v>911</v>
      </c>
      <c r="C556" s="107" t="s">
        <v>705</v>
      </c>
      <c r="D556" s="107" t="s">
        <v>696</v>
      </c>
      <c r="E556" s="120">
        <v>0</v>
      </c>
      <c r="F556" s="120" t="s">
        <v>250</v>
      </c>
      <c r="G556" s="120">
        <v>0</v>
      </c>
      <c r="H556" s="120" t="s">
        <v>250</v>
      </c>
      <c r="I556" s="120">
        <v>0</v>
      </c>
      <c r="J556" s="120">
        <v>0</v>
      </c>
      <c r="K556" s="120" t="s">
        <v>250</v>
      </c>
      <c r="L556" s="120" t="s">
        <v>250</v>
      </c>
      <c r="M556" s="120">
        <v>0</v>
      </c>
      <c r="N556" s="120" t="s">
        <v>250</v>
      </c>
      <c r="O556" s="120">
        <v>0</v>
      </c>
      <c r="P556" s="120">
        <v>0</v>
      </c>
      <c r="Q556" s="120">
        <v>0</v>
      </c>
      <c r="R556" s="120"/>
      <c r="S556" s="121"/>
    </row>
    <row r="557" spans="1:19" ht="15">
      <c r="A557" s="105">
        <v>13</v>
      </c>
      <c r="B557" s="129" t="str">
        <f t="shared" si="14"/>
        <v>912</v>
      </c>
      <c r="C557" s="107" t="s">
        <v>706</v>
      </c>
      <c r="D557" s="107" t="s">
        <v>707</v>
      </c>
      <c r="E557" s="120">
        <v>64000</v>
      </c>
      <c r="F557" s="120" t="s">
        <v>250</v>
      </c>
      <c r="G557" s="120">
        <v>60801.893085956675</v>
      </c>
      <c r="H557" s="120" t="s">
        <v>250</v>
      </c>
      <c r="I557" s="120">
        <v>3198.1069140433247</v>
      </c>
      <c r="J557" s="120">
        <v>0</v>
      </c>
      <c r="K557" s="120" t="s">
        <v>250</v>
      </c>
      <c r="L557" s="120" t="s">
        <v>250</v>
      </c>
      <c r="M557" s="120">
        <v>0</v>
      </c>
      <c r="N557" s="120" t="s">
        <v>250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14</v>
      </c>
      <c r="B558" s="129" t="str">
        <f t="shared" si="14"/>
        <v>913</v>
      </c>
      <c r="C558" s="107" t="s">
        <v>708</v>
      </c>
      <c r="D558" s="107" t="s">
        <v>709</v>
      </c>
      <c r="E558" s="120">
        <v>887630.5</v>
      </c>
      <c r="F558" s="120" t="s">
        <v>250</v>
      </c>
      <c r="G558" s="120">
        <v>843275.23063803546</v>
      </c>
      <c r="H558" s="120" t="s">
        <v>250</v>
      </c>
      <c r="I558" s="120">
        <v>44355.26936196458</v>
      </c>
      <c r="J558" s="120">
        <v>0</v>
      </c>
      <c r="K558" s="120" t="s">
        <v>250</v>
      </c>
      <c r="L558" s="120" t="s">
        <v>250</v>
      </c>
      <c r="M558" s="120">
        <v>0</v>
      </c>
      <c r="N558" s="120" t="s">
        <v>250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15</v>
      </c>
      <c r="B559" s="129" t="str">
        <f t="shared" si="14"/>
        <v>916</v>
      </c>
      <c r="C559" s="107" t="s">
        <v>710</v>
      </c>
      <c r="D559" s="107" t="s">
        <v>711</v>
      </c>
      <c r="E559" s="120">
        <v>0</v>
      </c>
      <c r="F559" s="120" t="s">
        <v>250</v>
      </c>
      <c r="G559" s="120">
        <v>0</v>
      </c>
      <c r="H559" s="120" t="s">
        <v>250</v>
      </c>
      <c r="I559" s="120">
        <v>0</v>
      </c>
      <c r="J559" s="120">
        <v>0</v>
      </c>
      <c r="K559" s="120" t="s">
        <v>250</v>
      </c>
      <c r="L559" s="120" t="s">
        <v>250</v>
      </c>
      <c r="M559" s="120">
        <v>0</v>
      </c>
      <c r="N559" s="120" t="s">
        <v>250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16</v>
      </c>
      <c r="B560" s="129" t="str">
        <f t="shared" si="14"/>
        <v>TAL</v>
      </c>
      <c r="C560" s="107" t="s">
        <v>712</v>
      </c>
      <c r="D560" s="107" t="s">
        <v>250</v>
      </c>
      <c r="E560" s="120">
        <v>951630.5</v>
      </c>
      <c r="F560" s="120" t="s">
        <v>250</v>
      </c>
      <c r="G560" s="120">
        <v>904077.12372399215</v>
      </c>
      <c r="H560" s="120" t="s">
        <v>250</v>
      </c>
      <c r="I560" s="120">
        <v>47553.376276007904</v>
      </c>
      <c r="J560" s="120">
        <v>0</v>
      </c>
      <c r="K560" s="120" t="s">
        <v>250</v>
      </c>
      <c r="L560" s="120" t="s">
        <v>250</v>
      </c>
      <c r="M560" s="120">
        <v>0</v>
      </c>
      <c r="N560" s="120" t="s">
        <v>250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 t="s">
        <v>250</v>
      </c>
      <c r="B561" s="129" t="str">
        <f t="shared" si="14"/>
        <v/>
      </c>
      <c r="C561" s="107" t="s">
        <v>250</v>
      </c>
      <c r="D561" s="107" t="s">
        <v>250</v>
      </c>
      <c r="E561" s="120" t="s">
        <v>250</v>
      </c>
      <c r="F561" s="120" t="s">
        <v>250</v>
      </c>
      <c r="G561" s="120" t="s">
        <v>250</v>
      </c>
      <c r="H561" s="120" t="s">
        <v>250</v>
      </c>
      <c r="I561" s="120" t="s">
        <v>250</v>
      </c>
      <c r="J561" s="120" t="s">
        <v>250</v>
      </c>
      <c r="K561" s="120" t="s">
        <v>250</v>
      </c>
      <c r="L561" s="120" t="s">
        <v>250</v>
      </c>
      <c r="M561" s="120" t="s">
        <v>250</v>
      </c>
      <c r="N561" s="120" t="s">
        <v>250</v>
      </c>
      <c r="O561" s="120" t="s">
        <v>250</v>
      </c>
      <c r="P561" s="120" t="s">
        <v>250</v>
      </c>
      <c r="Q561" s="120" t="s">
        <v>250</v>
      </c>
      <c r="R561" s="120"/>
      <c r="S561" s="121"/>
    </row>
    <row r="562" spans="1:19" ht="15">
      <c r="A562" s="105" t="s">
        <v>250</v>
      </c>
      <c r="B562" s="129" t="str">
        <f t="shared" si="14"/>
        <v>MIN</v>
      </c>
      <c r="C562" s="107" t="s">
        <v>713</v>
      </c>
      <c r="D562" s="107" t="s">
        <v>250</v>
      </c>
      <c r="E562" s="120" t="s">
        <v>250</v>
      </c>
      <c r="F562" s="120" t="s">
        <v>250</v>
      </c>
      <c r="G562" s="120" t="s">
        <v>250</v>
      </c>
      <c r="H562" s="120" t="s">
        <v>250</v>
      </c>
      <c r="I562" s="120" t="s">
        <v>250</v>
      </c>
      <c r="J562" s="120" t="s">
        <v>250</v>
      </c>
      <c r="K562" s="120" t="s">
        <v>250</v>
      </c>
      <c r="L562" s="120" t="s">
        <v>250</v>
      </c>
      <c r="M562" s="120" t="s">
        <v>250</v>
      </c>
      <c r="N562" s="120" t="s">
        <v>250</v>
      </c>
      <c r="O562" s="120" t="s">
        <v>250</v>
      </c>
      <c r="P562" s="120" t="s">
        <v>250</v>
      </c>
      <c r="Q562" s="120" t="s">
        <v>250</v>
      </c>
      <c r="R562" s="120"/>
      <c r="S562" s="121"/>
    </row>
    <row r="563" spans="1:19" ht="15">
      <c r="A563" s="105" t="s">
        <v>250</v>
      </c>
      <c r="B563" s="129" t="str">
        <f t="shared" si="14"/>
        <v/>
      </c>
      <c r="C563" s="107" t="s">
        <v>250</v>
      </c>
      <c r="D563" s="107" t="s">
        <v>250</v>
      </c>
      <c r="E563" s="120" t="s">
        <v>250</v>
      </c>
      <c r="F563" s="120" t="s">
        <v>250</v>
      </c>
      <c r="G563" s="120" t="s">
        <v>250</v>
      </c>
      <c r="H563" s="120" t="s">
        <v>250</v>
      </c>
      <c r="I563" s="120" t="s">
        <v>250</v>
      </c>
      <c r="J563" s="120" t="s">
        <v>250</v>
      </c>
      <c r="K563" s="120" t="s">
        <v>250</v>
      </c>
      <c r="L563" s="120" t="s">
        <v>250</v>
      </c>
      <c r="M563" s="120" t="s">
        <v>250</v>
      </c>
      <c r="N563" s="120" t="s">
        <v>250</v>
      </c>
      <c r="O563" s="120" t="s">
        <v>250</v>
      </c>
      <c r="P563" s="120" t="s">
        <v>250</v>
      </c>
      <c r="Q563" s="120" t="s">
        <v>250</v>
      </c>
      <c r="R563" s="120"/>
      <c r="S563" s="121"/>
    </row>
    <row r="564" spans="1:19" ht="15">
      <c r="A564" s="105" t="s">
        <v>250</v>
      </c>
      <c r="B564" s="129" t="str">
        <f t="shared" si="14"/>
        <v>LAN</v>
      </c>
      <c r="C564" s="107" t="s">
        <v>714</v>
      </c>
      <c r="D564" s="107" t="s">
        <v>250</v>
      </c>
      <c r="E564" s="120" t="s">
        <v>250</v>
      </c>
      <c r="F564" s="120" t="s">
        <v>250</v>
      </c>
      <c r="G564" s="120" t="s">
        <v>250</v>
      </c>
      <c r="H564" s="120" t="s">
        <v>250</v>
      </c>
      <c r="I564" s="120" t="s">
        <v>250</v>
      </c>
      <c r="J564" s="120" t="s">
        <v>250</v>
      </c>
      <c r="K564" s="120" t="s">
        <v>250</v>
      </c>
      <c r="L564" s="120" t="s">
        <v>250</v>
      </c>
      <c r="M564" s="120" t="s">
        <v>250</v>
      </c>
      <c r="N564" s="120" t="s">
        <v>250</v>
      </c>
      <c r="O564" s="120" t="s">
        <v>250</v>
      </c>
      <c r="P564" s="120" t="s">
        <v>250</v>
      </c>
      <c r="Q564" s="120" t="s">
        <v>250</v>
      </c>
      <c r="R564" s="120"/>
      <c r="S564" s="121"/>
    </row>
    <row r="565" spans="1:19" ht="15">
      <c r="A565" s="105">
        <v>17</v>
      </c>
      <c r="B565" s="129" t="str">
        <f t="shared" si="14"/>
        <v>924</v>
      </c>
      <c r="C565" s="107" t="s">
        <v>715</v>
      </c>
      <c r="D565" s="107" t="s">
        <v>716</v>
      </c>
      <c r="E565" s="120">
        <v>7459630.4799999902</v>
      </c>
      <c r="F565" s="120" t="s">
        <v>250</v>
      </c>
      <c r="G565" s="120">
        <v>6974168.206089505</v>
      </c>
      <c r="H565" s="120" t="s">
        <v>250</v>
      </c>
      <c r="I565" s="120">
        <v>380615.82420539454</v>
      </c>
      <c r="J565" s="120">
        <v>104846.44970509069</v>
      </c>
      <c r="K565" s="120" t="s">
        <v>250</v>
      </c>
      <c r="L565" s="120" t="s">
        <v>250</v>
      </c>
      <c r="M565" s="120">
        <v>0</v>
      </c>
      <c r="N565" s="120" t="s">
        <v>250</v>
      </c>
      <c r="O565" s="120">
        <v>104846.44970509069</v>
      </c>
      <c r="P565" s="120">
        <v>54815.142415091599</v>
      </c>
      <c r="Q565" s="120">
        <v>50031.307289999095</v>
      </c>
      <c r="R565" s="120"/>
      <c r="S565" s="121"/>
    </row>
    <row r="566" spans="1:19" ht="15">
      <c r="A566" s="105">
        <v>18</v>
      </c>
      <c r="B566" s="129" t="str">
        <f t="shared" si="14"/>
        <v xml:space="preserve">   </v>
      </c>
      <c r="C566" s="107" t="s">
        <v>717</v>
      </c>
      <c r="D566" s="107" t="s">
        <v>250</v>
      </c>
      <c r="E566" s="120">
        <v>7459630.4799999902</v>
      </c>
      <c r="F566" s="120" t="s">
        <v>250</v>
      </c>
      <c r="G566" s="120">
        <v>6974168.206089505</v>
      </c>
      <c r="H566" s="120" t="s">
        <v>250</v>
      </c>
      <c r="I566" s="120">
        <v>380615.82420539454</v>
      </c>
      <c r="J566" s="120">
        <v>104846.44970509069</v>
      </c>
      <c r="K566" s="120" t="s">
        <v>250</v>
      </c>
      <c r="L566" s="120" t="s">
        <v>250</v>
      </c>
      <c r="M566" s="120">
        <v>0</v>
      </c>
      <c r="N566" s="120" t="s">
        <v>250</v>
      </c>
      <c r="O566" s="120">
        <v>104846.44970509069</v>
      </c>
      <c r="P566" s="120">
        <v>54815.142415091599</v>
      </c>
      <c r="Q566" s="120">
        <v>50031.307289999095</v>
      </c>
      <c r="R566" s="120"/>
      <c r="S566" s="121"/>
    </row>
    <row r="567" spans="1:19" ht="15">
      <c r="A567" s="105" t="s">
        <v>250</v>
      </c>
      <c r="B567" s="129" t="str">
        <f t="shared" si="14"/>
        <v/>
      </c>
      <c r="C567" s="107" t="s">
        <v>250</v>
      </c>
      <c r="D567" s="107" t="s">
        <v>250</v>
      </c>
      <c r="E567" s="120" t="s">
        <v>250</v>
      </c>
      <c r="F567" s="120" t="s">
        <v>250</v>
      </c>
      <c r="G567" s="120" t="s">
        <v>250</v>
      </c>
      <c r="H567" s="120" t="s">
        <v>250</v>
      </c>
      <c r="I567" s="120" t="s">
        <v>250</v>
      </c>
      <c r="J567" s="120" t="s">
        <v>250</v>
      </c>
      <c r="K567" s="120" t="s">
        <v>250</v>
      </c>
      <c r="L567" s="120" t="s">
        <v>250</v>
      </c>
      <c r="M567" s="120" t="s">
        <v>250</v>
      </c>
      <c r="N567" s="120" t="s">
        <v>250</v>
      </c>
      <c r="O567" s="120" t="s">
        <v>250</v>
      </c>
      <c r="P567" s="120" t="s">
        <v>250</v>
      </c>
      <c r="Q567" s="120" t="s">
        <v>250</v>
      </c>
      <c r="R567" s="120"/>
      <c r="S567" s="121"/>
    </row>
    <row r="568" spans="1:19" ht="15">
      <c r="A568" s="105" t="s">
        <v>250</v>
      </c>
      <c r="B568" s="129" t="str">
        <f t="shared" si="14"/>
        <v>ABO</v>
      </c>
      <c r="C568" s="107" t="s">
        <v>718</v>
      </c>
      <c r="D568" s="107" t="s">
        <v>250</v>
      </c>
      <c r="E568" s="120" t="s">
        <v>250</v>
      </c>
      <c r="F568" s="120" t="s">
        <v>250</v>
      </c>
      <c r="G568" s="120" t="s">
        <v>250</v>
      </c>
      <c r="H568" s="120" t="s">
        <v>250</v>
      </c>
      <c r="I568" s="120" t="s">
        <v>250</v>
      </c>
      <c r="J568" s="120" t="s">
        <v>250</v>
      </c>
      <c r="K568" s="120" t="s">
        <v>250</v>
      </c>
      <c r="L568" s="120" t="s">
        <v>250</v>
      </c>
      <c r="M568" s="120" t="s">
        <v>250</v>
      </c>
      <c r="N568" s="120" t="s">
        <v>250</v>
      </c>
      <c r="O568" s="120" t="s">
        <v>250</v>
      </c>
      <c r="P568" s="120" t="s">
        <v>250</v>
      </c>
      <c r="Q568" s="120" t="s">
        <v>250</v>
      </c>
      <c r="R568" s="120"/>
      <c r="S568" s="121"/>
    </row>
    <row r="569" spans="1:19" ht="15">
      <c r="A569" s="105">
        <v>19</v>
      </c>
      <c r="B569" s="129" t="str">
        <f t="shared" si="14"/>
        <v>920</v>
      </c>
      <c r="C569" s="107" t="s">
        <v>719</v>
      </c>
      <c r="D569" s="107" t="s">
        <v>418</v>
      </c>
      <c r="E569" s="120">
        <v>33157518.199999992</v>
      </c>
      <c r="F569" s="120" t="s">
        <v>250</v>
      </c>
      <c r="G569" s="120">
        <v>31207927.861018933</v>
      </c>
      <c r="H569" s="120" t="s">
        <v>250</v>
      </c>
      <c r="I569" s="120">
        <v>1559680.0192744224</v>
      </c>
      <c r="J569" s="120">
        <v>389910.31970663893</v>
      </c>
      <c r="K569" s="120" t="s">
        <v>250</v>
      </c>
      <c r="L569" s="120" t="s">
        <v>250</v>
      </c>
      <c r="M569" s="120">
        <v>0</v>
      </c>
      <c r="N569" s="120" t="s">
        <v>250</v>
      </c>
      <c r="O569" s="120">
        <v>389910.31970663893</v>
      </c>
      <c r="P569" s="120">
        <v>203445.92987655866</v>
      </c>
      <c r="Q569" s="120">
        <v>186464.38983008027</v>
      </c>
      <c r="R569" s="120"/>
      <c r="S569" s="121"/>
    </row>
    <row r="570" spans="1:19" ht="15">
      <c r="A570" s="105">
        <v>20</v>
      </c>
      <c r="B570" s="129" t="str">
        <f t="shared" si="14"/>
        <v>921</v>
      </c>
      <c r="C570" s="107" t="s">
        <v>720</v>
      </c>
      <c r="D570" s="107" t="s">
        <v>418</v>
      </c>
      <c r="E570" s="120">
        <v>10339166.259999897</v>
      </c>
      <c r="F570" s="120" t="s">
        <v>250</v>
      </c>
      <c r="G570" s="120">
        <v>9731245.6511041839</v>
      </c>
      <c r="H570" s="120" t="s">
        <v>250</v>
      </c>
      <c r="I570" s="120">
        <v>486338.90312327724</v>
      </c>
      <c r="J570" s="120">
        <v>121581.70577243791</v>
      </c>
      <c r="K570" s="120" t="s">
        <v>250</v>
      </c>
      <c r="L570" s="120" t="s">
        <v>250</v>
      </c>
      <c r="M570" s="120">
        <v>0</v>
      </c>
      <c r="N570" s="120" t="s">
        <v>250</v>
      </c>
      <c r="O570" s="120">
        <v>121581.70577243791</v>
      </c>
      <c r="P570" s="120">
        <v>63438.441961377575</v>
      </c>
      <c r="Q570" s="120">
        <v>58143.263811060329</v>
      </c>
      <c r="R570" s="120"/>
      <c r="S570" s="121"/>
    </row>
    <row r="571" spans="1:19" ht="15">
      <c r="A571" s="105">
        <v>21</v>
      </c>
      <c r="B571" s="129" t="str">
        <f t="shared" si="14"/>
        <v>922</v>
      </c>
      <c r="C571" s="107" t="s">
        <v>721</v>
      </c>
      <c r="D571" s="107" t="s">
        <v>418</v>
      </c>
      <c r="E571" s="120">
        <v>-5991139.2199999988</v>
      </c>
      <c r="F571" s="120" t="s">
        <v>250</v>
      </c>
      <c r="G571" s="120">
        <v>-5638873.1947700847</v>
      </c>
      <c r="H571" s="120" t="s">
        <v>250</v>
      </c>
      <c r="I571" s="120">
        <v>-281814.22016456426</v>
      </c>
      <c r="J571" s="120">
        <v>-70451.805065349647</v>
      </c>
      <c r="K571" s="120" t="s">
        <v>250</v>
      </c>
      <c r="L571" s="120" t="s">
        <v>250</v>
      </c>
      <c r="M571" s="120">
        <v>0</v>
      </c>
      <c r="N571" s="120" t="s">
        <v>250</v>
      </c>
      <c r="O571" s="120">
        <v>-70451.805065349647</v>
      </c>
      <c r="P571" s="120">
        <v>-36760.076018983236</v>
      </c>
      <c r="Q571" s="120">
        <v>-33691.72904636641</v>
      </c>
      <c r="R571" s="120"/>
      <c r="S571" s="121"/>
    </row>
    <row r="572" spans="1:19" ht="15">
      <c r="A572" s="105">
        <v>22</v>
      </c>
      <c r="B572" s="129" t="str">
        <f t="shared" si="14"/>
        <v>923</v>
      </c>
      <c r="C572" s="107" t="s">
        <v>722</v>
      </c>
      <c r="D572" s="107" t="s">
        <v>418</v>
      </c>
      <c r="E572" s="120">
        <v>19168524.82</v>
      </c>
      <c r="F572" s="120" t="s">
        <v>250</v>
      </c>
      <c r="G572" s="120">
        <v>18041457.028732356</v>
      </c>
      <c r="H572" s="120" t="s">
        <v>250</v>
      </c>
      <c r="I572" s="120">
        <v>901658.71222291444</v>
      </c>
      <c r="J572" s="120">
        <v>225409.07904472909</v>
      </c>
      <c r="K572" s="120" t="s">
        <v>250</v>
      </c>
      <c r="L572" s="120" t="s">
        <v>250</v>
      </c>
      <c r="M572" s="120">
        <v>0</v>
      </c>
      <c r="N572" s="120" t="s">
        <v>250</v>
      </c>
      <c r="O572" s="120">
        <v>225409.07904472909</v>
      </c>
      <c r="P572" s="120">
        <v>117613.0955532973</v>
      </c>
      <c r="Q572" s="120">
        <v>107795.98349143179</v>
      </c>
      <c r="R572" s="120"/>
      <c r="S572" s="121"/>
    </row>
    <row r="573" spans="1:19" ht="15">
      <c r="A573" s="105">
        <v>23</v>
      </c>
      <c r="B573" s="129" t="str">
        <f t="shared" si="14"/>
        <v>925</v>
      </c>
      <c r="C573" s="107" t="s">
        <v>723</v>
      </c>
      <c r="D573" s="107" t="s">
        <v>418</v>
      </c>
      <c r="E573" s="120">
        <v>3719261.1099999994</v>
      </c>
      <c r="F573" s="120" t="s">
        <v>250</v>
      </c>
      <c r="G573" s="120">
        <v>3500576.6027800357</v>
      </c>
      <c r="H573" s="120" t="s">
        <v>250</v>
      </c>
      <c r="I573" s="120">
        <v>174948.47487504085</v>
      </c>
      <c r="J573" s="120">
        <v>43736.032344922874</v>
      </c>
      <c r="K573" s="120" t="s">
        <v>250</v>
      </c>
      <c r="L573" s="120" t="s">
        <v>250</v>
      </c>
      <c r="M573" s="120">
        <v>0</v>
      </c>
      <c r="N573" s="120" t="s">
        <v>250</v>
      </c>
      <c r="O573" s="120">
        <v>43736.032344922874</v>
      </c>
      <c r="P573" s="120">
        <v>22820.421311799859</v>
      </c>
      <c r="Q573" s="120">
        <v>20915.611033123012</v>
      </c>
      <c r="R573" s="120"/>
      <c r="S573" s="121"/>
    </row>
    <row r="574" spans="1:19" ht="15">
      <c r="A574" s="105">
        <v>24</v>
      </c>
      <c r="B574" s="129" t="str">
        <f t="shared" si="14"/>
        <v>926</v>
      </c>
      <c r="C574" s="107" t="s">
        <v>724</v>
      </c>
      <c r="D574" s="107" t="s">
        <v>418</v>
      </c>
      <c r="E574" s="120">
        <v>27334663.969999988</v>
      </c>
      <c r="F574" s="120" t="s">
        <v>250</v>
      </c>
      <c r="G574" s="120">
        <v>25727444.862895474</v>
      </c>
      <c r="H574" s="120" t="s">
        <v>250</v>
      </c>
      <c r="I574" s="120">
        <v>1285781.6731165799</v>
      </c>
      <c r="J574" s="120">
        <v>321437.43398793461</v>
      </c>
      <c r="K574" s="120" t="s">
        <v>250</v>
      </c>
      <c r="L574" s="120" t="s">
        <v>250</v>
      </c>
      <c r="M574" s="120">
        <v>0</v>
      </c>
      <c r="N574" s="120" t="s">
        <v>250</v>
      </c>
      <c r="O574" s="120">
        <v>321437.43398793461</v>
      </c>
      <c r="P574" s="120">
        <v>167718.40689934124</v>
      </c>
      <c r="Q574" s="120">
        <v>153719.02708859337</v>
      </c>
      <c r="R574" s="120"/>
      <c r="S574" s="121"/>
    </row>
    <row r="575" spans="1:19" ht="15">
      <c r="A575" s="105">
        <v>25</v>
      </c>
      <c r="B575" s="129" t="str">
        <f t="shared" si="14"/>
        <v>926</v>
      </c>
      <c r="C575" s="107" t="s">
        <v>2225</v>
      </c>
      <c r="D575" s="107" t="s">
        <v>732</v>
      </c>
      <c r="E575" s="120">
        <v>0</v>
      </c>
      <c r="F575" s="120" t="s">
        <v>250</v>
      </c>
      <c r="G575" s="120">
        <v>0</v>
      </c>
      <c r="H575" s="120" t="s">
        <v>250</v>
      </c>
      <c r="I575" s="120">
        <v>0</v>
      </c>
      <c r="J575" s="120">
        <v>0</v>
      </c>
      <c r="K575" s="120" t="s">
        <v>250</v>
      </c>
      <c r="L575" s="120" t="s">
        <v>250</v>
      </c>
      <c r="M575" s="120">
        <v>0</v>
      </c>
      <c r="N575" s="120" t="s">
        <v>250</v>
      </c>
      <c r="O575" s="120">
        <v>0</v>
      </c>
      <c r="P575" s="120">
        <v>0</v>
      </c>
      <c r="Q575" s="120">
        <v>0</v>
      </c>
      <c r="R575" s="120"/>
      <c r="S575" s="121"/>
    </row>
    <row r="576" spans="1:19" ht="15">
      <c r="A576" s="105">
        <v>26</v>
      </c>
      <c r="B576" s="129" t="str">
        <f t="shared" si="14"/>
        <v>926</v>
      </c>
      <c r="C576" s="107" t="s">
        <v>2226</v>
      </c>
      <c r="D576" s="107" t="s">
        <v>732</v>
      </c>
      <c r="E576" s="120">
        <v>248540.70877727043</v>
      </c>
      <c r="F576" s="120" t="s">
        <v>250</v>
      </c>
      <c r="G576" s="120">
        <v>0</v>
      </c>
      <c r="H576" s="120" t="s">
        <v>250</v>
      </c>
      <c r="I576" s="120">
        <v>248540.70877727043</v>
      </c>
      <c r="J576" s="120">
        <v>0</v>
      </c>
      <c r="K576" s="120" t="s">
        <v>250</v>
      </c>
      <c r="L576" s="120" t="s">
        <v>250</v>
      </c>
      <c r="M576" s="120">
        <v>0</v>
      </c>
      <c r="N576" s="120" t="s">
        <v>250</v>
      </c>
      <c r="O576" s="120">
        <v>0</v>
      </c>
      <c r="P576" s="120">
        <v>0</v>
      </c>
      <c r="Q576" s="120">
        <v>0</v>
      </c>
      <c r="R576" s="120"/>
      <c r="S576" s="121"/>
    </row>
    <row r="577" spans="1:19" ht="15">
      <c r="A577" s="105">
        <v>27</v>
      </c>
      <c r="B577" s="129" t="str">
        <f t="shared" si="14"/>
        <v>926</v>
      </c>
      <c r="C577" s="107" t="s">
        <v>3692</v>
      </c>
      <c r="D577" s="107" t="s">
        <v>732</v>
      </c>
      <c r="E577" s="120">
        <v>0</v>
      </c>
      <c r="F577" s="120" t="s">
        <v>250</v>
      </c>
      <c r="G577" s="120">
        <v>0</v>
      </c>
      <c r="H577" s="120" t="s">
        <v>250</v>
      </c>
      <c r="I577" s="120">
        <v>0</v>
      </c>
      <c r="J577" s="120">
        <v>0</v>
      </c>
      <c r="K577" s="120" t="s">
        <v>250</v>
      </c>
      <c r="L577" s="120" t="s">
        <v>250</v>
      </c>
      <c r="M577" s="120">
        <v>0</v>
      </c>
      <c r="N577" s="120" t="s">
        <v>250</v>
      </c>
      <c r="O577" s="120">
        <v>0</v>
      </c>
      <c r="P577" s="120">
        <v>0</v>
      </c>
      <c r="Q577" s="120">
        <v>0</v>
      </c>
      <c r="R577" s="120"/>
      <c r="S577" s="121"/>
    </row>
    <row r="578" spans="1:19" ht="15">
      <c r="A578" s="105">
        <v>28</v>
      </c>
      <c r="B578" s="129" t="str">
        <f t="shared" si="14"/>
        <v>926</v>
      </c>
      <c r="C578" s="107" t="s">
        <v>2227</v>
      </c>
      <c r="D578" s="107" t="s">
        <v>732</v>
      </c>
      <c r="E578" s="120">
        <v>61370.291222729575</v>
      </c>
      <c r="F578" s="120" t="s">
        <v>250</v>
      </c>
      <c r="G578" s="120">
        <v>0</v>
      </c>
      <c r="H578" s="120" t="s">
        <v>250</v>
      </c>
      <c r="I578" s="120">
        <v>0</v>
      </c>
      <c r="J578" s="120">
        <v>61370.291222729575</v>
      </c>
      <c r="K578" s="120" t="s">
        <v>250</v>
      </c>
      <c r="L578" s="120" t="s">
        <v>250</v>
      </c>
      <c r="M578" s="120">
        <v>0</v>
      </c>
      <c r="N578" s="120" t="s">
        <v>250</v>
      </c>
      <c r="O578" s="120">
        <v>61370.291222729575</v>
      </c>
      <c r="P578" s="120">
        <v>32021.558121358019</v>
      </c>
      <c r="Q578" s="120">
        <v>29348.733101371559</v>
      </c>
      <c r="R578" s="120"/>
      <c r="S578" s="121"/>
    </row>
    <row r="579" spans="1:19" ht="15">
      <c r="A579" s="105">
        <v>29</v>
      </c>
      <c r="B579" s="129" t="str">
        <f t="shared" si="14"/>
        <v>930</v>
      </c>
      <c r="C579" s="107" t="s">
        <v>2228</v>
      </c>
      <c r="D579" s="107" t="s">
        <v>727</v>
      </c>
      <c r="E579" s="120">
        <v>1250.9999999999998</v>
      </c>
      <c r="F579" s="120" t="s">
        <v>250</v>
      </c>
      <c r="G579" s="120">
        <v>1191.4546187429889</v>
      </c>
      <c r="H579" s="120" t="s">
        <v>250</v>
      </c>
      <c r="I579" s="120">
        <v>59.545381257010888</v>
      </c>
      <c r="J579" s="120">
        <v>0</v>
      </c>
      <c r="K579" s="120" t="s">
        <v>250</v>
      </c>
      <c r="L579" s="120" t="s">
        <v>250</v>
      </c>
      <c r="M579" s="120">
        <v>0</v>
      </c>
      <c r="N579" s="120" t="s">
        <v>250</v>
      </c>
      <c r="O579" s="120">
        <v>0</v>
      </c>
      <c r="P579" s="120">
        <v>0</v>
      </c>
      <c r="Q579" s="120">
        <v>0</v>
      </c>
      <c r="R579" s="120"/>
      <c r="S579" s="121"/>
    </row>
    <row r="580" spans="1:19" ht="15">
      <c r="A580" s="105">
        <v>30</v>
      </c>
      <c r="B580" s="129" t="str">
        <f t="shared" ref="B580:B594" si="15">MID(C580,3,3)</f>
        <v>930</v>
      </c>
      <c r="C580" s="107" t="s">
        <v>2229</v>
      </c>
      <c r="D580" s="107" t="s">
        <v>418</v>
      </c>
      <c r="E580" s="120">
        <v>3627174.9999999995</v>
      </c>
      <c r="F580" s="120" t="s">
        <v>250</v>
      </c>
      <c r="G580" s="120">
        <v>3416414.6454750858</v>
      </c>
      <c r="H580" s="120" t="s">
        <v>250</v>
      </c>
      <c r="I580" s="120">
        <v>168609.12122672095</v>
      </c>
      <c r="J580" s="120">
        <v>42151.233298192921</v>
      </c>
      <c r="K580" s="120" t="s">
        <v>250</v>
      </c>
      <c r="L580" s="120" t="s">
        <v>250</v>
      </c>
      <c r="M580" s="120">
        <v>0</v>
      </c>
      <c r="N580" s="120" t="s">
        <v>250</v>
      </c>
      <c r="O580" s="120">
        <v>42151.233298192921</v>
      </c>
      <c r="P580" s="120">
        <v>21993.510867439109</v>
      </c>
      <c r="Q580" s="120">
        <v>20157.722430753809</v>
      </c>
      <c r="R580" s="120"/>
      <c r="S580" s="121"/>
    </row>
    <row r="581" spans="1:19" ht="15">
      <c r="A581" s="105">
        <v>31</v>
      </c>
      <c r="B581" s="129" t="str">
        <f t="shared" si="15"/>
        <v>931</v>
      </c>
      <c r="C581" s="107" t="s">
        <v>728</v>
      </c>
      <c r="D581" s="107" t="s">
        <v>418</v>
      </c>
      <c r="E581" s="120">
        <v>3388390.25</v>
      </c>
      <c r="F581" s="120" t="s">
        <v>250</v>
      </c>
      <c r="G581" s="120">
        <v>3189160.2335599386</v>
      </c>
      <c r="H581" s="120" t="s">
        <v>250</v>
      </c>
      <c r="I581" s="120">
        <v>159384.80493480558</v>
      </c>
      <c r="J581" s="120">
        <v>39845.211505255487</v>
      </c>
      <c r="K581" s="120" t="s">
        <v>250</v>
      </c>
      <c r="L581" s="120" t="s">
        <v>250</v>
      </c>
      <c r="M581" s="120">
        <v>0</v>
      </c>
      <c r="N581" s="120" t="s">
        <v>250</v>
      </c>
      <c r="O581" s="120">
        <v>39845.211505255487</v>
      </c>
      <c r="P581" s="120">
        <v>20790.28355010946</v>
      </c>
      <c r="Q581" s="120">
        <v>19054.927955146028</v>
      </c>
      <c r="R581" s="120"/>
      <c r="S581" s="121"/>
    </row>
    <row r="582" spans="1:19" ht="15">
      <c r="A582" s="105">
        <v>32</v>
      </c>
      <c r="B582" s="129" t="str">
        <f t="shared" si="15"/>
        <v>935</v>
      </c>
      <c r="C582" s="107" t="s">
        <v>729</v>
      </c>
      <c r="D582" s="107" t="s">
        <v>418</v>
      </c>
      <c r="E582" s="120">
        <v>1711143.63</v>
      </c>
      <c r="F582" s="120" t="s">
        <v>250</v>
      </c>
      <c r="G582" s="120">
        <v>1610532.086351447</v>
      </c>
      <c r="H582" s="120" t="s">
        <v>250</v>
      </c>
      <c r="I582" s="120">
        <v>80489.634770665827</v>
      </c>
      <c r="J582" s="120">
        <v>20121.908877886963</v>
      </c>
      <c r="K582" s="120" t="s">
        <v>250</v>
      </c>
      <c r="L582" s="120" t="s">
        <v>250</v>
      </c>
      <c r="M582" s="120">
        <v>0</v>
      </c>
      <c r="N582" s="120" t="s">
        <v>250</v>
      </c>
      <c r="O582" s="120">
        <v>20121.908877886963</v>
      </c>
      <c r="P582" s="120">
        <v>10499.133404915088</v>
      </c>
      <c r="Q582" s="120">
        <v>9622.7754729718763</v>
      </c>
      <c r="R582" s="120"/>
      <c r="S582" s="121"/>
    </row>
    <row r="583" spans="1:19" ht="15">
      <c r="A583" s="105">
        <v>33</v>
      </c>
      <c r="B583" s="129" t="str">
        <f t="shared" si="15"/>
        <v xml:space="preserve">   </v>
      </c>
      <c r="C583" s="107" t="s">
        <v>730</v>
      </c>
      <c r="D583" s="107" t="s">
        <v>250</v>
      </c>
      <c r="E583" s="120">
        <v>96765866.019999862</v>
      </c>
      <c r="F583" s="120" t="s">
        <v>250</v>
      </c>
      <c r="G583" s="120">
        <v>90787077.231766105</v>
      </c>
      <c r="H583" s="120" t="s">
        <v>250</v>
      </c>
      <c r="I583" s="120">
        <v>4783677.3775383905</v>
      </c>
      <c r="J583" s="120">
        <v>1195111.4106953787</v>
      </c>
      <c r="K583" s="120" t="s">
        <v>250</v>
      </c>
      <c r="L583" s="120" t="s">
        <v>250</v>
      </c>
      <c r="M583" s="120">
        <v>0</v>
      </c>
      <c r="N583" s="120" t="s">
        <v>250</v>
      </c>
      <c r="O583" s="120">
        <v>1195111.4106953787</v>
      </c>
      <c r="P583" s="120">
        <v>623580.70552721305</v>
      </c>
      <c r="Q583" s="120">
        <v>571530.70516816573</v>
      </c>
      <c r="R583" s="120"/>
      <c r="S583" s="121"/>
    </row>
    <row r="584" spans="1:19" ht="15">
      <c r="A584" s="105" t="s">
        <v>250</v>
      </c>
      <c r="B584" s="129" t="str">
        <f t="shared" si="15"/>
        <v/>
      </c>
      <c r="C584" s="107" t="s">
        <v>250</v>
      </c>
      <c r="D584" s="107" t="s">
        <v>250</v>
      </c>
      <c r="E584" s="120" t="s">
        <v>250</v>
      </c>
      <c r="F584" s="120" t="s">
        <v>250</v>
      </c>
      <c r="G584" s="120" t="s">
        <v>250</v>
      </c>
      <c r="H584" s="120" t="s">
        <v>250</v>
      </c>
      <c r="I584" s="120" t="s">
        <v>250</v>
      </c>
      <c r="J584" s="120" t="s">
        <v>250</v>
      </c>
      <c r="K584" s="120" t="s">
        <v>250</v>
      </c>
      <c r="L584" s="120" t="s">
        <v>250</v>
      </c>
      <c r="M584" s="120" t="s">
        <v>250</v>
      </c>
      <c r="N584" s="120" t="s">
        <v>250</v>
      </c>
      <c r="O584" s="120" t="s">
        <v>250</v>
      </c>
      <c r="P584" s="120" t="s">
        <v>250</v>
      </c>
      <c r="Q584" s="120" t="s">
        <v>250</v>
      </c>
      <c r="R584" s="120"/>
      <c r="S584" s="121"/>
    </row>
    <row r="585" spans="1:19" ht="15">
      <c r="A585" s="105" t="s">
        <v>250</v>
      </c>
      <c r="B585" s="129" t="str">
        <f t="shared" si="15"/>
        <v>928</v>
      </c>
      <c r="C585" s="107" t="s">
        <v>731</v>
      </c>
      <c r="D585" s="107" t="s">
        <v>250</v>
      </c>
      <c r="E585" s="120" t="s">
        <v>250</v>
      </c>
      <c r="F585" s="120" t="s">
        <v>250</v>
      </c>
      <c r="G585" s="120" t="s">
        <v>250</v>
      </c>
      <c r="H585" s="120" t="s">
        <v>250</v>
      </c>
      <c r="I585" s="120" t="s">
        <v>250</v>
      </c>
      <c r="J585" s="120" t="s">
        <v>250</v>
      </c>
      <c r="K585" s="120" t="s">
        <v>250</v>
      </c>
      <c r="L585" s="120" t="s">
        <v>250</v>
      </c>
      <c r="M585" s="120" t="s">
        <v>250</v>
      </c>
      <c r="N585" s="120" t="s">
        <v>250</v>
      </c>
      <c r="O585" s="120" t="s">
        <v>250</v>
      </c>
      <c r="P585" s="120" t="s">
        <v>250</v>
      </c>
      <c r="Q585" s="120" t="s">
        <v>250</v>
      </c>
      <c r="R585" s="120"/>
      <c r="S585" s="121"/>
    </row>
    <row r="586" spans="1:19" ht="15">
      <c r="A586" s="105">
        <v>34</v>
      </c>
      <c r="B586" s="129"/>
      <c r="C586" s="107" t="s">
        <v>2230</v>
      </c>
      <c r="D586" s="107" t="s">
        <v>732</v>
      </c>
      <c r="E586" s="120">
        <v>1691973.62</v>
      </c>
      <c r="F586" s="120" t="s">
        <v>250</v>
      </c>
      <c r="G586" s="120">
        <v>1691973.62</v>
      </c>
      <c r="H586" s="120" t="s">
        <v>250</v>
      </c>
      <c r="I586" s="120">
        <v>0</v>
      </c>
      <c r="J586" s="120">
        <v>0</v>
      </c>
      <c r="K586" s="120" t="s">
        <v>250</v>
      </c>
      <c r="L586" s="120" t="s">
        <v>250</v>
      </c>
      <c r="M586" s="120">
        <v>0</v>
      </c>
      <c r="N586" s="120" t="s">
        <v>250</v>
      </c>
      <c r="O586" s="120">
        <v>0</v>
      </c>
      <c r="P586" s="120">
        <v>0</v>
      </c>
      <c r="Q586" s="120">
        <v>0</v>
      </c>
      <c r="R586" s="120"/>
      <c r="S586" s="121"/>
    </row>
    <row r="587" spans="1:19" ht="15">
      <c r="A587" s="105">
        <v>35</v>
      </c>
      <c r="B587" s="129" t="str">
        <f t="shared" si="15"/>
        <v xml:space="preserve">  V</v>
      </c>
      <c r="C587" s="107" t="s">
        <v>734</v>
      </c>
      <c r="D587" s="107" t="s">
        <v>732</v>
      </c>
      <c r="E587" s="120">
        <v>28309.87</v>
      </c>
      <c r="F587" s="120" t="s">
        <v>250</v>
      </c>
      <c r="G587" s="120">
        <v>0</v>
      </c>
      <c r="H587" s="120" t="s">
        <v>250</v>
      </c>
      <c r="I587" s="120">
        <v>28309.87</v>
      </c>
      <c r="J587" s="120">
        <v>0</v>
      </c>
      <c r="K587" s="120" t="s">
        <v>250</v>
      </c>
      <c r="L587" s="120" t="s">
        <v>250</v>
      </c>
      <c r="M587" s="120">
        <v>0</v>
      </c>
      <c r="N587" s="120" t="s">
        <v>250</v>
      </c>
      <c r="O587" s="120">
        <v>0</v>
      </c>
      <c r="P587" s="120">
        <v>0</v>
      </c>
      <c r="Q587" s="120">
        <v>0</v>
      </c>
      <c r="R587" s="120"/>
      <c r="S587" s="121"/>
    </row>
    <row r="588" spans="1:19" ht="15">
      <c r="A588" s="105">
        <v>36</v>
      </c>
      <c r="B588" s="129" t="str">
        <f t="shared" si="15"/>
        <v xml:space="preserve">  F</v>
      </c>
      <c r="C588" s="107" t="s">
        <v>733</v>
      </c>
      <c r="D588" s="107" t="s">
        <v>1119</v>
      </c>
      <c r="E588" s="120">
        <v>0</v>
      </c>
      <c r="F588" s="120" t="s">
        <v>250</v>
      </c>
      <c r="G588" s="120">
        <v>0</v>
      </c>
      <c r="H588" s="120" t="s">
        <v>250</v>
      </c>
      <c r="I588" s="120">
        <v>0</v>
      </c>
      <c r="J588" s="120">
        <v>0</v>
      </c>
      <c r="K588" s="120" t="s">
        <v>250</v>
      </c>
      <c r="L588" s="120" t="s">
        <v>250</v>
      </c>
      <c r="M588" s="120">
        <v>0</v>
      </c>
      <c r="N588" s="120" t="s">
        <v>250</v>
      </c>
      <c r="O588" s="120">
        <v>0</v>
      </c>
      <c r="P588" s="120">
        <v>0</v>
      </c>
      <c r="Q588" s="120">
        <v>0</v>
      </c>
      <c r="R588" s="120"/>
      <c r="S588" s="121"/>
    </row>
    <row r="589" spans="1:19" ht="15">
      <c r="A589" s="105">
        <v>37</v>
      </c>
      <c r="B589" s="129" t="str">
        <f t="shared" si="15"/>
        <v xml:space="preserve">  9</v>
      </c>
      <c r="C589" s="107" t="s">
        <v>736</v>
      </c>
      <c r="D589" s="107" t="s">
        <v>494</v>
      </c>
      <c r="E589" s="120">
        <v>412038.2499999897</v>
      </c>
      <c r="F589" s="120" t="s">
        <v>250</v>
      </c>
      <c r="G589" s="120">
        <v>388068.21021897893</v>
      </c>
      <c r="H589" s="120" t="s">
        <v>250</v>
      </c>
      <c r="I589" s="120">
        <v>15584.682709686933</v>
      </c>
      <c r="J589" s="120">
        <v>8385.3570713238514</v>
      </c>
      <c r="K589" s="120" t="s">
        <v>250</v>
      </c>
      <c r="L589" s="120" t="s">
        <v>250</v>
      </c>
      <c r="M589" s="120">
        <v>0</v>
      </c>
      <c r="N589" s="120" t="s">
        <v>250</v>
      </c>
      <c r="O589" s="120">
        <v>8385.3570713238514</v>
      </c>
      <c r="P589" s="120">
        <v>4303.9860625861129</v>
      </c>
      <c r="Q589" s="120">
        <v>4081.371008737739</v>
      </c>
      <c r="R589" s="120"/>
      <c r="S589" s="121"/>
    </row>
    <row r="590" spans="1:19" ht="15">
      <c r="A590" s="105">
        <v>38</v>
      </c>
      <c r="B590" s="129" t="str">
        <f t="shared" si="15"/>
        <v xml:space="preserve">   </v>
      </c>
      <c r="C590" s="107" t="s">
        <v>737</v>
      </c>
      <c r="D590" s="107" t="s">
        <v>250</v>
      </c>
      <c r="E590" s="120">
        <v>2132321.73999999</v>
      </c>
      <c r="F590" s="120" t="s">
        <v>250</v>
      </c>
      <c r="G590" s="120">
        <v>2080041.8302189792</v>
      </c>
      <c r="H590" s="120" t="s">
        <v>250</v>
      </c>
      <c r="I590" s="120">
        <v>43894.552709686934</v>
      </c>
      <c r="J590" s="120">
        <v>8385.3570713238514</v>
      </c>
      <c r="K590" s="120" t="s">
        <v>250</v>
      </c>
      <c r="L590" s="120" t="s">
        <v>250</v>
      </c>
      <c r="M590" s="120">
        <v>0</v>
      </c>
      <c r="N590" s="120" t="s">
        <v>250</v>
      </c>
      <c r="O590" s="120">
        <v>8385.3570713238514</v>
      </c>
      <c r="P590" s="120">
        <v>4303.9860625861129</v>
      </c>
      <c r="Q590" s="120">
        <v>4081.371008737739</v>
      </c>
      <c r="R590" s="120"/>
      <c r="S590" s="121"/>
    </row>
    <row r="591" spans="1:19" ht="15">
      <c r="A591" s="105" t="s">
        <v>250</v>
      </c>
      <c r="B591" s="129">
        <v>928</v>
      </c>
      <c r="C591" s="107" t="s">
        <v>250</v>
      </c>
      <c r="D591" s="107" t="s">
        <v>250</v>
      </c>
      <c r="E591" s="120" t="s">
        <v>250</v>
      </c>
      <c r="F591" s="120" t="s">
        <v>250</v>
      </c>
      <c r="G591" s="120" t="s">
        <v>250</v>
      </c>
      <c r="H591" s="120" t="s">
        <v>250</v>
      </c>
      <c r="I591" s="120" t="s">
        <v>250</v>
      </c>
      <c r="J591" s="120" t="s">
        <v>250</v>
      </c>
      <c r="K591" s="120" t="s">
        <v>250</v>
      </c>
      <c r="L591" s="120" t="s">
        <v>250</v>
      </c>
      <c r="M591" s="120" t="s">
        <v>250</v>
      </c>
      <c r="N591" s="120" t="s">
        <v>250</v>
      </c>
      <c r="O591" s="120" t="s">
        <v>250</v>
      </c>
      <c r="P591" s="120" t="s">
        <v>250</v>
      </c>
      <c r="Q591" s="120" t="s">
        <v>250</v>
      </c>
      <c r="R591" s="120"/>
      <c r="S591" s="121"/>
    </row>
    <row r="592" spans="1:19" ht="15">
      <c r="A592" s="105">
        <v>38</v>
      </c>
      <c r="B592" s="129" t="str">
        <f t="shared" si="15"/>
        <v>927</v>
      </c>
      <c r="C592" s="107" t="s">
        <v>738</v>
      </c>
      <c r="D592" s="107" t="s">
        <v>726</v>
      </c>
      <c r="E592" s="120">
        <v>2228.81</v>
      </c>
      <c r="F592" s="120" t="s">
        <v>250</v>
      </c>
      <c r="G592" s="120">
        <v>0</v>
      </c>
      <c r="H592" s="120" t="s">
        <v>250</v>
      </c>
      <c r="I592" s="120">
        <v>2228.81</v>
      </c>
      <c r="J592" s="120">
        <v>0</v>
      </c>
      <c r="K592" s="120" t="s">
        <v>250</v>
      </c>
      <c r="L592" s="120" t="s">
        <v>250</v>
      </c>
      <c r="M592" s="120">
        <v>0</v>
      </c>
      <c r="N592" s="120" t="s">
        <v>250</v>
      </c>
      <c r="O592" s="120">
        <v>0</v>
      </c>
      <c r="P592" s="120">
        <v>0</v>
      </c>
      <c r="Q592" s="120">
        <v>0</v>
      </c>
      <c r="R592" s="120"/>
      <c r="S592" s="121"/>
    </row>
    <row r="593" spans="1:19" ht="15">
      <c r="A593" s="105">
        <v>40</v>
      </c>
      <c r="B593" s="129" t="str">
        <f t="shared" si="15"/>
        <v>929</v>
      </c>
      <c r="C593" s="107" t="s">
        <v>725</v>
      </c>
      <c r="D593" s="107" t="s">
        <v>726</v>
      </c>
      <c r="E593" s="120">
        <v>-2228.81</v>
      </c>
      <c r="F593" s="120" t="s">
        <v>250</v>
      </c>
      <c r="G593" s="120">
        <v>0</v>
      </c>
      <c r="H593" s="120" t="s">
        <v>250</v>
      </c>
      <c r="I593" s="120">
        <v>-2228.81</v>
      </c>
      <c r="J593" s="120">
        <v>0</v>
      </c>
      <c r="K593" s="120" t="s">
        <v>250</v>
      </c>
      <c r="L593" s="120" t="s">
        <v>250</v>
      </c>
      <c r="M593" s="120">
        <v>0</v>
      </c>
      <c r="N593" s="120" t="s">
        <v>250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 t="s">
        <v>250</v>
      </c>
      <c r="B594" s="129" t="str">
        <f t="shared" si="15"/>
        <v/>
      </c>
      <c r="C594" s="107" t="s">
        <v>250</v>
      </c>
      <c r="D594" s="107" t="s">
        <v>250</v>
      </c>
      <c r="E594" s="120" t="s">
        <v>250</v>
      </c>
      <c r="F594" s="120" t="s">
        <v>250</v>
      </c>
      <c r="G594" s="120" t="s">
        <v>250</v>
      </c>
      <c r="H594" s="120" t="s">
        <v>250</v>
      </c>
      <c r="I594" s="120" t="s">
        <v>250</v>
      </c>
      <c r="J594" s="120" t="s">
        <v>250</v>
      </c>
      <c r="K594" s="120" t="s">
        <v>250</v>
      </c>
      <c r="L594" s="120" t="s">
        <v>250</v>
      </c>
      <c r="M594" s="120" t="s">
        <v>250</v>
      </c>
      <c r="N594" s="120" t="s">
        <v>250</v>
      </c>
      <c r="O594" s="120" t="s">
        <v>250</v>
      </c>
      <c r="P594" s="120" t="s">
        <v>250</v>
      </c>
      <c r="Q594" s="120" t="s">
        <v>250</v>
      </c>
      <c r="R594" s="120"/>
      <c r="S594" s="121"/>
    </row>
    <row r="595" spans="1:19" ht="15">
      <c r="A595" s="105">
        <v>41</v>
      </c>
      <c r="B595" s="105"/>
      <c r="C595" s="107" t="s">
        <v>740</v>
      </c>
      <c r="D595" s="107" t="s">
        <v>250</v>
      </c>
      <c r="E595" s="120">
        <v>106357818.23999986</v>
      </c>
      <c r="F595" s="120" t="s">
        <v>250</v>
      </c>
      <c r="G595" s="120">
        <v>99841287.268074602</v>
      </c>
      <c r="H595" s="120" t="s">
        <v>250</v>
      </c>
      <c r="I595" s="120">
        <v>5208187.7544534719</v>
      </c>
      <c r="J595" s="120">
        <v>1308343.2174717933</v>
      </c>
      <c r="K595" s="120" t="s">
        <v>250</v>
      </c>
      <c r="L595" s="120" t="s">
        <v>250</v>
      </c>
      <c r="M595" s="120">
        <v>0</v>
      </c>
      <c r="N595" s="120" t="s">
        <v>250</v>
      </c>
      <c r="O595" s="120">
        <v>1308343.2174717933</v>
      </c>
      <c r="P595" s="120">
        <v>682699.83400489076</v>
      </c>
      <c r="Q595" s="120">
        <v>625643.38346690254</v>
      </c>
      <c r="R595" s="120"/>
      <c r="S595" s="121"/>
    </row>
    <row r="596" spans="1:19" ht="15">
      <c r="A596" s="105" t="s">
        <v>250</v>
      </c>
      <c r="B596" s="105"/>
      <c r="C596" s="107" t="s">
        <v>250</v>
      </c>
      <c r="D596" s="107" t="s">
        <v>250</v>
      </c>
      <c r="E596" s="120" t="s">
        <v>250</v>
      </c>
      <c r="F596" s="120" t="s">
        <v>250</v>
      </c>
      <c r="G596" s="120" t="s">
        <v>250</v>
      </c>
      <c r="H596" s="120" t="s">
        <v>250</v>
      </c>
      <c r="I596" s="120" t="s">
        <v>250</v>
      </c>
      <c r="J596" s="120" t="s">
        <v>250</v>
      </c>
      <c r="K596" s="120" t="s">
        <v>250</v>
      </c>
      <c r="L596" s="120" t="s">
        <v>250</v>
      </c>
      <c r="M596" s="120" t="s">
        <v>250</v>
      </c>
      <c r="N596" s="120" t="s">
        <v>250</v>
      </c>
      <c r="O596" s="120" t="s">
        <v>250</v>
      </c>
      <c r="P596" s="120" t="s">
        <v>250</v>
      </c>
      <c r="Q596" s="120" t="s">
        <v>250</v>
      </c>
      <c r="R596" s="120"/>
      <c r="S596" s="121"/>
    </row>
    <row r="597" spans="1:19" ht="15">
      <c r="A597" s="105">
        <v>42</v>
      </c>
      <c r="B597" s="105"/>
      <c r="C597" s="107" t="s">
        <v>741</v>
      </c>
      <c r="D597" s="107" t="s">
        <v>250</v>
      </c>
      <c r="E597" s="120">
        <v>857599441.40989709</v>
      </c>
      <c r="F597" s="120" t="s">
        <v>250</v>
      </c>
      <c r="G597" s="120">
        <v>805082104.24666893</v>
      </c>
      <c r="H597" s="120" t="s">
        <v>250</v>
      </c>
      <c r="I597" s="120">
        <v>38885874.716857493</v>
      </c>
      <c r="J597" s="120">
        <v>13631462.446370624</v>
      </c>
      <c r="K597" s="120" t="s">
        <v>250</v>
      </c>
      <c r="L597" s="120" t="s">
        <v>250</v>
      </c>
      <c r="M597" s="120">
        <v>0</v>
      </c>
      <c r="N597" s="120" t="s">
        <v>250</v>
      </c>
      <c r="O597" s="120">
        <v>13631462.446370624</v>
      </c>
      <c r="P597" s="120">
        <v>7020310.9167755572</v>
      </c>
      <c r="Q597" s="120">
        <v>6611151.5295950677</v>
      </c>
      <c r="R597" s="120"/>
      <c r="S597" s="121"/>
    </row>
    <row r="598" spans="1:19" ht="15">
      <c r="A598" s="105"/>
      <c r="B598" s="105"/>
      <c r="C598" s="107" t="s">
        <v>3693</v>
      </c>
      <c r="D598" s="107" t="s">
        <v>250</v>
      </c>
      <c r="E598" s="120">
        <v>724746926.50989735</v>
      </c>
      <c r="F598" s="120" t="s">
        <v>250</v>
      </c>
      <c r="G598" s="120">
        <v>681482778.60471344</v>
      </c>
      <c r="H598" s="120" t="s">
        <v>250</v>
      </c>
      <c r="I598" s="120">
        <v>31727934.064567946</v>
      </c>
      <c r="J598" s="120" t="s">
        <v>250</v>
      </c>
      <c r="K598" s="120" t="s">
        <v>250</v>
      </c>
      <c r="L598" s="120" t="s">
        <v>250</v>
      </c>
      <c r="M598" s="120">
        <v>0</v>
      </c>
      <c r="N598" s="120" t="s">
        <v>250</v>
      </c>
      <c r="O598" s="120">
        <v>11536213.840615854</v>
      </c>
      <c r="P598" s="120" t="s">
        <v>250</v>
      </c>
      <c r="Q598" s="120" t="s">
        <v>250</v>
      </c>
      <c r="R598" s="120"/>
      <c r="S598" s="121"/>
    </row>
    <row r="599" spans="1:19" ht="15">
      <c r="A599" s="105"/>
      <c r="B599" s="105"/>
      <c r="C599" s="107" t="s">
        <v>3694</v>
      </c>
      <c r="D599" s="107" t="s">
        <v>250</v>
      </c>
      <c r="E599" s="120">
        <v>132852514.89999974</v>
      </c>
      <c r="F599" s="120" t="s">
        <v>250</v>
      </c>
      <c r="G599" s="120">
        <v>123599325.64195547</v>
      </c>
      <c r="H599" s="120" t="s">
        <v>250</v>
      </c>
      <c r="I599" s="120">
        <v>7157940.6522895433</v>
      </c>
      <c r="J599" s="120" t="s">
        <v>250</v>
      </c>
      <c r="K599" s="120" t="s">
        <v>250</v>
      </c>
      <c r="L599" s="120" t="s">
        <v>250</v>
      </c>
      <c r="M599" s="120">
        <v>0</v>
      </c>
      <c r="N599" s="120" t="s">
        <v>250</v>
      </c>
      <c r="O599" s="120">
        <v>2095248.6057547741</v>
      </c>
      <c r="P599" s="120" t="s">
        <v>250</v>
      </c>
      <c r="Q599" s="120" t="s">
        <v>250</v>
      </c>
      <c r="R599" s="120"/>
      <c r="S599" s="121"/>
    </row>
    <row r="600" spans="1:19" ht="15">
      <c r="A600" s="105"/>
      <c r="B600" s="105"/>
      <c r="C600" s="107" t="s">
        <v>3695</v>
      </c>
      <c r="D600" s="107" t="s">
        <v>250</v>
      </c>
      <c r="E600" s="120">
        <v>298178033.17999989</v>
      </c>
      <c r="F600" s="120" t="s">
        <v>250</v>
      </c>
      <c r="G600" s="120">
        <v>279726509.05202377</v>
      </c>
      <c r="H600" s="120" t="s">
        <v>250</v>
      </c>
      <c r="I600" s="120">
        <v>15591544.074693656</v>
      </c>
      <c r="J600" s="120" t="s">
        <v>250</v>
      </c>
      <c r="K600" s="120" t="s">
        <v>250</v>
      </c>
      <c r="L600" s="120" t="s">
        <v>250</v>
      </c>
      <c r="M600" s="120">
        <v>0</v>
      </c>
      <c r="N600" s="120" t="s">
        <v>250</v>
      </c>
      <c r="O600" s="120">
        <v>2859980.0532822646</v>
      </c>
      <c r="P600" s="120" t="s">
        <v>250</v>
      </c>
      <c r="Q600" s="120" t="s">
        <v>250</v>
      </c>
      <c r="R600" s="120"/>
      <c r="S600" s="121"/>
    </row>
    <row r="601" spans="1:19" ht="15">
      <c r="A601" s="105"/>
      <c r="B601" s="105"/>
      <c r="C601" s="107"/>
      <c r="D601" s="107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1"/>
    </row>
    <row r="602" spans="1:19" ht="15">
      <c r="A602" s="105" t="s">
        <v>250</v>
      </c>
      <c r="B602" s="105"/>
      <c r="C602" s="107" t="s">
        <v>742</v>
      </c>
      <c r="D602" s="107" t="s">
        <v>250</v>
      </c>
      <c r="E602" s="120" t="s">
        <v>250</v>
      </c>
      <c r="F602" s="120" t="s">
        <v>250</v>
      </c>
      <c r="G602" s="120" t="s">
        <v>250</v>
      </c>
      <c r="H602" s="120" t="s">
        <v>250</v>
      </c>
      <c r="I602" s="120" t="s">
        <v>250</v>
      </c>
      <c r="J602" s="120" t="s">
        <v>250</v>
      </c>
      <c r="K602" s="120" t="s">
        <v>250</v>
      </c>
      <c r="L602" s="120" t="s">
        <v>250</v>
      </c>
      <c r="M602" s="120" t="s">
        <v>250</v>
      </c>
      <c r="N602" s="120" t="s">
        <v>250</v>
      </c>
      <c r="O602" s="120" t="s">
        <v>250</v>
      </c>
      <c r="P602" s="120" t="s">
        <v>250</v>
      </c>
      <c r="Q602" s="120" t="s">
        <v>250</v>
      </c>
      <c r="R602" s="120"/>
      <c r="S602" s="121"/>
    </row>
    <row r="603" spans="1:19" ht="15">
      <c r="A603" s="105" t="s">
        <v>250</v>
      </c>
      <c r="B603" s="105"/>
      <c r="C603" s="107" t="s">
        <v>250</v>
      </c>
      <c r="D603" s="107" t="s">
        <v>250</v>
      </c>
      <c r="E603" s="120" t="s">
        <v>250</v>
      </c>
      <c r="F603" s="120" t="s">
        <v>250</v>
      </c>
      <c r="G603" s="120" t="s">
        <v>250</v>
      </c>
      <c r="H603" s="120" t="s">
        <v>250</v>
      </c>
      <c r="I603" s="120" t="s">
        <v>250</v>
      </c>
      <c r="J603" s="120" t="s">
        <v>250</v>
      </c>
      <c r="K603" s="120" t="s">
        <v>250</v>
      </c>
      <c r="L603" s="120" t="s">
        <v>250</v>
      </c>
      <c r="M603" s="120" t="s">
        <v>250</v>
      </c>
      <c r="N603" s="120" t="s">
        <v>250</v>
      </c>
      <c r="O603" s="120" t="s">
        <v>250</v>
      </c>
      <c r="P603" s="120" t="s">
        <v>250</v>
      </c>
      <c r="Q603" s="120" t="s">
        <v>250</v>
      </c>
      <c r="R603" s="120"/>
      <c r="S603" s="121"/>
    </row>
    <row r="604" spans="1:19" ht="15">
      <c r="A604" s="105" t="s">
        <v>250</v>
      </c>
      <c r="B604" s="105"/>
      <c r="C604" s="107" t="s">
        <v>743</v>
      </c>
      <c r="D604" s="107" t="s">
        <v>250</v>
      </c>
      <c r="E604" s="120" t="s">
        <v>250</v>
      </c>
      <c r="F604" s="120" t="s">
        <v>250</v>
      </c>
      <c r="G604" s="120" t="s">
        <v>250</v>
      </c>
      <c r="H604" s="120" t="s">
        <v>250</v>
      </c>
      <c r="I604" s="120" t="s">
        <v>250</v>
      </c>
      <c r="J604" s="120" t="s">
        <v>250</v>
      </c>
      <c r="K604" s="120" t="s">
        <v>250</v>
      </c>
      <c r="L604" s="120" t="s">
        <v>250</v>
      </c>
      <c r="M604" s="120" t="s">
        <v>250</v>
      </c>
      <c r="N604" s="120" t="s">
        <v>250</v>
      </c>
      <c r="O604" s="120" t="s">
        <v>250</v>
      </c>
      <c r="P604" s="120" t="s">
        <v>250</v>
      </c>
      <c r="Q604" s="120" t="s">
        <v>250</v>
      </c>
      <c r="R604" s="120"/>
      <c r="S604" s="121"/>
    </row>
    <row r="605" spans="1:19" ht="15">
      <c r="A605" s="105" t="s">
        <v>250</v>
      </c>
      <c r="B605" s="105"/>
      <c r="C605" s="107" t="s">
        <v>250</v>
      </c>
      <c r="D605" s="107" t="s">
        <v>250</v>
      </c>
      <c r="E605" s="120" t="s">
        <v>250</v>
      </c>
      <c r="F605" s="120" t="s">
        <v>250</v>
      </c>
      <c r="G605" s="120" t="s">
        <v>250</v>
      </c>
      <c r="H605" s="120" t="s">
        <v>250</v>
      </c>
      <c r="I605" s="120" t="s">
        <v>250</v>
      </c>
      <c r="J605" s="120" t="s">
        <v>250</v>
      </c>
      <c r="K605" s="120" t="s">
        <v>250</v>
      </c>
      <c r="L605" s="120" t="s">
        <v>250</v>
      </c>
      <c r="M605" s="120" t="s">
        <v>250</v>
      </c>
      <c r="N605" s="120" t="s">
        <v>250</v>
      </c>
      <c r="O605" s="120" t="s">
        <v>250</v>
      </c>
      <c r="P605" s="120" t="s">
        <v>250</v>
      </c>
      <c r="Q605" s="120" t="s">
        <v>250</v>
      </c>
      <c r="R605" s="120"/>
      <c r="S605" s="121"/>
    </row>
    <row r="606" spans="1:19" ht="15">
      <c r="A606" s="105" t="s">
        <v>250</v>
      </c>
      <c r="B606" s="105"/>
      <c r="C606" s="107" t="s">
        <v>440</v>
      </c>
      <c r="D606" s="107" t="s">
        <v>250</v>
      </c>
      <c r="E606" s="120" t="s">
        <v>250</v>
      </c>
      <c r="F606" s="120" t="s">
        <v>250</v>
      </c>
      <c r="G606" s="120" t="s">
        <v>250</v>
      </c>
      <c r="H606" s="120" t="s">
        <v>250</v>
      </c>
      <c r="I606" s="120" t="s">
        <v>250</v>
      </c>
      <c r="J606" s="120" t="s">
        <v>250</v>
      </c>
      <c r="K606" s="120" t="s">
        <v>250</v>
      </c>
      <c r="L606" s="120" t="s">
        <v>250</v>
      </c>
      <c r="M606" s="120" t="s">
        <v>250</v>
      </c>
      <c r="N606" s="120" t="s">
        <v>250</v>
      </c>
      <c r="O606" s="120" t="s">
        <v>250</v>
      </c>
      <c r="P606" s="120" t="s">
        <v>250</v>
      </c>
      <c r="Q606" s="120" t="s">
        <v>250</v>
      </c>
      <c r="R606" s="120"/>
      <c r="S606" s="121"/>
    </row>
    <row r="607" spans="1:19" ht="15">
      <c r="A607" s="105" t="s">
        <v>250</v>
      </c>
      <c r="B607" s="105"/>
      <c r="C607" s="107" t="s">
        <v>441</v>
      </c>
      <c r="D607" s="107" t="s">
        <v>250</v>
      </c>
      <c r="E607" s="120" t="s">
        <v>250</v>
      </c>
      <c r="F607" s="120" t="s">
        <v>250</v>
      </c>
      <c r="G607" s="120" t="s">
        <v>250</v>
      </c>
      <c r="H607" s="120" t="s">
        <v>250</v>
      </c>
      <c r="I607" s="120" t="s">
        <v>250</v>
      </c>
      <c r="J607" s="120" t="s">
        <v>250</v>
      </c>
      <c r="K607" s="120" t="s">
        <v>250</v>
      </c>
      <c r="L607" s="120" t="s">
        <v>250</v>
      </c>
      <c r="M607" s="120" t="s">
        <v>250</v>
      </c>
      <c r="N607" s="120" t="s">
        <v>250</v>
      </c>
      <c r="O607" s="120" t="s">
        <v>250</v>
      </c>
      <c r="P607" s="120" t="s">
        <v>250</v>
      </c>
      <c r="Q607" s="120" t="s">
        <v>250</v>
      </c>
      <c r="R607" s="120"/>
      <c r="S607" s="121"/>
    </row>
    <row r="608" spans="1:19" ht="15">
      <c r="A608" s="105">
        <v>1</v>
      </c>
      <c r="B608" s="105"/>
      <c r="C608" s="107" t="s">
        <v>442</v>
      </c>
      <c r="D608" s="107" t="s">
        <v>443</v>
      </c>
      <c r="E608" s="120">
        <v>195563119.57275295</v>
      </c>
      <c r="F608" s="120" t="s">
        <v>250</v>
      </c>
      <c r="G608" s="120">
        <v>183460302.47779328</v>
      </c>
      <c r="H608" s="120" t="s">
        <v>250</v>
      </c>
      <c r="I608" s="120">
        <v>8308523.4115727236</v>
      </c>
      <c r="J608" s="120">
        <v>3794293.6833869559</v>
      </c>
      <c r="K608" s="120" t="s">
        <v>250</v>
      </c>
      <c r="L608" s="120" t="s">
        <v>250</v>
      </c>
      <c r="M608" s="120">
        <v>0</v>
      </c>
      <c r="N608" s="120" t="s">
        <v>250</v>
      </c>
      <c r="O608" s="120">
        <v>3794293.6833869559</v>
      </c>
      <c r="P608" s="120">
        <v>1924678.0699122902</v>
      </c>
      <c r="Q608" s="120">
        <v>1869615.6134746657</v>
      </c>
      <c r="R608" s="120"/>
      <c r="S608" s="121"/>
    </row>
    <row r="609" spans="1:19" ht="15">
      <c r="A609" s="105">
        <v>2</v>
      </c>
      <c r="B609" s="105"/>
      <c r="C609" s="107" t="s">
        <v>444</v>
      </c>
      <c r="D609" s="107" t="s">
        <v>311</v>
      </c>
      <c r="E609" s="120">
        <v>287468.25</v>
      </c>
      <c r="F609" s="120" t="s">
        <v>250</v>
      </c>
      <c r="G609" s="120">
        <v>0</v>
      </c>
      <c r="H609" s="120" t="s">
        <v>250</v>
      </c>
      <c r="I609" s="120">
        <v>197345.51604547715</v>
      </c>
      <c r="J609" s="120">
        <v>90122.733954522846</v>
      </c>
      <c r="K609" s="120" t="s">
        <v>250</v>
      </c>
      <c r="L609" s="120" t="s">
        <v>250</v>
      </c>
      <c r="M609" s="120">
        <v>0</v>
      </c>
      <c r="N609" s="120" t="s">
        <v>250</v>
      </c>
      <c r="O609" s="120">
        <v>90122.733954522846</v>
      </c>
      <c r="P609" s="120">
        <v>45715.293574211195</v>
      </c>
      <c r="Q609" s="120">
        <v>44407.440380311651</v>
      </c>
      <c r="R609" s="120"/>
      <c r="S609" s="121"/>
    </row>
    <row r="610" spans="1:19" ht="15">
      <c r="A610" s="105">
        <v>3</v>
      </c>
      <c r="B610" s="105"/>
      <c r="C610" s="107" t="s">
        <v>445</v>
      </c>
      <c r="D610" s="107" t="s">
        <v>313</v>
      </c>
      <c r="E610" s="120">
        <v>187433.63333333362</v>
      </c>
      <c r="F610" s="120" t="s">
        <v>250</v>
      </c>
      <c r="G610" s="120">
        <v>0</v>
      </c>
      <c r="H610" s="120" t="s">
        <v>250</v>
      </c>
      <c r="I610" s="120">
        <v>0</v>
      </c>
      <c r="J610" s="120">
        <v>187433.63333333362</v>
      </c>
      <c r="K610" s="120" t="s">
        <v>250</v>
      </c>
      <c r="L610" s="120" t="s">
        <v>250</v>
      </c>
      <c r="M610" s="120">
        <v>0</v>
      </c>
      <c r="N610" s="120" t="s">
        <v>250</v>
      </c>
      <c r="O610" s="120">
        <v>187433.63333333362</v>
      </c>
      <c r="P610" s="120">
        <v>95076.82687298664</v>
      </c>
      <c r="Q610" s="120">
        <v>92356.806460346983</v>
      </c>
      <c r="R610" s="120"/>
      <c r="S610" s="121"/>
    </row>
    <row r="611" spans="1:19" ht="15">
      <c r="A611" s="105">
        <v>4</v>
      </c>
      <c r="B611" s="105"/>
      <c r="C611" s="107" t="s">
        <v>446</v>
      </c>
      <c r="D611" s="107" t="s">
        <v>250</v>
      </c>
      <c r="E611" s="120">
        <v>196038021.45608631</v>
      </c>
      <c r="F611" s="120" t="s">
        <v>250</v>
      </c>
      <c r="G611" s="120">
        <v>183460302.47779328</v>
      </c>
      <c r="H611" s="120" t="s">
        <v>250</v>
      </c>
      <c r="I611" s="120">
        <v>8505868.9276182</v>
      </c>
      <c r="J611" s="120">
        <v>4071850.0506748124</v>
      </c>
      <c r="K611" s="120" t="s">
        <v>250</v>
      </c>
      <c r="L611" s="120" t="s">
        <v>250</v>
      </c>
      <c r="M611" s="120">
        <v>0</v>
      </c>
      <c r="N611" s="120" t="s">
        <v>250</v>
      </c>
      <c r="O611" s="120">
        <v>4071850.0506748124</v>
      </c>
      <c r="P611" s="120">
        <v>2065470.1903594881</v>
      </c>
      <c r="Q611" s="120">
        <v>2006379.8603153243</v>
      </c>
      <c r="R611" s="120"/>
      <c r="S611" s="121"/>
    </row>
    <row r="612" spans="1:19" ht="15">
      <c r="A612" s="105" t="s">
        <v>250</v>
      </c>
      <c r="B612" s="105"/>
      <c r="C612" s="107" t="s">
        <v>250</v>
      </c>
      <c r="D612" s="107" t="s">
        <v>250</v>
      </c>
      <c r="E612" s="120" t="s">
        <v>250</v>
      </c>
      <c r="F612" s="120" t="s">
        <v>250</v>
      </c>
      <c r="G612" s="120" t="s">
        <v>250</v>
      </c>
      <c r="H612" s="120" t="s">
        <v>250</v>
      </c>
      <c r="I612" s="120" t="s">
        <v>250</v>
      </c>
      <c r="J612" s="120" t="s">
        <v>250</v>
      </c>
      <c r="K612" s="120" t="s">
        <v>250</v>
      </c>
      <c r="L612" s="120" t="s">
        <v>250</v>
      </c>
      <c r="M612" s="120" t="s">
        <v>250</v>
      </c>
      <c r="N612" s="120" t="s">
        <v>250</v>
      </c>
      <c r="O612" s="120" t="s">
        <v>250</v>
      </c>
      <c r="P612" s="120" t="s">
        <v>250</v>
      </c>
      <c r="Q612" s="120" t="s">
        <v>250</v>
      </c>
      <c r="R612" s="120"/>
      <c r="S612" s="121"/>
    </row>
    <row r="613" spans="1:19" ht="15">
      <c r="A613" s="105" t="s">
        <v>250</v>
      </c>
      <c r="B613" s="105"/>
      <c r="C613" s="107" t="s">
        <v>447</v>
      </c>
      <c r="D613" s="107" t="s">
        <v>250</v>
      </c>
      <c r="E613" s="120" t="s">
        <v>250</v>
      </c>
      <c r="F613" s="120" t="s">
        <v>250</v>
      </c>
      <c r="G613" s="120" t="s">
        <v>250</v>
      </c>
      <c r="H613" s="120" t="s">
        <v>250</v>
      </c>
      <c r="I613" s="120" t="s">
        <v>250</v>
      </c>
      <c r="J613" s="120" t="s">
        <v>250</v>
      </c>
      <c r="K613" s="120" t="s">
        <v>250</v>
      </c>
      <c r="L613" s="120" t="s">
        <v>250</v>
      </c>
      <c r="M613" s="120" t="s">
        <v>250</v>
      </c>
      <c r="N613" s="120" t="s">
        <v>250</v>
      </c>
      <c r="O613" s="120" t="s">
        <v>250</v>
      </c>
      <c r="P613" s="120" t="s">
        <v>250</v>
      </c>
      <c r="Q613" s="120" t="s">
        <v>250</v>
      </c>
      <c r="R613" s="120"/>
      <c r="S613" s="121"/>
    </row>
    <row r="614" spans="1:19" ht="15">
      <c r="A614" s="105">
        <v>5</v>
      </c>
      <c r="B614" s="105"/>
      <c r="C614" s="107" t="s">
        <v>442</v>
      </c>
      <c r="D614" s="107" t="s">
        <v>448</v>
      </c>
      <c r="E614" s="120">
        <v>1296298.1059378001</v>
      </c>
      <c r="F614" s="120" t="s">
        <v>250</v>
      </c>
      <c r="G614" s="120">
        <v>1216074.0897174445</v>
      </c>
      <c r="H614" s="120" t="s">
        <v>250</v>
      </c>
      <c r="I614" s="120">
        <v>55073.385948697978</v>
      </c>
      <c r="J614" s="120">
        <v>25150.630271657581</v>
      </c>
      <c r="K614" s="120" t="s">
        <v>250</v>
      </c>
      <c r="L614" s="120" t="s">
        <v>250</v>
      </c>
      <c r="M614" s="120">
        <v>0</v>
      </c>
      <c r="N614" s="120" t="s">
        <v>250</v>
      </c>
      <c r="O614" s="120">
        <v>25150.630271657581</v>
      </c>
      <c r="P614" s="120">
        <v>12757.807003785063</v>
      </c>
      <c r="Q614" s="120">
        <v>12392.823267872518</v>
      </c>
      <c r="R614" s="120"/>
      <c r="S614" s="121"/>
    </row>
    <row r="615" spans="1:19" ht="15">
      <c r="A615" s="105">
        <v>6</v>
      </c>
      <c r="B615" s="105"/>
      <c r="C615" s="107" t="s">
        <v>444</v>
      </c>
      <c r="D615" s="107" t="s">
        <v>311</v>
      </c>
      <c r="E615" s="120">
        <v>12.000000000000004</v>
      </c>
      <c r="F615" s="120" t="s">
        <v>250</v>
      </c>
      <c r="G615" s="120">
        <v>0</v>
      </c>
      <c r="H615" s="120" t="s">
        <v>250</v>
      </c>
      <c r="I615" s="120">
        <v>8.2379399900536026</v>
      </c>
      <c r="J615" s="120">
        <v>3.762060009946401</v>
      </c>
      <c r="K615" s="120" t="s">
        <v>250</v>
      </c>
      <c r="L615" s="120" t="s">
        <v>250</v>
      </c>
      <c r="M615" s="120">
        <v>0</v>
      </c>
      <c r="N615" s="120" t="s">
        <v>250</v>
      </c>
      <c r="O615" s="120">
        <v>3.762060009946401</v>
      </c>
      <c r="P615" s="120">
        <v>1.9083273470741011</v>
      </c>
      <c r="Q615" s="120">
        <v>1.8537326628722997</v>
      </c>
      <c r="R615" s="120"/>
      <c r="S615" s="121"/>
    </row>
    <row r="616" spans="1:19" ht="15">
      <c r="A616" s="105">
        <v>7</v>
      </c>
      <c r="B616" s="105"/>
      <c r="C616" s="107" t="s">
        <v>445</v>
      </c>
      <c r="D616" s="107" t="s">
        <v>313</v>
      </c>
      <c r="E616" s="120">
        <v>758.99999999999989</v>
      </c>
      <c r="F616" s="120" t="s">
        <v>250</v>
      </c>
      <c r="G616" s="120">
        <v>0</v>
      </c>
      <c r="H616" s="120" t="s">
        <v>250</v>
      </c>
      <c r="I616" s="120">
        <v>0</v>
      </c>
      <c r="J616" s="120">
        <v>758.99999999999989</v>
      </c>
      <c r="K616" s="120" t="s">
        <v>250</v>
      </c>
      <c r="L616" s="120" t="s">
        <v>250</v>
      </c>
      <c r="M616" s="120">
        <v>0</v>
      </c>
      <c r="N616" s="120" t="s">
        <v>250</v>
      </c>
      <c r="O616" s="120">
        <v>758.99999999999989</v>
      </c>
      <c r="P616" s="120">
        <v>385.00727064422307</v>
      </c>
      <c r="Q616" s="120">
        <v>373.99272935577682</v>
      </c>
      <c r="R616" s="120"/>
      <c r="S616" s="121"/>
    </row>
    <row r="617" spans="1:19" ht="15">
      <c r="A617" s="105">
        <v>8</v>
      </c>
      <c r="B617" s="105"/>
      <c r="C617" s="107" t="s">
        <v>449</v>
      </c>
      <c r="D617" s="107" t="s">
        <v>250</v>
      </c>
      <c r="E617" s="120">
        <v>1297069.1059377999</v>
      </c>
      <c r="F617" s="120" t="s">
        <v>250</v>
      </c>
      <c r="G617" s="120">
        <v>1216074.0897174445</v>
      </c>
      <c r="H617" s="120" t="s">
        <v>250</v>
      </c>
      <c r="I617" s="120">
        <v>55081.623888688031</v>
      </c>
      <c r="J617" s="120">
        <v>25913.392331667528</v>
      </c>
      <c r="K617" s="120" t="s">
        <v>250</v>
      </c>
      <c r="L617" s="120" t="s">
        <v>250</v>
      </c>
      <c r="M617" s="120">
        <v>0</v>
      </c>
      <c r="N617" s="120" t="s">
        <v>250</v>
      </c>
      <c r="O617" s="120">
        <v>25913.392331667528</v>
      </c>
      <c r="P617" s="120">
        <v>13144.722601776359</v>
      </c>
      <c r="Q617" s="120">
        <v>12768.669729891168</v>
      </c>
      <c r="R617" s="120"/>
      <c r="S617" s="121"/>
    </row>
    <row r="618" spans="1:19" ht="15">
      <c r="A618" s="105" t="s">
        <v>250</v>
      </c>
      <c r="B618" s="105"/>
      <c r="C618" s="107" t="s">
        <v>250</v>
      </c>
      <c r="D618" s="107" t="s">
        <v>250</v>
      </c>
      <c r="E618" s="120" t="s">
        <v>250</v>
      </c>
      <c r="F618" s="120" t="s">
        <v>250</v>
      </c>
      <c r="G618" s="120" t="s">
        <v>250</v>
      </c>
      <c r="H618" s="120" t="s">
        <v>250</v>
      </c>
      <c r="I618" s="120" t="s">
        <v>250</v>
      </c>
      <c r="J618" s="120" t="s">
        <v>250</v>
      </c>
      <c r="K618" s="120" t="s">
        <v>250</v>
      </c>
      <c r="L618" s="120" t="s">
        <v>250</v>
      </c>
      <c r="M618" s="120" t="s">
        <v>250</v>
      </c>
      <c r="N618" s="120" t="s">
        <v>250</v>
      </c>
      <c r="O618" s="120" t="s">
        <v>250</v>
      </c>
      <c r="P618" s="120" t="s">
        <v>250</v>
      </c>
      <c r="Q618" s="120" t="s">
        <v>250</v>
      </c>
      <c r="R618" s="120"/>
      <c r="S618" s="121"/>
    </row>
    <row r="619" spans="1:19" ht="15">
      <c r="A619" s="105" t="s">
        <v>250</v>
      </c>
      <c r="B619" s="105"/>
      <c r="C619" s="107" t="s">
        <v>450</v>
      </c>
      <c r="D619" s="107" t="s">
        <v>250</v>
      </c>
      <c r="E619" s="120" t="s">
        <v>250</v>
      </c>
      <c r="F619" s="120" t="s">
        <v>250</v>
      </c>
      <c r="G619" s="120" t="s">
        <v>250</v>
      </c>
      <c r="H619" s="120" t="s">
        <v>250</v>
      </c>
      <c r="I619" s="120" t="s">
        <v>250</v>
      </c>
      <c r="J619" s="120" t="s">
        <v>250</v>
      </c>
      <c r="K619" s="120" t="s">
        <v>250</v>
      </c>
      <c r="L619" s="120" t="s">
        <v>250</v>
      </c>
      <c r="M619" s="120" t="s">
        <v>250</v>
      </c>
      <c r="N619" s="120" t="s">
        <v>250</v>
      </c>
      <c r="O619" s="120" t="s">
        <v>250</v>
      </c>
      <c r="P619" s="120" t="s">
        <v>250</v>
      </c>
      <c r="Q619" s="120" t="s">
        <v>250</v>
      </c>
      <c r="R619" s="120"/>
      <c r="S619" s="121"/>
    </row>
    <row r="620" spans="1:19" ht="15">
      <c r="A620" s="105">
        <v>9</v>
      </c>
      <c r="B620" s="105"/>
      <c r="C620" s="107" t="s">
        <v>442</v>
      </c>
      <c r="D620" s="107" t="s">
        <v>451</v>
      </c>
      <c r="E620" s="120">
        <v>41864651.268017083</v>
      </c>
      <c r="F620" s="120" t="s">
        <v>250</v>
      </c>
      <c r="G620" s="120">
        <v>39280124.452310666</v>
      </c>
      <c r="H620" s="120" t="s">
        <v>250</v>
      </c>
      <c r="I620" s="120">
        <v>1774264.7342061445</v>
      </c>
      <c r="J620" s="120">
        <v>810262.08150026633</v>
      </c>
      <c r="K620" s="120" t="s">
        <v>250</v>
      </c>
      <c r="L620" s="120" t="s">
        <v>250</v>
      </c>
      <c r="M620" s="120">
        <v>0</v>
      </c>
      <c r="N620" s="120" t="s">
        <v>250</v>
      </c>
      <c r="O620" s="120">
        <v>810262.08150026633</v>
      </c>
      <c r="P620" s="120">
        <v>411010.26680490735</v>
      </c>
      <c r="Q620" s="120">
        <v>399251.81469535897</v>
      </c>
      <c r="R620" s="120"/>
      <c r="S620" s="121"/>
    </row>
    <row r="621" spans="1:19" ht="15">
      <c r="A621" s="105">
        <v>10</v>
      </c>
      <c r="B621" s="105"/>
      <c r="C621" s="107" t="s">
        <v>444</v>
      </c>
      <c r="D621" s="107" t="s">
        <v>311</v>
      </c>
      <c r="E621" s="120">
        <v>44.000000000000043</v>
      </c>
      <c r="F621" s="120" t="s">
        <v>250</v>
      </c>
      <c r="G621" s="120">
        <v>0</v>
      </c>
      <c r="H621" s="120" t="s">
        <v>250</v>
      </c>
      <c r="I621" s="120">
        <v>30.205779963529896</v>
      </c>
      <c r="J621" s="120">
        <v>13.794220036470145</v>
      </c>
      <c r="K621" s="120" t="s">
        <v>250</v>
      </c>
      <c r="L621" s="120" t="s">
        <v>250</v>
      </c>
      <c r="M621" s="120">
        <v>0</v>
      </c>
      <c r="N621" s="120" t="s">
        <v>250</v>
      </c>
      <c r="O621" s="120">
        <v>13.794220036470145</v>
      </c>
      <c r="P621" s="120">
        <v>6.997200272605042</v>
      </c>
      <c r="Q621" s="120">
        <v>6.7970197638651033</v>
      </c>
      <c r="R621" s="120"/>
      <c r="S621" s="121"/>
    </row>
    <row r="622" spans="1:19" ht="15">
      <c r="A622" s="105">
        <v>11</v>
      </c>
      <c r="B622" s="105"/>
      <c r="C622" s="107" t="s">
        <v>445</v>
      </c>
      <c r="D622" s="107" t="s">
        <v>313</v>
      </c>
      <c r="E622" s="120">
        <v>40416.749999999993</v>
      </c>
      <c r="F622" s="120" t="s">
        <v>250</v>
      </c>
      <c r="G622" s="120">
        <v>0</v>
      </c>
      <c r="H622" s="120" t="s">
        <v>250</v>
      </c>
      <c r="I622" s="120">
        <v>0</v>
      </c>
      <c r="J622" s="120">
        <v>40416.749999999993</v>
      </c>
      <c r="K622" s="120" t="s">
        <v>250</v>
      </c>
      <c r="L622" s="120" t="s">
        <v>250</v>
      </c>
      <c r="M622" s="120">
        <v>0</v>
      </c>
      <c r="N622" s="120" t="s">
        <v>250</v>
      </c>
      <c r="O622" s="120">
        <v>40416.749999999993</v>
      </c>
      <c r="P622" s="120">
        <v>20501.637161804876</v>
      </c>
      <c r="Q622" s="120">
        <v>19915.112838195117</v>
      </c>
      <c r="R622" s="120"/>
      <c r="S622" s="121"/>
    </row>
    <row r="623" spans="1:19" ht="15">
      <c r="A623" s="105">
        <v>12</v>
      </c>
      <c r="B623" s="105"/>
      <c r="C623" s="107" t="s">
        <v>452</v>
      </c>
      <c r="D623" s="107" t="s">
        <v>250</v>
      </c>
      <c r="E623" s="120">
        <v>41905112.018017076</v>
      </c>
      <c r="F623" s="120" t="s">
        <v>250</v>
      </c>
      <c r="G623" s="120">
        <v>39280124.452310666</v>
      </c>
      <c r="H623" s="120" t="s">
        <v>250</v>
      </c>
      <c r="I623" s="120">
        <v>1774294.9399861081</v>
      </c>
      <c r="J623" s="120">
        <v>850692.62572030281</v>
      </c>
      <c r="K623" s="120" t="s">
        <v>250</v>
      </c>
      <c r="L623" s="120" t="s">
        <v>250</v>
      </c>
      <c r="M623" s="120">
        <v>0</v>
      </c>
      <c r="N623" s="120" t="s">
        <v>250</v>
      </c>
      <c r="O623" s="120">
        <v>850692.62572030281</v>
      </c>
      <c r="P623" s="120">
        <v>431518.90116698487</v>
      </c>
      <c r="Q623" s="120">
        <v>419173.72455331794</v>
      </c>
      <c r="R623" s="120"/>
      <c r="S623" s="121"/>
    </row>
    <row r="624" spans="1:19" ht="15">
      <c r="A624" s="105" t="s">
        <v>250</v>
      </c>
      <c r="B624" s="105"/>
      <c r="C624" s="107" t="s">
        <v>250</v>
      </c>
      <c r="D624" s="107" t="s">
        <v>250</v>
      </c>
      <c r="E624" s="120" t="s">
        <v>250</v>
      </c>
      <c r="F624" s="120" t="s">
        <v>250</v>
      </c>
      <c r="G624" s="120" t="s">
        <v>250</v>
      </c>
      <c r="H624" s="120" t="s">
        <v>250</v>
      </c>
      <c r="I624" s="120" t="s">
        <v>250</v>
      </c>
      <c r="J624" s="120" t="s">
        <v>250</v>
      </c>
      <c r="K624" s="120" t="s">
        <v>250</v>
      </c>
      <c r="L624" s="120" t="s">
        <v>250</v>
      </c>
      <c r="M624" s="120" t="s">
        <v>250</v>
      </c>
      <c r="N624" s="120" t="s">
        <v>250</v>
      </c>
      <c r="O624" s="120" t="s">
        <v>250</v>
      </c>
      <c r="P624" s="120" t="s">
        <v>250</v>
      </c>
      <c r="Q624" s="120" t="s">
        <v>250</v>
      </c>
      <c r="R624" s="120"/>
      <c r="S624" s="121"/>
    </row>
    <row r="625" spans="1:19" ht="15">
      <c r="A625" s="105">
        <v>13</v>
      </c>
      <c r="B625" s="105"/>
      <c r="C625" s="107" t="s">
        <v>453</v>
      </c>
      <c r="D625" s="107" t="s">
        <v>250</v>
      </c>
      <c r="E625" s="120">
        <v>239240202.58004117</v>
      </c>
      <c r="F625" s="120" t="s">
        <v>250</v>
      </c>
      <c r="G625" s="120">
        <v>223956501.01982141</v>
      </c>
      <c r="H625" s="120" t="s">
        <v>250</v>
      </c>
      <c r="I625" s="120">
        <v>10335245.491492996</v>
      </c>
      <c r="J625" s="120">
        <v>4948456.0687267827</v>
      </c>
      <c r="K625" s="120" t="s">
        <v>250</v>
      </c>
      <c r="L625" s="120" t="s">
        <v>250</v>
      </c>
      <c r="M625" s="120">
        <v>0</v>
      </c>
      <c r="N625" s="120" t="s">
        <v>250</v>
      </c>
      <c r="O625" s="120">
        <v>4948456.0687267827</v>
      </c>
      <c r="P625" s="120">
        <v>2510133.8141282494</v>
      </c>
      <c r="Q625" s="120">
        <v>2438322.2545985333</v>
      </c>
      <c r="R625" s="120"/>
      <c r="S625" s="121"/>
    </row>
    <row r="626" spans="1:19" ht="15">
      <c r="A626" s="105" t="s">
        <v>250</v>
      </c>
      <c r="B626" s="105"/>
      <c r="C626" s="107" t="s">
        <v>250</v>
      </c>
      <c r="D626" s="107" t="s">
        <v>250</v>
      </c>
      <c r="E626" s="120" t="s">
        <v>250</v>
      </c>
      <c r="F626" s="120" t="s">
        <v>250</v>
      </c>
      <c r="G626" s="120" t="s">
        <v>250</v>
      </c>
      <c r="H626" s="120" t="s">
        <v>250</v>
      </c>
      <c r="I626" s="120" t="s">
        <v>250</v>
      </c>
      <c r="J626" s="120" t="s">
        <v>250</v>
      </c>
      <c r="K626" s="120" t="s">
        <v>250</v>
      </c>
      <c r="L626" s="120" t="s">
        <v>250</v>
      </c>
      <c r="M626" s="120" t="s">
        <v>250</v>
      </c>
      <c r="N626" s="120" t="s">
        <v>250</v>
      </c>
      <c r="O626" s="120" t="s">
        <v>250</v>
      </c>
      <c r="P626" s="120" t="s">
        <v>250</v>
      </c>
      <c r="Q626" s="120" t="s">
        <v>250</v>
      </c>
      <c r="R626" s="120"/>
      <c r="S626" s="121"/>
    </row>
    <row r="627" spans="1:19" ht="15">
      <c r="A627" s="105" t="s">
        <v>250</v>
      </c>
      <c r="B627" s="105"/>
      <c r="C627" s="107" t="s">
        <v>454</v>
      </c>
      <c r="D627" s="107" t="s">
        <v>250</v>
      </c>
      <c r="E627" s="120" t="s">
        <v>250</v>
      </c>
      <c r="F627" s="120" t="s">
        <v>250</v>
      </c>
      <c r="G627" s="120" t="s">
        <v>250</v>
      </c>
      <c r="H627" s="120" t="s">
        <v>250</v>
      </c>
      <c r="I627" s="120" t="s">
        <v>250</v>
      </c>
      <c r="J627" s="120" t="s">
        <v>250</v>
      </c>
      <c r="K627" s="120" t="s">
        <v>250</v>
      </c>
      <c r="L627" s="120" t="s">
        <v>250</v>
      </c>
      <c r="M627" s="120" t="s">
        <v>250</v>
      </c>
      <c r="N627" s="120" t="s">
        <v>250</v>
      </c>
      <c r="O627" s="120" t="s">
        <v>250</v>
      </c>
      <c r="P627" s="120" t="s">
        <v>250</v>
      </c>
      <c r="Q627" s="120" t="s">
        <v>250</v>
      </c>
      <c r="R627" s="120"/>
      <c r="S627" s="121"/>
    </row>
    <row r="628" spans="1:19" ht="15">
      <c r="A628" s="105">
        <v>14</v>
      </c>
      <c r="B628" s="105"/>
      <c r="C628" s="107" t="s">
        <v>455</v>
      </c>
      <c r="D628" s="107" t="s">
        <v>456</v>
      </c>
      <c r="E628" s="120">
        <v>27459668.592864942</v>
      </c>
      <c r="F628" s="120" t="s">
        <v>250</v>
      </c>
      <c r="G628" s="120">
        <v>26250544.277873758</v>
      </c>
      <c r="H628" s="120" t="s">
        <v>250</v>
      </c>
      <c r="I628" s="120">
        <v>1209124.3149911831</v>
      </c>
      <c r="J628" s="120">
        <v>0</v>
      </c>
      <c r="K628" s="120" t="s">
        <v>250</v>
      </c>
      <c r="L628" s="120" t="s">
        <v>250</v>
      </c>
      <c r="M628" s="120">
        <v>0</v>
      </c>
      <c r="N628" s="120" t="s">
        <v>250</v>
      </c>
      <c r="O628" s="120">
        <v>0</v>
      </c>
      <c r="P628" s="120">
        <v>0</v>
      </c>
      <c r="Q628" s="120">
        <v>0</v>
      </c>
      <c r="R628" s="120"/>
      <c r="S628" s="121"/>
    </row>
    <row r="629" spans="1:19" ht="15">
      <c r="A629" s="105">
        <v>15</v>
      </c>
      <c r="B629" s="105"/>
      <c r="C629" s="107" t="s">
        <v>457</v>
      </c>
      <c r="D629" s="107" t="s">
        <v>458</v>
      </c>
      <c r="E629" s="120">
        <v>1672683.0235520001</v>
      </c>
      <c r="F629" s="120" t="s">
        <v>250</v>
      </c>
      <c r="G629" s="120">
        <v>167213.33699792175</v>
      </c>
      <c r="H629" s="120" t="s">
        <v>250</v>
      </c>
      <c r="I629" s="120">
        <v>1505469.6865540782</v>
      </c>
      <c r="J629" s="120">
        <v>0</v>
      </c>
      <c r="K629" s="120" t="s">
        <v>250</v>
      </c>
      <c r="L629" s="120" t="s">
        <v>250</v>
      </c>
      <c r="M629" s="120">
        <v>0</v>
      </c>
      <c r="N629" s="120" t="s">
        <v>250</v>
      </c>
      <c r="O629" s="120">
        <v>0</v>
      </c>
      <c r="P629" s="120">
        <v>0</v>
      </c>
      <c r="Q629" s="120">
        <v>0</v>
      </c>
      <c r="R629" s="120"/>
      <c r="S629" s="121"/>
    </row>
    <row r="630" spans="1:19" ht="15">
      <c r="A630" s="105">
        <v>17</v>
      </c>
      <c r="B630" s="105"/>
      <c r="C630" s="107" t="s">
        <v>459</v>
      </c>
      <c r="D630" s="107" t="s">
        <v>311</v>
      </c>
      <c r="E630" s="120">
        <v>29641.333333333336</v>
      </c>
      <c r="F630" s="120" t="s">
        <v>250</v>
      </c>
      <c r="G630" s="120">
        <v>0</v>
      </c>
      <c r="H630" s="120" t="s">
        <v>250</v>
      </c>
      <c r="I630" s="120">
        <v>20348.627102097955</v>
      </c>
      <c r="J630" s="120">
        <v>9292.706231235381</v>
      </c>
      <c r="K630" s="120" t="s">
        <v>250</v>
      </c>
      <c r="L630" s="120" t="s">
        <v>250</v>
      </c>
      <c r="M630" s="120">
        <v>0</v>
      </c>
      <c r="N630" s="120" t="s">
        <v>250</v>
      </c>
      <c r="O630" s="120">
        <v>9292.706231235381</v>
      </c>
      <c r="P630" s="120">
        <v>4713.7805836449261</v>
      </c>
      <c r="Q630" s="120">
        <v>4578.925647590454</v>
      </c>
      <c r="R630" s="120"/>
      <c r="S630" s="121"/>
    </row>
    <row r="631" spans="1:19" ht="15">
      <c r="A631" s="105">
        <v>18</v>
      </c>
      <c r="B631" s="105"/>
      <c r="C631" s="107" t="s">
        <v>460</v>
      </c>
      <c r="D631" s="107" t="s">
        <v>313</v>
      </c>
      <c r="E631" s="120">
        <v>7035.5</v>
      </c>
      <c r="F631" s="120" t="s">
        <v>250</v>
      </c>
      <c r="G631" s="120">
        <v>0</v>
      </c>
      <c r="H631" s="120" t="s">
        <v>250</v>
      </c>
      <c r="I631" s="120">
        <v>0</v>
      </c>
      <c r="J631" s="120">
        <v>7035.5</v>
      </c>
      <c r="K631" s="120" t="s">
        <v>250</v>
      </c>
      <c r="L631" s="120" t="s">
        <v>250</v>
      </c>
      <c r="M631" s="120">
        <v>0</v>
      </c>
      <c r="N631" s="120" t="s">
        <v>250</v>
      </c>
      <c r="O631" s="120">
        <v>7035.5</v>
      </c>
      <c r="P631" s="120">
        <v>3568.7992788108454</v>
      </c>
      <c r="Q631" s="120">
        <v>3466.7007211891546</v>
      </c>
      <c r="R631" s="120"/>
      <c r="S631" s="121"/>
    </row>
    <row r="632" spans="1:19" ht="15">
      <c r="A632" s="105">
        <v>19</v>
      </c>
      <c r="B632" s="105"/>
      <c r="C632" s="107" t="s">
        <v>461</v>
      </c>
      <c r="D632" s="107" t="s">
        <v>250</v>
      </c>
      <c r="E632" s="120">
        <v>29169028.449750278</v>
      </c>
      <c r="F632" s="120" t="s">
        <v>250</v>
      </c>
      <c r="G632" s="120">
        <v>26417757.614871681</v>
      </c>
      <c r="H632" s="120" t="s">
        <v>250</v>
      </c>
      <c r="I632" s="120">
        <v>2734942.6286473596</v>
      </c>
      <c r="J632" s="120">
        <v>16328.206231235381</v>
      </c>
      <c r="K632" s="120" t="s">
        <v>250</v>
      </c>
      <c r="L632" s="120" t="s">
        <v>250</v>
      </c>
      <c r="M632" s="120">
        <v>0</v>
      </c>
      <c r="N632" s="120" t="s">
        <v>250</v>
      </c>
      <c r="O632" s="120">
        <v>16328.206231235381</v>
      </c>
      <c r="P632" s="120">
        <v>8282.5798624557719</v>
      </c>
      <c r="Q632" s="120">
        <v>8045.626368779609</v>
      </c>
      <c r="R632" s="120"/>
      <c r="S632" s="121"/>
    </row>
    <row r="633" spans="1:19" ht="15">
      <c r="A633" s="105" t="s">
        <v>250</v>
      </c>
      <c r="B633" s="105"/>
      <c r="C633" s="107" t="s">
        <v>250</v>
      </c>
      <c r="D633" s="107" t="s">
        <v>250</v>
      </c>
      <c r="E633" s="120" t="s">
        <v>250</v>
      </c>
      <c r="F633" s="120" t="s">
        <v>250</v>
      </c>
      <c r="G633" s="120" t="s">
        <v>250</v>
      </c>
      <c r="H633" s="120" t="s">
        <v>250</v>
      </c>
      <c r="I633" s="120" t="s">
        <v>250</v>
      </c>
      <c r="J633" s="120" t="s">
        <v>250</v>
      </c>
      <c r="K633" s="120" t="s">
        <v>250</v>
      </c>
      <c r="L633" s="120" t="s">
        <v>250</v>
      </c>
      <c r="M633" s="120" t="s">
        <v>250</v>
      </c>
      <c r="N633" s="120" t="s">
        <v>250</v>
      </c>
      <c r="O633" s="120" t="s">
        <v>250</v>
      </c>
      <c r="P633" s="120" t="s">
        <v>250</v>
      </c>
      <c r="Q633" s="120" t="s">
        <v>250</v>
      </c>
      <c r="R633" s="120"/>
      <c r="S633" s="121"/>
    </row>
    <row r="634" spans="1:19" ht="15">
      <c r="A634" s="105" t="s">
        <v>250</v>
      </c>
      <c r="B634" s="105"/>
      <c r="C634" s="107" t="s">
        <v>744</v>
      </c>
      <c r="D634" s="107" t="s">
        <v>250</v>
      </c>
      <c r="E634" s="120" t="s">
        <v>250</v>
      </c>
      <c r="F634" s="120" t="s">
        <v>250</v>
      </c>
      <c r="G634" s="120" t="s">
        <v>250</v>
      </c>
      <c r="H634" s="120" t="s">
        <v>250</v>
      </c>
      <c r="I634" s="120" t="s">
        <v>250</v>
      </c>
      <c r="J634" s="120" t="s">
        <v>250</v>
      </c>
      <c r="K634" s="120" t="s">
        <v>250</v>
      </c>
      <c r="L634" s="120" t="s">
        <v>250</v>
      </c>
      <c r="M634" s="120" t="s">
        <v>250</v>
      </c>
      <c r="N634" s="120" t="s">
        <v>250</v>
      </c>
      <c r="O634" s="120" t="s">
        <v>250</v>
      </c>
      <c r="P634" s="120" t="s">
        <v>250</v>
      </c>
      <c r="Q634" s="120" t="s">
        <v>250</v>
      </c>
      <c r="R634" s="120"/>
      <c r="S634" s="121"/>
    </row>
    <row r="635" spans="1:19" ht="15">
      <c r="A635" s="105">
        <v>20</v>
      </c>
      <c r="B635" s="105"/>
      <c r="C635" s="107" t="s">
        <v>745</v>
      </c>
      <c r="D635" s="107" t="s">
        <v>746</v>
      </c>
      <c r="E635" s="120">
        <v>37311865.708777741</v>
      </c>
      <c r="F635" s="120" t="s">
        <v>250</v>
      </c>
      <c r="G635" s="120">
        <v>37249012.56467098</v>
      </c>
      <c r="H635" s="120" t="s">
        <v>250</v>
      </c>
      <c r="I635" s="120">
        <v>0</v>
      </c>
      <c r="J635" s="120">
        <v>62853.144106763451</v>
      </c>
      <c r="K635" s="120" t="s">
        <v>250</v>
      </c>
      <c r="L635" s="120" t="s">
        <v>250</v>
      </c>
      <c r="M635" s="120">
        <v>0</v>
      </c>
      <c r="N635" s="120" t="s">
        <v>250</v>
      </c>
      <c r="O635" s="120">
        <v>62853.144106763451</v>
      </c>
      <c r="P635" s="120">
        <v>62374.825700418376</v>
      </c>
      <c r="Q635" s="120">
        <v>478.31840634507472</v>
      </c>
      <c r="R635" s="120"/>
      <c r="S635" s="121"/>
    </row>
    <row r="636" spans="1:19" ht="15">
      <c r="A636" s="105">
        <v>21</v>
      </c>
      <c r="B636" s="105"/>
      <c r="C636" s="107" t="s">
        <v>747</v>
      </c>
      <c r="D636" s="107" t="s">
        <v>748</v>
      </c>
      <c r="E636" s="120">
        <v>1798863.4043467992</v>
      </c>
      <c r="F636" s="120" t="s">
        <v>250</v>
      </c>
      <c r="G636" s="120">
        <v>0</v>
      </c>
      <c r="H636" s="120" t="s">
        <v>250</v>
      </c>
      <c r="I636" s="120">
        <v>1798863.4043467992</v>
      </c>
      <c r="J636" s="120">
        <v>0</v>
      </c>
      <c r="K636" s="120" t="s">
        <v>250</v>
      </c>
      <c r="L636" s="120" t="s">
        <v>250</v>
      </c>
      <c r="M636" s="120">
        <v>0</v>
      </c>
      <c r="N636" s="120" t="s">
        <v>250</v>
      </c>
      <c r="O636" s="120">
        <v>0</v>
      </c>
      <c r="P636" s="120">
        <v>0</v>
      </c>
      <c r="Q636" s="120">
        <v>0</v>
      </c>
      <c r="R636" s="120"/>
      <c r="S636" s="121"/>
    </row>
    <row r="637" spans="1:19" ht="15">
      <c r="A637" s="105">
        <v>22</v>
      </c>
      <c r="B637" s="105"/>
      <c r="C637" s="107" t="s">
        <v>749</v>
      </c>
      <c r="D637" s="107" t="s">
        <v>750</v>
      </c>
      <c r="E637" s="120">
        <v>1630.7642094779987</v>
      </c>
      <c r="F637" s="120" t="s">
        <v>250</v>
      </c>
      <c r="G637" s="120">
        <v>1630.7642094779987</v>
      </c>
      <c r="H637" s="120" t="s">
        <v>250</v>
      </c>
      <c r="I637" s="120">
        <v>0</v>
      </c>
      <c r="J637" s="120">
        <v>0</v>
      </c>
      <c r="K637" s="120" t="s">
        <v>250</v>
      </c>
      <c r="L637" s="120" t="s">
        <v>250</v>
      </c>
      <c r="M637" s="120">
        <v>0</v>
      </c>
      <c r="N637" s="120" t="s">
        <v>250</v>
      </c>
      <c r="O637" s="120">
        <v>0</v>
      </c>
      <c r="P637" s="120">
        <v>0</v>
      </c>
      <c r="Q637" s="120">
        <v>0</v>
      </c>
      <c r="R637" s="120"/>
      <c r="S637" s="121"/>
    </row>
    <row r="638" spans="1:19" ht="15">
      <c r="A638" s="105">
        <v>23</v>
      </c>
      <c r="B638" s="105"/>
      <c r="C638" s="107" t="s">
        <v>466</v>
      </c>
      <c r="D638" s="107" t="s">
        <v>250</v>
      </c>
      <c r="E638" s="120">
        <v>39112359.877334021</v>
      </c>
      <c r="F638" s="120" t="s">
        <v>250</v>
      </c>
      <c r="G638" s="120">
        <v>37250643.328880459</v>
      </c>
      <c r="H638" s="120" t="s">
        <v>250</v>
      </c>
      <c r="I638" s="120">
        <v>1798863.4043467992</v>
      </c>
      <c r="J638" s="120">
        <v>62853.144106763451</v>
      </c>
      <c r="K638" s="120" t="s">
        <v>250</v>
      </c>
      <c r="L638" s="120" t="s">
        <v>250</v>
      </c>
      <c r="M638" s="120">
        <v>0</v>
      </c>
      <c r="N638" s="120" t="s">
        <v>250</v>
      </c>
      <c r="O638" s="120">
        <v>62853.144106763451</v>
      </c>
      <c r="P638" s="120">
        <v>62374.825700418376</v>
      </c>
      <c r="Q638" s="120">
        <v>478.31840634507472</v>
      </c>
      <c r="R638" s="120"/>
      <c r="S638" s="121"/>
    </row>
    <row r="639" spans="1:19" ht="15">
      <c r="A639" s="105" t="s">
        <v>250</v>
      </c>
      <c r="B639" s="105"/>
      <c r="C639" s="107" t="s">
        <v>250</v>
      </c>
      <c r="D639" s="107" t="s">
        <v>250</v>
      </c>
      <c r="E639" s="120" t="s">
        <v>250</v>
      </c>
      <c r="F639" s="120" t="s">
        <v>250</v>
      </c>
      <c r="G639" s="120" t="s">
        <v>250</v>
      </c>
      <c r="H639" s="120" t="s">
        <v>250</v>
      </c>
      <c r="I639" s="120" t="s">
        <v>250</v>
      </c>
      <c r="J639" s="120" t="s">
        <v>250</v>
      </c>
      <c r="K639" s="120" t="s">
        <v>250</v>
      </c>
      <c r="L639" s="120" t="s">
        <v>250</v>
      </c>
      <c r="M639" s="120" t="s">
        <v>250</v>
      </c>
      <c r="N639" s="120" t="s">
        <v>250</v>
      </c>
      <c r="O639" s="120" t="s">
        <v>250</v>
      </c>
      <c r="P639" s="120" t="s">
        <v>250</v>
      </c>
      <c r="Q639" s="120" t="s">
        <v>250</v>
      </c>
      <c r="R639" s="120"/>
      <c r="S639" s="121"/>
    </row>
    <row r="640" spans="1:19" ht="15">
      <c r="A640" s="105">
        <v>24</v>
      </c>
      <c r="B640" s="105"/>
      <c r="C640" s="107" t="s">
        <v>416</v>
      </c>
      <c r="D640" s="107" t="s">
        <v>467</v>
      </c>
      <c r="E640" s="120">
        <v>13499285.883527804</v>
      </c>
      <c r="F640" s="120" t="s">
        <v>250</v>
      </c>
      <c r="G640" s="120">
        <v>12729736.471512735</v>
      </c>
      <c r="H640" s="120" t="s">
        <v>250</v>
      </c>
      <c r="I640" s="120">
        <v>615642.58796624234</v>
      </c>
      <c r="J640" s="120">
        <v>153906.82404882729</v>
      </c>
      <c r="K640" s="120" t="s">
        <v>250</v>
      </c>
      <c r="L640" s="120" t="s">
        <v>250</v>
      </c>
      <c r="M640" s="120">
        <v>0</v>
      </c>
      <c r="N640" s="120" t="s">
        <v>250</v>
      </c>
      <c r="O640" s="120">
        <v>153906.82404882729</v>
      </c>
      <c r="P640" s="120">
        <v>80304.919748007451</v>
      </c>
      <c r="Q640" s="120">
        <v>73601.904300819835</v>
      </c>
      <c r="R640" s="120"/>
      <c r="S640" s="121"/>
    </row>
    <row r="641" spans="1:19" ht="15">
      <c r="A641" s="105" t="s">
        <v>250</v>
      </c>
      <c r="B641" s="105"/>
      <c r="C641" s="107" t="s">
        <v>250</v>
      </c>
      <c r="D641" s="107" t="s">
        <v>250</v>
      </c>
      <c r="E641" s="120" t="s">
        <v>250</v>
      </c>
      <c r="F641" s="120" t="s">
        <v>250</v>
      </c>
      <c r="G641" s="120" t="s">
        <v>250</v>
      </c>
      <c r="H641" s="120" t="s">
        <v>250</v>
      </c>
      <c r="I641" s="120" t="s">
        <v>250</v>
      </c>
      <c r="J641" s="120" t="s">
        <v>250</v>
      </c>
      <c r="K641" s="120" t="s">
        <v>250</v>
      </c>
      <c r="L641" s="120" t="s">
        <v>250</v>
      </c>
      <c r="M641" s="120" t="s">
        <v>250</v>
      </c>
      <c r="N641" s="120" t="s">
        <v>250</v>
      </c>
      <c r="O641" s="120" t="s">
        <v>250</v>
      </c>
      <c r="P641" s="120" t="s">
        <v>250</v>
      </c>
      <c r="Q641" s="120" t="s">
        <v>250</v>
      </c>
      <c r="R641" s="120"/>
      <c r="S641" s="121"/>
    </row>
    <row r="642" spans="1:19" ht="15">
      <c r="A642" s="105">
        <v>25</v>
      </c>
      <c r="B642" s="105"/>
      <c r="C642" s="107" t="s">
        <v>470</v>
      </c>
      <c r="D642" s="107" t="s">
        <v>471</v>
      </c>
      <c r="E642" s="120">
        <v>17884439.156073999</v>
      </c>
      <c r="F642" s="120" t="s">
        <v>250</v>
      </c>
      <c r="G642" s="120">
        <v>16720528.990976337</v>
      </c>
      <c r="H642" s="120" t="s">
        <v>250</v>
      </c>
      <c r="I642" s="120">
        <v>912537.6998324052</v>
      </c>
      <c r="J642" s="120">
        <v>251372.46526525624</v>
      </c>
      <c r="K642" s="120" t="s">
        <v>250</v>
      </c>
      <c r="L642" s="120" t="s">
        <v>250</v>
      </c>
      <c r="M642" s="120">
        <v>0</v>
      </c>
      <c r="N642" s="120" t="s">
        <v>250</v>
      </c>
      <c r="O642" s="120">
        <v>251372.46526525624</v>
      </c>
      <c r="P642" s="120">
        <v>131420.92575862072</v>
      </c>
      <c r="Q642" s="120">
        <v>119951.53950663553</v>
      </c>
      <c r="R642" s="120"/>
      <c r="S642" s="121"/>
    </row>
    <row r="643" spans="1:19" ht="15">
      <c r="A643" s="105" t="s">
        <v>250</v>
      </c>
      <c r="B643" s="105"/>
      <c r="C643" s="107" t="s">
        <v>250</v>
      </c>
      <c r="D643" s="107" t="s">
        <v>250</v>
      </c>
      <c r="E643" s="120" t="s">
        <v>250</v>
      </c>
      <c r="F643" s="120" t="s">
        <v>250</v>
      </c>
      <c r="G643" s="120" t="s">
        <v>250</v>
      </c>
      <c r="H643" s="120" t="s">
        <v>250</v>
      </c>
      <c r="I643" s="120" t="s">
        <v>250</v>
      </c>
      <c r="J643" s="120" t="s">
        <v>250</v>
      </c>
      <c r="K643" s="120" t="s">
        <v>250</v>
      </c>
      <c r="L643" s="120" t="s">
        <v>250</v>
      </c>
      <c r="M643" s="120" t="s">
        <v>250</v>
      </c>
      <c r="N643" s="120" t="s">
        <v>250</v>
      </c>
      <c r="O643" s="120" t="s">
        <v>250</v>
      </c>
      <c r="P643" s="120" t="s">
        <v>250</v>
      </c>
      <c r="Q643" s="120" t="s">
        <v>250</v>
      </c>
      <c r="R643" s="120"/>
      <c r="S643" s="121"/>
    </row>
    <row r="644" spans="1:19" ht="15">
      <c r="A644" s="105">
        <v>26</v>
      </c>
      <c r="B644" s="105"/>
      <c r="C644" s="107" t="s">
        <v>468</v>
      </c>
      <c r="D644" s="107" t="s">
        <v>469</v>
      </c>
      <c r="E644" s="120">
        <v>2698.7286039999995</v>
      </c>
      <c r="F644" s="120" t="s">
        <v>250</v>
      </c>
      <c r="G644" s="120">
        <v>2698.7286039999995</v>
      </c>
      <c r="H644" s="120" t="s">
        <v>250</v>
      </c>
      <c r="I644" s="120">
        <v>0</v>
      </c>
      <c r="J644" s="120">
        <v>0</v>
      </c>
      <c r="K644" s="120" t="s">
        <v>250</v>
      </c>
      <c r="L644" s="120" t="s">
        <v>250</v>
      </c>
      <c r="M644" s="120">
        <v>0</v>
      </c>
      <c r="N644" s="120" t="s">
        <v>250</v>
      </c>
      <c r="O644" s="120">
        <v>0</v>
      </c>
      <c r="P644" s="120">
        <v>0</v>
      </c>
      <c r="Q644" s="120">
        <v>0</v>
      </c>
      <c r="R644" s="120"/>
      <c r="S644" s="121"/>
    </row>
    <row r="645" spans="1:19" ht="15">
      <c r="A645" s="105" t="s">
        <v>250</v>
      </c>
      <c r="B645" s="105"/>
      <c r="C645" s="107" t="s">
        <v>250</v>
      </c>
      <c r="D645" s="107" t="s">
        <v>250</v>
      </c>
      <c r="E645" s="120" t="s">
        <v>250</v>
      </c>
      <c r="F645" s="120" t="s">
        <v>250</v>
      </c>
      <c r="G645" s="120" t="s">
        <v>250</v>
      </c>
      <c r="H645" s="120" t="s">
        <v>250</v>
      </c>
      <c r="I645" s="120" t="s">
        <v>250</v>
      </c>
      <c r="J645" s="120" t="s">
        <v>250</v>
      </c>
      <c r="K645" s="120" t="s">
        <v>250</v>
      </c>
      <c r="L645" s="120" t="s">
        <v>250</v>
      </c>
      <c r="M645" s="120" t="s">
        <v>250</v>
      </c>
      <c r="N645" s="120" t="s">
        <v>250</v>
      </c>
      <c r="O645" s="120" t="s">
        <v>250</v>
      </c>
      <c r="P645" s="120" t="s">
        <v>250</v>
      </c>
      <c r="Q645" s="120" t="s">
        <v>250</v>
      </c>
      <c r="R645" s="120"/>
      <c r="S645" s="121"/>
    </row>
    <row r="646" spans="1:19" ht="15">
      <c r="A646" s="105">
        <v>27</v>
      </c>
      <c r="B646" s="105"/>
      <c r="C646" s="107" t="s">
        <v>751</v>
      </c>
      <c r="D646" s="107" t="s">
        <v>250</v>
      </c>
      <c r="E646" s="120">
        <v>338908014.67533129</v>
      </c>
      <c r="F646" s="120" t="s">
        <v>250</v>
      </c>
      <c r="G646" s="120">
        <v>317077866.15466666</v>
      </c>
      <c r="H646" s="120" t="s">
        <v>250</v>
      </c>
      <c r="I646" s="120">
        <v>16397231.812285803</v>
      </c>
      <c r="J646" s="120">
        <v>5432916.7083788645</v>
      </c>
      <c r="K646" s="120" t="s">
        <v>250</v>
      </c>
      <c r="L646" s="120" t="s">
        <v>250</v>
      </c>
      <c r="M646" s="120">
        <v>0</v>
      </c>
      <c r="N646" s="120" t="s">
        <v>250</v>
      </c>
      <c r="O646" s="120">
        <v>5432916.7083788645</v>
      </c>
      <c r="P646" s="120">
        <v>2792517.0651977519</v>
      </c>
      <c r="Q646" s="120">
        <v>2640399.6431811131</v>
      </c>
      <c r="R646" s="120"/>
      <c r="S646" s="121"/>
    </row>
    <row r="647" spans="1:19" ht="15">
      <c r="A647" s="105" t="s">
        <v>250</v>
      </c>
      <c r="B647" s="105"/>
      <c r="C647" s="107" t="s">
        <v>250</v>
      </c>
      <c r="D647" s="107" t="s">
        <v>250</v>
      </c>
      <c r="E647" s="120" t="s">
        <v>250</v>
      </c>
      <c r="F647" s="120" t="s">
        <v>250</v>
      </c>
      <c r="G647" s="120" t="s">
        <v>250</v>
      </c>
      <c r="H647" s="120" t="s">
        <v>250</v>
      </c>
      <c r="I647" s="120" t="s">
        <v>250</v>
      </c>
      <c r="J647" s="120" t="s">
        <v>250</v>
      </c>
      <c r="K647" s="120" t="s">
        <v>250</v>
      </c>
      <c r="L647" s="120" t="s">
        <v>250</v>
      </c>
      <c r="M647" s="120" t="s">
        <v>250</v>
      </c>
      <c r="N647" s="120" t="s">
        <v>250</v>
      </c>
      <c r="O647" s="120" t="s">
        <v>250</v>
      </c>
      <c r="P647" s="120" t="s">
        <v>250</v>
      </c>
      <c r="Q647" s="120" t="s">
        <v>250</v>
      </c>
      <c r="R647" s="120"/>
      <c r="S647" s="121"/>
    </row>
    <row r="648" spans="1:19" ht="15">
      <c r="A648" s="105" t="s">
        <v>250</v>
      </c>
      <c r="B648" s="105"/>
      <c r="C648" s="107" t="s">
        <v>250</v>
      </c>
      <c r="D648" s="107" t="s">
        <v>250</v>
      </c>
      <c r="E648" s="120" t="s">
        <v>250</v>
      </c>
      <c r="F648" s="120" t="s">
        <v>250</v>
      </c>
      <c r="G648" s="120" t="s">
        <v>250</v>
      </c>
      <c r="H648" s="120" t="s">
        <v>250</v>
      </c>
      <c r="I648" s="120" t="s">
        <v>250</v>
      </c>
      <c r="J648" s="120" t="s">
        <v>250</v>
      </c>
      <c r="K648" s="120" t="s">
        <v>250</v>
      </c>
      <c r="L648" s="120" t="s">
        <v>250</v>
      </c>
      <c r="M648" s="120" t="s">
        <v>250</v>
      </c>
      <c r="N648" s="120" t="s">
        <v>250</v>
      </c>
      <c r="O648" s="120" t="s">
        <v>250</v>
      </c>
      <c r="P648" s="120" t="s">
        <v>250</v>
      </c>
      <c r="Q648" s="120" t="s">
        <v>250</v>
      </c>
      <c r="R648" s="120"/>
      <c r="S648" s="121"/>
    </row>
    <row r="649" spans="1:19" ht="15">
      <c r="A649" s="105" t="s">
        <v>250</v>
      </c>
      <c r="B649" s="105"/>
      <c r="C649" s="107" t="s">
        <v>2231</v>
      </c>
      <c r="D649" s="107" t="s">
        <v>250</v>
      </c>
      <c r="E649" s="120" t="s">
        <v>250</v>
      </c>
      <c r="F649" s="120" t="s">
        <v>250</v>
      </c>
      <c r="G649" s="120" t="s">
        <v>250</v>
      </c>
      <c r="H649" s="120" t="s">
        <v>250</v>
      </c>
      <c r="I649" s="120" t="s">
        <v>250</v>
      </c>
      <c r="J649" s="120" t="s">
        <v>250</v>
      </c>
      <c r="K649" s="120" t="s">
        <v>250</v>
      </c>
      <c r="L649" s="120" t="s">
        <v>250</v>
      </c>
      <c r="M649" s="120" t="s">
        <v>250</v>
      </c>
      <c r="N649" s="120" t="s">
        <v>250</v>
      </c>
      <c r="O649" s="120" t="s">
        <v>250</v>
      </c>
      <c r="P649" s="120" t="s">
        <v>250</v>
      </c>
      <c r="Q649" s="120" t="s">
        <v>250</v>
      </c>
      <c r="R649" s="120"/>
      <c r="S649" s="121"/>
    </row>
    <row r="650" spans="1:19" ht="15">
      <c r="A650" s="105" t="s">
        <v>250</v>
      </c>
      <c r="B650" s="105"/>
      <c r="C650" s="107" t="s">
        <v>250</v>
      </c>
      <c r="D650" s="107" t="s">
        <v>250</v>
      </c>
      <c r="E650" s="120" t="s">
        <v>250</v>
      </c>
      <c r="F650" s="120" t="s">
        <v>250</v>
      </c>
      <c r="G650" s="120" t="s">
        <v>250</v>
      </c>
      <c r="H650" s="120" t="s">
        <v>250</v>
      </c>
      <c r="I650" s="120" t="s">
        <v>250</v>
      </c>
      <c r="J650" s="120" t="s">
        <v>250</v>
      </c>
      <c r="K650" s="120" t="s">
        <v>250</v>
      </c>
      <c r="L650" s="120" t="s">
        <v>250</v>
      </c>
      <c r="M650" s="120" t="s">
        <v>250</v>
      </c>
      <c r="N650" s="120" t="s">
        <v>250</v>
      </c>
      <c r="O650" s="120" t="s">
        <v>250</v>
      </c>
      <c r="P650" s="120" t="s">
        <v>250</v>
      </c>
      <c r="Q650" s="120" t="s">
        <v>250</v>
      </c>
      <c r="R650" s="120"/>
      <c r="S650" s="121"/>
    </row>
    <row r="651" spans="1:19" ht="15">
      <c r="A651" s="105" t="s">
        <v>250</v>
      </c>
      <c r="B651" s="105"/>
      <c r="C651" s="107" t="s">
        <v>2232</v>
      </c>
      <c r="D651" s="107" t="s">
        <v>250</v>
      </c>
      <c r="E651" s="120" t="s">
        <v>250</v>
      </c>
      <c r="F651" s="120" t="s">
        <v>250</v>
      </c>
      <c r="G651" s="120" t="s">
        <v>250</v>
      </c>
      <c r="H651" s="120" t="s">
        <v>250</v>
      </c>
      <c r="I651" s="120" t="s">
        <v>250</v>
      </c>
      <c r="J651" s="120" t="s">
        <v>250</v>
      </c>
      <c r="K651" s="120" t="s">
        <v>250</v>
      </c>
      <c r="L651" s="120" t="s">
        <v>250</v>
      </c>
      <c r="M651" s="120" t="s">
        <v>250</v>
      </c>
      <c r="N651" s="120" t="s">
        <v>250</v>
      </c>
      <c r="O651" s="120" t="s">
        <v>250</v>
      </c>
      <c r="P651" s="120" t="s">
        <v>250</v>
      </c>
      <c r="Q651" s="120" t="s">
        <v>250</v>
      </c>
      <c r="R651" s="120"/>
      <c r="S651" s="121"/>
    </row>
    <row r="652" spans="1:19" ht="15">
      <c r="A652" s="105" t="s">
        <v>250</v>
      </c>
      <c r="B652" s="105"/>
      <c r="C652" s="107" t="s">
        <v>250</v>
      </c>
      <c r="D652" s="107" t="s">
        <v>250</v>
      </c>
      <c r="E652" s="120" t="s">
        <v>250</v>
      </c>
      <c r="F652" s="120" t="s">
        <v>250</v>
      </c>
      <c r="G652" s="120" t="s">
        <v>250</v>
      </c>
      <c r="H652" s="120" t="s">
        <v>250</v>
      </c>
      <c r="I652" s="120" t="s">
        <v>250</v>
      </c>
      <c r="J652" s="120" t="s">
        <v>250</v>
      </c>
      <c r="K652" s="120" t="s">
        <v>250</v>
      </c>
      <c r="L652" s="120" t="s">
        <v>250</v>
      </c>
      <c r="M652" s="120" t="s">
        <v>250</v>
      </c>
      <c r="N652" s="120" t="s">
        <v>250</v>
      </c>
      <c r="O652" s="120" t="s">
        <v>250</v>
      </c>
      <c r="P652" s="120" t="s">
        <v>250</v>
      </c>
      <c r="Q652" s="120" t="s">
        <v>250</v>
      </c>
      <c r="R652" s="120"/>
      <c r="S652" s="121"/>
    </row>
    <row r="653" spans="1:19" ht="15">
      <c r="A653" s="105" t="s">
        <v>250</v>
      </c>
      <c r="B653" s="105"/>
      <c r="C653" s="107" t="s">
        <v>440</v>
      </c>
      <c r="D653" s="107" t="s">
        <v>250</v>
      </c>
      <c r="E653" s="120" t="s">
        <v>250</v>
      </c>
      <c r="F653" s="120" t="s">
        <v>250</v>
      </c>
      <c r="G653" s="120" t="s">
        <v>250</v>
      </c>
      <c r="H653" s="120" t="s">
        <v>250</v>
      </c>
      <c r="I653" s="120" t="s">
        <v>250</v>
      </c>
      <c r="J653" s="120" t="s">
        <v>250</v>
      </c>
      <c r="K653" s="120" t="s">
        <v>250</v>
      </c>
      <c r="L653" s="120" t="s">
        <v>250</v>
      </c>
      <c r="M653" s="120" t="s">
        <v>250</v>
      </c>
      <c r="N653" s="120" t="s">
        <v>250</v>
      </c>
      <c r="O653" s="120" t="s">
        <v>250</v>
      </c>
      <c r="P653" s="120" t="s">
        <v>250</v>
      </c>
      <c r="Q653" s="120" t="s">
        <v>250</v>
      </c>
      <c r="R653" s="120"/>
      <c r="S653" s="121"/>
    </row>
    <row r="654" spans="1:19" ht="15">
      <c r="A654" s="105">
        <v>1</v>
      </c>
      <c r="B654" s="105"/>
      <c r="C654" s="107" t="s">
        <v>441</v>
      </c>
      <c r="D654" s="107" t="s">
        <v>732</v>
      </c>
      <c r="E654" s="120">
        <v>12336694.960949101</v>
      </c>
      <c r="F654" s="120" t="s">
        <v>250</v>
      </c>
      <c r="G654" s="120">
        <v>11601860.7409491</v>
      </c>
      <c r="H654" s="120" t="s">
        <v>250</v>
      </c>
      <c r="I654" s="120">
        <v>734834.22</v>
      </c>
      <c r="J654" s="120">
        <v>0</v>
      </c>
      <c r="K654" s="120" t="s">
        <v>250</v>
      </c>
      <c r="L654" s="120" t="s">
        <v>250</v>
      </c>
      <c r="M654" s="120">
        <v>0</v>
      </c>
      <c r="N654" s="120" t="s">
        <v>250</v>
      </c>
      <c r="O654" s="120">
        <v>0</v>
      </c>
      <c r="P654" s="120">
        <v>0</v>
      </c>
      <c r="Q654" s="120">
        <v>0</v>
      </c>
      <c r="R654" s="120"/>
      <c r="S654" s="121"/>
    </row>
    <row r="655" spans="1:19" ht="15">
      <c r="A655" s="105">
        <v>2</v>
      </c>
      <c r="B655" s="105"/>
      <c r="C655" s="107" t="s">
        <v>447</v>
      </c>
      <c r="D655" s="107" t="s">
        <v>448</v>
      </c>
      <c r="E655" s="120">
        <v>0</v>
      </c>
      <c r="F655" s="120" t="s">
        <v>250</v>
      </c>
      <c r="G655" s="120">
        <v>0</v>
      </c>
      <c r="H655" s="120" t="s">
        <v>250</v>
      </c>
      <c r="I655" s="120">
        <v>0</v>
      </c>
      <c r="J655" s="120">
        <v>0</v>
      </c>
      <c r="K655" s="120" t="s">
        <v>250</v>
      </c>
      <c r="L655" s="120" t="s">
        <v>250</v>
      </c>
      <c r="M655" s="120">
        <v>0</v>
      </c>
      <c r="N655" s="120" t="s">
        <v>250</v>
      </c>
      <c r="O655" s="120">
        <v>0</v>
      </c>
      <c r="P655" s="120">
        <v>0</v>
      </c>
      <c r="Q655" s="120">
        <v>0</v>
      </c>
      <c r="R655" s="120"/>
      <c r="S655" s="121"/>
    </row>
    <row r="656" spans="1:19" ht="15">
      <c r="A656" s="105">
        <v>3</v>
      </c>
      <c r="B656" s="105"/>
      <c r="C656" s="107" t="s">
        <v>450</v>
      </c>
      <c r="D656" s="107" t="s">
        <v>451</v>
      </c>
      <c r="E656" s="120">
        <v>0</v>
      </c>
      <c r="F656" s="120" t="s">
        <v>250</v>
      </c>
      <c r="G656" s="120">
        <v>0</v>
      </c>
      <c r="H656" s="120" t="s">
        <v>250</v>
      </c>
      <c r="I656" s="120">
        <v>0</v>
      </c>
      <c r="J656" s="120">
        <v>0</v>
      </c>
      <c r="K656" s="120" t="s">
        <v>250</v>
      </c>
      <c r="L656" s="120" t="s">
        <v>250</v>
      </c>
      <c r="M656" s="120">
        <v>0</v>
      </c>
      <c r="N656" s="120" t="s">
        <v>250</v>
      </c>
      <c r="O656" s="120">
        <v>0</v>
      </c>
      <c r="P656" s="120">
        <v>0</v>
      </c>
      <c r="Q656" s="120">
        <v>0</v>
      </c>
      <c r="R656" s="120"/>
      <c r="S656" s="121"/>
    </row>
    <row r="657" spans="1:19" ht="15">
      <c r="A657" s="105" t="s">
        <v>250</v>
      </c>
      <c r="B657" s="105"/>
      <c r="C657" s="107" t="s">
        <v>250</v>
      </c>
      <c r="D657" s="107" t="s">
        <v>250</v>
      </c>
      <c r="E657" s="120" t="s">
        <v>250</v>
      </c>
      <c r="F657" s="120" t="s">
        <v>250</v>
      </c>
      <c r="G657" s="120" t="s">
        <v>250</v>
      </c>
      <c r="H657" s="120" t="s">
        <v>250</v>
      </c>
      <c r="I657" s="120" t="s">
        <v>250</v>
      </c>
      <c r="J657" s="120" t="s">
        <v>250</v>
      </c>
      <c r="K657" s="120" t="s">
        <v>250</v>
      </c>
      <c r="L657" s="120" t="s">
        <v>250</v>
      </c>
      <c r="M657" s="120" t="s">
        <v>250</v>
      </c>
      <c r="N657" s="120" t="s">
        <v>250</v>
      </c>
      <c r="O657" s="120" t="s">
        <v>250</v>
      </c>
      <c r="P657" s="120" t="s">
        <v>250</v>
      </c>
      <c r="Q657" s="120" t="s">
        <v>250</v>
      </c>
      <c r="R657" s="120"/>
      <c r="S657" s="121"/>
    </row>
    <row r="658" spans="1:19" ht="15">
      <c r="A658" s="105">
        <v>4</v>
      </c>
      <c r="B658" s="105"/>
      <c r="C658" s="107" t="s">
        <v>453</v>
      </c>
      <c r="D658" s="107" t="s">
        <v>250</v>
      </c>
      <c r="E658" s="120">
        <v>12336694.960949101</v>
      </c>
      <c r="F658" s="120" t="s">
        <v>250</v>
      </c>
      <c r="G658" s="120">
        <v>11601860.7409491</v>
      </c>
      <c r="H658" s="120" t="s">
        <v>250</v>
      </c>
      <c r="I658" s="120">
        <v>734834.22</v>
      </c>
      <c r="J658" s="120">
        <v>0</v>
      </c>
      <c r="K658" s="120" t="s">
        <v>250</v>
      </c>
      <c r="L658" s="120" t="s">
        <v>250</v>
      </c>
      <c r="M658" s="120">
        <v>0</v>
      </c>
      <c r="N658" s="120" t="s">
        <v>250</v>
      </c>
      <c r="O658" s="120">
        <v>0</v>
      </c>
      <c r="P658" s="120">
        <v>0</v>
      </c>
      <c r="Q658" s="120">
        <v>0</v>
      </c>
      <c r="R658" s="120"/>
      <c r="S658" s="121"/>
    </row>
    <row r="659" spans="1:19" ht="15">
      <c r="A659" s="105" t="s">
        <v>250</v>
      </c>
      <c r="B659" s="105"/>
      <c r="C659" s="107" t="s">
        <v>250</v>
      </c>
      <c r="D659" s="107" t="s">
        <v>250</v>
      </c>
      <c r="E659" s="120" t="s">
        <v>250</v>
      </c>
      <c r="F659" s="120" t="s">
        <v>250</v>
      </c>
      <c r="G659" s="120" t="s">
        <v>250</v>
      </c>
      <c r="H659" s="120" t="s">
        <v>250</v>
      </c>
      <c r="I659" s="120" t="s">
        <v>250</v>
      </c>
      <c r="J659" s="120" t="s">
        <v>250</v>
      </c>
      <c r="K659" s="120" t="s">
        <v>250</v>
      </c>
      <c r="L659" s="120" t="s">
        <v>250</v>
      </c>
      <c r="M659" s="120" t="s">
        <v>250</v>
      </c>
      <c r="N659" s="120" t="s">
        <v>250</v>
      </c>
      <c r="O659" s="120" t="s">
        <v>250</v>
      </c>
      <c r="P659" s="120" t="s">
        <v>250</v>
      </c>
      <c r="Q659" s="120" t="s">
        <v>250</v>
      </c>
      <c r="R659" s="120"/>
      <c r="S659" s="121"/>
    </row>
    <row r="660" spans="1:19" ht="15">
      <c r="A660" s="105" t="s">
        <v>250</v>
      </c>
      <c r="B660" s="105"/>
      <c r="C660" s="107" t="s">
        <v>454</v>
      </c>
      <c r="D660" s="107" t="s">
        <v>250</v>
      </c>
      <c r="E660" s="120" t="s">
        <v>250</v>
      </c>
      <c r="F660" s="120" t="s">
        <v>250</v>
      </c>
      <c r="G660" s="120" t="s">
        <v>250</v>
      </c>
      <c r="H660" s="120" t="s">
        <v>250</v>
      </c>
      <c r="I660" s="120" t="s">
        <v>250</v>
      </c>
      <c r="J660" s="120" t="s">
        <v>250</v>
      </c>
      <c r="K660" s="120" t="s">
        <v>250</v>
      </c>
      <c r="L660" s="120" t="s">
        <v>250</v>
      </c>
      <c r="M660" s="120" t="s">
        <v>250</v>
      </c>
      <c r="N660" s="120" t="s">
        <v>250</v>
      </c>
      <c r="O660" s="120" t="s">
        <v>250</v>
      </c>
      <c r="P660" s="120" t="s">
        <v>250</v>
      </c>
      <c r="Q660" s="120" t="s">
        <v>250</v>
      </c>
      <c r="R660" s="120"/>
      <c r="S660" s="121"/>
    </row>
    <row r="661" spans="1:19" ht="15">
      <c r="A661" s="105">
        <v>5</v>
      </c>
      <c r="B661" s="105"/>
      <c r="C661" s="107" t="s">
        <v>455</v>
      </c>
      <c r="D661" s="107" t="s">
        <v>456</v>
      </c>
      <c r="E661" s="120">
        <v>0</v>
      </c>
      <c r="F661" s="120" t="s">
        <v>250</v>
      </c>
      <c r="G661" s="120">
        <v>0</v>
      </c>
      <c r="H661" s="120" t="s">
        <v>250</v>
      </c>
      <c r="I661" s="120">
        <v>0</v>
      </c>
      <c r="J661" s="120">
        <v>0</v>
      </c>
      <c r="K661" s="120" t="s">
        <v>250</v>
      </c>
      <c r="L661" s="120" t="s">
        <v>250</v>
      </c>
      <c r="M661" s="120">
        <v>0</v>
      </c>
      <c r="N661" s="120" t="s">
        <v>250</v>
      </c>
      <c r="O661" s="120">
        <v>0</v>
      </c>
      <c r="P661" s="120">
        <v>0</v>
      </c>
      <c r="Q661" s="120">
        <v>0</v>
      </c>
      <c r="R661" s="120"/>
      <c r="S661" s="121"/>
    </row>
    <row r="662" spans="1:19" ht="15">
      <c r="A662" s="105">
        <v>6</v>
      </c>
      <c r="B662" s="105"/>
      <c r="C662" s="107" t="s">
        <v>457</v>
      </c>
      <c r="D662" s="107" t="s">
        <v>458</v>
      </c>
      <c r="E662" s="120">
        <v>0</v>
      </c>
      <c r="F662" s="120" t="s">
        <v>250</v>
      </c>
      <c r="G662" s="120">
        <v>0</v>
      </c>
      <c r="H662" s="120" t="s">
        <v>250</v>
      </c>
      <c r="I662" s="120">
        <v>0</v>
      </c>
      <c r="J662" s="120">
        <v>0</v>
      </c>
      <c r="K662" s="120" t="s">
        <v>250</v>
      </c>
      <c r="L662" s="120" t="s">
        <v>250</v>
      </c>
      <c r="M662" s="120">
        <v>0</v>
      </c>
      <c r="N662" s="120" t="s">
        <v>250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 t="s">
        <v>250</v>
      </c>
      <c r="B663" s="105"/>
      <c r="C663" s="107" t="s">
        <v>250</v>
      </c>
      <c r="D663" s="107" t="s">
        <v>250</v>
      </c>
      <c r="E663" s="120" t="s">
        <v>250</v>
      </c>
      <c r="F663" s="120" t="s">
        <v>250</v>
      </c>
      <c r="G663" s="120" t="s">
        <v>250</v>
      </c>
      <c r="H663" s="120" t="s">
        <v>250</v>
      </c>
      <c r="I663" s="120" t="s">
        <v>250</v>
      </c>
      <c r="J663" s="120" t="s">
        <v>250</v>
      </c>
      <c r="K663" s="120" t="s">
        <v>250</v>
      </c>
      <c r="L663" s="120" t="s">
        <v>250</v>
      </c>
      <c r="M663" s="120" t="s">
        <v>250</v>
      </c>
      <c r="N663" s="120" t="s">
        <v>250</v>
      </c>
      <c r="O663" s="120" t="s">
        <v>250</v>
      </c>
      <c r="P663" s="120" t="s">
        <v>250</v>
      </c>
      <c r="Q663" s="120" t="s">
        <v>250</v>
      </c>
      <c r="R663" s="120"/>
      <c r="S663" s="121"/>
    </row>
    <row r="664" spans="1:19" ht="15">
      <c r="A664" s="105">
        <v>7</v>
      </c>
      <c r="B664" s="105"/>
      <c r="C664" s="107" t="s">
        <v>461</v>
      </c>
      <c r="D664" s="107" t="s">
        <v>250</v>
      </c>
      <c r="E664" s="120">
        <v>0</v>
      </c>
      <c r="F664" s="120" t="s">
        <v>250</v>
      </c>
      <c r="G664" s="120">
        <v>0</v>
      </c>
      <c r="H664" s="120" t="s">
        <v>250</v>
      </c>
      <c r="I664" s="120">
        <v>0</v>
      </c>
      <c r="J664" s="120">
        <v>0</v>
      </c>
      <c r="K664" s="120" t="s">
        <v>250</v>
      </c>
      <c r="L664" s="120" t="s">
        <v>250</v>
      </c>
      <c r="M664" s="120">
        <v>0</v>
      </c>
      <c r="N664" s="120" t="s">
        <v>250</v>
      </c>
      <c r="O664" s="120">
        <v>0</v>
      </c>
      <c r="P664" s="120">
        <v>0</v>
      </c>
      <c r="Q664" s="120">
        <v>0</v>
      </c>
      <c r="R664" s="120"/>
      <c r="S664" s="121"/>
    </row>
    <row r="665" spans="1:19" ht="15">
      <c r="A665" s="105" t="s">
        <v>250</v>
      </c>
      <c r="B665" s="105"/>
      <c r="C665" s="107" t="s">
        <v>250</v>
      </c>
      <c r="D665" s="107" t="s">
        <v>250</v>
      </c>
      <c r="E665" s="120" t="s">
        <v>250</v>
      </c>
      <c r="F665" s="120" t="s">
        <v>250</v>
      </c>
      <c r="G665" s="120" t="s">
        <v>250</v>
      </c>
      <c r="H665" s="120" t="s">
        <v>250</v>
      </c>
      <c r="I665" s="120" t="s">
        <v>250</v>
      </c>
      <c r="J665" s="120" t="s">
        <v>250</v>
      </c>
      <c r="K665" s="120" t="s">
        <v>250</v>
      </c>
      <c r="L665" s="120" t="s">
        <v>250</v>
      </c>
      <c r="M665" s="120" t="s">
        <v>250</v>
      </c>
      <c r="N665" s="120" t="s">
        <v>250</v>
      </c>
      <c r="O665" s="120" t="s">
        <v>250</v>
      </c>
      <c r="P665" s="120" t="s">
        <v>250</v>
      </c>
      <c r="Q665" s="120" t="s">
        <v>250</v>
      </c>
      <c r="R665" s="120"/>
      <c r="S665" s="121"/>
    </row>
    <row r="666" spans="1:19" ht="15">
      <c r="A666" s="105" t="s">
        <v>250</v>
      </c>
      <c r="B666" s="105"/>
      <c r="C666" s="107" t="s">
        <v>744</v>
      </c>
      <c r="D666" s="107" t="s">
        <v>250</v>
      </c>
      <c r="E666" s="120" t="s">
        <v>250</v>
      </c>
      <c r="F666" s="120" t="s">
        <v>250</v>
      </c>
      <c r="G666" s="120" t="s">
        <v>250</v>
      </c>
      <c r="H666" s="120" t="s">
        <v>250</v>
      </c>
      <c r="I666" s="120" t="s">
        <v>250</v>
      </c>
      <c r="J666" s="120" t="s">
        <v>250</v>
      </c>
      <c r="K666" s="120" t="s">
        <v>250</v>
      </c>
      <c r="L666" s="120" t="s">
        <v>250</v>
      </c>
      <c r="M666" s="120" t="s">
        <v>250</v>
      </c>
      <c r="N666" s="120" t="s">
        <v>250</v>
      </c>
      <c r="O666" s="120" t="s">
        <v>250</v>
      </c>
      <c r="P666" s="120" t="s">
        <v>250</v>
      </c>
      <c r="Q666" s="120" t="s">
        <v>250</v>
      </c>
      <c r="R666" s="120"/>
      <c r="S666" s="121"/>
    </row>
    <row r="667" spans="1:19" ht="15">
      <c r="A667" s="105">
        <v>8</v>
      </c>
      <c r="B667" s="105"/>
      <c r="C667" s="107" t="s">
        <v>752</v>
      </c>
      <c r="D667" s="107" t="s">
        <v>746</v>
      </c>
      <c r="E667" s="120">
        <v>0</v>
      </c>
      <c r="F667" s="120" t="s">
        <v>250</v>
      </c>
      <c r="G667" s="120">
        <v>0</v>
      </c>
      <c r="H667" s="120" t="s">
        <v>250</v>
      </c>
      <c r="I667" s="120">
        <v>0</v>
      </c>
      <c r="J667" s="120">
        <v>0</v>
      </c>
      <c r="K667" s="120" t="s">
        <v>250</v>
      </c>
      <c r="L667" s="120" t="s">
        <v>250</v>
      </c>
      <c r="M667" s="120">
        <v>0</v>
      </c>
      <c r="N667" s="120" t="s">
        <v>250</v>
      </c>
      <c r="O667" s="120">
        <v>0</v>
      </c>
      <c r="P667" s="120">
        <v>0</v>
      </c>
      <c r="Q667" s="120">
        <v>0</v>
      </c>
      <c r="R667" s="120"/>
      <c r="S667" s="121"/>
    </row>
    <row r="668" spans="1:19" ht="15">
      <c r="A668" s="105">
        <v>9</v>
      </c>
      <c r="B668" s="105"/>
      <c r="C668" s="107" t="s">
        <v>753</v>
      </c>
      <c r="D668" s="107" t="s">
        <v>748</v>
      </c>
      <c r="E668" s="120">
        <v>0</v>
      </c>
      <c r="F668" s="120" t="s">
        <v>250</v>
      </c>
      <c r="G668" s="120">
        <v>0</v>
      </c>
      <c r="H668" s="120" t="s">
        <v>250</v>
      </c>
      <c r="I668" s="120">
        <v>0</v>
      </c>
      <c r="J668" s="120">
        <v>0</v>
      </c>
      <c r="K668" s="120" t="s">
        <v>250</v>
      </c>
      <c r="L668" s="120" t="s">
        <v>250</v>
      </c>
      <c r="M668" s="120">
        <v>0</v>
      </c>
      <c r="N668" s="120" t="s">
        <v>250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 t="s">
        <v>250</v>
      </c>
      <c r="B669" s="105"/>
      <c r="C669" s="107" t="s">
        <v>250</v>
      </c>
      <c r="D669" s="107" t="s">
        <v>250</v>
      </c>
      <c r="E669" s="120" t="s">
        <v>250</v>
      </c>
      <c r="F669" s="120" t="s">
        <v>250</v>
      </c>
      <c r="G669" s="120" t="s">
        <v>250</v>
      </c>
      <c r="H669" s="120" t="s">
        <v>250</v>
      </c>
      <c r="I669" s="120" t="s">
        <v>250</v>
      </c>
      <c r="J669" s="120" t="s">
        <v>250</v>
      </c>
      <c r="K669" s="120" t="s">
        <v>250</v>
      </c>
      <c r="L669" s="120" t="s">
        <v>250</v>
      </c>
      <c r="M669" s="120" t="s">
        <v>250</v>
      </c>
      <c r="N669" s="120" t="s">
        <v>250</v>
      </c>
      <c r="O669" s="120" t="s">
        <v>250</v>
      </c>
      <c r="P669" s="120" t="s">
        <v>250</v>
      </c>
      <c r="Q669" s="120" t="s">
        <v>250</v>
      </c>
      <c r="R669" s="120"/>
      <c r="S669" s="121"/>
    </row>
    <row r="670" spans="1:19" ht="15">
      <c r="A670" s="105">
        <v>10</v>
      </c>
      <c r="B670" s="105"/>
      <c r="C670" s="107" t="s">
        <v>466</v>
      </c>
      <c r="D670" s="107" t="s">
        <v>250</v>
      </c>
      <c r="E670" s="120">
        <v>0</v>
      </c>
      <c r="F670" s="120" t="s">
        <v>250</v>
      </c>
      <c r="G670" s="120">
        <v>0</v>
      </c>
      <c r="H670" s="120" t="s">
        <v>250</v>
      </c>
      <c r="I670" s="120">
        <v>0</v>
      </c>
      <c r="J670" s="120">
        <v>0</v>
      </c>
      <c r="K670" s="120" t="s">
        <v>250</v>
      </c>
      <c r="L670" s="120" t="s">
        <v>250</v>
      </c>
      <c r="M670" s="120">
        <v>0</v>
      </c>
      <c r="N670" s="120" t="s">
        <v>250</v>
      </c>
      <c r="O670" s="120">
        <v>0</v>
      </c>
      <c r="P670" s="120">
        <v>0</v>
      </c>
      <c r="Q670" s="120">
        <v>0</v>
      </c>
      <c r="R670" s="120"/>
      <c r="S670" s="121"/>
    </row>
    <row r="671" spans="1:19" ht="15">
      <c r="A671" s="105" t="s">
        <v>250</v>
      </c>
      <c r="B671" s="105"/>
      <c r="C671" s="107" t="s">
        <v>250</v>
      </c>
      <c r="D671" s="107" t="s">
        <v>250</v>
      </c>
      <c r="E671" s="120" t="s">
        <v>250</v>
      </c>
      <c r="F671" s="120" t="s">
        <v>250</v>
      </c>
      <c r="G671" s="120" t="s">
        <v>250</v>
      </c>
      <c r="H671" s="120" t="s">
        <v>250</v>
      </c>
      <c r="I671" s="120" t="s">
        <v>250</v>
      </c>
      <c r="J671" s="120" t="s">
        <v>250</v>
      </c>
      <c r="K671" s="120" t="s">
        <v>250</v>
      </c>
      <c r="L671" s="120" t="s">
        <v>250</v>
      </c>
      <c r="M671" s="120" t="s">
        <v>250</v>
      </c>
      <c r="N671" s="120" t="s">
        <v>250</v>
      </c>
      <c r="O671" s="120" t="s">
        <v>250</v>
      </c>
      <c r="P671" s="120" t="s">
        <v>250</v>
      </c>
      <c r="Q671" s="120" t="s">
        <v>250</v>
      </c>
      <c r="R671" s="120"/>
      <c r="S671" s="121"/>
    </row>
    <row r="672" spans="1:19" ht="15">
      <c r="A672" s="105">
        <v>11</v>
      </c>
      <c r="B672" s="105"/>
      <c r="C672" s="107" t="s">
        <v>2233</v>
      </c>
      <c r="D672" s="107" t="s">
        <v>250</v>
      </c>
      <c r="E672" s="120">
        <v>12336694.960949101</v>
      </c>
      <c r="F672" s="120" t="s">
        <v>250</v>
      </c>
      <c r="G672" s="120">
        <v>11601860.7409491</v>
      </c>
      <c r="H672" s="120" t="s">
        <v>250</v>
      </c>
      <c r="I672" s="120">
        <v>734834.22</v>
      </c>
      <c r="J672" s="120">
        <v>0</v>
      </c>
      <c r="K672" s="120" t="s">
        <v>250</v>
      </c>
      <c r="L672" s="120" t="s">
        <v>250</v>
      </c>
      <c r="M672" s="120">
        <v>0</v>
      </c>
      <c r="N672" s="120" t="s">
        <v>250</v>
      </c>
      <c r="O672" s="120">
        <v>0</v>
      </c>
      <c r="P672" s="120">
        <v>0</v>
      </c>
      <c r="Q672" s="120">
        <v>0</v>
      </c>
      <c r="R672" s="120"/>
      <c r="S672" s="121"/>
    </row>
    <row r="673" spans="1:19" ht="15">
      <c r="A673" s="105" t="s">
        <v>250</v>
      </c>
      <c r="B673" s="105"/>
      <c r="C673" s="107" t="s">
        <v>250</v>
      </c>
      <c r="D673" s="107" t="s">
        <v>250</v>
      </c>
      <c r="E673" s="120" t="s">
        <v>250</v>
      </c>
      <c r="F673" s="120" t="s">
        <v>250</v>
      </c>
      <c r="G673" s="120" t="s">
        <v>250</v>
      </c>
      <c r="H673" s="120" t="s">
        <v>250</v>
      </c>
      <c r="I673" s="120" t="s">
        <v>250</v>
      </c>
      <c r="J673" s="120" t="s">
        <v>250</v>
      </c>
      <c r="K673" s="120" t="s">
        <v>250</v>
      </c>
      <c r="L673" s="120" t="s">
        <v>250</v>
      </c>
      <c r="M673" s="120" t="s">
        <v>250</v>
      </c>
      <c r="N673" s="120" t="s">
        <v>250</v>
      </c>
      <c r="O673" s="120" t="s">
        <v>250</v>
      </c>
      <c r="P673" s="120" t="s">
        <v>250</v>
      </c>
      <c r="Q673" s="120" t="s">
        <v>250</v>
      </c>
      <c r="R673" s="120"/>
      <c r="S673" s="121"/>
    </row>
    <row r="674" spans="1:19" ht="15">
      <c r="A674" s="105" t="s">
        <v>250</v>
      </c>
      <c r="B674" s="105"/>
      <c r="C674" s="107" t="s">
        <v>754</v>
      </c>
      <c r="D674" s="107" t="s">
        <v>250</v>
      </c>
      <c r="E674" s="120" t="s">
        <v>250</v>
      </c>
      <c r="F674" s="120" t="s">
        <v>250</v>
      </c>
      <c r="G674" s="120" t="s">
        <v>250</v>
      </c>
      <c r="H674" s="120" t="s">
        <v>250</v>
      </c>
      <c r="I674" s="120" t="s">
        <v>250</v>
      </c>
      <c r="J674" s="120" t="s">
        <v>250</v>
      </c>
      <c r="K674" s="120" t="s">
        <v>250</v>
      </c>
      <c r="L674" s="120" t="s">
        <v>250</v>
      </c>
      <c r="M674" s="120" t="s">
        <v>250</v>
      </c>
      <c r="N674" s="120" t="s">
        <v>250</v>
      </c>
      <c r="O674" s="120" t="s">
        <v>250</v>
      </c>
      <c r="P674" s="120" t="s">
        <v>250</v>
      </c>
      <c r="Q674" s="120" t="s">
        <v>250</v>
      </c>
      <c r="R674" s="120"/>
      <c r="S674" s="121"/>
    </row>
    <row r="675" spans="1:19" ht="15">
      <c r="A675" s="105" t="s">
        <v>250</v>
      </c>
      <c r="B675" s="105"/>
      <c r="C675" s="107" t="s">
        <v>250</v>
      </c>
      <c r="D675" s="107" t="s">
        <v>250</v>
      </c>
      <c r="E675" s="120" t="s">
        <v>250</v>
      </c>
      <c r="F675" s="120" t="s">
        <v>250</v>
      </c>
      <c r="G675" s="120" t="s">
        <v>250</v>
      </c>
      <c r="H675" s="120" t="s">
        <v>250</v>
      </c>
      <c r="I675" s="120" t="s">
        <v>250</v>
      </c>
      <c r="J675" s="120" t="s">
        <v>250</v>
      </c>
      <c r="K675" s="120" t="s">
        <v>250</v>
      </c>
      <c r="L675" s="120" t="s">
        <v>250</v>
      </c>
      <c r="M675" s="120" t="s">
        <v>250</v>
      </c>
      <c r="N675" s="120" t="s">
        <v>250</v>
      </c>
      <c r="O675" s="120" t="s">
        <v>250</v>
      </c>
      <c r="P675" s="120" t="s">
        <v>250</v>
      </c>
      <c r="Q675" s="120" t="s">
        <v>250</v>
      </c>
      <c r="R675" s="120"/>
      <c r="S675" s="121"/>
    </row>
    <row r="676" spans="1:19" ht="15">
      <c r="A676" s="105" t="s">
        <v>250</v>
      </c>
      <c r="B676" s="105"/>
      <c r="C676" s="107" t="s">
        <v>440</v>
      </c>
      <c r="D676" s="107" t="s">
        <v>250</v>
      </c>
      <c r="E676" s="120" t="s">
        <v>250</v>
      </c>
      <c r="F676" s="120" t="s">
        <v>250</v>
      </c>
      <c r="G676" s="120" t="s">
        <v>250</v>
      </c>
      <c r="H676" s="120" t="s">
        <v>250</v>
      </c>
      <c r="I676" s="120" t="s">
        <v>250</v>
      </c>
      <c r="J676" s="120" t="s">
        <v>250</v>
      </c>
      <c r="K676" s="120" t="s">
        <v>250</v>
      </c>
      <c r="L676" s="120" t="s">
        <v>250</v>
      </c>
      <c r="M676" s="120" t="s">
        <v>250</v>
      </c>
      <c r="N676" s="120" t="s">
        <v>250</v>
      </c>
      <c r="O676" s="120" t="s">
        <v>250</v>
      </c>
      <c r="P676" s="120" t="s">
        <v>250</v>
      </c>
      <c r="Q676" s="120" t="s">
        <v>250</v>
      </c>
      <c r="R676" s="120"/>
      <c r="S676" s="121"/>
    </row>
    <row r="677" spans="1:19" ht="15">
      <c r="A677" s="105">
        <v>12</v>
      </c>
      <c r="B677" s="105"/>
      <c r="C677" s="107" t="s">
        <v>441</v>
      </c>
      <c r="D677" s="107" t="s">
        <v>443</v>
      </c>
      <c r="E677" s="120">
        <v>0</v>
      </c>
      <c r="F677" s="120" t="s">
        <v>250</v>
      </c>
      <c r="G677" s="120">
        <v>0</v>
      </c>
      <c r="H677" s="120" t="s">
        <v>250</v>
      </c>
      <c r="I677" s="120">
        <v>0</v>
      </c>
      <c r="J677" s="120">
        <v>0</v>
      </c>
      <c r="K677" s="120" t="s">
        <v>250</v>
      </c>
      <c r="L677" s="120" t="s">
        <v>250</v>
      </c>
      <c r="M677" s="120">
        <v>0</v>
      </c>
      <c r="N677" s="120" t="s">
        <v>250</v>
      </c>
      <c r="O677" s="120">
        <v>0</v>
      </c>
      <c r="P677" s="120">
        <v>0</v>
      </c>
      <c r="Q677" s="120">
        <v>0</v>
      </c>
      <c r="R677" s="120"/>
      <c r="S677" s="121"/>
    </row>
    <row r="678" spans="1:19" ht="15">
      <c r="A678" s="105">
        <v>13</v>
      </c>
      <c r="B678" s="105"/>
      <c r="C678" s="107" t="s">
        <v>447</v>
      </c>
      <c r="D678" s="107" t="s">
        <v>448</v>
      </c>
      <c r="E678" s="120">
        <v>0</v>
      </c>
      <c r="F678" s="120" t="s">
        <v>250</v>
      </c>
      <c r="G678" s="120">
        <v>0</v>
      </c>
      <c r="H678" s="120" t="s">
        <v>250</v>
      </c>
      <c r="I678" s="120">
        <v>0</v>
      </c>
      <c r="J678" s="120">
        <v>0</v>
      </c>
      <c r="K678" s="120" t="s">
        <v>250</v>
      </c>
      <c r="L678" s="120" t="s">
        <v>250</v>
      </c>
      <c r="M678" s="120">
        <v>0</v>
      </c>
      <c r="N678" s="120" t="s">
        <v>250</v>
      </c>
      <c r="O678" s="120">
        <v>0</v>
      </c>
      <c r="P678" s="120">
        <v>0</v>
      </c>
      <c r="Q678" s="120">
        <v>0</v>
      </c>
      <c r="R678" s="120"/>
      <c r="S678" s="121"/>
    </row>
    <row r="679" spans="1:19" ht="15">
      <c r="A679" s="105">
        <v>14</v>
      </c>
      <c r="B679" s="105"/>
      <c r="C679" s="107" t="s">
        <v>450</v>
      </c>
      <c r="D679" s="107" t="s">
        <v>451</v>
      </c>
      <c r="E679" s="120">
        <v>0</v>
      </c>
      <c r="F679" s="120" t="s">
        <v>250</v>
      </c>
      <c r="G679" s="120">
        <v>0</v>
      </c>
      <c r="H679" s="120" t="s">
        <v>250</v>
      </c>
      <c r="I679" s="120">
        <v>0</v>
      </c>
      <c r="J679" s="120">
        <v>0</v>
      </c>
      <c r="K679" s="120" t="s">
        <v>250</v>
      </c>
      <c r="L679" s="120" t="s">
        <v>250</v>
      </c>
      <c r="M679" s="120">
        <v>0</v>
      </c>
      <c r="N679" s="120" t="s">
        <v>250</v>
      </c>
      <c r="O679" s="120">
        <v>0</v>
      </c>
      <c r="P679" s="120">
        <v>0</v>
      </c>
      <c r="Q679" s="120">
        <v>0</v>
      </c>
      <c r="R679" s="120"/>
      <c r="S679" s="121"/>
    </row>
    <row r="680" spans="1:19" ht="15">
      <c r="A680" s="105" t="s">
        <v>250</v>
      </c>
      <c r="B680" s="105"/>
      <c r="C680" s="107" t="s">
        <v>250</v>
      </c>
      <c r="D680" s="107" t="s">
        <v>250</v>
      </c>
      <c r="E680" s="120" t="s">
        <v>250</v>
      </c>
      <c r="F680" s="120" t="s">
        <v>250</v>
      </c>
      <c r="G680" s="120" t="s">
        <v>250</v>
      </c>
      <c r="H680" s="120" t="s">
        <v>250</v>
      </c>
      <c r="I680" s="120" t="s">
        <v>250</v>
      </c>
      <c r="J680" s="120" t="s">
        <v>250</v>
      </c>
      <c r="K680" s="120" t="s">
        <v>250</v>
      </c>
      <c r="L680" s="120" t="s">
        <v>250</v>
      </c>
      <c r="M680" s="120" t="s">
        <v>250</v>
      </c>
      <c r="N680" s="120" t="s">
        <v>250</v>
      </c>
      <c r="O680" s="120" t="s">
        <v>250</v>
      </c>
      <c r="P680" s="120" t="s">
        <v>250</v>
      </c>
      <c r="Q680" s="120" t="s">
        <v>250</v>
      </c>
      <c r="R680" s="120"/>
      <c r="S680" s="121"/>
    </row>
    <row r="681" spans="1:19" ht="15">
      <c r="A681" s="105">
        <v>15</v>
      </c>
      <c r="B681" s="105"/>
      <c r="C681" s="107" t="s">
        <v>453</v>
      </c>
      <c r="D681" s="107" t="s">
        <v>250</v>
      </c>
      <c r="E681" s="120">
        <v>0</v>
      </c>
      <c r="F681" s="120" t="s">
        <v>250</v>
      </c>
      <c r="G681" s="120">
        <v>0</v>
      </c>
      <c r="H681" s="120" t="s">
        <v>250</v>
      </c>
      <c r="I681" s="120">
        <v>0</v>
      </c>
      <c r="J681" s="120">
        <v>0</v>
      </c>
      <c r="K681" s="120" t="s">
        <v>250</v>
      </c>
      <c r="L681" s="120" t="s">
        <v>250</v>
      </c>
      <c r="M681" s="120">
        <v>0</v>
      </c>
      <c r="N681" s="120" t="s">
        <v>250</v>
      </c>
      <c r="O681" s="120">
        <v>0</v>
      </c>
      <c r="P681" s="120">
        <v>0</v>
      </c>
      <c r="Q681" s="120">
        <v>0</v>
      </c>
      <c r="R681" s="120"/>
      <c r="S681" s="121"/>
    </row>
    <row r="682" spans="1:19" ht="15">
      <c r="A682" s="105" t="s">
        <v>250</v>
      </c>
      <c r="B682" s="105"/>
      <c r="C682" s="107" t="s">
        <v>250</v>
      </c>
      <c r="D682" s="107" t="s">
        <v>250</v>
      </c>
      <c r="E682" s="120" t="s">
        <v>250</v>
      </c>
      <c r="F682" s="120" t="s">
        <v>250</v>
      </c>
      <c r="G682" s="120" t="s">
        <v>250</v>
      </c>
      <c r="H682" s="120" t="s">
        <v>250</v>
      </c>
      <c r="I682" s="120" t="s">
        <v>250</v>
      </c>
      <c r="J682" s="120" t="s">
        <v>250</v>
      </c>
      <c r="K682" s="120" t="s">
        <v>250</v>
      </c>
      <c r="L682" s="120" t="s">
        <v>250</v>
      </c>
      <c r="M682" s="120" t="s">
        <v>250</v>
      </c>
      <c r="N682" s="120" t="s">
        <v>250</v>
      </c>
      <c r="O682" s="120" t="s">
        <v>250</v>
      </c>
      <c r="P682" s="120" t="s">
        <v>250</v>
      </c>
      <c r="Q682" s="120" t="s">
        <v>250</v>
      </c>
      <c r="R682" s="120"/>
      <c r="S682" s="121"/>
    </row>
    <row r="683" spans="1:19" ht="15">
      <c r="A683" s="105" t="s">
        <v>250</v>
      </c>
      <c r="B683" s="105"/>
      <c r="C683" s="107" t="s">
        <v>454</v>
      </c>
      <c r="D683" s="107" t="s">
        <v>250</v>
      </c>
      <c r="E683" s="120" t="s">
        <v>250</v>
      </c>
      <c r="F683" s="120" t="s">
        <v>250</v>
      </c>
      <c r="G683" s="120" t="s">
        <v>250</v>
      </c>
      <c r="H683" s="120" t="s">
        <v>250</v>
      </c>
      <c r="I683" s="120" t="s">
        <v>250</v>
      </c>
      <c r="J683" s="120" t="s">
        <v>250</v>
      </c>
      <c r="K683" s="120" t="s">
        <v>250</v>
      </c>
      <c r="L683" s="120" t="s">
        <v>250</v>
      </c>
      <c r="M683" s="120" t="s">
        <v>250</v>
      </c>
      <c r="N683" s="120" t="s">
        <v>250</v>
      </c>
      <c r="O683" s="120" t="s">
        <v>250</v>
      </c>
      <c r="P683" s="120" t="s">
        <v>250</v>
      </c>
      <c r="Q683" s="120" t="s">
        <v>250</v>
      </c>
      <c r="R683" s="120"/>
      <c r="S683" s="121"/>
    </row>
    <row r="684" spans="1:19" ht="15">
      <c r="A684" s="105">
        <v>16</v>
      </c>
      <c r="B684" s="105"/>
      <c r="C684" s="107" t="s">
        <v>455</v>
      </c>
      <c r="D684" s="107" t="s">
        <v>456</v>
      </c>
      <c r="E684" s="120">
        <v>0</v>
      </c>
      <c r="F684" s="120" t="s">
        <v>250</v>
      </c>
      <c r="G684" s="120">
        <v>0</v>
      </c>
      <c r="H684" s="120" t="s">
        <v>250</v>
      </c>
      <c r="I684" s="120">
        <v>0</v>
      </c>
      <c r="J684" s="120">
        <v>0</v>
      </c>
      <c r="K684" s="120" t="s">
        <v>250</v>
      </c>
      <c r="L684" s="120" t="s">
        <v>250</v>
      </c>
      <c r="M684" s="120">
        <v>0</v>
      </c>
      <c r="N684" s="120" t="s">
        <v>250</v>
      </c>
      <c r="O684" s="120">
        <v>0</v>
      </c>
      <c r="P684" s="120">
        <v>0</v>
      </c>
      <c r="Q684" s="120">
        <v>0</v>
      </c>
      <c r="R684" s="120"/>
      <c r="S684" s="121"/>
    </row>
    <row r="685" spans="1:19" ht="15">
      <c r="A685" s="105">
        <v>17</v>
      </c>
      <c r="B685" s="105"/>
      <c r="C685" s="107" t="s">
        <v>457</v>
      </c>
      <c r="D685" s="107" t="s">
        <v>458</v>
      </c>
      <c r="E685" s="120">
        <v>0</v>
      </c>
      <c r="F685" s="120" t="s">
        <v>250</v>
      </c>
      <c r="G685" s="120">
        <v>0</v>
      </c>
      <c r="H685" s="120" t="s">
        <v>250</v>
      </c>
      <c r="I685" s="120">
        <v>0</v>
      </c>
      <c r="J685" s="120">
        <v>0</v>
      </c>
      <c r="K685" s="120" t="s">
        <v>250</v>
      </c>
      <c r="L685" s="120" t="s">
        <v>250</v>
      </c>
      <c r="M685" s="120">
        <v>0</v>
      </c>
      <c r="N685" s="120" t="s">
        <v>250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 t="s">
        <v>250</v>
      </c>
      <c r="B686" s="105"/>
      <c r="C686" s="107" t="s">
        <v>250</v>
      </c>
      <c r="D686" s="107" t="s">
        <v>250</v>
      </c>
      <c r="E686" s="120" t="s">
        <v>250</v>
      </c>
      <c r="F686" s="120" t="s">
        <v>250</v>
      </c>
      <c r="G686" s="120" t="s">
        <v>250</v>
      </c>
      <c r="H686" s="120" t="s">
        <v>250</v>
      </c>
      <c r="I686" s="120" t="s">
        <v>250</v>
      </c>
      <c r="J686" s="120" t="s">
        <v>250</v>
      </c>
      <c r="K686" s="120" t="s">
        <v>250</v>
      </c>
      <c r="L686" s="120" t="s">
        <v>250</v>
      </c>
      <c r="M686" s="120" t="s">
        <v>250</v>
      </c>
      <c r="N686" s="120" t="s">
        <v>250</v>
      </c>
      <c r="O686" s="120" t="s">
        <v>250</v>
      </c>
      <c r="P686" s="120" t="s">
        <v>250</v>
      </c>
      <c r="Q686" s="120" t="s">
        <v>250</v>
      </c>
      <c r="R686" s="120"/>
      <c r="S686" s="121"/>
    </row>
    <row r="687" spans="1:19" ht="15">
      <c r="A687" s="105">
        <v>18</v>
      </c>
      <c r="B687" s="105"/>
      <c r="C687" s="107" t="s">
        <v>461</v>
      </c>
      <c r="D687" s="107" t="s">
        <v>250</v>
      </c>
      <c r="E687" s="120">
        <v>0</v>
      </c>
      <c r="F687" s="120" t="s">
        <v>250</v>
      </c>
      <c r="G687" s="120">
        <v>0</v>
      </c>
      <c r="H687" s="120" t="s">
        <v>250</v>
      </c>
      <c r="I687" s="120">
        <v>0</v>
      </c>
      <c r="J687" s="120">
        <v>0</v>
      </c>
      <c r="K687" s="120" t="s">
        <v>250</v>
      </c>
      <c r="L687" s="120" t="s">
        <v>250</v>
      </c>
      <c r="M687" s="120">
        <v>0</v>
      </c>
      <c r="N687" s="120" t="s">
        <v>250</v>
      </c>
      <c r="O687" s="120">
        <v>0</v>
      </c>
      <c r="P687" s="120">
        <v>0</v>
      </c>
      <c r="Q687" s="120">
        <v>0</v>
      </c>
      <c r="R687" s="120"/>
      <c r="S687" s="121"/>
    </row>
    <row r="688" spans="1:19" ht="15">
      <c r="A688" s="105" t="s">
        <v>250</v>
      </c>
      <c r="B688" s="105"/>
      <c r="C688" s="107" t="s">
        <v>250</v>
      </c>
      <c r="D688" s="107" t="s">
        <v>250</v>
      </c>
      <c r="E688" s="120" t="s">
        <v>250</v>
      </c>
      <c r="F688" s="120" t="s">
        <v>250</v>
      </c>
      <c r="G688" s="120" t="s">
        <v>250</v>
      </c>
      <c r="H688" s="120" t="s">
        <v>250</v>
      </c>
      <c r="I688" s="120" t="s">
        <v>250</v>
      </c>
      <c r="J688" s="120" t="s">
        <v>250</v>
      </c>
      <c r="K688" s="120" t="s">
        <v>250</v>
      </c>
      <c r="L688" s="120" t="s">
        <v>250</v>
      </c>
      <c r="M688" s="120" t="s">
        <v>250</v>
      </c>
      <c r="N688" s="120" t="s">
        <v>250</v>
      </c>
      <c r="O688" s="120" t="s">
        <v>250</v>
      </c>
      <c r="P688" s="120" t="s">
        <v>250</v>
      </c>
      <c r="Q688" s="120" t="s">
        <v>250</v>
      </c>
      <c r="R688" s="120"/>
      <c r="S688" s="121"/>
    </row>
    <row r="689" spans="1:19" ht="15">
      <c r="A689" s="105" t="s">
        <v>250</v>
      </c>
      <c r="B689" s="105"/>
      <c r="C689" s="107" t="s">
        <v>357</v>
      </c>
      <c r="D689" s="107" t="s">
        <v>250</v>
      </c>
      <c r="E689" s="120" t="s">
        <v>250</v>
      </c>
      <c r="F689" s="120" t="s">
        <v>250</v>
      </c>
      <c r="G689" s="120" t="s">
        <v>250</v>
      </c>
      <c r="H689" s="120" t="s">
        <v>250</v>
      </c>
      <c r="I689" s="120" t="s">
        <v>250</v>
      </c>
      <c r="J689" s="120" t="s">
        <v>250</v>
      </c>
      <c r="K689" s="120" t="s">
        <v>250</v>
      </c>
      <c r="L689" s="120" t="s">
        <v>250</v>
      </c>
      <c r="M689" s="120" t="s">
        <v>250</v>
      </c>
      <c r="N689" s="120" t="s">
        <v>250</v>
      </c>
      <c r="O689" s="120" t="s">
        <v>250</v>
      </c>
      <c r="P689" s="120" t="s">
        <v>250</v>
      </c>
      <c r="Q689" s="120" t="s">
        <v>250</v>
      </c>
      <c r="R689" s="120"/>
      <c r="S689" s="121"/>
    </row>
    <row r="690" spans="1:19" ht="15">
      <c r="A690" s="105">
        <v>19</v>
      </c>
      <c r="B690" s="105"/>
      <c r="C690" s="107" t="s">
        <v>455</v>
      </c>
      <c r="D690" s="107" t="s">
        <v>746</v>
      </c>
      <c r="E690" s="120">
        <v>0</v>
      </c>
      <c r="F690" s="120" t="s">
        <v>250</v>
      </c>
      <c r="G690" s="120">
        <v>0</v>
      </c>
      <c r="H690" s="120" t="s">
        <v>250</v>
      </c>
      <c r="I690" s="120">
        <v>0</v>
      </c>
      <c r="J690" s="120">
        <v>0</v>
      </c>
      <c r="K690" s="120" t="s">
        <v>250</v>
      </c>
      <c r="L690" s="120" t="s">
        <v>250</v>
      </c>
      <c r="M690" s="120">
        <v>0</v>
      </c>
      <c r="N690" s="120" t="s">
        <v>250</v>
      </c>
      <c r="O690" s="120">
        <v>0</v>
      </c>
      <c r="P690" s="120">
        <v>0</v>
      </c>
      <c r="Q690" s="120">
        <v>0</v>
      </c>
      <c r="R690" s="120"/>
      <c r="S690" s="121"/>
    </row>
    <row r="691" spans="1:19" ht="15">
      <c r="A691" s="105">
        <v>20</v>
      </c>
      <c r="B691" s="105"/>
      <c r="C691" s="107" t="s">
        <v>457</v>
      </c>
      <c r="D691" s="107" t="s">
        <v>524</v>
      </c>
      <c r="E691" s="120">
        <v>0</v>
      </c>
      <c r="F691" s="120" t="s">
        <v>250</v>
      </c>
      <c r="G691" s="120">
        <v>0</v>
      </c>
      <c r="H691" s="120" t="s">
        <v>250</v>
      </c>
      <c r="I691" s="120">
        <v>0</v>
      </c>
      <c r="J691" s="120">
        <v>0</v>
      </c>
      <c r="K691" s="120" t="s">
        <v>250</v>
      </c>
      <c r="L691" s="120" t="s">
        <v>250</v>
      </c>
      <c r="M691" s="120">
        <v>0</v>
      </c>
      <c r="N691" s="120" t="s">
        <v>250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 t="s">
        <v>250</v>
      </c>
      <c r="B692" s="105"/>
      <c r="C692" s="107" t="s">
        <v>250</v>
      </c>
      <c r="D692" s="107" t="s">
        <v>250</v>
      </c>
      <c r="E692" s="120" t="s">
        <v>250</v>
      </c>
      <c r="F692" s="120" t="s">
        <v>250</v>
      </c>
      <c r="G692" s="120" t="s">
        <v>250</v>
      </c>
      <c r="H692" s="120" t="s">
        <v>250</v>
      </c>
      <c r="I692" s="120" t="s">
        <v>250</v>
      </c>
      <c r="J692" s="120" t="s">
        <v>250</v>
      </c>
      <c r="K692" s="120" t="s">
        <v>250</v>
      </c>
      <c r="L692" s="120" t="s">
        <v>250</v>
      </c>
      <c r="M692" s="120" t="s">
        <v>250</v>
      </c>
      <c r="N692" s="120" t="s">
        <v>250</v>
      </c>
      <c r="O692" s="120" t="s">
        <v>250</v>
      </c>
      <c r="P692" s="120" t="s">
        <v>250</v>
      </c>
      <c r="Q692" s="120" t="s">
        <v>250</v>
      </c>
      <c r="R692" s="120"/>
      <c r="S692" s="121"/>
    </row>
    <row r="693" spans="1:19" ht="15">
      <c r="A693" s="105">
        <v>21</v>
      </c>
      <c r="B693" s="105"/>
      <c r="C693" s="107" t="s">
        <v>466</v>
      </c>
      <c r="D693" s="107" t="s">
        <v>250</v>
      </c>
      <c r="E693" s="120">
        <v>0</v>
      </c>
      <c r="F693" s="120" t="s">
        <v>250</v>
      </c>
      <c r="G693" s="120">
        <v>0</v>
      </c>
      <c r="H693" s="120" t="s">
        <v>250</v>
      </c>
      <c r="I693" s="120">
        <v>0</v>
      </c>
      <c r="J693" s="120">
        <v>0</v>
      </c>
      <c r="K693" s="120" t="s">
        <v>250</v>
      </c>
      <c r="L693" s="120" t="s">
        <v>250</v>
      </c>
      <c r="M693" s="120">
        <v>0</v>
      </c>
      <c r="N693" s="120" t="s">
        <v>250</v>
      </c>
      <c r="O693" s="120">
        <v>0</v>
      </c>
      <c r="P693" s="120">
        <v>0</v>
      </c>
      <c r="Q693" s="120">
        <v>0</v>
      </c>
      <c r="R693" s="120"/>
      <c r="S693" s="121"/>
    </row>
    <row r="694" spans="1:19" ht="15">
      <c r="A694" s="105" t="s">
        <v>250</v>
      </c>
      <c r="B694" s="105"/>
      <c r="C694" s="107" t="s">
        <v>250</v>
      </c>
      <c r="D694" s="107" t="s">
        <v>250</v>
      </c>
      <c r="E694" s="120" t="s">
        <v>250</v>
      </c>
      <c r="F694" s="120" t="s">
        <v>250</v>
      </c>
      <c r="G694" s="120" t="s">
        <v>250</v>
      </c>
      <c r="H694" s="120" t="s">
        <v>250</v>
      </c>
      <c r="I694" s="120" t="s">
        <v>250</v>
      </c>
      <c r="J694" s="120" t="s">
        <v>250</v>
      </c>
      <c r="K694" s="120" t="s">
        <v>250</v>
      </c>
      <c r="L694" s="120" t="s">
        <v>250</v>
      </c>
      <c r="M694" s="120" t="s">
        <v>250</v>
      </c>
      <c r="N694" s="120" t="s">
        <v>250</v>
      </c>
      <c r="O694" s="120" t="s">
        <v>250</v>
      </c>
      <c r="P694" s="120" t="s">
        <v>250</v>
      </c>
      <c r="Q694" s="120" t="s">
        <v>250</v>
      </c>
      <c r="R694" s="120"/>
      <c r="S694" s="121"/>
    </row>
    <row r="695" spans="1:19" ht="15">
      <c r="A695" s="105">
        <v>22</v>
      </c>
      <c r="B695" s="105"/>
      <c r="C695" s="107" t="s">
        <v>755</v>
      </c>
      <c r="D695" s="107" t="s">
        <v>250</v>
      </c>
      <c r="E695" s="120">
        <v>0</v>
      </c>
      <c r="F695" s="120" t="s">
        <v>250</v>
      </c>
      <c r="G695" s="120">
        <v>0</v>
      </c>
      <c r="H695" s="120" t="s">
        <v>250</v>
      </c>
      <c r="I695" s="120">
        <v>0</v>
      </c>
      <c r="J695" s="120">
        <v>0</v>
      </c>
      <c r="K695" s="120" t="s">
        <v>250</v>
      </c>
      <c r="L695" s="120" t="s">
        <v>250</v>
      </c>
      <c r="M695" s="120">
        <v>0</v>
      </c>
      <c r="N695" s="120" t="s">
        <v>250</v>
      </c>
      <c r="O695" s="120">
        <v>0</v>
      </c>
      <c r="P695" s="120">
        <v>0</v>
      </c>
      <c r="Q695" s="120">
        <v>0</v>
      </c>
      <c r="R695" s="120"/>
      <c r="S695" s="121"/>
    </row>
    <row r="696" spans="1:19" ht="15">
      <c r="A696" s="105" t="s">
        <v>250</v>
      </c>
      <c r="B696" s="105"/>
      <c r="C696" s="107" t="s">
        <v>250</v>
      </c>
      <c r="D696" s="107" t="s">
        <v>250</v>
      </c>
      <c r="E696" s="120" t="s">
        <v>250</v>
      </c>
      <c r="F696" s="120" t="s">
        <v>250</v>
      </c>
      <c r="G696" s="120" t="s">
        <v>250</v>
      </c>
      <c r="H696" s="120" t="s">
        <v>250</v>
      </c>
      <c r="I696" s="120" t="s">
        <v>250</v>
      </c>
      <c r="J696" s="120" t="s">
        <v>250</v>
      </c>
      <c r="K696" s="120" t="s">
        <v>250</v>
      </c>
      <c r="L696" s="120" t="s">
        <v>250</v>
      </c>
      <c r="M696" s="120" t="s">
        <v>250</v>
      </c>
      <c r="N696" s="120" t="s">
        <v>250</v>
      </c>
      <c r="O696" s="120" t="s">
        <v>250</v>
      </c>
      <c r="P696" s="120" t="s">
        <v>250</v>
      </c>
      <c r="Q696" s="120" t="s">
        <v>250</v>
      </c>
      <c r="R696" s="120"/>
      <c r="S696" s="121"/>
    </row>
    <row r="697" spans="1:19" ht="15">
      <c r="A697" s="105" t="s">
        <v>250</v>
      </c>
      <c r="B697" s="105"/>
      <c r="C697" s="107" t="s">
        <v>756</v>
      </c>
      <c r="D697" s="107" t="s">
        <v>250</v>
      </c>
      <c r="E697" s="120" t="s">
        <v>250</v>
      </c>
      <c r="F697" s="120" t="s">
        <v>250</v>
      </c>
      <c r="G697" s="120" t="s">
        <v>250</v>
      </c>
      <c r="H697" s="120" t="s">
        <v>250</v>
      </c>
      <c r="I697" s="120" t="s">
        <v>250</v>
      </c>
      <c r="J697" s="120" t="s">
        <v>250</v>
      </c>
      <c r="K697" s="120" t="s">
        <v>250</v>
      </c>
      <c r="L697" s="120" t="s">
        <v>250</v>
      </c>
      <c r="M697" s="120" t="s">
        <v>250</v>
      </c>
      <c r="N697" s="120" t="s">
        <v>250</v>
      </c>
      <c r="O697" s="120" t="s">
        <v>250</v>
      </c>
      <c r="P697" s="120" t="s">
        <v>250</v>
      </c>
      <c r="Q697" s="120" t="s">
        <v>250</v>
      </c>
      <c r="R697" s="120"/>
      <c r="S697" s="121"/>
    </row>
    <row r="698" spans="1:19" ht="15">
      <c r="A698" s="105" t="s">
        <v>250</v>
      </c>
      <c r="B698" s="105"/>
      <c r="C698" s="107" t="s">
        <v>250</v>
      </c>
      <c r="D698" s="107" t="s">
        <v>250</v>
      </c>
      <c r="E698" s="120" t="s">
        <v>250</v>
      </c>
      <c r="F698" s="120" t="s">
        <v>250</v>
      </c>
      <c r="G698" s="120" t="s">
        <v>250</v>
      </c>
      <c r="H698" s="120" t="s">
        <v>250</v>
      </c>
      <c r="I698" s="120" t="s">
        <v>250</v>
      </c>
      <c r="J698" s="120" t="s">
        <v>250</v>
      </c>
      <c r="K698" s="120" t="s">
        <v>250</v>
      </c>
      <c r="L698" s="120" t="s">
        <v>250</v>
      </c>
      <c r="M698" s="120" t="s">
        <v>250</v>
      </c>
      <c r="N698" s="120" t="s">
        <v>250</v>
      </c>
      <c r="O698" s="120" t="s">
        <v>250</v>
      </c>
      <c r="P698" s="120" t="s">
        <v>250</v>
      </c>
      <c r="Q698" s="120" t="s">
        <v>250</v>
      </c>
      <c r="R698" s="120"/>
      <c r="S698" s="121"/>
    </row>
    <row r="699" spans="1:19" ht="15">
      <c r="A699" s="105" t="s">
        <v>250</v>
      </c>
      <c r="B699" s="105"/>
      <c r="C699" s="107" t="s">
        <v>757</v>
      </c>
      <c r="D699" s="107" t="s">
        <v>250</v>
      </c>
      <c r="E699" s="120" t="s">
        <v>250</v>
      </c>
      <c r="F699" s="120" t="s">
        <v>250</v>
      </c>
      <c r="G699" s="120" t="s">
        <v>250</v>
      </c>
      <c r="H699" s="120" t="s">
        <v>250</v>
      </c>
      <c r="I699" s="120" t="s">
        <v>250</v>
      </c>
      <c r="J699" s="120" t="s">
        <v>250</v>
      </c>
      <c r="K699" s="120" t="s">
        <v>250</v>
      </c>
      <c r="L699" s="120" t="s">
        <v>250</v>
      </c>
      <c r="M699" s="120" t="s">
        <v>250</v>
      </c>
      <c r="N699" s="120" t="s">
        <v>250</v>
      </c>
      <c r="O699" s="120" t="s">
        <v>250</v>
      </c>
      <c r="P699" s="120" t="s">
        <v>250</v>
      </c>
      <c r="Q699" s="120" t="s">
        <v>250</v>
      </c>
      <c r="R699" s="120"/>
      <c r="S699" s="121"/>
    </row>
    <row r="700" spans="1:19" ht="15">
      <c r="A700" s="105">
        <v>1</v>
      </c>
      <c r="B700" s="105"/>
      <c r="C700" s="107" t="s">
        <v>758</v>
      </c>
      <c r="D700" s="107" t="s">
        <v>759</v>
      </c>
      <c r="E700" s="120">
        <v>33922258.061244085</v>
      </c>
      <c r="F700" s="120" t="s">
        <v>250</v>
      </c>
      <c r="G700" s="120">
        <v>31815914.137510397</v>
      </c>
      <c r="H700" s="120" t="s">
        <v>250</v>
      </c>
      <c r="I700" s="120">
        <v>1648268.623935143</v>
      </c>
      <c r="J700" s="120">
        <v>458075.29979854147</v>
      </c>
      <c r="K700" s="120" t="s">
        <v>250</v>
      </c>
      <c r="L700" s="120" t="s">
        <v>250</v>
      </c>
      <c r="M700" s="120">
        <v>0</v>
      </c>
      <c r="N700" s="120" t="s">
        <v>250</v>
      </c>
      <c r="O700" s="120">
        <v>458075.29979854147</v>
      </c>
      <c r="P700" s="120">
        <v>240895.22752984529</v>
      </c>
      <c r="Q700" s="120">
        <v>217180.07226869621</v>
      </c>
      <c r="R700" s="120"/>
      <c r="S700" s="121"/>
    </row>
    <row r="701" spans="1:19" ht="15">
      <c r="A701" s="105">
        <v>2</v>
      </c>
      <c r="B701" s="105"/>
      <c r="C701" s="107" t="s">
        <v>760</v>
      </c>
      <c r="D701" s="107" t="s">
        <v>511</v>
      </c>
      <c r="E701" s="120">
        <v>3322140.61</v>
      </c>
      <c r="F701" s="120" t="s">
        <v>250</v>
      </c>
      <c r="G701" s="120">
        <v>3322140.61</v>
      </c>
      <c r="H701" s="120" t="s">
        <v>250</v>
      </c>
      <c r="I701" s="120">
        <v>0</v>
      </c>
      <c r="J701" s="120">
        <v>0</v>
      </c>
      <c r="K701" s="120" t="s">
        <v>250</v>
      </c>
      <c r="L701" s="120" t="s">
        <v>250</v>
      </c>
      <c r="M701" s="120">
        <v>0</v>
      </c>
      <c r="N701" s="120" t="s">
        <v>250</v>
      </c>
      <c r="O701" s="120">
        <v>0</v>
      </c>
      <c r="P701" s="120">
        <v>0</v>
      </c>
      <c r="Q701" s="120">
        <v>0</v>
      </c>
      <c r="R701" s="120"/>
      <c r="S701" s="121"/>
    </row>
    <row r="702" spans="1:19" ht="15">
      <c r="A702" s="105">
        <v>3</v>
      </c>
      <c r="B702" s="105"/>
      <c r="C702" s="107" t="s">
        <v>761</v>
      </c>
      <c r="D702" s="107" t="s">
        <v>735</v>
      </c>
      <c r="E702" s="120">
        <v>0</v>
      </c>
      <c r="F702" s="120" t="s">
        <v>250</v>
      </c>
      <c r="G702" s="120">
        <v>0</v>
      </c>
      <c r="H702" s="120" t="s">
        <v>250</v>
      </c>
      <c r="I702" s="120">
        <v>0</v>
      </c>
      <c r="J702" s="120">
        <v>0</v>
      </c>
      <c r="K702" s="120" t="s">
        <v>250</v>
      </c>
      <c r="L702" s="120" t="s">
        <v>250</v>
      </c>
      <c r="M702" s="120">
        <v>0</v>
      </c>
      <c r="N702" s="120" t="s">
        <v>250</v>
      </c>
      <c r="O702" s="120">
        <v>0</v>
      </c>
      <c r="P702" s="120">
        <v>0</v>
      </c>
      <c r="Q702" s="120">
        <v>0</v>
      </c>
      <c r="R702" s="120"/>
      <c r="S702" s="121"/>
    </row>
    <row r="703" spans="1:19" ht="15">
      <c r="A703" s="105">
        <v>4</v>
      </c>
      <c r="B703" s="105"/>
      <c r="C703" s="107" t="s">
        <v>2395</v>
      </c>
      <c r="D703" s="107" t="s">
        <v>418</v>
      </c>
      <c r="E703" s="120">
        <v>0</v>
      </c>
      <c r="F703" s="120" t="s">
        <v>250</v>
      </c>
      <c r="G703" s="120">
        <v>0</v>
      </c>
      <c r="H703" s="120" t="s">
        <v>250</v>
      </c>
      <c r="I703" s="120">
        <v>0</v>
      </c>
      <c r="J703" s="120">
        <v>0</v>
      </c>
      <c r="K703" s="120" t="s">
        <v>250</v>
      </c>
      <c r="L703" s="120" t="s">
        <v>250</v>
      </c>
      <c r="M703" s="120">
        <v>0</v>
      </c>
      <c r="N703" s="120" t="s">
        <v>250</v>
      </c>
      <c r="O703" s="120">
        <v>0</v>
      </c>
      <c r="P703" s="120">
        <v>0</v>
      </c>
      <c r="Q703" s="120">
        <v>0</v>
      </c>
      <c r="R703" s="120"/>
      <c r="S703" s="121"/>
    </row>
    <row r="704" spans="1:19" ht="15">
      <c r="A704" s="105">
        <v>5</v>
      </c>
      <c r="B704" s="105"/>
      <c r="C704" s="107" t="s">
        <v>2396</v>
      </c>
      <c r="D704" s="107" t="s">
        <v>418</v>
      </c>
      <c r="E704" s="120">
        <v>10039206.720000001</v>
      </c>
      <c r="F704" s="120" t="s">
        <v>250</v>
      </c>
      <c r="G704" s="120">
        <v>9448923.0831400566</v>
      </c>
      <c r="H704" s="120" t="s">
        <v>250</v>
      </c>
      <c r="I704" s="120">
        <v>472229.25540155516</v>
      </c>
      <c r="J704" s="120">
        <v>118054.38145838786</v>
      </c>
      <c r="K704" s="120" t="s">
        <v>250</v>
      </c>
      <c r="L704" s="120" t="s">
        <v>250</v>
      </c>
      <c r="M704" s="120">
        <v>0</v>
      </c>
      <c r="N704" s="120" t="s">
        <v>250</v>
      </c>
      <c r="O704" s="120">
        <v>118054.38145838786</v>
      </c>
      <c r="P704" s="120">
        <v>61597.968040122993</v>
      </c>
      <c r="Q704" s="120">
        <v>56456.41341826487</v>
      </c>
      <c r="R704" s="120"/>
      <c r="S704" s="121"/>
    </row>
    <row r="705" spans="1:19" ht="15">
      <c r="A705" s="105">
        <v>6</v>
      </c>
      <c r="B705" s="105"/>
      <c r="C705" s="107" t="s">
        <v>762</v>
      </c>
      <c r="D705" s="107" t="s">
        <v>716</v>
      </c>
      <c r="E705" s="120">
        <v>68500.539999999994</v>
      </c>
      <c r="F705" s="120" t="s">
        <v>250</v>
      </c>
      <c r="G705" s="120">
        <v>64042.621072024333</v>
      </c>
      <c r="H705" s="120" t="s">
        <v>250</v>
      </c>
      <c r="I705" s="120">
        <v>3495.1315028964582</v>
      </c>
      <c r="J705" s="120">
        <v>962.78742507920606</v>
      </c>
      <c r="K705" s="120" t="s">
        <v>250</v>
      </c>
      <c r="L705" s="120" t="s">
        <v>250</v>
      </c>
      <c r="M705" s="120">
        <v>0</v>
      </c>
      <c r="N705" s="120" t="s">
        <v>250</v>
      </c>
      <c r="O705" s="120">
        <v>962.78742507920606</v>
      </c>
      <c r="P705" s="120">
        <v>503.35829176496736</v>
      </c>
      <c r="Q705" s="120">
        <v>459.42913331423875</v>
      </c>
      <c r="R705" s="120"/>
      <c r="S705" s="121"/>
    </row>
    <row r="706" spans="1:19" ht="15">
      <c r="A706" s="105">
        <v>7</v>
      </c>
      <c r="B706" s="105"/>
      <c r="C706" s="107" t="s">
        <v>763</v>
      </c>
      <c r="D706" s="107" t="s">
        <v>250</v>
      </c>
      <c r="E706" s="120">
        <v>47352105.931244075</v>
      </c>
      <c r="F706" s="120" t="s">
        <v>250</v>
      </c>
      <c r="G706" s="120">
        <v>44651020.451722473</v>
      </c>
      <c r="H706" s="120" t="s">
        <v>250</v>
      </c>
      <c r="I706" s="120">
        <v>2123993.0108395945</v>
      </c>
      <c r="J706" s="120">
        <v>577092.46868200856</v>
      </c>
      <c r="K706" s="120" t="s">
        <v>250</v>
      </c>
      <c r="L706" s="120" t="s">
        <v>250</v>
      </c>
      <c r="M706" s="120">
        <v>0</v>
      </c>
      <c r="N706" s="120" t="s">
        <v>250</v>
      </c>
      <c r="O706" s="120">
        <v>577092.46868200856</v>
      </c>
      <c r="P706" s="120">
        <v>302996.55386173323</v>
      </c>
      <c r="Q706" s="120">
        <v>274095.91482027533</v>
      </c>
      <c r="R706" s="120"/>
      <c r="S706" s="121"/>
    </row>
    <row r="707" spans="1:19" ht="15">
      <c r="A707" s="105" t="s">
        <v>250</v>
      </c>
      <c r="B707" s="105"/>
      <c r="C707" s="107" t="s">
        <v>250</v>
      </c>
      <c r="D707" s="107" t="s">
        <v>250</v>
      </c>
      <c r="E707" s="120" t="s">
        <v>250</v>
      </c>
      <c r="F707" s="120" t="s">
        <v>250</v>
      </c>
      <c r="G707" s="120" t="s">
        <v>250</v>
      </c>
      <c r="H707" s="120" t="s">
        <v>250</v>
      </c>
      <c r="I707" s="120" t="s">
        <v>250</v>
      </c>
      <c r="J707" s="120" t="s">
        <v>250</v>
      </c>
      <c r="K707" s="120" t="s">
        <v>250</v>
      </c>
      <c r="L707" s="120" t="s">
        <v>250</v>
      </c>
      <c r="M707" s="120" t="s">
        <v>250</v>
      </c>
      <c r="N707" s="120" t="s">
        <v>250</v>
      </c>
      <c r="O707" s="120" t="s">
        <v>250</v>
      </c>
      <c r="P707" s="120" t="s">
        <v>250</v>
      </c>
      <c r="Q707" s="120" t="s">
        <v>250</v>
      </c>
      <c r="R707" s="120"/>
      <c r="S707" s="121"/>
    </row>
    <row r="708" spans="1:19" ht="15">
      <c r="A708" s="105">
        <v>8</v>
      </c>
      <c r="B708" s="105"/>
      <c r="C708" s="107" t="s">
        <v>764</v>
      </c>
      <c r="D708" s="107" t="s">
        <v>303</v>
      </c>
      <c r="E708" s="120">
        <v>13833.71</v>
      </c>
      <c r="F708" s="120" t="s">
        <v>250</v>
      </c>
      <c r="G708" s="120">
        <v>12977.583025545448</v>
      </c>
      <c r="H708" s="120" t="s">
        <v>250</v>
      </c>
      <c r="I708" s="120">
        <v>587.72688661856228</v>
      </c>
      <c r="J708" s="120">
        <v>268.40008783598932</v>
      </c>
      <c r="K708" s="120" t="s">
        <v>250</v>
      </c>
      <c r="L708" s="120" t="s">
        <v>250</v>
      </c>
      <c r="M708" s="120">
        <v>0</v>
      </c>
      <c r="N708" s="120" t="s">
        <v>250</v>
      </c>
      <c r="O708" s="120">
        <v>268.40008783598932</v>
      </c>
      <c r="P708" s="120">
        <v>136.14754315995259</v>
      </c>
      <c r="Q708" s="120">
        <v>132.25254467603673</v>
      </c>
      <c r="R708" s="120"/>
      <c r="S708" s="121"/>
    </row>
    <row r="709" spans="1:19" ht="15">
      <c r="A709" s="105">
        <v>9</v>
      </c>
      <c r="B709" s="105"/>
      <c r="C709" s="107" t="s">
        <v>765</v>
      </c>
      <c r="D709" s="107" t="s">
        <v>716</v>
      </c>
      <c r="E709" s="120">
        <v>-1626.6950039999956</v>
      </c>
      <c r="F709" s="120" t="s">
        <v>250</v>
      </c>
      <c r="G709" s="120">
        <v>0</v>
      </c>
      <c r="H709" s="120" t="s">
        <v>250</v>
      </c>
      <c r="I709" s="120">
        <v>-82.999534807822911</v>
      </c>
      <c r="J709" s="120">
        <v>0</v>
      </c>
      <c r="K709" s="120" t="s">
        <v>250</v>
      </c>
      <c r="L709" s="120" t="s">
        <v>250</v>
      </c>
      <c r="M709" s="120">
        <v>0</v>
      </c>
      <c r="N709" s="120" t="s">
        <v>250</v>
      </c>
      <c r="O709" s="120">
        <v>0</v>
      </c>
      <c r="P709" s="120">
        <v>0</v>
      </c>
      <c r="Q709" s="120">
        <v>0</v>
      </c>
      <c r="R709" s="120"/>
      <c r="S709" s="121"/>
    </row>
    <row r="710" spans="1:19" ht="15">
      <c r="A710" s="105">
        <v>10</v>
      </c>
      <c r="B710" s="105"/>
      <c r="C710" s="107" t="s">
        <v>766</v>
      </c>
      <c r="D710" s="107" t="s">
        <v>418</v>
      </c>
      <c r="E710" s="120">
        <v>269006.10739999998</v>
      </c>
      <c r="F710" s="120" t="s">
        <v>250</v>
      </c>
      <c r="G710" s="120">
        <v>0</v>
      </c>
      <c r="H710" s="120" t="s">
        <v>250</v>
      </c>
      <c r="I710" s="120">
        <v>6326.8222947785243</v>
      </c>
      <c r="J710" s="120">
        <v>0</v>
      </c>
      <c r="K710" s="120" t="s">
        <v>250</v>
      </c>
      <c r="L710" s="120" t="s">
        <v>250</v>
      </c>
      <c r="M710" s="120">
        <v>0</v>
      </c>
      <c r="N710" s="120" t="s">
        <v>250</v>
      </c>
      <c r="O710" s="120">
        <v>0</v>
      </c>
      <c r="P710" s="120">
        <v>0</v>
      </c>
      <c r="Q710" s="120">
        <v>0</v>
      </c>
      <c r="R710" s="120"/>
      <c r="S710" s="121"/>
    </row>
    <row r="711" spans="1:19" ht="15">
      <c r="A711" s="105" t="s">
        <v>250</v>
      </c>
      <c r="B711" s="105"/>
      <c r="C711" s="107" t="s">
        <v>250</v>
      </c>
      <c r="D711" s="107" t="s">
        <v>250</v>
      </c>
      <c r="E711" s="120" t="s">
        <v>250</v>
      </c>
      <c r="F711" s="120" t="s">
        <v>250</v>
      </c>
      <c r="G711" s="120" t="s">
        <v>250</v>
      </c>
      <c r="H711" s="120" t="s">
        <v>250</v>
      </c>
      <c r="I711" s="120" t="s">
        <v>250</v>
      </c>
      <c r="J711" s="120" t="s">
        <v>250</v>
      </c>
      <c r="K711" s="120" t="s">
        <v>250</v>
      </c>
      <c r="L711" s="120" t="s">
        <v>250</v>
      </c>
      <c r="M711" s="120" t="s">
        <v>250</v>
      </c>
      <c r="N711" s="120" t="s">
        <v>250</v>
      </c>
      <c r="O711" s="120" t="s">
        <v>250</v>
      </c>
      <c r="P711" s="120" t="s">
        <v>250</v>
      </c>
      <c r="Q711" s="120" t="s">
        <v>250</v>
      </c>
      <c r="R711" s="120"/>
      <c r="S711" s="121"/>
    </row>
    <row r="712" spans="1:19" ht="15">
      <c r="A712" s="105" t="s">
        <v>250</v>
      </c>
      <c r="B712" s="105"/>
      <c r="C712" s="107" t="s">
        <v>767</v>
      </c>
      <c r="D712" s="107" t="s">
        <v>250</v>
      </c>
      <c r="E712" s="120" t="s">
        <v>250</v>
      </c>
      <c r="F712" s="120" t="s">
        <v>250</v>
      </c>
      <c r="G712" s="120" t="s">
        <v>250</v>
      </c>
      <c r="H712" s="120" t="s">
        <v>250</v>
      </c>
      <c r="I712" s="120" t="s">
        <v>250</v>
      </c>
      <c r="J712" s="120" t="s">
        <v>250</v>
      </c>
      <c r="K712" s="120" t="s">
        <v>250</v>
      </c>
      <c r="L712" s="120" t="s">
        <v>250</v>
      </c>
      <c r="M712" s="120" t="s">
        <v>250</v>
      </c>
      <c r="N712" s="120" t="s">
        <v>250</v>
      </c>
      <c r="O712" s="120" t="s">
        <v>250</v>
      </c>
      <c r="P712" s="120" t="s">
        <v>250</v>
      </c>
      <c r="Q712" s="120" t="s">
        <v>250</v>
      </c>
      <c r="R712" s="120"/>
      <c r="S712" s="121"/>
    </row>
    <row r="713" spans="1:19" ht="15">
      <c r="A713" s="105">
        <v>11</v>
      </c>
      <c r="B713" s="105"/>
      <c r="C713" s="107" t="s">
        <v>527</v>
      </c>
      <c r="D713" s="107" t="s">
        <v>497</v>
      </c>
      <c r="E713" s="120">
        <v>0</v>
      </c>
      <c r="F713" s="120" t="s">
        <v>250</v>
      </c>
      <c r="G713" s="120">
        <v>0</v>
      </c>
      <c r="H713" s="120" t="s">
        <v>250</v>
      </c>
      <c r="I713" s="120">
        <v>0</v>
      </c>
      <c r="J713" s="120">
        <v>0</v>
      </c>
      <c r="K713" s="120" t="s">
        <v>250</v>
      </c>
      <c r="L713" s="120" t="s">
        <v>250</v>
      </c>
      <c r="M713" s="120">
        <v>0</v>
      </c>
      <c r="N713" s="120" t="s">
        <v>250</v>
      </c>
      <c r="O713" s="120">
        <v>0</v>
      </c>
      <c r="P713" s="120">
        <v>0</v>
      </c>
      <c r="Q713" s="120">
        <v>0</v>
      </c>
      <c r="R713" s="120"/>
      <c r="S713" s="121"/>
    </row>
    <row r="714" spans="1:19" ht="15">
      <c r="A714" s="105">
        <v>12</v>
      </c>
      <c r="B714" s="105"/>
      <c r="C714" s="107" t="s">
        <v>528</v>
      </c>
      <c r="D714" s="107" t="s">
        <v>499</v>
      </c>
      <c r="E714" s="120">
        <v>0</v>
      </c>
      <c r="F714" s="120" t="s">
        <v>250</v>
      </c>
      <c r="G714" s="120">
        <v>0</v>
      </c>
      <c r="H714" s="120" t="s">
        <v>250</v>
      </c>
      <c r="I714" s="120">
        <v>0</v>
      </c>
      <c r="J714" s="120">
        <v>0</v>
      </c>
      <c r="K714" s="120" t="s">
        <v>250</v>
      </c>
      <c r="L714" s="120" t="s">
        <v>250</v>
      </c>
      <c r="M714" s="120">
        <v>0</v>
      </c>
      <c r="N714" s="120" t="s">
        <v>250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13</v>
      </c>
      <c r="B715" s="105"/>
      <c r="C715" s="107" t="s">
        <v>768</v>
      </c>
      <c r="D715" s="107" t="s">
        <v>458</v>
      </c>
      <c r="E715" s="120">
        <v>0</v>
      </c>
      <c r="F715" s="120" t="s">
        <v>250</v>
      </c>
      <c r="G715" s="120">
        <v>0</v>
      </c>
      <c r="H715" s="120" t="s">
        <v>250</v>
      </c>
      <c r="I715" s="120">
        <v>0</v>
      </c>
      <c r="J715" s="120">
        <v>0</v>
      </c>
      <c r="K715" s="120" t="s">
        <v>250</v>
      </c>
      <c r="L715" s="120" t="s">
        <v>250</v>
      </c>
      <c r="M715" s="120">
        <v>0</v>
      </c>
      <c r="N715" s="120" t="s">
        <v>250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14</v>
      </c>
      <c r="B716" s="105"/>
      <c r="C716" s="107" t="s">
        <v>769</v>
      </c>
      <c r="D716" s="107" t="s">
        <v>770</v>
      </c>
      <c r="E716" s="120">
        <v>0</v>
      </c>
      <c r="F716" s="120" t="s">
        <v>250</v>
      </c>
      <c r="G716" s="120">
        <v>0</v>
      </c>
      <c r="H716" s="120" t="s">
        <v>250</v>
      </c>
      <c r="I716" s="120">
        <v>0</v>
      </c>
      <c r="J716" s="120">
        <v>0</v>
      </c>
      <c r="K716" s="120" t="s">
        <v>250</v>
      </c>
      <c r="L716" s="120" t="s">
        <v>250</v>
      </c>
      <c r="M716" s="120">
        <v>0</v>
      </c>
      <c r="N716" s="120" t="s">
        <v>250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>
        <v>15</v>
      </c>
      <c r="B717" s="105"/>
      <c r="C717" s="107" t="s">
        <v>532</v>
      </c>
      <c r="D717" s="107" t="s">
        <v>524</v>
      </c>
      <c r="E717" s="120">
        <v>0</v>
      </c>
      <c r="F717" s="120" t="s">
        <v>250</v>
      </c>
      <c r="G717" s="120">
        <v>0</v>
      </c>
      <c r="H717" s="120" t="s">
        <v>250</v>
      </c>
      <c r="I717" s="120">
        <v>0</v>
      </c>
      <c r="J717" s="120">
        <v>0</v>
      </c>
      <c r="K717" s="120" t="s">
        <v>250</v>
      </c>
      <c r="L717" s="120" t="s">
        <v>250</v>
      </c>
      <c r="M717" s="120">
        <v>0</v>
      </c>
      <c r="N717" s="120" t="s">
        <v>250</v>
      </c>
      <c r="O717" s="120">
        <v>0</v>
      </c>
      <c r="P717" s="120">
        <v>0</v>
      </c>
      <c r="Q717" s="120">
        <v>0</v>
      </c>
      <c r="R717" s="120"/>
      <c r="S717" s="121"/>
    </row>
    <row r="718" spans="1:19" ht="15">
      <c r="A718" s="105">
        <v>16</v>
      </c>
      <c r="B718" s="105"/>
      <c r="C718" s="107" t="s">
        <v>533</v>
      </c>
      <c r="D718" s="107" t="s">
        <v>467</v>
      </c>
      <c r="E718" s="120">
        <v>0</v>
      </c>
      <c r="F718" s="120" t="s">
        <v>250</v>
      </c>
      <c r="G718" s="120">
        <v>0</v>
      </c>
      <c r="H718" s="120" t="s">
        <v>250</v>
      </c>
      <c r="I718" s="120">
        <v>0</v>
      </c>
      <c r="J718" s="120">
        <v>0</v>
      </c>
      <c r="K718" s="120" t="s">
        <v>250</v>
      </c>
      <c r="L718" s="120" t="s">
        <v>250</v>
      </c>
      <c r="M718" s="120">
        <v>0</v>
      </c>
      <c r="N718" s="120" t="s">
        <v>250</v>
      </c>
      <c r="O718" s="120">
        <v>0</v>
      </c>
      <c r="P718" s="120">
        <v>0</v>
      </c>
      <c r="Q718" s="120">
        <v>0</v>
      </c>
      <c r="R718" s="120"/>
      <c r="S718" s="121"/>
    </row>
    <row r="719" spans="1:19" ht="15">
      <c r="A719" s="105">
        <v>17</v>
      </c>
      <c r="B719" s="105"/>
      <c r="C719" s="107" t="s">
        <v>771</v>
      </c>
      <c r="D719" s="107" t="s">
        <v>250</v>
      </c>
      <c r="E719" s="120">
        <v>0</v>
      </c>
      <c r="F719" s="120" t="s">
        <v>250</v>
      </c>
      <c r="G719" s="120">
        <v>0</v>
      </c>
      <c r="H719" s="120" t="s">
        <v>250</v>
      </c>
      <c r="I719" s="120">
        <v>0</v>
      </c>
      <c r="J719" s="120">
        <v>0</v>
      </c>
      <c r="K719" s="120" t="s">
        <v>250</v>
      </c>
      <c r="L719" s="120" t="s">
        <v>250</v>
      </c>
      <c r="M719" s="120">
        <v>0</v>
      </c>
      <c r="N719" s="120" t="s">
        <v>250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 t="s">
        <v>250</v>
      </c>
      <c r="B720" s="105"/>
      <c r="C720" s="107" t="s">
        <v>250</v>
      </c>
      <c r="D720" s="107" t="s">
        <v>250</v>
      </c>
      <c r="E720" s="120" t="s">
        <v>250</v>
      </c>
      <c r="F720" s="120" t="s">
        <v>250</v>
      </c>
      <c r="G720" s="120" t="s">
        <v>250</v>
      </c>
      <c r="H720" s="120" t="s">
        <v>250</v>
      </c>
      <c r="I720" s="120" t="s">
        <v>250</v>
      </c>
      <c r="J720" s="120" t="s">
        <v>250</v>
      </c>
      <c r="K720" s="120" t="s">
        <v>250</v>
      </c>
      <c r="L720" s="120" t="s">
        <v>250</v>
      </c>
      <c r="M720" s="120" t="s">
        <v>250</v>
      </c>
      <c r="N720" s="120" t="s">
        <v>250</v>
      </c>
      <c r="O720" s="120" t="s">
        <v>250</v>
      </c>
      <c r="P720" s="120" t="s">
        <v>250</v>
      </c>
      <c r="Q720" s="120" t="s">
        <v>250</v>
      </c>
      <c r="R720" s="120"/>
      <c r="S720" s="121"/>
    </row>
    <row r="721" spans="1:19" ht="15">
      <c r="A721" s="105">
        <v>18</v>
      </c>
      <c r="B721" s="105"/>
      <c r="C721" s="107" t="s">
        <v>772</v>
      </c>
      <c r="D721" s="107" t="s">
        <v>250</v>
      </c>
      <c r="E721" s="120">
        <v>1256210090.6874216</v>
      </c>
      <c r="F721" s="120" t="s">
        <v>250</v>
      </c>
      <c r="G721" s="120">
        <v>1178425829.1770327</v>
      </c>
      <c r="H721" s="120" t="s">
        <v>250</v>
      </c>
      <c r="I721" s="120">
        <v>58142521.486869507</v>
      </c>
      <c r="J721" s="120">
        <v>19641740.023519337</v>
      </c>
      <c r="K721" s="120" t="s">
        <v>250</v>
      </c>
      <c r="L721" s="120" t="s">
        <v>250</v>
      </c>
      <c r="M721" s="120">
        <v>0</v>
      </c>
      <c r="N721" s="120" t="s">
        <v>250</v>
      </c>
      <c r="O721" s="120">
        <v>19641740.023519337</v>
      </c>
      <c r="P721" s="120">
        <v>10115960.683378203</v>
      </c>
      <c r="Q721" s="120">
        <v>9525779.3401411343</v>
      </c>
      <c r="R721" s="120"/>
      <c r="S721" s="121"/>
    </row>
    <row r="722" spans="1:19" ht="15">
      <c r="A722" s="105" t="s">
        <v>250</v>
      </c>
      <c r="B722" s="105"/>
      <c r="C722" s="107" t="s">
        <v>250</v>
      </c>
      <c r="D722" s="107" t="s">
        <v>250</v>
      </c>
      <c r="E722" s="120" t="s">
        <v>250</v>
      </c>
      <c r="F722" s="120" t="s">
        <v>250</v>
      </c>
      <c r="G722" s="120" t="s">
        <v>250</v>
      </c>
      <c r="H722" s="120" t="s">
        <v>250</v>
      </c>
      <c r="I722" s="120" t="s">
        <v>250</v>
      </c>
      <c r="J722" s="120" t="s">
        <v>250</v>
      </c>
      <c r="K722" s="120" t="s">
        <v>250</v>
      </c>
      <c r="L722" s="120" t="s">
        <v>250</v>
      </c>
      <c r="M722" s="120" t="s">
        <v>250</v>
      </c>
      <c r="N722" s="120" t="s">
        <v>250</v>
      </c>
      <c r="O722" s="120" t="s">
        <v>250</v>
      </c>
      <c r="P722" s="120" t="s">
        <v>250</v>
      </c>
      <c r="Q722" s="120" t="s">
        <v>250</v>
      </c>
      <c r="R722" s="120"/>
      <c r="S722" s="121"/>
    </row>
    <row r="723" spans="1:19" ht="15">
      <c r="A723" s="105" t="s">
        <v>250</v>
      </c>
      <c r="B723" s="105"/>
      <c r="C723" s="107" t="s">
        <v>250</v>
      </c>
      <c r="D723" s="107" t="s">
        <v>250</v>
      </c>
      <c r="E723" s="120" t="s">
        <v>250</v>
      </c>
      <c r="F723" s="120" t="s">
        <v>250</v>
      </c>
      <c r="G723" s="120" t="s">
        <v>250</v>
      </c>
      <c r="H723" s="120" t="s">
        <v>250</v>
      </c>
      <c r="I723" s="120" t="s">
        <v>250</v>
      </c>
      <c r="J723" s="120" t="s">
        <v>250</v>
      </c>
      <c r="K723" s="120" t="s">
        <v>250</v>
      </c>
      <c r="L723" s="120" t="s">
        <v>250</v>
      </c>
      <c r="M723" s="120" t="s">
        <v>250</v>
      </c>
      <c r="N723" s="120" t="s">
        <v>250</v>
      </c>
      <c r="O723" s="120" t="s">
        <v>250</v>
      </c>
      <c r="P723" s="120" t="s">
        <v>250</v>
      </c>
      <c r="Q723" s="120" t="s">
        <v>250</v>
      </c>
      <c r="R723" s="120"/>
      <c r="S723" s="121"/>
    </row>
    <row r="724" spans="1:19" ht="15">
      <c r="A724" s="105" t="s">
        <v>250</v>
      </c>
      <c r="B724" s="105"/>
      <c r="C724" s="107" t="s">
        <v>250</v>
      </c>
      <c r="D724" s="107" t="s">
        <v>250</v>
      </c>
      <c r="E724" s="120" t="s">
        <v>250</v>
      </c>
      <c r="F724" s="120" t="s">
        <v>250</v>
      </c>
      <c r="G724" s="120" t="s">
        <v>250</v>
      </c>
      <c r="H724" s="120" t="s">
        <v>250</v>
      </c>
      <c r="I724" s="120" t="s">
        <v>250</v>
      </c>
      <c r="J724" s="120" t="s">
        <v>250</v>
      </c>
      <c r="K724" s="120" t="s">
        <v>250</v>
      </c>
      <c r="L724" s="120" t="s">
        <v>250</v>
      </c>
      <c r="M724" s="120" t="s">
        <v>250</v>
      </c>
      <c r="N724" s="120" t="s">
        <v>250</v>
      </c>
      <c r="O724" s="120" t="s">
        <v>250</v>
      </c>
      <c r="P724" s="120" t="s">
        <v>250</v>
      </c>
      <c r="Q724" s="120" t="s">
        <v>250</v>
      </c>
      <c r="R724" s="120"/>
      <c r="S724" s="121"/>
    </row>
    <row r="725" spans="1:19" ht="15">
      <c r="A725" s="105" t="s">
        <v>250</v>
      </c>
      <c r="B725" s="105"/>
      <c r="C725" s="107" t="s">
        <v>250</v>
      </c>
      <c r="D725" s="107" t="s">
        <v>250</v>
      </c>
      <c r="E725" s="120" t="s">
        <v>250</v>
      </c>
      <c r="F725" s="120" t="s">
        <v>250</v>
      </c>
      <c r="G725" s="120" t="s">
        <v>250</v>
      </c>
      <c r="H725" s="120" t="s">
        <v>250</v>
      </c>
      <c r="I725" s="120" t="s">
        <v>250</v>
      </c>
      <c r="J725" s="120" t="s">
        <v>250</v>
      </c>
      <c r="K725" s="120" t="s">
        <v>250</v>
      </c>
      <c r="L725" s="120" t="s">
        <v>250</v>
      </c>
      <c r="M725" s="120" t="s">
        <v>250</v>
      </c>
      <c r="N725" s="120" t="s">
        <v>250</v>
      </c>
      <c r="O725" s="120" t="s">
        <v>250</v>
      </c>
      <c r="P725" s="120" t="s">
        <v>250</v>
      </c>
      <c r="Q725" s="120" t="s">
        <v>250</v>
      </c>
      <c r="R725" s="120"/>
      <c r="S725" s="121"/>
    </row>
    <row r="726" spans="1:19" ht="15">
      <c r="A726" s="105" t="s">
        <v>250</v>
      </c>
      <c r="B726" s="105"/>
      <c r="C726" s="107" t="s">
        <v>250</v>
      </c>
      <c r="D726" s="107" t="s">
        <v>250</v>
      </c>
      <c r="E726" s="120" t="s">
        <v>250</v>
      </c>
      <c r="F726" s="120" t="s">
        <v>250</v>
      </c>
      <c r="G726" s="120" t="s">
        <v>250</v>
      </c>
      <c r="H726" s="120" t="s">
        <v>250</v>
      </c>
      <c r="I726" s="120" t="s">
        <v>250</v>
      </c>
      <c r="J726" s="120" t="s">
        <v>250</v>
      </c>
      <c r="K726" s="120" t="s">
        <v>250</v>
      </c>
      <c r="L726" s="120" t="s">
        <v>250</v>
      </c>
      <c r="M726" s="120" t="s">
        <v>250</v>
      </c>
      <c r="N726" s="120" t="s">
        <v>250</v>
      </c>
      <c r="O726" s="120" t="s">
        <v>250</v>
      </c>
      <c r="P726" s="120" t="s">
        <v>250</v>
      </c>
      <c r="Q726" s="120" t="s">
        <v>250</v>
      </c>
      <c r="R726" s="120"/>
      <c r="S726" s="121"/>
    </row>
    <row r="727" spans="1:19" ht="15">
      <c r="A727" s="105" t="s">
        <v>250</v>
      </c>
      <c r="B727" s="105"/>
      <c r="C727" s="107" t="s">
        <v>250</v>
      </c>
      <c r="D727" s="107" t="s">
        <v>250</v>
      </c>
      <c r="E727" s="120" t="s">
        <v>250</v>
      </c>
      <c r="F727" s="120" t="s">
        <v>250</v>
      </c>
      <c r="G727" s="120" t="s">
        <v>250</v>
      </c>
      <c r="H727" s="120" t="s">
        <v>250</v>
      </c>
      <c r="I727" s="120" t="s">
        <v>250</v>
      </c>
      <c r="J727" s="120" t="s">
        <v>250</v>
      </c>
      <c r="K727" s="120" t="s">
        <v>250</v>
      </c>
      <c r="L727" s="120" t="s">
        <v>250</v>
      </c>
      <c r="M727" s="120" t="s">
        <v>250</v>
      </c>
      <c r="N727" s="120" t="s">
        <v>250</v>
      </c>
      <c r="O727" s="120" t="s">
        <v>250</v>
      </c>
      <c r="P727" s="120" t="s">
        <v>250</v>
      </c>
      <c r="Q727" s="120" t="s">
        <v>250</v>
      </c>
      <c r="R727" s="120"/>
      <c r="S727" s="121"/>
    </row>
    <row r="728" spans="1:19" ht="15">
      <c r="A728" s="105" t="s">
        <v>250</v>
      </c>
      <c r="B728" s="105"/>
      <c r="C728" s="107" t="s">
        <v>250</v>
      </c>
      <c r="D728" s="107" t="s">
        <v>250</v>
      </c>
      <c r="E728" s="120" t="s">
        <v>250</v>
      </c>
      <c r="F728" s="120" t="s">
        <v>250</v>
      </c>
      <c r="G728" s="120" t="s">
        <v>250</v>
      </c>
      <c r="H728" s="120" t="s">
        <v>250</v>
      </c>
      <c r="I728" s="120" t="s">
        <v>250</v>
      </c>
      <c r="J728" s="120" t="s">
        <v>250</v>
      </c>
      <c r="K728" s="120" t="s">
        <v>250</v>
      </c>
      <c r="L728" s="120" t="s">
        <v>250</v>
      </c>
      <c r="M728" s="120" t="s">
        <v>250</v>
      </c>
      <c r="N728" s="120" t="s">
        <v>250</v>
      </c>
      <c r="O728" s="120" t="s">
        <v>250</v>
      </c>
      <c r="P728" s="120" t="s">
        <v>250</v>
      </c>
      <c r="Q728" s="120" t="s">
        <v>250</v>
      </c>
      <c r="R728" s="120"/>
      <c r="S728" s="121"/>
    </row>
    <row r="729" spans="1:19" ht="15">
      <c r="A729" s="105" t="s">
        <v>250</v>
      </c>
      <c r="B729" s="105"/>
      <c r="C729" s="107" t="s">
        <v>250</v>
      </c>
      <c r="D729" s="107" t="s">
        <v>250</v>
      </c>
      <c r="E729" s="120" t="s">
        <v>250</v>
      </c>
      <c r="F729" s="120" t="s">
        <v>250</v>
      </c>
      <c r="G729" s="120" t="s">
        <v>250</v>
      </c>
      <c r="H729" s="120" t="s">
        <v>250</v>
      </c>
      <c r="I729" s="120" t="s">
        <v>250</v>
      </c>
      <c r="J729" s="120" t="s">
        <v>250</v>
      </c>
      <c r="K729" s="120" t="s">
        <v>250</v>
      </c>
      <c r="L729" s="120" t="s">
        <v>250</v>
      </c>
      <c r="M729" s="120" t="s">
        <v>250</v>
      </c>
      <c r="N729" s="120" t="s">
        <v>250</v>
      </c>
      <c r="O729" s="120" t="s">
        <v>250</v>
      </c>
      <c r="P729" s="120" t="s">
        <v>250</v>
      </c>
      <c r="Q729" s="120" t="s">
        <v>250</v>
      </c>
      <c r="R729" s="120"/>
      <c r="S729" s="121"/>
    </row>
    <row r="730" spans="1:19" ht="15">
      <c r="A730" s="105" t="s">
        <v>250</v>
      </c>
      <c r="B730" s="105"/>
      <c r="C730" s="107" t="s">
        <v>773</v>
      </c>
      <c r="D730" s="107" t="s">
        <v>250</v>
      </c>
      <c r="E730" s="120" t="s">
        <v>250</v>
      </c>
      <c r="F730" s="120" t="s">
        <v>250</v>
      </c>
      <c r="G730" s="120" t="s">
        <v>250</v>
      </c>
      <c r="H730" s="120" t="s">
        <v>250</v>
      </c>
      <c r="I730" s="120" t="s">
        <v>250</v>
      </c>
      <c r="J730" s="120" t="s">
        <v>250</v>
      </c>
      <c r="K730" s="120" t="s">
        <v>250</v>
      </c>
      <c r="L730" s="120" t="s">
        <v>250</v>
      </c>
      <c r="M730" s="120" t="s">
        <v>250</v>
      </c>
      <c r="N730" s="120" t="s">
        <v>250</v>
      </c>
      <c r="O730" s="120" t="s">
        <v>250</v>
      </c>
      <c r="P730" s="120" t="s">
        <v>250</v>
      </c>
      <c r="Q730" s="120" t="s">
        <v>250</v>
      </c>
      <c r="R730" s="120"/>
      <c r="S730" s="121"/>
    </row>
    <row r="731" spans="1:19" ht="15">
      <c r="A731" s="105" t="s">
        <v>250</v>
      </c>
      <c r="B731" s="105"/>
      <c r="C731" s="107" t="s">
        <v>250</v>
      </c>
      <c r="D731" s="107" t="s">
        <v>250</v>
      </c>
      <c r="E731" s="120" t="s">
        <v>250</v>
      </c>
      <c r="F731" s="120" t="s">
        <v>250</v>
      </c>
      <c r="G731" s="120" t="s">
        <v>250</v>
      </c>
      <c r="H731" s="120" t="s">
        <v>250</v>
      </c>
      <c r="I731" s="120" t="s">
        <v>250</v>
      </c>
      <c r="J731" s="120" t="s">
        <v>250</v>
      </c>
      <c r="K731" s="120" t="s">
        <v>250</v>
      </c>
      <c r="L731" s="120" t="s">
        <v>250</v>
      </c>
      <c r="M731" s="120" t="s">
        <v>250</v>
      </c>
      <c r="N731" s="120" t="s">
        <v>250</v>
      </c>
      <c r="O731" s="120" t="s">
        <v>250</v>
      </c>
      <c r="P731" s="120" t="s">
        <v>250</v>
      </c>
      <c r="Q731" s="120" t="s">
        <v>250</v>
      </c>
      <c r="R731" s="120"/>
      <c r="S731" s="121"/>
    </row>
    <row r="732" spans="1:19" ht="15">
      <c r="A732" s="105">
        <v>1</v>
      </c>
      <c r="B732" s="105"/>
      <c r="C732" s="107" t="s">
        <v>774</v>
      </c>
      <c r="D732" s="107" t="s">
        <v>250</v>
      </c>
      <c r="E732" s="120">
        <v>452428177</v>
      </c>
      <c r="F732" s="120" t="s">
        <v>250</v>
      </c>
      <c r="G732" s="120">
        <v>428208086.74355483</v>
      </c>
      <c r="H732" s="120" t="s">
        <v>250</v>
      </c>
      <c r="I732" s="120">
        <v>19987869.071303062</v>
      </c>
      <c r="J732" s="120">
        <v>4232221.3903149646</v>
      </c>
      <c r="K732" s="120" t="s">
        <v>250</v>
      </c>
      <c r="L732" s="120" t="s">
        <v>250</v>
      </c>
      <c r="M732" s="120">
        <v>0</v>
      </c>
      <c r="N732" s="120" t="s">
        <v>250</v>
      </c>
      <c r="O732" s="120">
        <v>4232221.3903149646</v>
      </c>
      <c r="P732" s="120">
        <v>1551258.649969006</v>
      </c>
      <c r="Q732" s="120">
        <v>2680962.7403459586</v>
      </c>
      <c r="R732" s="120"/>
      <c r="S732" s="121"/>
    </row>
    <row r="733" spans="1:19" ht="15">
      <c r="A733" s="105" t="s">
        <v>250</v>
      </c>
      <c r="B733" s="105"/>
      <c r="C733" s="107" t="s">
        <v>250</v>
      </c>
      <c r="D733" s="107" t="s">
        <v>250</v>
      </c>
      <c r="E733" s="120" t="s">
        <v>250</v>
      </c>
      <c r="F733" s="120" t="s">
        <v>250</v>
      </c>
      <c r="G733" s="120" t="s">
        <v>250</v>
      </c>
      <c r="H733" s="120" t="s">
        <v>250</v>
      </c>
      <c r="I733" s="120" t="s">
        <v>250</v>
      </c>
      <c r="J733" s="120" t="s">
        <v>250</v>
      </c>
      <c r="K733" s="120" t="s">
        <v>250</v>
      </c>
      <c r="L733" s="120" t="s">
        <v>250</v>
      </c>
      <c r="M733" s="120" t="s">
        <v>250</v>
      </c>
      <c r="N733" s="120" t="s">
        <v>250</v>
      </c>
      <c r="O733" s="120" t="s">
        <v>250</v>
      </c>
      <c r="P733" s="120" t="s">
        <v>250</v>
      </c>
      <c r="Q733" s="120" t="s">
        <v>250</v>
      </c>
      <c r="R733" s="120"/>
      <c r="S733" s="121"/>
    </row>
    <row r="734" spans="1:19" ht="15">
      <c r="A734" s="105" t="s">
        <v>250</v>
      </c>
      <c r="B734" s="105"/>
      <c r="C734" s="107" t="s">
        <v>775</v>
      </c>
      <c r="D734" s="107" t="s">
        <v>250</v>
      </c>
      <c r="E734" s="120" t="s">
        <v>250</v>
      </c>
      <c r="F734" s="120" t="s">
        <v>250</v>
      </c>
      <c r="G734" s="120" t="s">
        <v>250</v>
      </c>
      <c r="H734" s="120" t="s">
        <v>250</v>
      </c>
      <c r="I734" s="120" t="s">
        <v>250</v>
      </c>
      <c r="J734" s="120" t="s">
        <v>250</v>
      </c>
      <c r="K734" s="120" t="s">
        <v>250</v>
      </c>
      <c r="L734" s="120" t="s">
        <v>250</v>
      </c>
      <c r="M734" s="120" t="s">
        <v>250</v>
      </c>
      <c r="N734" s="120" t="s">
        <v>250</v>
      </c>
      <c r="O734" s="120" t="s">
        <v>250</v>
      </c>
      <c r="P734" s="120" t="s">
        <v>250</v>
      </c>
      <c r="Q734" s="120" t="s">
        <v>250</v>
      </c>
      <c r="R734" s="120"/>
      <c r="S734" s="121"/>
    </row>
    <row r="735" spans="1:19" ht="15">
      <c r="A735" s="105" t="s">
        <v>250</v>
      </c>
      <c r="B735" s="105"/>
      <c r="C735" s="107" t="s">
        <v>776</v>
      </c>
      <c r="D735" s="107" t="s">
        <v>250</v>
      </c>
      <c r="E735" s="120" t="s">
        <v>250</v>
      </c>
      <c r="F735" s="120" t="s">
        <v>250</v>
      </c>
      <c r="G735" s="120" t="s">
        <v>250</v>
      </c>
      <c r="H735" s="120" t="s">
        <v>250</v>
      </c>
      <c r="I735" s="120" t="s">
        <v>250</v>
      </c>
      <c r="J735" s="120" t="s">
        <v>250</v>
      </c>
      <c r="K735" s="120" t="s">
        <v>250</v>
      </c>
      <c r="L735" s="120" t="s">
        <v>250</v>
      </c>
      <c r="M735" s="120" t="s">
        <v>250</v>
      </c>
      <c r="N735" s="120" t="s">
        <v>250</v>
      </c>
      <c r="O735" s="120" t="s">
        <v>250</v>
      </c>
      <c r="P735" s="120" t="s">
        <v>250</v>
      </c>
      <c r="Q735" s="120" t="s">
        <v>250</v>
      </c>
      <c r="R735" s="120"/>
      <c r="S735" s="121"/>
    </row>
    <row r="736" spans="1:19" ht="15">
      <c r="A736" s="105">
        <v>2</v>
      </c>
      <c r="B736" s="105"/>
      <c r="C736" s="107" t="s">
        <v>250</v>
      </c>
      <c r="D736" s="107" t="s">
        <v>250</v>
      </c>
      <c r="E736" s="120" t="s">
        <v>250</v>
      </c>
      <c r="F736" s="120" t="s">
        <v>250</v>
      </c>
      <c r="G736" s="120" t="s">
        <v>250</v>
      </c>
      <c r="H736" s="120" t="s">
        <v>250</v>
      </c>
      <c r="I736" s="120" t="s">
        <v>250</v>
      </c>
      <c r="J736" s="120" t="s">
        <v>250</v>
      </c>
      <c r="K736" s="120" t="s">
        <v>250</v>
      </c>
      <c r="L736" s="120" t="s">
        <v>250</v>
      </c>
      <c r="M736" s="120" t="s">
        <v>250</v>
      </c>
      <c r="N736" s="120" t="s">
        <v>250</v>
      </c>
      <c r="O736" s="120" t="s">
        <v>250</v>
      </c>
      <c r="P736" s="120" t="s">
        <v>250</v>
      </c>
      <c r="Q736" s="120" t="s">
        <v>250</v>
      </c>
      <c r="R736" s="120"/>
      <c r="S736" s="121"/>
    </row>
    <row r="737" spans="1:19" ht="15">
      <c r="A737" s="105">
        <v>3</v>
      </c>
      <c r="B737" s="105"/>
      <c r="C737" s="107" t="s">
        <v>250</v>
      </c>
      <c r="D737" s="107" t="s">
        <v>250</v>
      </c>
      <c r="E737" s="120" t="s">
        <v>250</v>
      </c>
      <c r="F737" s="120" t="s">
        <v>250</v>
      </c>
      <c r="G737" s="120" t="s">
        <v>250</v>
      </c>
      <c r="H737" s="120" t="s">
        <v>250</v>
      </c>
      <c r="I737" s="120" t="s">
        <v>250</v>
      </c>
      <c r="J737" s="120" t="s">
        <v>250</v>
      </c>
      <c r="K737" s="120" t="s">
        <v>250</v>
      </c>
      <c r="L737" s="120" t="s">
        <v>250</v>
      </c>
      <c r="M737" s="120" t="s">
        <v>250</v>
      </c>
      <c r="N737" s="120" t="s">
        <v>250</v>
      </c>
      <c r="O737" s="120" t="s">
        <v>250</v>
      </c>
      <c r="P737" s="120" t="s">
        <v>250</v>
      </c>
      <c r="Q737" s="120" t="s">
        <v>250</v>
      </c>
      <c r="R737" s="120"/>
      <c r="S737" s="121"/>
    </row>
    <row r="738" spans="1:19" ht="15">
      <c r="A738" s="105">
        <v>4</v>
      </c>
      <c r="B738" s="105"/>
      <c r="C738" s="107" t="s">
        <v>777</v>
      </c>
      <c r="D738" s="107" t="s">
        <v>250</v>
      </c>
      <c r="E738" s="120">
        <v>0</v>
      </c>
      <c r="F738" s="120" t="s">
        <v>250</v>
      </c>
      <c r="G738" s="120">
        <v>0</v>
      </c>
      <c r="H738" s="120" t="s">
        <v>250</v>
      </c>
      <c r="I738" s="120">
        <v>0</v>
      </c>
      <c r="J738" s="120">
        <v>0</v>
      </c>
      <c r="K738" s="120" t="s">
        <v>250</v>
      </c>
      <c r="L738" s="120" t="s">
        <v>250</v>
      </c>
      <c r="M738" s="120">
        <v>0</v>
      </c>
      <c r="N738" s="120" t="s">
        <v>250</v>
      </c>
      <c r="O738" s="120">
        <v>0</v>
      </c>
      <c r="P738" s="120">
        <v>0</v>
      </c>
      <c r="Q738" s="120">
        <v>0</v>
      </c>
      <c r="R738" s="120"/>
      <c r="S738" s="121"/>
    </row>
    <row r="739" spans="1:19" ht="15">
      <c r="A739" s="105" t="s">
        <v>250</v>
      </c>
      <c r="B739" s="105"/>
      <c r="C739" s="107" t="s">
        <v>250</v>
      </c>
      <c r="D739" s="107" t="s">
        <v>250</v>
      </c>
      <c r="E739" s="120" t="s">
        <v>250</v>
      </c>
      <c r="F739" s="120" t="s">
        <v>250</v>
      </c>
      <c r="G739" s="120" t="s">
        <v>250</v>
      </c>
      <c r="H739" s="120" t="s">
        <v>250</v>
      </c>
      <c r="I739" s="120" t="s">
        <v>250</v>
      </c>
      <c r="J739" s="120" t="s">
        <v>250</v>
      </c>
      <c r="K739" s="120" t="s">
        <v>250</v>
      </c>
      <c r="L739" s="120" t="s">
        <v>250</v>
      </c>
      <c r="M739" s="120" t="s">
        <v>250</v>
      </c>
      <c r="N739" s="120" t="s">
        <v>250</v>
      </c>
      <c r="O739" s="120" t="s">
        <v>250</v>
      </c>
      <c r="P739" s="120" t="s">
        <v>250</v>
      </c>
      <c r="Q739" s="120" t="s">
        <v>250</v>
      </c>
      <c r="R739" s="120"/>
      <c r="S739" s="121"/>
    </row>
    <row r="740" spans="1:19" ht="15">
      <c r="A740" s="105" t="s">
        <v>250</v>
      </c>
      <c r="B740" s="105"/>
      <c r="C740" s="107" t="s">
        <v>778</v>
      </c>
      <c r="D740" s="107" t="s">
        <v>250</v>
      </c>
      <c r="E740" s="120" t="s">
        <v>250</v>
      </c>
      <c r="F740" s="120" t="s">
        <v>250</v>
      </c>
      <c r="G740" s="120" t="s">
        <v>250</v>
      </c>
      <c r="H740" s="120" t="s">
        <v>250</v>
      </c>
      <c r="I740" s="120" t="s">
        <v>250</v>
      </c>
      <c r="J740" s="120" t="s">
        <v>250</v>
      </c>
      <c r="K740" s="120" t="s">
        <v>250</v>
      </c>
      <c r="L740" s="120" t="s">
        <v>250</v>
      </c>
      <c r="M740" s="120" t="s">
        <v>250</v>
      </c>
      <c r="N740" s="120" t="s">
        <v>250</v>
      </c>
      <c r="O740" s="120" t="s">
        <v>250</v>
      </c>
      <c r="P740" s="120" t="s">
        <v>250</v>
      </c>
      <c r="Q740" s="120" t="s">
        <v>250</v>
      </c>
      <c r="R740" s="120"/>
      <c r="S740" s="121"/>
    </row>
    <row r="741" spans="1:19" ht="15">
      <c r="A741" s="105" t="s">
        <v>250</v>
      </c>
      <c r="B741" s="105"/>
      <c r="C741" s="107" t="s">
        <v>779</v>
      </c>
      <c r="D741" s="107" t="s">
        <v>250</v>
      </c>
      <c r="E741" s="120" t="s">
        <v>250</v>
      </c>
      <c r="F741" s="120" t="s">
        <v>250</v>
      </c>
      <c r="G741" s="120" t="s">
        <v>250</v>
      </c>
      <c r="H741" s="120" t="s">
        <v>250</v>
      </c>
      <c r="I741" s="120" t="s">
        <v>250</v>
      </c>
      <c r="J741" s="120" t="s">
        <v>250</v>
      </c>
      <c r="K741" s="120" t="s">
        <v>250</v>
      </c>
      <c r="L741" s="120" t="s">
        <v>250</v>
      </c>
      <c r="M741" s="120" t="s">
        <v>250</v>
      </c>
      <c r="N741" s="120" t="s">
        <v>250</v>
      </c>
      <c r="O741" s="120" t="s">
        <v>250</v>
      </c>
      <c r="P741" s="120" t="s">
        <v>250</v>
      </c>
      <c r="Q741" s="120" t="s">
        <v>250</v>
      </c>
      <c r="R741" s="120"/>
      <c r="S741" s="121"/>
    </row>
    <row r="742" spans="1:19" ht="15">
      <c r="A742" s="105">
        <v>5</v>
      </c>
      <c r="B742" s="105"/>
      <c r="C742" s="107" t="s">
        <v>780</v>
      </c>
      <c r="D742" s="107" t="s">
        <v>781</v>
      </c>
      <c r="E742" s="120">
        <v>111848302.24521494</v>
      </c>
      <c r="F742" s="120" t="s">
        <v>250</v>
      </c>
      <c r="G742" s="120">
        <v>104811731.29800512</v>
      </c>
      <c r="H742" s="120" t="s">
        <v>250</v>
      </c>
      <c r="I742" s="120">
        <v>5536514.9712816896</v>
      </c>
      <c r="J742" s="120">
        <v>1500055.9759281254</v>
      </c>
      <c r="K742" s="120" t="s">
        <v>250</v>
      </c>
      <c r="L742" s="120" t="s">
        <v>250</v>
      </c>
      <c r="M742" s="120">
        <v>0</v>
      </c>
      <c r="N742" s="120" t="s">
        <v>250</v>
      </c>
      <c r="O742" s="120">
        <v>1500055.9759281254</v>
      </c>
      <c r="P742" s="120">
        <v>788959.51403608953</v>
      </c>
      <c r="Q742" s="120">
        <v>711096.46189203579</v>
      </c>
      <c r="R742" s="120"/>
      <c r="S742" s="121"/>
    </row>
    <row r="743" spans="1:19" ht="15">
      <c r="A743" s="105">
        <v>6</v>
      </c>
      <c r="B743" s="105"/>
      <c r="C743" s="107" t="s">
        <v>782</v>
      </c>
      <c r="D743" s="107" t="s">
        <v>783</v>
      </c>
      <c r="E743" s="120">
        <v>0</v>
      </c>
      <c r="F743" s="120" t="s">
        <v>250</v>
      </c>
      <c r="G743" s="120">
        <v>0</v>
      </c>
      <c r="H743" s="120" t="s">
        <v>250</v>
      </c>
      <c r="I743" s="120">
        <v>23268.303409999993</v>
      </c>
      <c r="J743" s="120">
        <v>0</v>
      </c>
      <c r="K743" s="120" t="s">
        <v>250</v>
      </c>
      <c r="L743" s="120" t="s">
        <v>250</v>
      </c>
      <c r="M743" s="120">
        <v>0</v>
      </c>
      <c r="N743" s="120" t="s">
        <v>250</v>
      </c>
      <c r="O743" s="120">
        <v>0</v>
      </c>
      <c r="P743" s="120">
        <v>0</v>
      </c>
      <c r="Q743" s="120">
        <v>0</v>
      </c>
      <c r="R743" s="120"/>
      <c r="S743" s="121"/>
    </row>
    <row r="744" spans="1:19" ht="15">
      <c r="A744" s="105">
        <v>7</v>
      </c>
      <c r="B744" s="105"/>
      <c r="C744" s="107" t="s">
        <v>784</v>
      </c>
      <c r="D744" s="107" t="s">
        <v>2534</v>
      </c>
      <c r="E744" s="120">
        <v>-39899.011345943713</v>
      </c>
      <c r="F744" s="120" t="s">
        <v>250</v>
      </c>
      <c r="G744" s="120">
        <v>0</v>
      </c>
      <c r="H744" s="120" t="s">
        <v>250</v>
      </c>
      <c r="I744" s="120">
        <v>0</v>
      </c>
      <c r="J744" s="120">
        <v>-39899.011345943713</v>
      </c>
      <c r="K744" s="120" t="s">
        <v>250</v>
      </c>
      <c r="L744" s="120" t="s">
        <v>250</v>
      </c>
      <c r="M744" s="120">
        <v>0</v>
      </c>
      <c r="N744" s="120" t="s">
        <v>250</v>
      </c>
      <c r="O744" s="120">
        <v>-39899.011345943713</v>
      </c>
      <c r="P744" s="120">
        <v>-20239.011145855973</v>
      </c>
      <c r="Q744" s="120">
        <v>-19660.000200087739</v>
      </c>
      <c r="R744" s="120"/>
      <c r="S744" s="121"/>
    </row>
    <row r="745" spans="1:19" ht="15">
      <c r="A745" s="105">
        <v>8</v>
      </c>
      <c r="B745" s="105"/>
      <c r="C745" s="107" t="s">
        <v>786</v>
      </c>
      <c r="D745" s="107" t="s">
        <v>250</v>
      </c>
      <c r="E745" s="120">
        <v>111808403.233869</v>
      </c>
      <c r="F745" s="120" t="s">
        <v>250</v>
      </c>
      <c r="G745" s="120">
        <v>104811731.29800512</v>
      </c>
      <c r="H745" s="120" t="s">
        <v>250</v>
      </c>
      <c r="I745" s="120">
        <v>5559783.2746916898</v>
      </c>
      <c r="J745" s="120">
        <v>1460156.9645821815</v>
      </c>
      <c r="K745" s="120" t="s">
        <v>250</v>
      </c>
      <c r="L745" s="120" t="s">
        <v>250</v>
      </c>
      <c r="M745" s="120">
        <v>0</v>
      </c>
      <c r="N745" s="120" t="s">
        <v>250</v>
      </c>
      <c r="O745" s="120">
        <v>1460156.9645821815</v>
      </c>
      <c r="P745" s="120">
        <v>768720.50289023353</v>
      </c>
      <c r="Q745" s="120">
        <v>691436.461691948</v>
      </c>
      <c r="R745" s="120"/>
      <c r="S745" s="121"/>
    </row>
    <row r="746" spans="1:19" ht="15">
      <c r="A746" s="105" t="s">
        <v>250</v>
      </c>
      <c r="B746" s="105"/>
      <c r="C746" s="107" t="s">
        <v>250</v>
      </c>
      <c r="D746" s="107" t="s">
        <v>250</v>
      </c>
      <c r="E746" s="120" t="s">
        <v>250</v>
      </c>
      <c r="F746" s="120" t="s">
        <v>250</v>
      </c>
      <c r="G746" s="120" t="s">
        <v>250</v>
      </c>
      <c r="H746" s="120" t="s">
        <v>250</v>
      </c>
      <c r="I746" s="120" t="s">
        <v>250</v>
      </c>
      <c r="J746" s="120" t="s">
        <v>250</v>
      </c>
      <c r="K746" s="120" t="s">
        <v>250</v>
      </c>
      <c r="L746" s="120" t="s">
        <v>250</v>
      </c>
      <c r="M746" s="120" t="s">
        <v>250</v>
      </c>
      <c r="N746" s="120" t="s">
        <v>250</v>
      </c>
      <c r="O746" s="120" t="s">
        <v>250</v>
      </c>
      <c r="P746" s="120" t="s">
        <v>250</v>
      </c>
      <c r="Q746" s="120" t="s">
        <v>250</v>
      </c>
      <c r="R746" s="120"/>
      <c r="S746" s="121"/>
    </row>
    <row r="747" spans="1:19" ht="15">
      <c r="A747" s="105" t="s">
        <v>250</v>
      </c>
      <c r="B747" s="105"/>
      <c r="C747" s="107" t="s">
        <v>787</v>
      </c>
      <c r="D747" s="107" t="s">
        <v>250</v>
      </c>
      <c r="E747" s="120" t="s">
        <v>250</v>
      </c>
      <c r="F747" s="120" t="s">
        <v>250</v>
      </c>
      <c r="G747" s="120" t="s">
        <v>250</v>
      </c>
      <c r="H747" s="120" t="s">
        <v>250</v>
      </c>
      <c r="I747" s="120" t="s">
        <v>250</v>
      </c>
      <c r="J747" s="120" t="s">
        <v>250</v>
      </c>
      <c r="K747" s="120" t="s">
        <v>250</v>
      </c>
      <c r="L747" s="120" t="s">
        <v>250</v>
      </c>
      <c r="M747" s="120" t="s">
        <v>250</v>
      </c>
      <c r="N747" s="120" t="s">
        <v>250</v>
      </c>
      <c r="O747" s="120" t="s">
        <v>250</v>
      </c>
      <c r="P747" s="120" t="s">
        <v>250</v>
      </c>
      <c r="Q747" s="120" t="s">
        <v>250</v>
      </c>
      <c r="R747" s="120"/>
      <c r="S747" s="121"/>
    </row>
    <row r="748" spans="1:19" ht="15">
      <c r="A748" s="105">
        <v>9</v>
      </c>
      <c r="B748" s="105"/>
      <c r="C748" s="107" t="s">
        <v>788</v>
      </c>
      <c r="D748" s="107" t="s">
        <v>925</v>
      </c>
      <c r="E748" s="120">
        <v>0</v>
      </c>
      <c r="F748" s="120" t="s">
        <v>250</v>
      </c>
      <c r="G748" s="120">
        <v>0</v>
      </c>
      <c r="H748" s="120" t="s">
        <v>250</v>
      </c>
      <c r="I748" s="120">
        <v>0</v>
      </c>
      <c r="J748" s="120">
        <v>0</v>
      </c>
      <c r="K748" s="120" t="s">
        <v>250</v>
      </c>
      <c r="L748" s="120" t="s">
        <v>250</v>
      </c>
      <c r="M748" s="120">
        <v>0</v>
      </c>
      <c r="N748" s="120" t="s">
        <v>250</v>
      </c>
      <c r="O748" s="120">
        <v>0</v>
      </c>
      <c r="P748" s="120">
        <v>0</v>
      </c>
      <c r="Q748" s="120">
        <v>0</v>
      </c>
      <c r="R748" s="120"/>
      <c r="S748" s="121"/>
    </row>
    <row r="749" spans="1:19" ht="15">
      <c r="A749" s="105">
        <v>10</v>
      </c>
      <c r="B749" s="105"/>
      <c r="C749" s="107" t="s">
        <v>2234</v>
      </c>
      <c r="D749" s="107" t="s">
        <v>443</v>
      </c>
      <c r="E749" s="120">
        <v>0</v>
      </c>
      <c r="F749" s="120" t="s">
        <v>250</v>
      </c>
      <c r="G749" s="120">
        <v>0</v>
      </c>
      <c r="H749" s="120" t="s">
        <v>250</v>
      </c>
      <c r="I749" s="120">
        <v>0</v>
      </c>
      <c r="J749" s="120">
        <v>0</v>
      </c>
      <c r="K749" s="120" t="s">
        <v>250</v>
      </c>
      <c r="L749" s="120" t="s">
        <v>250</v>
      </c>
      <c r="M749" s="120">
        <v>0</v>
      </c>
      <c r="N749" s="120" t="s">
        <v>250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11</v>
      </c>
      <c r="B750" s="105"/>
      <c r="C750" s="107" t="s">
        <v>789</v>
      </c>
      <c r="D750" s="107" t="s">
        <v>311</v>
      </c>
      <c r="E750" s="120">
        <v>282009.10818791698</v>
      </c>
      <c r="F750" s="120" t="s">
        <v>250</v>
      </c>
      <c r="G750" s="120">
        <v>0</v>
      </c>
      <c r="H750" s="120" t="s">
        <v>250</v>
      </c>
      <c r="I750" s="120">
        <v>193597.84249171612</v>
      </c>
      <c r="J750" s="120">
        <v>88411.265696200862</v>
      </c>
      <c r="K750" s="120" t="s">
        <v>250</v>
      </c>
      <c r="L750" s="120" t="s">
        <v>250</v>
      </c>
      <c r="M750" s="120">
        <v>0</v>
      </c>
      <c r="N750" s="120" t="s">
        <v>250</v>
      </c>
      <c r="O750" s="120">
        <v>88411.265696200862</v>
      </c>
      <c r="P750" s="120">
        <v>44847.141106581716</v>
      </c>
      <c r="Q750" s="120">
        <v>43564.124589619139</v>
      </c>
      <c r="R750" s="120"/>
      <c r="S750" s="121"/>
    </row>
    <row r="751" spans="1:19" ht="15">
      <c r="A751" s="105">
        <v>12</v>
      </c>
      <c r="B751" s="105"/>
      <c r="C751" s="107" t="s">
        <v>790</v>
      </c>
      <c r="D751" s="107" t="s">
        <v>313</v>
      </c>
      <c r="E751" s="120">
        <v>817990.89181208308</v>
      </c>
      <c r="F751" s="120" t="s">
        <v>250</v>
      </c>
      <c r="G751" s="120">
        <v>0</v>
      </c>
      <c r="H751" s="120" t="s">
        <v>250</v>
      </c>
      <c r="I751" s="120">
        <v>0</v>
      </c>
      <c r="J751" s="120">
        <v>817990.89181208308</v>
      </c>
      <c r="K751" s="120" t="s">
        <v>250</v>
      </c>
      <c r="L751" s="120" t="s">
        <v>250</v>
      </c>
      <c r="M751" s="120">
        <v>0</v>
      </c>
      <c r="N751" s="120" t="s">
        <v>250</v>
      </c>
      <c r="O751" s="120">
        <v>817990.89181208308</v>
      </c>
      <c r="P751" s="120">
        <v>414930.75186878012</v>
      </c>
      <c r="Q751" s="120">
        <v>403060.13994330296</v>
      </c>
      <c r="R751" s="120"/>
      <c r="S751" s="121"/>
    </row>
    <row r="752" spans="1:19" ht="15">
      <c r="A752" s="105">
        <v>13</v>
      </c>
      <c r="B752" s="105"/>
      <c r="C752" s="107" t="s">
        <v>791</v>
      </c>
      <c r="D752" s="107" t="s">
        <v>781</v>
      </c>
      <c r="E752" s="120">
        <v>1699999.9999999998</v>
      </c>
      <c r="F752" s="120" t="s">
        <v>250</v>
      </c>
      <c r="G752" s="120">
        <v>1593050.047518549</v>
      </c>
      <c r="H752" s="120" t="s">
        <v>250</v>
      </c>
      <c r="I752" s="120">
        <v>-445098.09778703836</v>
      </c>
      <c r="J752" s="120">
        <v>22799.587547489216</v>
      </c>
      <c r="K752" s="120" t="s">
        <v>250</v>
      </c>
      <c r="L752" s="120" t="s">
        <v>250</v>
      </c>
      <c r="M752" s="120">
        <v>0</v>
      </c>
      <c r="N752" s="120" t="s">
        <v>250</v>
      </c>
      <c r="O752" s="120">
        <v>22799.587547489216</v>
      </c>
      <c r="P752" s="120">
        <v>11991.520183478979</v>
      </c>
      <c r="Q752" s="120">
        <v>10808.06736401024</v>
      </c>
      <c r="R752" s="120"/>
      <c r="S752" s="121"/>
    </row>
    <row r="753" spans="1:19" ht="15">
      <c r="A753" s="105" t="s">
        <v>250</v>
      </c>
      <c r="B753" s="105"/>
      <c r="C753" s="107" t="s">
        <v>250</v>
      </c>
      <c r="D753" s="107" t="s">
        <v>250</v>
      </c>
      <c r="E753" s="120" t="s">
        <v>250</v>
      </c>
      <c r="F753" s="120" t="s">
        <v>250</v>
      </c>
      <c r="G753" s="120" t="s">
        <v>250</v>
      </c>
      <c r="H753" s="120" t="s">
        <v>250</v>
      </c>
      <c r="I753" s="120" t="s">
        <v>250</v>
      </c>
      <c r="J753" s="120" t="s">
        <v>250</v>
      </c>
      <c r="K753" s="120" t="s">
        <v>250</v>
      </c>
      <c r="L753" s="120" t="s">
        <v>250</v>
      </c>
      <c r="M753" s="120" t="s">
        <v>250</v>
      </c>
      <c r="N753" s="120" t="s">
        <v>250</v>
      </c>
      <c r="O753" s="120" t="s">
        <v>250</v>
      </c>
      <c r="P753" s="120" t="s">
        <v>250</v>
      </c>
      <c r="Q753" s="120" t="s">
        <v>250</v>
      </c>
      <c r="R753" s="120"/>
      <c r="S753" s="121"/>
    </row>
    <row r="754" spans="1:19" ht="15">
      <c r="A754" s="105">
        <v>14</v>
      </c>
      <c r="B754" s="105"/>
      <c r="C754" s="107" t="s">
        <v>792</v>
      </c>
      <c r="D754" s="107" t="s">
        <v>250</v>
      </c>
      <c r="E754" s="120">
        <v>343419774</v>
      </c>
      <c r="F754" s="120" t="s">
        <v>250</v>
      </c>
      <c r="G754" s="120">
        <v>324989405</v>
      </c>
      <c r="H754" s="120" t="s">
        <v>250</v>
      </c>
      <c r="I754" s="120">
        <v>14176586</v>
      </c>
      <c r="J754" s="120">
        <v>3701267</v>
      </c>
      <c r="K754" s="120" t="s">
        <v>250</v>
      </c>
      <c r="L754" s="120" t="s">
        <v>250</v>
      </c>
      <c r="M754" s="120">
        <v>0</v>
      </c>
      <c r="N754" s="120" t="s">
        <v>250</v>
      </c>
      <c r="O754" s="120">
        <v>3701267</v>
      </c>
      <c r="P754" s="120">
        <v>1254308</v>
      </c>
      <c r="Q754" s="120">
        <v>2446959</v>
      </c>
      <c r="R754" s="120"/>
      <c r="S754" s="121"/>
    </row>
    <row r="755" spans="1:19" ht="15">
      <c r="A755" s="105">
        <v>15</v>
      </c>
      <c r="B755" s="105"/>
      <c r="C755" s="107" t="s">
        <v>2235</v>
      </c>
      <c r="D755" s="107" t="s">
        <v>250</v>
      </c>
      <c r="E755" s="120">
        <v>343419774</v>
      </c>
      <c r="F755" s="120" t="s">
        <v>250</v>
      </c>
      <c r="G755" s="120">
        <v>324989405</v>
      </c>
      <c r="H755" s="120" t="s">
        <v>250</v>
      </c>
      <c r="I755" s="120">
        <v>11823389.254569316</v>
      </c>
      <c r="J755" s="120">
        <v>3701267</v>
      </c>
      <c r="K755" s="120" t="s">
        <v>250</v>
      </c>
      <c r="L755" s="120" t="s">
        <v>250</v>
      </c>
      <c r="M755" s="120">
        <v>0</v>
      </c>
      <c r="N755" s="120" t="s">
        <v>250</v>
      </c>
      <c r="O755" s="120">
        <v>3701267</v>
      </c>
      <c r="P755" s="120">
        <v>1254308</v>
      </c>
      <c r="Q755" s="120">
        <v>2446959</v>
      </c>
      <c r="R755" s="120"/>
      <c r="S755" s="121"/>
    </row>
    <row r="756" spans="1:19" ht="15">
      <c r="A756" s="105" t="s">
        <v>250</v>
      </c>
      <c r="B756" s="105"/>
      <c r="C756" s="107" t="s">
        <v>250</v>
      </c>
      <c r="D756" s="107" t="s">
        <v>250</v>
      </c>
      <c r="E756" s="120" t="s">
        <v>250</v>
      </c>
      <c r="F756" s="120" t="s">
        <v>250</v>
      </c>
      <c r="G756" s="120" t="s">
        <v>250</v>
      </c>
      <c r="H756" s="120" t="s">
        <v>250</v>
      </c>
      <c r="I756" s="120" t="s">
        <v>250</v>
      </c>
      <c r="J756" s="120" t="s">
        <v>250</v>
      </c>
      <c r="K756" s="120" t="s">
        <v>250</v>
      </c>
      <c r="L756" s="120" t="s">
        <v>250</v>
      </c>
      <c r="M756" s="120" t="s">
        <v>250</v>
      </c>
      <c r="N756" s="120" t="s">
        <v>250</v>
      </c>
      <c r="O756" s="120" t="s">
        <v>250</v>
      </c>
      <c r="P756" s="120" t="s">
        <v>250</v>
      </c>
      <c r="Q756" s="120" t="s">
        <v>250</v>
      </c>
      <c r="R756" s="120"/>
      <c r="S756" s="121"/>
    </row>
    <row r="757" spans="1:19" ht="15">
      <c r="A757" s="105">
        <v>16</v>
      </c>
      <c r="B757" s="105"/>
      <c r="C757" s="107" t="s">
        <v>793</v>
      </c>
      <c r="D757" s="107" t="s">
        <v>250</v>
      </c>
      <c r="E757" s="120">
        <v>17170988.699999999</v>
      </c>
      <c r="F757" s="120" t="s">
        <v>250</v>
      </c>
      <c r="G757" s="120">
        <v>16249470.25</v>
      </c>
      <c r="H757" s="120" t="s">
        <v>250</v>
      </c>
      <c r="I757" s="120">
        <v>709403.355274159</v>
      </c>
      <c r="J757" s="120">
        <v>185063.35</v>
      </c>
      <c r="K757" s="120" t="s">
        <v>250</v>
      </c>
      <c r="L757" s="120" t="s">
        <v>250</v>
      </c>
      <c r="M757" s="120">
        <v>0</v>
      </c>
      <c r="N757" s="120" t="s">
        <v>250</v>
      </c>
      <c r="O757" s="120">
        <v>185063.35</v>
      </c>
      <c r="P757" s="120">
        <v>62715.4</v>
      </c>
      <c r="Q757" s="120">
        <v>122347.95000000001</v>
      </c>
      <c r="R757" s="120"/>
      <c r="S757" s="121"/>
    </row>
    <row r="758" spans="1:19" ht="15">
      <c r="A758" s="105">
        <v>17</v>
      </c>
      <c r="B758" s="105"/>
      <c r="C758" s="107" t="s">
        <v>794</v>
      </c>
      <c r="D758" s="107" t="s">
        <v>781</v>
      </c>
      <c r="E758" s="120">
        <v>70760</v>
      </c>
      <c r="F758" s="120" t="s">
        <v>250</v>
      </c>
      <c r="G758" s="120">
        <v>66308</v>
      </c>
      <c r="H758" s="120" t="s">
        <v>250</v>
      </c>
      <c r="I758" s="120">
        <v>3503</v>
      </c>
      <c r="J758" s="120">
        <v>949</v>
      </c>
      <c r="K758" s="120" t="s">
        <v>250</v>
      </c>
      <c r="L758" s="120" t="s">
        <v>250</v>
      </c>
      <c r="M758" s="120">
        <v>0</v>
      </c>
      <c r="N758" s="120" t="s">
        <v>250</v>
      </c>
      <c r="O758" s="120">
        <v>949</v>
      </c>
      <c r="P758" s="120">
        <v>499</v>
      </c>
      <c r="Q758" s="120">
        <v>450</v>
      </c>
      <c r="R758" s="120"/>
      <c r="S758" s="121"/>
    </row>
    <row r="759" spans="1:19" ht="15">
      <c r="A759" s="105">
        <v>18</v>
      </c>
      <c r="B759" s="105"/>
      <c r="C759" s="107" t="s">
        <v>795</v>
      </c>
      <c r="D759" s="107" t="s">
        <v>375</v>
      </c>
      <c r="E759" s="120">
        <v>-1239235</v>
      </c>
      <c r="F759" s="120" t="s">
        <v>250</v>
      </c>
      <c r="G759" s="120">
        <v>-1214125</v>
      </c>
      <c r="H759" s="120" t="s">
        <v>250</v>
      </c>
      <c r="I759" s="120">
        <v>0</v>
      </c>
      <c r="J759" s="120">
        <v>-25110</v>
      </c>
      <c r="K759" s="120" t="s">
        <v>250</v>
      </c>
      <c r="L759" s="120" t="s">
        <v>250</v>
      </c>
      <c r="M759" s="120">
        <v>0</v>
      </c>
      <c r="N759" s="120" t="s">
        <v>250</v>
      </c>
      <c r="O759" s="120">
        <v>-25110</v>
      </c>
      <c r="P759" s="120">
        <v>-12737</v>
      </c>
      <c r="Q759" s="120">
        <v>-12373</v>
      </c>
      <c r="R759" s="120"/>
      <c r="S759" s="121"/>
    </row>
    <row r="760" spans="1:19" ht="15">
      <c r="A760" s="105">
        <v>19</v>
      </c>
      <c r="B760" s="105"/>
      <c r="C760" s="107" t="s">
        <v>3696</v>
      </c>
      <c r="D760" s="107" t="s">
        <v>732</v>
      </c>
      <c r="E760" s="120">
        <v>-55192</v>
      </c>
      <c r="F760" s="120" t="s">
        <v>250</v>
      </c>
      <c r="G760" s="120">
        <v>-55192</v>
      </c>
      <c r="H760" s="120" t="s">
        <v>250</v>
      </c>
      <c r="I760" s="120">
        <v>0</v>
      </c>
      <c r="J760" s="120" t="s">
        <v>250</v>
      </c>
      <c r="K760" s="120" t="s">
        <v>250</v>
      </c>
      <c r="L760" s="120" t="s">
        <v>250</v>
      </c>
      <c r="M760" s="120" t="s">
        <v>250</v>
      </c>
      <c r="N760" s="120" t="s">
        <v>250</v>
      </c>
      <c r="O760" s="120">
        <v>0</v>
      </c>
      <c r="P760" s="120">
        <v>0</v>
      </c>
      <c r="Q760" s="120">
        <v>0</v>
      </c>
      <c r="R760" s="120"/>
      <c r="S760" s="121"/>
    </row>
    <row r="761" spans="1:19" ht="15">
      <c r="A761" s="105">
        <v>20</v>
      </c>
      <c r="B761" s="105"/>
      <c r="C761" s="107" t="s">
        <v>3697</v>
      </c>
      <c r="D761" s="107" t="s">
        <v>796</v>
      </c>
      <c r="E761" s="120">
        <v>-1305766</v>
      </c>
      <c r="F761" s="120" t="s">
        <v>250</v>
      </c>
      <c r="G761" s="120">
        <v>-1286426</v>
      </c>
      <c r="H761" s="120" t="s">
        <v>250</v>
      </c>
      <c r="I761" s="120">
        <v>0</v>
      </c>
      <c r="J761" s="120">
        <v>-19340</v>
      </c>
      <c r="K761" s="120" t="s">
        <v>250</v>
      </c>
      <c r="L761" s="120" t="s">
        <v>250</v>
      </c>
      <c r="M761" s="120">
        <v>0</v>
      </c>
      <c r="N761" s="120" t="s">
        <v>250</v>
      </c>
      <c r="O761" s="120">
        <v>-19340</v>
      </c>
      <c r="P761" s="120">
        <v>-10111</v>
      </c>
      <c r="Q761" s="120">
        <v>-9229</v>
      </c>
      <c r="R761" s="120"/>
      <c r="S761" s="121"/>
    </row>
    <row r="762" spans="1:19" ht="15">
      <c r="A762" s="105">
        <v>21</v>
      </c>
      <c r="B762" s="105"/>
      <c r="C762" s="107" t="s">
        <v>797</v>
      </c>
      <c r="D762" s="107" t="s">
        <v>250</v>
      </c>
      <c r="E762" s="120">
        <v>14641555.699999999</v>
      </c>
      <c r="F762" s="120" t="s">
        <v>250</v>
      </c>
      <c r="G762" s="120">
        <v>13760035.25</v>
      </c>
      <c r="H762" s="120" t="s">
        <v>250</v>
      </c>
      <c r="I762" s="120">
        <v>712906.355274159</v>
      </c>
      <c r="J762" s="120">
        <v>141562.35</v>
      </c>
      <c r="K762" s="120" t="s">
        <v>250</v>
      </c>
      <c r="L762" s="120" t="s">
        <v>250</v>
      </c>
      <c r="M762" s="120">
        <v>0</v>
      </c>
      <c r="N762" s="120" t="s">
        <v>250</v>
      </c>
      <c r="O762" s="120">
        <v>141562.35</v>
      </c>
      <c r="P762" s="120">
        <v>40366.400000000001</v>
      </c>
      <c r="Q762" s="120">
        <v>101195.95000000001</v>
      </c>
      <c r="R762" s="120"/>
      <c r="S762" s="121"/>
    </row>
    <row r="763" spans="1:19" ht="15">
      <c r="A763" s="105">
        <v>22</v>
      </c>
      <c r="B763" s="105"/>
      <c r="C763" s="107" t="s">
        <v>798</v>
      </c>
      <c r="D763" s="107" t="s">
        <v>925</v>
      </c>
      <c r="E763" s="120">
        <v>0</v>
      </c>
      <c r="F763" s="120" t="s">
        <v>250</v>
      </c>
      <c r="G763" s="120">
        <v>0</v>
      </c>
      <c r="H763" s="120" t="s">
        <v>250</v>
      </c>
      <c r="I763" s="120">
        <v>0</v>
      </c>
      <c r="J763" s="120">
        <v>0</v>
      </c>
      <c r="K763" s="120" t="s">
        <v>250</v>
      </c>
      <c r="L763" s="120" t="s">
        <v>250</v>
      </c>
      <c r="M763" s="120">
        <v>0</v>
      </c>
      <c r="N763" s="120" t="s">
        <v>250</v>
      </c>
      <c r="O763" s="120">
        <v>0</v>
      </c>
      <c r="P763" s="120">
        <v>0</v>
      </c>
      <c r="Q763" s="120">
        <v>0</v>
      </c>
      <c r="R763" s="120"/>
      <c r="S763" s="121"/>
    </row>
    <row r="764" spans="1:19" ht="15">
      <c r="A764" s="105">
        <v>23</v>
      </c>
      <c r="B764" s="105"/>
      <c r="C764" s="107" t="s">
        <v>799</v>
      </c>
      <c r="D764" s="107" t="s">
        <v>781</v>
      </c>
      <c r="E764" s="120">
        <v>0</v>
      </c>
      <c r="F764" s="120" t="s">
        <v>250</v>
      </c>
      <c r="G764" s="120">
        <v>0</v>
      </c>
      <c r="H764" s="120" t="s">
        <v>250</v>
      </c>
      <c r="I764" s="120">
        <v>529248.46272099996</v>
      </c>
      <c r="J764" s="120">
        <v>0</v>
      </c>
      <c r="K764" s="120" t="s">
        <v>250</v>
      </c>
      <c r="L764" s="120" t="s">
        <v>250</v>
      </c>
      <c r="M764" s="120">
        <v>0</v>
      </c>
      <c r="N764" s="120" t="s">
        <v>250</v>
      </c>
      <c r="O764" s="120">
        <v>0</v>
      </c>
      <c r="P764" s="120">
        <v>0</v>
      </c>
      <c r="Q764" s="120">
        <v>0</v>
      </c>
      <c r="R764" s="120"/>
      <c r="S764" s="121"/>
    </row>
    <row r="765" spans="1:19" ht="15">
      <c r="A765" s="105">
        <v>24</v>
      </c>
      <c r="B765" s="105"/>
      <c r="C765" s="107" t="s">
        <v>2236</v>
      </c>
      <c r="D765" s="107" t="s">
        <v>250</v>
      </c>
      <c r="E765" s="120">
        <v>328778218.30000001</v>
      </c>
      <c r="F765" s="120" t="s">
        <v>250</v>
      </c>
      <c r="G765" s="120">
        <v>311229369.75</v>
      </c>
      <c r="H765" s="120" t="s">
        <v>250</v>
      </c>
      <c r="I765" s="120">
        <v>13992928.10744684</v>
      </c>
      <c r="J765" s="120">
        <v>3559704.65</v>
      </c>
      <c r="K765" s="120" t="s">
        <v>250</v>
      </c>
      <c r="L765" s="120" t="s">
        <v>250</v>
      </c>
      <c r="M765" s="120">
        <v>0</v>
      </c>
      <c r="N765" s="120" t="s">
        <v>250</v>
      </c>
      <c r="O765" s="120">
        <v>3559704.65</v>
      </c>
      <c r="P765" s="120">
        <v>1213941.6000000001</v>
      </c>
      <c r="Q765" s="120">
        <v>2345763.0499999998</v>
      </c>
      <c r="R765" s="123"/>
      <c r="S765" s="121"/>
    </row>
    <row r="766" spans="1:19" ht="15">
      <c r="A766" s="105" t="s">
        <v>250</v>
      </c>
      <c r="B766" s="105"/>
      <c r="C766" s="107" t="s">
        <v>250</v>
      </c>
      <c r="D766" s="107" t="s">
        <v>250</v>
      </c>
      <c r="E766" s="120" t="s">
        <v>250</v>
      </c>
      <c r="F766" s="120" t="s">
        <v>250</v>
      </c>
      <c r="G766" s="120" t="s">
        <v>250</v>
      </c>
      <c r="H766" s="120" t="s">
        <v>250</v>
      </c>
      <c r="I766" s="120" t="s">
        <v>250</v>
      </c>
      <c r="J766" s="120" t="s">
        <v>250</v>
      </c>
      <c r="K766" s="120" t="s">
        <v>250</v>
      </c>
      <c r="L766" s="120" t="s">
        <v>250</v>
      </c>
      <c r="M766" s="120" t="s">
        <v>250</v>
      </c>
      <c r="N766" s="120" t="s">
        <v>250</v>
      </c>
      <c r="O766" s="120" t="s">
        <v>250</v>
      </c>
      <c r="P766" s="120" t="s">
        <v>250</v>
      </c>
      <c r="Q766" s="120" t="s">
        <v>250</v>
      </c>
      <c r="R766" s="120"/>
      <c r="S766" s="121"/>
    </row>
    <row r="767" spans="1:19" ht="15">
      <c r="A767" s="105">
        <v>25</v>
      </c>
      <c r="B767" s="105"/>
      <c r="C767" s="107" t="s">
        <v>2533</v>
      </c>
      <c r="D767" s="107" t="s">
        <v>250</v>
      </c>
      <c r="E767" s="120">
        <v>69043426</v>
      </c>
      <c r="F767" s="120" t="s">
        <v>250</v>
      </c>
      <c r="G767" s="120">
        <v>65358168</v>
      </c>
      <c r="H767" s="120" t="s">
        <v>250</v>
      </c>
      <c r="I767" s="120">
        <v>2938515</v>
      </c>
      <c r="J767" s="120">
        <v>747538</v>
      </c>
      <c r="K767" s="120" t="s">
        <v>250</v>
      </c>
      <c r="L767" s="120" t="s">
        <v>250</v>
      </c>
      <c r="M767" s="120">
        <v>0</v>
      </c>
      <c r="N767" s="120" t="s">
        <v>250</v>
      </c>
      <c r="O767" s="120">
        <v>747538</v>
      </c>
      <c r="P767" s="120">
        <v>254928</v>
      </c>
      <c r="Q767" s="120">
        <v>492610</v>
      </c>
      <c r="R767" s="120"/>
      <c r="S767" s="121"/>
    </row>
    <row r="768" spans="1:19" ht="15">
      <c r="A768" s="105">
        <v>26</v>
      </c>
      <c r="B768" s="105"/>
      <c r="C768" s="107" t="s">
        <v>3696</v>
      </c>
      <c r="D768" s="107" t="s">
        <v>732</v>
      </c>
      <c r="E768" s="120">
        <v>-737782</v>
      </c>
      <c r="F768" s="120" t="s">
        <v>250</v>
      </c>
      <c r="G768" s="120">
        <v>-634256</v>
      </c>
      <c r="H768" s="120" t="s">
        <v>250</v>
      </c>
      <c r="I768" s="120">
        <v>-103526</v>
      </c>
      <c r="J768" s="120" t="s">
        <v>250</v>
      </c>
      <c r="K768" s="120" t="s">
        <v>250</v>
      </c>
      <c r="L768" s="120" t="s">
        <v>250</v>
      </c>
      <c r="M768" s="120" t="s">
        <v>250</v>
      </c>
      <c r="N768" s="120" t="s">
        <v>250</v>
      </c>
      <c r="O768" s="120">
        <v>0</v>
      </c>
      <c r="P768" s="120">
        <v>0</v>
      </c>
      <c r="Q768" s="120">
        <v>0</v>
      </c>
      <c r="R768" s="124"/>
      <c r="S768" s="121"/>
    </row>
    <row r="769" spans="1:19" ht="15">
      <c r="A769" s="105">
        <v>27</v>
      </c>
      <c r="B769" s="105"/>
      <c r="C769" s="107" t="s">
        <v>3698</v>
      </c>
      <c r="D769" s="107" t="s">
        <v>781</v>
      </c>
      <c r="E769" s="120">
        <v>40393.999999999993</v>
      </c>
      <c r="F769" s="120" t="s">
        <v>250</v>
      </c>
      <c r="G769" s="120">
        <v>37852.743305567215</v>
      </c>
      <c r="H769" s="120" t="s">
        <v>250</v>
      </c>
      <c r="I769" s="120">
        <v>1999.5116712602612</v>
      </c>
      <c r="J769" s="120">
        <v>541.74502317251734</v>
      </c>
      <c r="K769" s="120" t="s">
        <v>250</v>
      </c>
      <c r="L769" s="120" t="s">
        <v>250</v>
      </c>
      <c r="M769" s="120">
        <v>0</v>
      </c>
      <c r="N769" s="120" t="s">
        <v>250</v>
      </c>
      <c r="O769" s="120">
        <v>541.74502317251734</v>
      </c>
      <c r="P769" s="120">
        <v>284.93262723026464</v>
      </c>
      <c r="Q769" s="120">
        <v>256.81239594225269</v>
      </c>
      <c r="R769" s="124"/>
      <c r="S769" s="121"/>
    </row>
    <row r="770" spans="1:19" ht="15">
      <c r="A770" s="105">
        <v>28</v>
      </c>
      <c r="B770" s="105"/>
      <c r="C770" s="107" t="s">
        <v>3697</v>
      </c>
      <c r="D770" s="107" t="s">
        <v>716</v>
      </c>
      <c r="E770" s="120">
        <v>-13866462</v>
      </c>
      <c r="F770" s="120" t="s">
        <v>250</v>
      </c>
      <c r="G770" s="120">
        <v>-12964052</v>
      </c>
      <c r="H770" s="120" t="s">
        <v>250</v>
      </c>
      <c r="I770" s="120">
        <v>-707514</v>
      </c>
      <c r="J770" s="120">
        <v>-194896</v>
      </c>
      <c r="K770" s="120" t="s">
        <v>250</v>
      </c>
      <c r="L770" s="120" t="s">
        <v>250</v>
      </c>
      <c r="M770" s="120">
        <v>0</v>
      </c>
      <c r="N770" s="120" t="s">
        <v>250</v>
      </c>
      <c r="O770" s="120">
        <v>-194896</v>
      </c>
      <c r="P770" s="120">
        <v>-101894</v>
      </c>
      <c r="Q770" s="120">
        <v>-93002</v>
      </c>
      <c r="R770" s="124"/>
      <c r="S770" s="121"/>
    </row>
    <row r="771" spans="1:19" ht="15">
      <c r="A771" s="105">
        <v>29</v>
      </c>
      <c r="B771" s="105"/>
      <c r="C771" s="107" t="s">
        <v>767</v>
      </c>
      <c r="D771" s="107" t="s">
        <v>250</v>
      </c>
      <c r="E771" s="120">
        <v>0</v>
      </c>
      <c r="F771" s="120" t="s">
        <v>250</v>
      </c>
      <c r="G771" s="120">
        <v>0</v>
      </c>
      <c r="H771" s="120" t="s">
        <v>250</v>
      </c>
      <c r="I771" s="120">
        <v>0</v>
      </c>
      <c r="J771" s="120">
        <v>0</v>
      </c>
      <c r="K771" s="120" t="s">
        <v>250</v>
      </c>
      <c r="L771" s="120" t="s">
        <v>250</v>
      </c>
      <c r="M771" s="120">
        <v>0</v>
      </c>
      <c r="N771" s="120" t="s">
        <v>250</v>
      </c>
      <c r="O771" s="120">
        <v>0</v>
      </c>
      <c r="P771" s="120">
        <v>0</v>
      </c>
      <c r="Q771" s="120">
        <v>0</v>
      </c>
      <c r="R771" s="124"/>
      <c r="S771" s="121"/>
    </row>
    <row r="772" spans="1:19" ht="15">
      <c r="A772" s="105">
        <v>30</v>
      </c>
      <c r="B772" s="105"/>
      <c r="C772" s="107" t="s">
        <v>800</v>
      </c>
      <c r="D772" s="107" t="s">
        <v>781</v>
      </c>
      <c r="E772" s="120">
        <v>-196392</v>
      </c>
      <c r="F772" s="120" t="s">
        <v>250</v>
      </c>
      <c r="G772" s="120">
        <v>-184037</v>
      </c>
      <c r="H772" s="120" t="s">
        <v>250</v>
      </c>
      <c r="I772" s="120">
        <v>-9721</v>
      </c>
      <c r="J772" s="120">
        <v>-2634</v>
      </c>
      <c r="K772" s="120" t="s">
        <v>250</v>
      </c>
      <c r="L772" s="120" t="s">
        <v>250</v>
      </c>
      <c r="M772" s="120">
        <v>0</v>
      </c>
      <c r="N772" s="120" t="s">
        <v>250</v>
      </c>
      <c r="O772" s="120">
        <v>-2634</v>
      </c>
      <c r="P772" s="120">
        <v>-1385</v>
      </c>
      <c r="Q772" s="120">
        <v>-1249</v>
      </c>
      <c r="R772" s="124"/>
      <c r="S772" s="121"/>
    </row>
    <row r="773" spans="1:19" ht="15">
      <c r="A773" s="105">
        <v>31</v>
      </c>
      <c r="B773" s="105"/>
      <c r="C773" s="107" t="s">
        <v>801</v>
      </c>
      <c r="D773" s="107" t="s">
        <v>250</v>
      </c>
      <c r="E773" s="120">
        <v>54283184</v>
      </c>
      <c r="F773" s="120" t="s">
        <v>250</v>
      </c>
      <c r="G773" s="120">
        <v>51613675.743305564</v>
      </c>
      <c r="H773" s="120" t="s">
        <v>250</v>
      </c>
      <c r="I773" s="120">
        <v>2119753.5116712605</v>
      </c>
      <c r="J773" s="120">
        <v>550549.74502317258</v>
      </c>
      <c r="K773" s="120" t="s">
        <v>250</v>
      </c>
      <c r="L773" s="120" t="s">
        <v>250</v>
      </c>
      <c r="M773" s="120">
        <v>0</v>
      </c>
      <c r="N773" s="120" t="s">
        <v>250</v>
      </c>
      <c r="O773" s="120">
        <v>550549.74502317258</v>
      </c>
      <c r="P773" s="120">
        <v>151933.93262723027</v>
      </c>
      <c r="Q773" s="120">
        <v>398615.81239594228</v>
      </c>
      <c r="R773" s="124"/>
      <c r="S773" s="121"/>
    </row>
    <row r="774" spans="1:19" ht="15">
      <c r="A774" s="105" t="s">
        <v>250</v>
      </c>
      <c r="B774" s="105"/>
      <c r="C774" s="107" t="s">
        <v>250</v>
      </c>
      <c r="D774" s="107" t="s">
        <v>250</v>
      </c>
      <c r="E774" s="120" t="s">
        <v>250</v>
      </c>
      <c r="F774" s="120" t="s">
        <v>250</v>
      </c>
      <c r="G774" s="120" t="s">
        <v>250</v>
      </c>
      <c r="H774" s="120" t="s">
        <v>250</v>
      </c>
      <c r="I774" s="120" t="s">
        <v>250</v>
      </c>
      <c r="J774" s="120" t="s">
        <v>250</v>
      </c>
      <c r="K774" s="120" t="s">
        <v>250</v>
      </c>
      <c r="L774" s="120" t="s">
        <v>250</v>
      </c>
      <c r="M774" s="120" t="s">
        <v>250</v>
      </c>
      <c r="N774" s="120" t="s">
        <v>250</v>
      </c>
      <c r="O774" s="120" t="s">
        <v>250</v>
      </c>
      <c r="P774" s="120" t="s">
        <v>250</v>
      </c>
      <c r="Q774" s="120" t="s">
        <v>250</v>
      </c>
      <c r="R774" s="120"/>
      <c r="S774" s="121"/>
    </row>
    <row r="775" spans="1:19" ht="15">
      <c r="A775" s="105">
        <v>32</v>
      </c>
      <c r="B775" s="105"/>
      <c r="C775" s="107" t="s">
        <v>290</v>
      </c>
      <c r="D775" s="107" t="s">
        <v>250</v>
      </c>
      <c r="E775" s="120">
        <v>383503437.50517279</v>
      </c>
      <c r="F775" s="120" t="s">
        <v>250</v>
      </c>
      <c r="G775" s="120">
        <v>362834375.75024927</v>
      </c>
      <c r="H775" s="120" t="s">
        <v>250</v>
      </c>
      <c r="I775" s="120">
        <v>17155209.204357643</v>
      </c>
      <c r="J775" s="120">
        <v>3540109.2952917917</v>
      </c>
      <c r="K775" s="120" t="s">
        <v>250</v>
      </c>
      <c r="L775" s="120" t="s">
        <v>250</v>
      </c>
      <c r="M775" s="120">
        <v>0</v>
      </c>
      <c r="N775" s="120" t="s">
        <v>250</v>
      </c>
      <c r="O775" s="120">
        <v>3540109.2952917917</v>
      </c>
      <c r="P775" s="120">
        <v>1358958.3173417759</v>
      </c>
      <c r="Q775" s="120">
        <v>2181150.977950016</v>
      </c>
      <c r="R775" s="120"/>
      <c r="S775" s="121"/>
    </row>
    <row r="776" spans="1:19" ht="15">
      <c r="A776" s="105">
        <v>33</v>
      </c>
      <c r="B776" s="105"/>
      <c r="C776" s="107" t="s">
        <v>291</v>
      </c>
      <c r="D776" s="107" t="s">
        <v>250</v>
      </c>
      <c r="E776" s="120">
        <v>6.4715519717315387E-2</v>
      </c>
      <c r="F776" s="120" t="s">
        <v>250</v>
      </c>
      <c r="G776" s="120">
        <v>6.47045884499243E-2</v>
      </c>
      <c r="H776" s="120" t="s">
        <v>250</v>
      </c>
      <c r="I776" s="120">
        <v>5.7915670363376186E-2</v>
      </c>
      <c r="J776" s="120">
        <v>4.4110883116344077E-2</v>
      </c>
      <c r="K776" s="120" t="s">
        <v>250</v>
      </c>
      <c r="L776" s="120" t="s">
        <v>250</v>
      </c>
      <c r="M776" s="120">
        <v>0</v>
      </c>
      <c r="N776" s="120" t="s">
        <v>250</v>
      </c>
      <c r="O776" s="120">
        <v>4.4110883116344077E-2</v>
      </c>
      <c r="P776" s="120">
        <v>3.2194965646232608E-2</v>
      </c>
      <c r="Q776" s="120">
        <v>5.7331559860395509E-2</v>
      </c>
      <c r="R776" s="120"/>
      <c r="S776" s="121"/>
    </row>
    <row r="777" spans="1:19" ht="15">
      <c r="A777" s="104"/>
      <c r="B777" s="105"/>
      <c r="C777" s="107" t="s">
        <v>250</v>
      </c>
      <c r="D777" s="107" t="s">
        <v>250</v>
      </c>
      <c r="E777" s="123" t="s">
        <v>250</v>
      </c>
      <c r="F777" s="123" t="s">
        <v>250</v>
      </c>
      <c r="G777" s="123" t="s">
        <v>250</v>
      </c>
      <c r="H777" s="123" t="s">
        <v>250</v>
      </c>
      <c r="I777" s="123" t="s">
        <v>250</v>
      </c>
      <c r="J777" s="123" t="s">
        <v>250</v>
      </c>
      <c r="K777" s="123" t="s">
        <v>250</v>
      </c>
      <c r="L777" s="123" t="s">
        <v>250</v>
      </c>
      <c r="M777" s="123" t="s">
        <v>250</v>
      </c>
      <c r="N777" s="123" t="s">
        <v>250</v>
      </c>
      <c r="O777" s="123" t="s">
        <v>250</v>
      </c>
      <c r="P777" s="123" t="s">
        <v>250</v>
      </c>
      <c r="Q777" s="123" t="s">
        <v>250</v>
      </c>
      <c r="R777" s="120"/>
      <c r="S777" s="121"/>
    </row>
    <row r="778" spans="1:19" ht="15">
      <c r="A778" s="105" t="s">
        <v>250</v>
      </c>
      <c r="B778" s="105"/>
      <c r="C778" s="107" t="s">
        <v>250</v>
      </c>
      <c r="D778" s="107" t="s">
        <v>250</v>
      </c>
      <c r="E778" s="120" t="s">
        <v>250</v>
      </c>
      <c r="F778" s="120" t="s">
        <v>250</v>
      </c>
      <c r="G778" s="120" t="s">
        <v>250</v>
      </c>
      <c r="H778" s="120" t="s">
        <v>250</v>
      </c>
      <c r="I778" s="120" t="s">
        <v>250</v>
      </c>
      <c r="J778" s="120" t="s">
        <v>250</v>
      </c>
      <c r="K778" s="120" t="s">
        <v>250</v>
      </c>
      <c r="L778" s="120" t="s">
        <v>250</v>
      </c>
      <c r="M778" s="120" t="s">
        <v>250</v>
      </c>
      <c r="N778" s="120" t="s">
        <v>250</v>
      </c>
      <c r="O778" s="120" t="s">
        <v>250</v>
      </c>
      <c r="P778" s="120" t="s">
        <v>250</v>
      </c>
      <c r="Q778" s="120" t="s">
        <v>250</v>
      </c>
      <c r="R778" s="120"/>
      <c r="S778" s="121"/>
    </row>
    <row r="779" spans="1:19" ht="15">
      <c r="A779" s="105" t="s">
        <v>250</v>
      </c>
      <c r="B779" s="105"/>
      <c r="C779" s="107" t="s">
        <v>802</v>
      </c>
      <c r="D779" s="107" t="s">
        <v>250</v>
      </c>
      <c r="E779" s="123">
        <v>0.05</v>
      </c>
      <c r="F779" s="123" t="s">
        <v>250</v>
      </c>
      <c r="G779" s="123">
        <v>0.05</v>
      </c>
      <c r="H779" s="123" t="s">
        <v>250</v>
      </c>
      <c r="I779" s="123">
        <v>0.06</v>
      </c>
      <c r="J779" s="123">
        <v>0.05</v>
      </c>
      <c r="K779" s="123" t="s">
        <v>250</v>
      </c>
      <c r="L779" s="123" t="s">
        <v>250</v>
      </c>
      <c r="M779" s="123">
        <v>0</v>
      </c>
      <c r="N779" s="123" t="s">
        <v>250</v>
      </c>
      <c r="O779" s="123">
        <v>0.05</v>
      </c>
      <c r="P779" s="123">
        <v>0.05</v>
      </c>
      <c r="Q779" s="123">
        <v>0.05</v>
      </c>
      <c r="R779" s="120"/>
      <c r="S779" s="121"/>
    </row>
    <row r="780" spans="1:19" ht="15">
      <c r="A780" s="105" t="s">
        <v>250</v>
      </c>
      <c r="B780" s="105"/>
      <c r="C780" s="107" t="s">
        <v>803</v>
      </c>
      <c r="D780" s="107" t="s">
        <v>250</v>
      </c>
      <c r="E780" s="123">
        <v>0.21</v>
      </c>
      <c r="F780" s="123" t="s">
        <v>250</v>
      </c>
      <c r="G780" s="123">
        <v>0.21</v>
      </c>
      <c r="H780" s="123" t="s">
        <v>250</v>
      </c>
      <c r="I780" s="123">
        <v>0.21</v>
      </c>
      <c r="J780" s="123">
        <v>0.21</v>
      </c>
      <c r="K780" s="123" t="s">
        <v>250</v>
      </c>
      <c r="L780" s="123" t="s">
        <v>250</v>
      </c>
      <c r="M780" s="123">
        <v>0</v>
      </c>
      <c r="N780" s="123" t="s">
        <v>250</v>
      </c>
      <c r="O780" s="123">
        <v>0.21</v>
      </c>
      <c r="P780" s="123">
        <v>0.21</v>
      </c>
      <c r="Q780" s="123">
        <v>0.21</v>
      </c>
      <c r="R780" s="120"/>
      <c r="S780" s="121"/>
    </row>
    <row r="781" spans="1:19" ht="15">
      <c r="A781" s="105" t="s">
        <v>250</v>
      </c>
      <c r="B781" s="105"/>
      <c r="C781" s="107" t="s">
        <v>804</v>
      </c>
      <c r="D781" s="107" t="s">
        <v>250</v>
      </c>
      <c r="E781" s="123">
        <v>0.75049999999999994</v>
      </c>
      <c r="F781" s="123" t="s">
        <v>250</v>
      </c>
      <c r="G781" s="123">
        <v>0.75049999999999994</v>
      </c>
      <c r="H781" s="123" t="s">
        <v>250</v>
      </c>
      <c r="I781" s="123">
        <v>0.74259999999999993</v>
      </c>
      <c r="J781" s="123">
        <v>0.75049999999999994</v>
      </c>
      <c r="K781" s="123" t="s">
        <v>250</v>
      </c>
      <c r="L781" s="123" t="s">
        <v>250</v>
      </c>
      <c r="M781" s="123">
        <v>1</v>
      </c>
      <c r="N781" s="123" t="s">
        <v>250</v>
      </c>
      <c r="O781" s="123">
        <v>0.75049999999999994</v>
      </c>
      <c r="P781" s="123">
        <v>0.75049999999999994</v>
      </c>
      <c r="Q781" s="123">
        <v>0.75049999999999994</v>
      </c>
      <c r="R781" s="120"/>
      <c r="S781" s="121"/>
    </row>
    <row r="782" spans="1:19" ht="15">
      <c r="A782" s="105" t="s">
        <v>250</v>
      </c>
      <c r="B782" s="105"/>
      <c r="C782" s="107" t="s">
        <v>805</v>
      </c>
      <c r="D782" s="107" t="s">
        <v>250</v>
      </c>
      <c r="E782" s="123">
        <v>0.2495</v>
      </c>
      <c r="F782" s="123" t="s">
        <v>250</v>
      </c>
      <c r="G782" s="123">
        <v>0.2495</v>
      </c>
      <c r="H782" s="123" t="s">
        <v>250</v>
      </c>
      <c r="I782" s="123">
        <v>0.25740000000000002</v>
      </c>
      <c r="J782" s="123">
        <v>0.2495</v>
      </c>
      <c r="K782" s="123" t="s">
        <v>250</v>
      </c>
      <c r="L782" s="123" t="s">
        <v>250</v>
      </c>
      <c r="M782" s="123">
        <v>0</v>
      </c>
      <c r="N782" s="123" t="s">
        <v>250</v>
      </c>
      <c r="O782" s="123">
        <v>0.2495</v>
      </c>
      <c r="P782" s="123">
        <v>0.2495</v>
      </c>
      <c r="Q782" s="123">
        <v>0.2495</v>
      </c>
      <c r="R782" s="120"/>
      <c r="S782" s="121"/>
    </row>
    <row r="783" spans="1:19" ht="15">
      <c r="A783" s="105" t="s">
        <v>250</v>
      </c>
      <c r="B783" s="105"/>
      <c r="C783" s="107" t="s">
        <v>806</v>
      </c>
      <c r="D783" s="107" t="s">
        <v>250</v>
      </c>
      <c r="E783" s="123">
        <v>1.3324450366422385</v>
      </c>
      <c r="F783" s="123" t="s">
        <v>250</v>
      </c>
      <c r="G783" s="123">
        <v>1.3324450366422385</v>
      </c>
      <c r="H783" s="123" t="s">
        <v>250</v>
      </c>
      <c r="I783" s="123">
        <v>1.3466199838405601</v>
      </c>
      <c r="J783" s="123">
        <v>1.3324450366422385</v>
      </c>
      <c r="K783" s="123" t="s">
        <v>250</v>
      </c>
      <c r="L783" s="123" t="s">
        <v>250</v>
      </c>
      <c r="M783" s="123">
        <v>1</v>
      </c>
      <c r="N783" s="123" t="s">
        <v>250</v>
      </c>
      <c r="O783" s="123">
        <v>1.3324450366422385</v>
      </c>
      <c r="P783" s="123">
        <v>1.3324450366422385</v>
      </c>
      <c r="Q783" s="123">
        <v>1.3324450366422385</v>
      </c>
      <c r="R783" s="120"/>
      <c r="S783" s="121"/>
    </row>
    <row r="784" spans="1:19" ht="15">
      <c r="A784" s="105" t="s">
        <v>250</v>
      </c>
      <c r="B784" s="105"/>
      <c r="C784" s="107" t="s">
        <v>250</v>
      </c>
      <c r="D784" s="107" t="s">
        <v>250</v>
      </c>
      <c r="E784" s="571" t="s">
        <v>250</v>
      </c>
      <c r="F784" s="571" t="s">
        <v>250</v>
      </c>
      <c r="G784" s="571" t="s">
        <v>250</v>
      </c>
      <c r="H784" s="571" t="s">
        <v>250</v>
      </c>
      <c r="I784" s="571" t="s">
        <v>250</v>
      </c>
      <c r="J784" s="571" t="s">
        <v>250</v>
      </c>
      <c r="K784" s="571" t="s">
        <v>250</v>
      </c>
      <c r="L784" s="571" t="s">
        <v>250</v>
      </c>
      <c r="M784" s="571" t="s">
        <v>250</v>
      </c>
      <c r="N784" s="571" t="s">
        <v>250</v>
      </c>
      <c r="O784" s="571" t="s">
        <v>250</v>
      </c>
      <c r="P784" s="571" t="s">
        <v>250</v>
      </c>
      <c r="Q784" s="571" t="s">
        <v>250</v>
      </c>
      <c r="R784" s="120"/>
      <c r="S784" s="121"/>
    </row>
    <row r="785" spans="1:19" ht="15">
      <c r="A785" s="105" t="s">
        <v>250</v>
      </c>
      <c r="B785" s="105"/>
      <c r="C785" s="107" t="s">
        <v>807</v>
      </c>
      <c r="D785" s="107" t="s">
        <v>250</v>
      </c>
      <c r="E785" s="120" t="s">
        <v>250</v>
      </c>
      <c r="F785" s="120" t="s">
        <v>250</v>
      </c>
      <c r="G785" s="120" t="s">
        <v>250</v>
      </c>
      <c r="H785" s="120" t="s">
        <v>250</v>
      </c>
      <c r="I785" s="120" t="s">
        <v>250</v>
      </c>
      <c r="J785" s="120" t="s">
        <v>250</v>
      </c>
      <c r="K785" s="120" t="s">
        <v>250</v>
      </c>
      <c r="L785" s="120" t="s">
        <v>250</v>
      </c>
      <c r="M785" s="120" t="s">
        <v>250</v>
      </c>
      <c r="N785" s="120" t="s">
        <v>250</v>
      </c>
      <c r="O785" s="120" t="s">
        <v>250</v>
      </c>
      <c r="P785" s="120" t="s">
        <v>250</v>
      </c>
      <c r="Q785" s="120" t="s">
        <v>250</v>
      </c>
      <c r="R785" s="120"/>
      <c r="S785" s="121"/>
    </row>
    <row r="786" spans="1:19" ht="15">
      <c r="A786" s="105" t="s">
        <v>250</v>
      </c>
      <c r="B786" s="105"/>
      <c r="C786" s="107" t="s">
        <v>250</v>
      </c>
      <c r="D786" s="107" t="s">
        <v>250</v>
      </c>
      <c r="E786" s="120" t="s">
        <v>250</v>
      </c>
      <c r="F786" s="120" t="s">
        <v>250</v>
      </c>
      <c r="G786" s="120" t="s">
        <v>250</v>
      </c>
      <c r="H786" s="120" t="s">
        <v>250</v>
      </c>
      <c r="I786" s="120" t="s">
        <v>250</v>
      </c>
      <c r="J786" s="120" t="s">
        <v>250</v>
      </c>
      <c r="K786" s="120" t="s">
        <v>250</v>
      </c>
      <c r="L786" s="120" t="s">
        <v>250</v>
      </c>
      <c r="M786" s="120" t="s">
        <v>250</v>
      </c>
      <c r="N786" s="120" t="s">
        <v>250</v>
      </c>
      <c r="O786" s="120" t="s">
        <v>250</v>
      </c>
      <c r="P786" s="120" t="s">
        <v>250</v>
      </c>
      <c r="Q786" s="120" t="s">
        <v>250</v>
      </c>
      <c r="R786" s="120"/>
      <c r="S786" s="121"/>
    </row>
    <row r="787" spans="1:19" ht="15">
      <c r="A787" s="105" t="s">
        <v>250</v>
      </c>
      <c r="B787" s="105"/>
      <c r="C787" s="107" t="s">
        <v>808</v>
      </c>
      <c r="D787" s="107" t="s">
        <v>250</v>
      </c>
      <c r="E787" s="120" t="s">
        <v>250</v>
      </c>
      <c r="F787" s="120" t="s">
        <v>250</v>
      </c>
      <c r="G787" s="120" t="s">
        <v>250</v>
      </c>
      <c r="H787" s="120" t="s">
        <v>250</v>
      </c>
      <c r="I787" s="120" t="s">
        <v>250</v>
      </c>
      <c r="J787" s="120" t="s">
        <v>250</v>
      </c>
      <c r="K787" s="120" t="s">
        <v>250</v>
      </c>
      <c r="L787" s="120" t="s">
        <v>250</v>
      </c>
      <c r="M787" s="120" t="s">
        <v>250</v>
      </c>
      <c r="N787" s="120" t="s">
        <v>250</v>
      </c>
      <c r="O787" s="120" t="s">
        <v>250</v>
      </c>
      <c r="P787" s="120" t="s">
        <v>250</v>
      </c>
      <c r="Q787" s="120" t="s">
        <v>250</v>
      </c>
      <c r="R787" s="120"/>
      <c r="S787" s="121"/>
    </row>
    <row r="788" spans="1:19" ht="15">
      <c r="A788" s="105" t="s">
        <v>250</v>
      </c>
      <c r="B788" s="105"/>
      <c r="C788" s="107" t="s">
        <v>809</v>
      </c>
      <c r="D788" s="107" t="s">
        <v>250</v>
      </c>
      <c r="E788" s="120" t="s">
        <v>250</v>
      </c>
      <c r="F788" s="120" t="s">
        <v>250</v>
      </c>
      <c r="G788" s="120" t="s">
        <v>250</v>
      </c>
      <c r="H788" s="120" t="s">
        <v>250</v>
      </c>
      <c r="I788" s="120" t="s">
        <v>250</v>
      </c>
      <c r="J788" s="120" t="s">
        <v>250</v>
      </c>
      <c r="K788" s="120" t="s">
        <v>250</v>
      </c>
      <c r="L788" s="120" t="s">
        <v>250</v>
      </c>
      <c r="M788" s="120" t="s">
        <v>250</v>
      </c>
      <c r="N788" s="120" t="s">
        <v>250</v>
      </c>
      <c r="O788" s="120" t="s">
        <v>250</v>
      </c>
      <c r="P788" s="120" t="s">
        <v>250</v>
      </c>
      <c r="Q788" s="120" t="s">
        <v>250</v>
      </c>
      <c r="R788" s="120"/>
      <c r="S788" s="121"/>
    </row>
    <row r="789" spans="1:19" ht="15">
      <c r="A789" s="105" t="s">
        <v>250</v>
      </c>
      <c r="B789" s="105"/>
      <c r="C789" s="107" t="s">
        <v>810</v>
      </c>
      <c r="D789" s="107" t="s">
        <v>250</v>
      </c>
      <c r="E789" s="120" t="s">
        <v>250</v>
      </c>
      <c r="F789" s="120" t="s">
        <v>250</v>
      </c>
      <c r="G789" s="120" t="s">
        <v>250</v>
      </c>
      <c r="H789" s="120" t="s">
        <v>250</v>
      </c>
      <c r="I789" s="120" t="s">
        <v>250</v>
      </c>
      <c r="J789" s="120" t="s">
        <v>250</v>
      </c>
      <c r="K789" s="120" t="s">
        <v>250</v>
      </c>
      <c r="L789" s="120" t="s">
        <v>250</v>
      </c>
      <c r="M789" s="120" t="s">
        <v>250</v>
      </c>
      <c r="N789" s="120" t="s">
        <v>250</v>
      </c>
      <c r="O789" s="120" t="s">
        <v>250</v>
      </c>
      <c r="P789" s="120" t="s">
        <v>250</v>
      </c>
      <c r="Q789" s="120" t="s">
        <v>250</v>
      </c>
      <c r="R789" s="120"/>
      <c r="S789" s="121"/>
    </row>
    <row r="790" spans="1:19" ht="15">
      <c r="A790" s="105">
        <v>1</v>
      </c>
      <c r="B790" s="105"/>
      <c r="C790" s="107" t="s">
        <v>811</v>
      </c>
      <c r="D790" s="107" t="s">
        <v>494</v>
      </c>
      <c r="E790" s="120">
        <v>2312317.2999999998</v>
      </c>
      <c r="F790" s="120" t="s">
        <v>250</v>
      </c>
      <c r="G790" s="120">
        <v>2177799.8427801402</v>
      </c>
      <c r="H790" s="120" t="s">
        <v>250</v>
      </c>
      <c r="I790" s="120">
        <v>87459.675029249993</v>
      </c>
      <c r="J790" s="120">
        <v>47057.782190609629</v>
      </c>
      <c r="K790" s="120" t="s">
        <v>250</v>
      </c>
      <c r="L790" s="120" t="s">
        <v>250</v>
      </c>
      <c r="M790" s="120">
        <v>0</v>
      </c>
      <c r="N790" s="120" t="s">
        <v>250</v>
      </c>
      <c r="O790" s="120">
        <v>47057.782190609629</v>
      </c>
      <c r="P790" s="120">
        <v>24153.537763731885</v>
      </c>
      <c r="Q790" s="120">
        <v>22904.244426877744</v>
      </c>
      <c r="R790" s="120"/>
      <c r="S790" s="121"/>
    </row>
    <row r="791" spans="1:19" ht="15">
      <c r="A791" s="105">
        <v>2</v>
      </c>
      <c r="B791" s="105"/>
      <c r="C791" s="107" t="s">
        <v>812</v>
      </c>
      <c r="D791" s="107" t="s">
        <v>494</v>
      </c>
      <c r="E791" s="120">
        <v>10329118.27</v>
      </c>
      <c r="F791" s="120" t="s">
        <v>250</v>
      </c>
      <c r="G791" s="120">
        <v>9728228.9694686253</v>
      </c>
      <c r="H791" s="120" t="s">
        <v>250</v>
      </c>
      <c r="I791" s="120">
        <v>390682.25075896329</v>
      </c>
      <c r="J791" s="120">
        <v>210207.0497724108</v>
      </c>
      <c r="K791" s="120" t="s">
        <v>250</v>
      </c>
      <c r="L791" s="120" t="s">
        <v>250</v>
      </c>
      <c r="M791" s="120">
        <v>0</v>
      </c>
      <c r="N791" s="120" t="s">
        <v>250</v>
      </c>
      <c r="O791" s="120">
        <v>210207.0497724108</v>
      </c>
      <c r="P791" s="120">
        <v>107893.82071418052</v>
      </c>
      <c r="Q791" s="120">
        <v>102313.22905823028</v>
      </c>
      <c r="R791" s="120"/>
      <c r="S791" s="121"/>
    </row>
    <row r="792" spans="1:19" ht="15">
      <c r="A792" s="105">
        <v>3</v>
      </c>
      <c r="B792" s="105"/>
      <c r="C792" s="107" t="s">
        <v>813</v>
      </c>
      <c r="D792" s="107" t="s">
        <v>494</v>
      </c>
      <c r="E792" s="120">
        <v>9346718.0199999996</v>
      </c>
      <c r="F792" s="120" t="s">
        <v>250</v>
      </c>
      <c r="G792" s="120">
        <v>8802979.1735184025</v>
      </c>
      <c r="H792" s="120" t="s">
        <v>250</v>
      </c>
      <c r="I792" s="120">
        <v>353524.54467180389</v>
      </c>
      <c r="J792" s="120">
        <v>190214.30180979319</v>
      </c>
      <c r="K792" s="120" t="s">
        <v>250</v>
      </c>
      <c r="L792" s="120" t="s">
        <v>250</v>
      </c>
      <c r="M792" s="120">
        <v>0</v>
      </c>
      <c r="N792" s="120" t="s">
        <v>250</v>
      </c>
      <c r="O792" s="120">
        <v>190214.30180979319</v>
      </c>
      <c r="P792" s="120">
        <v>97632.062287914945</v>
      </c>
      <c r="Q792" s="120">
        <v>92582.239521878248</v>
      </c>
      <c r="R792" s="120"/>
      <c r="S792" s="121"/>
    </row>
    <row r="793" spans="1:19" ht="15">
      <c r="A793" s="105">
        <v>4</v>
      </c>
      <c r="B793" s="105"/>
      <c r="C793" s="107" t="s">
        <v>814</v>
      </c>
      <c r="D793" s="107" t="s">
        <v>494</v>
      </c>
      <c r="E793" s="120">
        <v>2263650.5</v>
      </c>
      <c r="F793" s="120" t="s">
        <v>250</v>
      </c>
      <c r="G793" s="120">
        <v>2131964.2001593751</v>
      </c>
      <c r="H793" s="120" t="s">
        <v>250</v>
      </c>
      <c r="I793" s="120">
        <v>85618.931757245984</v>
      </c>
      <c r="J793" s="120">
        <v>46067.36808337878</v>
      </c>
      <c r="K793" s="120" t="s">
        <v>250</v>
      </c>
      <c r="L793" s="120" t="s">
        <v>250</v>
      </c>
      <c r="M793" s="120">
        <v>0</v>
      </c>
      <c r="N793" s="120" t="s">
        <v>250</v>
      </c>
      <c r="O793" s="120">
        <v>46067.36808337878</v>
      </c>
      <c r="P793" s="120">
        <v>23645.183918158884</v>
      </c>
      <c r="Q793" s="120">
        <v>22422.184165219896</v>
      </c>
      <c r="R793" s="120"/>
      <c r="S793" s="121"/>
    </row>
    <row r="794" spans="1:19" ht="15">
      <c r="A794" s="105">
        <v>5</v>
      </c>
      <c r="B794" s="105"/>
      <c r="C794" s="107" t="s">
        <v>815</v>
      </c>
      <c r="D794" s="107" t="s">
        <v>494</v>
      </c>
      <c r="E794" s="120">
        <v>0</v>
      </c>
      <c r="F794" s="120" t="s">
        <v>250</v>
      </c>
      <c r="G794" s="120">
        <v>0</v>
      </c>
      <c r="H794" s="120" t="s">
        <v>250</v>
      </c>
      <c r="I794" s="120">
        <v>0</v>
      </c>
      <c r="J794" s="120">
        <v>0</v>
      </c>
      <c r="K794" s="120" t="s">
        <v>250</v>
      </c>
      <c r="L794" s="120" t="s">
        <v>250</v>
      </c>
      <c r="M794" s="120">
        <v>0</v>
      </c>
      <c r="N794" s="120" t="s">
        <v>250</v>
      </c>
      <c r="O794" s="120">
        <v>0</v>
      </c>
      <c r="P794" s="120">
        <v>0</v>
      </c>
      <c r="Q794" s="120">
        <v>0</v>
      </c>
      <c r="R794" s="120"/>
      <c r="S794" s="121"/>
    </row>
    <row r="795" spans="1:19" ht="15">
      <c r="A795" s="105" t="s">
        <v>250</v>
      </c>
      <c r="B795" s="105"/>
      <c r="C795" s="107" t="s">
        <v>250</v>
      </c>
      <c r="D795" s="107" t="s">
        <v>250</v>
      </c>
      <c r="E795" s="120" t="s">
        <v>250</v>
      </c>
      <c r="F795" s="120" t="s">
        <v>250</v>
      </c>
      <c r="G795" s="120" t="s">
        <v>250</v>
      </c>
      <c r="H795" s="120" t="s">
        <v>250</v>
      </c>
      <c r="I795" s="120" t="s">
        <v>250</v>
      </c>
      <c r="J795" s="120" t="s">
        <v>250</v>
      </c>
      <c r="K795" s="120" t="s">
        <v>250</v>
      </c>
      <c r="L795" s="120" t="s">
        <v>250</v>
      </c>
      <c r="M795" s="120" t="s">
        <v>250</v>
      </c>
      <c r="N795" s="120" t="s">
        <v>250</v>
      </c>
      <c r="O795" s="120" t="s">
        <v>250</v>
      </c>
      <c r="P795" s="120" t="s">
        <v>250</v>
      </c>
      <c r="Q795" s="120" t="s">
        <v>250</v>
      </c>
      <c r="R795" s="120"/>
      <c r="S795" s="121"/>
    </row>
    <row r="796" spans="1:19" ht="15">
      <c r="A796" s="105">
        <v>6</v>
      </c>
      <c r="B796" s="105"/>
      <c r="C796" s="107" t="s">
        <v>816</v>
      </c>
      <c r="D796" s="107" t="s">
        <v>250</v>
      </c>
      <c r="E796" s="120">
        <v>24251804.09</v>
      </c>
      <c r="F796" s="120" t="s">
        <v>250</v>
      </c>
      <c r="G796" s="120">
        <v>22840972.185926545</v>
      </c>
      <c r="H796" s="120" t="s">
        <v>250</v>
      </c>
      <c r="I796" s="120">
        <v>917285.40221726324</v>
      </c>
      <c r="J796" s="120">
        <v>493546.50185619236</v>
      </c>
      <c r="K796" s="120" t="s">
        <v>250</v>
      </c>
      <c r="L796" s="120" t="s">
        <v>250</v>
      </c>
      <c r="M796" s="120">
        <v>0</v>
      </c>
      <c r="N796" s="120" t="s">
        <v>250</v>
      </c>
      <c r="O796" s="120">
        <v>493546.50185619236</v>
      </c>
      <c r="P796" s="120">
        <v>253324.60468398622</v>
      </c>
      <c r="Q796" s="120">
        <v>240221.89717220617</v>
      </c>
      <c r="R796" s="120"/>
      <c r="S796" s="121"/>
    </row>
    <row r="797" spans="1:19" ht="15">
      <c r="A797" s="105" t="s">
        <v>250</v>
      </c>
      <c r="B797" s="105"/>
      <c r="C797" s="107" t="s">
        <v>250</v>
      </c>
      <c r="D797" s="107" t="s">
        <v>250</v>
      </c>
      <c r="E797" s="120" t="s">
        <v>250</v>
      </c>
      <c r="F797" s="120" t="s">
        <v>250</v>
      </c>
      <c r="G797" s="120" t="s">
        <v>250</v>
      </c>
      <c r="H797" s="120" t="s">
        <v>250</v>
      </c>
      <c r="I797" s="120" t="s">
        <v>250</v>
      </c>
      <c r="J797" s="120" t="s">
        <v>250</v>
      </c>
      <c r="K797" s="120" t="s">
        <v>250</v>
      </c>
      <c r="L797" s="120" t="s">
        <v>250</v>
      </c>
      <c r="M797" s="120" t="s">
        <v>250</v>
      </c>
      <c r="N797" s="120" t="s">
        <v>250</v>
      </c>
      <c r="O797" s="120" t="s">
        <v>250</v>
      </c>
      <c r="P797" s="120" t="s">
        <v>250</v>
      </c>
      <c r="Q797" s="120" t="s">
        <v>250</v>
      </c>
      <c r="R797" s="120"/>
      <c r="S797" s="121"/>
    </row>
    <row r="798" spans="1:19" ht="15">
      <c r="A798" s="105" t="s">
        <v>250</v>
      </c>
      <c r="B798" s="105"/>
      <c r="C798" s="107" t="s">
        <v>817</v>
      </c>
      <c r="D798" s="107" t="s">
        <v>250</v>
      </c>
      <c r="E798" s="120" t="s">
        <v>250</v>
      </c>
      <c r="F798" s="120" t="s">
        <v>250</v>
      </c>
      <c r="G798" s="120" t="s">
        <v>250</v>
      </c>
      <c r="H798" s="120" t="s">
        <v>250</v>
      </c>
      <c r="I798" s="120" t="s">
        <v>250</v>
      </c>
      <c r="J798" s="120" t="s">
        <v>250</v>
      </c>
      <c r="K798" s="120" t="s">
        <v>250</v>
      </c>
      <c r="L798" s="120" t="s">
        <v>250</v>
      </c>
      <c r="M798" s="120" t="s">
        <v>250</v>
      </c>
      <c r="N798" s="120" t="s">
        <v>250</v>
      </c>
      <c r="O798" s="120" t="s">
        <v>250</v>
      </c>
      <c r="P798" s="120" t="s">
        <v>250</v>
      </c>
      <c r="Q798" s="120" t="s">
        <v>250</v>
      </c>
      <c r="R798" s="120"/>
      <c r="S798" s="121"/>
    </row>
    <row r="799" spans="1:19" ht="15">
      <c r="A799" s="105">
        <v>7</v>
      </c>
      <c r="B799" s="105"/>
      <c r="C799" s="107" t="s">
        <v>818</v>
      </c>
      <c r="D799" s="107" t="s">
        <v>497</v>
      </c>
      <c r="E799" s="120">
        <v>4985134.0299999993</v>
      </c>
      <c r="F799" s="120" t="s">
        <v>250</v>
      </c>
      <c r="G799" s="120">
        <v>4666354.4947499521</v>
      </c>
      <c r="H799" s="120" t="s">
        <v>250</v>
      </c>
      <c r="I799" s="120">
        <v>215238.1183215137</v>
      </c>
      <c r="J799" s="120">
        <v>103541.4169285336</v>
      </c>
      <c r="K799" s="120" t="s">
        <v>250</v>
      </c>
      <c r="L799" s="120" t="s">
        <v>250</v>
      </c>
      <c r="M799" s="120">
        <v>0</v>
      </c>
      <c r="N799" s="120" t="s">
        <v>250</v>
      </c>
      <c r="O799" s="120">
        <v>103541.4169285336</v>
      </c>
      <c r="P799" s="120">
        <v>52522.000435165064</v>
      </c>
      <c r="Q799" s="120">
        <v>51019.416493368532</v>
      </c>
      <c r="R799" s="120"/>
      <c r="S799" s="121"/>
    </row>
    <row r="800" spans="1:19" ht="15">
      <c r="A800" s="105">
        <v>8</v>
      </c>
      <c r="B800" s="105"/>
      <c r="C800" s="107" t="s">
        <v>819</v>
      </c>
      <c r="D800" s="107" t="s">
        <v>497</v>
      </c>
      <c r="E800" s="120">
        <v>9871336.5099999979</v>
      </c>
      <c r="F800" s="120" t="s">
        <v>250</v>
      </c>
      <c r="G800" s="120">
        <v>9240103.7194636483</v>
      </c>
      <c r="H800" s="120" t="s">
        <v>250</v>
      </c>
      <c r="I800" s="120">
        <v>426204.7686069652</v>
      </c>
      <c r="J800" s="120">
        <v>205028.02192938546</v>
      </c>
      <c r="K800" s="120" t="s">
        <v>250</v>
      </c>
      <c r="L800" s="120" t="s">
        <v>250</v>
      </c>
      <c r="M800" s="120">
        <v>0</v>
      </c>
      <c r="N800" s="120" t="s">
        <v>250</v>
      </c>
      <c r="O800" s="120">
        <v>205028.02192938546</v>
      </c>
      <c r="P800" s="120">
        <v>104001.68528144484</v>
      </c>
      <c r="Q800" s="120">
        <v>101026.33664794062</v>
      </c>
      <c r="R800" s="120"/>
      <c r="S800" s="121"/>
    </row>
    <row r="801" spans="1:19" ht="15">
      <c r="A801" s="105">
        <v>9</v>
      </c>
      <c r="B801" s="105"/>
      <c r="C801" s="107" t="s">
        <v>820</v>
      </c>
      <c r="D801" s="107" t="s">
        <v>497</v>
      </c>
      <c r="E801" s="120">
        <v>6426905.3299999991</v>
      </c>
      <c r="F801" s="120" t="s">
        <v>250</v>
      </c>
      <c r="G801" s="120">
        <v>6015930.2424969953</v>
      </c>
      <c r="H801" s="120" t="s">
        <v>250</v>
      </c>
      <c r="I801" s="120">
        <v>277488.02771100355</v>
      </c>
      <c r="J801" s="120">
        <v>133487.05979200016</v>
      </c>
      <c r="K801" s="120" t="s">
        <v>250</v>
      </c>
      <c r="L801" s="120" t="s">
        <v>250</v>
      </c>
      <c r="M801" s="120">
        <v>0</v>
      </c>
      <c r="N801" s="120" t="s">
        <v>250</v>
      </c>
      <c r="O801" s="120">
        <v>133487.05979200016</v>
      </c>
      <c r="P801" s="120">
        <v>67712.106135494352</v>
      </c>
      <c r="Q801" s="120">
        <v>65774.953656505822</v>
      </c>
      <c r="R801" s="120"/>
      <c r="S801" s="121"/>
    </row>
    <row r="802" spans="1:19" ht="15">
      <c r="A802" s="105">
        <v>10</v>
      </c>
      <c r="B802" s="105"/>
      <c r="C802" s="107" t="s">
        <v>821</v>
      </c>
      <c r="D802" s="107" t="s">
        <v>497</v>
      </c>
      <c r="E802" s="120">
        <v>4015325.6899999995</v>
      </c>
      <c r="F802" s="120" t="s">
        <v>250</v>
      </c>
      <c r="G802" s="120">
        <v>3758561.5489291972</v>
      </c>
      <c r="H802" s="120" t="s">
        <v>250</v>
      </c>
      <c r="I802" s="120">
        <v>173365.67898930362</v>
      </c>
      <c r="J802" s="120">
        <v>83398.462081498292</v>
      </c>
      <c r="K802" s="120" t="s">
        <v>250</v>
      </c>
      <c r="L802" s="120" t="s">
        <v>250</v>
      </c>
      <c r="M802" s="120">
        <v>0</v>
      </c>
      <c r="N802" s="120" t="s">
        <v>250</v>
      </c>
      <c r="O802" s="120">
        <v>83398.462081498292</v>
      </c>
      <c r="P802" s="120">
        <v>42304.366616499865</v>
      </c>
      <c r="Q802" s="120">
        <v>41094.095464998427</v>
      </c>
      <c r="R802" s="120"/>
      <c r="S802" s="121"/>
    </row>
    <row r="803" spans="1:19" ht="15">
      <c r="A803" s="105">
        <v>11</v>
      </c>
      <c r="B803" s="105"/>
      <c r="C803" s="107" t="s">
        <v>822</v>
      </c>
      <c r="D803" s="107" t="s">
        <v>497</v>
      </c>
      <c r="E803" s="120">
        <v>0</v>
      </c>
      <c r="F803" s="120" t="s">
        <v>250</v>
      </c>
      <c r="G803" s="120">
        <v>0</v>
      </c>
      <c r="H803" s="120" t="s">
        <v>250</v>
      </c>
      <c r="I803" s="120">
        <v>0</v>
      </c>
      <c r="J803" s="120">
        <v>0</v>
      </c>
      <c r="K803" s="120" t="s">
        <v>250</v>
      </c>
      <c r="L803" s="120" t="s">
        <v>250</v>
      </c>
      <c r="M803" s="120">
        <v>0</v>
      </c>
      <c r="N803" s="120" t="s">
        <v>250</v>
      </c>
      <c r="O803" s="120">
        <v>0</v>
      </c>
      <c r="P803" s="120">
        <v>0</v>
      </c>
      <c r="Q803" s="120">
        <v>0</v>
      </c>
      <c r="R803" s="120"/>
      <c r="S803" s="121"/>
    </row>
    <row r="804" spans="1:19" ht="15">
      <c r="A804" s="105">
        <v>12</v>
      </c>
      <c r="B804" s="105"/>
      <c r="C804" s="107" t="s">
        <v>823</v>
      </c>
      <c r="D804" s="107" t="s">
        <v>497</v>
      </c>
      <c r="E804" s="120">
        <v>1516610.8800000001</v>
      </c>
      <c r="F804" s="120" t="s">
        <v>250</v>
      </c>
      <c r="G804" s="120">
        <v>1419629.6336439087</v>
      </c>
      <c r="H804" s="120" t="s">
        <v>250</v>
      </c>
      <c r="I804" s="120">
        <v>65481.182666844979</v>
      </c>
      <c r="J804" s="120">
        <v>31500.063689246541</v>
      </c>
      <c r="K804" s="120" t="s">
        <v>250</v>
      </c>
      <c r="L804" s="120" t="s">
        <v>250</v>
      </c>
      <c r="M804" s="120">
        <v>0</v>
      </c>
      <c r="N804" s="120" t="s">
        <v>250</v>
      </c>
      <c r="O804" s="120">
        <v>31500.063689246541</v>
      </c>
      <c r="P804" s="120">
        <v>15978.594922418984</v>
      </c>
      <c r="Q804" s="120">
        <v>15521.468766827555</v>
      </c>
      <c r="R804" s="120"/>
      <c r="S804" s="121"/>
    </row>
    <row r="805" spans="1:19" ht="15">
      <c r="A805" s="105">
        <v>13</v>
      </c>
      <c r="B805" s="105"/>
      <c r="C805" s="107" t="s">
        <v>824</v>
      </c>
      <c r="D805" s="107" t="s">
        <v>497</v>
      </c>
      <c r="E805" s="120">
        <v>182699.25999999998</v>
      </c>
      <c r="F805" s="120" t="s">
        <v>250</v>
      </c>
      <c r="G805" s="120">
        <v>171016.36745531799</v>
      </c>
      <c r="H805" s="120" t="s">
        <v>250</v>
      </c>
      <c r="I805" s="120">
        <v>7888.2222031516758</v>
      </c>
      <c r="J805" s="120">
        <v>3794.6703415303282</v>
      </c>
      <c r="K805" s="120" t="s">
        <v>250</v>
      </c>
      <c r="L805" s="120" t="s">
        <v>250</v>
      </c>
      <c r="M805" s="120">
        <v>0</v>
      </c>
      <c r="N805" s="120" t="s">
        <v>250</v>
      </c>
      <c r="O805" s="120">
        <v>3794.6703415303282</v>
      </c>
      <c r="P805" s="120">
        <v>1924.8691319989114</v>
      </c>
      <c r="Q805" s="120">
        <v>1869.8012095314168</v>
      </c>
      <c r="R805" s="120"/>
      <c r="S805" s="121"/>
    </row>
    <row r="806" spans="1:19" ht="15">
      <c r="A806" s="105">
        <v>14</v>
      </c>
      <c r="B806" s="105"/>
      <c r="C806" s="107" t="s">
        <v>825</v>
      </c>
      <c r="D806" s="107" t="s">
        <v>497</v>
      </c>
      <c r="E806" s="120">
        <v>0</v>
      </c>
      <c r="F806" s="120" t="s">
        <v>250</v>
      </c>
      <c r="G806" s="120">
        <v>0</v>
      </c>
      <c r="H806" s="120" t="s">
        <v>250</v>
      </c>
      <c r="I806" s="120">
        <v>0</v>
      </c>
      <c r="J806" s="120">
        <v>0</v>
      </c>
      <c r="K806" s="120" t="s">
        <v>250</v>
      </c>
      <c r="L806" s="120" t="s">
        <v>250</v>
      </c>
      <c r="M806" s="120">
        <v>0</v>
      </c>
      <c r="N806" s="120" t="s">
        <v>250</v>
      </c>
      <c r="O806" s="120">
        <v>0</v>
      </c>
      <c r="P806" s="120">
        <v>0</v>
      </c>
      <c r="Q806" s="120">
        <v>0</v>
      </c>
      <c r="R806" s="120"/>
      <c r="S806" s="121"/>
    </row>
    <row r="807" spans="1:19" ht="15">
      <c r="A807" s="105">
        <v>15</v>
      </c>
      <c r="B807" s="105"/>
      <c r="C807" s="107" t="s">
        <v>826</v>
      </c>
      <c r="D807" s="107" t="s">
        <v>497</v>
      </c>
      <c r="E807" s="120">
        <v>0</v>
      </c>
      <c r="F807" s="120" t="s">
        <v>250</v>
      </c>
      <c r="G807" s="120">
        <v>0</v>
      </c>
      <c r="H807" s="120" t="s">
        <v>250</v>
      </c>
      <c r="I807" s="120">
        <v>0</v>
      </c>
      <c r="J807" s="120">
        <v>0</v>
      </c>
      <c r="K807" s="120" t="s">
        <v>250</v>
      </c>
      <c r="L807" s="120" t="s">
        <v>250</v>
      </c>
      <c r="M807" s="120">
        <v>0</v>
      </c>
      <c r="N807" s="120" t="s">
        <v>250</v>
      </c>
      <c r="O807" s="120">
        <v>0</v>
      </c>
      <c r="P807" s="120">
        <v>0</v>
      </c>
      <c r="Q807" s="120">
        <v>0</v>
      </c>
      <c r="R807" s="120"/>
      <c r="S807" s="121"/>
    </row>
    <row r="808" spans="1:19" ht="15">
      <c r="A808" s="105">
        <v>16</v>
      </c>
      <c r="B808" s="105"/>
      <c r="C808" s="107" t="s">
        <v>827</v>
      </c>
      <c r="D808" s="107" t="s">
        <v>497</v>
      </c>
      <c r="E808" s="120">
        <v>0</v>
      </c>
      <c r="F808" s="120" t="s">
        <v>250</v>
      </c>
      <c r="G808" s="120">
        <v>0</v>
      </c>
      <c r="H808" s="120" t="s">
        <v>250</v>
      </c>
      <c r="I808" s="120">
        <v>0</v>
      </c>
      <c r="J808" s="120">
        <v>0</v>
      </c>
      <c r="K808" s="120" t="s">
        <v>250</v>
      </c>
      <c r="L808" s="120" t="s">
        <v>250</v>
      </c>
      <c r="M808" s="120">
        <v>0</v>
      </c>
      <c r="N808" s="120" t="s">
        <v>250</v>
      </c>
      <c r="O808" s="120">
        <v>0</v>
      </c>
      <c r="P808" s="120">
        <v>0</v>
      </c>
      <c r="Q808" s="120">
        <v>0</v>
      </c>
      <c r="R808" s="120"/>
      <c r="S808" s="121"/>
    </row>
    <row r="809" spans="1:19" ht="15">
      <c r="A809" s="105">
        <v>17</v>
      </c>
      <c r="B809" s="105"/>
      <c r="C809" s="107" t="s">
        <v>828</v>
      </c>
      <c r="D809" s="107" t="s">
        <v>497</v>
      </c>
      <c r="E809" s="120">
        <v>130761.10999999997</v>
      </c>
      <c r="F809" s="120" t="s">
        <v>250</v>
      </c>
      <c r="G809" s="120">
        <v>122399.45600559768</v>
      </c>
      <c r="H809" s="120" t="s">
        <v>250</v>
      </c>
      <c r="I809" s="120">
        <v>5645.7409362838061</v>
      </c>
      <c r="J809" s="120">
        <v>2715.9130581184882</v>
      </c>
      <c r="K809" s="120" t="s">
        <v>250</v>
      </c>
      <c r="L809" s="120" t="s">
        <v>250</v>
      </c>
      <c r="M809" s="120">
        <v>0</v>
      </c>
      <c r="N809" s="120" t="s">
        <v>250</v>
      </c>
      <c r="O809" s="120">
        <v>2715.9130581184882</v>
      </c>
      <c r="P809" s="120">
        <v>1377.6630748527068</v>
      </c>
      <c r="Q809" s="120">
        <v>1338.2499832657811</v>
      </c>
      <c r="R809" s="120"/>
      <c r="S809" s="121"/>
    </row>
    <row r="810" spans="1:19" ht="15">
      <c r="A810" s="105">
        <v>18</v>
      </c>
      <c r="B810" s="105"/>
      <c r="C810" s="107" t="s">
        <v>829</v>
      </c>
      <c r="D810" s="107" t="s">
        <v>497</v>
      </c>
      <c r="E810" s="120">
        <v>68136.059999999983</v>
      </c>
      <c r="F810" s="120" t="s">
        <v>250</v>
      </c>
      <c r="G810" s="120">
        <v>63779.029394632424</v>
      </c>
      <c r="H810" s="120" t="s">
        <v>250</v>
      </c>
      <c r="I810" s="120">
        <v>2941.8421362367571</v>
      </c>
      <c r="J810" s="120">
        <v>1415.1884691308051</v>
      </c>
      <c r="K810" s="120" t="s">
        <v>250</v>
      </c>
      <c r="L810" s="120" t="s">
        <v>250</v>
      </c>
      <c r="M810" s="120">
        <v>0</v>
      </c>
      <c r="N810" s="120" t="s">
        <v>250</v>
      </c>
      <c r="O810" s="120">
        <v>1415.1884691308051</v>
      </c>
      <c r="P810" s="120">
        <v>717.86277990412077</v>
      </c>
      <c r="Q810" s="120">
        <v>697.32568922668418</v>
      </c>
      <c r="R810" s="120"/>
      <c r="S810" s="121"/>
    </row>
    <row r="811" spans="1:19" ht="15">
      <c r="A811" s="105">
        <v>19</v>
      </c>
      <c r="B811" s="105"/>
      <c r="C811" s="107" t="s">
        <v>2237</v>
      </c>
      <c r="D811" s="107" t="s">
        <v>497</v>
      </c>
      <c r="E811" s="120">
        <v>739.99999999999989</v>
      </c>
      <c r="F811" s="120" t="s">
        <v>250</v>
      </c>
      <c r="G811" s="120">
        <v>692.67993705576748</v>
      </c>
      <c r="H811" s="120" t="s">
        <v>250</v>
      </c>
      <c r="I811" s="120">
        <v>31.950235760846759</v>
      </c>
      <c r="J811" s="120">
        <v>15.369827183385651</v>
      </c>
      <c r="K811" s="120" t="s">
        <v>250</v>
      </c>
      <c r="L811" s="120" t="s">
        <v>250</v>
      </c>
      <c r="M811" s="120">
        <v>0</v>
      </c>
      <c r="N811" s="120" t="s">
        <v>250</v>
      </c>
      <c r="O811" s="120">
        <v>15.369827183385651</v>
      </c>
      <c r="P811" s="120">
        <v>7.7964363822775988</v>
      </c>
      <c r="Q811" s="120">
        <v>7.5733908011080517</v>
      </c>
      <c r="R811" s="120"/>
      <c r="S811" s="121"/>
    </row>
    <row r="812" spans="1:19" ht="15">
      <c r="A812" s="105">
        <v>20</v>
      </c>
      <c r="B812" s="105"/>
      <c r="C812" s="107" t="s">
        <v>830</v>
      </c>
      <c r="D812" s="107" t="s">
        <v>497</v>
      </c>
      <c r="E812" s="120">
        <v>41752.080000000002</v>
      </c>
      <c r="F812" s="120" t="s">
        <v>250</v>
      </c>
      <c r="G812" s="120">
        <v>39082.200197766717</v>
      </c>
      <c r="H812" s="120" t="s">
        <v>250</v>
      </c>
      <c r="I812" s="120">
        <v>1802.6875668996415</v>
      </c>
      <c r="J812" s="120">
        <v>867.19223533363834</v>
      </c>
      <c r="K812" s="120" t="s">
        <v>250</v>
      </c>
      <c r="L812" s="120" t="s">
        <v>250</v>
      </c>
      <c r="M812" s="120">
        <v>0</v>
      </c>
      <c r="N812" s="120" t="s">
        <v>250</v>
      </c>
      <c r="O812" s="120">
        <v>867.19223533363834</v>
      </c>
      <c r="P812" s="120">
        <v>439.88842641589849</v>
      </c>
      <c r="Q812" s="120">
        <v>427.30380891773984</v>
      </c>
      <c r="R812" s="120"/>
      <c r="S812" s="121"/>
    </row>
    <row r="813" spans="1:19" ht="15">
      <c r="A813" s="105">
        <v>21</v>
      </c>
      <c r="B813" s="105"/>
      <c r="C813" s="107" t="s">
        <v>831</v>
      </c>
      <c r="D813" s="107" t="s">
        <v>497</v>
      </c>
      <c r="E813" s="120">
        <v>2334.7999999999997</v>
      </c>
      <c r="F813" s="120" t="s">
        <v>250</v>
      </c>
      <c r="G813" s="120">
        <v>2185.498806807846</v>
      </c>
      <c r="H813" s="120" t="s">
        <v>250</v>
      </c>
      <c r="I813" s="120">
        <v>100.80731142489867</v>
      </c>
      <c r="J813" s="120">
        <v>48.493881767255161</v>
      </c>
      <c r="K813" s="120" t="s">
        <v>250</v>
      </c>
      <c r="L813" s="120" t="s">
        <v>250</v>
      </c>
      <c r="M813" s="120">
        <v>0</v>
      </c>
      <c r="N813" s="120" t="s">
        <v>250</v>
      </c>
      <c r="O813" s="120">
        <v>48.493881767255161</v>
      </c>
      <c r="P813" s="120">
        <v>24.598810358569917</v>
      </c>
      <c r="Q813" s="120">
        <v>23.895071408685244</v>
      </c>
      <c r="R813" s="120"/>
      <c r="S813" s="121"/>
    </row>
    <row r="814" spans="1:19" ht="15">
      <c r="A814" s="105">
        <v>22</v>
      </c>
      <c r="B814" s="105"/>
      <c r="C814" s="107" t="s">
        <v>832</v>
      </c>
      <c r="D814" s="107" t="s">
        <v>497</v>
      </c>
      <c r="E814" s="120">
        <v>839815.29999999993</v>
      </c>
      <c r="F814" s="120" t="s">
        <v>250</v>
      </c>
      <c r="G814" s="120">
        <v>786112.44478712231</v>
      </c>
      <c r="H814" s="120" t="s">
        <v>250</v>
      </c>
      <c r="I814" s="120">
        <v>36259.860581846282</v>
      </c>
      <c r="J814" s="120">
        <v>17442.994631031317</v>
      </c>
      <c r="K814" s="120" t="s">
        <v>250</v>
      </c>
      <c r="L814" s="120" t="s">
        <v>250</v>
      </c>
      <c r="M814" s="120">
        <v>0</v>
      </c>
      <c r="N814" s="120" t="s">
        <v>250</v>
      </c>
      <c r="O814" s="120">
        <v>17442.994631031317</v>
      </c>
      <c r="P814" s="120">
        <v>8848.0629179910484</v>
      </c>
      <c r="Q814" s="120">
        <v>8594.9317130402687</v>
      </c>
      <c r="R814" s="120"/>
      <c r="S814" s="121"/>
    </row>
    <row r="815" spans="1:19" ht="15">
      <c r="A815" s="105">
        <v>23</v>
      </c>
      <c r="B815" s="105"/>
      <c r="C815" s="107" t="s">
        <v>833</v>
      </c>
      <c r="D815" s="107" t="s">
        <v>497</v>
      </c>
      <c r="E815" s="120">
        <v>340993.27999999991</v>
      </c>
      <c r="F815" s="120" t="s">
        <v>250</v>
      </c>
      <c r="G815" s="120">
        <v>319188.11314437794</v>
      </c>
      <c r="H815" s="120" t="s">
        <v>250</v>
      </c>
      <c r="I815" s="120">
        <v>14722.723903870852</v>
      </c>
      <c r="J815" s="120">
        <v>7082.4429517511271</v>
      </c>
      <c r="K815" s="120" t="s">
        <v>250</v>
      </c>
      <c r="L815" s="120" t="s">
        <v>250</v>
      </c>
      <c r="M815" s="120">
        <v>0</v>
      </c>
      <c r="N815" s="120" t="s">
        <v>250</v>
      </c>
      <c r="O815" s="120">
        <v>7082.4429517511271</v>
      </c>
      <c r="P815" s="120">
        <v>3592.6113706813135</v>
      </c>
      <c r="Q815" s="120">
        <v>3489.8315810698136</v>
      </c>
      <c r="R815" s="120"/>
      <c r="S815" s="121"/>
    </row>
    <row r="816" spans="1:19" ht="15">
      <c r="A816" s="105">
        <v>24</v>
      </c>
      <c r="B816" s="105"/>
      <c r="C816" s="107" t="s">
        <v>834</v>
      </c>
      <c r="D816" s="107" t="s">
        <v>497</v>
      </c>
      <c r="E816" s="120">
        <v>2596572</v>
      </c>
      <c r="F816" s="120" t="s">
        <v>250</v>
      </c>
      <c r="G816" s="120">
        <v>2430531.5263794167</v>
      </c>
      <c r="H816" s="120" t="s">
        <v>250</v>
      </c>
      <c r="I816" s="120">
        <v>112109.57779731539</v>
      </c>
      <c r="J816" s="120">
        <v>53930.89582326763</v>
      </c>
      <c r="K816" s="120" t="s">
        <v>250</v>
      </c>
      <c r="L816" s="120" t="s">
        <v>250</v>
      </c>
      <c r="M816" s="120">
        <v>0</v>
      </c>
      <c r="N816" s="120" t="s">
        <v>250</v>
      </c>
      <c r="O816" s="120">
        <v>53930.89582326763</v>
      </c>
      <c r="P816" s="120">
        <v>27356.768121626093</v>
      </c>
      <c r="Q816" s="120">
        <v>26574.127701641537</v>
      </c>
      <c r="R816" s="120"/>
      <c r="S816" s="121"/>
    </row>
    <row r="817" spans="1:19" ht="15">
      <c r="A817" s="105">
        <v>25</v>
      </c>
      <c r="B817" s="105"/>
      <c r="C817" s="107" t="s">
        <v>835</v>
      </c>
      <c r="D817" s="107" t="s">
        <v>497</v>
      </c>
      <c r="E817" s="120">
        <v>0</v>
      </c>
      <c r="F817" s="120" t="s">
        <v>250</v>
      </c>
      <c r="G817" s="120">
        <v>0</v>
      </c>
      <c r="H817" s="120" t="s">
        <v>250</v>
      </c>
      <c r="I817" s="120">
        <v>0</v>
      </c>
      <c r="J817" s="120">
        <v>0</v>
      </c>
      <c r="K817" s="120" t="s">
        <v>250</v>
      </c>
      <c r="L817" s="120" t="s">
        <v>250</v>
      </c>
      <c r="M817" s="120">
        <v>0</v>
      </c>
      <c r="N817" s="120" t="s">
        <v>250</v>
      </c>
      <c r="O817" s="120">
        <v>0</v>
      </c>
      <c r="P817" s="120">
        <v>0</v>
      </c>
      <c r="Q817" s="120">
        <v>0</v>
      </c>
      <c r="R817" s="120"/>
      <c r="S817" s="121"/>
    </row>
    <row r="818" spans="1:19" ht="15">
      <c r="A818" s="105">
        <v>26</v>
      </c>
      <c r="B818" s="105"/>
      <c r="C818" s="107" t="s">
        <v>836</v>
      </c>
      <c r="D818" s="107" t="s">
        <v>497</v>
      </c>
      <c r="E818" s="120">
        <v>718688.48999999987</v>
      </c>
      <c r="F818" s="120" t="s">
        <v>250</v>
      </c>
      <c r="G818" s="120">
        <v>672731.21353500616</v>
      </c>
      <c r="H818" s="120" t="s">
        <v>250</v>
      </c>
      <c r="I818" s="120">
        <v>31030.090127171567</v>
      </c>
      <c r="J818" s="120">
        <v>14927.186337822142</v>
      </c>
      <c r="K818" s="120" t="s">
        <v>250</v>
      </c>
      <c r="L818" s="120" t="s">
        <v>250</v>
      </c>
      <c r="M818" s="120">
        <v>0</v>
      </c>
      <c r="N818" s="120" t="s">
        <v>250</v>
      </c>
      <c r="O818" s="120">
        <v>14927.186337822142</v>
      </c>
      <c r="P818" s="120">
        <v>7571.9041769731757</v>
      </c>
      <c r="Q818" s="120">
        <v>7355.2821608489676</v>
      </c>
      <c r="R818" s="120"/>
      <c r="S818" s="121"/>
    </row>
    <row r="819" spans="1:19" ht="15">
      <c r="A819" s="105">
        <v>27</v>
      </c>
      <c r="B819" s="105"/>
      <c r="C819" s="107" t="s">
        <v>837</v>
      </c>
      <c r="D819" s="107" t="s">
        <v>497</v>
      </c>
      <c r="E819" s="120">
        <v>408158.53999999992</v>
      </c>
      <c r="F819" s="120" t="s">
        <v>250</v>
      </c>
      <c r="G819" s="120">
        <v>382058.42134591076</v>
      </c>
      <c r="H819" s="120" t="s">
        <v>250</v>
      </c>
      <c r="I819" s="120">
        <v>17622.650784868922</v>
      </c>
      <c r="J819" s="120">
        <v>8477.4678692202688</v>
      </c>
      <c r="K819" s="120" t="s">
        <v>250</v>
      </c>
      <c r="L819" s="120" t="s">
        <v>250</v>
      </c>
      <c r="M819" s="120">
        <v>0</v>
      </c>
      <c r="N819" s="120" t="s">
        <v>250</v>
      </c>
      <c r="O819" s="120">
        <v>8477.4678692202688</v>
      </c>
      <c r="P819" s="120">
        <v>4300.2460689098734</v>
      </c>
      <c r="Q819" s="120">
        <v>4177.2218003103953</v>
      </c>
      <c r="R819" s="120"/>
      <c r="S819" s="121"/>
    </row>
    <row r="820" spans="1:19" ht="15">
      <c r="A820" s="105">
        <v>28</v>
      </c>
      <c r="B820" s="105"/>
      <c r="C820" s="107" t="s">
        <v>838</v>
      </c>
      <c r="D820" s="107" t="s">
        <v>497</v>
      </c>
      <c r="E820" s="120">
        <v>1323987.92</v>
      </c>
      <c r="F820" s="120" t="s">
        <v>250</v>
      </c>
      <c r="G820" s="120">
        <v>1239324.1474164817</v>
      </c>
      <c r="H820" s="120" t="s">
        <v>250</v>
      </c>
      <c r="I820" s="120">
        <v>57164.494849342045</v>
      </c>
      <c r="J820" s="120">
        <v>27499.277734175979</v>
      </c>
      <c r="K820" s="120" t="s">
        <v>250</v>
      </c>
      <c r="L820" s="120" t="s">
        <v>250</v>
      </c>
      <c r="M820" s="120">
        <v>0</v>
      </c>
      <c r="N820" s="120" t="s">
        <v>250</v>
      </c>
      <c r="O820" s="120">
        <v>27499.277734175979</v>
      </c>
      <c r="P820" s="120">
        <v>13949.172417816273</v>
      </c>
      <c r="Q820" s="120">
        <v>13550.105316359706</v>
      </c>
      <c r="R820" s="120"/>
      <c r="S820" s="121"/>
    </row>
    <row r="821" spans="1:19" ht="15">
      <c r="A821" s="105">
        <v>29</v>
      </c>
      <c r="B821" s="105"/>
      <c r="C821" s="107" t="s">
        <v>839</v>
      </c>
      <c r="D821" s="107" t="s">
        <v>497</v>
      </c>
      <c r="E821" s="120">
        <v>1125907.4999999998</v>
      </c>
      <c r="F821" s="120" t="s">
        <v>250</v>
      </c>
      <c r="G821" s="120">
        <v>1053910.1840954279</v>
      </c>
      <c r="H821" s="120" t="s">
        <v>250</v>
      </c>
      <c r="I821" s="120">
        <v>48612.175770142669</v>
      </c>
      <c r="J821" s="120">
        <v>23385.140134429428</v>
      </c>
      <c r="K821" s="120" t="s">
        <v>250</v>
      </c>
      <c r="L821" s="120" t="s">
        <v>250</v>
      </c>
      <c r="M821" s="120">
        <v>0</v>
      </c>
      <c r="N821" s="120" t="s">
        <v>250</v>
      </c>
      <c r="O821" s="120">
        <v>23385.140134429428</v>
      </c>
      <c r="P821" s="120">
        <v>11862.251616323263</v>
      </c>
      <c r="Q821" s="120">
        <v>11522.888518106167</v>
      </c>
      <c r="R821" s="120"/>
      <c r="S821" s="121"/>
    </row>
    <row r="822" spans="1:19" ht="15">
      <c r="A822" s="105">
        <v>30</v>
      </c>
      <c r="B822" s="105"/>
      <c r="C822" s="107" t="s">
        <v>840</v>
      </c>
      <c r="D822" s="107" t="s">
        <v>497</v>
      </c>
      <c r="E822" s="120">
        <v>0</v>
      </c>
      <c r="F822" s="120" t="s">
        <v>250</v>
      </c>
      <c r="G822" s="120">
        <v>0</v>
      </c>
      <c r="H822" s="120" t="s">
        <v>250</v>
      </c>
      <c r="I822" s="120">
        <v>0</v>
      </c>
      <c r="J822" s="120">
        <v>0</v>
      </c>
      <c r="K822" s="120" t="s">
        <v>250</v>
      </c>
      <c r="L822" s="120" t="s">
        <v>250</v>
      </c>
      <c r="M822" s="120">
        <v>0</v>
      </c>
      <c r="N822" s="120" t="s">
        <v>250</v>
      </c>
      <c r="O822" s="120">
        <v>0</v>
      </c>
      <c r="P822" s="120">
        <v>0</v>
      </c>
      <c r="Q822" s="120">
        <v>0</v>
      </c>
      <c r="R822" s="120"/>
      <c r="S822" s="121"/>
    </row>
    <row r="823" spans="1:19" ht="15">
      <c r="A823" s="105">
        <v>31</v>
      </c>
      <c r="B823" s="105"/>
      <c r="C823" s="107" t="s">
        <v>841</v>
      </c>
      <c r="D823" s="107" t="s">
        <v>497</v>
      </c>
      <c r="E823" s="120">
        <v>2225087.7199999997</v>
      </c>
      <c r="F823" s="120" t="s">
        <v>250</v>
      </c>
      <c r="G823" s="120">
        <v>2082802.1916664338</v>
      </c>
      <c r="H823" s="120" t="s">
        <v>250</v>
      </c>
      <c r="I823" s="120">
        <v>96070.374652114828</v>
      </c>
      <c r="J823" s="120">
        <v>46215.153681450807</v>
      </c>
      <c r="K823" s="120" t="s">
        <v>250</v>
      </c>
      <c r="L823" s="120" t="s">
        <v>250</v>
      </c>
      <c r="M823" s="120">
        <v>0</v>
      </c>
      <c r="N823" s="120" t="s">
        <v>250</v>
      </c>
      <c r="O823" s="120">
        <v>46215.153681450807</v>
      </c>
      <c r="P823" s="120">
        <v>23442.911964820418</v>
      </c>
      <c r="Q823" s="120">
        <v>22772.241716630389</v>
      </c>
      <c r="R823" s="120"/>
      <c r="S823" s="121"/>
    </row>
    <row r="824" spans="1:19" ht="15">
      <c r="A824" s="105">
        <v>32</v>
      </c>
      <c r="B824" s="105"/>
      <c r="C824" s="107" t="s">
        <v>842</v>
      </c>
      <c r="D824" s="107" t="s">
        <v>497</v>
      </c>
      <c r="E824" s="120">
        <v>0</v>
      </c>
      <c r="F824" s="120" t="s">
        <v>250</v>
      </c>
      <c r="G824" s="120">
        <v>0</v>
      </c>
      <c r="H824" s="120" t="s">
        <v>250</v>
      </c>
      <c r="I824" s="120">
        <v>0</v>
      </c>
      <c r="J824" s="120">
        <v>0</v>
      </c>
      <c r="K824" s="120" t="s">
        <v>250</v>
      </c>
      <c r="L824" s="120" t="s">
        <v>250</v>
      </c>
      <c r="M824" s="120">
        <v>0</v>
      </c>
      <c r="N824" s="120" t="s">
        <v>250</v>
      </c>
      <c r="O824" s="120">
        <v>0</v>
      </c>
      <c r="P824" s="120">
        <v>0</v>
      </c>
      <c r="Q824" s="120">
        <v>0</v>
      </c>
      <c r="R824" s="120"/>
      <c r="S824" s="121"/>
    </row>
    <row r="825" spans="1:19" ht="15">
      <c r="A825" s="105" t="s">
        <v>250</v>
      </c>
      <c r="B825" s="105"/>
      <c r="C825" s="107" t="s">
        <v>250</v>
      </c>
      <c r="D825" s="107" t="s">
        <v>250</v>
      </c>
      <c r="E825" s="120" t="s">
        <v>250</v>
      </c>
      <c r="F825" s="120" t="s">
        <v>250</v>
      </c>
      <c r="G825" s="120" t="s">
        <v>250</v>
      </c>
      <c r="H825" s="120" t="s">
        <v>250</v>
      </c>
      <c r="I825" s="120" t="s">
        <v>250</v>
      </c>
      <c r="J825" s="120" t="s">
        <v>250</v>
      </c>
      <c r="K825" s="120" t="s">
        <v>250</v>
      </c>
      <c r="L825" s="120" t="s">
        <v>250</v>
      </c>
      <c r="M825" s="120" t="s">
        <v>250</v>
      </c>
      <c r="N825" s="120" t="s">
        <v>250</v>
      </c>
      <c r="O825" s="120" t="s">
        <v>250</v>
      </c>
      <c r="P825" s="120" t="s">
        <v>250</v>
      </c>
      <c r="Q825" s="120" t="s">
        <v>250</v>
      </c>
      <c r="R825" s="120"/>
      <c r="S825" s="121"/>
    </row>
    <row r="826" spans="1:19" ht="15">
      <c r="A826" s="105">
        <v>33</v>
      </c>
      <c r="B826" s="105"/>
      <c r="C826" s="107" t="s">
        <v>843</v>
      </c>
      <c r="D826" s="107" t="s">
        <v>250</v>
      </c>
      <c r="E826" s="120">
        <v>36820946.5</v>
      </c>
      <c r="F826" s="120" t="s">
        <v>250</v>
      </c>
      <c r="G826" s="120">
        <v>34466393.113451064</v>
      </c>
      <c r="H826" s="120" t="s">
        <v>250</v>
      </c>
      <c r="I826" s="120">
        <v>1589780.9751520613</v>
      </c>
      <c r="J826" s="120">
        <v>764772.41139687679</v>
      </c>
      <c r="K826" s="120">
        <v>0</v>
      </c>
      <c r="L826" s="120">
        <v>0</v>
      </c>
      <c r="M826" s="120">
        <v>0</v>
      </c>
      <c r="N826" s="120" t="s">
        <v>250</v>
      </c>
      <c r="O826" s="120">
        <v>764772.41139687679</v>
      </c>
      <c r="P826" s="120">
        <v>387935.36070607707</v>
      </c>
      <c r="Q826" s="120">
        <v>376837.05069079972</v>
      </c>
      <c r="R826" s="120"/>
      <c r="S826" s="121"/>
    </row>
    <row r="827" spans="1:19" ht="15">
      <c r="A827" s="105" t="s">
        <v>250</v>
      </c>
      <c r="B827" s="105"/>
      <c r="C827" s="107" t="s">
        <v>250</v>
      </c>
      <c r="D827" s="107" t="s">
        <v>250</v>
      </c>
      <c r="E827" s="120" t="s">
        <v>250</v>
      </c>
      <c r="F827" s="120" t="s">
        <v>250</v>
      </c>
      <c r="G827" s="120" t="s">
        <v>250</v>
      </c>
      <c r="H827" s="120" t="s">
        <v>250</v>
      </c>
      <c r="I827" s="120" t="s">
        <v>250</v>
      </c>
      <c r="J827" s="120" t="s">
        <v>250</v>
      </c>
      <c r="K827" s="120" t="s">
        <v>250</v>
      </c>
      <c r="L827" s="120" t="s">
        <v>250</v>
      </c>
      <c r="M827" s="120" t="s">
        <v>250</v>
      </c>
      <c r="N827" s="120" t="s">
        <v>250</v>
      </c>
      <c r="O827" s="120" t="s">
        <v>250</v>
      </c>
      <c r="P827" s="120" t="s">
        <v>250</v>
      </c>
      <c r="Q827" s="120" t="s">
        <v>250</v>
      </c>
      <c r="R827" s="120"/>
      <c r="S827" s="121"/>
    </row>
    <row r="828" spans="1:19" ht="15">
      <c r="A828" s="105">
        <v>34</v>
      </c>
      <c r="B828" s="105"/>
      <c r="C828" s="107" t="s">
        <v>844</v>
      </c>
      <c r="D828" s="107" t="s">
        <v>250</v>
      </c>
      <c r="E828" s="120">
        <v>61072750.589999996</v>
      </c>
      <c r="F828" s="120" t="s">
        <v>250</v>
      </c>
      <c r="G828" s="120">
        <v>57307365.299377605</v>
      </c>
      <c r="H828" s="120" t="s">
        <v>250</v>
      </c>
      <c r="I828" s="120">
        <v>2507066.3773693247</v>
      </c>
      <c r="J828" s="120">
        <v>1258318.9132530692</v>
      </c>
      <c r="K828" s="120">
        <v>0</v>
      </c>
      <c r="L828" s="120">
        <v>0</v>
      </c>
      <c r="M828" s="120">
        <v>0</v>
      </c>
      <c r="N828" s="120" t="s">
        <v>250</v>
      </c>
      <c r="O828" s="120">
        <v>1258318.9132530694</v>
      </c>
      <c r="P828" s="120">
        <v>641259.96539006336</v>
      </c>
      <c r="Q828" s="120">
        <v>617058.94786300592</v>
      </c>
      <c r="R828" s="120"/>
      <c r="S828" s="121"/>
    </row>
    <row r="829" spans="1:19" ht="15">
      <c r="A829" s="105" t="s">
        <v>250</v>
      </c>
      <c r="B829" s="105"/>
      <c r="C829" s="107" t="s">
        <v>250</v>
      </c>
      <c r="D829" s="107" t="s">
        <v>250</v>
      </c>
      <c r="E829" s="120" t="s">
        <v>250</v>
      </c>
      <c r="F829" s="120" t="s">
        <v>250</v>
      </c>
      <c r="G829" s="120" t="s">
        <v>250</v>
      </c>
      <c r="H829" s="120" t="s">
        <v>250</v>
      </c>
      <c r="I829" s="120" t="s">
        <v>250</v>
      </c>
      <c r="J829" s="120" t="s">
        <v>250</v>
      </c>
      <c r="K829" s="120" t="s">
        <v>250</v>
      </c>
      <c r="L829" s="120" t="s">
        <v>250</v>
      </c>
      <c r="M829" s="120" t="s">
        <v>250</v>
      </c>
      <c r="N829" s="120" t="s">
        <v>250</v>
      </c>
      <c r="O829" s="120" t="s">
        <v>250</v>
      </c>
      <c r="P829" s="120" t="s">
        <v>250</v>
      </c>
      <c r="Q829" s="120" t="s">
        <v>250</v>
      </c>
      <c r="R829" s="120"/>
      <c r="S829" s="121"/>
    </row>
    <row r="830" spans="1:19" ht="15">
      <c r="A830" s="105" t="s">
        <v>250</v>
      </c>
      <c r="B830" s="105"/>
      <c r="C830" s="107" t="s">
        <v>250</v>
      </c>
      <c r="D830" s="107" t="s">
        <v>250</v>
      </c>
      <c r="E830" s="120" t="s">
        <v>250</v>
      </c>
      <c r="F830" s="120" t="s">
        <v>250</v>
      </c>
      <c r="G830" s="120" t="s">
        <v>250</v>
      </c>
      <c r="H830" s="120" t="s">
        <v>250</v>
      </c>
      <c r="I830" s="120" t="s">
        <v>250</v>
      </c>
      <c r="J830" s="120" t="s">
        <v>250</v>
      </c>
      <c r="K830" s="120" t="s">
        <v>250</v>
      </c>
      <c r="L830" s="120" t="s">
        <v>250</v>
      </c>
      <c r="M830" s="120" t="s">
        <v>250</v>
      </c>
      <c r="N830" s="120" t="s">
        <v>250</v>
      </c>
      <c r="O830" s="120" t="s">
        <v>250</v>
      </c>
      <c r="P830" s="120" t="s">
        <v>250</v>
      </c>
      <c r="Q830" s="120" t="s">
        <v>250</v>
      </c>
      <c r="R830" s="120"/>
      <c r="S830" s="121"/>
    </row>
    <row r="831" spans="1:19" ht="15">
      <c r="A831" s="105" t="s">
        <v>250</v>
      </c>
      <c r="B831" s="105"/>
      <c r="C831" s="107" t="s">
        <v>250</v>
      </c>
      <c r="D831" s="107" t="s">
        <v>250</v>
      </c>
      <c r="E831" s="120" t="s">
        <v>250</v>
      </c>
      <c r="F831" s="120" t="s">
        <v>250</v>
      </c>
      <c r="G831" s="120" t="s">
        <v>250</v>
      </c>
      <c r="H831" s="120" t="s">
        <v>250</v>
      </c>
      <c r="I831" s="120" t="s">
        <v>250</v>
      </c>
      <c r="J831" s="120" t="s">
        <v>250</v>
      </c>
      <c r="K831" s="120" t="s">
        <v>250</v>
      </c>
      <c r="L831" s="120" t="s">
        <v>250</v>
      </c>
      <c r="M831" s="120" t="s">
        <v>250</v>
      </c>
      <c r="N831" s="120" t="s">
        <v>250</v>
      </c>
      <c r="O831" s="120" t="s">
        <v>250</v>
      </c>
      <c r="P831" s="120" t="s">
        <v>250</v>
      </c>
      <c r="Q831" s="120" t="s">
        <v>250</v>
      </c>
      <c r="R831" s="120"/>
      <c r="S831" s="121"/>
    </row>
    <row r="832" spans="1:19" ht="15">
      <c r="A832" s="105" t="s">
        <v>250</v>
      </c>
      <c r="B832" s="105"/>
      <c r="C832" s="107" t="s">
        <v>250</v>
      </c>
      <c r="D832" s="107" t="s">
        <v>250</v>
      </c>
      <c r="E832" s="120" t="s">
        <v>250</v>
      </c>
      <c r="F832" s="120" t="s">
        <v>250</v>
      </c>
      <c r="G832" s="120" t="s">
        <v>250</v>
      </c>
      <c r="H832" s="120" t="s">
        <v>250</v>
      </c>
      <c r="I832" s="120" t="s">
        <v>250</v>
      </c>
      <c r="J832" s="120" t="s">
        <v>250</v>
      </c>
      <c r="K832" s="120" t="s">
        <v>250</v>
      </c>
      <c r="L832" s="120" t="s">
        <v>250</v>
      </c>
      <c r="M832" s="120" t="s">
        <v>250</v>
      </c>
      <c r="N832" s="120" t="s">
        <v>250</v>
      </c>
      <c r="O832" s="120" t="s">
        <v>250</v>
      </c>
      <c r="P832" s="120" t="s">
        <v>250</v>
      </c>
      <c r="Q832" s="120" t="s">
        <v>250</v>
      </c>
      <c r="R832" s="120"/>
      <c r="S832" s="121"/>
    </row>
    <row r="833" spans="1:19" ht="15">
      <c r="A833" s="105" t="s">
        <v>250</v>
      </c>
      <c r="B833" s="105"/>
      <c r="C833" s="107" t="s">
        <v>845</v>
      </c>
      <c r="D833" s="107" t="s">
        <v>250</v>
      </c>
      <c r="E833" s="120" t="s">
        <v>250</v>
      </c>
      <c r="F833" s="120" t="s">
        <v>250</v>
      </c>
      <c r="G833" s="120" t="s">
        <v>250</v>
      </c>
      <c r="H833" s="120" t="s">
        <v>250</v>
      </c>
      <c r="I833" s="120" t="s">
        <v>250</v>
      </c>
      <c r="J833" s="120" t="s">
        <v>250</v>
      </c>
      <c r="K833" s="120" t="s">
        <v>250</v>
      </c>
      <c r="L833" s="120" t="s">
        <v>250</v>
      </c>
      <c r="M833" s="120" t="s">
        <v>250</v>
      </c>
      <c r="N833" s="120" t="s">
        <v>250</v>
      </c>
      <c r="O833" s="120" t="s">
        <v>250</v>
      </c>
      <c r="P833" s="120" t="s">
        <v>250</v>
      </c>
      <c r="Q833" s="120" t="s">
        <v>250</v>
      </c>
      <c r="R833" s="120"/>
      <c r="S833" s="121"/>
    </row>
    <row r="834" spans="1:19" ht="15">
      <c r="A834" s="105">
        <v>1</v>
      </c>
      <c r="B834" s="105"/>
      <c r="C834" s="107" t="s">
        <v>846</v>
      </c>
      <c r="D834" s="107" t="s">
        <v>499</v>
      </c>
      <c r="E834" s="120">
        <v>2251702.21</v>
      </c>
      <c r="F834" s="120" t="s">
        <v>250</v>
      </c>
      <c r="G834" s="120">
        <v>2031035.9869756494</v>
      </c>
      <c r="H834" s="120" t="s">
        <v>250</v>
      </c>
      <c r="I834" s="120">
        <v>220666.22302435082</v>
      </c>
      <c r="J834" s="120">
        <v>0</v>
      </c>
      <c r="K834" s="120" t="s">
        <v>250</v>
      </c>
      <c r="L834" s="120" t="s">
        <v>250</v>
      </c>
      <c r="M834" s="120">
        <v>0</v>
      </c>
      <c r="N834" s="120" t="s">
        <v>250</v>
      </c>
      <c r="O834" s="120">
        <v>0</v>
      </c>
      <c r="P834" s="120">
        <v>0</v>
      </c>
      <c r="Q834" s="120">
        <v>0</v>
      </c>
      <c r="R834" s="120"/>
      <c r="S834" s="121"/>
    </row>
    <row r="835" spans="1:19" ht="15">
      <c r="A835" s="105">
        <v>2</v>
      </c>
      <c r="B835" s="105"/>
      <c r="C835" s="107" t="s">
        <v>847</v>
      </c>
      <c r="D835" s="107" t="s">
        <v>499</v>
      </c>
      <c r="E835" s="120">
        <v>3256034.1300000004</v>
      </c>
      <c r="F835" s="120" t="s">
        <v>250</v>
      </c>
      <c r="G835" s="120">
        <v>2936943.6435606419</v>
      </c>
      <c r="H835" s="120" t="s">
        <v>250</v>
      </c>
      <c r="I835" s="120">
        <v>319090.48643935827</v>
      </c>
      <c r="J835" s="120">
        <v>0</v>
      </c>
      <c r="K835" s="120" t="s">
        <v>250</v>
      </c>
      <c r="L835" s="120" t="s">
        <v>250</v>
      </c>
      <c r="M835" s="120">
        <v>0</v>
      </c>
      <c r="N835" s="120" t="s">
        <v>250</v>
      </c>
      <c r="O835" s="120">
        <v>0</v>
      </c>
      <c r="P835" s="120">
        <v>0</v>
      </c>
      <c r="Q835" s="120">
        <v>0</v>
      </c>
      <c r="R835" s="120"/>
      <c r="S835" s="121"/>
    </row>
    <row r="836" spans="1:19" ht="15">
      <c r="A836" s="105">
        <v>3</v>
      </c>
      <c r="B836" s="105"/>
      <c r="C836" s="107" t="s">
        <v>848</v>
      </c>
      <c r="D836" s="107" t="s">
        <v>499</v>
      </c>
      <c r="E836" s="120">
        <v>467137.45000000007</v>
      </c>
      <c r="F836" s="120" t="s">
        <v>250</v>
      </c>
      <c r="G836" s="120">
        <v>421358.10303887306</v>
      </c>
      <c r="H836" s="120" t="s">
        <v>250</v>
      </c>
      <c r="I836" s="120">
        <v>45779.346961127041</v>
      </c>
      <c r="J836" s="120">
        <v>0</v>
      </c>
      <c r="K836" s="120" t="s">
        <v>250</v>
      </c>
      <c r="L836" s="120" t="s">
        <v>250</v>
      </c>
      <c r="M836" s="120">
        <v>0</v>
      </c>
      <c r="N836" s="120" t="s">
        <v>250</v>
      </c>
      <c r="O836" s="120">
        <v>0</v>
      </c>
      <c r="P836" s="120">
        <v>0</v>
      </c>
      <c r="Q836" s="120">
        <v>0</v>
      </c>
      <c r="R836" s="120"/>
      <c r="S836" s="121"/>
    </row>
    <row r="837" spans="1:19" ht="15">
      <c r="A837" s="105">
        <v>4</v>
      </c>
      <c r="B837" s="105"/>
      <c r="C837" s="107" t="s">
        <v>849</v>
      </c>
      <c r="D837" s="107" t="s">
        <v>499</v>
      </c>
      <c r="E837" s="120">
        <v>57395.12</v>
      </c>
      <c r="F837" s="120" t="s">
        <v>250</v>
      </c>
      <c r="G837" s="120">
        <v>51770.413369530703</v>
      </c>
      <c r="H837" s="120" t="s">
        <v>250</v>
      </c>
      <c r="I837" s="120">
        <v>5624.7066304693008</v>
      </c>
      <c r="J837" s="120">
        <v>0</v>
      </c>
      <c r="K837" s="120" t="s">
        <v>250</v>
      </c>
      <c r="L837" s="120" t="s">
        <v>250</v>
      </c>
      <c r="M837" s="120">
        <v>0</v>
      </c>
      <c r="N837" s="120" t="s">
        <v>250</v>
      </c>
      <c r="O837" s="120">
        <v>0</v>
      </c>
      <c r="P837" s="120">
        <v>0</v>
      </c>
      <c r="Q837" s="120">
        <v>0</v>
      </c>
      <c r="R837" s="120"/>
      <c r="S837" s="121"/>
    </row>
    <row r="838" spans="1:19" ht="15">
      <c r="A838" s="105">
        <v>5</v>
      </c>
      <c r="B838" s="105"/>
      <c r="C838" s="107" t="s">
        <v>850</v>
      </c>
      <c r="D838" s="107" t="s">
        <v>499</v>
      </c>
      <c r="E838" s="120">
        <v>0</v>
      </c>
      <c r="F838" s="120" t="s">
        <v>250</v>
      </c>
      <c r="G838" s="120">
        <v>0</v>
      </c>
      <c r="H838" s="120" t="s">
        <v>250</v>
      </c>
      <c r="I838" s="120">
        <v>0</v>
      </c>
      <c r="J838" s="120">
        <v>0</v>
      </c>
      <c r="K838" s="120" t="s">
        <v>250</v>
      </c>
      <c r="L838" s="120" t="s">
        <v>250</v>
      </c>
      <c r="M838" s="120">
        <v>0</v>
      </c>
      <c r="N838" s="120" t="s">
        <v>250</v>
      </c>
      <c r="O838" s="120">
        <v>0</v>
      </c>
      <c r="P838" s="120">
        <v>0</v>
      </c>
      <c r="Q838" s="120">
        <v>0</v>
      </c>
      <c r="R838" s="120"/>
      <c r="S838" s="121"/>
    </row>
    <row r="839" spans="1:19" ht="15">
      <c r="A839" s="105">
        <v>6</v>
      </c>
      <c r="B839" s="105"/>
      <c r="C839" s="107" t="s">
        <v>851</v>
      </c>
      <c r="D839" s="107" t="s">
        <v>499</v>
      </c>
      <c r="E839" s="120">
        <v>479920.13000000006</v>
      </c>
      <c r="F839" s="120" t="s">
        <v>250</v>
      </c>
      <c r="G839" s="120">
        <v>432888.08376842691</v>
      </c>
      <c r="H839" s="120" t="s">
        <v>250</v>
      </c>
      <c r="I839" s="120">
        <v>47032.046231573157</v>
      </c>
      <c r="J839" s="120">
        <v>0</v>
      </c>
      <c r="K839" s="120" t="s">
        <v>250</v>
      </c>
      <c r="L839" s="120" t="s">
        <v>250</v>
      </c>
      <c r="M839" s="120">
        <v>0</v>
      </c>
      <c r="N839" s="120" t="s">
        <v>250</v>
      </c>
      <c r="O839" s="120">
        <v>0</v>
      </c>
      <c r="P839" s="120">
        <v>0</v>
      </c>
      <c r="Q839" s="120">
        <v>0</v>
      </c>
      <c r="R839" s="120"/>
      <c r="S839" s="121"/>
    </row>
    <row r="840" spans="1:19" ht="15">
      <c r="A840" s="105">
        <v>7</v>
      </c>
      <c r="B840" s="105"/>
      <c r="C840" s="107" t="s">
        <v>852</v>
      </c>
      <c r="D840" s="107" t="s">
        <v>499</v>
      </c>
      <c r="E840" s="120">
        <v>0</v>
      </c>
      <c r="F840" s="120" t="s">
        <v>250</v>
      </c>
      <c r="G840" s="120">
        <v>0</v>
      </c>
      <c r="H840" s="120" t="s">
        <v>250</v>
      </c>
      <c r="I840" s="120">
        <v>0</v>
      </c>
      <c r="J840" s="120">
        <v>0</v>
      </c>
      <c r="K840" s="120" t="s">
        <v>250</v>
      </c>
      <c r="L840" s="120" t="s">
        <v>250</v>
      </c>
      <c r="M840" s="120">
        <v>0</v>
      </c>
      <c r="N840" s="120" t="s">
        <v>250</v>
      </c>
      <c r="O840" s="120">
        <v>0</v>
      </c>
      <c r="P840" s="120">
        <v>0</v>
      </c>
      <c r="Q840" s="120">
        <v>0</v>
      </c>
      <c r="R840" s="120"/>
      <c r="S840" s="121"/>
    </row>
    <row r="841" spans="1:19" ht="15">
      <c r="A841" s="105">
        <v>8</v>
      </c>
      <c r="B841" s="105"/>
      <c r="C841" s="107" t="s">
        <v>853</v>
      </c>
      <c r="D841" s="107" t="s">
        <v>499</v>
      </c>
      <c r="E841" s="120">
        <v>0</v>
      </c>
      <c r="F841" s="120" t="s">
        <v>250</v>
      </c>
      <c r="G841" s="120">
        <v>0</v>
      </c>
      <c r="H841" s="120" t="s">
        <v>250</v>
      </c>
      <c r="I841" s="120">
        <v>0</v>
      </c>
      <c r="J841" s="120">
        <v>0</v>
      </c>
      <c r="K841" s="120" t="s">
        <v>250</v>
      </c>
      <c r="L841" s="120" t="s">
        <v>250</v>
      </c>
      <c r="M841" s="120">
        <v>0</v>
      </c>
      <c r="N841" s="120" t="s">
        <v>250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9</v>
      </c>
      <c r="B842" s="105"/>
      <c r="C842" s="107" t="s">
        <v>854</v>
      </c>
      <c r="D842" s="107" t="s">
        <v>499</v>
      </c>
      <c r="E842" s="120">
        <v>1081899.9100000001</v>
      </c>
      <c r="F842" s="120" t="s">
        <v>250</v>
      </c>
      <c r="G842" s="120">
        <v>975874.00401215407</v>
      </c>
      <c r="H842" s="120" t="s">
        <v>250</v>
      </c>
      <c r="I842" s="120">
        <v>106025.905987846</v>
      </c>
      <c r="J842" s="120">
        <v>0</v>
      </c>
      <c r="K842" s="120" t="s">
        <v>250</v>
      </c>
      <c r="L842" s="120" t="s">
        <v>250</v>
      </c>
      <c r="M842" s="120">
        <v>0</v>
      </c>
      <c r="N842" s="120" t="s">
        <v>250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10</v>
      </c>
      <c r="B843" s="105"/>
      <c r="C843" s="107" t="s">
        <v>855</v>
      </c>
      <c r="D843" s="107" t="s">
        <v>499</v>
      </c>
      <c r="E843" s="120">
        <v>250005.15000000002</v>
      </c>
      <c r="F843" s="120" t="s">
        <v>250</v>
      </c>
      <c r="G843" s="120">
        <v>225504.71120212885</v>
      </c>
      <c r="H843" s="120" t="s">
        <v>250</v>
      </c>
      <c r="I843" s="120">
        <v>24500.438797871182</v>
      </c>
      <c r="J843" s="120">
        <v>0</v>
      </c>
      <c r="K843" s="120" t="s">
        <v>250</v>
      </c>
      <c r="L843" s="120" t="s">
        <v>250</v>
      </c>
      <c r="M843" s="120">
        <v>0</v>
      </c>
      <c r="N843" s="120" t="s">
        <v>250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11</v>
      </c>
      <c r="B844" s="105"/>
      <c r="C844" s="107" t="s">
        <v>856</v>
      </c>
      <c r="D844" s="107" t="s">
        <v>499</v>
      </c>
      <c r="E844" s="120">
        <v>0</v>
      </c>
      <c r="F844" s="120" t="s">
        <v>250</v>
      </c>
      <c r="G844" s="120">
        <v>0</v>
      </c>
      <c r="H844" s="120" t="s">
        <v>250</v>
      </c>
      <c r="I844" s="120">
        <v>0</v>
      </c>
      <c r="J844" s="120">
        <v>0</v>
      </c>
      <c r="K844" s="120" t="s">
        <v>250</v>
      </c>
      <c r="L844" s="120" t="s">
        <v>250</v>
      </c>
      <c r="M844" s="120">
        <v>0</v>
      </c>
      <c r="N844" s="120" t="s">
        <v>250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12</v>
      </c>
      <c r="B845" s="105"/>
      <c r="C845" s="107" t="s">
        <v>857</v>
      </c>
      <c r="D845" s="107" t="s">
        <v>499</v>
      </c>
      <c r="E845" s="120">
        <v>403.92</v>
      </c>
      <c r="F845" s="120" t="s">
        <v>250</v>
      </c>
      <c r="G845" s="120">
        <v>364.33594647455811</v>
      </c>
      <c r="H845" s="120" t="s">
        <v>250</v>
      </c>
      <c r="I845" s="120">
        <v>39.584053525441881</v>
      </c>
      <c r="J845" s="120">
        <v>0</v>
      </c>
      <c r="K845" s="120" t="s">
        <v>250</v>
      </c>
      <c r="L845" s="120" t="s">
        <v>250</v>
      </c>
      <c r="M845" s="120">
        <v>0</v>
      </c>
      <c r="N845" s="120" t="s">
        <v>250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 t="s">
        <v>250</v>
      </c>
      <c r="B846" s="105"/>
      <c r="C846" s="107" t="s">
        <v>250</v>
      </c>
      <c r="D846" s="107" t="s">
        <v>250</v>
      </c>
      <c r="E846" s="120" t="s">
        <v>250</v>
      </c>
      <c r="F846" s="120" t="s">
        <v>250</v>
      </c>
      <c r="G846" s="120" t="s">
        <v>250</v>
      </c>
      <c r="H846" s="120" t="s">
        <v>250</v>
      </c>
      <c r="I846" s="120" t="s">
        <v>250</v>
      </c>
      <c r="J846" s="120" t="s">
        <v>250</v>
      </c>
      <c r="K846" s="120" t="s">
        <v>250</v>
      </c>
      <c r="L846" s="120" t="s">
        <v>250</v>
      </c>
      <c r="M846" s="120" t="s">
        <v>250</v>
      </c>
      <c r="N846" s="120" t="s">
        <v>250</v>
      </c>
      <c r="O846" s="120" t="s">
        <v>250</v>
      </c>
      <c r="P846" s="120" t="s">
        <v>250</v>
      </c>
      <c r="Q846" s="120" t="s">
        <v>250</v>
      </c>
      <c r="R846" s="120"/>
      <c r="S846" s="121"/>
    </row>
    <row r="847" spans="1:19" ht="15">
      <c r="A847" s="105">
        <v>13</v>
      </c>
      <c r="B847" s="105"/>
      <c r="C847" s="107" t="s">
        <v>858</v>
      </c>
      <c r="D847" s="107" t="s">
        <v>499</v>
      </c>
      <c r="E847" s="120">
        <v>7844498.0200000023</v>
      </c>
      <c r="F847" s="120" t="s">
        <v>250</v>
      </c>
      <c r="G847" s="120">
        <v>7075739.2818738809</v>
      </c>
      <c r="H847" s="120" t="s">
        <v>250</v>
      </c>
      <c r="I847" s="120">
        <v>768758.73812612111</v>
      </c>
      <c r="J847" s="120">
        <v>0</v>
      </c>
      <c r="K847" s="120">
        <v>0</v>
      </c>
      <c r="L847" s="120">
        <v>0</v>
      </c>
      <c r="M847" s="120">
        <v>0</v>
      </c>
      <c r="N847" s="120" t="s">
        <v>250</v>
      </c>
      <c r="O847" s="120">
        <v>0</v>
      </c>
      <c r="P847" s="120">
        <v>0</v>
      </c>
      <c r="Q847" s="120">
        <v>0</v>
      </c>
      <c r="R847" s="120"/>
      <c r="S847" s="121"/>
    </row>
    <row r="848" spans="1:19" ht="15">
      <c r="A848" s="105" t="s">
        <v>250</v>
      </c>
      <c r="B848" s="105"/>
      <c r="C848" s="107" t="s">
        <v>250</v>
      </c>
      <c r="D848" s="107" t="s">
        <v>250</v>
      </c>
      <c r="E848" s="120" t="s">
        <v>250</v>
      </c>
      <c r="F848" s="120" t="s">
        <v>250</v>
      </c>
      <c r="G848" s="120" t="s">
        <v>250</v>
      </c>
      <c r="H848" s="120" t="s">
        <v>250</v>
      </c>
      <c r="I848" s="120" t="s">
        <v>250</v>
      </c>
      <c r="J848" s="120" t="s">
        <v>250</v>
      </c>
      <c r="K848" s="120" t="s">
        <v>250</v>
      </c>
      <c r="L848" s="120" t="s">
        <v>250</v>
      </c>
      <c r="M848" s="120" t="s">
        <v>250</v>
      </c>
      <c r="N848" s="120" t="s">
        <v>250</v>
      </c>
      <c r="O848" s="120" t="s">
        <v>250</v>
      </c>
      <c r="P848" s="120" t="s">
        <v>250</v>
      </c>
      <c r="Q848" s="120" t="s">
        <v>250</v>
      </c>
      <c r="R848" s="120"/>
      <c r="S848" s="121"/>
    </row>
    <row r="849" spans="1:19" ht="15">
      <c r="A849" s="105" t="s">
        <v>250</v>
      </c>
      <c r="B849" s="105"/>
      <c r="C849" s="107" t="s">
        <v>859</v>
      </c>
      <c r="D849" s="107" t="s">
        <v>250</v>
      </c>
      <c r="E849" s="120" t="s">
        <v>250</v>
      </c>
      <c r="F849" s="120" t="s">
        <v>250</v>
      </c>
      <c r="G849" s="120" t="s">
        <v>250</v>
      </c>
      <c r="H849" s="120" t="s">
        <v>250</v>
      </c>
      <c r="I849" s="120" t="s">
        <v>250</v>
      </c>
      <c r="J849" s="120" t="s">
        <v>250</v>
      </c>
      <c r="K849" s="120" t="s">
        <v>250</v>
      </c>
      <c r="L849" s="120" t="s">
        <v>250</v>
      </c>
      <c r="M849" s="120" t="s">
        <v>250</v>
      </c>
      <c r="N849" s="120" t="s">
        <v>250</v>
      </c>
      <c r="O849" s="120" t="s">
        <v>250</v>
      </c>
      <c r="P849" s="120" t="s">
        <v>250</v>
      </c>
      <c r="Q849" s="120" t="s">
        <v>250</v>
      </c>
      <c r="R849" s="120"/>
      <c r="S849" s="121"/>
    </row>
    <row r="850" spans="1:19" ht="15">
      <c r="A850" s="105">
        <v>1</v>
      </c>
      <c r="B850" s="105"/>
      <c r="C850" s="107" t="s">
        <v>860</v>
      </c>
      <c r="D850" s="107" t="s">
        <v>501</v>
      </c>
      <c r="E850" s="120">
        <v>1420734.0699999998</v>
      </c>
      <c r="F850" s="120" t="s">
        <v>250</v>
      </c>
      <c r="G850" s="120">
        <v>1351265.704222403</v>
      </c>
      <c r="H850" s="120" t="s">
        <v>250</v>
      </c>
      <c r="I850" s="120">
        <v>67188.387736212608</v>
      </c>
      <c r="J850" s="120">
        <v>2279.9780413842245</v>
      </c>
      <c r="K850" s="120" t="s">
        <v>250</v>
      </c>
      <c r="L850" s="120" t="s">
        <v>250</v>
      </c>
      <c r="M850" s="120">
        <v>0</v>
      </c>
      <c r="N850" s="120" t="s">
        <v>250</v>
      </c>
      <c r="O850" s="120">
        <v>2279.9780413842245</v>
      </c>
      <c r="P850" s="120">
        <v>2262.6271915778216</v>
      </c>
      <c r="Q850" s="120">
        <v>17.350849806403168</v>
      </c>
      <c r="R850" s="120"/>
      <c r="S850" s="121"/>
    </row>
    <row r="851" spans="1:19" ht="15">
      <c r="A851" s="105">
        <v>2</v>
      </c>
      <c r="B851" s="105"/>
      <c r="C851" s="107" t="s">
        <v>861</v>
      </c>
      <c r="D851" s="107" t="s">
        <v>501</v>
      </c>
      <c r="E851" s="120">
        <v>343751.42999999993</v>
      </c>
      <c r="F851" s="120" t="s">
        <v>250</v>
      </c>
      <c r="G851" s="120">
        <v>326943.32313464407</v>
      </c>
      <c r="H851" s="120" t="s">
        <v>250</v>
      </c>
      <c r="I851" s="120">
        <v>16256.458440331164</v>
      </c>
      <c r="J851" s="120">
        <v>551.64842502469605</v>
      </c>
      <c r="K851" s="120" t="s">
        <v>250</v>
      </c>
      <c r="L851" s="120" t="s">
        <v>250</v>
      </c>
      <c r="M851" s="120">
        <v>0</v>
      </c>
      <c r="N851" s="120" t="s">
        <v>250</v>
      </c>
      <c r="O851" s="120">
        <v>551.64842502469605</v>
      </c>
      <c r="P851" s="120">
        <v>547.45032802779201</v>
      </c>
      <c r="Q851" s="120">
        <v>4.1980969969040807</v>
      </c>
      <c r="R851" s="120"/>
      <c r="S851" s="121"/>
    </row>
    <row r="852" spans="1:19" ht="15">
      <c r="A852" s="105">
        <v>3</v>
      </c>
      <c r="B852" s="105"/>
      <c r="C852" s="107" t="s">
        <v>862</v>
      </c>
      <c r="D852" s="107" t="s">
        <v>501</v>
      </c>
      <c r="E852" s="120">
        <v>1210515.9399999997</v>
      </c>
      <c r="F852" s="120" t="s">
        <v>250</v>
      </c>
      <c r="G852" s="120">
        <v>1151326.4224997039</v>
      </c>
      <c r="H852" s="120" t="s">
        <v>250</v>
      </c>
      <c r="I852" s="120">
        <v>57246.895147369753</v>
      </c>
      <c r="J852" s="120">
        <v>1942.6223529260358</v>
      </c>
      <c r="K852" s="120" t="s">
        <v>250</v>
      </c>
      <c r="L852" s="120" t="s">
        <v>250</v>
      </c>
      <c r="M852" s="120">
        <v>0</v>
      </c>
      <c r="N852" s="120" t="s">
        <v>250</v>
      </c>
      <c r="O852" s="120">
        <v>1942.6223529260358</v>
      </c>
      <c r="P852" s="120">
        <v>1927.8388120039849</v>
      </c>
      <c r="Q852" s="120">
        <v>14.783540922050914</v>
      </c>
      <c r="R852" s="120"/>
      <c r="S852" s="121"/>
    </row>
    <row r="853" spans="1:19" ht="15">
      <c r="A853" s="105">
        <v>4</v>
      </c>
      <c r="B853" s="105"/>
      <c r="C853" s="107" t="s">
        <v>863</v>
      </c>
      <c r="D853" s="107" t="s">
        <v>501</v>
      </c>
      <c r="E853" s="120">
        <v>3155180.5799999996</v>
      </c>
      <c r="F853" s="120" t="s">
        <v>250</v>
      </c>
      <c r="G853" s="120">
        <v>3000904.5312628774</v>
      </c>
      <c r="H853" s="120" t="s">
        <v>250</v>
      </c>
      <c r="I853" s="120">
        <v>149212.65046231219</v>
      </c>
      <c r="J853" s="120">
        <v>5063.3982748101062</v>
      </c>
      <c r="K853" s="120" t="s">
        <v>250</v>
      </c>
      <c r="L853" s="120" t="s">
        <v>250</v>
      </c>
      <c r="M853" s="120">
        <v>0</v>
      </c>
      <c r="N853" s="120" t="s">
        <v>250</v>
      </c>
      <c r="O853" s="120">
        <v>5063.3982748101062</v>
      </c>
      <c r="P853" s="120">
        <v>5024.8653322196187</v>
      </c>
      <c r="Q853" s="120">
        <v>38.532942590487771</v>
      </c>
      <c r="R853" s="120"/>
      <c r="S853" s="121"/>
    </row>
    <row r="854" spans="1:19" ht="15">
      <c r="A854" s="105">
        <v>5</v>
      </c>
      <c r="B854" s="105"/>
      <c r="C854" s="107" t="s">
        <v>864</v>
      </c>
      <c r="D854" s="107" t="s">
        <v>501</v>
      </c>
      <c r="E854" s="120">
        <v>218596.71</v>
      </c>
      <c r="F854" s="120" t="s">
        <v>250</v>
      </c>
      <c r="G854" s="120">
        <v>207908.1817745459</v>
      </c>
      <c r="H854" s="120" t="s">
        <v>250</v>
      </c>
      <c r="I854" s="120">
        <v>10337.726686135165</v>
      </c>
      <c r="J854" s="120">
        <v>350.80153931892079</v>
      </c>
      <c r="K854" s="120" t="s">
        <v>250</v>
      </c>
      <c r="L854" s="120" t="s">
        <v>250</v>
      </c>
      <c r="M854" s="120">
        <v>0</v>
      </c>
      <c r="N854" s="120" t="s">
        <v>250</v>
      </c>
      <c r="O854" s="120">
        <v>350.80153931892079</v>
      </c>
      <c r="P854" s="120">
        <v>348.1319062303134</v>
      </c>
      <c r="Q854" s="120">
        <v>2.6696330886074056</v>
      </c>
      <c r="R854" s="120"/>
      <c r="S854" s="121"/>
    </row>
    <row r="855" spans="1:19" ht="15">
      <c r="A855" s="105">
        <v>6</v>
      </c>
      <c r="B855" s="105"/>
      <c r="C855" s="107" t="s">
        <v>865</v>
      </c>
      <c r="D855" s="107" t="s">
        <v>501</v>
      </c>
      <c r="E855" s="120">
        <v>0</v>
      </c>
      <c r="F855" s="120" t="s">
        <v>250</v>
      </c>
      <c r="G855" s="120">
        <v>0</v>
      </c>
      <c r="H855" s="120" t="s">
        <v>250</v>
      </c>
      <c r="I855" s="120">
        <v>0</v>
      </c>
      <c r="J855" s="120">
        <v>0</v>
      </c>
      <c r="K855" s="120" t="s">
        <v>250</v>
      </c>
      <c r="L855" s="120" t="s">
        <v>250</v>
      </c>
      <c r="M855" s="120">
        <v>0</v>
      </c>
      <c r="N855" s="120" t="s">
        <v>250</v>
      </c>
      <c r="O855" s="120">
        <v>0</v>
      </c>
      <c r="P855" s="120">
        <v>0</v>
      </c>
      <c r="Q855" s="120">
        <v>0</v>
      </c>
      <c r="R855" s="120"/>
      <c r="S855" s="121"/>
    </row>
    <row r="856" spans="1:19" ht="15">
      <c r="A856" s="105">
        <v>7</v>
      </c>
      <c r="B856" s="105"/>
      <c r="C856" s="107" t="s">
        <v>866</v>
      </c>
      <c r="D856" s="107" t="s">
        <v>501</v>
      </c>
      <c r="E856" s="120">
        <v>5050743.1199999992</v>
      </c>
      <c r="F856" s="120" t="s">
        <v>250</v>
      </c>
      <c r="G856" s="120">
        <v>4803781.4415848115</v>
      </c>
      <c r="H856" s="120" t="s">
        <v>250</v>
      </c>
      <c r="I856" s="120">
        <v>238856.30271579835</v>
      </c>
      <c r="J856" s="120">
        <v>8105.3756993892939</v>
      </c>
      <c r="K856" s="120" t="s">
        <v>250</v>
      </c>
      <c r="L856" s="120" t="s">
        <v>250</v>
      </c>
      <c r="M856" s="120">
        <v>0</v>
      </c>
      <c r="N856" s="120" t="s">
        <v>250</v>
      </c>
      <c r="O856" s="120">
        <v>8105.3756993892939</v>
      </c>
      <c r="P856" s="120">
        <v>8043.6930191915535</v>
      </c>
      <c r="Q856" s="120">
        <v>61.68268019774041</v>
      </c>
      <c r="R856" s="120"/>
      <c r="S856" s="121"/>
    </row>
    <row r="857" spans="1:19" ht="15">
      <c r="A857" s="105">
        <v>8</v>
      </c>
      <c r="B857" s="105"/>
      <c r="C857" s="107" t="s">
        <v>867</v>
      </c>
      <c r="D857" s="107" t="s">
        <v>501</v>
      </c>
      <c r="E857" s="120">
        <v>0</v>
      </c>
      <c r="F857" s="120" t="s">
        <v>250</v>
      </c>
      <c r="G857" s="120">
        <v>0</v>
      </c>
      <c r="H857" s="120" t="s">
        <v>250</v>
      </c>
      <c r="I857" s="120">
        <v>0</v>
      </c>
      <c r="J857" s="120">
        <v>0</v>
      </c>
      <c r="K857" s="120" t="s">
        <v>250</v>
      </c>
      <c r="L857" s="120" t="s">
        <v>250</v>
      </c>
      <c r="M857" s="120">
        <v>0</v>
      </c>
      <c r="N857" s="120" t="s">
        <v>250</v>
      </c>
      <c r="O857" s="120">
        <v>0</v>
      </c>
      <c r="P857" s="120">
        <v>0</v>
      </c>
      <c r="Q857" s="120">
        <v>0</v>
      </c>
      <c r="R857" s="120"/>
      <c r="S857" s="121"/>
    </row>
    <row r="858" spans="1:19" ht="15">
      <c r="A858" s="105">
        <v>9</v>
      </c>
      <c r="B858" s="105"/>
      <c r="C858" s="107" t="s">
        <v>868</v>
      </c>
      <c r="D858" s="107" t="s">
        <v>501</v>
      </c>
      <c r="E858" s="120">
        <v>3070845.4699999997</v>
      </c>
      <c r="F858" s="120" t="s">
        <v>250</v>
      </c>
      <c r="G858" s="120">
        <v>2920693.0798652037</v>
      </c>
      <c r="H858" s="120" t="s">
        <v>250</v>
      </c>
      <c r="I858" s="120">
        <v>145224.33189509704</v>
      </c>
      <c r="J858" s="120">
        <v>4928.0582396987338</v>
      </c>
      <c r="K858" s="120" t="s">
        <v>250</v>
      </c>
      <c r="L858" s="120" t="s">
        <v>250</v>
      </c>
      <c r="M858" s="120">
        <v>0</v>
      </c>
      <c r="N858" s="120" t="s">
        <v>250</v>
      </c>
      <c r="O858" s="120">
        <v>4928.0582396987338</v>
      </c>
      <c r="P858" s="120">
        <v>4890.5552476513594</v>
      </c>
      <c r="Q858" s="120">
        <v>37.502992047374171</v>
      </c>
      <c r="R858" s="120"/>
      <c r="S858" s="121"/>
    </row>
    <row r="859" spans="1:19" ht="15">
      <c r="A859" s="105">
        <v>10</v>
      </c>
      <c r="B859" s="105"/>
      <c r="C859" s="107" t="s">
        <v>869</v>
      </c>
      <c r="D859" s="107" t="s">
        <v>501</v>
      </c>
      <c r="E859" s="120">
        <v>0</v>
      </c>
      <c r="F859" s="120" t="s">
        <v>250</v>
      </c>
      <c r="G859" s="120">
        <v>0</v>
      </c>
      <c r="H859" s="120" t="s">
        <v>250</v>
      </c>
      <c r="I859" s="120">
        <v>0</v>
      </c>
      <c r="J859" s="120">
        <v>0</v>
      </c>
      <c r="K859" s="120" t="s">
        <v>250</v>
      </c>
      <c r="L859" s="120" t="s">
        <v>250</v>
      </c>
      <c r="M859" s="120">
        <v>0</v>
      </c>
      <c r="N859" s="120" t="s">
        <v>250</v>
      </c>
      <c r="O859" s="120">
        <v>0</v>
      </c>
      <c r="P859" s="120">
        <v>0</v>
      </c>
      <c r="Q859" s="120">
        <v>0</v>
      </c>
      <c r="R859" s="120"/>
      <c r="S859" s="121"/>
    </row>
    <row r="860" spans="1:19" ht="15">
      <c r="A860" s="105">
        <v>11</v>
      </c>
      <c r="B860" s="105"/>
      <c r="C860" s="107" t="s">
        <v>870</v>
      </c>
      <c r="D860" s="107" t="s">
        <v>501</v>
      </c>
      <c r="E860" s="120">
        <v>6615.7099999999991</v>
      </c>
      <c r="F860" s="120" t="s">
        <v>250</v>
      </c>
      <c r="G860" s="120">
        <v>6292.2275328282894</v>
      </c>
      <c r="H860" s="120" t="s">
        <v>250</v>
      </c>
      <c r="I860" s="120">
        <v>312.86565024117363</v>
      </c>
      <c r="J860" s="120">
        <v>10.616816930536499</v>
      </c>
      <c r="K860" s="120" t="s">
        <v>250</v>
      </c>
      <c r="L860" s="120" t="s">
        <v>250</v>
      </c>
      <c r="M860" s="120">
        <v>0</v>
      </c>
      <c r="N860" s="120" t="s">
        <v>250</v>
      </c>
      <c r="O860" s="120">
        <v>10.616816930536499</v>
      </c>
      <c r="P860" s="120">
        <v>10.536021943637424</v>
      </c>
      <c r="Q860" s="120">
        <v>8.0794986899075008E-2</v>
      </c>
      <c r="R860" s="120"/>
      <c r="S860" s="121"/>
    </row>
    <row r="861" spans="1:19" ht="15">
      <c r="A861" s="105">
        <v>12</v>
      </c>
      <c r="B861" s="105"/>
      <c r="C861" s="107" t="s">
        <v>3699</v>
      </c>
      <c r="D861" s="107" t="s">
        <v>501</v>
      </c>
      <c r="E861" s="120">
        <v>0</v>
      </c>
      <c r="F861" s="120" t="s">
        <v>250</v>
      </c>
      <c r="G861" s="120">
        <v>0</v>
      </c>
      <c r="H861" s="120" t="s">
        <v>250</v>
      </c>
      <c r="I861" s="120">
        <v>0</v>
      </c>
      <c r="J861" s="120">
        <v>0</v>
      </c>
      <c r="K861" s="120" t="s">
        <v>250</v>
      </c>
      <c r="L861" s="120" t="s">
        <v>250</v>
      </c>
      <c r="M861" s="120">
        <v>0</v>
      </c>
      <c r="N861" s="120" t="s">
        <v>250</v>
      </c>
      <c r="O861" s="120">
        <v>0</v>
      </c>
      <c r="P861" s="120">
        <v>0</v>
      </c>
      <c r="Q861" s="120">
        <v>0</v>
      </c>
      <c r="R861" s="120"/>
      <c r="S861" s="121"/>
    </row>
    <row r="862" spans="1:19" ht="15">
      <c r="A862" s="105">
        <v>13</v>
      </c>
      <c r="B862" s="105"/>
      <c r="C862" s="107" t="s">
        <v>871</v>
      </c>
      <c r="D862" s="107" t="s">
        <v>501</v>
      </c>
      <c r="E862" s="120">
        <v>633854.25</v>
      </c>
      <c r="F862" s="120" t="s">
        <v>250</v>
      </c>
      <c r="G862" s="120">
        <v>602861.24446963752</v>
      </c>
      <c r="H862" s="120" t="s">
        <v>250</v>
      </c>
      <c r="I862" s="120">
        <v>29975.803365682812</v>
      </c>
      <c r="J862" s="120">
        <v>1017.2021646796057</v>
      </c>
      <c r="K862" s="120" t="s">
        <v>250</v>
      </c>
      <c r="L862" s="120" t="s">
        <v>250</v>
      </c>
      <c r="M862" s="120">
        <v>0</v>
      </c>
      <c r="N862" s="120" t="s">
        <v>250</v>
      </c>
      <c r="O862" s="120">
        <v>1017.2021646796057</v>
      </c>
      <c r="P862" s="120">
        <v>1009.461159432297</v>
      </c>
      <c r="Q862" s="120">
        <v>7.7410052473087561</v>
      </c>
      <c r="R862" s="120"/>
      <c r="S862" s="121"/>
    </row>
    <row r="863" spans="1:19" ht="15">
      <c r="A863" s="105">
        <v>14</v>
      </c>
      <c r="B863" s="105"/>
      <c r="C863" s="107" t="s">
        <v>872</v>
      </c>
      <c r="D863" s="107" t="s">
        <v>501</v>
      </c>
      <c r="E863" s="120">
        <v>6027429.7899999991</v>
      </c>
      <c r="F863" s="120" t="s">
        <v>250</v>
      </c>
      <c r="G863" s="120">
        <v>5732711.9352008216</v>
      </c>
      <c r="H863" s="120" t="s">
        <v>250</v>
      </c>
      <c r="I863" s="120">
        <v>285045.10332698538</v>
      </c>
      <c r="J863" s="120">
        <v>9672.7514721915031</v>
      </c>
      <c r="K863" s="120" t="s">
        <v>250</v>
      </c>
      <c r="L863" s="120" t="s">
        <v>250</v>
      </c>
      <c r="M863" s="120">
        <v>0</v>
      </c>
      <c r="N863" s="120" t="s">
        <v>250</v>
      </c>
      <c r="O863" s="120">
        <v>9672.7514721915031</v>
      </c>
      <c r="P863" s="120">
        <v>9599.1409132464851</v>
      </c>
      <c r="Q863" s="120">
        <v>73.610558945017885</v>
      </c>
      <c r="R863" s="120"/>
      <c r="S863" s="121"/>
    </row>
    <row r="864" spans="1:19" ht="15">
      <c r="A864" s="105">
        <v>15</v>
      </c>
      <c r="B864" s="105"/>
      <c r="C864" s="107" t="s">
        <v>873</v>
      </c>
      <c r="D864" s="107" t="s">
        <v>501</v>
      </c>
      <c r="E864" s="120">
        <v>253494.87999999992</v>
      </c>
      <c r="F864" s="120" t="s">
        <v>250</v>
      </c>
      <c r="G864" s="120">
        <v>241099.96710360688</v>
      </c>
      <c r="H864" s="120" t="s">
        <v>250</v>
      </c>
      <c r="I864" s="120">
        <v>11988.107166730144</v>
      </c>
      <c r="J864" s="120">
        <v>406.8057296629263</v>
      </c>
      <c r="K864" s="120" t="s">
        <v>250</v>
      </c>
      <c r="L864" s="120" t="s">
        <v>250</v>
      </c>
      <c r="M864" s="120">
        <v>0</v>
      </c>
      <c r="N864" s="120" t="s">
        <v>250</v>
      </c>
      <c r="O864" s="120">
        <v>406.8057296629263</v>
      </c>
      <c r="P864" s="120">
        <v>403.70989935770092</v>
      </c>
      <c r="Q864" s="120">
        <v>3.0958303052253782</v>
      </c>
      <c r="R864" s="120"/>
      <c r="S864" s="121"/>
    </row>
    <row r="865" spans="1:19" ht="15">
      <c r="A865" s="105">
        <v>16</v>
      </c>
      <c r="B865" s="105"/>
      <c r="C865" s="107" t="s">
        <v>874</v>
      </c>
      <c r="D865" s="107" t="s">
        <v>501</v>
      </c>
      <c r="E865" s="120">
        <v>43860.429999999993</v>
      </c>
      <c r="F865" s="120" t="s">
        <v>250</v>
      </c>
      <c r="G865" s="120">
        <v>41715.825700897993</v>
      </c>
      <c r="H865" s="120" t="s">
        <v>250</v>
      </c>
      <c r="I865" s="120">
        <v>2074.2175748041373</v>
      </c>
      <c r="J865" s="120">
        <v>70.386724297862358</v>
      </c>
      <c r="K865" s="120" t="s">
        <v>250</v>
      </c>
      <c r="L865" s="120" t="s">
        <v>250</v>
      </c>
      <c r="M865" s="120">
        <v>0</v>
      </c>
      <c r="N865" s="120" t="s">
        <v>250</v>
      </c>
      <c r="O865" s="120">
        <v>70.386724297862358</v>
      </c>
      <c r="P865" s="120">
        <v>69.851074629536839</v>
      </c>
      <c r="Q865" s="120">
        <v>0.53564966832551553</v>
      </c>
      <c r="R865" s="120"/>
      <c r="S865" s="121"/>
    </row>
    <row r="866" spans="1:19" ht="15">
      <c r="A866" s="105">
        <v>17</v>
      </c>
      <c r="B866" s="105"/>
      <c r="C866" s="107" t="s">
        <v>875</v>
      </c>
      <c r="D866" s="107" t="s">
        <v>501</v>
      </c>
      <c r="E866" s="120">
        <v>0</v>
      </c>
      <c r="F866" s="120" t="s">
        <v>250</v>
      </c>
      <c r="G866" s="120">
        <v>0</v>
      </c>
      <c r="H866" s="120" t="s">
        <v>250</v>
      </c>
      <c r="I866" s="120">
        <v>0</v>
      </c>
      <c r="J866" s="120">
        <v>0</v>
      </c>
      <c r="K866" s="120" t="s">
        <v>250</v>
      </c>
      <c r="L866" s="120" t="s">
        <v>250</v>
      </c>
      <c r="M866" s="120">
        <v>0</v>
      </c>
      <c r="N866" s="120" t="s">
        <v>250</v>
      </c>
      <c r="O866" s="120">
        <v>0</v>
      </c>
      <c r="P866" s="120">
        <v>0</v>
      </c>
      <c r="Q866" s="120">
        <v>0</v>
      </c>
      <c r="R866" s="120"/>
      <c r="S866" s="121"/>
    </row>
    <row r="867" spans="1:19" ht="15">
      <c r="A867" s="105">
        <v>18</v>
      </c>
      <c r="B867" s="105"/>
      <c r="C867" s="107" t="s">
        <v>876</v>
      </c>
      <c r="D867" s="107" t="s">
        <v>501</v>
      </c>
      <c r="E867" s="120">
        <v>0</v>
      </c>
      <c r="F867" s="120" t="s">
        <v>250</v>
      </c>
      <c r="G867" s="120">
        <v>0</v>
      </c>
      <c r="H867" s="120" t="s">
        <v>250</v>
      </c>
      <c r="I867" s="120">
        <v>0</v>
      </c>
      <c r="J867" s="120">
        <v>0</v>
      </c>
      <c r="K867" s="120" t="s">
        <v>250</v>
      </c>
      <c r="L867" s="120" t="s">
        <v>250</v>
      </c>
      <c r="M867" s="120">
        <v>0</v>
      </c>
      <c r="N867" s="120" t="s">
        <v>250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19</v>
      </c>
      <c r="B868" s="105"/>
      <c r="C868" s="107" t="s">
        <v>877</v>
      </c>
      <c r="D868" s="107" t="s">
        <v>501</v>
      </c>
      <c r="E868" s="120">
        <v>7109.079999999999</v>
      </c>
      <c r="F868" s="120" t="s">
        <v>250</v>
      </c>
      <c r="G868" s="120">
        <v>6761.4736602842222</v>
      </c>
      <c r="H868" s="120" t="s">
        <v>250</v>
      </c>
      <c r="I868" s="120">
        <v>336.19776816343563</v>
      </c>
      <c r="J868" s="120">
        <v>11.408571552341082</v>
      </c>
      <c r="K868" s="120" t="s">
        <v>250</v>
      </c>
      <c r="L868" s="120" t="s">
        <v>250</v>
      </c>
      <c r="M868" s="120">
        <v>0</v>
      </c>
      <c r="N868" s="120" t="s">
        <v>250</v>
      </c>
      <c r="O868" s="120">
        <v>11.408571552341082</v>
      </c>
      <c r="P868" s="120">
        <v>11.321751237444499</v>
      </c>
      <c r="Q868" s="120">
        <v>8.6820314896583456E-2</v>
      </c>
      <c r="R868" s="120"/>
      <c r="S868" s="121"/>
    </row>
    <row r="869" spans="1:19" ht="15">
      <c r="A869" s="105" t="s">
        <v>250</v>
      </c>
      <c r="B869" s="105"/>
      <c r="C869" s="107" t="s">
        <v>250</v>
      </c>
      <c r="D869" s="107" t="s">
        <v>250</v>
      </c>
      <c r="E869" s="120" t="s">
        <v>250</v>
      </c>
      <c r="F869" s="120" t="s">
        <v>250</v>
      </c>
      <c r="G869" s="120" t="s">
        <v>250</v>
      </c>
      <c r="H869" s="120" t="s">
        <v>250</v>
      </c>
      <c r="I869" s="120" t="s">
        <v>250</v>
      </c>
      <c r="J869" s="120" t="s">
        <v>250</v>
      </c>
      <c r="K869" s="120" t="s">
        <v>250</v>
      </c>
      <c r="L869" s="120" t="s">
        <v>250</v>
      </c>
      <c r="M869" s="120" t="s">
        <v>250</v>
      </c>
      <c r="N869" s="120" t="s">
        <v>250</v>
      </c>
      <c r="O869" s="120" t="s">
        <v>250</v>
      </c>
      <c r="P869" s="120" t="s">
        <v>250</v>
      </c>
      <c r="Q869" s="120" t="s">
        <v>250</v>
      </c>
      <c r="R869" s="120"/>
      <c r="S869" s="121"/>
    </row>
    <row r="870" spans="1:19" ht="15">
      <c r="A870" s="105">
        <v>20</v>
      </c>
      <c r="B870" s="105"/>
      <c r="C870" s="107" t="s">
        <v>878</v>
      </c>
      <c r="D870" s="107" t="s">
        <v>501</v>
      </c>
      <c r="E870" s="120">
        <v>21442731.459999993</v>
      </c>
      <c r="F870" s="120" t="s">
        <v>250</v>
      </c>
      <c r="G870" s="120">
        <v>20394265.358012263</v>
      </c>
      <c r="H870" s="120" t="s">
        <v>250</v>
      </c>
      <c r="I870" s="120">
        <v>1014055.0479358633</v>
      </c>
      <c r="J870" s="120">
        <v>34411.054051866784</v>
      </c>
      <c r="K870" s="120" t="s">
        <v>250</v>
      </c>
      <c r="L870" s="120" t="s">
        <v>250</v>
      </c>
      <c r="M870" s="120">
        <v>0</v>
      </c>
      <c r="N870" s="120" t="s">
        <v>250</v>
      </c>
      <c r="O870" s="120">
        <v>34411.054051866784</v>
      </c>
      <c r="P870" s="120">
        <v>34149.182656749545</v>
      </c>
      <c r="Q870" s="120">
        <v>261.87139511724109</v>
      </c>
      <c r="R870" s="120"/>
      <c r="S870" s="121"/>
    </row>
    <row r="871" spans="1:19" ht="15">
      <c r="A871" s="105" t="s">
        <v>250</v>
      </c>
      <c r="B871" s="105"/>
      <c r="C871" s="107" t="s">
        <v>250</v>
      </c>
      <c r="D871" s="107" t="s">
        <v>250</v>
      </c>
      <c r="E871" s="120" t="s">
        <v>250</v>
      </c>
      <c r="F871" s="120" t="s">
        <v>250</v>
      </c>
      <c r="G871" s="120" t="s">
        <v>250</v>
      </c>
      <c r="H871" s="120" t="s">
        <v>250</v>
      </c>
      <c r="I871" s="120" t="s">
        <v>250</v>
      </c>
      <c r="J871" s="120" t="s">
        <v>250</v>
      </c>
      <c r="K871" s="120" t="s">
        <v>250</v>
      </c>
      <c r="L871" s="120" t="s">
        <v>250</v>
      </c>
      <c r="M871" s="120" t="s">
        <v>250</v>
      </c>
      <c r="N871" s="120" t="s">
        <v>250</v>
      </c>
      <c r="O871" s="120" t="s">
        <v>250</v>
      </c>
      <c r="P871" s="120" t="s">
        <v>250</v>
      </c>
      <c r="Q871" s="120" t="s">
        <v>250</v>
      </c>
      <c r="R871" s="120"/>
      <c r="S871" s="121"/>
    </row>
    <row r="872" spans="1:19" ht="15">
      <c r="A872" s="105">
        <v>21</v>
      </c>
      <c r="B872" s="105"/>
      <c r="C872" s="107" t="s">
        <v>879</v>
      </c>
      <c r="D872" s="107" t="s">
        <v>250</v>
      </c>
      <c r="E872" s="120">
        <v>90359980.069999978</v>
      </c>
      <c r="F872" s="120" t="s">
        <v>250</v>
      </c>
      <c r="G872" s="120">
        <v>84777369.939263746</v>
      </c>
      <c r="H872" s="120" t="s">
        <v>250</v>
      </c>
      <c r="I872" s="120">
        <v>4289880.1634313092</v>
      </c>
      <c r="J872" s="120">
        <v>1292729.9673049361</v>
      </c>
      <c r="K872" s="120" t="s">
        <v>250</v>
      </c>
      <c r="L872" s="120" t="s">
        <v>250</v>
      </c>
      <c r="M872" s="120">
        <v>0</v>
      </c>
      <c r="N872" s="120" t="s">
        <v>250</v>
      </c>
      <c r="O872" s="120">
        <v>1292729.9673049361</v>
      </c>
      <c r="P872" s="120">
        <v>675409.14804681286</v>
      </c>
      <c r="Q872" s="120">
        <v>617320.81925812317</v>
      </c>
      <c r="R872" s="120"/>
      <c r="S872" s="121"/>
    </row>
    <row r="873" spans="1:19" ht="15">
      <c r="A873" s="105" t="s">
        <v>250</v>
      </c>
      <c r="B873" s="105"/>
      <c r="C873" s="107" t="s">
        <v>250</v>
      </c>
      <c r="D873" s="107" t="s">
        <v>250</v>
      </c>
      <c r="E873" s="120" t="s">
        <v>250</v>
      </c>
      <c r="F873" s="120" t="s">
        <v>250</v>
      </c>
      <c r="G873" s="120" t="s">
        <v>250</v>
      </c>
      <c r="H873" s="120" t="s">
        <v>250</v>
      </c>
      <c r="I873" s="120" t="s">
        <v>250</v>
      </c>
      <c r="J873" s="120" t="s">
        <v>250</v>
      </c>
      <c r="K873" s="120" t="s">
        <v>250</v>
      </c>
      <c r="L873" s="120" t="s">
        <v>250</v>
      </c>
      <c r="M873" s="120" t="s">
        <v>250</v>
      </c>
      <c r="N873" s="120" t="s">
        <v>250</v>
      </c>
      <c r="O873" s="120" t="s">
        <v>250</v>
      </c>
      <c r="P873" s="120" t="s">
        <v>250</v>
      </c>
      <c r="Q873" s="120" t="s">
        <v>250</v>
      </c>
      <c r="R873" s="120"/>
      <c r="S873" s="121"/>
    </row>
    <row r="874" spans="1:19" ht="15">
      <c r="A874" s="105" t="s">
        <v>250</v>
      </c>
      <c r="B874" s="105"/>
      <c r="C874" s="107" t="s">
        <v>250</v>
      </c>
      <c r="D874" s="107" t="s">
        <v>250</v>
      </c>
      <c r="E874" s="120" t="s">
        <v>250</v>
      </c>
      <c r="F874" s="120" t="s">
        <v>250</v>
      </c>
      <c r="G874" s="120" t="s">
        <v>250</v>
      </c>
      <c r="H874" s="120" t="s">
        <v>250</v>
      </c>
      <c r="I874" s="120" t="s">
        <v>250</v>
      </c>
      <c r="J874" s="120" t="s">
        <v>250</v>
      </c>
      <c r="K874" s="120" t="s">
        <v>250</v>
      </c>
      <c r="L874" s="120" t="s">
        <v>250</v>
      </c>
      <c r="M874" s="120" t="s">
        <v>250</v>
      </c>
      <c r="N874" s="120" t="s">
        <v>250</v>
      </c>
      <c r="O874" s="120" t="s">
        <v>250</v>
      </c>
      <c r="P874" s="120" t="s">
        <v>250</v>
      </c>
      <c r="Q874" s="120" t="s">
        <v>250</v>
      </c>
      <c r="R874" s="120"/>
      <c r="S874" s="121"/>
    </row>
    <row r="875" spans="1:19" ht="15">
      <c r="A875" s="105" t="s">
        <v>250</v>
      </c>
      <c r="B875" s="105"/>
      <c r="C875" s="107" t="s">
        <v>250</v>
      </c>
      <c r="D875" s="107" t="s">
        <v>250</v>
      </c>
      <c r="E875" s="120" t="s">
        <v>250</v>
      </c>
      <c r="F875" s="120" t="s">
        <v>250</v>
      </c>
      <c r="G875" s="120" t="s">
        <v>250</v>
      </c>
      <c r="H875" s="120" t="s">
        <v>250</v>
      </c>
      <c r="I875" s="120" t="s">
        <v>250</v>
      </c>
      <c r="J875" s="120" t="s">
        <v>250</v>
      </c>
      <c r="K875" s="120" t="s">
        <v>250</v>
      </c>
      <c r="L875" s="120" t="s">
        <v>250</v>
      </c>
      <c r="M875" s="120" t="s">
        <v>250</v>
      </c>
      <c r="N875" s="120" t="s">
        <v>250</v>
      </c>
      <c r="O875" s="120" t="s">
        <v>250</v>
      </c>
      <c r="P875" s="120" t="s">
        <v>250</v>
      </c>
      <c r="Q875" s="120" t="s">
        <v>250</v>
      </c>
      <c r="R875" s="120"/>
      <c r="S875" s="121"/>
    </row>
    <row r="876" spans="1:19" ht="15">
      <c r="A876" s="105" t="s">
        <v>250</v>
      </c>
      <c r="B876" s="105"/>
      <c r="C876" s="107" t="s">
        <v>250</v>
      </c>
      <c r="D876" s="107" t="s">
        <v>250</v>
      </c>
      <c r="E876" s="120" t="s">
        <v>250</v>
      </c>
      <c r="F876" s="120" t="s">
        <v>250</v>
      </c>
      <c r="G876" s="120" t="s">
        <v>250</v>
      </c>
      <c r="H876" s="120" t="s">
        <v>250</v>
      </c>
      <c r="I876" s="120" t="s">
        <v>250</v>
      </c>
      <c r="J876" s="120" t="s">
        <v>250</v>
      </c>
      <c r="K876" s="120" t="s">
        <v>250</v>
      </c>
      <c r="L876" s="120" t="s">
        <v>250</v>
      </c>
      <c r="M876" s="120" t="s">
        <v>250</v>
      </c>
      <c r="N876" s="120" t="s">
        <v>250</v>
      </c>
      <c r="O876" s="120" t="s">
        <v>250</v>
      </c>
      <c r="P876" s="120" t="s">
        <v>250</v>
      </c>
      <c r="Q876" s="120" t="s">
        <v>250</v>
      </c>
      <c r="R876" s="120"/>
      <c r="S876" s="121"/>
    </row>
    <row r="877" spans="1:19" ht="15">
      <c r="A877" s="105" t="s">
        <v>250</v>
      </c>
      <c r="B877" s="105"/>
      <c r="C877" s="107" t="s">
        <v>880</v>
      </c>
      <c r="D877" s="107" t="s">
        <v>250</v>
      </c>
      <c r="E877" s="120" t="s">
        <v>250</v>
      </c>
      <c r="F877" s="120" t="s">
        <v>250</v>
      </c>
      <c r="G877" s="120" t="s">
        <v>250</v>
      </c>
      <c r="H877" s="120" t="s">
        <v>250</v>
      </c>
      <c r="I877" s="120" t="s">
        <v>250</v>
      </c>
      <c r="J877" s="120" t="s">
        <v>250</v>
      </c>
      <c r="K877" s="120" t="s">
        <v>250</v>
      </c>
      <c r="L877" s="120" t="s">
        <v>250</v>
      </c>
      <c r="M877" s="120" t="s">
        <v>250</v>
      </c>
      <c r="N877" s="120" t="s">
        <v>250</v>
      </c>
      <c r="O877" s="120" t="s">
        <v>250</v>
      </c>
      <c r="P877" s="120" t="s">
        <v>250</v>
      </c>
      <c r="Q877" s="120" t="s">
        <v>250</v>
      </c>
      <c r="R877" s="120"/>
      <c r="S877" s="121"/>
    </row>
    <row r="878" spans="1:19" ht="15">
      <c r="A878" s="105">
        <v>1</v>
      </c>
      <c r="B878" s="105"/>
      <c r="C878" s="107" t="s">
        <v>881</v>
      </c>
      <c r="D878" s="107" t="s">
        <v>882</v>
      </c>
      <c r="E878" s="120">
        <v>3993946.9000000004</v>
      </c>
      <c r="F878" s="120" t="s">
        <v>250</v>
      </c>
      <c r="G878" s="120">
        <v>3798203.6449302966</v>
      </c>
      <c r="H878" s="120" t="s">
        <v>250</v>
      </c>
      <c r="I878" s="120">
        <v>194133.81057187327</v>
      </c>
      <c r="J878" s="120">
        <v>1609.444497830611</v>
      </c>
      <c r="K878" s="120" t="s">
        <v>250</v>
      </c>
      <c r="L878" s="120" t="s">
        <v>250</v>
      </c>
      <c r="M878" s="120">
        <v>0</v>
      </c>
      <c r="N878" s="120" t="s">
        <v>250</v>
      </c>
      <c r="O878" s="120">
        <v>1609.444497830611</v>
      </c>
      <c r="P878" s="120">
        <v>643.77779913224447</v>
      </c>
      <c r="Q878" s="120">
        <v>965.66669869836664</v>
      </c>
      <c r="R878" s="120"/>
      <c r="S878" s="121"/>
    </row>
    <row r="879" spans="1:19" ht="15">
      <c r="A879" s="105">
        <v>2</v>
      </c>
      <c r="B879" s="105"/>
      <c r="C879" s="107" t="s">
        <v>883</v>
      </c>
      <c r="D879" s="107" t="s">
        <v>882</v>
      </c>
      <c r="E879" s="120">
        <v>732159.74</v>
      </c>
      <c r="F879" s="120" t="s">
        <v>250</v>
      </c>
      <c r="G879" s="120">
        <v>696276.60626615188</v>
      </c>
      <c r="H879" s="120" t="s">
        <v>250</v>
      </c>
      <c r="I879" s="120">
        <v>35588.094642297816</v>
      </c>
      <c r="J879" s="120">
        <v>295.03909155028839</v>
      </c>
      <c r="K879" s="120" t="s">
        <v>250</v>
      </c>
      <c r="L879" s="120" t="s">
        <v>250</v>
      </c>
      <c r="M879" s="120">
        <v>0</v>
      </c>
      <c r="N879" s="120" t="s">
        <v>250</v>
      </c>
      <c r="O879" s="120">
        <v>295.03909155028839</v>
      </c>
      <c r="P879" s="120">
        <v>118.01563662011537</v>
      </c>
      <c r="Q879" s="120">
        <v>177.02345493017305</v>
      </c>
      <c r="R879" s="120"/>
      <c r="S879" s="121"/>
    </row>
    <row r="880" spans="1:19" ht="15">
      <c r="A880" s="105">
        <v>3</v>
      </c>
      <c r="B880" s="105"/>
      <c r="C880" s="107" t="s">
        <v>884</v>
      </c>
      <c r="D880" s="107" t="s">
        <v>882</v>
      </c>
      <c r="E880" s="120">
        <v>13479250.100000001</v>
      </c>
      <c r="F880" s="120" t="s">
        <v>250</v>
      </c>
      <c r="G880" s="120">
        <v>12818632.331027502</v>
      </c>
      <c r="H880" s="120" t="s">
        <v>250</v>
      </c>
      <c r="I880" s="120">
        <v>655186.02302006166</v>
      </c>
      <c r="J880" s="120">
        <v>5431.7459524381047</v>
      </c>
      <c r="K880" s="120" t="s">
        <v>250</v>
      </c>
      <c r="L880" s="120" t="s">
        <v>250</v>
      </c>
      <c r="M880" s="120">
        <v>0</v>
      </c>
      <c r="N880" s="120" t="s">
        <v>250</v>
      </c>
      <c r="O880" s="120">
        <v>5431.7459524381047</v>
      </c>
      <c r="P880" s="120">
        <v>2172.6983809752419</v>
      </c>
      <c r="Q880" s="120">
        <v>3259.0475714628624</v>
      </c>
      <c r="R880" s="120"/>
      <c r="S880" s="121"/>
    </row>
    <row r="881" spans="1:19" ht="15">
      <c r="A881" s="105">
        <v>4</v>
      </c>
      <c r="B881" s="105"/>
      <c r="C881" s="107" t="s">
        <v>885</v>
      </c>
      <c r="D881" s="107" t="s">
        <v>882</v>
      </c>
      <c r="E881" s="120">
        <v>0</v>
      </c>
      <c r="F881" s="120" t="s">
        <v>250</v>
      </c>
      <c r="G881" s="120">
        <v>0</v>
      </c>
      <c r="H881" s="120" t="s">
        <v>250</v>
      </c>
      <c r="I881" s="120">
        <v>0</v>
      </c>
      <c r="J881" s="120">
        <v>0</v>
      </c>
      <c r="K881" s="120" t="s">
        <v>250</v>
      </c>
      <c r="L881" s="120" t="s">
        <v>250</v>
      </c>
      <c r="M881" s="120">
        <v>0</v>
      </c>
      <c r="N881" s="120" t="s">
        <v>250</v>
      </c>
      <c r="O881" s="120">
        <v>0</v>
      </c>
      <c r="P881" s="120">
        <v>0</v>
      </c>
      <c r="Q881" s="120">
        <v>0</v>
      </c>
      <c r="R881" s="120"/>
      <c r="S881" s="121"/>
    </row>
    <row r="882" spans="1:19" ht="15">
      <c r="A882" s="105">
        <v>5</v>
      </c>
      <c r="B882" s="105"/>
      <c r="C882" s="107" t="s">
        <v>886</v>
      </c>
      <c r="D882" s="107" t="s">
        <v>882</v>
      </c>
      <c r="E882" s="120">
        <v>479.34000000000009</v>
      </c>
      <c r="F882" s="120" t="s">
        <v>250</v>
      </c>
      <c r="G882" s="120">
        <v>455.84755650128659</v>
      </c>
      <c r="H882" s="120" t="s">
        <v>250</v>
      </c>
      <c r="I882" s="120">
        <v>23.299283412987219</v>
      </c>
      <c r="J882" s="120">
        <v>0.19316008572625867</v>
      </c>
      <c r="K882" s="120" t="s">
        <v>250</v>
      </c>
      <c r="L882" s="120" t="s">
        <v>250</v>
      </c>
      <c r="M882" s="120">
        <v>0</v>
      </c>
      <c r="N882" s="120" t="s">
        <v>250</v>
      </c>
      <c r="O882" s="120">
        <v>0.19316008572625867</v>
      </c>
      <c r="P882" s="120">
        <v>7.7264034290503464E-2</v>
      </c>
      <c r="Q882" s="120">
        <v>0.11589605143575521</v>
      </c>
      <c r="R882" s="120"/>
      <c r="S882" s="121"/>
    </row>
    <row r="883" spans="1:19" ht="15">
      <c r="A883" s="105" t="s">
        <v>250</v>
      </c>
      <c r="B883" s="105"/>
      <c r="C883" s="107" t="s">
        <v>250</v>
      </c>
      <c r="D883" s="107" t="s">
        <v>250</v>
      </c>
      <c r="E883" s="120" t="s">
        <v>250</v>
      </c>
      <c r="F883" s="120" t="s">
        <v>250</v>
      </c>
      <c r="G883" s="120" t="s">
        <v>250</v>
      </c>
      <c r="H883" s="120" t="s">
        <v>250</v>
      </c>
      <c r="I883" s="120" t="s">
        <v>250</v>
      </c>
      <c r="J883" s="120" t="s">
        <v>250</v>
      </c>
      <c r="K883" s="120" t="s">
        <v>250</v>
      </c>
      <c r="L883" s="120" t="s">
        <v>250</v>
      </c>
      <c r="M883" s="120" t="s">
        <v>250</v>
      </c>
      <c r="N883" s="120" t="s">
        <v>250</v>
      </c>
      <c r="O883" s="120" t="s">
        <v>250</v>
      </c>
      <c r="P883" s="120" t="s">
        <v>250</v>
      </c>
      <c r="Q883" s="120" t="s">
        <v>250</v>
      </c>
      <c r="R883" s="120"/>
      <c r="S883" s="121"/>
    </row>
    <row r="884" spans="1:19" ht="15">
      <c r="A884" s="105">
        <v>6</v>
      </c>
      <c r="B884" s="105"/>
      <c r="C884" s="107" t="s">
        <v>887</v>
      </c>
      <c r="D884" s="107" t="s">
        <v>250</v>
      </c>
      <c r="E884" s="120">
        <v>18205836.080000006</v>
      </c>
      <c r="F884" s="120" t="s">
        <v>250</v>
      </c>
      <c r="G884" s="120">
        <v>17313568.429780453</v>
      </c>
      <c r="H884" s="120" t="s">
        <v>250</v>
      </c>
      <c r="I884" s="120">
        <v>884931.22751764581</v>
      </c>
      <c r="J884" s="120">
        <v>7336.4227019047303</v>
      </c>
      <c r="K884" s="120" t="s">
        <v>250</v>
      </c>
      <c r="L884" s="120" t="s">
        <v>250</v>
      </c>
      <c r="M884" s="120">
        <v>0</v>
      </c>
      <c r="N884" s="120" t="s">
        <v>250</v>
      </c>
      <c r="O884" s="120">
        <v>7336.4227019047303</v>
      </c>
      <c r="P884" s="120">
        <v>2934.5690807618926</v>
      </c>
      <c r="Q884" s="120">
        <v>4401.8536211428382</v>
      </c>
      <c r="R884" s="120"/>
      <c r="S884" s="121"/>
    </row>
    <row r="885" spans="1:19" ht="15">
      <c r="A885" s="105" t="s">
        <v>250</v>
      </c>
      <c r="B885" s="105"/>
      <c r="C885" s="107" t="s">
        <v>250</v>
      </c>
      <c r="D885" s="107" t="s">
        <v>250</v>
      </c>
      <c r="E885" s="120" t="s">
        <v>250</v>
      </c>
      <c r="F885" s="120" t="s">
        <v>250</v>
      </c>
      <c r="G885" s="120" t="s">
        <v>250</v>
      </c>
      <c r="H885" s="120" t="s">
        <v>250</v>
      </c>
      <c r="I885" s="120" t="s">
        <v>250</v>
      </c>
      <c r="J885" s="120" t="s">
        <v>250</v>
      </c>
      <c r="K885" s="120" t="s">
        <v>250</v>
      </c>
      <c r="L885" s="120" t="s">
        <v>250</v>
      </c>
      <c r="M885" s="120" t="s">
        <v>250</v>
      </c>
      <c r="N885" s="120" t="s">
        <v>250</v>
      </c>
      <c r="O885" s="120" t="s">
        <v>250</v>
      </c>
      <c r="P885" s="120" t="s">
        <v>250</v>
      </c>
      <c r="Q885" s="120" t="s">
        <v>250</v>
      </c>
      <c r="R885" s="120"/>
      <c r="S885" s="121"/>
    </row>
    <row r="886" spans="1:19" ht="15">
      <c r="A886" s="105" t="s">
        <v>250</v>
      </c>
      <c r="B886" s="105"/>
      <c r="C886" s="107" t="s">
        <v>888</v>
      </c>
      <c r="D886" s="107" t="s">
        <v>250</v>
      </c>
      <c r="E886" s="120" t="s">
        <v>250</v>
      </c>
      <c r="F886" s="120" t="s">
        <v>250</v>
      </c>
      <c r="G886" s="120" t="s">
        <v>250</v>
      </c>
      <c r="H886" s="120" t="s">
        <v>250</v>
      </c>
      <c r="I886" s="120" t="s">
        <v>250</v>
      </c>
      <c r="J886" s="120" t="s">
        <v>250</v>
      </c>
      <c r="K886" s="120" t="s">
        <v>250</v>
      </c>
      <c r="L886" s="120" t="s">
        <v>250</v>
      </c>
      <c r="M886" s="120" t="s">
        <v>250</v>
      </c>
      <c r="N886" s="120" t="s">
        <v>250</v>
      </c>
      <c r="O886" s="120" t="s">
        <v>250</v>
      </c>
      <c r="P886" s="120" t="s">
        <v>250</v>
      </c>
      <c r="Q886" s="120" t="s">
        <v>250</v>
      </c>
      <c r="R886" s="120"/>
      <c r="S886" s="121"/>
    </row>
    <row r="887" spans="1:19" ht="15">
      <c r="A887" s="105">
        <v>7</v>
      </c>
      <c r="B887" s="105"/>
      <c r="C887" s="107" t="s">
        <v>889</v>
      </c>
      <c r="D887" s="107" t="s">
        <v>890</v>
      </c>
      <c r="E887" s="120">
        <v>462772.10000000003</v>
      </c>
      <c r="F887" s="120" t="s">
        <v>250</v>
      </c>
      <c r="G887" s="120">
        <v>456823.65552858677</v>
      </c>
      <c r="H887" s="120" t="s">
        <v>250</v>
      </c>
      <c r="I887" s="120">
        <v>5948.4444714132542</v>
      </c>
      <c r="J887" s="120">
        <v>0</v>
      </c>
      <c r="K887" s="120" t="s">
        <v>250</v>
      </c>
      <c r="L887" s="120" t="s">
        <v>250</v>
      </c>
      <c r="M887" s="120">
        <v>0</v>
      </c>
      <c r="N887" s="120" t="s">
        <v>250</v>
      </c>
      <c r="O887" s="120">
        <v>0</v>
      </c>
      <c r="P887" s="120">
        <v>0</v>
      </c>
      <c r="Q887" s="120">
        <v>0</v>
      </c>
      <c r="R887" s="120"/>
      <c r="S887" s="121"/>
    </row>
    <row r="888" spans="1:19" ht="15">
      <c r="A888" s="105">
        <v>8</v>
      </c>
      <c r="B888" s="105"/>
      <c r="C888" s="107" t="s">
        <v>891</v>
      </c>
      <c r="D888" s="107" t="s">
        <v>890</v>
      </c>
      <c r="E888" s="120">
        <v>1085973.0699999998</v>
      </c>
      <c r="F888" s="120" t="s">
        <v>250</v>
      </c>
      <c r="G888" s="120">
        <v>1072014.0381042887</v>
      </c>
      <c r="H888" s="120" t="s">
        <v>250</v>
      </c>
      <c r="I888" s="120">
        <v>13959.031895711039</v>
      </c>
      <c r="J888" s="120">
        <v>0</v>
      </c>
      <c r="K888" s="120" t="s">
        <v>250</v>
      </c>
      <c r="L888" s="120" t="s">
        <v>250</v>
      </c>
      <c r="M888" s="120">
        <v>0</v>
      </c>
      <c r="N888" s="120" t="s">
        <v>250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9</v>
      </c>
      <c r="B889" s="105"/>
      <c r="C889" s="107" t="s">
        <v>892</v>
      </c>
      <c r="D889" s="107" t="s">
        <v>890</v>
      </c>
      <c r="E889" s="120">
        <v>0</v>
      </c>
      <c r="F889" s="120" t="s">
        <v>250</v>
      </c>
      <c r="G889" s="120">
        <v>0</v>
      </c>
      <c r="H889" s="120" t="s">
        <v>250</v>
      </c>
      <c r="I889" s="120">
        <v>0</v>
      </c>
      <c r="J889" s="120">
        <v>0</v>
      </c>
      <c r="K889" s="120" t="s">
        <v>250</v>
      </c>
      <c r="L889" s="120" t="s">
        <v>250</v>
      </c>
      <c r="M889" s="120">
        <v>0</v>
      </c>
      <c r="N889" s="120" t="s">
        <v>250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>
        <v>10</v>
      </c>
      <c r="B890" s="105"/>
      <c r="C890" s="107" t="s">
        <v>893</v>
      </c>
      <c r="D890" s="107" t="s">
        <v>890</v>
      </c>
      <c r="E890" s="120">
        <v>441566.1</v>
      </c>
      <c r="F890" s="120" t="s">
        <v>250</v>
      </c>
      <c r="G890" s="120">
        <v>435890.23616484547</v>
      </c>
      <c r="H890" s="120" t="s">
        <v>250</v>
      </c>
      <c r="I890" s="120">
        <v>5675.8638351545223</v>
      </c>
      <c r="J890" s="120">
        <v>0</v>
      </c>
      <c r="K890" s="120" t="s">
        <v>250</v>
      </c>
      <c r="L890" s="120" t="s">
        <v>250</v>
      </c>
      <c r="M890" s="120">
        <v>0</v>
      </c>
      <c r="N890" s="120" t="s">
        <v>250</v>
      </c>
      <c r="O890" s="120">
        <v>0</v>
      </c>
      <c r="P890" s="120">
        <v>0</v>
      </c>
      <c r="Q890" s="120">
        <v>0</v>
      </c>
      <c r="R890" s="120"/>
      <c r="S890" s="121"/>
    </row>
    <row r="891" spans="1:19" ht="15">
      <c r="A891" s="105">
        <v>11</v>
      </c>
      <c r="B891" s="105"/>
      <c r="C891" s="107" t="s">
        <v>894</v>
      </c>
      <c r="D891" s="107" t="s">
        <v>890</v>
      </c>
      <c r="E891" s="120">
        <v>0</v>
      </c>
      <c r="F891" s="120" t="s">
        <v>250</v>
      </c>
      <c r="G891" s="120">
        <v>0</v>
      </c>
      <c r="H891" s="120" t="s">
        <v>250</v>
      </c>
      <c r="I891" s="120">
        <v>0</v>
      </c>
      <c r="J891" s="120">
        <v>0</v>
      </c>
      <c r="K891" s="120" t="s">
        <v>250</v>
      </c>
      <c r="L891" s="120" t="s">
        <v>250</v>
      </c>
      <c r="M891" s="120">
        <v>0</v>
      </c>
      <c r="N891" s="120" t="s">
        <v>250</v>
      </c>
      <c r="O891" s="120">
        <v>0</v>
      </c>
      <c r="P891" s="120">
        <v>0</v>
      </c>
      <c r="Q891" s="120">
        <v>0</v>
      </c>
      <c r="R891" s="120"/>
      <c r="S891" s="121"/>
    </row>
    <row r="892" spans="1:19" ht="15">
      <c r="A892" s="105">
        <v>12</v>
      </c>
      <c r="B892" s="105"/>
      <c r="C892" s="107" t="s">
        <v>895</v>
      </c>
      <c r="D892" s="107" t="s">
        <v>890</v>
      </c>
      <c r="E892" s="120">
        <v>0</v>
      </c>
      <c r="F892" s="120" t="s">
        <v>250</v>
      </c>
      <c r="G892" s="120">
        <v>0</v>
      </c>
      <c r="H892" s="120" t="s">
        <v>250</v>
      </c>
      <c r="I892" s="120">
        <v>0</v>
      </c>
      <c r="J892" s="120">
        <v>0</v>
      </c>
      <c r="K892" s="120" t="s">
        <v>250</v>
      </c>
      <c r="L892" s="120" t="s">
        <v>250</v>
      </c>
      <c r="M892" s="120">
        <v>0</v>
      </c>
      <c r="N892" s="120" t="s">
        <v>250</v>
      </c>
      <c r="O892" s="120">
        <v>0</v>
      </c>
      <c r="P892" s="120">
        <v>0</v>
      </c>
      <c r="Q892" s="120">
        <v>0</v>
      </c>
      <c r="R892" s="120"/>
      <c r="S892" s="121"/>
    </row>
    <row r="893" spans="1:19" ht="15">
      <c r="A893" s="105">
        <v>13</v>
      </c>
      <c r="B893" s="105"/>
      <c r="C893" s="107" t="s">
        <v>896</v>
      </c>
      <c r="D893" s="107" t="s">
        <v>890</v>
      </c>
      <c r="E893" s="120">
        <v>0</v>
      </c>
      <c r="F893" s="120" t="s">
        <v>250</v>
      </c>
      <c r="G893" s="120">
        <v>0</v>
      </c>
      <c r="H893" s="120" t="s">
        <v>250</v>
      </c>
      <c r="I893" s="120">
        <v>0</v>
      </c>
      <c r="J893" s="120">
        <v>0</v>
      </c>
      <c r="K893" s="120" t="s">
        <v>250</v>
      </c>
      <c r="L893" s="120" t="s">
        <v>250</v>
      </c>
      <c r="M893" s="120">
        <v>0</v>
      </c>
      <c r="N893" s="120" t="s">
        <v>250</v>
      </c>
      <c r="O893" s="120">
        <v>0</v>
      </c>
      <c r="P893" s="120">
        <v>0</v>
      </c>
      <c r="Q893" s="120">
        <v>0</v>
      </c>
      <c r="R893" s="120"/>
      <c r="S893" s="121"/>
    </row>
    <row r="894" spans="1:19" ht="15">
      <c r="A894" s="105" t="s">
        <v>250</v>
      </c>
      <c r="B894" s="105"/>
      <c r="C894" s="107" t="s">
        <v>250</v>
      </c>
      <c r="D894" s="107" t="s">
        <v>250</v>
      </c>
      <c r="E894" s="120" t="s">
        <v>250</v>
      </c>
      <c r="F894" s="120" t="s">
        <v>250</v>
      </c>
      <c r="G894" s="120" t="s">
        <v>250</v>
      </c>
      <c r="H894" s="120" t="s">
        <v>250</v>
      </c>
      <c r="I894" s="120" t="s">
        <v>250</v>
      </c>
      <c r="J894" s="120" t="s">
        <v>250</v>
      </c>
      <c r="K894" s="120" t="s">
        <v>250</v>
      </c>
      <c r="L894" s="120" t="s">
        <v>250</v>
      </c>
      <c r="M894" s="120" t="s">
        <v>250</v>
      </c>
      <c r="N894" s="120" t="s">
        <v>250</v>
      </c>
      <c r="O894" s="120" t="s">
        <v>250</v>
      </c>
      <c r="P894" s="120" t="s">
        <v>250</v>
      </c>
      <c r="Q894" s="120" t="s">
        <v>250</v>
      </c>
      <c r="R894" s="120"/>
      <c r="S894" s="121"/>
    </row>
    <row r="895" spans="1:19" ht="15">
      <c r="A895" s="105">
        <v>14</v>
      </c>
      <c r="B895" s="105"/>
      <c r="C895" s="107" t="s">
        <v>897</v>
      </c>
      <c r="D895" s="107" t="s">
        <v>250</v>
      </c>
      <c r="E895" s="120">
        <v>1990311.27</v>
      </c>
      <c r="F895" s="120" t="s">
        <v>250</v>
      </c>
      <c r="G895" s="120">
        <v>1964727.9297977211</v>
      </c>
      <c r="H895" s="120" t="s">
        <v>250</v>
      </c>
      <c r="I895" s="120">
        <v>25583.340202278818</v>
      </c>
      <c r="J895" s="120">
        <v>0</v>
      </c>
      <c r="K895" s="120" t="s">
        <v>250</v>
      </c>
      <c r="L895" s="120" t="s">
        <v>250</v>
      </c>
      <c r="M895" s="120">
        <v>0</v>
      </c>
      <c r="N895" s="120" t="s">
        <v>250</v>
      </c>
      <c r="O895" s="120">
        <v>0</v>
      </c>
      <c r="P895" s="120">
        <v>0</v>
      </c>
      <c r="Q895" s="120">
        <v>0</v>
      </c>
      <c r="R895" s="120"/>
      <c r="S895" s="121"/>
    </row>
    <row r="896" spans="1:19" ht="15">
      <c r="A896" s="105" t="s">
        <v>250</v>
      </c>
      <c r="B896" s="105"/>
      <c r="C896" s="107" t="s">
        <v>250</v>
      </c>
      <c r="D896" s="107" t="s">
        <v>250</v>
      </c>
      <c r="E896" s="120" t="s">
        <v>250</v>
      </c>
      <c r="F896" s="120" t="s">
        <v>250</v>
      </c>
      <c r="G896" s="120" t="s">
        <v>250</v>
      </c>
      <c r="H896" s="120" t="s">
        <v>250</v>
      </c>
      <c r="I896" s="120" t="s">
        <v>250</v>
      </c>
      <c r="J896" s="120" t="s">
        <v>250</v>
      </c>
      <c r="K896" s="120" t="s">
        <v>250</v>
      </c>
      <c r="L896" s="120" t="s">
        <v>250</v>
      </c>
      <c r="M896" s="120" t="s">
        <v>250</v>
      </c>
      <c r="N896" s="120" t="s">
        <v>250</v>
      </c>
      <c r="O896" s="120" t="s">
        <v>250</v>
      </c>
      <c r="P896" s="120" t="s">
        <v>250</v>
      </c>
      <c r="Q896" s="120" t="s">
        <v>250</v>
      </c>
      <c r="R896" s="120"/>
      <c r="S896" s="121"/>
    </row>
    <row r="897" spans="1:19" ht="15">
      <c r="A897" s="105">
        <v>15</v>
      </c>
      <c r="B897" s="105"/>
      <c r="C897" s="107" t="s">
        <v>898</v>
      </c>
      <c r="D897" s="107" t="s">
        <v>250</v>
      </c>
      <c r="E897" s="120">
        <v>110556127.42</v>
      </c>
      <c r="F897" s="120" t="s">
        <v>250</v>
      </c>
      <c r="G897" s="120">
        <v>104055666.29884192</v>
      </c>
      <c r="H897" s="120" t="s">
        <v>250</v>
      </c>
      <c r="I897" s="120">
        <v>5200394.7311512334</v>
      </c>
      <c r="J897" s="120">
        <v>1300066.3900068407</v>
      </c>
      <c r="K897" s="120" t="s">
        <v>250</v>
      </c>
      <c r="L897" s="120" t="s">
        <v>250</v>
      </c>
      <c r="M897" s="120">
        <v>0</v>
      </c>
      <c r="N897" s="120" t="s">
        <v>250</v>
      </c>
      <c r="O897" s="120">
        <v>1300066.3900068407</v>
      </c>
      <c r="P897" s="120">
        <v>678343.71712757472</v>
      </c>
      <c r="Q897" s="120">
        <v>621722.67287926597</v>
      </c>
      <c r="R897" s="120"/>
      <c r="S897" s="121"/>
    </row>
    <row r="898" spans="1:19" ht="15">
      <c r="A898" s="105" t="s">
        <v>250</v>
      </c>
      <c r="B898" s="105"/>
      <c r="C898" s="107" t="s">
        <v>250</v>
      </c>
      <c r="D898" s="107" t="s">
        <v>250</v>
      </c>
      <c r="E898" s="120" t="s">
        <v>250</v>
      </c>
      <c r="F898" s="120" t="s">
        <v>250</v>
      </c>
      <c r="G898" s="120" t="s">
        <v>250</v>
      </c>
      <c r="H898" s="120" t="s">
        <v>250</v>
      </c>
      <c r="I898" s="120" t="s">
        <v>250</v>
      </c>
      <c r="J898" s="120" t="s">
        <v>250</v>
      </c>
      <c r="K898" s="120" t="s">
        <v>250</v>
      </c>
      <c r="L898" s="120" t="s">
        <v>250</v>
      </c>
      <c r="M898" s="120" t="s">
        <v>250</v>
      </c>
      <c r="N898" s="120" t="s">
        <v>250</v>
      </c>
      <c r="O898" s="120" t="s">
        <v>250</v>
      </c>
      <c r="P898" s="120" t="s">
        <v>250</v>
      </c>
      <c r="Q898" s="120" t="s">
        <v>250</v>
      </c>
      <c r="R898" s="120"/>
      <c r="S898" s="121"/>
    </row>
    <row r="899" spans="1:19" ht="15">
      <c r="A899" s="105" t="s">
        <v>250</v>
      </c>
      <c r="B899" s="105"/>
      <c r="C899" s="107" t="s">
        <v>899</v>
      </c>
      <c r="D899" s="107" t="s">
        <v>250</v>
      </c>
      <c r="E899" s="120" t="s">
        <v>250</v>
      </c>
      <c r="F899" s="120" t="s">
        <v>250</v>
      </c>
      <c r="G899" s="120" t="s">
        <v>250</v>
      </c>
      <c r="H899" s="120" t="s">
        <v>250</v>
      </c>
      <c r="I899" s="120" t="s">
        <v>250</v>
      </c>
      <c r="J899" s="120" t="s">
        <v>250</v>
      </c>
      <c r="K899" s="120" t="s">
        <v>250</v>
      </c>
      <c r="L899" s="120" t="s">
        <v>250</v>
      </c>
      <c r="M899" s="120" t="s">
        <v>250</v>
      </c>
      <c r="N899" s="120" t="s">
        <v>250</v>
      </c>
      <c r="O899" s="120" t="s">
        <v>250</v>
      </c>
      <c r="P899" s="120" t="s">
        <v>250</v>
      </c>
      <c r="Q899" s="120" t="s">
        <v>250</v>
      </c>
      <c r="R899" s="120"/>
      <c r="S899" s="121"/>
    </row>
    <row r="900" spans="1:19" ht="15">
      <c r="A900" s="105">
        <v>16</v>
      </c>
      <c r="B900" s="105"/>
      <c r="C900" s="107" t="s">
        <v>900</v>
      </c>
      <c r="D900" s="107" t="s">
        <v>901</v>
      </c>
      <c r="E900" s="120">
        <v>33157308.68</v>
      </c>
      <c r="F900" s="120" t="s">
        <v>250</v>
      </c>
      <c r="G900" s="120">
        <v>31207730.660341673</v>
      </c>
      <c r="H900" s="120" t="s">
        <v>250</v>
      </c>
      <c r="I900" s="120">
        <v>1559670.1637672742</v>
      </c>
      <c r="J900" s="120">
        <v>389907.85589105147</v>
      </c>
      <c r="K900" s="120" t="s">
        <v>250</v>
      </c>
      <c r="L900" s="120" t="s">
        <v>250</v>
      </c>
      <c r="M900" s="120">
        <v>0</v>
      </c>
      <c r="N900" s="120" t="s">
        <v>250</v>
      </c>
      <c r="O900" s="120">
        <v>389907.85589105147</v>
      </c>
      <c r="P900" s="120">
        <v>203444.64431619286</v>
      </c>
      <c r="Q900" s="120">
        <v>186463.21157485858</v>
      </c>
      <c r="R900" s="120"/>
      <c r="S900" s="121"/>
    </row>
    <row r="901" spans="1:19" ht="15">
      <c r="A901" s="105">
        <v>17</v>
      </c>
      <c r="B901" s="105"/>
      <c r="C901" s="107" t="s">
        <v>902</v>
      </c>
      <c r="D901" s="107" t="s">
        <v>901</v>
      </c>
      <c r="E901" s="120">
        <v>5824.7599999999993</v>
      </c>
      <c r="F901" s="120" t="s">
        <v>250</v>
      </c>
      <c r="G901" s="120">
        <v>5482.2767129702925</v>
      </c>
      <c r="H901" s="120" t="s">
        <v>250</v>
      </c>
      <c r="I901" s="120">
        <v>273.98799072570165</v>
      </c>
      <c r="J901" s="120">
        <v>68.495296304005109</v>
      </c>
      <c r="K901" s="120" t="s">
        <v>250</v>
      </c>
      <c r="L901" s="120" t="s">
        <v>250</v>
      </c>
      <c r="M901" s="120">
        <v>0</v>
      </c>
      <c r="N901" s="120" t="s">
        <v>250</v>
      </c>
      <c r="O901" s="120">
        <v>68.495296304005109</v>
      </c>
      <c r="P901" s="120">
        <v>35.739216287538191</v>
      </c>
      <c r="Q901" s="120">
        <v>32.756080016466917</v>
      </c>
      <c r="R901" s="120"/>
      <c r="S901" s="121"/>
    </row>
    <row r="902" spans="1:19" ht="15">
      <c r="A902" s="105">
        <v>18</v>
      </c>
      <c r="B902" s="105"/>
      <c r="C902" s="107" t="s">
        <v>903</v>
      </c>
      <c r="D902" s="107" t="s">
        <v>901</v>
      </c>
      <c r="E902" s="120">
        <v>-4449563.21</v>
      </c>
      <c r="F902" s="120" t="s">
        <v>250</v>
      </c>
      <c r="G902" s="120">
        <v>-4187938.5191960433</v>
      </c>
      <c r="H902" s="120" t="s">
        <v>250</v>
      </c>
      <c r="I902" s="120">
        <v>-209300.79239572163</v>
      </c>
      <c r="J902" s="120">
        <v>-52323.898408234876</v>
      </c>
      <c r="K902" s="120" t="s">
        <v>250</v>
      </c>
      <c r="L902" s="120" t="s">
        <v>250</v>
      </c>
      <c r="M902" s="120">
        <v>0</v>
      </c>
      <c r="N902" s="120" t="s">
        <v>250</v>
      </c>
      <c r="O902" s="120">
        <v>-52323.898408234876</v>
      </c>
      <c r="P902" s="120">
        <v>-27301.365540771247</v>
      </c>
      <c r="Q902" s="120">
        <v>-25022.532867463626</v>
      </c>
      <c r="R902" s="120"/>
      <c r="S902" s="121"/>
    </row>
    <row r="903" spans="1:19" ht="15">
      <c r="A903" s="105">
        <v>19</v>
      </c>
      <c r="B903" s="105"/>
      <c r="C903" s="107" t="s">
        <v>904</v>
      </c>
      <c r="D903" s="107" t="s">
        <v>901</v>
      </c>
      <c r="E903" s="120">
        <v>0</v>
      </c>
      <c r="F903" s="120" t="s">
        <v>250</v>
      </c>
      <c r="G903" s="120">
        <v>0</v>
      </c>
      <c r="H903" s="120" t="s">
        <v>250</v>
      </c>
      <c r="I903" s="120">
        <v>0</v>
      </c>
      <c r="J903" s="120">
        <v>0</v>
      </c>
      <c r="K903" s="120" t="s">
        <v>250</v>
      </c>
      <c r="L903" s="120" t="s">
        <v>250</v>
      </c>
      <c r="M903" s="120">
        <v>0</v>
      </c>
      <c r="N903" s="120" t="s">
        <v>250</v>
      </c>
      <c r="O903" s="120">
        <v>0</v>
      </c>
      <c r="P903" s="120">
        <v>0</v>
      </c>
      <c r="Q903" s="120">
        <v>0</v>
      </c>
      <c r="R903" s="120"/>
      <c r="S903" s="121"/>
    </row>
    <row r="904" spans="1:19" ht="15">
      <c r="A904" s="105">
        <v>20</v>
      </c>
      <c r="B904" s="105"/>
      <c r="C904" s="107" t="s">
        <v>905</v>
      </c>
      <c r="D904" s="107" t="s">
        <v>901</v>
      </c>
      <c r="E904" s="120">
        <v>0</v>
      </c>
      <c r="F904" s="120" t="s">
        <v>250</v>
      </c>
      <c r="G904" s="120">
        <v>0</v>
      </c>
      <c r="H904" s="120" t="s">
        <v>250</v>
      </c>
      <c r="I904" s="120">
        <v>0</v>
      </c>
      <c r="J904" s="120">
        <v>0</v>
      </c>
      <c r="K904" s="120" t="s">
        <v>250</v>
      </c>
      <c r="L904" s="120" t="s">
        <v>250</v>
      </c>
      <c r="M904" s="120">
        <v>0</v>
      </c>
      <c r="N904" s="120" t="s">
        <v>250</v>
      </c>
      <c r="O904" s="120">
        <v>0</v>
      </c>
      <c r="P904" s="120">
        <v>0</v>
      </c>
      <c r="Q904" s="120">
        <v>0</v>
      </c>
      <c r="R904" s="120"/>
      <c r="S904" s="121"/>
    </row>
    <row r="905" spans="1:19" ht="15">
      <c r="A905" s="105">
        <v>21</v>
      </c>
      <c r="B905" s="105"/>
      <c r="C905" s="107" t="s">
        <v>906</v>
      </c>
      <c r="D905" s="107" t="s">
        <v>901</v>
      </c>
      <c r="E905" s="120">
        <v>378721.23000000004</v>
      </c>
      <c r="F905" s="120" t="s">
        <v>250</v>
      </c>
      <c r="G905" s="120">
        <v>356453.24098099605</v>
      </c>
      <c r="H905" s="120" t="s">
        <v>250</v>
      </c>
      <c r="I905" s="120">
        <v>17814.47971296094</v>
      </c>
      <c r="J905" s="120">
        <v>4453.5093060430427</v>
      </c>
      <c r="K905" s="120" t="s">
        <v>250</v>
      </c>
      <c r="L905" s="120" t="s">
        <v>250</v>
      </c>
      <c r="M905" s="120">
        <v>0</v>
      </c>
      <c r="N905" s="120" t="s">
        <v>250</v>
      </c>
      <c r="O905" s="120">
        <v>4453.5093060430427</v>
      </c>
      <c r="P905" s="120">
        <v>2323.7352185587906</v>
      </c>
      <c r="Q905" s="120">
        <v>2129.7740874842525</v>
      </c>
      <c r="R905" s="120"/>
      <c r="S905" s="121"/>
    </row>
    <row r="906" spans="1:19" ht="15">
      <c r="A906" s="105">
        <v>22</v>
      </c>
      <c r="B906" s="105"/>
      <c r="C906" s="107" t="s">
        <v>907</v>
      </c>
      <c r="D906" s="107" t="s">
        <v>901</v>
      </c>
      <c r="E906" s="120">
        <v>27644574.969999991</v>
      </c>
      <c r="F906" s="120" t="s">
        <v>250</v>
      </c>
      <c r="G906" s="120">
        <v>26019133.766540147</v>
      </c>
      <c r="H906" s="120" t="s">
        <v>250</v>
      </c>
      <c r="I906" s="120">
        <v>1300359.4226193565</v>
      </c>
      <c r="J906" s="120">
        <v>325081.78084048664</v>
      </c>
      <c r="K906" s="120" t="s">
        <v>250</v>
      </c>
      <c r="L906" s="120" t="s">
        <v>250</v>
      </c>
      <c r="M906" s="120">
        <v>0</v>
      </c>
      <c r="N906" s="120" t="s">
        <v>250</v>
      </c>
      <c r="O906" s="120">
        <v>325081.78084048664</v>
      </c>
      <c r="P906" s="120">
        <v>169619.94039752614</v>
      </c>
      <c r="Q906" s="120">
        <v>155461.84044296047</v>
      </c>
      <c r="R906" s="120"/>
      <c r="S906" s="121"/>
    </row>
    <row r="907" spans="1:19" ht="15">
      <c r="A907" s="105">
        <v>23</v>
      </c>
      <c r="B907" s="105"/>
      <c r="C907" s="107" t="s">
        <v>908</v>
      </c>
      <c r="D907" s="107" t="s">
        <v>901</v>
      </c>
      <c r="E907" s="120">
        <v>0</v>
      </c>
      <c r="F907" s="120" t="s">
        <v>250</v>
      </c>
      <c r="G907" s="120">
        <v>0</v>
      </c>
      <c r="H907" s="120" t="s">
        <v>250</v>
      </c>
      <c r="I907" s="120">
        <v>0</v>
      </c>
      <c r="J907" s="120">
        <v>0</v>
      </c>
      <c r="K907" s="120" t="s">
        <v>250</v>
      </c>
      <c r="L907" s="120" t="s">
        <v>250</v>
      </c>
      <c r="M907" s="120">
        <v>0</v>
      </c>
      <c r="N907" s="120" t="s">
        <v>250</v>
      </c>
      <c r="O907" s="120">
        <v>0</v>
      </c>
      <c r="P907" s="120">
        <v>0</v>
      </c>
      <c r="Q907" s="120">
        <v>0</v>
      </c>
      <c r="R907" s="120"/>
      <c r="S907" s="121"/>
    </row>
    <row r="908" spans="1:19" ht="15">
      <c r="A908" s="105">
        <v>24</v>
      </c>
      <c r="B908" s="105"/>
      <c r="C908" s="107" t="s">
        <v>909</v>
      </c>
      <c r="D908" s="107" t="s">
        <v>901</v>
      </c>
      <c r="E908" s="120">
        <v>0</v>
      </c>
      <c r="F908" s="120" t="s">
        <v>250</v>
      </c>
      <c r="G908" s="120">
        <v>0</v>
      </c>
      <c r="H908" s="120" t="s">
        <v>250</v>
      </c>
      <c r="I908" s="120">
        <v>0</v>
      </c>
      <c r="J908" s="120">
        <v>0</v>
      </c>
      <c r="K908" s="120" t="s">
        <v>250</v>
      </c>
      <c r="L908" s="120" t="s">
        <v>250</v>
      </c>
      <c r="M908" s="120">
        <v>0</v>
      </c>
      <c r="N908" s="120" t="s">
        <v>250</v>
      </c>
      <c r="O908" s="120">
        <v>0</v>
      </c>
      <c r="P908" s="120">
        <v>0</v>
      </c>
      <c r="Q908" s="120">
        <v>0</v>
      </c>
      <c r="R908" s="120"/>
      <c r="S908" s="121"/>
    </row>
    <row r="909" spans="1:19" ht="15">
      <c r="A909" s="105">
        <v>25</v>
      </c>
      <c r="B909" s="105"/>
      <c r="C909" s="107" t="s">
        <v>910</v>
      </c>
      <c r="D909" s="107" t="s">
        <v>901</v>
      </c>
      <c r="E909" s="120">
        <v>330524.82</v>
      </c>
      <c r="F909" s="120" t="s">
        <v>250</v>
      </c>
      <c r="G909" s="120">
        <v>311090.67562349309</v>
      </c>
      <c r="H909" s="120" t="s">
        <v>250</v>
      </c>
      <c r="I909" s="120">
        <v>15547.392736657686</v>
      </c>
      <c r="J909" s="120">
        <v>3886.751639849188</v>
      </c>
      <c r="K909" s="120" t="s">
        <v>250</v>
      </c>
      <c r="L909" s="120" t="s">
        <v>250</v>
      </c>
      <c r="M909" s="120">
        <v>0</v>
      </c>
      <c r="N909" s="120" t="s">
        <v>250</v>
      </c>
      <c r="O909" s="120">
        <v>3886.751639849188</v>
      </c>
      <c r="P909" s="120">
        <v>2028.0145500208816</v>
      </c>
      <c r="Q909" s="120">
        <v>1858.7370898283066</v>
      </c>
      <c r="R909" s="120"/>
      <c r="S909" s="121"/>
    </row>
    <row r="910" spans="1:19" ht="15">
      <c r="A910" s="105">
        <v>26</v>
      </c>
      <c r="B910" s="105"/>
      <c r="C910" s="107" t="s">
        <v>911</v>
      </c>
      <c r="D910" s="107" t="s">
        <v>901</v>
      </c>
      <c r="E910" s="120">
        <v>0</v>
      </c>
      <c r="F910" s="120" t="s">
        <v>250</v>
      </c>
      <c r="G910" s="120">
        <v>0</v>
      </c>
      <c r="H910" s="120" t="s">
        <v>250</v>
      </c>
      <c r="I910" s="120">
        <v>0</v>
      </c>
      <c r="J910" s="120">
        <v>0</v>
      </c>
      <c r="K910" s="120" t="s">
        <v>250</v>
      </c>
      <c r="L910" s="120" t="s">
        <v>250</v>
      </c>
      <c r="M910" s="120">
        <v>0</v>
      </c>
      <c r="N910" s="120" t="s">
        <v>250</v>
      </c>
      <c r="O910" s="120">
        <v>0</v>
      </c>
      <c r="P910" s="120">
        <v>0</v>
      </c>
      <c r="Q910" s="120">
        <v>0</v>
      </c>
      <c r="R910" s="120"/>
      <c r="S910" s="121"/>
    </row>
    <row r="911" spans="1:19" ht="15">
      <c r="A911" s="105">
        <v>27</v>
      </c>
      <c r="B911" s="105"/>
      <c r="C911" s="107" t="s">
        <v>912</v>
      </c>
      <c r="D911" s="107" t="s">
        <v>901</v>
      </c>
      <c r="E911" s="120">
        <v>845551.59</v>
      </c>
      <c r="F911" s="120" t="s">
        <v>250</v>
      </c>
      <c r="G911" s="120">
        <v>795834.98572851159</v>
      </c>
      <c r="H911" s="120" t="s">
        <v>250</v>
      </c>
      <c r="I911" s="120">
        <v>39773.481001624503</v>
      </c>
      <c r="J911" s="120">
        <v>9943.123269863936</v>
      </c>
      <c r="K911" s="120" t="s">
        <v>250</v>
      </c>
      <c r="L911" s="120" t="s">
        <v>250</v>
      </c>
      <c r="M911" s="120">
        <v>0</v>
      </c>
      <c r="N911" s="120" t="s">
        <v>250</v>
      </c>
      <c r="O911" s="120">
        <v>9943.123269863936</v>
      </c>
      <c r="P911" s="120">
        <v>5188.0852013270624</v>
      </c>
      <c r="Q911" s="120">
        <v>4755.0380685368727</v>
      </c>
      <c r="R911" s="120"/>
      <c r="S911" s="121"/>
    </row>
    <row r="912" spans="1:19" ht="15">
      <c r="A912" s="105" t="s">
        <v>250</v>
      </c>
      <c r="B912" s="105"/>
      <c r="C912" s="107" t="s">
        <v>250</v>
      </c>
      <c r="D912" s="107" t="s">
        <v>250</v>
      </c>
      <c r="E912" s="120" t="s">
        <v>250</v>
      </c>
      <c r="F912" s="120" t="s">
        <v>250</v>
      </c>
      <c r="G912" s="120" t="s">
        <v>250</v>
      </c>
      <c r="H912" s="120" t="s">
        <v>250</v>
      </c>
      <c r="I912" s="120" t="s">
        <v>250</v>
      </c>
      <c r="J912" s="120" t="s">
        <v>250</v>
      </c>
      <c r="K912" s="120" t="s">
        <v>250</v>
      </c>
      <c r="L912" s="120" t="s">
        <v>250</v>
      </c>
      <c r="M912" s="120" t="s">
        <v>250</v>
      </c>
      <c r="N912" s="120" t="s">
        <v>250</v>
      </c>
      <c r="O912" s="120" t="s">
        <v>250</v>
      </c>
      <c r="P912" s="120" t="s">
        <v>250</v>
      </c>
      <c r="Q912" s="120" t="s">
        <v>250</v>
      </c>
      <c r="R912" s="120"/>
      <c r="S912" s="121"/>
    </row>
    <row r="913" spans="1:19" ht="15">
      <c r="A913" s="105">
        <v>28</v>
      </c>
      <c r="B913" s="105"/>
      <c r="C913" s="107" t="s">
        <v>913</v>
      </c>
      <c r="D913" s="107" t="s">
        <v>250</v>
      </c>
      <c r="E913" s="120">
        <v>57912942.839999981</v>
      </c>
      <c r="F913" s="120" t="s">
        <v>250</v>
      </c>
      <c r="G913" s="120">
        <v>54507787.086731739</v>
      </c>
      <c r="H913" s="120" t="s">
        <v>250</v>
      </c>
      <c r="I913" s="120">
        <v>2724138.135432878</v>
      </c>
      <c r="J913" s="120">
        <v>681017.61783536337</v>
      </c>
      <c r="K913" s="120" t="s">
        <v>250</v>
      </c>
      <c r="L913" s="120" t="s">
        <v>250</v>
      </c>
      <c r="M913" s="120">
        <v>0</v>
      </c>
      <c r="N913" s="120" t="s">
        <v>250</v>
      </c>
      <c r="O913" s="120">
        <v>681017.61783536337</v>
      </c>
      <c r="P913" s="120">
        <v>355338.79335914197</v>
      </c>
      <c r="Q913" s="120">
        <v>325678.82447622134</v>
      </c>
      <c r="R913" s="120"/>
      <c r="S913" s="121"/>
    </row>
    <row r="914" spans="1:19" ht="15">
      <c r="A914" s="105" t="s">
        <v>250</v>
      </c>
      <c r="B914" s="105"/>
      <c r="C914" s="107" t="s">
        <v>250</v>
      </c>
      <c r="D914" s="107" t="s">
        <v>250</v>
      </c>
      <c r="E914" s="120" t="s">
        <v>250</v>
      </c>
      <c r="F914" s="120" t="s">
        <v>250</v>
      </c>
      <c r="G914" s="120" t="s">
        <v>250</v>
      </c>
      <c r="H914" s="120" t="s">
        <v>250</v>
      </c>
      <c r="I914" s="120" t="s">
        <v>250</v>
      </c>
      <c r="J914" s="120" t="s">
        <v>250</v>
      </c>
      <c r="K914" s="120" t="s">
        <v>250</v>
      </c>
      <c r="L914" s="120" t="s">
        <v>250</v>
      </c>
      <c r="M914" s="120" t="s">
        <v>250</v>
      </c>
      <c r="N914" s="120" t="s">
        <v>250</v>
      </c>
      <c r="O914" s="120" t="s">
        <v>250</v>
      </c>
      <c r="P914" s="120" t="s">
        <v>250</v>
      </c>
      <c r="Q914" s="120" t="s">
        <v>250</v>
      </c>
      <c r="R914" s="120"/>
      <c r="S914" s="121"/>
    </row>
    <row r="915" spans="1:19" ht="15">
      <c r="A915" s="105">
        <v>29</v>
      </c>
      <c r="B915" s="105"/>
      <c r="C915" s="107" t="s">
        <v>914</v>
      </c>
      <c r="D915" s="107" t="s">
        <v>250</v>
      </c>
      <c r="E915" s="120">
        <v>168469070.26000002</v>
      </c>
      <c r="F915" s="120" t="s">
        <v>250</v>
      </c>
      <c r="G915" s="120">
        <v>158563453.38557369</v>
      </c>
      <c r="H915" s="120" t="s">
        <v>250</v>
      </c>
      <c r="I915" s="120">
        <v>7924532.8665841119</v>
      </c>
      <c r="J915" s="120">
        <v>1981084.0078422041</v>
      </c>
      <c r="K915" s="120" t="s">
        <v>250</v>
      </c>
      <c r="L915" s="120" t="s">
        <v>250</v>
      </c>
      <c r="M915" s="120">
        <v>0</v>
      </c>
      <c r="N915" s="120" t="s">
        <v>250</v>
      </c>
      <c r="O915" s="120">
        <v>1981084.0078422041</v>
      </c>
      <c r="P915" s="120">
        <v>1033682.5104867166</v>
      </c>
      <c r="Q915" s="120">
        <v>947401.49735548743</v>
      </c>
      <c r="R915" s="120"/>
      <c r="S915" s="121"/>
    </row>
    <row r="916" spans="1:19" ht="15">
      <c r="A916" s="105" t="s">
        <v>250</v>
      </c>
      <c r="B916" s="105"/>
      <c r="C916" s="107" t="s">
        <v>250</v>
      </c>
      <c r="D916" s="107" t="s">
        <v>250</v>
      </c>
      <c r="E916" s="120" t="s">
        <v>250</v>
      </c>
      <c r="F916" s="120" t="s">
        <v>250</v>
      </c>
      <c r="G916" s="120" t="s">
        <v>250</v>
      </c>
      <c r="H916" s="120" t="s">
        <v>250</v>
      </c>
      <c r="I916" s="120" t="s">
        <v>250</v>
      </c>
      <c r="J916" s="120" t="s">
        <v>250</v>
      </c>
      <c r="K916" s="120" t="s">
        <v>250</v>
      </c>
      <c r="L916" s="120" t="s">
        <v>250</v>
      </c>
      <c r="M916" s="120" t="s">
        <v>250</v>
      </c>
      <c r="N916" s="120" t="s">
        <v>250</v>
      </c>
      <c r="O916" s="120" t="s">
        <v>250</v>
      </c>
      <c r="P916" s="120" t="s">
        <v>250</v>
      </c>
      <c r="Q916" s="120" t="s">
        <v>250</v>
      </c>
      <c r="R916" s="120"/>
      <c r="S916" s="121"/>
    </row>
    <row r="917" spans="1:19" ht="15">
      <c r="A917" s="105" t="s">
        <v>250</v>
      </c>
      <c r="B917" s="105"/>
      <c r="C917" s="107" t="s">
        <v>915</v>
      </c>
      <c r="D917" s="107" t="s">
        <v>250</v>
      </c>
      <c r="E917" s="120" t="s">
        <v>250</v>
      </c>
      <c r="F917" s="120" t="s">
        <v>250</v>
      </c>
      <c r="G917" s="120" t="s">
        <v>250</v>
      </c>
      <c r="H917" s="120" t="s">
        <v>250</v>
      </c>
      <c r="I917" s="120" t="s">
        <v>250</v>
      </c>
      <c r="J917" s="120" t="s">
        <v>250</v>
      </c>
      <c r="K917" s="120" t="s">
        <v>250</v>
      </c>
      <c r="L917" s="120" t="s">
        <v>250</v>
      </c>
      <c r="M917" s="120" t="s">
        <v>250</v>
      </c>
      <c r="N917" s="120" t="s">
        <v>250</v>
      </c>
      <c r="O917" s="120" t="s">
        <v>250</v>
      </c>
      <c r="P917" s="120" t="s">
        <v>250</v>
      </c>
      <c r="Q917" s="120" t="s">
        <v>250</v>
      </c>
      <c r="R917" s="120"/>
      <c r="S917" s="121"/>
    </row>
    <row r="918" spans="1:19" ht="15">
      <c r="A918" s="105" t="s">
        <v>250</v>
      </c>
      <c r="B918" s="105"/>
      <c r="C918" s="107" t="s">
        <v>250</v>
      </c>
      <c r="D918" s="107" t="s">
        <v>250</v>
      </c>
      <c r="E918" s="120" t="s">
        <v>250</v>
      </c>
      <c r="F918" s="120" t="s">
        <v>250</v>
      </c>
      <c r="G918" s="120" t="s">
        <v>250</v>
      </c>
      <c r="H918" s="120" t="s">
        <v>250</v>
      </c>
      <c r="I918" s="120" t="s">
        <v>250</v>
      </c>
      <c r="J918" s="120" t="s">
        <v>250</v>
      </c>
      <c r="K918" s="120" t="s">
        <v>250</v>
      </c>
      <c r="L918" s="120" t="s">
        <v>250</v>
      </c>
      <c r="M918" s="120" t="s">
        <v>250</v>
      </c>
      <c r="N918" s="120" t="s">
        <v>250</v>
      </c>
      <c r="O918" s="120" t="s">
        <v>250</v>
      </c>
      <c r="P918" s="120" t="s">
        <v>250</v>
      </c>
      <c r="Q918" s="120" t="s">
        <v>250</v>
      </c>
      <c r="R918" s="120"/>
      <c r="S918" s="121"/>
    </row>
    <row r="919" spans="1:19" ht="15">
      <c r="A919" s="105" t="s">
        <v>250</v>
      </c>
      <c r="B919" s="105"/>
      <c r="C919" s="107" t="s">
        <v>916</v>
      </c>
      <c r="D919" s="107" t="s">
        <v>250</v>
      </c>
      <c r="E919" s="120" t="s">
        <v>250</v>
      </c>
      <c r="F919" s="120" t="s">
        <v>250</v>
      </c>
      <c r="G919" s="120" t="s">
        <v>250</v>
      </c>
      <c r="H919" s="120" t="s">
        <v>250</v>
      </c>
      <c r="I919" s="120" t="s">
        <v>250</v>
      </c>
      <c r="J919" s="120" t="s">
        <v>250</v>
      </c>
      <c r="K919" s="120" t="s">
        <v>250</v>
      </c>
      <c r="L919" s="120" t="s">
        <v>250</v>
      </c>
      <c r="M919" s="120" t="s">
        <v>250</v>
      </c>
      <c r="N919" s="120" t="s">
        <v>250</v>
      </c>
      <c r="O919" s="120" t="s">
        <v>250</v>
      </c>
      <c r="P919" s="120" t="s">
        <v>250</v>
      </c>
      <c r="Q919" s="120" t="s">
        <v>250</v>
      </c>
      <c r="R919" s="120"/>
      <c r="S919" s="121"/>
    </row>
    <row r="920" spans="1:19" ht="15">
      <c r="A920" s="105" t="s">
        <v>250</v>
      </c>
      <c r="B920" s="105"/>
      <c r="C920" s="107" t="s">
        <v>917</v>
      </c>
      <c r="D920" s="107" t="s">
        <v>250</v>
      </c>
      <c r="E920" s="120" t="s">
        <v>250</v>
      </c>
      <c r="F920" s="120" t="s">
        <v>250</v>
      </c>
      <c r="G920" s="120" t="s">
        <v>250</v>
      </c>
      <c r="H920" s="120" t="s">
        <v>250</v>
      </c>
      <c r="I920" s="120" t="s">
        <v>250</v>
      </c>
      <c r="J920" s="120" t="s">
        <v>250</v>
      </c>
      <c r="K920" s="120" t="s">
        <v>250</v>
      </c>
      <c r="L920" s="120" t="s">
        <v>250</v>
      </c>
      <c r="M920" s="120" t="s">
        <v>250</v>
      </c>
      <c r="N920" s="120" t="s">
        <v>250</v>
      </c>
      <c r="O920" s="120" t="s">
        <v>250</v>
      </c>
      <c r="P920" s="120" t="s">
        <v>250</v>
      </c>
      <c r="Q920" s="120" t="s">
        <v>250</v>
      </c>
      <c r="R920" s="120"/>
      <c r="S920" s="121"/>
    </row>
    <row r="921" spans="1:19" ht="15">
      <c r="A921" s="105" t="s">
        <v>250</v>
      </c>
      <c r="B921" s="105"/>
      <c r="C921" s="107" t="s">
        <v>918</v>
      </c>
      <c r="D921" s="107" t="s">
        <v>250</v>
      </c>
      <c r="E921" s="120" t="s">
        <v>250</v>
      </c>
      <c r="F921" s="120" t="s">
        <v>250</v>
      </c>
      <c r="G921" s="120" t="s">
        <v>250</v>
      </c>
      <c r="H921" s="120" t="s">
        <v>250</v>
      </c>
      <c r="I921" s="120" t="s">
        <v>250</v>
      </c>
      <c r="J921" s="120" t="s">
        <v>250</v>
      </c>
      <c r="K921" s="120" t="s">
        <v>250</v>
      </c>
      <c r="L921" s="120" t="s">
        <v>250</v>
      </c>
      <c r="M921" s="120" t="s">
        <v>250</v>
      </c>
      <c r="N921" s="120" t="s">
        <v>250</v>
      </c>
      <c r="O921" s="120" t="s">
        <v>250</v>
      </c>
      <c r="P921" s="120" t="s">
        <v>250</v>
      </c>
      <c r="Q921" s="120" t="s">
        <v>250</v>
      </c>
      <c r="R921" s="120"/>
      <c r="S921" s="121"/>
    </row>
    <row r="922" spans="1:19" ht="15">
      <c r="A922" s="105">
        <v>1</v>
      </c>
      <c r="B922" s="105"/>
      <c r="C922" s="107" t="s">
        <v>919</v>
      </c>
      <c r="D922" s="107" t="s">
        <v>303</v>
      </c>
      <c r="E922" s="120">
        <v>3509040</v>
      </c>
      <c r="F922" s="120" t="s">
        <v>250</v>
      </c>
      <c r="G922" s="120">
        <v>3291876</v>
      </c>
      <c r="H922" s="120" t="s">
        <v>250</v>
      </c>
      <c r="I922" s="120">
        <v>149082</v>
      </c>
      <c r="J922" s="120">
        <v>68082</v>
      </c>
      <c r="K922" s="120" t="s">
        <v>250</v>
      </c>
      <c r="L922" s="120" t="s">
        <v>250</v>
      </c>
      <c r="M922" s="120">
        <v>0</v>
      </c>
      <c r="N922" s="120" t="s">
        <v>250</v>
      </c>
      <c r="O922" s="120">
        <v>68082</v>
      </c>
      <c r="P922" s="120">
        <v>34535</v>
      </c>
      <c r="Q922" s="120">
        <v>33547</v>
      </c>
      <c r="R922" s="120"/>
      <c r="S922" s="121"/>
    </row>
    <row r="923" spans="1:19" ht="15">
      <c r="A923" s="105">
        <v>2</v>
      </c>
      <c r="B923" s="105"/>
      <c r="C923" s="107" t="s">
        <v>920</v>
      </c>
      <c r="D923" s="107" t="s">
        <v>311</v>
      </c>
      <c r="E923" s="120">
        <v>217164</v>
      </c>
      <c r="F923" s="120" t="s">
        <v>250</v>
      </c>
      <c r="G923" s="120">
        <v>0</v>
      </c>
      <c r="H923" s="120" t="s">
        <v>250</v>
      </c>
      <c r="I923" s="120">
        <v>149082</v>
      </c>
      <c r="J923" s="120">
        <v>68082</v>
      </c>
      <c r="K923" s="120" t="s">
        <v>250</v>
      </c>
      <c r="L923" s="120" t="s">
        <v>250</v>
      </c>
      <c r="M923" s="120">
        <v>0</v>
      </c>
      <c r="N923" s="120" t="s">
        <v>250</v>
      </c>
      <c r="O923" s="120">
        <v>68082</v>
      </c>
      <c r="P923" s="120">
        <v>34535</v>
      </c>
      <c r="Q923" s="120">
        <v>33547</v>
      </c>
      <c r="R923" s="120"/>
      <c r="S923" s="121"/>
    </row>
    <row r="924" spans="1:19" ht="15">
      <c r="A924" s="105">
        <v>3</v>
      </c>
      <c r="B924" s="105"/>
      <c r="C924" s="107" t="s">
        <v>921</v>
      </c>
      <c r="D924" s="107" t="s">
        <v>397</v>
      </c>
      <c r="E924" s="120">
        <v>149082</v>
      </c>
      <c r="F924" s="120" t="s">
        <v>250</v>
      </c>
      <c r="G924" s="120">
        <v>0</v>
      </c>
      <c r="H924" s="120" t="s">
        <v>250</v>
      </c>
      <c r="I924" s="120">
        <v>149082</v>
      </c>
      <c r="J924" s="120">
        <v>0</v>
      </c>
      <c r="K924" s="120" t="s">
        <v>250</v>
      </c>
      <c r="L924" s="120" t="s">
        <v>250</v>
      </c>
      <c r="M924" s="120">
        <v>0</v>
      </c>
      <c r="N924" s="120" t="s">
        <v>250</v>
      </c>
      <c r="O924" s="120">
        <v>0</v>
      </c>
      <c r="P924" s="120">
        <v>0</v>
      </c>
      <c r="Q924" s="120">
        <v>0</v>
      </c>
      <c r="R924" s="120"/>
      <c r="S924" s="121"/>
    </row>
    <row r="925" spans="1:19" ht="15">
      <c r="A925" s="105">
        <v>4</v>
      </c>
      <c r="B925" s="105"/>
      <c r="C925" s="107" t="s">
        <v>922</v>
      </c>
      <c r="D925" s="107" t="s">
        <v>375</v>
      </c>
      <c r="E925" s="120">
        <v>3359958</v>
      </c>
      <c r="F925" s="120" t="s">
        <v>250</v>
      </c>
      <c r="G925" s="120">
        <v>3291876</v>
      </c>
      <c r="H925" s="120" t="s">
        <v>250</v>
      </c>
      <c r="I925" s="120">
        <v>0</v>
      </c>
      <c r="J925" s="120">
        <v>68082</v>
      </c>
      <c r="K925" s="120" t="s">
        <v>250</v>
      </c>
      <c r="L925" s="120" t="s">
        <v>250</v>
      </c>
      <c r="M925" s="120">
        <v>0</v>
      </c>
      <c r="N925" s="120" t="s">
        <v>250</v>
      </c>
      <c r="O925" s="120">
        <v>68082</v>
      </c>
      <c r="P925" s="120">
        <v>34535</v>
      </c>
      <c r="Q925" s="120">
        <v>33547</v>
      </c>
      <c r="R925" s="120"/>
      <c r="S925" s="121"/>
    </row>
    <row r="926" spans="1:19" ht="15">
      <c r="A926" s="105">
        <v>5</v>
      </c>
      <c r="B926" s="105"/>
      <c r="C926" s="107" t="s">
        <v>923</v>
      </c>
      <c r="D926" s="107" t="s">
        <v>313</v>
      </c>
      <c r="E926" s="120">
        <v>68082</v>
      </c>
      <c r="F926" s="120" t="s">
        <v>250</v>
      </c>
      <c r="G926" s="120">
        <v>0</v>
      </c>
      <c r="H926" s="120" t="s">
        <v>250</v>
      </c>
      <c r="I926" s="120">
        <v>0</v>
      </c>
      <c r="J926" s="120">
        <v>68082</v>
      </c>
      <c r="K926" s="120" t="s">
        <v>250</v>
      </c>
      <c r="L926" s="120" t="s">
        <v>250</v>
      </c>
      <c r="M926" s="120">
        <v>0</v>
      </c>
      <c r="N926" s="120" t="s">
        <v>250</v>
      </c>
      <c r="O926" s="120">
        <v>68082</v>
      </c>
      <c r="P926" s="120">
        <v>34535</v>
      </c>
      <c r="Q926" s="120">
        <v>33547</v>
      </c>
      <c r="R926" s="120"/>
      <c r="S926" s="121"/>
    </row>
    <row r="927" spans="1:19" ht="15">
      <c r="A927" s="105">
        <v>6</v>
      </c>
      <c r="B927" s="105"/>
      <c r="C927" s="107" t="s">
        <v>924</v>
      </c>
      <c r="D927" s="107" t="s">
        <v>925</v>
      </c>
      <c r="E927" s="120">
        <v>3359958</v>
      </c>
      <c r="F927" s="120" t="s">
        <v>250</v>
      </c>
      <c r="G927" s="120">
        <v>3291876</v>
      </c>
      <c r="H927" s="120" t="s">
        <v>250</v>
      </c>
      <c r="I927" s="120">
        <v>0</v>
      </c>
      <c r="J927" s="120">
        <v>68082</v>
      </c>
      <c r="K927" s="120" t="s">
        <v>250</v>
      </c>
      <c r="L927" s="120" t="s">
        <v>250</v>
      </c>
      <c r="M927" s="120">
        <v>0</v>
      </c>
      <c r="N927" s="120" t="s">
        <v>250</v>
      </c>
      <c r="O927" s="120">
        <v>68082</v>
      </c>
      <c r="P927" s="120">
        <v>34535</v>
      </c>
      <c r="Q927" s="120">
        <v>33547</v>
      </c>
      <c r="R927" s="120"/>
      <c r="S927" s="121"/>
    </row>
    <row r="928" spans="1:19" ht="15">
      <c r="A928" s="105" t="s">
        <v>250</v>
      </c>
      <c r="B928" s="105"/>
      <c r="C928" s="107" t="s">
        <v>926</v>
      </c>
      <c r="D928" s="107" t="s">
        <v>250</v>
      </c>
      <c r="E928" s="120" t="s">
        <v>250</v>
      </c>
      <c r="F928" s="120" t="s">
        <v>250</v>
      </c>
      <c r="G928" s="120" t="s">
        <v>250</v>
      </c>
      <c r="H928" s="120" t="s">
        <v>250</v>
      </c>
      <c r="I928" s="120" t="s">
        <v>250</v>
      </c>
      <c r="J928" s="120" t="s">
        <v>250</v>
      </c>
      <c r="K928" s="120" t="s">
        <v>250</v>
      </c>
      <c r="L928" s="120" t="s">
        <v>250</v>
      </c>
      <c r="M928" s="120" t="s">
        <v>250</v>
      </c>
      <c r="N928" s="120" t="s">
        <v>250</v>
      </c>
      <c r="O928" s="120" t="s">
        <v>250</v>
      </c>
      <c r="P928" s="120" t="s">
        <v>250</v>
      </c>
      <c r="Q928" s="120" t="s">
        <v>250</v>
      </c>
      <c r="R928" s="120"/>
      <c r="S928" s="121"/>
    </row>
    <row r="929" spans="1:19" ht="15">
      <c r="A929" s="105">
        <v>7</v>
      </c>
      <c r="B929" s="105"/>
      <c r="C929" s="107" t="s">
        <v>927</v>
      </c>
      <c r="D929" s="107" t="s">
        <v>571</v>
      </c>
      <c r="E929" s="120">
        <v>3509040</v>
      </c>
      <c r="F929" s="120" t="s">
        <v>250</v>
      </c>
      <c r="G929" s="120">
        <v>3291876</v>
      </c>
      <c r="H929" s="120" t="s">
        <v>250</v>
      </c>
      <c r="I929" s="120">
        <v>149082</v>
      </c>
      <c r="J929" s="120">
        <v>68082</v>
      </c>
      <c r="K929" s="120" t="s">
        <v>250</v>
      </c>
      <c r="L929" s="120" t="s">
        <v>250</v>
      </c>
      <c r="M929" s="120">
        <v>0</v>
      </c>
      <c r="N929" s="120" t="s">
        <v>250</v>
      </c>
      <c r="O929" s="120">
        <v>68082</v>
      </c>
      <c r="P929" s="120">
        <v>34535</v>
      </c>
      <c r="Q929" s="120">
        <v>33547</v>
      </c>
      <c r="R929" s="120"/>
      <c r="S929" s="121"/>
    </row>
    <row r="930" spans="1:19" ht="15">
      <c r="A930" s="105">
        <v>8</v>
      </c>
      <c r="B930" s="105"/>
      <c r="C930" s="107" t="s">
        <v>928</v>
      </c>
      <c r="D930" s="107" t="s">
        <v>351</v>
      </c>
      <c r="E930" s="120">
        <v>149082</v>
      </c>
      <c r="F930" s="120" t="s">
        <v>250</v>
      </c>
      <c r="G930" s="120">
        <v>0</v>
      </c>
      <c r="H930" s="120" t="s">
        <v>250</v>
      </c>
      <c r="I930" s="120">
        <v>149082</v>
      </c>
      <c r="J930" s="120">
        <v>0</v>
      </c>
      <c r="K930" s="120" t="s">
        <v>250</v>
      </c>
      <c r="L930" s="120" t="s">
        <v>250</v>
      </c>
      <c r="M930" s="120">
        <v>0</v>
      </c>
      <c r="N930" s="120" t="s">
        <v>250</v>
      </c>
      <c r="O930" s="120">
        <v>0</v>
      </c>
      <c r="P930" s="120">
        <v>0</v>
      </c>
      <c r="Q930" s="120">
        <v>0</v>
      </c>
      <c r="R930" s="120"/>
      <c r="S930" s="121"/>
    </row>
    <row r="931" spans="1:19" ht="15">
      <c r="A931" s="105">
        <v>9</v>
      </c>
      <c r="B931" s="105"/>
      <c r="C931" s="107" t="s">
        <v>929</v>
      </c>
      <c r="D931" s="107" t="s">
        <v>340</v>
      </c>
      <c r="E931" s="120">
        <v>3440958</v>
      </c>
      <c r="F931" s="120" t="s">
        <v>250</v>
      </c>
      <c r="G931" s="120">
        <v>3291876</v>
      </c>
      <c r="H931" s="120" t="s">
        <v>250</v>
      </c>
      <c r="I931" s="120">
        <v>149082</v>
      </c>
      <c r="J931" s="120">
        <v>0</v>
      </c>
      <c r="K931" s="120" t="s">
        <v>250</v>
      </c>
      <c r="L931" s="120" t="s">
        <v>250</v>
      </c>
      <c r="M931" s="120">
        <v>0</v>
      </c>
      <c r="N931" s="120" t="s">
        <v>250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10</v>
      </c>
      <c r="B932" s="105"/>
      <c r="C932" s="107" t="s">
        <v>930</v>
      </c>
      <c r="D932" s="107" t="s">
        <v>931</v>
      </c>
      <c r="E932" s="120">
        <v>217164</v>
      </c>
      <c r="F932" s="120" t="s">
        <v>250</v>
      </c>
      <c r="G932" s="120">
        <v>0</v>
      </c>
      <c r="H932" s="120" t="s">
        <v>250</v>
      </c>
      <c r="I932" s="120">
        <v>149082</v>
      </c>
      <c r="J932" s="120">
        <v>68082</v>
      </c>
      <c r="K932" s="120" t="s">
        <v>250</v>
      </c>
      <c r="L932" s="120" t="s">
        <v>250</v>
      </c>
      <c r="M932" s="120">
        <v>0</v>
      </c>
      <c r="N932" s="120" t="s">
        <v>250</v>
      </c>
      <c r="O932" s="120">
        <v>68082</v>
      </c>
      <c r="P932" s="120">
        <v>34535</v>
      </c>
      <c r="Q932" s="120">
        <v>33547</v>
      </c>
      <c r="R932" s="120"/>
      <c r="S932" s="121"/>
    </row>
    <row r="933" spans="1:19" ht="15">
      <c r="A933" s="105">
        <v>11</v>
      </c>
      <c r="B933" s="105"/>
      <c r="C933" s="107" t="s">
        <v>932</v>
      </c>
      <c r="D933" s="107" t="s">
        <v>354</v>
      </c>
      <c r="E933" s="120">
        <v>3291876</v>
      </c>
      <c r="F933" s="120" t="s">
        <v>250</v>
      </c>
      <c r="G933" s="120">
        <v>3291876</v>
      </c>
      <c r="H933" s="120" t="s">
        <v>250</v>
      </c>
      <c r="I933" s="120">
        <v>0</v>
      </c>
      <c r="J933" s="120">
        <v>0</v>
      </c>
      <c r="K933" s="120" t="s">
        <v>250</v>
      </c>
      <c r="L933" s="120" t="s">
        <v>250</v>
      </c>
      <c r="M933" s="120">
        <v>0</v>
      </c>
      <c r="N933" s="120" t="s">
        <v>250</v>
      </c>
      <c r="O933" s="120">
        <v>0</v>
      </c>
      <c r="P933" s="120">
        <v>0</v>
      </c>
      <c r="Q933" s="120">
        <v>0</v>
      </c>
      <c r="R933" s="120"/>
      <c r="S933" s="121"/>
    </row>
    <row r="934" spans="1:19" ht="15">
      <c r="A934" s="105" t="s">
        <v>250</v>
      </c>
      <c r="B934" s="105"/>
      <c r="C934" s="107" t="s">
        <v>250</v>
      </c>
      <c r="D934" s="107" t="s">
        <v>250</v>
      </c>
      <c r="E934" s="120" t="s">
        <v>250</v>
      </c>
      <c r="F934" s="120" t="s">
        <v>250</v>
      </c>
      <c r="G934" s="120" t="s">
        <v>250</v>
      </c>
      <c r="H934" s="120" t="s">
        <v>250</v>
      </c>
      <c r="I934" s="120" t="s">
        <v>250</v>
      </c>
      <c r="J934" s="120" t="s">
        <v>250</v>
      </c>
      <c r="K934" s="120" t="s">
        <v>250</v>
      </c>
      <c r="L934" s="120" t="s">
        <v>250</v>
      </c>
      <c r="M934" s="120" t="s">
        <v>250</v>
      </c>
      <c r="N934" s="120" t="s">
        <v>250</v>
      </c>
      <c r="O934" s="120" t="s">
        <v>250</v>
      </c>
      <c r="P934" s="120" t="s">
        <v>250</v>
      </c>
      <c r="Q934" s="120" t="s">
        <v>250</v>
      </c>
      <c r="R934" s="120"/>
      <c r="S934" s="121"/>
    </row>
    <row r="935" spans="1:19" ht="15">
      <c r="A935" s="105" t="s">
        <v>250</v>
      </c>
      <c r="B935" s="105"/>
      <c r="C935" s="107" t="s">
        <v>933</v>
      </c>
      <c r="D935" s="107" t="s">
        <v>250</v>
      </c>
      <c r="E935" s="120" t="s">
        <v>250</v>
      </c>
      <c r="F935" s="120" t="s">
        <v>250</v>
      </c>
      <c r="G935" s="120" t="s">
        <v>250</v>
      </c>
      <c r="H935" s="120" t="s">
        <v>250</v>
      </c>
      <c r="I935" s="120" t="s">
        <v>250</v>
      </c>
      <c r="J935" s="120" t="s">
        <v>250</v>
      </c>
      <c r="K935" s="120" t="s">
        <v>250</v>
      </c>
      <c r="L935" s="120" t="s">
        <v>250</v>
      </c>
      <c r="M935" s="120" t="s">
        <v>250</v>
      </c>
      <c r="N935" s="120" t="s">
        <v>250</v>
      </c>
      <c r="O935" s="120" t="s">
        <v>250</v>
      </c>
      <c r="P935" s="120" t="s">
        <v>250</v>
      </c>
      <c r="Q935" s="120" t="s">
        <v>250</v>
      </c>
      <c r="R935" s="120"/>
      <c r="S935" s="121"/>
    </row>
    <row r="936" spans="1:19" ht="15">
      <c r="A936" s="105">
        <v>12</v>
      </c>
      <c r="B936" s="105"/>
      <c r="C936" s="107" t="s">
        <v>934</v>
      </c>
      <c r="D936" s="107" t="s">
        <v>360</v>
      </c>
      <c r="E936" s="120">
        <v>8925330.3600000013</v>
      </c>
      <c r="F936" s="120" t="s">
        <v>250</v>
      </c>
      <c r="G936" s="120">
        <v>8916173.3600000013</v>
      </c>
      <c r="H936" s="120" t="s">
        <v>250</v>
      </c>
      <c r="I936" s="120">
        <v>0</v>
      </c>
      <c r="J936" s="120">
        <v>9157</v>
      </c>
      <c r="K936" s="120" t="s">
        <v>250</v>
      </c>
      <c r="L936" s="120" t="s">
        <v>250</v>
      </c>
      <c r="M936" s="120">
        <v>0</v>
      </c>
      <c r="N936" s="120" t="s">
        <v>250</v>
      </c>
      <c r="O936" s="120">
        <v>9157</v>
      </c>
      <c r="P936" s="120">
        <v>9157</v>
      </c>
      <c r="Q936" s="120">
        <v>0</v>
      </c>
      <c r="R936" s="120"/>
      <c r="S936" s="121"/>
    </row>
    <row r="937" spans="1:19" ht="15">
      <c r="A937" s="105">
        <v>13</v>
      </c>
      <c r="B937" s="105"/>
      <c r="C937" s="107" t="s">
        <v>935</v>
      </c>
      <c r="D937" s="107" t="s">
        <v>362</v>
      </c>
      <c r="E937" s="120">
        <v>28011801.769999899</v>
      </c>
      <c r="F937" s="120" t="s">
        <v>250</v>
      </c>
      <c r="G937" s="120">
        <v>27642463.769999899</v>
      </c>
      <c r="H937" s="120" t="s">
        <v>250</v>
      </c>
      <c r="I937" s="120">
        <v>0</v>
      </c>
      <c r="J937" s="120">
        <v>369338</v>
      </c>
      <c r="K937" s="120" t="s">
        <v>250</v>
      </c>
      <c r="L937" s="120" t="s">
        <v>250</v>
      </c>
      <c r="M937" s="120">
        <v>0</v>
      </c>
      <c r="N937" s="120" t="s">
        <v>250</v>
      </c>
      <c r="O937" s="120">
        <v>369338</v>
      </c>
      <c r="P937" s="120">
        <v>369338</v>
      </c>
      <c r="Q937" s="120">
        <v>0</v>
      </c>
      <c r="R937" s="120"/>
      <c r="S937" s="121"/>
    </row>
    <row r="938" spans="1:19" ht="15">
      <c r="A938" s="105">
        <v>14</v>
      </c>
      <c r="B938" s="105"/>
      <c r="C938" s="107" t="s">
        <v>936</v>
      </c>
      <c r="D938" s="107" t="s">
        <v>364</v>
      </c>
      <c r="E938" s="120">
        <v>278162034.50999999</v>
      </c>
      <c r="F938" s="120" t="s">
        <v>250</v>
      </c>
      <c r="G938" s="120">
        <v>275059366.50999999</v>
      </c>
      <c r="H938" s="120" t="s">
        <v>250</v>
      </c>
      <c r="I938" s="120">
        <v>0</v>
      </c>
      <c r="J938" s="120">
        <v>3102668</v>
      </c>
      <c r="K938" s="120" t="s">
        <v>250</v>
      </c>
      <c r="L938" s="120" t="s">
        <v>250</v>
      </c>
      <c r="M938" s="120">
        <v>0</v>
      </c>
      <c r="N938" s="120" t="s">
        <v>250</v>
      </c>
      <c r="O938" s="120">
        <v>3102668</v>
      </c>
      <c r="P938" s="120">
        <v>3102668</v>
      </c>
      <c r="Q938" s="120">
        <v>0</v>
      </c>
      <c r="R938" s="120"/>
      <c r="S938" s="121"/>
    </row>
    <row r="939" spans="1:19" ht="15">
      <c r="A939" s="105">
        <v>15</v>
      </c>
      <c r="B939" s="105"/>
      <c r="C939" s="107" t="s">
        <v>937</v>
      </c>
      <c r="D939" s="107" t="s">
        <v>366</v>
      </c>
      <c r="E939" s="120">
        <v>436486048.65000004</v>
      </c>
      <c r="F939" s="120" t="s">
        <v>250</v>
      </c>
      <c r="G939" s="120">
        <v>436486048.65000004</v>
      </c>
      <c r="H939" s="120" t="s">
        <v>250</v>
      </c>
      <c r="I939" s="120">
        <v>0</v>
      </c>
      <c r="J939" s="120">
        <v>0</v>
      </c>
      <c r="K939" s="120" t="s">
        <v>250</v>
      </c>
      <c r="L939" s="120" t="s">
        <v>250</v>
      </c>
      <c r="M939" s="120">
        <v>0</v>
      </c>
      <c r="N939" s="120" t="s">
        <v>250</v>
      </c>
      <c r="O939" s="120">
        <v>0</v>
      </c>
      <c r="P939" s="120">
        <v>0</v>
      </c>
      <c r="Q939" s="120">
        <v>0</v>
      </c>
      <c r="R939" s="120"/>
      <c r="S939" s="121"/>
    </row>
    <row r="940" spans="1:19" ht="15">
      <c r="A940" s="105">
        <v>16</v>
      </c>
      <c r="B940" s="105"/>
      <c r="C940" s="107" t="s">
        <v>938</v>
      </c>
      <c r="D940" s="107" t="s">
        <v>368</v>
      </c>
      <c r="E940" s="120">
        <v>451018393.37999994</v>
      </c>
      <c r="F940" s="120" t="s">
        <v>250</v>
      </c>
      <c r="G940" s="120">
        <v>451018393.37999994</v>
      </c>
      <c r="H940" s="120" t="s">
        <v>250</v>
      </c>
      <c r="I940" s="120">
        <v>0</v>
      </c>
      <c r="J940" s="120">
        <v>0</v>
      </c>
      <c r="K940" s="120" t="s">
        <v>250</v>
      </c>
      <c r="L940" s="120" t="s">
        <v>250</v>
      </c>
      <c r="M940" s="120">
        <v>0</v>
      </c>
      <c r="N940" s="120" t="s">
        <v>250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>
        <v>17</v>
      </c>
      <c r="B941" s="105"/>
      <c r="C941" s="107" t="s">
        <v>939</v>
      </c>
      <c r="D941" s="107" t="s">
        <v>370</v>
      </c>
      <c r="E941" s="120">
        <v>2524144.5199999991</v>
      </c>
      <c r="F941" s="120" t="s">
        <v>250</v>
      </c>
      <c r="G941" s="120">
        <v>2524144.5199999991</v>
      </c>
      <c r="H941" s="120" t="s">
        <v>250</v>
      </c>
      <c r="I941" s="120">
        <v>0</v>
      </c>
      <c r="J941" s="120">
        <v>0</v>
      </c>
      <c r="K941" s="120" t="s">
        <v>250</v>
      </c>
      <c r="L941" s="120" t="s">
        <v>250</v>
      </c>
      <c r="M941" s="120">
        <v>0</v>
      </c>
      <c r="N941" s="120" t="s">
        <v>250</v>
      </c>
      <c r="O941" s="120">
        <v>0</v>
      </c>
      <c r="P941" s="120">
        <v>0</v>
      </c>
      <c r="Q941" s="120">
        <v>0</v>
      </c>
      <c r="R941" s="120"/>
      <c r="S941" s="121"/>
    </row>
    <row r="942" spans="1:19" ht="15">
      <c r="A942" s="105">
        <v>18</v>
      </c>
      <c r="B942" s="105"/>
      <c r="C942" s="107" t="s">
        <v>940</v>
      </c>
      <c r="D942" s="107" t="s">
        <v>372</v>
      </c>
      <c r="E942" s="120">
        <v>229126404.88999996</v>
      </c>
      <c r="F942" s="120" t="s">
        <v>250</v>
      </c>
      <c r="G942" s="120">
        <v>229126404.88999996</v>
      </c>
      <c r="H942" s="120" t="s">
        <v>250</v>
      </c>
      <c r="I942" s="120">
        <v>0</v>
      </c>
      <c r="J942" s="120">
        <v>0</v>
      </c>
      <c r="K942" s="120" t="s">
        <v>250</v>
      </c>
      <c r="L942" s="120" t="s">
        <v>250</v>
      </c>
      <c r="M942" s="120">
        <v>0</v>
      </c>
      <c r="N942" s="120" t="s">
        <v>250</v>
      </c>
      <c r="O942" s="120">
        <v>0</v>
      </c>
      <c r="P942" s="120">
        <v>0</v>
      </c>
      <c r="Q942" s="120">
        <v>0</v>
      </c>
      <c r="R942" s="120"/>
      <c r="S942" s="121"/>
    </row>
    <row r="943" spans="1:19" ht="15">
      <c r="A943" s="105">
        <v>19</v>
      </c>
      <c r="B943" s="105"/>
      <c r="C943" s="107" t="s">
        <v>941</v>
      </c>
      <c r="D943" s="107" t="s">
        <v>377</v>
      </c>
      <c r="E943" s="120">
        <v>321679473.06999999</v>
      </c>
      <c r="F943" s="120" t="s">
        <v>250</v>
      </c>
      <c r="G943" s="120">
        <v>321679473.06999999</v>
      </c>
      <c r="H943" s="120" t="s">
        <v>250</v>
      </c>
      <c r="I943" s="120">
        <v>0</v>
      </c>
      <c r="J943" s="120">
        <v>0</v>
      </c>
      <c r="K943" s="120" t="s">
        <v>250</v>
      </c>
      <c r="L943" s="120" t="s">
        <v>250</v>
      </c>
      <c r="M943" s="120">
        <v>0</v>
      </c>
      <c r="N943" s="120" t="s">
        <v>250</v>
      </c>
      <c r="O943" s="120">
        <v>0</v>
      </c>
      <c r="P943" s="120">
        <v>0</v>
      </c>
      <c r="Q943" s="120">
        <v>0</v>
      </c>
      <c r="R943" s="120"/>
      <c r="S943" s="121"/>
    </row>
    <row r="944" spans="1:19" ht="15">
      <c r="A944" s="105">
        <v>20</v>
      </c>
      <c r="B944" s="105"/>
      <c r="C944" s="107" t="s">
        <v>942</v>
      </c>
      <c r="D944" s="107" t="s">
        <v>388</v>
      </c>
      <c r="E944" s="120">
        <v>510376.10000000003</v>
      </c>
      <c r="F944" s="120" t="s">
        <v>250</v>
      </c>
      <c r="G944" s="120">
        <v>510376.10000000003</v>
      </c>
      <c r="H944" s="120" t="s">
        <v>250</v>
      </c>
      <c r="I944" s="120">
        <v>0</v>
      </c>
      <c r="J944" s="120">
        <v>0</v>
      </c>
      <c r="K944" s="120" t="s">
        <v>250</v>
      </c>
      <c r="L944" s="120" t="s">
        <v>250</v>
      </c>
      <c r="M944" s="120">
        <v>0</v>
      </c>
      <c r="N944" s="120" t="s">
        <v>250</v>
      </c>
      <c r="O944" s="120">
        <v>0</v>
      </c>
      <c r="P944" s="120">
        <v>0</v>
      </c>
      <c r="Q944" s="120">
        <v>0</v>
      </c>
      <c r="R944" s="120"/>
      <c r="S944" s="121"/>
    </row>
    <row r="945" spans="1:19" ht="15">
      <c r="A945" s="105">
        <v>21</v>
      </c>
      <c r="B945" s="105"/>
      <c r="C945" s="107" t="s">
        <v>943</v>
      </c>
      <c r="D945" s="107" t="s">
        <v>391</v>
      </c>
      <c r="E945" s="120">
        <v>305487.90000000002</v>
      </c>
      <c r="F945" s="120" t="s">
        <v>250</v>
      </c>
      <c r="G945" s="120">
        <v>0</v>
      </c>
      <c r="H945" s="120" t="s">
        <v>250</v>
      </c>
      <c r="I945" s="120">
        <v>305487.90000000002</v>
      </c>
      <c r="J945" s="120">
        <v>0</v>
      </c>
      <c r="K945" s="120" t="s">
        <v>250</v>
      </c>
      <c r="L945" s="120" t="s">
        <v>250</v>
      </c>
      <c r="M945" s="120">
        <v>0</v>
      </c>
      <c r="N945" s="120" t="s">
        <v>250</v>
      </c>
      <c r="O945" s="120">
        <v>0</v>
      </c>
      <c r="P945" s="120">
        <v>0</v>
      </c>
      <c r="Q945" s="120">
        <v>0</v>
      </c>
      <c r="R945" s="120"/>
      <c r="S945" s="121"/>
    </row>
    <row r="946" spans="1:19" ht="15">
      <c r="A946" s="105">
        <v>22</v>
      </c>
      <c r="B946" s="105"/>
      <c r="C946" s="107" t="s">
        <v>944</v>
      </c>
      <c r="D946" s="107" t="s">
        <v>392</v>
      </c>
      <c r="E946" s="120">
        <v>652265.46</v>
      </c>
      <c r="F946" s="120" t="s">
        <v>250</v>
      </c>
      <c r="G946" s="120">
        <v>0</v>
      </c>
      <c r="H946" s="120" t="s">
        <v>250</v>
      </c>
      <c r="I946" s="120">
        <v>652265.46</v>
      </c>
      <c r="J946" s="120">
        <v>0</v>
      </c>
      <c r="K946" s="120" t="s">
        <v>250</v>
      </c>
      <c r="L946" s="120" t="s">
        <v>250</v>
      </c>
      <c r="M946" s="120">
        <v>0</v>
      </c>
      <c r="N946" s="120" t="s">
        <v>250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23</v>
      </c>
      <c r="B947" s="105"/>
      <c r="C947" s="107" t="s">
        <v>945</v>
      </c>
      <c r="D947" s="107" t="s">
        <v>393</v>
      </c>
      <c r="E947" s="120">
        <v>9218684.629999999</v>
      </c>
      <c r="F947" s="120" t="s">
        <v>250</v>
      </c>
      <c r="G947" s="120">
        <v>0</v>
      </c>
      <c r="H947" s="120" t="s">
        <v>250</v>
      </c>
      <c r="I947" s="120">
        <v>9218684.629999999</v>
      </c>
      <c r="J947" s="120">
        <v>0</v>
      </c>
      <c r="K947" s="120" t="s">
        <v>250</v>
      </c>
      <c r="L947" s="120" t="s">
        <v>250</v>
      </c>
      <c r="M947" s="120">
        <v>0</v>
      </c>
      <c r="N947" s="120" t="s">
        <v>250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24</v>
      </c>
      <c r="B948" s="105"/>
      <c r="C948" s="107" t="s">
        <v>2238</v>
      </c>
      <c r="D948" s="107" t="s">
        <v>2216</v>
      </c>
      <c r="E948" s="120">
        <v>1471422.5899999999</v>
      </c>
      <c r="F948" s="120" t="s">
        <v>250</v>
      </c>
      <c r="G948" s="120">
        <v>906481.46</v>
      </c>
      <c r="H948" s="120" t="s">
        <v>250</v>
      </c>
      <c r="I948" s="120">
        <v>564941.13</v>
      </c>
      <c r="J948" s="120">
        <v>0</v>
      </c>
      <c r="K948" s="120" t="s">
        <v>250</v>
      </c>
      <c r="L948" s="120" t="s">
        <v>250</v>
      </c>
      <c r="M948" s="120">
        <v>0</v>
      </c>
      <c r="N948" s="120" t="s">
        <v>250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25</v>
      </c>
      <c r="B949" s="105"/>
      <c r="C949" s="107" t="s">
        <v>946</v>
      </c>
      <c r="D949" s="107" t="s">
        <v>394</v>
      </c>
      <c r="E949" s="120">
        <v>33137269.020000003</v>
      </c>
      <c r="F949" s="120" t="s">
        <v>250</v>
      </c>
      <c r="G949" s="120">
        <v>0</v>
      </c>
      <c r="H949" s="120" t="s">
        <v>250</v>
      </c>
      <c r="I949" s="120">
        <v>33137269.020000003</v>
      </c>
      <c r="J949" s="120">
        <v>0</v>
      </c>
      <c r="K949" s="120" t="s">
        <v>250</v>
      </c>
      <c r="L949" s="120" t="s">
        <v>250</v>
      </c>
      <c r="M949" s="120">
        <v>0</v>
      </c>
      <c r="N949" s="120" t="s">
        <v>250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26</v>
      </c>
      <c r="B950" s="105"/>
      <c r="C950" s="107" t="s">
        <v>947</v>
      </c>
      <c r="D950" s="107" t="s">
        <v>395</v>
      </c>
      <c r="E950" s="120">
        <v>30091068.519999996</v>
      </c>
      <c r="F950" s="120" t="s">
        <v>250</v>
      </c>
      <c r="G950" s="120">
        <v>0</v>
      </c>
      <c r="H950" s="120" t="s">
        <v>250</v>
      </c>
      <c r="I950" s="120">
        <v>30091068.519999996</v>
      </c>
      <c r="J950" s="120">
        <v>0</v>
      </c>
      <c r="K950" s="120" t="s">
        <v>250</v>
      </c>
      <c r="L950" s="120" t="s">
        <v>250</v>
      </c>
      <c r="M950" s="120">
        <v>0</v>
      </c>
      <c r="N950" s="120" t="s">
        <v>250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27</v>
      </c>
      <c r="B951" s="105"/>
      <c r="C951" s="107" t="s">
        <v>948</v>
      </c>
      <c r="D951" s="107" t="s">
        <v>396</v>
      </c>
      <c r="E951" s="120">
        <v>4965375.32</v>
      </c>
      <c r="F951" s="120" t="s">
        <v>250</v>
      </c>
      <c r="G951" s="120">
        <v>0</v>
      </c>
      <c r="H951" s="120" t="s">
        <v>250</v>
      </c>
      <c r="I951" s="120">
        <v>4965375.32</v>
      </c>
      <c r="J951" s="120">
        <v>0</v>
      </c>
      <c r="K951" s="120" t="s">
        <v>250</v>
      </c>
      <c r="L951" s="120" t="s">
        <v>250</v>
      </c>
      <c r="M951" s="120">
        <v>0</v>
      </c>
      <c r="N951" s="120" t="s">
        <v>250</v>
      </c>
      <c r="O951" s="120">
        <v>0</v>
      </c>
      <c r="P951" s="120">
        <v>0</v>
      </c>
      <c r="Q951" s="120">
        <v>0</v>
      </c>
      <c r="R951" s="120"/>
    </row>
    <row r="952" spans="1:19" ht="15">
      <c r="A952" s="105">
        <v>28</v>
      </c>
      <c r="B952" s="105"/>
      <c r="C952" s="107" t="s">
        <v>949</v>
      </c>
      <c r="D952" s="107" t="s">
        <v>398</v>
      </c>
      <c r="E952" s="120">
        <v>11031185.74</v>
      </c>
      <c r="F952" s="120" t="s">
        <v>250</v>
      </c>
      <c r="G952" s="120">
        <v>0</v>
      </c>
      <c r="H952" s="120" t="s">
        <v>250</v>
      </c>
      <c r="I952" s="120">
        <v>11031185.74</v>
      </c>
      <c r="J952" s="120">
        <v>0</v>
      </c>
      <c r="K952" s="120" t="s">
        <v>250</v>
      </c>
      <c r="L952" s="120" t="s">
        <v>250</v>
      </c>
      <c r="M952" s="120">
        <v>0</v>
      </c>
      <c r="N952" s="120" t="s">
        <v>250</v>
      </c>
      <c r="O952" s="120">
        <v>0</v>
      </c>
      <c r="P952" s="120">
        <v>0</v>
      </c>
      <c r="Q952" s="120">
        <v>0</v>
      </c>
      <c r="R952" s="120"/>
    </row>
    <row r="953" spans="1:19" ht="15">
      <c r="A953" s="105">
        <v>29</v>
      </c>
      <c r="B953" s="105"/>
      <c r="C953" s="107" t="s">
        <v>950</v>
      </c>
      <c r="D953" s="107" t="s">
        <v>405</v>
      </c>
      <c r="E953" s="120">
        <v>5040.2300000000005</v>
      </c>
      <c r="F953" s="120" t="s">
        <v>250</v>
      </c>
      <c r="G953" s="120">
        <v>5040.2300000000005</v>
      </c>
      <c r="H953" s="120" t="s">
        <v>250</v>
      </c>
      <c r="I953" s="120">
        <v>0</v>
      </c>
      <c r="J953" s="120">
        <v>0</v>
      </c>
      <c r="K953" s="120" t="s">
        <v>250</v>
      </c>
      <c r="L953" s="120" t="s">
        <v>250</v>
      </c>
      <c r="M953" s="120">
        <v>0</v>
      </c>
      <c r="N953" s="120" t="s">
        <v>250</v>
      </c>
      <c r="O953" s="120">
        <v>0</v>
      </c>
      <c r="P953" s="120">
        <v>0</v>
      </c>
      <c r="Q953" s="120">
        <v>0</v>
      </c>
      <c r="R953" s="120"/>
    </row>
    <row r="954" spans="1:19" ht="15">
      <c r="A954" s="105">
        <v>30</v>
      </c>
      <c r="B954" s="105"/>
      <c r="C954" s="107" t="s">
        <v>951</v>
      </c>
      <c r="D954" s="107" t="s">
        <v>406</v>
      </c>
      <c r="E954" s="120">
        <v>2545.13</v>
      </c>
      <c r="F954" s="120" t="s">
        <v>250</v>
      </c>
      <c r="G954" s="120">
        <v>2545.13</v>
      </c>
      <c r="H954" s="120" t="s">
        <v>250</v>
      </c>
      <c r="I954" s="120">
        <v>0</v>
      </c>
      <c r="J954" s="120">
        <v>0</v>
      </c>
      <c r="K954" s="120" t="s">
        <v>250</v>
      </c>
      <c r="L954" s="120" t="s">
        <v>250</v>
      </c>
      <c r="M954" s="120">
        <v>0</v>
      </c>
      <c r="N954" s="120" t="s">
        <v>250</v>
      </c>
      <c r="O954" s="120">
        <v>0</v>
      </c>
      <c r="P954" s="120">
        <v>0</v>
      </c>
      <c r="Q954" s="120">
        <v>0</v>
      </c>
      <c r="R954" s="120"/>
    </row>
    <row r="955" spans="1:19" ht="15">
      <c r="A955" s="105">
        <v>31</v>
      </c>
      <c r="B955" s="105"/>
      <c r="C955" s="107" t="s">
        <v>952</v>
      </c>
      <c r="D955" s="107" t="s">
        <v>407</v>
      </c>
      <c r="E955" s="120">
        <v>66853.42</v>
      </c>
      <c r="F955" s="120" t="s">
        <v>250</v>
      </c>
      <c r="G955" s="120">
        <v>66853.42</v>
      </c>
      <c r="H955" s="120" t="s">
        <v>250</v>
      </c>
      <c r="I955" s="120">
        <v>0</v>
      </c>
      <c r="J955" s="120">
        <v>0</v>
      </c>
      <c r="K955" s="120" t="s">
        <v>250</v>
      </c>
      <c r="L955" s="120" t="s">
        <v>250</v>
      </c>
      <c r="M955" s="120">
        <v>0</v>
      </c>
      <c r="N955" s="120" t="s">
        <v>250</v>
      </c>
      <c r="O955" s="120">
        <v>0</v>
      </c>
      <c r="P955" s="120">
        <v>0</v>
      </c>
      <c r="Q955" s="120">
        <v>0</v>
      </c>
      <c r="R955" s="120"/>
    </row>
    <row r="956" spans="1:19" ht="15">
      <c r="A956" s="105">
        <v>32</v>
      </c>
      <c r="B956" s="105"/>
      <c r="C956" s="107" t="s">
        <v>953</v>
      </c>
      <c r="D956" s="107" t="s">
        <v>408</v>
      </c>
      <c r="E956" s="120">
        <v>15954.52</v>
      </c>
      <c r="F956" s="120" t="s">
        <v>250</v>
      </c>
      <c r="G956" s="120">
        <v>15954.52</v>
      </c>
      <c r="H956" s="120" t="s">
        <v>250</v>
      </c>
      <c r="I956" s="120">
        <v>0</v>
      </c>
      <c r="J956" s="120">
        <v>0</v>
      </c>
      <c r="K956" s="120" t="s">
        <v>250</v>
      </c>
      <c r="L956" s="120" t="s">
        <v>250</v>
      </c>
      <c r="M956" s="120">
        <v>0</v>
      </c>
      <c r="N956" s="120" t="s">
        <v>250</v>
      </c>
      <c r="O956" s="120">
        <v>0</v>
      </c>
      <c r="P956" s="120">
        <v>0</v>
      </c>
      <c r="Q956" s="120">
        <v>0</v>
      </c>
      <c r="R956" s="120"/>
    </row>
    <row r="957" spans="1:19" ht="15">
      <c r="A957" s="105">
        <v>33</v>
      </c>
      <c r="B957" s="105"/>
      <c r="C957" s="107" t="s">
        <v>954</v>
      </c>
      <c r="D957" s="107" t="s">
        <v>409</v>
      </c>
      <c r="E957" s="120">
        <v>17140.309999999998</v>
      </c>
      <c r="F957" s="120" t="s">
        <v>250</v>
      </c>
      <c r="G957" s="120">
        <v>17140.309999999998</v>
      </c>
      <c r="H957" s="120" t="s">
        <v>250</v>
      </c>
      <c r="I957" s="120">
        <v>0</v>
      </c>
      <c r="J957" s="120">
        <v>0</v>
      </c>
      <c r="K957" s="120" t="s">
        <v>250</v>
      </c>
      <c r="L957" s="120" t="s">
        <v>250</v>
      </c>
      <c r="M957" s="120">
        <v>0</v>
      </c>
      <c r="N957" s="120" t="s">
        <v>250</v>
      </c>
      <c r="O957" s="120">
        <v>0</v>
      </c>
      <c r="P957" s="120">
        <v>0</v>
      </c>
      <c r="Q957" s="120">
        <v>0</v>
      </c>
      <c r="R957" s="120"/>
    </row>
    <row r="958" spans="1:19" ht="15">
      <c r="A958" s="105">
        <v>34</v>
      </c>
      <c r="B958" s="105"/>
      <c r="C958" s="107" t="s">
        <v>955</v>
      </c>
      <c r="D958" s="107" t="s">
        <v>410</v>
      </c>
      <c r="E958" s="120">
        <v>0</v>
      </c>
      <c r="F958" s="120" t="s">
        <v>250</v>
      </c>
      <c r="G958" s="120">
        <v>0</v>
      </c>
      <c r="H958" s="120" t="s">
        <v>250</v>
      </c>
      <c r="I958" s="120">
        <v>0</v>
      </c>
      <c r="J958" s="120">
        <v>0</v>
      </c>
      <c r="K958" s="120" t="s">
        <v>250</v>
      </c>
      <c r="L958" s="120" t="s">
        <v>250</v>
      </c>
      <c r="M958" s="120">
        <v>0</v>
      </c>
      <c r="N958" s="120" t="s">
        <v>250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35</v>
      </c>
      <c r="B959" s="105"/>
      <c r="C959" s="107" t="s">
        <v>956</v>
      </c>
      <c r="D959" s="107" t="s">
        <v>411</v>
      </c>
      <c r="E959" s="120">
        <v>0</v>
      </c>
      <c r="F959" s="120" t="s">
        <v>250</v>
      </c>
      <c r="G959" s="120">
        <v>0</v>
      </c>
      <c r="H959" s="120" t="s">
        <v>250</v>
      </c>
      <c r="I959" s="120">
        <v>0</v>
      </c>
      <c r="J959" s="120">
        <v>0</v>
      </c>
      <c r="K959" s="120" t="s">
        <v>250</v>
      </c>
      <c r="L959" s="120" t="s">
        <v>250</v>
      </c>
      <c r="M959" s="120">
        <v>0</v>
      </c>
      <c r="N959" s="120" t="s">
        <v>250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36</v>
      </c>
      <c r="B960" s="105"/>
      <c r="C960" s="107" t="s">
        <v>957</v>
      </c>
      <c r="D960" s="107" t="s">
        <v>412</v>
      </c>
      <c r="E960" s="120">
        <v>0</v>
      </c>
      <c r="F960" s="120" t="s">
        <v>250</v>
      </c>
      <c r="G960" s="120">
        <v>0</v>
      </c>
      <c r="H960" s="120" t="s">
        <v>250</v>
      </c>
      <c r="I960" s="120">
        <v>0</v>
      </c>
      <c r="J960" s="120">
        <v>0</v>
      </c>
      <c r="K960" s="120" t="s">
        <v>250</v>
      </c>
      <c r="L960" s="120" t="s">
        <v>250</v>
      </c>
      <c r="M960" s="120">
        <v>0</v>
      </c>
      <c r="N960" s="120" t="s">
        <v>250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37</v>
      </c>
      <c r="B961" s="105"/>
      <c r="C961" s="107" t="s">
        <v>958</v>
      </c>
      <c r="D961" s="107" t="s">
        <v>413</v>
      </c>
      <c r="E961" s="120">
        <v>0</v>
      </c>
      <c r="F961" s="120" t="s">
        <v>250</v>
      </c>
      <c r="G961" s="120">
        <v>0</v>
      </c>
      <c r="H961" s="120" t="s">
        <v>250</v>
      </c>
      <c r="I961" s="120">
        <v>0</v>
      </c>
      <c r="J961" s="120">
        <v>0</v>
      </c>
      <c r="K961" s="120" t="s">
        <v>250</v>
      </c>
      <c r="L961" s="120" t="s">
        <v>250</v>
      </c>
      <c r="M961" s="120">
        <v>0</v>
      </c>
      <c r="N961" s="120" t="s">
        <v>250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38</v>
      </c>
      <c r="B962" s="105"/>
      <c r="C962" s="107" t="s">
        <v>959</v>
      </c>
      <c r="D962" s="107" t="s">
        <v>463</v>
      </c>
      <c r="E962" s="120">
        <v>42616401.478556141</v>
      </c>
      <c r="F962" s="120" t="s">
        <v>250</v>
      </c>
      <c r="G962" s="120">
        <v>18054.624209478086</v>
      </c>
      <c r="H962" s="120" t="s">
        <v>250</v>
      </c>
      <c r="I962" s="120">
        <v>42598346.854346663</v>
      </c>
      <c r="J962" s="120">
        <v>0</v>
      </c>
      <c r="K962" s="120" t="s">
        <v>250</v>
      </c>
      <c r="L962" s="120" t="s">
        <v>250</v>
      </c>
      <c r="M962" s="120">
        <v>0</v>
      </c>
      <c r="N962" s="120" t="s">
        <v>250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39</v>
      </c>
      <c r="B963" s="105"/>
      <c r="C963" s="107" t="s">
        <v>960</v>
      </c>
      <c r="D963" s="107" t="s">
        <v>486</v>
      </c>
      <c r="E963" s="120">
        <v>2.5579538487363602E-10</v>
      </c>
      <c r="F963" s="120" t="s">
        <v>250</v>
      </c>
      <c r="G963" s="120">
        <v>0</v>
      </c>
      <c r="H963" s="120" t="s">
        <v>250</v>
      </c>
      <c r="I963" s="120">
        <v>2.5579538487363602E-10</v>
      </c>
      <c r="J963" s="120">
        <v>0</v>
      </c>
      <c r="K963" s="120" t="s">
        <v>250</v>
      </c>
      <c r="L963" s="120" t="s">
        <v>250</v>
      </c>
      <c r="M963" s="120">
        <v>0</v>
      </c>
      <c r="N963" s="120" t="s">
        <v>250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40</v>
      </c>
      <c r="B964" s="105"/>
      <c r="C964" s="107" t="s">
        <v>2239</v>
      </c>
      <c r="D964" s="107" t="s">
        <v>522</v>
      </c>
      <c r="E964" s="120">
        <v>13223520.805528197</v>
      </c>
      <c r="F964" s="120" t="s">
        <v>250</v>
      </c>
      <c r="G964" s="120">
        <v>0</v>
      </c>
      <c r="H964" s="120" t="s">
        <v>250</v>
      </c>
      <c r="I964" s="120">
        <v>13223520.805528197</v>
      </c>
      <c r="J964" s="120">
        <v>0</v>
      </c>
      <c r="K964" s="120" t="s">
        <v>250</v>
      </c>
      <c r="L964" s="120" t="s">
        <v>250</v>
      </c>
      <c r="M964" s="120">
        <v>0</v>
      </c>
      <c r="N964" s="120" t="s">
        <v>250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41</v>
      </c>
      <c r="B965" s="105"/>
      <c r="C965" s="107" t="s">
        <v>2240</v>
      </c>
      <c r="D965" s="107" t="s">
        <v>531</v>
      </c>
      <c r="E965" s="120">
        <v>0</v>
      </c>
      <c r="F965" s="120" t="s">
        <v>250</v>
      </c>
      <c r="G965" s="120">
        <v>0</v>
      </c>
      <c r="H965" s="120" t="s">
        <v>250</v>
      </c>
      <c r="I965" s="120">
        <v>0</v>
      </c>
      <c r="J965" s="120">
        <v>0</v>
      </c>
      <c r="K965" s="120" t="s">
        <v>250</v>
      </c>
      <c r="L965" s="120" t="s">
        <v>250</v>
      </c>
      <c r="M965" s="120">
        <v>0</v>
      </c>
      <c r="N965" s="120" t="s">
        <v>250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42</v>
      </c>
      <c r="B966" s="105"/>
      <c r="C966" s="107" t="s">
        <v>961</v>
      </c>
      <c r="D966" s="107" t="s">
        <v>568</v>
      </c>
      <c r="E966" s="120">
        <v>3689657.1225000005</v>
      </c>
      <c r="F966" s="120" t="s">
        <v>250</v>
      </c>
      <c r="G966" s="120">
        <v>2678351.3725000005</v>
      </c>
      <c r="H966" s="120" t="s">
        <v>250</v>
      </c>
      <c r="I966" s="120">
        <v>789057.59000000008</v>
      </c>
      <c r="J966" s="120">
        <v>222248.15999999997</v>
      </c>
      <c r="K966" s="120" t="s">
        <v>250</v>
      </c>
      <c r="L966" s="120" t="s">
        <v>250</v>
      </c>
      <c r="M966" s="120">
        <v>0</v>
      </c>
      <c r="N966" s="120" t="s">
        <v>250</v>
      </c>
      <c r="O966" s="120">
        <v>222248.15999999997</v>
      </c>
      <c r="P966" s="120">
        <v>222248.15999999997</v>
      </c>
      <c r="Q966" s="120">
        <v>0</v>
      </c>
      <c r="R966" s="120"/>
    </row>
    <row r="967" spans="1:18" ht="15">
      <c r="A967" s="105">
        <v>43</v>
      </c>
      <c r="B967" s="105"/>
      <c r="C967" s="107" t="s">
        <v>962</v>
      </c>
      <c r="D967" s="107" t="s">
        <v>578</v>
      </c>
      <c r="E967" s="120">
        <v>33304.956666666658</v>
      </c>
      <c r="F967" s="120" t="s">
        <v>250</v>
      </c>
      <c r="G967" s="120">
        <v>32152.956666666658</v>
      </c>
      <c r="H967" s="120" t="s">
        <v>250</v>
      </c>
      <c r="I967" s="120">
        <v>1152</v>
      </c>
      <c r="J967" s="120">
        <v>0</v>
      </c>
      <c r="K967" s="120" t="s">
        <v>250</v>
      </c>
      <c r="L967" s="120" t="s">
        <v>250</v>
      </c>
      <c r="M967" s="120">
        <v>0</v>
      </c>
      <c r="N967" s="120" t="s">
        <v>250</v>
      </c>
      <c r="O967" s="120">
        <v>0</v>
      </c>
      <c r="P967" s="120">
        <v>0</v>
      </c>
      <c r="Q967" s="120">
        <v>0</v>
      </c>
      <c r="R967" s="120"/>
    </row>
    <row r="968" spans="1:18" ht="15">
      <c r="A968" s="105">
        <v>44</v>
      </c>
      <c r="B968" s="105"/>
      <c r="C968" s="107" t="s">
        <v>963</v>
      </c>
      <c r="D968" s="107" t="s">
        <v>576</v>
      </c>
      <c r="E968" s="120">
        <v>37846.9950000014</v>
      </c>
      <c r="F968" s="120" t="s">
        <v>250</v>
      </c>
      <c r="G968" s="120">
        <v>37846.9950000014</v>
      </c>
      <c r="H968" s="120" t="s">
        <v>250</v>
      </c>
      <c r="I968" s="120">
        <v>0</v>
      </c>
      <c r="J968" s="120">
        <v>0</v>
      </c>
      <c r="K968" s="120" t="s">
        <v>250</v>
      </c>
      <c r="L968" s="120" t="s">
        <v>250</v>
      </c>
      <c r="M968" s="120">
        <v>0</v>
      </c>
      <c r="N968" s="120" t="s">
        <v>250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45</v>
      </c>
      <c r="B969" s="105"/>
      <c r="C969" s="107" t="s">
        <v>964</v>
      </c>
      <c r="D969" s="107" t="s">
        <v>564</v>
      </c>
      <c r="E969" s="120">
        <v>723849.95161290199</v>
      </c>
      <c r="F969" s="120" t="s">
        <v>250</v>
      </c>
      <c r="G969" s="120">
        <v>653109.95161290199</v>
      </c>
      <c r="H969" s="120" t="s">
        <v>250</v>
      </c>
      <c r="I969" s="120">
        <v>70740</v>
      </c>
      <c r="J969" s="120">
        <v>0</v>
      </c>
      <c r="K969" s="120" t="s">
        <v>250</v>
      </c>
      <c r="L969" s="120" t="s">
        <v>250</v>
      </c>
      <c r="M969" s="120">
        <v>0</v>
      </c>
      <c r="N969" s="120" t="s">
        <v>250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46</v>
      </c>
      <c r="B970" s="105"/>
      <c r="C970" s="107" t="s">
        <v>965</v>
      </c>
      <c r="D970" s="107" t="s">
        <v>566</v>
      </c>
      <c r="E970" s="120">
        <v>95329.654999999926</v>
      </c>
      <c r="F970" s="120" t="s">
        <v>250</v>
      </c>
      <c r="G970" s="120">
        <v>95229.654999999926</v>
      </c>
      <c r="H970" s="120" t="s">
        <v>250</v>
      </c>
      <c r="I970" s="120">
        <v>100</v>
      </c>
      <c r="J970" s="120">
        <v>0</v>
      </c>
      <c r="K970" s="120" t="s">
        <v>250</v>
      </c>
      <c r="L970" s="120" t="s">
        <v>250</v>
      </c>
      <c r="M970" s="120">
        <v>0</v>
      </c>
      <c r="N970" s="120" t="s">
        <v>250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47</v>
      </c>
      <c r="B971" s="105"/>
      <c r="C971" s="107" t="s">
        <v>966</v>
      </c>
      <c r="D971" s="107" t="s">
        <v>574</v>
      </c>
      <c r="E971" s="120">
        <v>53752.000000000007</v>
      </c>
      <c r="F971" s="120" t="s">
        <v>250</v>
      </c>
      <c r="G971" s="120">
        <v>45878.000000000007</v>
      </c>
      <c r="H971" s="120" t="s">
        <v>250</v>
      </c>
      <c r="I971" s="120">
        <v>7874</v>
      </c>
      <c r="J971" s="120">
        <v>0</v>
      </c>
      <c r="K971" s="120" t="s">
        <v>250</v>
      </c>
      <c r="L971" s="120" t="s">
        <v>250</v>
      </c>
      <c r="M971" s="120">
        <v>0</v>
      </c>
      <c r="N971" s="120" t="s">
        <v>250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48</v>
      </c>
      <c r="B972" s="105"/>
      <c r="C972" s="107" t="s">
        <v>967</v>
      </c>
      <c r="D972" s="107" t="s">
        <v>968</v>
      </c>
      <c r="E972" s="120">
        <v>206492.60298749444</v>
      </c>
      <c r="F972" s="120" t="s">
        <v>250</v>
      </c>
      <c r="G972" s="120">
        <v>0</v>
      </c>
      <c r="H972" s="120" t="s">
        <v>250</v>
      </c>
      <c r="I972" s="120">
        <v>206492.60298749444</v>
      </c>
      <c r="J972" s="120">
        <v>0</v>
      </c>
      <c r="K972" s="120" t="s">
        <v>250</v>
      </c>
      <c r="L972" s="120" t="s">
        <v>250</v>
      </c>
      <c r="M972" s="120">
        <v>0</v>
      </c>
      <c r="N972" s="120" t="s">
        <v>250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49</v>
      </c>
      <c r="B973" s="105"/>
      <c r="C973" s="107" t="s">
        <v>969</v>
      </c>
      <c r="D973" s="107" t="s">
        <v>770</v>
      </c>
      <c r="E973" s="120">
        <v>0</v>
      </c>
      <c r="F973" s="120" t="s">
        <v>250</v>
      </c>
      <c r="G973" s="120">
        <v>0</v>
      </c>
      <c r="H973" s="120" t="s">
        <v>250</v>
      </c>
      <c r="I973" s="120">
        <v>0</v>
      </c>
      <c r="J973" s="120">
        <v>0</v>
      </c>
      <c r="K973" s="120" t="s">
        <v>250</v>
      </c>
      <c r="L973" s="120" t="s">
        <v>250</v>
      </c>
      <c r="M973" s="120">
        <v>0</v>
      </c>
      <c r="N973" s="120" t="s">
        <v>250</v>
      </c>
      <c r="O973" s="120">
        <v>0</v>
      </c>
      <c r="P973" s="120">
        <v>0</v>
      </c>
      <c r="Q973" s="120">
        <v>0</v>
      </c>
      <c r="R973" s="120"/>
    </row>
    <row r="974" spans="1:18" ht="15">
      <c r="A974" s="105">
        <v>50</v>
      </c>
      <c r="B974" s="105"/>
      <c r="C974" s="107" t="s">
        <v>970</v>
      </c>
      <c r="D974" s="107" t="s">
        <v>540</v>
      </c>
      <c r="E974" s="120">
        <v>833365.37923076935</v>
      </c>
      <c r="F974" s="120" t="s">
        <v>250</v>
      </c>
      <c r="G974" s="120">
        <v>0</v>
      </c>
      <c r="H974" s="120" t="s">
        <v>250</v>
      </c>
      <c r="I974" s="120">
        <v>833365.37923076935</v>
      </c>
      <c r="J974" s="120">
        <v>0</v>
      </c>
      <c r="K974" s="120" t="s">
        <v>250</v>
      </c>
      <c r="L974" s="120" t="s">
        <v>250</v>
      </c>
      <c r="M974" s="120">
        <v>0</v>
      </c>
      <c r="N974" s="120" t="s">
        <v>250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 t="s">
        <v>250</v>
      </c>
      <c r="B975" s="105"/>
      <c r="C975" s="107" t="s">
        <v>250</v>
      </c>
      <c r="D975" s="107" t="s">
        <v>250</v>
      </c>
      <c r="E975" s="120" t="s">
        <v>250</v>
      </c>
      <c r="F975" s="120" t="s">
        <v>250</v>
      </c>
      <c r="G975" s="120" t="s">
        <v>250</v>
      </c>
      <c r="H975" s="120" t="s">
        <v>250</v>
      </c>
      <c r="I975" s="120" t="s">
        <v>250</v>
      </c>
      <c r="J975" s="120" t="s">
        <v>250</v>
      </c>
      <c r="K975" s="120" t="s">
        <v>250</v>
      </c>
      <c r="L975" s="120" t="s">
        <v>250</v>
      </c>
      <c r="M975" s="120" t="s">
        <v>250</v>
      </c>
      <c r="N975" s="120" t="s">
        <v>250</v>
      </c>
      <c r="O975" s="120" t="s">
        <v>250</v>
      </c>
      <c r="P975" s="120" t="s">
        <v>250</v>
      </c>
      <c r="Q975" s="120" t="s">
        <v>250</v>
      </c>
      <c r="R975" s="120"/>
    </row>
    <row r="976" spans="1:18" ht="15">
      <c r="A976" s="105" t="s">
        <v>250</v>
      </c>
      <c r="B976" s="105"/>
      <c r="C976" s="107" t="s">
        <v>250</v>
      </c>
      <c r="D976" s="107" t="s">
        <v>250</v>
      </c>
      <c r="E976" s="120" t="s">
        <v>250</v>
      </c>
      <c r="F976" s="120" t="s">
        <v>250</v>
      </c>
      <c r="G976" s="120" t="s">
        <v>250</v>
      </c>
      <c r="H976" s="120" t="s">
        <v>250</v>
      </c>
      <c r="I976" s="120" t="s">
        <v>250</v>
      </c>
      <c r="J976" s="120" t="s">
        <v>250</v>
      </c>
      <c r="K976" s="120" t="s">
        <v>250</v>
      </c>
      <c r="L976" s="120" t="s">
        <v>250</v>
      </c>
      <c r="M976" s="120" t="s">
        <v>250</v>
      </c>
      <c r="N976" s="120" t="s">
        <v>250</v>
      </c>
      <c r="O976" s="120" t="s">
        <v>250</v>
      </c>
      <c r="P976" s="120" t="s">
        <v>250</v>
      </c>
      <c r="Q976" s="120" t="s">
        <v>250</v>
      </c>
      <c r="R976" s="120"/>
    </row>
    <row r="977" spans="1:18" ht="15">
      <c r="A977" s="105" t="s">
        <v>250</v>
      </c>
      <c r="B977" s="105"/>
      <c r="C977" s="107" t="s">
        <v>494</v>
      </c>
      <c r="D977" s="107" t="s">
        <v>250</v>
      </c>
      <c r="E977" s="120" t="s">
        <v>250</v>
      </c>
      <c r="F977" s="120" t="s">
        <v>250</v>
      </c>
      <c r="G977" s="120" t="s">
        <v>250</v>
      </c>
      <c r="H977" s="120" t="s">
        <v>250</v>
      </c>
      <c r="I977" s="120" t="s">
        <v>250</v>
      </c>
      <c r="J977" s="120" t="s">
        <v>250</v>
      </c>
      <c r="K977" s="120" t="s">
        <v>250</v>
      </c>
      <c r="L977" s="120" t="s">
        <v>250</v>
      </c>
      <c r="M977" s="120" t="s">
        <v>250</v>
      </c>
      <c r="N977" s="120" t="s">
        <v>250</v>
      </c>
      <c r="O977" s="120" t="s">
        <v>250</v>
      </c>
      <c r="P977" s="120" t="s">
        <v>250</v>
      </c>
      <c r="Q977" s="120" t="s">
        <v>250</v>
      </c>
      <c r="R977" s="120"/>
    </row>
    <row r="978" spans="1:18" ht="15">
      <c r="A978" s="105" t="s">
        <v>250</v>
      </c>
      <c r="B978" s="105"/>
      <c r="C978" s="107" t="s">
        <v>917</v>
      </c>
      <c r="D978" s="107" t="s">
        <v>250</v>
      </c>
      <c r="E978" s="120" t="s">
        <v>250</v>
      </c>
      <c r="F978" s="120" t="s">
        <v>250</v>
      </c>
      <c r="G978" s="120" t="s">
        <v>250</v>
      </c>
      <c r="H978" s="120" t="s">
        <v>250</v>
      </c>
      <c r="I978" s="120" t="s">
        <v>250</v>
      </c>
      <c r="J978" s="120" t="s">
        <v>250</v>
      </c>
      <c r="K978" s="120" t="s">
        <v>250</v>
      </c>
      <c r="L978" s="120" t="s">
        <v>250</v>
      </c>
      <c r="M978" s="120" t="s">
        <v>250</v>
      </c>
      <c r="N978" s="120" t="s">
        <v>250</v>
      </c>
      <c r="O978" s="120" t="s">
        <v>250</v>
      </c>
      <c r="P978" s="120" t="s">
        <v>250</v>
      </c>
      <c r="Q978" s="120" t="s">
        <v>250</v>
      </c>
      <c r="R978" s="120"/>
    </row>
    <row r="979" spans="1:18" ht="15">
      <c r="A979" s="105">
        <v>1</v>
      </c>
      <c r="B979" s="105"/>
      <c r="C979" s="107" t="s">
        <v>971</v>
      </c>
      <c r="D979" s="107" t="s">
        <v>494</v>
      </c>
      <c r="E979" s="120">
        <v>20235892</v>
      </c>
      <c r="F979" s="120" t="s">
        <v>250</v>
      </c>
      <c r="G979" s="120">
        <v>19058683</v>
      </c>
      <c r="H979" s="120" t="s">
        <v>250</v>
      </c>
      <c r="I979" s="120">
        <v>765390</v>
      </c>
      <c r="J979" s="120">
        <v>411819</v>
      </c>
      <c r="K979" s="120" t="s">
        <v>250</v>
      </c>
      <c r="L979" s="120" t="s">
        <v>250</v>
      </c>
      <c r="M979" s="120">
        <v>0</v>
      </c>
      <c r="N979" s="120" t="s">
        <v>250</v>
      </c>
      <c r="O979" s="120">
        <v>411819</v>
      </c>
      <c r="P979" s="120">
        <v>211376</v>
      </c>
      <c r="Q979" s="120">
        <v>200443</v>
      </c>
      <c r="R979" s="120"/>
    </row>
    <row r="980" spans="1:18" ht="15">
      <c r="A980" s="105">
        <v>2</v>
      </c>
      <c r="B980" s="105"/>
      <c r="C980" s="107" t="s">
        <v>972</v>
      </c>
      <c r="D980" s="107" t="s">
        <v>739</v>
      </c>
      <c r="E980" s="120">
        <v>19824073</v>
      </c>
      <c r="F980" s="120" t="s">
        <v>250</v>
      </c>
      <c r="G980" s="120">
        <v>19058683</v>
      </c>
      <c r="H980" s="120" t="s">
        <v>250</v>
      </c>
      <c r="I980" s="120">
        <v>765390</v>
      </c>
      <c r="J980" s="120">
        <v>0</v>
      </c>
      <c r="K980" s="120" t="s">
        <v>250</v>
      </c>
      <c r="L980" s="120" t="s">
        <v>250</v>
      </c>
      <c r="M980" s="120">
        <v>0</v>
      </c>
      <c r="N980" s="120" t="s">
        <v>250</v>
      </c>
      <c r="O980" s="120">
        <v>0</v>
      </c>
      <c r="P980" s="120">
        <v>0</v>
      </c>
      <c r="Q980" s="120">
        <v>0</v>
      </c>
      <c r="R980" s="120"/>
    </row>
    <row r="981" spans="1:18" ht="15">
      <c r="A981" s="105">
        <v>3</v>
      </c>
      <c r="B981" s="105"/>
      <c r="C981" s="107" t="s">
        <v>250</v>
      </c>
      <c r="D981" s="107" t="s">
        <v>250</v>
      </c>
      <c r="E981" s="120" t="s">
        <v>250</v>
      </c>
      <c r="F981" s="120" t="s">
        <v>250</v>
      </c>
      <c r="G981" s="120" t="s">
        <v>250</v>
      </c>
      <c r="H981" s="120" t="s">
        <v>250</v>
      </c>
      <c r="I981" s="120" t="s">
        <v>250</v>
      </c>
      <c r="J981" s="120" t="s">
        <v>250</v>
      </c>
      <c r="K981" s="120" t="s">
        <v>250</v>
      </c>
      <c r="L981" s="120" t="s">
        <v>250</v>
      </c>
      <c r="M981" s="120" t="s">
        <v>250</v>
      </c>
      <c r="N981" s="120" t="s">
        <v>250</v>
      </c>
      <c r="O981" s="120" t="s">
        <v>250</v>
      </c>
      <c r="P981" s="120" t="s">
        <v>250</v>
      </c>
      <c r="Q981" s="120" t="s">
        <v>250</v>
      </c>
      <c r="R981" s="120"/>
    </row>
    <row r="982" spans="1:18" ht="15">
      <c r="A982" s="105">
        <v>4</v>
      </c>
      <c r="B982" s="105"/>
      <c r="C982" s="107" t="s">
        <v>250</v>
      </c>
      <c r="D982" s="107" t="s">
        <v>250</v>
      </c>
      <c r="E982" s="120" t="s">
        <v>250</v>
      </c>
      <c r="F982" s="120" t="s">
        <v>250</v>
      </c>
      <c r="G982" s="120" t="s">
        <v>250</v>
      </c>
      <c r="H982" s="120" t="s">
        <v>250</v>
      </c>
      <c r="I982" s="120" t="s">
        <v>250</v>
      </c>
      <c r="J982" s="120" t="s">
        <v>250</v>
      </c>
      <c r="K982" s="120" t="s">
        <v>250</v>
      </c>
      <c r="L982" s="120" t="s">
        <v>250</v>
      </c>
      <c r="M982" s="120" t="s">
        <v>250</v>
      </c>
      <c r="N982" s="120" t="s">
        <v>250</v>
      </c>
      <c r="O982" s="120" t="s">
        <v>250</v>
      </c>
      <c r="P982" s="120" t="s">
        <v>250</v>
      </c>
      <c r="Q982" s="120" t="s">
        <v>250</v>
      </c>
      <c r="R982" s="120"/>
    </row>
    <row r="983" spans="1:18" ht="15">
      <c r="A983" s="105" t="s">
        <v>250</v>
      </c>
      <c r="B983" s="105"/>
      <c r="C983" s="107" t="s">
        <v>250</v>
      </c>
      <c r="D983" s="107" t="s">
        <v>250</v>
      </c>
      <c r="E983" s="120" t="s">
        <v>250</v>
      </c>
      <c r="F983" s="120" t="s">
        <v>250</v>
      </c>
      <c r="G983" s="120" t="s">
        <v>250</v>
      </c>
      <c r="H983" s="120" t="s">
        <v>250</v>
      </c>
      <c r="I983" s="120" t="s">
        <v>250</v>
      </c>
      <c r="J983" s="120" t="s">
        <v>250</v>
      </c>
      <c r="K983" s="120" t="s">
        <v>250</v>
      </c>
      <c r="L983" s="120" t="s">
        <v>250</v>
      </c>
      <c r="M983" s="120" t="s">
        <v>250</v>
      </c>
      <c r="N983" s="120" t="s">
        <v>250</v>
      </c>
      <c r="O983" s="120" t="s">
        <v>250</v>
      </c>
      <c r="P983" s="120" t="s">
        <v>250</v>
      </c>
      <c r="Q983" s="120" t="s">
        <v>250</v>
      </c>
      <c r="R983" s="120"/>
    </row>
    <row r="984" spans="1:18" ht="15">
      <c r="A984" s="105" t="s">
        <v>250</v>
      </c>
      <c r="B984" s="105"/>
      <c r="C984" s="107" t="s">
        <v>973</v>
      </c>
      <c r="D984" s="107" t="s">
        <v>250</v>
      </c>
      <c r="E984" s="120" t="s">
        <v>250</v>
      </c>
      <c r="F984" s="120" t="s">
        <v>250</v>
      </c>
      <c r="G984" s="120" t="s">
        <v>250</v>
      </c>
      <c r="H984" s="120" t="s">
        <v>250</v>
      </c>
      <c r="I984" s="120" t="s">
        <v>250</v>
      </c>
      <c r="J984" s="120" t="s">
        <v>250</v>
      </c>
      <c r="K984" s="120" t="s">
        <v>250</v>
      </c>
      <c r="L984" s="120" t="s">
        <v>250</v>
      </c>
      <c r="M984" s="120" t="s">
        <v>250</v>
      </c>
      <c r="N984" s="120" t="s">
        <v>250</v>
      </c>
      <c r="O984" s="120" t="s">
        <v>250</v>
      </c>
      <c r="P984" s="120" t="s">
        <v>250</v>
      </c>
      <c r="Q984" s="120" t="s">
        <v>250</v>
      </c>
      <c r="R984" s="120"/>
    </row>
    <row r="985" spans="1:18" ht="15">
      <c r="A985" s="105" t="s">
        <v>250</v>
      </c>
      <c r="B985" s="105"/>
      <c r="C985" s="107" t="s">
        <v>917</v>
      </c>
      <c r="D985" s="107" t="s">
        <v>250</v>
      </c>
      <c r="E985" s="120" t="s">
        <v>250</v>
      </c>
      <c r="F985" s="120" t="s">
        <v>250</v>
      </c>
      <c r="G985" s="120" t="s">
        <v>250</v>
      </c>
      <c r="H985" s="120" t="s">
        <v>250</v>
      </c>
      <c r="I985" s="120" t="s">
        <v>250</v>
      </c>
      <c r="J985" s="120" t="s">
        <v>250</v>
      </c>
      <c r="K985" s="120" t="s">
        <v>250</v>
      </c>
      <c r="L985" s="120" t="s">
        <v>250</v>
      </c>
      <c r="M985" s="120" t="s">
        <v>250</v>
      </c>
      <c r="N985" s="120" t="s">
        <v>250</v>
      </c>
      <c r="O985" s="120" t="s">
        <v>250</v>
      </c>
      <c r="P985" s="120" t="s">
        <v>250</v>
      </c>
      <c r="Q985" s="120" t="s">
        <v>250</v>
      </c>
      <c r="R985" s="120"/>
    </row>
    <row r="986" spans="1:18" ht="15">
      <c r="A986" s="105">
        <v>1</v>
      </c>
      <c r="B986" s="105"/>
      <c r="C986" s="107" t="s">
        <v>974</v>
      </c>
      <c r="D986" s="107" t="s">
        <v>380</v>
      </c>
      <c r="E986" s="120">
        <v>124898418.40000001</v>
      </c>
      <c r="F986" s="120" t="s">
        <v>250</v>
      </c>
      <c r="G986" s="120">
        <v>124898418.40000001</v>
      </c>
      <c r="H986" s="120" t="s">
        <v>250</v>
      </c>
      <c r="I986" s="120">
        <v>0</v>
      </c>
      <c r="J986" s="120">
        <v>0</v>
      </c>
      <c r="K986" s="120" t="s">
        <v>250</v>
      </c>
      <c r="L986" s="120" t="s">
        <v>250</v>
      </c>
      <c r="M986" s="120">
        <v>0</v>
      </c>
      <c r="N986" s="120" t="s">
        <v>250</v>
      </c>
      <c r="O986" s="120">
        <v>0</v>
      </c>
      <c r="P986" s="120">
        <v>0</v>
      </c>
      <c r="Q986" s="120">
        <v>0</v>
      </c>
      <c r="R986" s="120"/>
    </row>
    <row r="987" spans="1:18" ht="15">
      <c r="A987" s="105">
        <v>2</v>
      </c>
      <c r="B987" s="105"/>
      <c r="C987" s="107" t="s">
        <v>975</v>
      </c>
      <c r="D987" s="107" t="s">
        <v>382</v>
      </c>
      <c r="E987" s="120">
        <v>76243249.36999999</v>
      </c>
      <c r="F987" s="120" t="s">
        <v>250</v>
      </c>
      <c r="G987" s="120">
        <v>76195941.36999999</v>
      </c>
      <c r="H987" s="120" t="s">
        <v>250</v>
      </c>
      <c r="I987" s="120">
        <v>0</v>
      </c>
      <c r="J987" s="120">
        <v>47308</v>
      </c>
      <c r="K987" s="120" t="s">
        <v>250</v>
      </c>
      <c r="L987" s="120" t="s">
        <v>250</v>
      </c>
      <c r="M987" s="120">
        <v>0</v>
      </c>
      <c r="N987" s="120" t="s">
        <v>250</v>
      </c>
      <c r="O987" s="120">
        <v>47308</v>
      </c>
      <c r="P987" s="120">
        <v>20456</v>
      </c>
      <c r="Q987" s="120">
        <v>26852</v>
      </c>
      <c r="R987" s="120"/>
    </row>
    <row r="988" spans="1:18" ht="15">
      <c r="A988" s="105">
        <v>3</v>
      </c>
      <c r="B988" s="105"/>
      <c r="C988" s="107" t="s">
        <v>976</v>
      </c>
      <c r="D988" s="107" t="s">
        <v>384</v>
      </c>
      <c r="E988" s="120">
        <v>159233.81</v>
      </c>
      <c r="F988" s="120" t="s">
        <v>250</v>
      </c>
      <c r="G988" s="120">
        <v>159233.81</v>
      </c>
      <c r="H988" s="120" t="s">
        <v>250</v>
      </c>
      <c r="I988" s="120">
        <v>0</v>
      </c>
      <c r="J988" s="120">
        <v>0</v>
      </c>
      <c r="K988" s="120" t="s">
        <v>250</v>
      </c>
      <c r="L988" s="120" t="s">
        <v>250</v>
      </c>
      <c r="M988" s="120">
        <v>0</v>
      </c>
      <c r="N988" s="120" t="s">
        <v>250</v>
      </c>
      <c r="O988" s="120">
        <v>0</v>
      </c>
      <c r="P988" s="120">
        <v>0</v>
      </c>
      <c r="Q988" s="120">
        <v>0</v>
      </c>
      <c r="R988" s="120"/>
    </row>
    <row r="989" spans="1:18" ht="15">
      <c r="A989" s="105">
        <v>4</v>
      </c>
      <c r="B989" s="105"/>
      <c r="C989" s="107" t="s">
        <v>977</v>
      </c>
      <c r="D989" s="107" t="s">
        <v>386</v>
      </c>
      <c r="E989" s="120">
        <v>136881191.10999998</v>
      </c>
      <c r="F989" s="120" t="s">
        <v>250</v>
      </c>
      <c r="G989" s="120">
        <v>136881191.10999998</v>
      </c>
      <c r="H989" s="120" t="s">
        <v>250</v>
      </c>
      <c r="I989" s="120">
        <v>0</v>
      </c>
      <c r="J989" s="120">
        <v>0</v>
      </c>
      <c r="K989" s="120" t="s">
        <v>250</v>
      </c>
      <c r="L989" s="120" t="s">
        <v>250</v>
      </c>
      <c r="M989" s="120">
        <v>0</v>
      </c>
      <c r="N989" s="120" t="s">
        <v>250</v>
      </c>
      <c r="O989" s="120">
        <v>0</v>
      </c>
      <c r="P989" s="120">
        <v>0</v>
      </c>
      <c r="Q989" s="120">
        <v>0</v>
      </c>
      <c r="R989" s="120"/>
    </row>
    <row r="990" spans="1:18" ht="15">
      <c r="A990" s="105">
        <v>5</v>
      </c>
      <c r="B990" s="105"/>
      <c r="C990" s="107" t="s">
        <v>535</v>
      </c>
      <c r="D990" s="107" t="s">
        <v>536</v>
      </c>
      <c r="E990" s="120">
        <v>4891558.7</v>
      </c>
      <c r="F990" s="120" t="s">
        <v>250</v>
      </c>
      <c r="G990" s="120">
        <v>4870067.04</v>
      </c>
      <c r="H990" s="120" t="s">
        <v>250</v>
      </c>
      <c r="I990" s="120">
        <v>21491.66</v>
      </c>
      <c r="J990" s="120">
        <v>0</v>
      </c>
      <c r="K990" s="120" t="s">
        <v>250</v>
      </c>
      <c r="L990" s="120" t="s">
        <v>250</v>
      </c>
      <c r="M990" s="120">
        <v>0</v>
      </c>
      <c r="N990" s="120" t="s">
        <v>250</v>
      </c>
      <c r="O990" s="120">
        <v>0</v>
      </c>
      <c r="P990" s="120">
        <v>0</v>
      </c>
      <c r="Q990" s="120">
        <v>0</v>
      </c>
      <c r="R990" s="120"/>
    </row>
    <row r="991" spans="1:18" ht="15">
      <c r="A991" s="105">
        <v>6</v>
      </c>
      <c r="B991" s="105"/>
      <c r="C991" s="107" t="s">
        <v>978</v>
      </c>
      <c r="D991" s="107" t="s">
        <v>538</v>
      </c>
      <c r="E991" s="120">
        <v>31492744.590000004</v>
      </c>
      <c r="F991" s="120" t="s">
        <v>250</v>
      </c>
      <c r="G991" s="120">
        <v>30270182.170000002</v>
      </c>
      <c r="H991" s="120" t="s">
        <v>250</v>
      </c>
      <c r="I991" s="120">
        <v>1222562.4099999999</v>
      </c>
      <c r="J991" s="120">
        <v>0.01</v>
      </c>
      <c r="K991" s="120" t="s">
        <v>250</v>
      </c>
      <c r="L991" s="120" t="s">
        <v>250</v>
      </c>
      <c r="M991" s="120">
        <v>0</v>
      </c>
      <c r="N991" s="120" t="s">
        <v>250</v>
      </c>
      <c r="O991" s="120">
        <v>0.01</v>
      </c>
      <c r="P991" s="120">
        <v>0.01</v>
      </c>
      <c r="Q991" s="120">
        <v>0</v>
      </c>
      <c r="R991" s="120"/>
    </row>
    <row r="992" spans="1:18" ht="15">
      <c r="A992" s="105">
        <v>7</v>
      </c>
      <c r="B992" s="105"/>
      <c r="C992" s="107" t="s">
        <v>979</v>
      </c>
      <c r="D992" s="107" t="s">
        <v>686</v>
      </c>
      <c r="E992" s="120">
        <v>769286.26036429417</v>
      </c>
      <c r="F992" s="120" t="s">
        <v>250</v>
      </c>
      <c r="G992" s="120">
        <v>731583.55663428048</v>
      </c>
      <c r="H992" s="120" t="s">
        <v>250</v>
      </c>
      <c r="I992" s="120">
        <v>37392.703730013702</v>
      </c>
      <c r="J992" s="120">
        <v>310</v>
      </c>
      <c r="K992" s="120" t="s">
        <v>250</v>
      </c>
      <c r="L992" s="120" t="s">
        <v>250</v>
      </c>
      <c r="M992" s="120">
        <v>0</v>
      </c>
      <c r="N992" s="120" t="s">
        <v>250</v>
      </c>
      <c r="O992" s="120">
        <v>310</v>
      </c>
      <c r="P992" s="120">
        <v>124</v>
      </c>
      <c r="Q992" s="120">
        <v>186</v>
      </c>
      <c r="R992" s="120"/>
    </row>
    <row r="993" spans="1:18" ht="15">
      <c r="A993" s="105">
        <v>8</v>
      </c>
      <c r="B993" s="105"/>
      <c r="C993" s="107" t="s">
        <v>980</v>
      </c>
      <c r="D993" s="107" t="s">
        <v>688</v>
      </c>
      <c r="E993" s="120">
        <v>769286.26036429417</v>
      </c>
      <c r="F993" s="120" t="s">
        <v>250</v>
      </c>
      <c r="G993" s="120">
        <v>731583.55663428048</v>
      </c>
      <c r="H993" s="120" t="s">
        <v>250</v>
      </c>
      <c r="I993" s="120">
        <v>37392.703730013702</v>
      </c>
      <c r="J993" s="120">
        <v>310</v>
      </c>
      <c r="K993" s="120" t="s">
        <v>250</v>
      </c>
      <c r="L993" s="120" t="s">
        <v>250</v>
      </c>
      <c r="M993" s="120">
        <v>0</v>
      </c>
      <c r="N993" s="120" t="s">
        <v>250</v>
      </c>
      <c r="O993" s="120">
        <v>310</v>
      </c>
      <c r="P993" s="120">
        <v>124</v>
      </c>
      <c r="Q993" s="120">
        <v>186</v>
      </c>
      <c r="R993" s="120"/>
    </row>
    <row r="994" spans="1:18" ht="15">
      <c r="A994" s="105">
        <v>9</v>
      </c>
      <c r="B994" s="105"/>
      <c r="C994" s="107" t="s">
        <v>981</v>
      </c>
      <c r="D994" s="107" t="s">
        <v>690</v>
      </c>
      <c r="E994" s="120">
        <v>769286.26036429417</v>
      </c>
      <c r="F994" s="120" t="s">
        <v>250</v>
      </c>
      <c r="G994" s="120">
        <v>731583.55663428048</v>
      </c>
      <c r="H994" s="120" t="s">
        <v>250</v>
      </c>
      <c r="I994" s="120">
        <v>37392.703730013702</v>
      </c>
      <c r="J994" s="120">
        <v>310</v>
      </c>
      <c r="K994" s="120" t="s">
        <v>250</v>
      </c>
      <c r="L994" s="120" t="s">
        <v>250</v>
      </c>
      <c r="M994" s="120">
        <v>0</v>
      </c>
      <c r="N994" s="120" t="s">
        <v>250</v>
      </c>
      <c r="O994" s="120">
        <v>310</v>
      </c>
      <c r="P994" s="120">
        <v>124</v>
      </c>
      <c r="Q994" s="120">
        <v>186</v>
      </c>
      <c r="R994" s="120"/>
    </row>
    <row r="995" spans="1:18" ht="15">
      <c r="A995" s="105">
        <v>10</v>
      </c>
      <c r="B995" s="105"/>
      <c r="C995" s="107" t="s">
        <v>982</v>
      </c>
      <c r="D995" s="107" t="s">
        <v>399</v>
      </c>
      <c r="E995" s="120">
        <v>6306473.2199999997</v>
      </c>
      <c r="F995" s="120" t="s">
        <v>250</v>
      </c>
      <c r="G995" s="120">
        <v>0</v>
      </c>
      <c r="H995" s="120" t="s">
        <v>250</v>
      </c>
      <c r="I995" s="120">
        <v>6306473.2199999997</v>
      </c>
      <c r="J995" s="120">
        <v>0</v>
      </c>
      <c r="K995" s="120" t="s">
        <v>250</v>
      </c>
      <c r="L995" s="120" t="s">
        <v>250</v>
      </c>
      <c r="M995" s="120">
        <v>0</v>
      </c>
      <c r="N995" s="120" t="s">
        <v>250</v>
      </c>
      <c r="O995" s="120">
        <v>0</v>
      </c>
      <c r="P995" s="120">
        <v>0</v>
      </c>
      <c r="Q995" s="120">
        <v>0</v>
      </c>
      <c r="R995" s="120"/>
    </row>
    <row r="996" spans="1:18" ht="15">
      <c r="A996" s="105">
        <v>11</v>
      </c>
      <c r="B996" s="105"/>
      <c r="C996" s="107" t="s">
        <v>983</v>
      </c>
      <c r="D996" s="107" t="s">
        <v>400</v>
      </c>
      <c r="E996" s="120">
        <v>4187480.85</v>
      </c>
      <c r="F996" s="120" t="s">
        <v>250</v>
      </c>
      <c r="G996" s="120">
        <v>0</v>
      </c>
      <c r="H996" s="120" t="s">
        <v>250</v>
      </c>
      <c r="I996" s="120">
        <v>4187480.85</v>
      </c>
      <c r="J996" s="120">
        <v>0</v>
      </c>
      <c r="K996" s="120" t="s">
        <v>250</v>
      </c>
      <c r="L996" s="120" t="s">
        <v>250</v>
      </c>
      <c r="M996" s="120">
        <v>0</v>
      </c>
      <c r="N996" s="120" t="s">
        <v>250</v>
      </c>
      <c r="O996" s="120">
        <v>0</v>
      </c>
      <c r="P996" s="120">
        <v>0</v>
      </c>
      <c r="Q996" s="120">
        <v>0</v>
      </c>
      <c r="R996" s="120"/>
    </row>
    <row r="997" spans="1:18" ht="15">
      <c r="A997" s="105">
        <v>12</v>
      </c>
      <c r="B997" s="105"/>
      <c r="C997" s="107" t="s">
        <v>984</v>
      </c>
      <c r="D997" s="107" t="s">
        <v>401</v>
      </c>
      <c r="E997" s="120">
        <v>0</v>
      </c>
      <c r="F997" s="120" t="s">
        <v>250</v>
      </c>
      <c r="G997" s="120">
        <v>0</v>
      </c>
      <c r="H997" s="120" t="s">
        <v>250</v>
      </c>
      <c r="I997" s="120">
        <v>0</v>
      </c>
      <c r="J997" s="120">
        <v>0</v>
      </c>
      <c r="K997" s="120" t="s">
        <v>250</v>
      </c>
      <c r="L997" s="120" t="s">
        <v>250</v>
      </c>
      <c r="M997" s="120">
        <v>0</v>
      </c>
      <c r="N997" s="120" t="s">
        <v>250</v>
      </c>
      <c r="O997" s="120">
        <v>0</v>
      </c>
      <c r="P997" s="120">
        <v>0</v>
      </c>
      <c r="Q997" s="120">
        <v>0</v>
      </c>
      <c r="R997" s="120"/>
    </row>
    <row r="998" spans="1:18" ht="15">
      <c r="A998" s="105">
        <v>13</v>
      </c>
      <c r="B998" s="105"/>
      <c r="C998" s="107" t="s">
        <v>985</v>
      </c>
      <c r="D998" s="107" t="s">
        <v>402</v>
      </c>
      <c r="E998" s="120">
        <v>4084779.92</v>
      </c>
      <c r="F998" s="120" t="s">
        <v>250</v>
      </c>
      <c r="G998" s="120">
        <v>0</v>
      </c>
      <c r="H998" s="120" t="s">
        <v>250</v>
      </c>
      <c r="I998" s="120">
        <v>4084779.92</v>
      </c>
      <c r="J998" s="120">
        <v>0</v>
      </c>
      <c r="K998" s="120" t="s">
        <v>250</v>
      </c>
      <c r="L998" s="120" t="s">
        <v>250</v>
      </c>
      <c r="M998" s="120">
        <v>0</v>
      </c>
      <c r="N998" s="120" t="s">
        <v>250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14</v>
      </c>
      <c r="B999" s="105"/>
      <c r="C999" s="107" t="s">
        <v>986</v>
      </c>
      <c r="D999" s="107" t="s">
        <v>698</v>
      </c>
      <c r="E999" s="120">
        <v>528339</v>
      </c>
      <c r="F999" s="120" t="s">
        <v>250</v>
      </c>
      <c r="G999" s="120">
        <v>528339</v>
      </c>
      <c r="H999" s="120" t="s">
        <v>250</v>
      </c>
      <c r="I999" s="120">
        <v>0</v>
      </c>
      <c r="J999" s="120">
        <v>0</v>
      </c>
      <c r="K999" s="120" t="s">
        <v>250</v>
      </c>
      <c r="L999" s="120" t="s">
        <v>250</v>
      </c>
      <c r="M999" s="120">
        <v>0</v>
      </c>
      <c r="N999" s="120" t="s">
        <v>250</v>
      </c>
      <c r="O999" s="120">
        <v>0</v>
      </c>
      <c r="P999" s="120">
        <v>0</v>
      </c>
      <c r="Q999" s="120">
        <v>0</v>
      </c>
      <c r="R999" s="120"/>
    </row>
    <row r="1000" spans="1:18" ht="15">
      <c r="A1000" s="105">
        <v>15</v>
      </c>
      <c r="B1000" s="105"/>
      <c r="C1000" s="107" t="s">
        <v>987</v>
      </c>
      <c r="D1000" s="107" t="s">
        <v>700</v>
      </c>
      <c r="E1000" s="120">
        <v>556129</v>
      </c>
      <c r="F1000" s="120" t="s">
        <v>250</v>
      </c>
      <c r="G1000" s="120">
        <v>528339</v>
      </c>
      <c r="H1000" s="120" t="s">
        <v>250</v>
      </c>
      <c r="I1000" s="120">
        <v>27790</v>
      </c>
      <c r="J1000" s="120">
        <v>0</v>
      </c>
      <c r="K1000" s="120" t="s">
        <v>250</v>
      </c>
      <c r="L1000" s="120" t="s">
        <v>250</v>
      </c>
      <c r="M1000" s="120">
        <v>0</v>
      </c>
      <c r="N1000" s="120" t="s">
        <v>250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16</v>
      </c>
      <c r="B1001" s="105"/>
      <c r="C1001" s="107" t="s">
        <v>988</v>
      </c>
      <c r="D1001" s="107" t="s">
        <v>707</v>
      </c>
      <c r="E1001" s="120">
        <v>556129</v>
      </c>
      <c r="F1001" s="120" t="s">
        <v>250</v>
      </c>
      <c r="G1001" s="120">
        <v>528339</v>
      </c>
      <c r="H1001" s="120" t="s">
        <v>250</v>
      </c>
      <c r="I1001" s="120">
        <v>27790</v>
      </c>
      <c r="J1001" s="120">
        <v>0</v>
      </c>
      <c r="K1001" s="120" t="s">
        <v>250</v>
      </c>
      <c r="L1001" s="120" t="s">
        <v>250</v>
      </c>
      <c r="M1001" s="120">
        <v>0</v>
      </c>
      <c r="N1001" s="120" t="s">
        <v>250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17</v>
      </c>
      <c r="B1002" s="105"/>
      <c r="C1002" s="107" t="s">
        <v>989</v>
      </c>
      <c r="D1002" s="107" t="s">
        <v>709</v>
      </c>
      <c r="E1002" s="120">
        <v>556129</v>
      </c>
      <c r="F1002" s="120" t="s">
        <v>250</v>
      </c>
      <c r="G1002" s="120">
        <v>528339</v>
      </c>
      <c r="H1002" s="120" t="s">
        <v>250</v>
      </c>
      <c r="I1002" s="120">
        <v>27790</v>
      </c>
      <c r="J1002" s="120">
        <v>0</v>
      </c>
      <c r="K1002" s="120" t="s">
        <v>250</v>
      </c>
      <c r="L1002" s="120" t="s">
        <v>250</v>
      </c>
      <c r="M1002" s="120">
        <v>0</v>
      </c>
      <c r="N1002" s="120" t="s">
        <v>250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18</v>
      </c>
      <c r="B1003" s="105"/>
      <c r="C1003" s="107" t="s">
        <v>990</v>
      </c>
      <c r="D1003" s="107" t="s">
        <v>991</v>
      </c>
      <c r="E1003" s="120">
        <v>0</v>
      </c>
      <c r="F1003" s="120" t="s">
        <v>250</v>
      </c>
      <c r="G1003" s="120">
        <v>0</v>
      </c>
      <c r="H1003" s="120" t="s">
        <v>250</v>
      </c>
      <c r="I1003" s="120">
        <v>0</v>
      </c>
      <c r="J1003" s="120">
        <v>0</v>
      </c>
      <c r="K1003" s="120" t="s">
        <v>250</v>
      </c>
      <c r="L1003" s="120" t="s">
        <v>250</v>
      </c>
      <c r="M1003" s="120">
        <v>0</v>
      </c>
      <c r="N1003" s="120" t="s">
        <v>250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19</v>
      </c>
      <c r="B1004" s="105"/>
      <c r="C1004" s="107" t="s">
        <v>992</v>
      </c>
      <c r="D1004" s="107" t="s">
        <v>783</v>
      </c>
      <c r="E1004" s="120">
        <v>552516.76613100001</v>
      </c>
      <c r="F1004" s="120" t="s">
        <v>250</v>
      </c>
      <c r="G1004" s="120">
        <v>529248.46272099996</v>
      </c>
      <c r="H1004" s="120" t="s">
        <v>250</v>
      </c>
      <c r="I1004" s="120">
        <v>23268.30341</v>
      </c>
      <c r="J1004" s="120">
        <v>0</v>
      </c>
      <c r="K1004" s="120" t="s">
        <v>250</v>
      </c>
      <c r="L1004" s="120" t="s">
        <v>250</v>
      </c>
      <c r="M1004" s="120">
        <v>0</v>
      </c>
      <c r="N1004" s="120" t="s">
        <v>250</v>
      </c>
      <c r="O1004" s="120">
        <v>0</v>
      </c>
      <c r="P1004" s="120">
        <v>0</v>
      </c>
      <c r="Q1004" s="120">
        <v>0</v>
      </c>
      <c r="R1004" s="120"/>
    </row>
    <row r="1005" spans="1:18" ht="15">
      <c r="A1005" s="105">
        <v>20</v>
      </c>
      <c r="B1005" s="105"/>
      <c r="C1005" s="107" t="s">
        <v>993</v>
      </c>
      <c r="D1005" s="107" t="s">
        <v>562</v>
      </c>
      <c r="E1005" s="120">
        <v>4153151.4899999998</v>
      </c>
      <c r="F1005" s="120" t="s">
        <v>250</v>
      </c>
      <c r="G1005" s="120">
        <v>3984714.94</v>
      </c>
      <c r="H1005" s="120" t="s">
        <v>250</v>
      </c>
      <c r="I1005" s="120">
        <v>168174.55</v>
      </c>
      <c r="J1005" s="120">
        <v>262</v>
      </c>
      <c r="K1005" s="120" t="s">
        <v>250</v>
      </c>
      <c r="L1005" s="120" t="s">
        <v>250</v>
      </c>
      <c r="M1005" s="120">
        <v>0</v>
      </c>
      <c r="N1005" s="120" t="s">
        <v>250</v>
      </c>
      <c r="O1005" s="120">
        <v>262</v>
      </c>
      <c r="P1005" s="120">
        <v>262</v>
      </c>
      <c r="Q1005" s="120">
        <v>0</v>
      </c>
      <c r="R1005" s="120"/>
    </row>
    <row r="1006" spans="1:18" ht="15">
      <c r="A1006" s="105">
        <v>21</v>
      </c>
      <c r="B1006" s="105"/>
      <c r="C1006" s="107" t="s">
        <v>250</v>
      </c>
      <c r="D1006" s="107" t="s">
        <v>250</v>
      </c>
      <c r="E1006" s="120" t="s">
        <v>250</v>
      </c>
      <c r="F1006" s="120" t="s">
        <v>250</v>
      </c>
      <c r="G1006" s="120" t="s">
        <v>250</v>
      </c>
      <c r="H1006" s="120" t="s">
        <v>250</v>
      </c>
      <c r="I1006" s="120" t="s">
        <v>250</v>
      </c>
      <c r="J1006" s="120" t="s">
        <v>250</v>
      </c>
      <c r="K1006" s="120" t="s">
        <v>250</v>
      </c>
      <c r="L1006" s="120" t="s">
        <v>250</v>
      </c>
      <c r="M1006" s="120" t="s">
        <v>250</v>
      </c>
      <c r="N1006" s="120" t="s">
        <v>250</v>
      </c>
      <c r="O1006" s="120" t="s">
        <v>250</v>
      </c>
      <c r="P1006" s="120" t="s">
        <v>250</v>
      </c>
      <c r="Q1006" s="120" t="s">
        <v>250</v>
      </c>
      <c r="R1006" s="120"/>
    </row>
    <row r="1007" spans="1:18" ht="15">
      <c r="A1007" s="105">
        <v>22</v>
      </c>
      <c r="B1007" s="105"/>
      <c r="C1007" s="107" t="s">
        <v>250</v>
      </c>
      <c r="D1007" s="107" t="s">
        <v>250</v>
      </c>
      <c r="E1007" s="120" t="s">
        <v>250</v>
      </c>
      <c r="F1007" s="120" t="s">
        <v>250</v>
      </c>
      <c r="G1007" s="120" t="s">
        <v>250</v>
      </c>
      <c r="H1007" s="120" t="s">
        <v>250</v>
      </c>
      <c r="I1007" s="120" t="s">
        <v>250</v>
      </c>
      <c r="J1007" s="120" t="s">
        <v>250</v>
      </c>
      <c r="K1007" s="120" t="s">
        <v>250</v>
      </c>
      <c r="L1007" s="120" t="s">
        <v>250</v>
      </c>
      <c r="M1007" s="120" t="s">
        <v>250</v>
      </c>
      <c r="N1007" s="120" t="s">
        <v>250</v>
      </c>
      <c r="O1007" s="120" t="s">
        <v>250</v>
      </c>
      <c r="P1007" s="120" t="s">
        <v>250</v>
      </c>
      <c r="Q1007" s="120" t="s">
        <v>250</v>
      </c>
      <c r="R1007" s="120"/>
    </row>
    <row r="1008" spans="1:18" ht="15">
      <c r="A1008" s="105">
        <v>23</v>
      </c>
      <c r="B1008" s="105"/>
      <c r="C1008" s="107" t="s">
        <v>250</v>
      </c>
      <c r="D1008" s="107" t="s">
        <v>250</v>
      </c>
      <c r="E1008" s="120" t="s">
        <v>250</v>
      </c>
      <c r="F1008" s="120" t="s">
        <v>250</v>
      </c>
      <c r="G1008" s="120" t="s">
        <v>250</v>
      </c>
      <c r="H1008" s="120" t="s">
        <v>250</v>
      </c>
      <c r="I1008" s="120" t="s">
        <v>250</v>
      </c>
      <c r="J1008" s="120" t="s">
        <v>250</v>
      </c>
      <c r="K1008" s="120" t="s">
        <v>250</v>
      </c>
      <c r="L1008" s="120" t="s">
        <v>250</v>
      </c>
      <c r="M1008" s="120" t="s">
        <v>250</v>
      </c>
      <c r="N1008" s="120" t="s">
        <v>250</v>
      </c>
      <c r="O1008" s="120" t="s">
        <v>250</v>
      </c>
      <c r="P1008" s="120" t="s">
        <v>250</v>
      </c>
      <c r="Q1008" s="120" t="s">
        <v>250</v>
      </c>
      <c r="R1008" s="120"/>
    </row>
    <row r="1009" spans="1:18" ht="15">
      <c r="A1009" s="105">
        <v>24</v>
      </c>
      <c r="B1009" s="105"/>
      <c r="C1009" s="107" t="s">
        <v>250</v>
      </c>
      <c r="D1009" s="107" t="s">
        <v>250</v>
      </c>
      <c r="E1009" s="120" t="s">
        <v>250</v>
      </c>
      <c r="F1009" s="120" t="s">
        <v>250</v>
      </c>
      <c r="G1009" s="120" t="s">
        <v>250</v>
      </c>
      <c r="H1009" s="120" t="s">
        <v>250</v>
      </c>
      <c r="I1009" s="120" t="s">
        <v>250</v>
      </c>
      <c r="J1009" s="120" t="s">
        <v>250</v>
      </c>
      <c r="K1009" s="120" t="s">
        <v>250</v>
      </c>
      <c r="L1009" s="120" t="s">
        <v>250</v>
      </c>
      <c r="M1009" s="120" t="s">
        <v>250</v>
      </c>
      <c r="N1009" s="120" t="s">
        <v>250</v>
      </c>
      <c r="O1009" s="120" t="s">
        <v>250</v>
      </c>
      <c r="P1009" s="120" t="s">
        <v>250</v>
      </c>
      <c r="Q1009" s="120" t="s">
        <v>250</v>
      </c>
      <c r="R1009" s="120"/>
    </row>
    <row r="1010" spans="1:18" ht="15">
      <c r="A1010" s="105">
        <v>25</v>
      </c>
      <c r="B1010" s="105"/>
      <c r="C1010" s="107" t="s">
        <v>250</v>
      </c>
      <c r="D1010" s="107" t="s">
        <v>250</v>
      </c>
      <c r="E1010" s="120" t="s">
        <v>250</v>
      </c>
      <c r="F1010" s="120" t="s">
        <v>250</v>
      </c>
      <c r="G1010" s="120" t="s">
        <v>250</v>
      </c>
      <c r="H1010" s="120" t="s">
        <v>250</v>
      </c>
      <c r="I1010" s="120" t="s">
        <v>250</v>
      </c>
      <c r="J1010" s="120" t="s">
        <v>250</v>
      </c>
      <c r="K1010" s="120" t="s">
        <v>250</v>
      </c>
      <c r="L1010" s="120" t="s">
        <v>250</v>
      </c>
      <c r="M1010" s="120" t="s">
        <v>250</v>
      </c>
      <c r="N1010" s="120" t="s">
        <v>250</v>
      </c>
      <c r="O1010" s="120" t="s">
        <v>250</v>
      </c>
      <c r="P1010" s="120" t="s">
        <v>250</v>
      </c>
      <c r="Q1010" s="120" t="s">
        <v>250</v>
      </c>
      <c r="R1010" s="120"/>
    </row>
    <row r="1011" spans="1:18" ht="15">
      <c r="A1011" s="105" t="s">
        <v>250</v>
      </c>
      <c r="B1011" s="105"/>
      <c r="C1011" s="107" t="s">
        <v>250</v>
      </c>
      <c r="D1011" s="107" t="s">
        <v>250</v>
      </c>
      <c r="E1011" s="120" t="s">
        <v>250</v>
      </c>
      <c r="F1011" s="120" t="s">
        <v>250</v>
      </c>
      <c r="G1011" s="120" t="s">
        <v>250</v>
      </c>
      <c r="H1011" s="120" t="s">
        <v>250</v>
      </c>
      <c r="I1011" s="120" t="s">
        <v>250</v>
      </c>
      <c r="J1011" s="120" t="s">
        <v>250</v>
      </c>
      <c r="K1011" s="120" t="s">
        <v>250</v>
      </c>
      <c r="L1011" s="120" t="s">
        <v>250</v>
      </c>
      <c r="M1011" s="120" t="s">
        <v>250</v>
      </c>
      <c r="N1011" s="120" t="s">
        <v>250</v>
      </c>
      <c r="O1011" s="120" t="s">
        <v>250</v>
      </c>
      <c r="P1011" s="120" t="s">
        <v>250</v>
      </c>
      <c r="Q1011" s="120" t="s">
        <v>250</v>
      </c>
      <c r="R1011" s="120"/>
    </row>
    <row r="1012" spans="1:18" ht="15">
      <c r="A1012" s="105" t="s">
        <v>250</v>
      </c>
      <c r="B1012" s="105"/>
      <c r="C1012" s="107" t="s">
        <v>994</v>
      </c>
      <c r="D1012" s="107" t="s">
        <v>250</v>
      </c>
      <c r="E1012" s="120" t="s">
        <v>250</v>
      </c>
      <c r="F1012" s="120" t="s">
        <v>250</v>
      </c>
      <c r="G1012" s="120" t="s">
        <v>250</v>
      </c>
      <c r="H1012" s="120" t="s">
        <v>250</v>
      </c>
      <c r="I1012" s="120" t="s">
        <v>250</v>
      </c>
      <c r="J1012" s="120" t="s">
        <v>250</v>
      </c>
      <c r="K1012" s="120" t="s">
        <v>250</v>
      </c>
      <c r="L1012" s="120" t="s">
        <v>250</v>
      </c>
      <c r="M1012" s="120" t="s">
        <v>250</v>
      </c>
      <c r="N1012" s="120" t="s">
        <v>250</v>
      </c>
      <c r="O1012" s="120" t="s">
        <v>250</v>
      </c>
      <c r="P1012" s="120" t="s">
        <v>250</v>
      </c>
      <c r="Q1012" s="120" t="s">
        <v>250</v>
      </c>
      <c r="R1012" s="120"/>
    </row>
    <row r="1013" spans="1:18" ht="15">
      <c r="A1013" s="105" t="s">
        <v>250</v>
      </c>
      <c r="B1013" s="105"/>
      <c r="C1013" s="107" t="s">
        <v>917</v>
      </c>
      <c r="D1013" s="107" t="s">
        <v>250</v>
      </c>
      <c r="E1013" s="120" t="s">
        <v>250</v>
      </c>
      <c r="F1013" s="120" t="s">
        <v>250</v>
      </c>
      <c r="G1013" s="120" t="s">
        <v>250</v>
      </c>
      <c r="H1013" s="120" t="s">
        <v>250</v>
      </c>
      <c r="I1013" s="120" t="s">
        <v>250</v>
      </c>
      <c r="J1013" s="120" t="s">
        <v>250</v>
      </c>
      <c r="K1013" s="120" t="s">
        <v>250</v>
      </c>
      <c r="L1013" s="120" t="s">
        <v>250</v>
      </c>
      <c r="M1013" s="120" t="s">
        <v>250</v>
      </c>
      <c r="N1013" s="120" t="s">
        <v>250</v>
      </c>
      <c r="O1013" s="120" t="s">
        <v>250</v>
      </c>
      <c r="P1013" s="120" t="s">
        <v>250</v>
      </c>
      <c r="Q1013" s="120" t="s">
        <v>250</v>
      </c>
      <c r="R1013" s="120"/>
    </row>
    <row r="1014" spans="1:18" ht="15">
      <c r="A1014" s="105">
        <v>1</v>
      </c>
      <c r="B1014" s="105"/>
      <c r="C1014" s="107" t="s">
        <v>995</v>
      </c>
      <c r="D1014" s="107" t="s">
        <v>295</v>
      </c>
      <c r="E1014" s="120">
        <v>10406576761.039995</v>
      </c>
      <c r="F1014" s="120" t="s">
        <v>250</v>
      </c>
      <c r="G1014" s="120">
        <v>9729322060.9992676</v>
      </c>
      <c r="H1014" s="120" t="s">
        <v>250</v>
      </c>
      <c r="I1014" s="120">
        <v>530986380.82948148</v>
      </c>
      <c r="J1014" s="120">
        <v>146268319.21124661</v>
      </c>
      <c r="K1014" s="120" t="s">
        <v>250</v>
      </c>
      <c r="L1014" s="120" t="s">
        <v>250</v>
      </c>
      <c r="M1014" s="120">
        <v>0</v>
      </c>
      <c r="N1014" s="120" t="s">
        <v>250</v>
      </c>
      <c r="O1014" s="120">
        <v>146268319.21124661</v>
      </c>
      <c r="P1014" s="120">
        <v>76471056.205838025</v>
      </c>
      <c r="Q1014" s="120">
        <v>69797263.00540857</v>
      </c>
      <c r="R1014" s="120"/>
    </row>
    <row r="1015" spans="1:18" ht="15">
      <c r="A1015" s="105">
        <v>2</v>
      </c>
      <c r="B1015" s="105"/>
      <c r="C1015" s="107" t="s">
        <v>996</v>
      </c>
      <c r="D1015" s="107" t="s">
        <v>297</v>
      </c>
      <c r="E1015" s="120">
        <v>9729322060.9992676</v>
      </c>
      <c r="F1015" s="120" t="s">
        <v>250</v>
      </c>
      <c r="G1015" s="120">
        <v>9729322060.9992676</v>
      </c>
      <c r="H1015" s="120" t="s">
        <v>250</v>
      </c>
      <c r="I1015" s="120">
        <v>0</v>
      </c>
      <c r="J1015" s="120">
        <v>0</v>
      </c>
      <c r="K1015" s="120" t="s">
        <v>250</v>
      </c>
      <c r="L1015" s="120" t="s">
        <v>250</v>
      </c>
      <c r="M1015" s="120">
        <v>0</v>
      </c>
      <c r="N1015" s="120" t="s">
        <v>250</v>
      </c>
      <c r="O1015" s="120">
        <v>0</v>
      </c>
      <c r="P1015" s="120">
        <v>0</v>
      </c>
      <c r="Q1015" s="120">
        <v>0</v>
      </c>
      <c r="R1015" s="120"/>
    </row>
    <row r="1016" spans="1:18" ht="15">
      <c r="A1016" s="105">
        <v>3</v>
      </c>
      <c r="B1016" s="105"/>
      <c r="C1016" s="107" t="s">
        <v>997</v>
      </c>
      <c r="D1016" s="107" t="s">
        <v>418</v>
      </c>
      <c r="E1016" s="120">
        <v>168469070.26000002</v>
      </c>
      <c r="F1016" s="120" t="s">
        <v>250</v>
      </c>
      <c r="G1016" s="120">
        <v>158563453.38557369</v>
      </c>
      <c r="H1016" s="120" t="s">
        <v>250</v>
      </c>
      <c r="I1016" s="120">
        <v>7924532.8665841119</v>
      </c>
      <c r="J1016" s="120">
        <v>1981084.0078422041</v>
      </c>
      <c r="K1016" s="120" t="s">
        <v>250</v>
      </c>
      <c r="L1016" s="120" t="s">
        <v>250</v>
      </c>
      <c r="M1016" s="120">
        <v>0</v>
      </c>
      <c r="N1016" s="120" t="s">
        <v>250</v>
      </c>
      <c r="O1016" s="120">
        <v>1981084.0078422041</v>
      </c>
      <c r="P1016" s="120">
        <v>1033682.5104867166</v>
      </c>
      <c r="Q1016" s="120">
        <v>947401.49735548743</v>
      </c>
      <c r="R1016" s="120"/>
    </row>
    <row r="1017" spans="1:18" ht="15">
      <c r="A1017" s="105">
        <v>4</v>
      </c>
      <c r="B1017" s="105"/>
      <c r="C1017" s="107" t="s">
        <v>998</v>
      </c>
      <c r="D1017" s="107" t="s">
        <v>443</v>
      </c>
      <c r="E1017" s="120">
        <v>5508203737.4299994</v>
      </c>
      <c r="F1017" s="120" t="s">
        <v>250</v>
      </c>
      <c r="G1017" s="120">
        <v>5167317467.5569715</v>
      </c>
      <c r="H1017" s="120" t="s">
        <v>250</v>
      </c>
      <c r="I1017" s="120">
        <v>234016719.55393469</v>
      </c>
      <c r="J1017" s="120">
        <v>106869550.31909272</v>
      </c>
      <c r="K1017" s="120" t="s">
        <v>250</v>
      </c>
      <c r="L1017" s="120" t="s">
        <v>250</v>
      </c>
      <c r="M1017" s="120">
        <v>0</v>
      </c>
      <c r="N1017" s="120" t="s">
        <v>250</v>
      </c>
      <c r="O1017" s="120">
        <v>106869550.31909272</v>
      </c>
      <c r="P1017" s="120">
        <v>54210215.920065038</v>
      </c>
      <c r="Q1017" s="120">
        <v>52659334.39902769</v>
      </c>
      <c r="R1017" s="120"/>
    </row>
    <row r="1018" spans="1:18" ht="15">
      <c r="A1018" s="105">
        <v>5</v>
      </c>
      <c r="B1018" s="105"/>
      <c r="C1018" s="107" t="s">
        <v>999</v>
      </c>
      <c r="D1018" s="107" t="s">
        <v>901</v>
      </c>
      <c r="E1018" s="120">
        <v>110556127.42</v>
      </c>
      <c r="F1018" s="120" t="s">
        <v>250</v>
      </c>
      <c r="G1018" s="120">
        <v>104055666.29884192</v>
      </c>
      <c r="H1018" s="120" t="s">
        <v>250</v>
      </c>
      <c r="I1018" s="120">
        <v>5200394.7311512334</v>
      </c>
      <c r="J1018" s="120">
        <v>1300066.3900068407</v>
      </c>
      <c r="K1018" s="120" t="s">
        <v>250</v>
      </c>
      <c r="L1018" s="120" t="s">
        <v>250</v>
      </c>
      <c r="M1018" s="120">
        <v>0</v>
      </c>
      <c r="N1018" s="120" t="s">
        <v>250</v>
      </c>
      <c r="O1018" s="120">
        <v>1300066.3900068407</v>
      </c>
      <c r="P1018" s="120">
        <v>678343.71712757472</v>
      </c>
      <c r="Q1018" s="120">
        <v>621722.67287926597</v>
      </c>
      <c r="R1018" s="120"/>
    </row>
    <row r="1019" spans="1:18" ht="15">
      <c r="A1019" s="105">
        <v>6</v>
      </c>
      <c r="B1019" s="105"/>
      <c r="C1019" s="107" t="s">
        <v>1000</v>
      </c>
      <c r="D1019" s="107" t="s">
        <v>448</v>
      </c>
      <c r="E1019" s="120">
        <v>43918793.959999993</v>
      </c>
      <c r="F1019" s="120" t="s">
        <v>250</v>
      </c>
      <c r="G1019" s="120">
        <v>41200791.038537301</v>
      </c>
      <c r="H1019" s="120" t="s">
        <v>250</v>
      </c>
      <c r="I1019" s="120">
        <v>1865895.413316668</v>
      </c>
      <c r="J1019" s="120">
        <v>852107.5081460228</v>
      </c>
      <c r="K1019" s="120" t="s">
        <v>250</v>
      </c>
      <c r="L1019" s="120" t="s">
        <v>250</v>
      </c>
      <c r="M1019" s="120">
        <v>0</v>
      </c>
      <c r="N1019" s="120" t="s">
        <v>250</v>
      </c>
      <c r="O1019" s="120">
        <v>852107.5081460228</v>
      </c>
      <c r="P1019" s="120">
        <v>432236.608704546</v>
      </c>
      <c r="Q1019" s="120">
        <v>419870.89944147679</v>
      </c>
      <c r="R1019" s="120"/>
    </row>
    <row r="1020" spans="1:18" ht="15">
      <c r="A1020" s="105">
        <v>7</v>
      </c>
      <c r="B1020" s="105"/>
      <c r="C1020" s="107" t="s">
        <v>1001</v>
      </c>
      <c r="D1020" s="107" t="s">
        <v>451</v>
      </c>
      <c r="E1020" s="120">
        <v>1082524304.609998</v>
      </c>
      <c r="F1020" s="120" t="s">
        <v>250</v>
      </c>
      <c r="G1020" s="120">
        <v>1015694341.6417911</v>
      </c>
      <c r="H1020" s="120" t="s">
        <v>250</v>
      </c>
      <c r="I1020" s="120">
        <v>45878435.37246602</v>
      </c>
      <c r="J1020" s="120">
        <v>20951527.59574081</v>
      </c>
      <c r="K1020" s="120" t="s">
        <v>250</v>
      </c>
      <c r="L1020" s="120" t="s">
        <v>250</v>
      </c>
      <c r="M1020" s="120">
        <v>0</v>
      </c>
      <c r="N1020" s="120" t="s">
        <v>250</v>
      </c>
      <c r="O1020" s="120">
        <v>20951527.59574081</v>
      </c>
      <c r="P1020" s="120">
        <v>10627787.161348211</v>
      </c>
      <c r="Q1020" s="120">
        <v>10323740.434392598</v>
      </c>
      <c r="R1020" s="120"/>
    </row>
    <row r="1021" spans="1:18" ht="15">
      <c r="A1021" s="105">
        <v>8</v>
      </c>
      <c r="B1021" s="105"/>
      <c r="C1021" s="107" t="s">
        <v>1002</v>
      </c>
      <c r="D1021" s="107" t="s">
        <v>1003</v>
      </c>
      <c r="E1021" s="120">
        <v>1225357382.8299999</v>
      </c>
      <c r="F1021" s="120" t="s">
        <v>250</v>
      </c>
      <c r="G1021" s="120">
        <v>1169694019.427686</v>
      </c>
      <c r="H1021" s="120" t="s">
        <v>250</v>
      </c>
      <c r="I1021" s="120">
        <v>53877186.888726115</v>
      </c>
      <c r="J1021" s="120">
        <v>1786176.5135878879</v>
      </c>
      <c r="K1021" s="120" t="s">
        <v>250</v>
      </c>
      <c r="L1021" s="120" t="s">
        <v>250</v>
      </c>
      <c r="M1021" s="120">
        <v>0</v>
      </c>
      <c r="N1021" s="120" t="s">
        <v>250</v>
      </c>
      <c r="O1021" s="120">
        <v>1786176.5135878879</v>
      </c>
      <c r="P1021" s="120">
        <v>1428630.4256300889</v>
      </c>
      <c r="Q1021" s="120">
        <v>357546.08795779891</v>
      </c>
      <c r="R1021" s="120"/>
    </row>
    <row r="1022" spans="1:18" ht="15">
      <c r="A1022" s="105">
        <v>9</v>
      </c>
      <c r="B1022" s="105"/>
      <c r="C1022" s="107" t="s">
        <v>1004</v>
      </c>
      <c r="D1022" s="107" t="s">
        <v>483</v>
      </c>
      <c r="E1022" s="120">
        <v>74100919.25999999</v>
      </c>
      <c r="F1022" s="120" t="s">
        <v>250</v>
      </c>
      <c r="G1022" s="120">
        <v>0</v>
      </c>
      <c r="H1022" s="120" t="s">
        <v>250</v>
      </c>
      <c r="I1022" s="120">
        <v>74100919.25999999</v>
      </c>
      <c r="J1022" s="120">
        <v>0</v>
      </c>
      <c r="K1022" s="120" t="s">
        <v>250</v>
      </c>
      <c r="L1022" s="120" t="s">
        <v>250</v>
      </c>
      <c r="M1022" s="120">
        <v>0</v>
      </c>
      <c r="N1022" s="120" t="s">
        <v>250</v>
      </c>
      <c r="O1022" s="120">
        <v>0</v>
      </c>
      <c r="P1022" s="120">
        <v>0</v>
      </c>
      <c r="Q1022" s="120">
        <v>0</v>
      </c>
      <c r="R1022" s="120"/>
    </row>
    <row r="1023" spans="1:18" ht="15">
      <c r="A1023" s="105">
        <v>10</v>
      </c>
      <c r="B1023" s="105"/>
      <c r="C1023" s="107" t="s">
        <v>1005</v>
      </c>
      <c r="D1023" s="107" t="s">
        <v>1006</v>
      </c>
      <c r="E1023" s="120">
        <v>82331348.669999987</v>
      </c>
      <c r="F1023" s="120" t="s">
        <v>250</v>
      </c>
      <c r="G1023" s="120">
        <v>8230429.410000002</v>
      </c>
      <c r="H1023" s="120" t="s">
        <v>250</v>
      </c>
      <c r="I1023" s="120">
        <v>74100919.25999999</v>
      </c>
      <c r="J1023" s="120">
        <v>0</v>
      </c>
      <c r="K1023" s="120" t="s">
        <v>250</v>
      </c>
      <c r="L1023" s="120" t="s">
        <v>250</v>
      </c>
      <c r="M1023" s="120">
        <v>0</v>
      </c>
      <c r="N1023" s="120" t="s">
        <v>250</v>
      </c>
      <c r="O1023" s="120">
        <v>0</v>
      </c>
      <c r="P1023" s="120">
        <v>0</v>
      </c>
      <c r="Q1023" s="120">
        <v>0</v>
      </c>
      <c r="R1023" s="120"/>
    </row>
    <row r="1024" spans="1:18" ht="15">
      <c r="A1024" s="105">
        <v>11</v>
      </c>
      <c r="B1024" s="105"/>
      <c r="C1024" s="107" t="s">
        <v>415</v>
      </c>
      <c r="D1024" s="107" t="s">
        <v>501</v>
      </c>
      <c r="E1024" s="120">
        <v>2198713704.1299996</v>
      </c>
      <c r="F1024" s="120" t="s">
        <v>250</v>
      </c>
      <c r="G1024" s="120">
        <v>2091205162.5499995</v>
      </c>
      <c r="H1024" s="120" t="s">
        <v>250</v>
      </c>
      <c r="I1024" s="120">
        <v>103980070.58</v>
      </c>
      <c r="J1024" s="120">
        <v>3528471</v>
      </c>
      <c r="K1024" s="120" t="s">
        <v>250</v>
      </c>
      <c r="L1024" s="120" t="s">
        <v>250</v>
      </c>
      <c r="M1024" s="120">
        <v>0</v>
      </c>
      <c r="N1024" s="120" t="s">
        <v>250</v>
      </c>
      <c r="O1024" s="120">
        <v>3528471</v>
      </c>
      <c r="P1024" s="120">
        <v>3501619</v>
      </c>
      <c r="Q1024" s="120">
        <v>26852</v>
      </c>
      <c r="R1024" s="120"/>
    </row>
    <row r="1025" spans="1:18" ht="15">
      <c r="A1025" s="105">
        <v>12</v>
      </c>
      <c r="B1025" s="105"/>
      <c r="C1025" s="107" t="s">
        <v>1007</v>
      </c>
      <c r="D1025" s="107" t="s">
        <v>465</v>
      </c>
      <c r="E1025" s="120">
        <v>2094626099.9399996</v>
      </c>
      <c r="F1025" s="120" t="s">
        <v>250</v>
      </c>
      <c r="G1025" s="120">
        <v>2091097628.9399996</v>
      </c>
      <c r="H1025" s="120" t="s">
        <v>250</v>
      </c>
      <c r="I1025" s="120">
        <v>0</v>
      </c>
      <c r="J1025" s="120">
        <v>3528471</v>
      </c>
      <c r="K1025" s="120" t="s">
        <v>250</v>
      </c>
      <c r="L1025" s="120" t="s">
        <v>250</v>
      </c>
      <c r="M1025" s="120">
        <v>0</v>
      </c>
      <c r="N1025" s="120" t="s">
        <v>250</v>
      </c>
      <c r="O1025" s="120">
        <v>3528471</v>
      </c>
      <c r="P1025" s="120">
        <v>3501619</v>
      </c>
      <c r="Q1025" s="120">
        <v>26852</v>
      </c>
      <c r="R1025" s="120"/>
    </row>
    <row r="1026" spans="1:18" ht="15">
      <c r="A1026" s="105">
        <v>13</v>
      </c>
      <c r="B1026" s="105"/>
      <c r="C1026" s="107" t="s">
        <v>1008</v>
      </c>
      <c r="D1026" s="107" t="s">
        <v>467</v>
      </c>
      <c r="E1026" s="120">
        <v>248976294.63999987</v>
      </c>
      <c r="F1026" s="120" t="s">
        <v>250</v>
      </c>
      <c r="G1026" s="120">
        <v>234782983.76422253</v>
      </c>
      <c r="H1026" s="120" t="s">
        <v>250</v>
      </c>
      <c r="I1026" s="120">
        <v>11354705.107879233</v>
      </c>
      <c r="J1026" s="120">
        <v>2838605.7678981014</v>
      </c>
      <c r="K1026" s="120" t="s">
        <v>250</v>
      </c>
      <c r="L1026" s="120" t="s">
        <v>250</v>
      </c>
      <c r="M1026" s="120">
        <v>0</v>
      </c>
      <c r="N1026" s="120" t="s">
        <v>250</v>
      </c>
      <c r="O1026" s="120">
        <v>2838605.7678981014</v>
      </c>
      <c r="P1026" s="120">
        <v>1481116.9666847857</v>
      </c>
      <c r="Q1026" s="120">
        <v>1357488.8012133157</v>
      </c>
      <c r="R1026" s="120"/>
    </row>
    <row r="1027" spans="1:18" ht="15">
      <c r="A1027" s="105">
        <v>14</v>
      </c>
      <c r="B1027" s="105"/>
      <c r="C1027" s="107" t="s">
        <v>1009</v>
      </c>
      <c r="D1027" s="107" t="s">
        <v>469</v>
      </c>
      <c r="E1027" s="120">
        <v>144368.66</v>
      </c>
      <c r="F1027" s="120" t="s">
        <v>250</v>
      </c>
      <c r="G1027" s="120">
        <v>144368.66</v>
      </c>
      <c r="H1027" s="120" t="s">
        <v>250</v>
      </c>
      <c r="I1027" s="120">
        <v>0</v>
      </c>
      <c r="J1027" s="120">
        <v>0</v>
      </c>
      <c r="K1027" s="120" t="s">
        <v>250</v>
      </c>
      <c r="L1027" s="120" t="s">
        <v>250</v>
      </c>
      <c r="M1027" s="120">
        <v>0</v>
      </c>
      <c r="N1027" s="120" t="s">
        <v>250</v>
      </c>
      <c r="O1027" s="120">
        <v>0</v>
      </c>
      <c r="P1027" s="120">
        <v>0</v>
      </c>
      <c r="Q1027" s="120">
        <v>0</v>
      </c>
      <c r="R1027" s="120"/>
    </row>
    <row r="1028" spans="1:18" ht="15">
      <c r="A1028" s="105">
        <v>15</v>
      </c>
      <c r="B1028" s="105"/>
      <c r="C1028" s="107" t="s">
        <v>1010</v>
      </c>
      <c r="D1028" s="107" t="s">
        <v>471</v>
      </c>
      <c r="E1028" s="120">
        <v>105007944.4999999</v>
      </c>
      <c r="F1028" s="120" t="s">
        <v>250</v>
      </c>
      <c r="G1028" s="120">
        <v>98174081.108871296</v>
      </c>
      <c r="H1028" s="120" t="s">
        <v>250</v>
      </c>
      <c r="I1028" s="120">
        <v>5357937.5512938388</v>
      </c>
      <c r="J1028" s="120">
        <v>1475925.8398347599</v>
      </c>
      <c r="K1028" s="120" t="s">
        <v>250</v>
      </c>
      <c r="L1028" s="120" t="s">
        <v>250</v>
      </c>
      <c r="M1028" s="120">
        <v>0</v>
      </c>
      <c r="N1028" s="120" t="s">
        <v>250</v>
      </c>
      <c r="O1028" s="120">
        <v>1475925.8398347599</v>
      </c>
      <c r="P1028" s="120">
        <v>771633.99745263741</v>
      </c>
      <c r="Q1028" s="120">
        <v>704291.84238212253</v>
      </c>
      <c r="R1028" s="120"/>
    </row>
    <row r="1029" spans="1:18" ht="15">
      <c r="A1029" s="105">
        <v>16</v>
      </c>
      <c r="B1029" s="105"/>
      <c r="C1029" s="107" t="s">
        <v>1011</v>
      </c>
      <c r="D1029" s="107" t="s">
        <v>477</v>
      </c>
      <c r="E1029" s="120">
        <v>6634646835.9999943</v>
      </c>
      <c r="F1029" s="120" t="s">
        <v>250</v>
      </c>
      <c r="G1029" s="120">
        <v>6224212600.237298</v>
      </c>
      <c r="H1029" s="120" t="s">
        <v>250</v>
      </c>
      <c r="I1029" s="120">
        <v>281761050.33971727</v>
      </c>
      <c r="J1029" s="120">
        <v>128673185.42297955</v>
      </c>
      <c r="K1029" s="120" t="s">
        <v>250</v>
      </c>
      <c r="L1029" s="120" t="s">
        <v>250</v>
      </c>
      <c r="M1029" s="120">
        <v>0</v>
      </c>
      <c r="N1029" s="120" t="s">
        <v>250</v>
      </c>
      <c r="O1029" s="120">
        <v>128673185.42297955</v>
      </c>
      <c r="P1029" s="120">
        <v>65270239.690117784</v>
      </c>
      <c r="Q1029" s="120">
        <v>63402945.732861765</v>
      </c>
      <c r="R1029" s="120"/>
    </row>
    <row r="1030" spans="1:18" ht="15">
      <c r="A1030" s="105">
        <v>17</v>
      </c>
      <c r="B1030" s="105"/>
      <c r="C1030" s="107" t="s">
        <v>335</v>
      </c>
      <c r="D1030" s="107" t="s">
        <v>497</v>
      </c>
      <c r="E1030" s="120">
        <v>6649726608.4099979</v>
      </c>
      <c r="F1030" s="120" t="s">
        <v>250</v>
      </c>
      <c r="G1030" s="120">
        <v>6224502984.5290537</v>
      </c>
      <c r="H1030" s="120" t="s">
        <v>250</v>
      </c>
      <c r="I1030" s="120">
        <v>287108557.9511829</v>
      </c>
      <c r="J1030" s="120">
        <v>138115065.92976061</v>
      </c>
      <c r="K1030" s="120" t="s">
        <v>250</v>
      </c>
      <c r="L1030" s="120" t="s">
        <v>250</v>
      </c>
      <c r="M1030" s="120">
        <v>0</v>
      </c>
      <c r="N1030" s="120" t="s">
        <v>250</v>
      </c>
      <c r="O1030" s="120">
        <v>138115065.92976061</v>
      </c>
      <c r="P1030" s="120">
        <v>70059689.813523144</v>
      </c>
      <c r="Q1030" s="120">
        <v>68055376.116237462</v>
      </c>
      <c r="R1030" s="120"/>
    </row>
    <row r="1031" spans="1:18" ht="15">
      <c r="A1031" s="105">
        <v>18</v>
      </c>
      <c r="B1031" s="105"/>
      <c r="C1031" s="107" t="s">
        <v>356</v>
      </c>
      <c r="D1031" s="107" t="s">
        <v>1012</v>
      </c>
      <c r="E1031" s="120">
        <v>1307688731.5</v>
      </c>
      <c r="F1031" s="120" t="s">
        <v>250</v>
      </c>
      <c r="G1031" s="120">
        <v>1177924448.8376861</v>
      </c>
      <c r="H1031" s="120" t="s">
        <v>250</v>
      </c>
      <c r="I1031" s="120">
        <v>127978106.14872611</v>
      </c>
      <c r="J1031" s="120">
        <v>1786176.5135878879</v>
      </c>
      <c r="K1031" s="120" t="s">
        <v>250</v>
      </c>
      <c r="L1031" s="120" t="s">
        <v>250</v>
      </c>
      <c r="M1031" s="120">
        <v>0</v>
      </c>
      <c r="N1031" s="120" t="s">
        <v>250</v>
      </c>
      <c r="O1031" s="120">
        <v>1786176.5135878879</v>
      </c>
      <c r="P1031" s="120">
        <v>1428630.4256300889</v>
      </c>
      <c r="Q1031" s="120">
        <v>357546.08795779891</v>
      </c>
      <c r="R1031" s="120"/>
    </row>
    <row r="1032" spans="1:18" ht="15">
      <c r="A1032" s="105">
        <v>19</v>
      </c>
      <c r="B1032" s="105"/>
      <c r="C1032" s="107" t="s">
        <v>1013</v>
      </c>
      <c r="D1032" s="107" t="s">
        <v>499</v>
      </c>
      <c r="E1032" s="120">
        <v>1305902554.986412</v>
      </c>
      <c r="F1032" s="120" t="s">
        <v>250</v>
      </c>
      <c r="G1032" s="120">
        <v>1177924448.8376861</v>
      </c>
      <c r="H1032" s="120" t="s">
        <v>250</v>
      </c>
      <c r="I1032" s="120">
        <v>127978106.14872611</v>
      </c>
      <c r="J1032" s="120">
        <v>0</v>
      </c>
      <c r="K1032" s="120" t="s">
        <v>250</v>
      </c>
      <c r="L1032" s="120" t="s">
        <v>250</v>
      </c>
      <c r="M1032" s="120">
        <v>0</v>
      </c>
      <c r="N1032" s="120" t="s">
        <v>250</v>
      </c>
      <c r="O1032" s="120">
        <v>0</v>
      </c>
      <c r="P1032" s="120">
        <v>0</v>
      </c>
      <c r="Q1032" s="120">
        <v>0</v>
      </c>
      <c r="R1032" s="120"/>
    </row>
    <row r="1033" spans="1:18" ht="15">
      <c r="A1033" s="105">
        <v>20</v>
      </c>
      <c r="B1033" s="105"/>
      <c r="C1033" s="107" t="s">
        <v>1014</v>
      </c>
      <c r="D1033" s="107" t="s">
        <v>504</v>
      </c>
      <c r="E1033" s="120">
        <v>58969198</v>
      </c>
      <c r="F1033" s="120" t="s">
        <v>250</v>
      </c>
      <c r="G1033" s="120">
        <v>54828463.722530581</v>
      </c>
      <c r="H1033" s="120" t="s">
        <v>250</v>
      </c>
      <c r="I1033" s="120">
        <v>3426041.9305281108</v>
      </c>
      <c r="J1033" s="120">
        <v>714692.34694130882</v>
      </c>
      <c r="K1033" s="120" t="s">
        <v>250</v>
      </c>
      <c r="L1033" s="120" t="s">
        <v>250</v>
      </c>
      <c r="M1033" s="120">
        <v>0</v>
      </c>
      <c r="N1033" s="120" t="s">
        <v>250</v>
      </c>
      <c r="O1033" s="120">
        <v>714692.34694130882</v>
      </c>
      <c r="P1033" s="120">
        <v>370346.24520884885</v>
      </c>
      <c r="Q1033" s="120">
        <v>344346.10173246003</v>
      </c>
      <c r="R1033" s="120"/>
    </row>
    <row r="1034" spans="1:18" ht="15">
      <c r="A1034" s="105">
        <v>21</v>
      </c>
      <c r="B1034" s="105"/>
      <c r="C1034" s="107" t="s">
        <v>1015</v>
      </c>
      <c r="D1034" s="107" t="s">
        <v>509</v>
      </c>
      <c r="E1034" s="120">
        <v>11178891.589999989</v>
      </c>
      <c r="F1034" s="120" t="s">
        <v>250</v>
      </c>
      <c r="G1034" s="120">
        <v>10474744.808869541</v>
      </c>
      <c r="H1034" s="120" t="s">
        <v>250</v>
      </c>
      <c r="I1034" s="120">
        <v>555564.29908043542</v>
      </c>
      <c r="J1034" s="120">
        <v>148582.48205001355</v>
      </c>
      <c r="K1034" s="120" t="s">
        <v>250</v>
      </c>
      <c r="L1034" s="120" t="s">
        <v>250</v>
      </c>
      <c r="M1034" s="120">
        <v>0</v>
      </c>
      <c r="N1034" s="120" t="s">
        <v>250</v>
      </c>
      <c r="O1034" s="120">
        <v>148582.48205001355</v>
      </c>
      <c r="P1034" s="120">
        <v>77635.563726891458</v>
      </c>
      <c r="Q1034" s="120">
        <v>70946.91832312211</v>
      </c>
      <c r="R1034" s="120"/>
    </row>
    <row r="1035" spans="1:18" ht="15">
      <c r="A1035" s="105">
        <v>22</v>
      </c>
      <c r="B1035" s="105"/>
      <c r="C1035" s="107" t="s">
        <v>1016</v>
      </c>
      <c r="D1035" s="107" t="s">
        <v>511</v>
      </c>
      <c r="E1035" s="120">
        <v>1570461802.2427361</v>
      </c>
      <c r="F1035" s="120" t="s">
        <v>250</v>
      </c>
      <c r="G1035" s="120">
        <v>1570461802.2427361</v>
      </c>
      <c r="H1035" s="120" t="s">
        <v>250</v>
      </c>
      <c r="I1035" s="120">
        <v>0</v>
      </c>
      <c r="J1035" s="120">
        <v>0</v>
      </c>
      <c r="K1035" s="120" t="s">
        <v>250</v>
      </c>
      <c r="L1035" s="120" t="s">
        <v>250</v>
      </c>
      <c r="M1035" s="120">
        <v>0</v>
      </c>
      <c r="N1035" s="120" t="s">
        <v>250</v>
      </c>
      <c r="O1035" s="120">
        <v>0</v>
      </c>
      <c r="P1035" s="120">
        <v>0</v>
      </c>
      <c r="Q1035" s="120">
        <v>0</v>
      </c>
      <c r="R1035" s="120"/>
    </row>
    <row r="1036" spans="1:18" ht="15">
      <c r="A1036" s="105">
        <v>23</v>
      </c>
      <c r="B1036" s="105"/>
      <c r="C1036" s="107" t="s">
        <v>1017</v>
      </c>
      <c r="D1036" s="107" t="s">
        <v>2534</v>
      </c>
      <c r="E1036" s="120">
        <v>2634233.4671336957</v>
      </c>
      <c r="F1036" s="120" t="s">
        <v>250</v>
      </c>
      <c r="G1036" s="120">
        <v>0</v>
      </c>
      <c r="H1036" s="120" t="s">
        <v>250</v>
      </c>
      <c r="I1036" s="120">
        <v>0</v>
      </c>
      <c r="J1036" s="120">
        <v>2634233.4671336957</v>
      </c>
      <c r="K1036" s="120" t="s">
        <v>250</v>
      </c>
      <c r="L1036" s="120" t="s">
        <v>250</v>
      </c>
      <c r="M1036" s="120">
        <v>0</v>
      </c>
      <c r="N1036" s="120" t="s">
        <v>250</v>
      </c>
      <c r="O1036" s="120">
        <v>2634233.4671336957</v>
      </c>
      <c r="P1036" s="120">
        <v>1336230.6158376986</v>
      </c>
      <c r="Q1036" s="120">
        <v>1298002.8512959972</v>
      </c>
      <c r="R1036" s="120"/>
    </row>
    <row r="1037" spans="1:18" ht="15">
      <c r="A1037" s="105">
        <v>24</v>
      </c>
      <c r="B1037" s="105"/>
      <c r="C1037" s="107" t="s">
        <v>1018</v>
      </c>
      <c r="D1037" s="107" t="s">
        <v>1019</v>
      </c>
      <c r="E1037" s="120">
        <v>0</v>
      </c>
      <c r="F1037" s="120" t="s">
        <v>250</v>
      </c>
      <c r="G1037" s="120">
        <v>0</v>
      </c>
      <c r="H1037" s="120" t="s">
        <v>250</v>
      </c>
      <c r="I1037" s="120">
        <v>0</v>
      </c>
      <c r="J1037" s="120">
        <v>0</v>
      </c>
      <c r="K1037" s="120" t="s">
        <v>250</v>
      </c>
      <c r="L1037" s="120" t="s">
        <v>250</v>
      </c>
      <c r="M1037" s="120">
        <v>0</v>
      </c>
      <c r="N1037" s="120" t="s">
        <v>250</v>
      </c>
      <c r="O1037" s="120">
        <v>0</v>
      </c>
      <c r="P1037" s="120">
        <v>0</v>
      </c>
      <c r="Q1037" s="120">
        <v>0</v>
      </c>
      <c r="R1037" s="120"/>
    </row>
    <row r="1038" spans="1:18" ht="15">
      <c r="A1038" s="105">
        <v>25</v>
      </c>
      <c r="B1038" s="105"/>
      <c r="C1038" s="107" t="s">
        <v>1020</v>
      </c>
      <c r="D1038" s="107" t="s">
        <v>1021</v>
      </c>
      <c r="E1038" s="120">
        <v>335534.23129804956</v>
      </c>
      <c r="F1038" s="120" t="s">
        <v>250</v>
      </c>
      <c r="G1038" s="120">
        <v>0</v>
      </c>
      <c r="H1038" s="120" t="s">
        <v>250</v>
      </c>
      <c r="I1038" s="120">
        <v>0</v>
      </c>
      <c r="J1038" s="120">
        <v>335534.23129804956</v>
      </c>
      <c r="K1038" s="120" t="s">
        <v>250</v>
      </c>
      <c r="L1038" s="120" t="s">
        <v>250</v>
      </c>
      <c r="M1038" s="120">
        <v>0</v>
      </c>
      <c r="N1038" s="120" t="s">
        <v>250</v>
      </c>
      <c r="O1038" s="120">
        <v>335534.23129804956</v>
      </c>
      <c r="P1038" s="120">
        <v>170201.73728559888</v>
      </c>
      <c r="Q1038" s="120">
        <v>165332.49401245071</v>
      </c>
      <c r="R1038" s="120"/>
    </row>
    <row r="1039" spans="1:18" ht="15">
      <c r="A1039" s="105">
        <v>26</v>
      </c>
      <c r="B1039" s="105"/>
      <c r="C1039" s="107" t="s">
        <v>1022</v>
      </c>
      <c r="D1039" s="107" t="s">
        <v>1023</v>
      </c>
      <c r="E1039" s="120">
        <v>542.92401645459506</v>
      </c>
      <c r="F1039" s="120" t="s">
        <v>250</v>
      </c>
      <c r="G1039" s="120">
        <v>0</v>
      </c>
      <c r="H1039" s="120" t="s">
        <v>250</v>
      </c>
      <c r="I1039" s="120">
        <v>0</v>
      </c>
      <c r="J1039" s="120">
        <v>542.92401645459506</v>
      </c>
      <c r="K1039" s="120" t="s">
        <v>250</v>
      </c>
      <c r="L1039" s="120" t="s">
        <v>250</v>
      </c>
      <c r="M1039" s="120">
        <v>0</v>
      </c>
      <c r="N1039" s="120" t="s">
        <v>250</v>
      </c>
      <c r="O1039" s="120">
        <v>542.92401645459506</v>
      </c>
      <c r="P1039" s="120">
        <v>275.40144103080758</v>
      </c>
      <c r="Q1039" s="120">
        <v>267.52257542378749</v>
      </c>
      <c r="R1039" s="120"/>
    </row>
    <row r="1040" spans="1:18" ht="15">
      <c r="A1040" s="105">
        <v>27</v>
      </c>
      <c r="B1040" s="105"/>
      <c r="C1040" s="107" t="s">
        <v>1024</v>
      </c>
      <c r="D1040" s="107" t="s">
        <v>1025</v>
      </c>
      <c r="E1040" s="120">
        <v>1225357382.8299999</v>
      </c>
      <c r="F1040" s="120" t="s">
        <v>250</v>
      </c>
      <c r="G1040" s="120">
        <v>1169694019.427686</v>
      </c>
      <c r="H1040" s="120" t="s">
        <v>250</v>
      </c>
      <c r="I1040" s="120">
        <v>53877186.888726115</v>
      </c>
      <c r="J1040" s="120">
        <v>1786176.5135878879</v>
      </c>
      <c r="K1040" s="120" t="s">
        <v>250</v>
      </c>
      <c r="L1040" s="120" t="s">
        <v>250</v>
      </c>
      <c r="M1040" s="120">
        <v>0</v>
      </c>
      <c r="N1040" s="120" t="s">
        <v>250</v>
      </c>
      <c r="O1040" s="120">
        <v>1786176.5135878879</v>
      </c>
      <c r="P1040" s="120">
        <v>1428630.4256300889</v>
      </c>
      <c r="Q1040" s="120">
        <v>357546.08795779891</v>
      </c>
      <c r="R1040" s="120"/>
    </row>
    <row r="1041" spans="1:18" ht="15">
      <c r="A1041" s="105">
        <v>28</v>
      </c>
      <c r="B1041" s="105"/>
      <c r="C1041" s="107" t="s">
        <v>1026</v>
      </c>
      <c r="D1041" s="107" t="s">
        <v>458</v>
      </c>
      <c r="E1041" s="120">
        <v>82331348.669999987</v>
      </c>
      <c r="F1041" s="120" t="s">
        <v>250</v>
      </c>
      <c r="G1041" s="120">
        <v>8230429.410000002</v>
      </c>
      <c r="H1041" s="120" t="s">
        <v>250</v>
      </c>
      <c r="I1041" s="120">
        <v>74100919.25999999</v>
      </c>
      <c r="J1041" s="120">
        <v>0</v>
      </c>
      <c r="K1041" s="120" t="s">
        <v>250</v>
      </c>
      <c r="L1041" s="120" t="s">
        <v>250</v>
      </c>
      <c r="M1041" s="120">
        <v>0</v>
      </c>
      <c r="N1041" s="120" t="s">
        <v>250</v>
      </c>
      <c r="O1041" s="120">
        <v>0</v>
      </c>
      <c r="P1041" s="120">
        <v>0</v>
      </c>
      <c r="Q1041" s="120">
        <v>0</v>
      </c>
      <c r="R1041" s="120"/>
    </row>
    <row r="1042" spans="1:18" ht="15">
      <c r="A1042" s="105">
        <v>29</v>
      </c>
      <c r="B1042" s="105"/>
      <c r="C1042" s="107" t="s">
        <v>1027</v>
      </c>
      <c r="D1042" s="107" t="s">
        <v>658</v>
      </c>
      <c r="E1042" s="120">
        <v>950765874.39999986</v>
      </c>
      <c r="F1042" s="120" t="s">
        <v>250</v>
      </c>
      <c r="G1042" s="120">
        <v>887537536.8599999</v>
      </c>
      <c r="H1042" s="120" t="s">
        <v>250</v>
      </c>
      <c r="I1042" s="120">
        <v>63228337.539999999</v>
      </c>
      <c r="J1042" s="120">
        <v>0</v>
      </c>
      <c r="K1042" s="120" t="s">
        <v>250</v>
      </c>
      <c r="L1042" s="120" t="s">
        <v>250</v>
      </c>
      <c r="M1042" s="120">
        <v>0</v>
      </c>
      <c r="N1042" s="120" t="s">
        <v>250</v>
      </c>
      <c r="O1042" s="120">
        <v>0</v>
      </c>
      <c r="P1042" s="120">
        <v>0</v>
      </c>
      <c r="Q1042" s="120">
        <v>0</v>
      </c>
      <c r="R1042" s="120"/>
    </row>
    <row r="1043" spans="1:18" ht="15">
      <c r="A1043" s="105">
        <v>30</v>
      </c>
      <c r="B1043" s="105"/>
      <c r="C1043" s="107" t="s">
        <v>438</v>
      </c>
      <c r="D1043" s="107" t="s">
        <v>716</v>
      </c>
      <c r="E1043" s="120">
        <v>10511773529.779995</v>
      </c>
      <c r="F1043" s="120" t="s">
        <v>250</v>
      </c>
      <c r="G1043" s="120">
        <v>9827682073.2017002</v>
      </c>
      <c r="H1043" s="120" t="s">
        <v>250</v>
      </c>
      <c r="I1043" s="120">
        <v>536346586.68745041</v>
      </c>
      <c r="J1043" s="120">
        <v>147744869.89084524</v>
      </c>
      <c r="K1043" s="120" t="s">
        <v>250</v>
      </c>
      <c r="L1043" s="120" t="s">
        <v>250</v>
      </c>
      <c r="M1043" s="120">
        <v>0</v>
      </c>
      <c r="N1043" s="120" t="s">
        <v>250</v>
      </c>
      <c r="O1043" s="120">
        <v>147744869.89084524</v>
      </c>
      <c r="P1043" s="120">
        <v>77243016.877972931</v>
      </c>
      <c r="Q1043" s="120">
        <v>70501853.012872308</v>
      </c>
      <c r="R1043" s="120"/>
    </row>
    <row r="1044" spans="1:18" ht="15">
      <c r="A1044" s="105">
        <v>31</v>
      </c>
      <c r="B1044" s="105"/>
      <c r="C1044" s="107" t="s">
        <v>1028</v>
      </c>
      <c r="D1044" s="107" t="s">
        <v>488</v>
      </c>
      <c r="E1044" s="120">
        <v>9827682073.2017002</v>
      </c>
      <c r="F1044" s="120" t="s">
        <v>250</v>
      </c>
      <c r="G1044" s="120">
        <v>9827682073.2017002</v>
      </c>
      <c r="H1044" s="120" t="s">
        <v>250</v>
      </c>
      <c r="I1044" s="120">
        <v>0</v>
      </c>
      <c r="J1044" s="120">
        <v>0</v>
      </c>
      <c r="K1044" s="120" t="s">
        <v>250</v>
      </c>
      <c r="L1044" s="120" t="s">
        <v>250</v>
      </c>
      <c r="M1044" s="120">
        <v>0</v>
      </c>
      <c r="N1044" s="120" t="s">
        <v>250</v>
      </c>
      <c r="O1044" s="120">
        <v>0</v>
      </c>
      <c r="P1044" s="120">
        <v>0</v>
      </c>
      <c r="Q1044" s="120">
        <v>0</v>
      </c>
      <c r="R1044" s="120"/>
    </row>
    <row r="1045" spans="1:18" ht="15">
      <c r="A1045" s="105">
        <v>32</v>
      </c>
      <c r="B1045" s="105"/>
      <c r="C1045" s="107" t="s">
        <v>1029</v>
      </c>
      <c r="D1045" s="107" t="s">
        <v>796</v>
      </c>
      <c r="E1045" s="120">
        <v>9975426943.0925446</v>
      </c>
      <c r="F1045" s="120" t="s">
        <v>250</v>
      </c>
      <c r="G1045" s="120">
        <v>9827682073.2017002</v>
      </c>
      <c r="H1045" s="120" t="s">
        <v>250</v>
      </c>
      <c r="I1045" s="120">
        <v>0</v>
      </c>
      <c r="J1045" s="120">
        <v>147744869.89084524</v>
      </c>
      <c r="K1045" s="120" t="s">
        <v>250</v>
      </c>
      <c r="L1045" s="120" t="s">
        <v>250</v>
      </c>
      <c r="M1045" s="120">
        <v>0</v>
      </c>
      <c r="N1045" s="120" t="s">
        <v>250</v>
      </c>
      <c r="O1045" s="120">
        <v>147744869.89084524</v>
      </c>
      <c r="P1045" s="120">
        <v>77243016.877972931</v>
      </c>
      <c r="Q1045" s="120">
        <v>70501853.012872308</v>
      </c>
      <c r="R1045" s="120"/>
    </row>
    <row r="1046" spans="1:18" ht="15">
      <c r="A1046" s="105">
        <v>33</v>
      </c>
      <c r="B1046" s="105"/>
      <c r="C1046" s="107" t="s">
        <v>1030</v>
      </c>
      <c r="D1046" s="107" t="s">
        <v>1031</v>
      </c>
      <c r="E1046" s="120">
        <v>536346586.68745041</v>
      </c>
      <c r="F1046" s="120" t="s">
        <v>250</v>
      </c>
      <c r="G1046" s="120">
        <v>0</v>
      </c>
      <c r="H1046" s="120" t="s">
        <v>250</v>
      </c>
      <c r="I1046" s="120">
        <v>536346586.68745041</v>
      </c>
      <c r="J1046" s="120">
        <v>0</v>
      </c>
      <c r="K1046" s="120" t="s">
        <v>250</v>
      </c>
      <c r="L1046" s="120" t="s">
        <v>250</v>
      </c>
      <c r="M1046" s="120">
        <v>0</v>
      </c>
      <c r="N1046" s="120" t="s">
        <v>250</v>
      </c>
      <c r="O1046" s="120">
        <v>0</v>
      </c>
      <c r="P1046" s="120">
        <v>0</v>
      </c>
      <c r="Q1046" s="120">
        <v>0</v>
      </c>
      <c r="R1046" s="120"/>
    </row>
    <row r="1047" spans="1:18" ht="15">
      <c r="A1047" s="105">
        <v>34</v>
      </c>
      <c r="B1047" s="105"/>
      <c r="C1047" s="107" t="s">
        <v>314</v>
      </c>
      <c r="D1047" s="107" t="s">
        <v>584</v>
      </c>
      <c r="E1047" s="120">
        <v>5521861237.0099983</v>
      </c>
      <c r="F1047" s="120" t="s">
        <v>250</v>
      </c>
      <c r="G1047" s="120">
        <v>5167317467.5569715</v>
      </c>
      <c r="H1047" s="120" t="s">
        <v>250</v>
      </c>
      <c r="I1047" s="120">
        <v>239350181.32102704</v>
      </c>
      <c r="J1047" s="120">
        <v>115193588.13200039</v>
      </c>
      <c r="K1047" s="120" t="s">
        <v>250</v>
      </c>
      <c r="L1047" s="120" t="s">
        <v>250</v>
      </c>
      <c r="M1047" s="120">
        <v>0</v>
      </c>
      <c r="N1047" s="120" t="s">
        <v>250</v>
      </c>
      <c r="O1047" s="120">
        <v>115193588.13200039</v>
      </c>
      <c r="P1047" s="120">
        <v>58432633.679072797</v>
      </c>
      <c r="Q1047" s="120">
        <v>56760954.452927597</v>
      </c>
      <c r="R1047" s="120"/>
    </row>
    <row r="1048" spans="1:18" ht="15">
      <c r="A1048" s="105">
        <v>35</v>
      </c>
      <c r="B1048" s="105"/>
      <c r="C1048" s="107" t="s">
        <v>1032</v>
      </c>
      <c r="D1048" s="107" t="s">
        <v>599</v>
      </c>
      <c r="E1048" s="120">
        <v>43943332.839999996</v>
      </c>
      <c r="F1048" s="120" t="s">
        <v>250</v>
      </c>
      <c r="G1048" s="120">
        <v>41200791.038537301</v>
      </c>
      <c r="H1048" s="120" t="s">
        <v>250</v>
      </c>
      <c r="I1048" s="120">
        <v>1866162.7070095453</v>
      </c>
      <c r="J1048" s="120">
        <v>876379.09445314552</v>
      </c>
      <c r="K1048" s="120" t="s">
        <v>250</v>
      </c>
      <c r="L1048" s="120" t="s">
        <v>250</v>
      </c>
      <c r="M1048" s="120">
        <v>0</v>
      </c>
      <c r="N1048" s="120" t="s">
        <v>250</v>
      </c>
      <c r="O1048" s="120">
        <v>876379.09445314552</v>
      </c>
      <c r="P1048" s="120">
        <v>444548.51542168832</v>
      </c>
      <c r="Q1048" s="120">
        <v>431830.57903145725</v>
      </c>
      <c r="R1048" s="120"/>
    </row>
    <row r="1049" spans="1:18" ht="15">
      <c r="A1049" s="105">
        <v>36</v>
      </c>
      <c r="B1049" s="105"/>
      <c r="C1049" s="107" t="s">
        <v>1033</v>
      </c>
      <c r="D1049" s="107" t="s">
        <v>614</v>
      </c>
      <c r="E1049" s="120">
        <v>1083612497.7099979</v>
      </c>
      <c r="F1049" s="120" t="s">
        <v>250</v>
      </c>
      <c r="G1049" s="120">
        <v>1015694341.6417911</v>
      </c>
      <c r="H1049" s="120" t="s">
        <v>250</v>
      </c>
      <c r="I1049" s="120">
        <v>45879063.041708715</v>
      </c>
      <c r="J1049" s="120">
        <v>22039093.026498117</v>
      </c>
      <c r="K1049" s="120" t="s">
        <v>250</v>
      </c>
      <c r="L1049" s="120" t="s">
        <v>250</v>
      </c>
      <c r="M1049" s="120">
        <v>0</v>
      </c>
      <c r="N1049" s="120" t="s">
        <v>250</v>
      </c>
      <c r="O1049" s="120">
        <v>22039093.026498117</v>
      </c>
      <c r="P1049" s="120">
        <v>11179461.203697195</v>
      </c>
      <c r="Q1049" s="120">
        <v>10859631.822800919</v>
      </c>
      <c r="R1049" s="120"/>
    </row>
    <row r="1050" spans="1:18" ht="15">
      <c r="A1050" s="105">
        <v>37</v>
      </c>
      <c r="B1050" s="105"/>
      <c r="C1050" s="107" t="s">
        <v>1034</v>
      </c>
      <c r="D1050" s="107" t="s">
        <v>655</v>
      </c>
      <c r="E1050" s="120">
        <v>325350043.40999991</v>
      </c>
      <c r="F1050" s="120" t="s">
        <v>250</v>
      </c>
      <c r="G1050" s="120">
        <v>311692442.4199999</v>
      </c>
      <c r="H1050" s="120" t="s">
        <v>250</v>
      </c>
      <c r="I1050" s="120">
        <v>10176437.989999998</v>
      </c>
      <c r="J1050" s="120">
        <v>3481163</v>
      </c>
      <c r="K1050" s="120" t="s">
        <v>250</v>
      </c>
      <c r="L1050" s="120" t="s">
        <v>250</v>
      </c>
      <c r="M1050" s="120">
        <v>0</v>
      </c>
      <c r="N1050" s="120" t="s">
        <v>250</v>
      </c>
      <c r="O1050" s="120">
        <v>3481163</v>
      </c>
      <c r="P1050" s="120">
        <v>3481163</v>
      </c>
      <c r="Q1050" s="120">
        <v>0</v>
      </c>
      <c r="R1050" s="120"/>
    </row>
    <row r="1051" spans="1:18" ht="15">
      <c r="A1051" s="105">
        <v>38</v>
      </c>
      <c r="B1051" s="105"/>
      <c r="C1051" s="107" t="s">
        <v>1035</v>
      </c>
      <c r="D1051" s="107" t="s">
        <v>660</v>
      </c>
      <c r="E1051" s="120">
        <v>236615924.72999996</v>
      </c>
      <c r="F1051" s="120" t="s">
        <v>250</v>
      </c>
      <c r="G1051" s="120">
        <v>231650549.40999997</v>
      </c>
      <c r="H1051" s="120" t="s">
        <v>250</v>
      </c>
      <c r="I1051" s="120">
        <v>4965375.32</v>
      </c>
      <c r="J1051" s="120">
        <v>0</v>
      </c>
      <c r="K1051" s="120" t="s">
        <v>250</v>
      </c>
      <c r="L1051" s="120" t="s">
        <v>250</v>
      </c>
      <c r="M1051" s="120">
        <v>0</v>
      </c>
      <c r="N1051" s="120" t="s">
        <v>250</v>
      </c>
      <c r="O1051" s="120">
        <v>0</v>
      </c>
      <c r="P1051" s="120">
        <v>0</v>
      </c>
      <c r="Q1051" s="120">
        <v>0</v>
      </c>
      <c r="R1051" s="120"/>
    </row>
    <row r="1052" spans="1:18" ht="15">
      <c r="A1052" s="105">
        <v>39</v>
      </c>
      <c r="B1052" s="105"/>
      <c r="C1052" s="107" t="s">
        <v>1036</v>
      </c>
      <c r="D1052" s="107" t="s">
        <v>662</v>
      </c>
      <c r="E1052" s="120">
        <v>140965971.02999997</v>
      </c>
      <c r="F1052" s="120" t="s">
        <v>250</v>
      </c>
      <c r="G1052" s="120">
        <v>136881191.10999998</v>
      </c>
      <c r="H1052" s="120" t="s">
        <v>250</v>
      </c>
      <c r="I1052" s="120">
        <v>4084779.92</v>
      </c>
      <c r="J1052" s="120">
        <v>0</v>
      </c>
      <c r="K1052" s="120" t="s">
        <v>250</v>
      </c>
      <c r="L1052" s="120" t="s">
        <v>250</v>
      </c>
      <c r="M1052" s="120">
        <v>0</v>
      </c>
      <c r="N1052" s="120" t="s">
        <v>250</v>
      </c>
      <c r="O1052" s="120">
        <v>0</v>
      </c>
      <c r="P1052" s="120">
        <v>0</v>
      </c>
      <c r="Q1052" s="120">
        <v>0</v>
      </c>
      <c r="R1052" s="120"/>
    </row>
    <row r="1053" spans="1:18" ht="15">
      <c r="A1053" s="105">
        <v>40</v>
      </c>
      <c r="B1053" s="105"/>
      <c r="C1053" s="107" t="s">
        <v>1037</v>
      </c>
      <c r="D1053" s="107" t="s">
        <v>664</v>
      </c>
      <c r="E1053" s="120">
        <v>80430730.219999984</v>
      </c>
      <c r="F1053" s="120" t="s">
        <v>250</v>
      </c>
      <c r="G1053" s="120">
        <v>76195941.36999999</v>
      </c>
      <c r="H1053" s="120" t="s">
        <v>250</v>
      </c>
      <c r="I1053" s="120">
        <v>4187480.85</v>
      </c>
      <c r="J1053" s="120">
        <v>47308</v>
      </c>
      <c r="K1053" s="120" t="s">
        <v>250</v>
      </c>
      <c r="L1053" s="120" t="s">
        <v>250</v>
      </c>
      <c r="M1053" s="120">
        <v>0</v>
      </c>
      <c r="N1053" s="120" t="s">
        <v>250</v>
      </c>
      <c r="O1053" s="120">
        <v>47308</v>
      </c>
      <c r="P1053" s="120">
        <v>20456</v>
      </c>
      <c r="Q1053" s="120">
        <v>26852</v>
      </c>
      <c r="R1053" s="120"/>
    </row>
    <row r="1054" spans="1:18" ht="15">
      <c r="A1054" s="105">
        <v>41</v>
      </c>
      <c r="B1054" s="105"/>
      <c r="C1054" s="107" t="s">
        <v>1038</v>
      </c>
      <c r="D1054" s="107" t="s">
        <v>666</v>
      </c>
      <c r="E1054" s="120">
        <v>159233.81</v>
      </c>
      <c r="F1054" s="120" t="s">
        <v>250</v>
      </c>
      <c r="G1054" s="120">
        <v>159233.81</v>
      </c>
      <c r="H1054" s="120" t="s">
        <v>250</v>
      </c>
      <c r="I1054" s="120">
        <v>0</v>
      </c>
      <c r="J1054" s="120">
        <v>0</v>
      </c>
      <c r="K1054" s="120" t="s">
        <v>250</v>
      </c>
      <c r="L1054" s="120" t="s">
        <v>250</v>
      </c>
      <c r="M1054" s="120">
        <v>0</v>
      </c>
      <c r="N1054" s="120" t="s">
        <v>250</v>
      </c>
      <c r="O1054" s="120">
        <v>0</v>
      </c>
      <c r="P1054" s="120">
        <v>0</v>
      </c>
      <c r="Q1054" s="120">
        <v>0</v>
      </c>
      <c r="R1054" s="120"/>
    </row>
    <row r="1055" spans="1:18" ht="15">
      <c r="A1055" s="105">
        <v>42</v>
      </c>
      <c r="B1055" s="105"/>
      <c r="C1055" s="107" t="s">
        <v>1039</v>
      </c>
      <c r="D1055" s="107" t="s">
        <v>676</v>
      </c>
      <c r="E1055" s="120">
        <v>332710658.81</v>
      </c>
      <c r="F1055" s="120" t="s">
        <v>250</v>
      </c>
      <c r="G1055" s="120">
        <v>321679473.06999999</v>
      </c>
      <c r="H1055" s="120" t="s">
        <v>250</v>
      </c>
      <c r="I1055" s="120">
        <v>11031185.74</v>
      </c>
      <c r="J1055" s="120">
        <v>0</v>
      </c>
      <c r="K1055" s="120" t="s">
        <v>250</v>
      </c>
      <c r="L1055" s="120" t="s">
        <v>250</v>
      </c>
      <c r="M1055" s="120">
        <v>0</v>
      </c>
      <c r="N1055" s="120" t="s">
        <v>250</v>
      </c>
      <c r="O1055" s="120">
        <v>0</v>
      </c>
      <c r="P1055" s="120">
        <v>0</v>
      </c>
      <c r="Q1055" s="120">
        <v>0</v>
      </c>
      <c r="R1055" s="120"/>
    </row>
    <row r="1056" spans="1:18" ht="15">
      <c r="A1056" s="105">
        <v>43</v>
      </c>
      <c r="B1056" s="105"/>
      <c r="C1056" s="107" t="s">
        <v>1040</v>
      </c>
      <c r="D1056" s="107" t="s">
        <v>692</v>
      </c>
      <c r="E1056" s="120">
        <v>36918232.549999982</v>
      </c>
      <c r="F1056" s="120" t="s">
        <v>250</v>
      </c>
      <c r="G1056" s="120">
        <v>35108870.73531054</v>
      </c>
      <c r="H1056" s="120" t="s">
        <v>250</v>
      </c>
      <c r="I1056" s="120">
        <v>1794484.84017403</v>
      </c>
      <c r="J1056" s="120">
        <v>14876.974515416929</v>
      </c>
      <c r="K1056" s="120" t="s">
        <v>250</v>
      </c>
      <c r="L1056" s="120" t="s">
        <v>250</v>
      </c>
      <c r="M1056" s="120">
        <v>0</v>
      </c>
      <c r="N1056" s="120" t="s">
        <v>250</v>
      </c>
      <c r="O1056" s="120">
        <v>14876.974515416929</v>
      </c>
      <c r="P1056" s="120">
        <v>5950.789806166772</v>
      </c>
      <c r="Q1056" s="120">
        <v>8926.1847092501575</v>
      </c>
      <c r="R1056" s="120"/>
    </row>
    <row r="1057" spans="1:18" ht="15">
      <c r="A1057" s="105">
        <v>44</v>
      </c>
      <c r="B1057" s="105"/>
      <c r="C1057" s="107" t="s">
        <v>1041</v>
      </c>
      <c r="D1057" s="107" t="s">
        <v>702</v>
      </c>
      <c r="E1057" s="120">
        <v>9626874.5899999924</v>
      </c>
      <c r="F1057" s="120" t="s">
        <v>250</v>
      </c>
      <c r="G1057" s="120">
        <v>9532426.9702811856</v>
      </c>
      <c r="H1057" s="120" t="s">
        <v>250</v>
      </c>
      <c r="I1057" s="120">
        <v>94447.619718806251</v>
      </c>
      <c r="J1057" s="120">
        <v>0</v>
      </c>
      <c r="K1057" s="120" t="s">
        <v>250</v>
      </c>
      <c r="L1057" s="120" t="s">
        <v>250</v>
      </c>
      <c r="M1057" s="120">
        <v>0</v>
      </c>
      <c r="N1057" s="120" t="s">
        <v>250</v>
      </c>
      <c r="O1057" s="120">
        <v>0</v>
      </c>
      <c r="P1057" s="120">
        <v>0</v>
      </c>
      <c r="Q1057" s="120">
        <v>0</v>
      </c>
      <c r="R1057" s="120"/>
    </row>
    <row r="1058" spans="1:18" ht="15">
      <c r="A1058" s="105">
        <v>45</v>
      </c>
      <c r="B1058" s="105"/>
      <c r="C1058" s="107" t="s">
        <v>1042</v>
      </c>
      <c r="D1058" s="107" t="s">
        <v>1043</v>
      </c>
      <c r="E1058" s="120">
        <v>3506402435.6299996</v>
      </c>
      <c r="F1058" s="120" t="s">
        <v>250</v>
      </c>
      <c r="G1058" s="120">
        <v>3269129611.3876858</v>
      </c>
      <c r="H1058" s="120" t="s">
        <v>250</v>
      </c>
      <c r="I1058" s="120">
        <v>231958176.72872609</v>
      </c>
      <c r="J1058" s="120">
        <v>5314647.5135878874</v>
      </c>
      <c r="K1058" s="120" t="s">
        <v>250</v>
      </c>
      <c r="L1058" s="120" t="s">
        <v>250</v>
      </c>
      <c r="M1058" s="120">
        <v>0</v>
      </c>
      <c r="N1058" s="120" t="s">
        <v>250</v>
      </c>
      <c r="O1058" s="120">
        <v>5314647.5135878874</v>
      </c>
      <c r="P1058" s="120">
        <v>4930249.4256300889</v>
      </c>
      <c r="Q1058" s="120">
        <v>384398.08795779891</v>
      </c>
      <c r="R1058" s="120"/>
    </row>
    <row r="1059" spans="1:18" ht="15">
      <c r="A1059" s="105" t="s">
        <v>250</v>
      </c>
      <c r="B1059" s="105"/>
      <c r="C1059" s="107" t="s">
        <v>250</v>
      </c>
      <c r="D1059" s="107" t="s">
        <v>250</v>
      </c>
      <c r="E1059" s="120" t="s">
        <v>250</v>
      </c>
      <c r="F1059" s="120" t="s">
        <v>250</v>
      </c>
      <c r="G1059" s="120" t="s">
        <v>250</v>
      </c>
      <c r="H1059" s="120" t="s">
        <v>250</v>
      </c>
      <c r="I1059" s="120" t="s">
        <v>250</v>
      </c>
      <c r="J1059" s="120" t="s">
        <v>250</v>
      </c>
      <c r="K1059" s="120" t="s">
        <v>250</v>
      </c>
      <c r="L1059" s="120" t="s">
        <v>250</v>
      </c>
      <c r="M1059" s="120" t="s">
        <v>250</v>
      </c>
      <c r="N1059" s="120" t="s">
        <v>250</v>
      </c>
      <c r="O1059" s="120" t="s">
        <v>250</v>
      </c>
      <c r="P1059" s="120" t="s">
        <v>250</v>
      </c>
      <c r="Q1059" s="120" t="s">
        <v>250</v>
      </c>
      <c r="R1059" s="120"/>
    </row>
    <row r="1060" spans="1:18" ht="15">
      <c r="A1060" s="105" t="s">
        <v>250</v>
      </c>
      <c r="B1060" s="105"/>
      <c r="C1060" s="107" t="s">
        <v>1044</v>
      </c>
      <c r="D1060" s="107" t="s">
        <v>250</v>
      </c>
      <c r="E1060" s="120" t="s">
        <v>250</v>
      </c>
      <c r="F1060" s="120" t="s">
        <v>250</v>
      </c>
      <c r="G1060" s="120" t="s">
        <v>250</v>
      </c>
      <c r="H1060" s="120" t="s">
        <v>250</v>
      </c>
      <c r="I1060" s="120" t="s">
        <v>250</v>
      </c>
      <c r="J1060" s="120" t="s">
        <v>250</v>
      </c>
      <c r="K1060" s="120" t="s">
        <v>250</v>
      </c>
      <c r="L1060" s="120" t="s">
        <v>250</v>
      </c>
      <c r="M1060" s="120" t="s">
        <v>250</v>
      </c>
      <c r="N1060" s="120" t="s">
        <v>250</v>
      </c>
      <c r="O1060" s="120" t="s">
        <v>250</v>
      </c>
      <c r="P1060" s="120" t="s">
        <v>250</v>
      </c>
      <c r="Q1060" s="120" t="s">
        <v>250</v>
      </c>
      <c r="R1060" s="120"/>
    </row>
    <row r="1061" spans="1:18" ht="15">
      <c r="A1061" s="105" t="s">
        <v>250</v>
      </c>
      <c r="B1061" s="105"/>
      <c r="C1061" s="107" t="s">
        <v>917</v>
      </c>
      <c r="D1061" s="107" t="s">
        <v>250</v>
      </c>
      <c r="E1061" s="120" t="s">
        <v>250</v>
      </c>
      <c r="F1061" s="120" t="s">
        <v>250</v>
      </c>
      <c r="G1061" s="120" t="s">
        <v>250</v>
      </c>
      <c r="H1061" s="120" t="s">
        <v>250</v>
      </c>
      <c r="I1061" s="120" t="s">
        <v>250</v>
      </c>
      <c r="J1061" s="120" t="s">
        <v>250</v>
      </c>
      <c r="K1061" s="120" t="s">
        <v>250</v>
      </c>
      <c r="L1061" s="120" t="s">
        <v>250</v>
      </c>
      <c r="M1061" s="120" t="s">
        <v>250</v>
      </c>
      <c r="N1061" s="120" t="s">
        <v>250</v>
      </c>
      <c r="O1061" s="120" t="s">
        <v>250</v>
      </c>
      <c r="P1061" s="120" t="s">
        <v>250</v>
      </c>
      <c r="Q1061" s="120" t="s">
        <v>250</v>
      </c>
      <c r="R1061" s="120"/>
    </row>
    <row r="1062" spans="1:18" ht="15">
      <c r="A1062" s="105">
        <v>1</v>
      </c>
      <c r="B1062" s="105"/>
      <c r="C1062" s="107" t="s">
        <v>1045</v>
      </c>
      <c r="D1062" s="107" t="s">
        <v>711</v>
      </c>
      <c r="E1062" s="120">
        <v>951630.5</v>
      </c>
      <c r="F1062" s="120" t="s">
        <v>250</v>
      </c>
      <c r="G1062" s="120">
        <v>904077.12372399215</v>
      </c>
      <c r="H1062" s="120" t="s">
        <v>250</v>
      </c>
      <c r="I1062" s="120">
        <v>47553.376276007904</v>
      </c>
      <c r="J1062" s="120">
        <v>0</v>
      </c>
      <c r="K1062" s="120" t="s">
        <v>250</v>
      </c>
      <c r="L1062" s="120" t="s">
        <v>250</v>
      </c>
      <c r="M1062" s="120">
        <v>0</v>
      </c>
      <c r="N1062" s="120" t="s">
        <v>250</v>
      </c>
      <c r="O1062" s="120">
        <v>0</v>
      </c>
      <c r="P1062" s="120">
        <v>0</v>
      </c>
      <c r="Q1062" s="120">
        <v>0</v>
      </c>
      <c r="R1062" s="120"/>
    </row>
    <row r="1063" spans="1:18" ht="15">
      <c r="A1063" s="105">
        <v>2</v>
      </c>
      <c r="B1063" s="105"/>
      <c r="C1063" s="107" t="s">
        <v>1046</v>
      </c>
      <c r="D1063" s="107" t="s">
        <v>586</v>
      </c>
      <c r="E1063" s="120">
        <v>23470656.511237986</v>
      </c>
      <c r="F1063" s="120" t="s">
        <v>250</v>
      </c>
      <c r="G1063" s="120">
        <v>0</v>
      </c>
      <c r="H1063" s="120" t="s">
        <v>250</v>
      </c>
      <c r="I1063" s="120">
        <v>0</v>
      </c>
      <c r="J1063" s="120">
        <v>23470656.511237986</v>
      </c>
      <c r="K1063" s="120" t="s">
        <v>250</v>
      </c>
      <c r="L1063" s="120" t="s">
        <v>250</v>
      </c>
      <c r="M1063" s="120">
        <v>0</v>
      </c>
      <c r="N1063" s="120" t="s">
        <v>250</v>
      </c>
      <c r="O1063" s="120">
        <v>23470656.511237986</v>
      </c>
      <c r="P1063" s="120">
        <v>11356757.143139418</v>
      </c>
      <c r="Q1063" s="120">
        <v>12113899.368098568</v>
      </c>
      <c r="R1063" s="120"/>
    </row>
    <row r="1064" spans="1:18" ht="15">
      <c r="A1064" s="105">
        <v>3</v>
      </c>
      <c r="B1064" s="105"/>
      <c r="C1064" s="107" t="s">
        <v>1047</v>
      </c>
      <c r="D1064" s="107" t="s">
        <v>735</v>
      </c>
      <c r="E1064" s="120">
        <v>75715884.586211026</v>
      </c>
      <c r="F1064" s="120" t="s">
        <v>250</v>
      </c>
      <c r="G1064" s="120">
        <v>0</v>
      </c>
      <c r="H1064" s="120" t="s">
        <v>250</v>
      </c>
      <c r="I1064" s="120">
        <v>75715884.586211026</v>
      </c>
      <c r="J1064" s="120">
        <v>0</v>
      </c>
      <c r="K1064" s="120" t="s">
        <v>250</v>
      </c>
      <c r="L1064" s="120" t="s">
        <v>250</v>
      </c>
      <c r="M1064" s="120">
        <v>0</v>
      </c>
      <c r="N1064" s="120" t="s">
        <v>250</v>
      </c>
      <c r="O1064" s="120">
        <v>0</v>
      </c>
      <c r="P1064" s="120">
        <v>0</v>
      </c>
      <c r="Q1064" s="120">
        <v>0</v>
      </c>
      <c r="R1064" s="120"/>
    </row>
    <row r="1065" spans="1:18" ht="15">
      <c r="A1065" s="105">
        <v>4</v>
      </c>
      <c r="B1065" s="105"/>
      <c r="C1065" s="107" t="s">
        <v>1048</v>
      </c>
      <c r="D1065" s="107" t="s">
        <v>1049</v>
      </c>
      <c r="E1065" s="120">
        <v>1669648343.3401852</v>
      </c>
      <c r="F1065" s="120" t="s">
        <v>250</v>
      </c>
      <c r="G1065" s="120">
        <v>1570461802.2427361</v>
      </c>
      <c r="H1065" s="120" t="s">
        <v>250</v>
      </c>
      <c r="I1065" s="120">
        <v>75715884.586211026</v>
      </c>
      <c r="J1065" s="120">
        <v>23470656.511237986</v>
      </c>
      <c r="K1065" s="120" t="s">
        <v>250</v>
      </c>
      <c r="L1065" s="120" t="s">
        <v>250</v>
      </c>
      <c r="M1065" s="120">
        <v>0</v>
      </c>
      <c r="N1065" s="120" t="s">
        <v>250</v>
      </c>
      <c r="O1065" s="120">
        <v>23470656.511237986</v>
      </c>
      <c r="P1065" s="120">
        <v>11356757.143139418</v>
      </c>
      <c r="Q1065" s="120">
        <v>12113899.368098568</v>
      </c>
      <c r="R1065" s="120"/>
    </row>
    <row r="1066" spans="1:18" ht="15">
      <c r="A1066" s="105">
        <v>5</v>
      </c>
      <c r="B1066" s="105"/>
      <c r="C1066" s="107" t="s">
        <v>1050</v>
      </c>
      <c r="D1066" s="107" t="s">
        <v>726</v>
      </c>
      <c r="E1066" s="120">
        <v>1</v>
      </c>
      <c r="F1066" s="120" t="s">
        <v>250</v>
      </c>
      <c r="G1066" s="120">
        <v>0</v>
      </c>
      <c r="H1066" s="120" t="s">
        <v>250</v>
      </c>
      <c r="I1066" s="120">
        <v>1</v>
      </c>
      <c r="J1066" s="120">
        <v>0</v>
      </c>
      <c r="K1066" s="120" t="s">
        <v>250</v>
      </c>
      <c r="L1066" s="120" t="s">
        <v>250</v>
      </c>
      <c r="M1066" s="120">
        <v>0</v>
      </c>
      <c r="N1066" s="120" t="s">
        <v>250</v>
      </c>
      <c r="O1066" s="120">
        <v>0</v>
      </c>
      <c r="P1066" s="120">
        <v>0</v>
      </c>
      <c r="Q1066" s="120">
        <v>0</v>
      </c>
      <c r="R1066" s="120"/>
    </row>
    <row r="1067" spans="1:18" ht="15">
      <c r="A1067" s="105">
        <v>6</v>
      </c>
      <c r="B1067" s="105"/>
      <c r="C1067" s="107" t="s">
        <v>1051</v>
      </c>
      <c r="D1067" s="107" t="s">
        <v>1052</v>
      </c>
      <c r="E1067" s="120">
        <v>1646177686.8289471</v>
      </c>
      <c r="F1067" s="120" t="s">
        <v>250</v>
      </c>
      <c r="G1067" s="120">
        <v>1570461802.2427361</v>
      </c>
      <c r="H1067" s="120" t="s">
        <v>250</v>
      </c>
      <c r="I1067" s="120">
        <v>75715884.586211026</v>
      </c>
      <c r="J1067" s="120">
        <v>0</v>
      </c>
      <c r="K1067" s="120" t="s">
        <v>250</v>
      </c>
      <c r="L1067" s="120" t="s">
        <v>250</v>
      </c>
      <c r="M1067" s="120">
        <v>0</v>
      </c>
      <c r="N1067" s="120" t="s">
        <v>250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7</v>
      </c>
      <c r="B1068" s="105"/>
      <c r="C1068" s="107" t="s">
        <v>1053</v>
      </c>
      <c r="D1068" s="107" t="s">
        <v>746</v>
      </c>
      <c r="E1068" s="120">
        <v>2094626099.9399996</v>
      </c>
      <c r="F1068" s="120" t="s">
        <v>250</v>
      </c>
      <c r="G1068" s="120">
        <v>2091097628.9399996</v>
      </c>
      <c r="H1068" s="120" t="s">
        <v>250</v>
      </c>
      <c r="I1068" s="120">
        <v>0</v>
      </c>
      <c r="J1068" s="120">
        <v>3528471</v>
      </c>
      <c r="K1068" s="120" t="s">
        <v>250</v>
      </c>
      <c r="L1068" s="120" t="s">
        <v>250</v>
      </c>
      <c r="M1068" s="120">
        <v>0</v>
      </c>
      <c r="N1068" s="120" t="s">
        <v>250</v>
      </c>
      <c r="O1068" s="120">
        <v>3528471</v>
      </c>
      <c r="P1068" s="120">
        <v>3501619</v>
      </c>
      <c r="Q1068" s="120">
        <v>26852</v>
      </c>
      <c r="R1068" s="120"/>
    </row>
    <row r="1069" spans="1:18" ht="15">
      <c r="A1069" s="105">
        <v>8</v>
      </c>
      <c r="B1069" s="105"/>
      <c r="C1069" s="107" t="s">
        <v>1054</v>
      </c>
      <c r="D1069" s="107" t="s">
        <v>748</v>
      </c>
      <c r="E1069" s="120">
        <v>103980070.58</v>
      </c>
      <c r="F1069" s="120" t="s">
        <v>250</v>
      </c>
      <c r="G1069" s="120">
        <v>0</v>
      </c>
      <c r="H1069" s="120" t="s">
        <v>250</v>
      </c>
      <c r="I1069" s="120">
        <v>103980070.58</v>
      </c>
      <c r="J1069" s="120">
        <v>0</v>
      </c>
      <c r="K1069" s="120" t="s">
        <v>250</v>
      </c>
      <c r="L1069" s="120" t="s">
        <v>250</v>
      </c>
      <c r="M1069" s="120">
        <v>0</v>
      </c>
      <c r="N1069" s="120" t="s">
        <v>250</v>
      </c>
      <c r="O1069" s="120">
        <v>0</v>
      </c>
      <c r="P1069" s="120">
        <v>0</v>
      </c>
      <c r="Q1069" s="120">
        <v>0</v>
      </c>
      <c r="R1069" s="120"/>
    </row>
    <row r="1070" spans="1:18" ht="15">
      <c r="A1070" s="105">
        <v>9</v>
      </c>
      <c r="B1070" s="105"/>
      <c r="C1070" s="107" t="s">
        <v>1055</v>
      </c>
      <c r="D1070" s="107" t="s">
        <v>750</v>
      </c>
      <c r="E1070" s="120">
        <v>107533.61</v>
      </c>
      <c r="F1070" s="120" t="s">
        <v>250</v>
      </c>
      <c r="G1070" s="120">
        <v>107533.61</v>
      </c>
      <c r="H1070" s="120" t="s">
        <v>250</v>
      </c>
      <c r="I1070" s="120">
        <v>0</v>
      </c>
      <c r="J1070" s="120">
        <v>0</v>
      </c>
      <c r="K1070" s="120" t="s">
        <v>250</v>
      </c>
      <c r="L1070" s="120" t="s">
        <v>250</v>
      </c>
      <c r="M1070" s="120">
        <v>0</v>
      </c>
      <c r="N1070" s="120" t="s">
        <v>250</v>
      </c>
      <c r="O1070" s="120">
        <v>0</v>
      </c>
      <c r="P1070" s="120">
        <v>0</v>
      </c>
      <c r="Q1070" s="120">
        <v>0</v>
      </c>
      <c r="R1070" s="120"/>
    </row>
    <row r="1071" spans="1:18" ht="15">
      <c r="A1071" s="105">
        <v>10</v>
      </c>
      <c r="B1071" s="105"/>
      <c r="C1071" s="107" t="s">
        <v>473</v>
      </c>
      <c r="D1071" s="107" t="s">
        <v>759</v>
      </c>
      <c r="E1071" s="120">
        <v>6833221529.8564777</v>
      </c>
      <c r="F1071" s="120" t="s">
        <v>250</v>
      </c>
      <c r="G1071" s="120">
        <v>6408924461.4551439</v>
      </c>
      <c r="H1071" s="120" t="s">
        <v>250</v>
      </c>
      <c r="I1071" s="120">
        <v>332023435.10641479</v>
      </c>
      <c r="J1071" s="120">
        <v>92273633.294919252</v>
      </c>
      <c r="K1071" s="120" t="s">
        <v>250</v>
      </c>
      <c r="L1071" s="120" t="s">
        <v>250</v>
      </c>
      <c r="M1071" s="120">
        <v>0</v>
      </c>
      <c r="N1071" s="120" t="s">
        <v>250</v>
      </c>
      <c r="O1071" s="120">
        <v>92273633.294919252</v>
      </c>
      <c r="P1071" s="120">
        <v>48525379.773502156</v>
      </c>
      <c r="Q1071" s="120">
        <v>43748253.521417096</v>
      </c>
      <c r="R1071" s="120"/>
    </row>
    <row r="1072" spans="1:18" ht="15">
      <c r="A1072" s="105">
        <v>11</v>
      </c>
      <c r="B1072" s="105"/>
      <c r="C1072" s="107" t="s">
        <v>546</v>
      </c>
      <c r="D1072" s="107" t="s">
        <v>781</v>
      </c>
      <c r="E1072" s="120">
        <v>5984017413.181426</v>
      </c>
      <c r="F1072" s="120" t="s">
        <v>250</v>
      </c>
      <c r="G1072" s="120">
        <v>5607552484.9532328</v>
      </c>
      <c r="H1072" s="120" t="s">
        <v>250</v>
      </c>
      <c r="I1072" s="120">
        <v>296210146.52376342</v>
      </c>
      <c r="J1072" s="120">
        <v>80254781.704429343</v>
      </c>
      <c r="K1072" s="120" t="s">
        <v>250</v>
      </c>
      <c r="L1072" s="120" t="s">
        <v>250</v>
      </c>
      <c r="M1072" s="120">
        <v>0</v>
      </c>
      <c r="N1072" s="120" t="s">
        <v>250</v>
      </c>
      <c r="O1072" s="120">
        <v>80254781.704429343</v>
      </c>
      <c r="P1072" s="120">
        <v>42210273.87556161</v>
      </c>
      <c r="Q1072" s="120">
        <v>38044507.828867733</v>
      </c>
      <c r="R1072" s="120"/>
    </row>
    <row r="1073" spans="1:18" ht="15">
      <c r="A1073" s="105">
        <v>12</v>
      </c>
      <c r="B1073" s="105"/>
      <c r="C1073" s="107" t="s">
        <v>1056</v>
      </c>
      <c r="D1073" s="107" t="s">
        <v>785</v>
      </c>
      <c r="E1073" s="120">
        <v>285776.62473684002</v>
      </c>
      <c r="F1073" s="120" t="s">
        <v>250</v>
      </c>
      <c r="G1073" s="120">
        <v>0</v>
      </c>
      <c r="H1073" s="120" t="s">
        <v>250</v>
      </c>
      <c r="I1073" s="120">
        <v>0</v>
      </c>
      <c r="J1073" s="120">
        <v>285776.62473684002</v>
      </c>
      <c r="K1073" s="120" t="s">
        <v>250</v>
      </c>
      <c r="L1073" s="120" t="s">
        <v>250</v>
      </c>
      <c r="M1073" s="120">
        <v>0</v>
      </c>
      <c r="N1073" s="120" t="s">
        <v>250</v>
      </c>
      <c r="O1073" s="120">
        <v>285776.62473684002</v>
      </c>
      <c r="P1073" s="120">
        <v>144961.89499848374</v>
      </c>
      <c r="Q1073" s="120">
        <v>140814.72973835628</v>
      </c>
      <c r="R1073" s="120"/>
    </row>
    <row r="1074" spans="1:18" ht="15">
      <c r="A1074" s="105">
        <v>13</v>
      </c>
      <c r="B1074" s="105"/>
      <c r="C1074" s="107" t="s">
        <v>1057</v>
      </c>
      <c r="D1074" s="107" t="s">
        <v>1058</v>
      </c>
      <c r="E1074" s="120">
        <v>-15172228</v>
      </c>
      <c r="F1074" s="120" t="s">
        <v>250</v>
      </c>
      <c r="G1074" s="120">
        <v>-14250478</v>
      </c>
      <c r="H1074" s="120" t="s">
        <v>250</v>
      </c>
      <c r="I1074" s="120">
        <v>-707514</v>
      </c>
      <c r="J1074" s="120">
        <v>-214236</v>
      </c>
      <c r="K1074" s="120" t="s">
        <v>250</v>
      </c>
      <c r="L1074" s="120" t="s">
        <v>250</v>
      </c>
      <c r="M1074" s="120">
        <v>0</v>
      </c>
      <c r="N1074" s="120" t="s">
        <v>250</v>
      </c>
      <c r="O1074" s="120">
        <v>-214236</v>
      </c>
      <c r="P1074" s="120">
        <v>-112005</v>
      </c>
      <c r="Q1074" s="120">
        <v>-102231</v>
      </c>
      <c r="R1074" s="120"/>
    </row>
    <row r="1075" spans="1:18" ht="15">
      <c r="A1075" s="105">
        <v>14</v>
      </c>
      <c r="B1075" s="105"/>
      <c r="C1075" s="107" t="s">
        <v>1059</v>
      </c>
      <c r="D1075" s="107" t="s">
        <v>1060</v>
      </c>
      <c r="E1075" s="120">
        <v>351156142.13536155</v>
      </c>
      <c r="F1075" s="120" t="s">
        <v>250</v>
      </c>
      <c r="G1075" s="120">
        <v>330418359.89919883</v>
      </c>
      <c r="H1075" s="120" t="s">
        <v>250</v>
      </c>
      <c r="I1075" s="120">
        <v>13557695.637669401</v>
      </c>
      <c r="J1075" s="120">
        <v>7180086.5984933078</v>
      </c>
      <c r="K1075" s="120" t="s">
        <v>250</v>
      </c>
      <c r="L1075" s="120" t="s">
        <v>250</v>
      </c>
      <c r="M1075" s="120">
        <v>0</v>
      </c>
      <c r="N1075" s="120" t="s">
        <v>250</v>
      </c>
      <c r="O1075" s="120">
        <v>7180086.5984933078</v>
      </c>
      <c r="P1075" s="120">
        <v>3680123.540049308</v>
      </c>
      <c r="Q1075" s="120">
        <v>3499963.0584439998</v>
      </c>
      <c r="R1075" s="120"/>
    </row>
    <row r="1076" spans="1:18" ht="15">
      <c r="A1076" s="105">
        <v>15</v>
      </c>
      <c r="B1076" s="105"/>
      <c r="C1076" s="107" t="s">
        <v>1061</v>
      </c>
      <c r="D1076" s="107" t="s">
        <v>1062</v>
      </c>
      <c r="E1076" s="120">
        <v>64992087.619999871</v>
      </c>
      <c r="F1076" s="120" t="s">
        <v>250</v>
      </c>
      <c r="G1076" s="120">
        <v>60597860.077704243</v>
      </c>
      <c r="H1076" s="120" t="s">
        <v>250</v>
      </c>
      <c r="I1076" s="120">
        <v>2878546.0343573652</v>
      </c>
      <c r="J1076" s="120">
        <v>1515681.5079382674</v>
      </c>
      <c r="K1076" s="120" t="s">
        <v>250</v>
      </c>
      <c r="L1076" s="120" t="s">
        <v>250</v>
      </c>
      <c r="M1076" s="120">
        <v>0</v>
      </c>
      <c r="N1076" s="120" t="s">
        <v>250</v>
      </c>
      <c r="O1076" s="120">
        <v>1515681.5079382674</v>
      </c>
      <c r="P1076" s="120">
        <v>776270.64087460842</v>
      </c>
      <c r="Q1076" s="120">
        <v>739410.86706365901</v>
      </c>
      <c r="R1076" s="120"/>
    </row>
    <row r="1077" spans="1:18" ht="15">
      <c r="A1077" s="105">
        <v>16</v>
      </c>
      <c r="B1077" s="105"/>
      <c r="C1077" s="107" t="s">
        <v>1063</v>
      </c>
      <c r="D1077" s="107" t="s">
        <v>1064</v>
      </c>
      <c r="E1077" s="120">
        <v>34264.57</v>
      </c>
      <c r="F1077" s="120" t="s">
        <v>250</v>
      </c>
      <c r="G1077" s="120">
        <v>32126.088244956482</v>
      </c>
      <c r="H1077" s="120" t="s">
        <v>250</v>
      </c>
      <c r="I1077" s="120">
        <v>1455.130017983362</v>
      </c>
      <c r="J1077" s="120">
        <v>683.35173706015189</v>
      </c>
      <c r="K1077" s="120" t="s">
        <v>250</v>
      </c>
      <c r="L1077" s="120" t="s">
        <v>250</v>
      </c>
      <c r="M1077" s="120">
        <v>0</v>
      </c>
      <c r="N1077" s="120" t="s">
        <v>250</v>
      </c>
      <c r="O1077" s="120">
        <v>683.35173706015189</v>
      </c>
      <c r="P1077" s="120">
        <v>346.63423870292218</v>
      </c>
      <c r="Q1077" s="120">
        <v>336.71749835722972</v>
      </c>
      <c r="R1077" s="120"/>
    </row>
    <row r="1078" spans="1:18" ht="15">
      <c r="A1078" s="105">
        <v>17</v>
      </c>
      <c r="B1078" s="105"/>
      <c r="C1078" s="107" t="s">
        <v>1065</v>
      </c>
      <c r="D1078" s="107" t="s">
        <v>1066</v>
      </c>
      <c r="E1078" s="120">
        <v>351905.55999999976</v>
      </c>
      <c r="F1078" s="120" t="s">
        <v>250</v>
      </c>
      <c r="G1078" s="120">
        <v>330265.1768854924</v>
      </c>
      <c r="H1078" s="120" t="s">
        <v>250</v>
      </c>
      <c r="I1078" s="120">
        <v>14591.184922882354</v>
      </c>
      <c r="J1078" s="120">
        <v>7049.1981916249879</v>
      </c>
      <c r="K1078" s="120" t="s">
        <v>250</v>
      </c>
      <c r="L1078" s="120" t="s">
        <v>250</v>
      </c>
      <c r="M1078" s="120">
        <v>0</v>
      </c>
      <c r="N1078" s="120" t="s">
        <v>250</v>
      </c>
      <c r="O1078" s="120">
        <v>7049.1981916249879</v>
      </c>
      <c r="P1078" s="120">
        <v>3585.0664848237288</v>
      </c>
      <c r="Q1078" s="120">
        <v>3464.1317068012595</v>
      </c>
      <c r="R1078" s="120"/>
    </row>
    <row r="1079" spans="1:18" ht="15">
      <c r="A1079" s="105">
        <v>18</v>
      </c>
      <c r="B1079" s="105"/>
      <c r="C1079" s="107" t="s">
        <v>1067</v>
      </c>
      <c r="D1079" s="107" t="s">
        <v>1068</v>
      </c>
      <c r="E1079" s="120">
        <v>95269032.654563397</v>
      </c>
      <c r="F1079" s="120" t="s">
        <v>250</v>
      </c>
      <c r="G1079" s="120">
        <v>89724386.590652466</v>
      </c>
      <c r="H1079" s="120" t="s">
        <v>250</v>
      </c>
      <c r="I1079" s="120">
        <v>3605840.390535668</v>
      </c>
      <c r="J1079" s="120">
        <v>1938805.673375271</v>
      </c>
      <c r="K1079" s="120" t="s">
        <v>250</v>
      </c>
      <c r="L1079" s="120" t="s">
        <v>250</v>
      </c>
      <c r="M1079" s="120">
        <v>0</v>
      </c>
      <c r="N1079" s="120" t="s">
        <v>250</v>
      </c>
      <c r="O1079" s="120">
        <v>1938805.673375271</v>
      </c>
      <c r="P1079" s="120">
        <v>995072.39852337074</v>
      </c>
      <c r="Q1079" s="120">
        <v>943733.27485190029</v>
      </c>
      <c r="R1079" s="120"/>
    </row>
    <row r="1080" spans="1:18" ht="15">
      <c r="A1080" s="105">
        <v>19</v>
      </c>
      <c r="B1080" s="105"/>
      <c r="C1080" s="107" t="s">
        <v>1069</v>
      </c>
      <c r="D1080" s="107" t="s">
        <v>1070</v>
      </c>
      <c r="E1080" s="120">
        <v>8929253.2300000004</v>
      </c>
      <c r="F1080" s="120" t="s">
        <v>250</v>
      </c>
      <c r="G1080" s="120">
        <v>8072331.0739693418</v>
      </c>
      <c r="H1080" s="120" t="s">
        <v>250</v>
      </c>
      <c r="I1080" s="120">
        <v>578699.87313085049</v>
      </c>
      <c r="J1080" s="120">
        <v>278222.28289980837</v>
      </c>
      <c r="K1080" s="120" t="s">
        <v>250</v>
      </c>
      <c r="L1080" s="120" t="s">
        <v>250</v>
      </c>
      <c r="M1080" s="120">
        <v>0</v>
      </c>
      <c r="N1080" s="120" t="s">
        <v>250</v>
      </c>
      <c r="O1080" s="120">
        <v>278222.28289980837</v>
      </c>
      <c r="P1080" s="120">
        <v>141129.91010758912</v>
      </c>
      <c r="Q1080" s="120">
        <v>137092.37279221925</v>
      </c>
      <c r="R1080" s="120"/>
    </row>
    <row r="1081" spans="1:18" ht="15">
      <c r="A1081" s="105">
        <v>20</v>
      </c>
      <c r="B1081" s="105"/>
      <c r="C1081" s="107" t="s">
        <v>1071</v>
      </c>
      <c r="D1081" s="107" t="s">
        <v>1072</v>
      </c>
      <c r="E1081" s="120">
        <v>0</v>
      </c>
      <c r="F1081" s="120" t="s">
        <v>250</v>
      </c>
      <c r="G1081" s="120">
        <v>0</v>
      </c>
      <c r="H1081" s="120" t="s">
        <v>250</v>
      </c>
      <c r="I1081" s="120">
        <v>0</v>
      </c>
      <c r="J1081" s="120">
        <v>0</v>
      </c>
      <c r="K1081" s="120" t="s">
        <v>250</v>
      </c>
      <c r="L1081" s="120" t="s">
        <v>250</v>
      </c>
      <c r="M1081" s="120">
        <v>0</v>
      </c>
      <c r="N1081" s="120" t="s">
        <v>250</v>
      </c>
      <c r="O1081" s="120">
        <v>0</v>
      </c>
      <c r="P1081" s="120">
        <v>0</v>
      </c>
      <c r="Q1081" s="120">
        <v>0</v>
      </c>
      <c r="R1081" s="120"/>
    </row>
    <row r="1082" spans="1:18" ht="15">
      <c r="A1082" s="105">
        <v>21</v>
      </c>
      <c r="B1082" s="105"/>
      <c r="C1082" s="107" t="s">
        <v>1073</v>
      </c>
      <c r="D1082" s="107" t="s">
        <v>1074</v>
      </c>
      <c r="E1082" s="120">
        <v>0</v>
      </c>
      <c r="F1082" s="120" t="s">
        <v>250</v>
      </c>
      <c r="G1082" s="120">
        <v>0</v>
      </c>
      <c r="H1082" s="120" t="s">
        <v>250</v>
      </c>
      <c r="I1082" s="120">
        <v>0</v>
      </c>
      <c r="J1082" s="120">
        <v>0</v>
      </c>
      <c r="K1082" s="120" t="s">
        <v>250</v>
      </c>
      <c r="L1082" s="120" t="s">
        <v>250</v>
      </c>
      <c r="M1082" s="120">
        <v>0</v>
      </c>
      <c r="N1082" s="120" t="s">
        <v>250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22</v>
      </c>
      <c r="B1083" s="105"/>
      <c r="C1083" s="107" t="s">
        <v>1075</v>
      </c>
      <c r="D1083" s="107" t="s">
        <v>1076</v>
      </c>
      <c r="E1083" s="120">
        <v>0</v>
      </c>
      <c r="F1083" s="120" t="s">
        <v>250</v>
      </c>
      <c r="G1083" s="120">
        <v>0</v>
      </c>
      <c r="H1083" s="120" t="s">
        <v>250</v>
      </c>
      <c r="I1083" s="120">
        <v>0</v>
      </c>
      <c r="J1083" s="120">
        <v>0</v>
      </c>
      <c r="K1083" s="120" t="s">
        <v>250</v>
      </c>
      <c r="L1083" s="120" t="s">
        <v>250</v>
      </c>
      <c r="M1083" s="120">
        <v>0</v>
      </c>
      <c r="N1083" s="120" t="s">
        <v>250</v>
      </c>
      <c r="O1083" s="120">
        <v>0</v>
      </c>
      <c r="P1083" s="120">
        <v>0</v>
      </c>
      <c r="Q1083" s="120">
        <v>0</v>
      </c>
      <c r="R1083" s="120"/>
    </row>
    <row r="1084" spans="1:18" ht="15">
      <c r="A1084" s="105">
        <v>23</v>
      </c>
      <c r="B1084" s="105"/>
      <c r="C1084" s="107" t="s">
        <v>1077</v>
      </c>
      <c r="D1084" s="107" t="s">
        <v>1078</v>
      </c>
      <c r="E1084" s="120">
        <v>0</v>
      </c>
      <c r="F1084" s="120" t="s">
        <v>250</v>
      </c>
      <c r="G1084" s="120">
        <v>0</v>
      </c>
      <c r="H1084" s="120" t="s">
        <v>250</v>
      </c>
      <c r="I1084" s="120">
        <v>0</v>
      </c>
      <c r="J1084" s="120">
        <v>0</v>
      </c>
      <c r="K1084" s="120" t="s">
        <v>250</v>
      </c>
      <c r="L1084" s="120" t="s">
        <v>250</v>
      </c>
      <c r="M1084" s="120">
        <v>0</v>
      </c>
      <c r="N1084" s="120" t="s">
        <v>250</v>
      </c>
      <c r="O1084" s="120">
        <v>0</v>
      </c>
      <c r="P1084" s="120">
        <v>0</v>
      </c>
      <c r="Q1084" s="120">
        <v>0</v>
      </c>
      <c r="R1084" s="120"/>
    </row>
    <row r="1085" spans="1:18" ht="15">
      <c r="A1085" s="105">
        <v>24</v>
      </c>
      <c r="B1085" s="105"/>
      <c r="C1085" s="107" t="s">
        <v>1079</v>
      </c>
      <c r="D1085" s="107" t="s">
        <v>1080</v>
      </c>
      <c r="E1085" s="120">
        <v>0</v>
      </c>
      <c r="F1085" s="120" t="s">
        <v>250</v>
      </c>
      <c r="G1085" s="120">
        <v>0</v>
      </c>
      <c r="H1085" s="120" t="s">
        <v>250</v>
      </c>
      <c r="I1085" s="120">
        <v>0</v>
      </c>
      <c r="J1085" s="120">
        <v>0</v>
      </c>
      <c r="K1085" s="120" t="s">
        <v>250</v>
      </c>
      <c r="L1085" s="120" t="s">
        <v>250</v>
      </c>
      <c r="M1085" s="120">
        <v>0</v>
      </c>
      <c r="N1085" s="120" t="s">
        <v>250</v>
      </c>
      <c r="O1085" s="120">
        <v>0</v>
      </c>
      <c r="P1085" s="120">
        <v>0</v>
      </c>
      <c r="Q1085" s="120">
        <v>0</v>
      </c>
      <c r="R1085" s="120"/>
    </row>
    <row r="1086" spans="1:18" ht="15">
      <c r="A1086" s="105">
        <v>25</v>
      </c>
      <c r="B1086" s="105"/>
      <c r="C1086" s="107" t="s">
        <v>1081</v>
      </c>
      <c r="D1086" s="107" t="s">
        <v>1082</v>
      </c>
      <c r="E1086" s="120">
        <v>0</v>
      </c>
      <c r="F1086" s="120" t="s">
        <v>250</v>
      </c>
      <c r="G1086" s="120">
        <v>0</v>
      </c>
      <c r="H1086" s="120" t="s">
        <v>250</v>
      </c>
      <c r="I1086" s="120">
        <v>0</v>
      </c>
      <c r="J1086" s="120">
        <v>0</v>
      </c>
      <c r="K1086" s="120" t="s">
        <v>250</v>
      </c>
      <c r="L1086" s="120" t="s">
        <v>250</v>
      </c>
      <c r="M1086" s="120">
        <v>0</v>
      </c>
      <c r="N1086" s="120" t="s">
        <v>250</v>
      </c>
      <c r="O1086" s="120">
        <v>0</v>
      </c>
      <c r="P1086" s="120">
        <v>0</v>
      </c>
      <c r="Q1086" s="120">
        <v>0</v>
      </c>
      <c r="R1086" s="120"/>
    </row>
    <row r="1087" spans="1:18" ht="15">
      <c r="A1087" s="105">
        <v>26</v>
      </c>
      <c r="B1087" s="105"/>
      <c r="C1087" s="107" t="s">
        <v>1083</v>
      </c>
      <c r="D1087" s="107" t="s">
        <v>1084</v>
      </c>
      <c r="E1087" s="120">
        <v>31512842.580000006</v>
      </c>
      <c r="F1087" s="120" t="s">
        <v>250</v>
      </c>
      <c r="G1087" s="120">
        <v>28424592.314042527</v>
      </c>
      <c r="H1087" s="120" t="s">
        <v>250</v>
      </c>
      <c r="I1087" s="120">
        <v>3088250.265957477</v>
      </c>
      <c r="J1087" s="120">
        <v>0</v>
      </c>
      <c r="K1087" s="120" t="s">
        <v>250</v>
      </c>
      <c r="L1087" s="120" t="s">
        <v>250</v>
      </c>
      <c r="M1087" s="120">
        <v>0</v>
      </c>
      <c r="N1087" s="120" t="s">
        <v>250</v>
      </c>
      <c r="O1087" s="120">
        <v>0</v>
      </c>
      <c r="P1087" s="120">
        <v>0</v>
      </c>
      <c r="Q1087" s="120">
        <v>0</v>
      </c>
      <c r="R1087" s="120"/>
    </row>
    <row r="1088" spans="1:18" ht="15">
      <c r="A1088" s="105">
        <v>27</v>
      </c>
      <c r="B1088" s="105"/>
      <c r="C1088" s="107" t="s">
        <v>1085</v>
      </c>
      <c r="D1088" s="107" t="s">
        <v>1086</v>
      </c>
      <c r="E1088" s="120">
        <v>12706366.309999993</v>
      </c>
      <c r="F1088" s="120" t="s">
        <v>250</v>
      </c>
      <c r="G1088" s="120">
        <v>11465464.809359828</v>
      </c>
      <c r="H1088" s="120" t="s">
        <v>250</v>
      </c>
      <c r="I1088" s="120">
        <v>1240901.5006401658</v>
      </c>
      <c r="J1088" s="120">
        <v>0</v>
      </c>
      <c r="K1088" s="120" t="s">
        <v>250</v>
      </c>
      <c r="L1088" s="120" t="s">
        <v>250</v>
      </c>
      <c r="M1088" s="120">
        <v>0</v>
      </c>
      <c r="N1088" s="120" t="s">
        <v>250</v>
      </c>
      <c r="O1088" s="120">
        <v>0</v>
      </c>
      <c r="P1088" s="120">
        <v>0</v>
      </c>
      <c r="Q1088" s="120">
        <v>0</v>
      </c>
      <c r="R1088" s="120"/>
    </row>
    <row r="1089" spans="1:18" ht="15">
      <c r="A1089" s="105">
        <v>28</v>
      </c>
      <c r="B1089" s="105"/>
      <c r="C1089" s="107" t="s">
        <v>1087</v>
      </c>
      <c r="D1089" s="107" t="s">
        <v>634</v>
      </c>
      <c r="E1089" s="120">
        <v>7844498.0200000023</v>
      </c>
      <c r="F1089" s="120" t="s">
        <v>250</v>
      </c>
      <c r="G1089" s="120">
        <v>7075739.2818738809</v>
      </c>
      <c r="H1089" s="120" t="s">
        <v>250</v>
      </c>
      <c r="I1089" s="120">
        <v>768758.73812612111</v>
      </c>
      <c r="J1089" s="120">
        <v>0</v>
      </c>
      <c r="K1089" s="120" t="s">
        <v>250</v>
      </c>
      <c r="L1089" s="120" t="s">
        <v>250</v>
      </c>
      <c r="M1089" s="120">
        <v>0</v>
      </c>
      <c r="N1089" s="120" t="s">
        <v>250</v>
      </c>
      <c r="O1089" s="120">
        <v>0</v>
      </c>
      <c r="P1089" s="120">
        <v>0</v>
      </c>
      <c r="Q1089" s="120">
        <v>0</v>
      </c>
      <c r="R1089" s="120"/>
    </row>
    <row r="1090" spans="1:18" ht="15">
      <c r="A1090" s="105">
        <v>29</v>
      </c>
      <c r="B1090" s="105"/>
      <c r="C1090" s="107" t="s">
        <v>1088</v>
      </c>
      <c r="D1090" s="107" t="s">
        <v>1089</v>
      </c>
      <c r="E1090" s="120">
        <v>0</v>
      </c>
      <c r="F1090" s="120" t="s">
        <v>250</v>
      </c>
      <c r="G1090" s="120">
        <v>0</v>
      </c>
      <c r="H1090" s="120" t="s">
        <v>250</v>
      </c>
      <c r="I1090" s="120">
        <v>0</v>
      </c>
      <c r="J1090" s="120">
        <v>0</v>
      </c>
      <c r="K1090" s="120" t="s">
        <v>250</v>
      </c>
      <c r="L1090" s="120" t="s">
        <v>250</v>
      </c>
      <c r="M1090" s="120">
        <v>0</v>
      </c>
      <c r="N1090" s="120" t="s">
        <v>250</v>
      </c>
      <c r="O1090" s="120">
        <v>0</v>
      </c>
      <c r="P1090" s="120">
        <v>0</v>
      </c>
      <c r="Q1090" s="120">
        <v>0</v>
      </c>
      <c r="R1090" s="120"/>
    </row>
    <row r="1091" spans="1:18" ht="15">
      <c r="A1091" s="105">
        <v>30</v>
      </c>
      <c r="B1091" s="105"/>
      <c r="C1091" s="107" t="s">
        <v>1090</v>
      </c>
      <c r="D1091" s="107" t="s">
        <v>1091</v>
      </c>
      <c r="E1091" s="120">
        <v>26709058.100000001</v>
      </c>
      <c r="F1091" s="120" t="s">
        <v>250</v>
      </c>
      <c r="G1091" s="120">
        <v>25306649.624351367</v>
      </c>
      <c r="H1091" s="120" t="s">
        <v>250</v>
      </c>
      <c r="I1091" s="120">
        <v>1362269.1481265044</v>
      </c>
      <c r="J1091" s="120">
        <v>40139.327522128769</v>
      </c>
      <c r="K1091" s="120" t="s">
        <v>250</v>
      </c>
      <c r="L1091" s="120" t="s">
        <v>250</v>
      </c>
      <c r="M1091" s="120">
        <v>0</v>
      </c>
      <c r="N1091" s="120" t="s">
        <v>250</v>
      </c>
      <c r="O1091" s="120">
        <v>40139.327522128769</v>
      </c>
      <c r="P1091" s="120">
        <v>36833.712571848431</v>
      </c>
      <c r="Q1091" s="120">
        <v>3305.6149502803382</v>
      </c>
      <c r="R1091" s="120"/>
    </row>
    <row r="1092" spans="1:18" ht="15">
      <c r="A1092" s="105">
        <v>31</v>
      </c>
      <c r="B1092" s="105"/>
      <c r="C1092" s="107" t="s">
        <v>1092</v>
      </c>
      <c r="D1092" s="107" t="s">
        <v>1093</v>
      </c>
      <c r="E1092" s="120">
        <v>31657272.829999901</v>
      </c>
      <c r="F1092" s="120" t="s">
        <v>250</v>
      </c>
      <c r="G1092" s="120">
        <v>29842159.778578822</v>
      </c>
      <c r="H1092" s="120" t="s">
        <v>250</v>
      </c>
      <c r="I1092" s="120">
        <v>1799468.9850716463</v>
      </c>
      <c r="J1092" s="120">
        <v>15644.066349431267</v>
      </c>
      <c r="K1092" s="120" t="s">
        <v>250</v>
      </c>
      <c r="L1092" s="120" t="s">
        <v>250</v>
      </c>
      <c r="M1092" s="120">
        <v>0</v>
      </c>
      <c r="N1092" s="120" t="s">
        <v>250</v>
      </c>
      <c r="O1092" s="120">
        <v>15644.066349431267</v>
      </c>
      <c r="P1092" s="120">
        <v>15639.020237071318</v>
      </c>
      <c r="Q1092" s="120">
        <v>5.0461123599491637</v>
      </c>
      <c r="R1092" s="120"/>
    </row>
    <row r="1093" spans="1:18" ht="15">
      <c r="A1093" s="105">
        <v>32</v>
      </c>
      <c r="B1093" s="105"/>
      <c r="C1093" s="107" t="s">
        <v>1094</v>
      </c>
      <c r="D1093" s="107" t="s">
        <v>1095</v>
      </c>
      <c r="E1093" s="120">
        <v>21442731.459999993</v>
      </c>
      <c r="F1093" s="120" t="s">
        <v>250</v>
      </c>
      <c r="G1093" s="120">
        <v>20394265.358012263</v>
      </c>
      <c r="H1093" s="120" t="s">
        <v>250</v>
      </c>
      <c r="I1093" s="120">
        <v>1014055.0479358633</v>
      </c>
      <c r="J1093" s="120">
        <v>34411.054051866784</v>
      </c>
      <c r="K1093" s="120" t="s">
        <v>250</v>
      </c>
      <c r="L1093" s="120" t="s">
        <v>250</v>
      </c>
      <c r="M1093" s="120">
        <v>0</v>
      </c>
      <c r="N1093" s="120" t="s">
        <v>250</v>
      </c>
      <c r="O1093" s="120">
        <v>34411.054051866784</v>
      </c>
      <c r="P1093" s="120">
        <v>34149.182656749545</v>
      </c>
      <c r="Q1093" s="120">
        <v>261.87139511724109</v>
      </c>
      <c r="R1093" s="120"/>
    </row>
    <row r="1094" spans="1:18" ht="15">
      <c r="A1094" s="105">
        <v>33</v>
      </c>
      <c r="B1094" s="105"/>
      <c r="C1094" s="107" t="s">
        <v>1096</v>
      </c>
      <c r="D1094" s="107" t="s">
        <v>1097</v>
      </c>
      <c r="E1094" s="120">
        <v>0</v>
      </c>
      <c r="F1094" s="120" t="s">
        <v>250</v>
      </c>
      <c r="G1094" s="120">
        <v>0</v>
      </c>
      <c r="H1094" s="120" t="s">
        <v>250</v>
      </c>
      <c r="I1094" s="120">
        <v>0</v>
      </c>
      <c r="J1094" s="120">
        <v>0</v>
      </c>
      <c r="K1094" s="120" t="s">
        <v>250</v>
      </c>
      <c r="L1094" s="120" t="s">
        <v>250</v>
      </c>
      <c r="M1094" s="120">
        <v>0</v>
      </c>
      <c r="N1094" s="120" t="s">
        <v>250</v>
      </c>
      <c r="O1094" s="120">
        <v>0</v>
      </c>
      <c r="P1094" s="120">
        <v>0</v>
      </c>
      <c r="Q1094" s="120">
        <v>0</v>
      </c>
      <c r="R1094" s="120"/>
    </row>
    <row r="1095" spans="1:18" ht="15">
      <c r="A1095" s="105">
        <v>34</v>
      </c>
      <c r="B1095" s="105"/>
      <c r="C1095" s="107" t="s">
        <v>1098</v>
      </c>
      <c r="D1095" s="107" t="s">
        <v>882</v>
      </c>
      <c r="E1095" s="120">
        <v>31498884.789999988</v>
      </c>
      <c r="F1095" s="120" t="s">
        <v>250</v>
      </c>
      <c r="G1095" s="120">
        <v>29955125.097085647</v>
      </c>
      <c r="H1095" s="120" t="s">
        <v>250</v>
      </c>
      <c r="I1095" s="120">
        <v>1531066.5580073479</v>
      </c>
      <c r="J1095" s="120">
        <v>12693.134906992829</v>
      </c>
      <c r="K1095" s="120" t="s">
        <v>250</v>
      </c>
      <c r="L1095" s="120" t="s">
        <v>250</v>
      </c>
      <c r="M1095" s="120">
        <v>0</v>
      </c>
      <c r="N1095" s="120" t="s">
        <v>250</v>
      </c>
      <c r="O1095" s="120">
        <v>12693.134906992829</v>
      </c>
      <c r="P1095" s="120">
        <v>5077.2539627971319</v>
      </c>
      <c r="Q1095" s="120">
        <v>7615.8809441956973</v>
      </c>
      <c r="R1095" s="120"/>
    </row>
    <row r="1096" spans="1:18" ht="15">
      <c r="A1096" s="105">
        <v>35</v>
      </c>
      <c r="B1096" s="105"/>
      <c r="C1096" s="107" t="s">
        <v>1099</v>
      </c>
      <c r="D1096" s="107" t="s">
        <v>684</v>
      </c>
      <c r="E1096" s="120">
        <v>3993946.9000000004</v>
      </c>
      <c r="F1096" s="120" t="s">
        <v>250</v>
      </c>
      <c r="G1096" s="120">
        <v>3798203.6449302966</v>
      </c>
      <c r="H1096" s="120" t="s">
        <v>250</v>
      </c>
      <c r="I1096" s="120">
        <v>194133.81057187327</v>
      </c>
      <c r="J1096" s="120">
        <v>1609.444497830611</v>
      </c>
      <c r="K1096" s="120" t="s">
        <v>250</v>
      </c>
      <c r="L1096" s="120" t="s">
        <v>250</v>
      </c>
      <c r="M1096" s="120">
        <v>0</v>
      </c>
      <c r="N1096" s="120" t="s">
        <v>250</v>
      </c>
      <c r="O1096" s="120">
        <v>1609.444497830611</v>
      </c>
      <c r="P1096" s="120">
        <v>643.77779913224447</v>
      </c>
      <c r="Q1096" s="120">
        <v>965.66669869836664</v>
      </c>
      <c r="R1096" s="120"/>
    </row>
    <row r="1097" spans="1:18" ht="15">
      <c r="A1097" s="105">
        <v>36</v>
      </c>
      <c r="B1097" s="105"/>
      <c r="C1097" s="107" t="s">
        <v>1100</v>
      </c>
      <c r="D1097" s="107" t="s">
        <v>890</v>
      </c>
      <c r="E1097" s="120">
        <v>12558562.749999991</v>
      </c>
      <c r="F1097" s="120" t="s">
        <v>250</v>
      </c>
      <c r="G1097" s="120">
        <v>12397135.747034311</v>
      </c>
      <c r="H1097" s="120" t="s">
        <v>250</v>
      </c>
      <c r="I1097" s="120">
        <v>161427.00296567983</v>
      </c>
      <c r="J1097" s="120">
        <v>0</v>
      </c>
      <c r="K1097" s="120" t="s">
        <v>250</v>
      </c>
      <c r="L1097" s="120" t="s">
        <v>250</v>
      </c>
      <c r="M1097" s="120">
        <v>0</v>
      </c>
      <c r="N1097" s="120" t="s">
        <v>250</v>
      </c>
      <c r="O1097" s="120">
        <v>0</v>
      </c>
      <c r="P1097" s="120">
        <v>0</v>
      </c>
      <c r="Q1097" s="120">
        <v>0</v>
      </c>
      <c r="R1097" s="120"/>
    </row>
    <row r="1098" spans="1:18" ht="15">
      <c r="A1098" s="105">
        <v>37</v>
      </c>
      <c r="B1098" s="105"/>
      <c r="C1098" s="107" t="s">
        <v>1101</v>
      </c>
      <c r="D1098" s="107" t="s">
        <v>1102</v>
      </c>
      <c r="E1098" s="120">
        <v>3993946.9000000004</v>
      </c>
      <c r="F1098" s="120" t="s">
        <v>250</v>
      </c>
      <c r="G1098" s="120">
        <v>3798203.6449302966</v>
      </c>
      <c r="H1098" s="120" t="s">
        <v>250</v>
      </c>
      <c r="I1098" s="120">
        <v>194133.81057187327</v>
      </c>
      <c r="J1098" s="120">
        <v>1609.444497830611</v>
      </c>
      <c r="K1098" s="120" t="s">
        <v>250</v>
      </c>
      <c r="L1098" s="120" t="s">
        <v>250</v>
      </c>
      <c r="M1098" s="120">
        <v>0</v>
      </c>
      <c r="N1098" s="120" t="s">
        <v>250</v>
      </c>
      <c r="O1098" s="120">
        <v>1609.444497830611</v>
      </c>
      <c r="P1098" s="120">
        <v>643.77779913224447</v>
      </c>
      <c r="Q1098" s="120">
        <v>965.66669869836664</v>
      </c>
      <c r="R1098" s="120"/>
    </row>
    <row r="1099" spans="1:18" ht="15">
      <c r="A1099" s="105">
        <v>38</v>
      </c>
      <c r="B1099" s="105"/>
      <c r="C1099" s="107" t="s">
        <v>1103</v>
      </c>
      <c r="D1099" s="107" t="s">
        <v>1104</v>
      </c>
      <c r="E1099" s="120">
        <v>951630.5</v>
      </c>
      <c r="F1099" s="120" t="s">
        <v>250</v>
      </c>
      <c r="G1099" s="120">
        <v>904077.12372399215</v>
      </c>
      <c r="H1099" s="120" t="s">
        <v>250</v>
      </c>
      <c r="I1099" s="120">
        <v>47553.376276007904</v>
      </c>
      <c r="J1099" s="120">
        <v>0</v>
      </c>
      <c r="K1099" s="120" t="s">
        <v>250</v>
      </c>
      <c r="L1099" s="120" t="s">
        <v>250</v>
      </c>
      <c r="M1099" s="120">
        <v>0</v>
      </c>
      <c r="N1099" s="120" t="s">
        <v>250</v>
      </c>
      <c r="O1099" s="120">
        <v>0</v>
      </c>
      <c r="P1099" s="120">
        <v>0</v>
      </c>
      <c r="Q1099" s="120">
        <v>0</v>
      </c>
      <c r="R1099" s="120"/>
    </row>
    <row r="1100" spans="1:18" ht="15">
      <c r="A1100" s="105">
        <v>39</v>
      </c>
      <c r="B1100" s="105"/>
      <c r="C1100" s="107" t="s">
        <v>1105</v>
      </c>
      <c r="D1100" s="107" t="s">
        <v>696</v>
      </c>
      <c r="E1100" s="120">
        <v>1990311.27</v>
      </c>
      <c r="F1100" s="120" t="s">
        <v>250</v>
      </c>
      <c r="G1100" s="120">
        <v>1964727.9297977211</v>
      </c>
      <c r="H1100" s="120" t="s">
        <v>250</v>
      </c>
      <c r="I1100" s="120">
        <v>25583.340202278818</v>
      </c>
      <c r="J1100" s="120">
        <v>0</v>
      </c>
      <c r="K1100" s="120" t="s">
        <v>250</v>
      </c>
      <c r="L1100" s="120" t="s">
        <v>250</v>
      </c>
      <c r="M1100" s="120">
        <v>0</v>
      </c>
      <c r="N1100" s="120" t="s">
        <v>250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40</v>
      </c>
      <c r="B1101" s="105"/>
      <c r="C1101" s="107" t="s">
        <v>1106</v>
      </c>
      <c r="D1101" s="107" t="s">
        <v>1107</v>
      </c>
      <c r="E1101" s="120">
        <v>106357818.23999986</v>
      </c>
      <c r="F1101" s="120" t="s">
        <v>250</v>
      </c>
      <c r="G1101" s="120">
        <v>99841287.268074602</v>
      </c>
      <c r="H1101" s="120" t="s">
        <v>250</v>
      </c>
      <c r="I1101" s="120">
        <v>5208187.7544534719</v>
      </c>
      <c r="J1101" s="120">
        <v>1308343.2174717933</v>
      </c>
      <c r="K1101" s="120" t="s">
        <v>250</v>
      </c>
      <c r="L1101" s="120" t="s">
        <v>250</v>
      </c>
      <c r="M1101" s="120">
        <v>0</v>
      </c>
      <c r="N1101" s="120" t="s">
        <v>250</v>
      </c>
      <c r="O1101" s="120">
        <v>1308343.2174717933</v>
      </c>
      <c r="P1101" s="120">
        <v>682699.83400489076</v>
      </c>
      <c r="Q1101" s="120">
        <v>625643.38346690254</v>
      </c>
      <c r="R1101" s="120"/>
    </row>
    <row r="1102" spans="1:18" ht="15">
      <c r="A1102" s="105" t="s">
        <v>250</v>
      </c>
      <c r="B1102" s="105"/>
      <c r="C1102" s="107" t="s">
        <v>250</v>
      </c>
      <c r="D1102" s="107" t="s">
        <v>250</v>
      </c>
      <c r="E1102" s="120" t="s">
        <v>250</v>
      </c>
      <c r="F1102" s="120" t="s">
        <v>250</v>
      </c>
      <c r="G1102" s="120" t="s">
        <v>250</v>
      </c>
      <c r="H1102" s="120" t="s">
        <v>250</v>
      </c>
      <c r="I1102" s="120" t="s">
        <v>250</v>
      </c>
      <c r="J1102" s="120" t="s">
        <v>250</v>
      </c>
      <c r="K1102" s="120" t="s">
        <v>250</v>
      </c>
      <c r="L1102" s="120" t="s">
        <v>250</v>
      </c>
      <c r="M1102" s="120" t="s">
        <v>250</v>
      </c>
      <c r="N1102" s="120" t="s">
        <v>250</v>
      </c>
      <c r="O1102" s="120" t="s">
        <v>250</v>
      </c>
      <c r="P1102" s="120" t="s">
        <v>250</v>
      </c>
      <c r="Q1102" s="120" t="s">
        <v>250</v>
      </c>
      <c r="R1102" s="120"/>
    </row>
    <row r="1103" spans="1:18" ht="15">
      <c r="A1103" s="105" t="s">
        <v>250</v>
      </c>
      <c r="B1103" s="105"/>
      <c r="C1103" s="107" t="s">
        <v>1044</v>
      </c>
      <c r="D1103" s="107" t="s">
        <v>250</v>
      </c>
      <c r="E1103" s="120" t="s">
        <v>250</v>
      </c>
      <c r="F1103" s="120" t="s">
        <v>250</v>
      </c>
      <c r="G1103" s="120" t="s">
        <v>250</v>
      </c>
      <c r="H1103" s="120" t="s">
        <v>250</v>
      </c>
      <c r="I1103" s="120" t="s">
        <v>250</v>
      </c>
      <c r="J1103" s="120" t="s">
        <v>250</v>
      </c>
      <c r="K1103" s="120" t="s">
        <v>250</v>
      </c>
      <c r="L1103" s="120" t="s">
        <v>250</v>
      </c>
      <c r="M1103" s="120" t="s">
        <v>250</v>
      </c>
      <c r="N1103" s="120" t="s">
        <v>250</v>
      </c>
      <c r="O1103" s="120" t="s">
        <v>250</v>
      </c>
      <c r="P1103" s="120" t="s">
        <v>250</v>
      </c>
      <c r="Q1103" s="120" t="s">
        <v>250</v>
      </c>
      <c r="R1103" s="120"/>
    </row>
    <row r="1104" spans="1:18" ht="15">
      <c r="A1104" s="105" t="s">
        <v>250</v>
      </c>
      <c r="B1104" s="105"/>
      <c r="C1104" s="107" t="s">
        <v>917</v>
      </c>
      <c r="D1104" s="107" t="s">
        <v>250</v>
      </c>
      <c r="E1104" s="120" t="s">
        <v>250</v>
      </c>
      <c r="F1104" s="120" t="s">
        <v>250</v>
      </c>
      <c r="G1104" s="120" t="s">
        <v>250</v>
      </c>
      <c r="H1104" s="120" t="s">
        <v>250</v>
      </c>
      <c r="I1104" s="120" t="s">
        <v>250</v>
      </c>
      <c r="J1104" s="120" t="s">
        <v>250</v>
      </c>
      <c r="K1104" s="120" t="s">
        <v>250</v>
      </c>
      <c r="L1104" s="120" t="s">
        <v>250</v>
      </c>
      <c r="M1104" s="120" t="s">
        <v>250</v>
      </c>
      <c r="N1104" s="120" t="s">
        <v>250</v>
      </c>
      <c r="O1104" s="120" t="s">
        <v>250</v>
      </c>
      <c r="P1104" s="120" t="s">
        <v>250</v>
      </c>
      <c r="Q1104" s="120" t="s">
        <v>250</v>
      </c>
      <c r="R1104" s="120"/>
    </row>
    <row r="1105" spans="1:18" ht="15">
      <c r="A1105" s="105">
        <v>1</v>
      </c>
      <c r="B1105" s="105"/>
      <c r="C1105" s="107" t="s">
        <v>2241</v>
      </c>
      <c r="D1105" s="107" t="s">
        <v>1109</v>
      </c>
      <c r="E1105" s="120">
        <v>3628425.9999999995</v>
      </c>
      <c r="F1105" s="120" t="s">
        <v>250</v>
      </c>
      <c r="G1105" s="120">
        <v>3417606.100093829</v>
      </c>
      <c r="H1105" s="120" t="s">
        <v>250</v>
      </c>
      <c r="I1105" s="120">
        <v>168668.66660797797</v>
      </c>
      <c r="J1105" s="120">
        <v>42151.233298192921</v>
      </c>
      <c r="K1105" s="120" t="s">
        <v>250</v>
      </c>
      <c r="L1105" s="120" t="s">
        <v>250</v>
      </c>
      <c r="M1105" s="120">
        <v>0</v>
      </c>
      <c r="N1105" s="120" t="s">
        <v>250</v>
      </c>
      <c r="O1105" s="120">
        <v>42151.233298192921</v>
      </c>
      <c r="P1105" s="120">
        <v>21993.510867439109</v>
      </c>
      <c r="Q1105" s="120">
        <v>20157.722430753809</v>
      </c>
      <c r="R1105" s="120"/>
    </row>
    <row r="1106" spans="1:18" ht="15">
      <c r="A1106" s="105">
        <v>2</v>
      </c>
      <c r="B1106" s="105"/>
      <c r="C1106" s="107" t="s">
        <v>1110</v>
      </c>
      <c r="D1106" s="107" t="s">
        <v>1111</v>
      </c>
      <c r="E1106" s="120">
        <v>12096133.209999992</v>
      </c>
      <c r="F1106" s="120" t="s">
        <v>250</v>
      </c>
      <c r="G1106" s="120">
        <v>11975971.423877368</v>
      </c>
      <c r="H1106" s="120" t="s">
        <v>250</v>
      </c>
      <c r="I1106" s="120">
        <v>120161.78612262401</v>
      </c>
      <c r="J1106" s="120">
        <v>0</v>
      </c>
      <c r="K1106" s="120" t="s">
        <v>250</v>
      </c>
      <c r="L1106" s="120" t="s">
        <v>250</v>
      </c>
      <c r="M1106" s="120">
        <v>0</v>
      </c>
      <c r="N1106" s="120" t="s">
        <v>250</v>
      </c>
      <c r="O1106" s="120">
        <v>0</v>
      </c>
      <c r="P1106" s="120">
        <v>0</v>
      </c>
      <c r="Q1106" s="120">
        <v>0</v>
      </c>
      <c r="R1106" s="120"/>
    </row>
    <row r="1107" spans="1:18" ht="15">
      <c r="A1107" s="105">
        <v>3</v>
      </c>
      <c r="B1107" s="105"/>
      <c r="C1107" s="107" t="s">
        <v>1112</v>
      </c>
      <c r="D1107" s="107" t="s">
        <v>524</v>
      </c>
      <c r="E1107" s="120">
        <v>2094733633.5499995</v>
      </c>
      <c r="F1107" s="120" t="s">
        <v>250</v>
      </c>
      <c r="G1107" s="120">
        <v>2091205162.5499995</v>
      </c>
      <c r="H1107" s="120" t="s">
        <v>250</v>
      </c>
      <c r="I1107" s="120">
        <v>0</v>
      </c>
      <c r="J1107" s="120">
        <v>3528471</v>
      </c>
      <c r="K1107" s="120" t="s">
        <v>250</v>
      </c>
      <c r="L1107" s="120" t="s">
        <v>250</v>
      </c>
      <c r="M1107" s="120">
        <v>0</v>
      </c>
      <c r="N1107" s="120" t="s">
        <v>250</v>
      </c>
      <c r="O1107" s="120">
        <v>3528471</v>
      </c>
      <c r="P1107" s="120">
        <v>3501619</v>
      </c>
      <c r="Q1107" s="120">
        <v>26852</v>
      </c>
      <c r="R1107" s="120"/>
    </row>
    <row r="1108" spans="1:18" ht="15">
      <c r="A1108" s="105">
        <v>4</v>
      </c>
      <c r="B1108" s="105"/>
      <c r="C1108" s="107" t="s">
        <v>1113</v>
      </c>
      <c r="D1108" s="107" t="s">
        <v>428</v>
      </c>
      <c r="E1108" s="120">
        <v>84777369.939263746</v>
      </c>
      <c r="F1108" s="120" t="s">
        <v>250</v>
      </c>
      <c r="G1108" s="120">
        <v>84777369.939263746</v>
      </c>
      <c r="H1108" s="120" t="s">
        <v>250</v>
      </c>
      <c r="I1108" s="120">
        <v>0</v>
      </c>
      <c r="J1108" s="120">
        <v>0</v>
      </c>
      <c r="K1108" s="120" t="s">
        <v>250</v>
      </c>
      <c r="L1108" s="120" t="s">
        <v>250</v>
      </c>
      <c r="M1108" s="120">
        <v>0</v>
      </c>
      <c r="N1108" s="120" t="s">
        <v>250</v>
      </c>
      <c r="O1108" s="120">
        <v>0</v>
      </c>
      <c r="P1108" s="120">
        <v>0</v>
      </c>
      <c r="Q1108" s="120">
        <v>0</v>
      </c>
      <c r="R1108" s="120"/>
    </row>
    <row r="1109" spans="1:18" ht="15">
      <c r="A1109" s="105">
        <v>5</v>
      </c>
      <c r="B1109" s="105"/>
      <c r="C1109" s="107" t="s">
        <v>1114</v>
      </c>
      <c r="D1109" s="107" t="s">
        <v>1115</v>
      </c>
      <c r="E1109" s="120">
        <v>4289880.1634313092</v>
      </c>
      <c r="F1109" s="120" t="s">
        <v>250</v>
      </c>
      <c r="G1109" s="120">
        <v>0</v>
      </c>
      <c r="H1109" s="120" t="s">
        <v>250</v>
      </c>
      <c r="I1109" s="120">
        <v>4289880.1634313092</v>
      </c>
      <c r="J1109" s="120">
        <v>0</v>
      </c>
      <c r="K1109" s="120" t="s">
        <v>250</v>
      </c>
      <c r="L1109" s="120" t="s">
        <v>250</v>
      </c>
      <c r="M1109" s="120">
        <v>0</v>
      </c>
      <c r="N1109" s="120" t="s">
        <v>250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6</v>
      </c>
      <c r="B1110" s="105"/>
      <c r="C1110" s="107" t="s">
        <v>1116</v>
      </c>
      <c r="D1110" s="107" t="s">
        <v>1117</v>
      </c>
      <c r="E1110" s="120">
        <v>0</v>
      </c>
      <c r="F1110" s="120" t="s">
        <v>250</v>
      </c>
      <c r="G1110" s="120">
        <v>0</v>
      </c>
      <c r="H1110" s="120" t="s">
        <v>250</v>
      </c>
      <c r="I1110" s="120">
        <v>0</v>
      </c>
      <c r="J1110" s="120">
        <v>0</v>
      </c>
      <c r="K1110" s="120" t="s">
        <v>250</v>
      </c>
      <c r="L1110" s="120" t="s">
        <v>250</v>
      </c>
      <c r="M1110" s="120">
        <v>0</v>
      </c>
      <c r="N1110" s="120" t="s">
        <v>250</v>
      </c>
      <c r="O1110" s="120">
        <v>0</v>
      </c>
      <c r="P1110" s="120">
        <v>0</v>
      </c>
      <c r="Q1110" s="120">
        <v>0</v>
      </c>
      <c r="R1110" s="120"/>
    </row>
    <row r="1111" spans="1:18" ht="15">
      <c r="A1111" s="105">
        <v>7</v>
      </c>
      <c r="B1111" s="105"/>
      <c r="C1111" s="107" t="s">
        <v>1118</v>
      </c>
      <c r="D1111" s="107" t="s">
        <v>1119</v>
      </c>
      <c r="E1111" s="120">
        <v>1292729.9673049361</v>
      </c>
      <c r="F1111" s="120" t="s">
        <v>250</v>
      </c>
      <c r="G1111" s="120">
        <v>0</v>
      </c>
      <c r="H1111" s="120" t="s">
        <v>250</v>
      </c>
      <c r="I1111" s="120">
        <v>0</v>
      </c>
      <c r="J1111" s="120">
        <v>1292729.9673049361</v>
      </c>
      <c r="K1111" s="120" t="s">
        <v>250</v>
      </c>
      <c r="L1111" s="120" t="s">
        <v>250</v>
      </c>
      <c r="M1111" s="120">
        <v>0</v>
      </c>
      <c r="N1111" s="120" t="s">
        <v>250</v>
      </c>
      <c r="O1111" s="120">
        <v>1292729.9673049361</v>
      </c>
      <c r="P1111" s="120">
        <v>675409.14804681286</v>
      </c>
      <c r="Q1111" s="120">
        <v>617320.81925812317</v>
      </c>
      <c r="R1111" s="120"/>
    </row>
    <row r="1112" spans="1:18" ht="15">
      <c r="A1112" s="105">
        <v>8</v>
      </c>
      <c r="B1112" s="105"/>
      <c r="C1112" s="107" t="s">
        <v>1120</v>
      </c>
      <c r="D1112" s="107" t="s">
        <v>1121</v>
      </c>
      <c r="E1112" s="120">
        <v>-1305766</v>
      </c>
      <c r="F1112" s="120" t="s">
        <v>250</v>
      </c>
      <c r="G1112" s="120">
        <v>-1286426</v>
      </c>
      <c r="H1112" s="120" t="s">
        <v>250</v>
      </c>
      <c r="I1112" s="120">
        <v>0</v>
      </c>
      <c r="J1112" s="120">
        <v>-19340</v>
      </c>
      <c r="K1112" s="120" t="s">
        <v>250</v>
      </c>
      <c r="L1112" s="120" t="s">
        <v>250</v>
      </c>
      <c r="M1112" s="120">
        <v>0</v>
      </c>
      <c r="N1112" s="120" t="s">
        <v>250</v>
      </c>
      <c r="O1112" s="120">
        <v>-19340</v>
      </c>
      <c r="P1112" s="120">
        <v>-10111</v>
      </c>
      <c r="Q1112" s="120">
        <v>-9229</v>
      </c>
      <c r="R1112" s="120"/>
    </row>
    <row r="1113" spans="1:18" ht="15">
      <c r="A1113" s="105">
        <v>9</v>
      </c>
      <c r="B1113" s="105"/>
      <c r="C1113" s="107" t="s">
        <v>1122</v>
      </c>
      <c r="D1113" s="107" t="s">
        <v>727</v>
      </c>
      <c r="E1113" s="120">
        <v>166487986.25215781</v>
      </c>
      <c r="F1113" s="120" t="s">
        <v>250</v>
      </c>
      <c r="G1113" s="120">
        <v>158563453.38557369</v>
      </c>
      <c r="H1113" s="120" t="s">
        <v>250</v>
      </c>
      <c r="I1113" s="120">
        <v>7924532.8665841119</v>
      </c>
      <c r="J1113" s="120">
        <v>0</v>
      </c>
      <c r="K1113" s="120" t="s">
        <v>250</v>
      </c>
      <c r="L1113" s="120" t="s">
        <v>250</v>
      </c>
      <c r="M1113" s="120">
        <v>0</v>
      </c>
      <c r="N1113" s="120" t="s">
        <v>250</v>
      </c>
      <c r="O1113" s="120">
        <v>0</v>
      </c>
      <c r="P1113" s="120">
        <v>0</v>
      </c>
      <c r="Q1113" s="120">
        <v>0</v>
      </c>
      <c r="R1113" s="120"/>
    </row>
    <row r="1114" spans="1:18" ht="15">
      <c r="A1114" s="105">
        <v>10</v>
      </c>
      <c r="B1114" s="105"/>
      <c r="C1114" s="107" t="s">
        <v>1123</v>
      </c>
      <c r="D1114" s="107" t="s">
        <v>456</v>
      </c>
      <c r="E1114" s="120">
        <v>1223571206.316412</v>
      </c>
      <c r="F1114" s="120" t="s">
        <v>250</v>
      </c>
      <c r="G1114" s="120">
        <v>1169694019.427686</v>
      </c>
      <c r="H1114" s="120" t="s">
        <v>250</v>
      </c>
      <c r="I1114" s="120">
        <v>53877186.888726115</v>
      </c>
      <c r="J1114" s="120">
        <v>0</v>
      </c>
      <c r="K1114" s="120" t="s">
        <v>250</v>
      </c>
      <c r="L1114" s="120" t="s">
        <v>250</v>
      </c>
      <c r="M1114" s="120">
        <v>0</v>
      </c>
      <c r="N1114" s="120" t="s">
        <v>250</v>
      </c>
      <c r="O1114" s="120">
        <v>0</v>
      </c>
      <c r="P1114" s="120">
        <v>0</v>
      </c>
      <c r="Q1114" s="120">
        <v>0</v>
      </c>
      <c r="R1114" s="120"/>
    </row>
    <row r="1115" spans="1:18" ht="15">
      <c r="A1115" s="105">
        <v>11</v>
      </c>
      <c r="B1115" s="105"/>
      <c r="C1115" s="107" t="s">
        <v>250</v>
      </c>
      <c r="D1115" s="107" t="s">
        <v>250</v>
      </c>
      <c r="E1115" s="120" t="s">
        <v>250</v>
      </c>
      <c r="F1115" s="120" t="s">
        <v>250</v>
      </c>
      <c r="G1115" s="120" t="s">
        <v>250</v>
      </c>
      <c r="H1115" s="120" t="s">
        <v>250</v>
      </c>
      <c r="I1115" s="120" t="s">
        <v>250</v>
      </c>
      <c r="J1115" s="120" t="s">
        <v>250</v>
      </c>
      <c r="K1115" s="120" t="s">
        <v>250</v>
      </c>
      <c r="L1115" s="120" t="s">
        <v>250</v>
      </c>
      <c r="M1115" s="120" t="s">
        <v>250</v>
      </c>
      <c r="N1115" s="120" t="s">
        <v>250</v>
      </c>
      <c r="O1115" s="120" t="s">
        <v>250</v>
      </c>
      <c r="P1115" s="120" t="s">
        <v>250</v>
      </c>
      <c r="Q1115" s="120" t="s">
        <v>250</v>
      </c>
      <c r="R1115" s="120"/>
    </row>
    <row r="1116" spans="1:18" ht="15">
      <c r="A1116" s="105">
        <v>12</v>
      </c>
      <c r="B1116" s="105"/>
      <c r="C1116" s="107" t="s">
        <v>250</v>
      </c>
      <c r="D1116" s="107" t="s">
        <v>250</v>
      </c>
      <c r="E1116" s="120" t="s">
        <v>250</v>
      </c>
      <c r="F1116" s="120" t="s">
        <v>250</v>
      </c>
      <c r="G1116" s="120" t="s">
        <v>250</v>
      </c>
      <c r="H1116" s="120" t="s">
        <v>250</v>
      </c>
      <c r="I1116" s="120" t="s">
        <v>250</v>
      </c>
      <c r="J1116" s="120" t="s">
        <v>250</v>
      </c>
      <c r="K1116" s="120" t="s">
        <v>250</v>
      </c>
      <c r="L1116" s="120" t="s">
        <v>250</v>
      </c>
      <c r="M1116" s="120" t="s">
        <v>250</v>
      </c>
      <c r="N1116" s="120" t="s">
        <v>250</v>
      </c>
      <c r="O1116" s="120" t="s">
        <v>250</v>
      </c>
      <c r="P1116" s="120" t="s">
        <v>250</v>
      </c>
      <c r="Q1116" s="120" t="s">
        <v>250</v>
      </c>
      <c r="R1116" s="120"/>
    </row>
    <row r="1117" spans="1:18" ht="15">
      <c r="A1117" s="105">
        <v>13</v>
      </c>
      <c r="B1117" s="105"/>
      <c r="C1117" s="107" t="s">
        <v>250</v>
      </c>
      <c r="D1117" s="107" t="s">
        <v>250</v>
      </c>
      <c r="E1117" s="120" t="s">
        <v>250</v>
      </c>
      <c r="F1117" s="120" t="s">
        <v>250</v>
      </c>
      <c r="G1117" s="120" t="s">
        <v>250</v>
      </c>
      <c r="H1117" s="120" t="s">
        <v>250</v>
      </c>
      <c r="I1117" s="120" t="s">
        <v>250</v>
      </c>
      <c r="J1117" s="120" t="s">
        <v>250</v>
      </c>
      <c r="K1117" s="120" t="s">
        <v>250</v>
      </c>
      <c r="L1117" s="120" t="s">
        <v>250</v>
      </c>
      <c r="M1117" s="120" t="s">
        <v>250</v>
      </c>
      <c r="N1117" s="120" t="s">
        <v>250</v>
      </c>
      <c r="O1117" s="120" t="s">
        <v>250</v>
      </c>
      <c r="P1117" s="120" t="s">
        <v>250</v>
      </c>
      <c r="Q1117" s="120" t="s">
        <v>250</v>
      </c>
      <c r="R1117" s="120"/>
    </row>
    <row r="1118" spans="1:18" ht="15">
      <c r="A1118" s="105">
        <v>14</v>
      </c>
      <c r="B1118" s="105"/>
      <c r="C1118" s="107" t="s">
        <v>250</v>
      </c>
      <c r="D1118" s="107" t="s">
        <v>250</v>
      </c>
      <c r="E1118" s="120" t="s">
        <v>250</v>
      </c>
      <c r="F1118" s="120" t="s">
        <v>250</v>
      </c>
      <c r="G1118" s="120" t="s">
        <v>250</v>
      </c>
      <c r="H1118" s="120" t="s">
        <v>250</v>
      </c>
      <c r="I1118" s="120" t="s">
        <v>250</v>
      </c>
      <c r="J1118" s="120" t="s">
        <v>250</v>
      </c>
      <c r="K1118" s="120" t="s">
        <v>250</v>
      </c>
      <c r="L1118" s="120" t="s">
        <v>250</v>
      </c>
      <c r="M1118" s="120" t="s">
        <v>250</v>
      </c>
      <c r="N1118" s="120" t="s">
        <v>250</v>
      </c>
      <c r="O1118" s="120" t="s">
        <v>250</v>
      </c>
      <c r="P1118" s="120" t="s">
        <v>250</v>
      </c>
      <c r="Q1118" s="120" t="s">
        <v>250</v>
      </c>
      <c r="R1118" s="120"/>
    </row>
    <row r="1119" spans="1:18" ht="15">
      <c r="A1119" s="105">
        <v>15</v>
      </c>
      <c r="B1119" s="105"/>
      <c r="C1119" s="107" t="s">
        <v>250</v>
      </c>
      <c r="D1119" s="107" t="s">
        <v>250</v>
      </c>
      <c r="E1119" s="120" t="s">
        <v>250</v>
      </c>
      <c r="F1119" s="120" t="s">
        <v>250</v>
      </c>
      <c r="G1119" s="120" t="s">
        <v>250</v>
      </c>
      <c r="H1119" s="120" t="s">
        <v>250</v>
      </c>
      <c r="I1119" s="120" t="s">
        <v>250</v>
      </c>
      <c r="J1119" s="120" t="s">
        <v>250</v>
      </c>
      <c r="K1119" s="120" t="s">
        <v>250</v>
      </c>
      <c r="L1119" s="120" t="s">
        <v>250</v>
      </c>
      <c r="M1119" s="120" t="s">
        <v>250</v>
      </c>
      <c r="N1119" s="120" t="s">
        <v>250</v>
      </c>
      <c r="O1119" s="120" t="s">
        <v>250</v>
      </c>
      <c r="P1119" s="120" t="s">
        <v>250</v>
      </c>
      <c r="Q1119" s="120" t="s">
        <v>250</v>
      </c>
      <c r="R1119" s="120"/>
    </row>
    <row r="1120" spans="1:18" ht="15">
      <c r="A1120" s="105">
        <v>16</v>
      </c>
      <c r="B1120" s="105"/>
      <c r="C1120" s="107" t="s">
        <v>250</v>
      </c>
      <c r="D1120" s="107" t="s">
        <v>250</v>
      </c>
      <c r="E1120" s="120" t="s">
        <v>250</v>
      </c>
      <c r="F1120" s="120" t="s">
        <v>250</v>
      </c>
      <c r="G1120" s="120" t="s">
        <v>250</v>
      </c>
      <c r="H1120" s="120" t="s">
        <v>250</v>
      </c>
      <c r="I1120" s="120" t="s">
        <v>250</v>
      </c>
      <c r="J1120" s="120" t="s">
        <v>250</v>
      </c>
      <c r="K1120" s="120" t="s">
        <v>250</v>
      </c>
      <c r="L1120" s="120" t="s">
        <v>250</v>
      </c>
      <c r="M1120" s="120" t="s">
        <v>250</v>
      </c>
      <c r="N1120" s="120" t="s">
        <v>250</v>
      </c>
      <c r="O1120" s="120" t="s">
        <v>250</v>
      </c>
      <c r="P1120" s="120" t="s">
        <v>250</v>
      </c>
      <c r="Q1120" s="120" t="s">
        <v>250</v>
      </c>
      <c r="R1120" s="120"/>
    </row>
    <row r="1121" spans="1:18" ht="15">
      <c r="A1121" s="105">
        <v>17</v>
      </c>
      <c r="B1121" s="105"/>
      <c r="C1121" s="107" t="s">
        <v>250</v>
      </c>
      <c r="D1121" s="107" t="s">
        <v>250</v>
      </c>
      <c r="E1121" s="120" t="s">
        <v>250</v>
      </c>
      <c r="F1121" s="120" t="s">
        <v>250</v>
      </c>
      <c r="G1121" s="120" t="s">
        <v>250</v>
      </c>
      <c r="H1121" s="120" t="s">
        <v>250</v>
      </c>
      <c r="I1121" s="120" t="s">
        <v>250</v>
      </c>
      <c r="J1121" s="120" t="s">
        <v>250</v>
      </c>
      <c r="K1121" s="120" t="s">
        <v>250</v>
      </c>
      <c r="L1121" s="120" t="s">
        <v>250</v>
      </c>
      <c r="M1121" s="120" t="s">
        <v>250</v>
      </c>
      <c r="N1121" s="120" t="s">
        <v>250</v>
      </c>
      <c r="O1121" s="120" t="s">
        <v>250</v>
      </c>
      <c r="P1121" s="120" t="s">
        <v>250</v>
      </c>
      <c r="Q1121" s="120" t="s">
        <v>250</v>
      </c>
      <c r="R1121" s="120"/>
    </row>
    <row r="1122" spans="1:18" ht="15">
      <c r="A1122" s="105">
        <v>18</v>
      </c>
      <c r="B1122" s="105"/>
      <c r="C1122" s="107" t="s">
        <v>250</v>
      </c>
      <c r="D1122" s="107" t="s">
        <v>250</v>
      </c>
      <c r="E1122" s="120" t="s">
        <v>250</v>
      </c>
      <c r="F1122" s="120" t="s">
        <v>250</v>
      </c>
      <c r="G1122" s="120" t="s">
        <v>250</v>
      </c>
      <c r="H1122" s="120" t="s">
        <v>250</v>
      </c>
      <c r="I1122" s="120" t="s">
        <v>250</v>
      </c>
      <c r="J1122" s="120" t="s">
        <v>250</v>
      </c>
      <c r="K1122" s="120" t="s">
        <v>250</v>
      </c>
      <c r="L1122" s="120" t="s">
        <v>250</v>
      </c>
      <c r="M1122" s="120" t="s">
        <v>250</v>
      </c>
      <c r="N1122" s="120" t="s">
        <v>250</v>
      </c>
      <c r="O1122" s="120" t="s">
        <v>250</v>
      </c>
      <c r="P1122" s="120" t="s">
        <v>250</v>
      </c>
      <c r="Q1122" s="120" t="s">
        <v>250</v>
      </c>
      <c r="R1122" s="120"/>
    </row>
    <row r="1123" spans="1:18" ht="15">
      <c r="A1123" s="105">
        <v>19</v>
      </c>
      <c r="B1123" s="105"/>
      <c r="C1123" s="107" t="s">
        <v>250</v>
      </c>
      <c r="D1123" s="107" t="s">
        <v>250</v>
      </c>
      <c r="E1123" s="120" t="s">
        <v>250</v>
      </c>
      <c r="F1123" s="120" t="s">
        <v>250</v>
      </c>
      <c r="G1123" s="120" t="s">
        <v>250</v>
      </c>
      <c r="H1123" s="120" t="s">
        <v>250</v>
      </c>
      <c r="I1123" s="120" t="s">
        <v>250</v>
      </c>
      <c r="J1123" s="120" t="s">
        <v>250</v>
      </c>
      <c r="K1123" s="120" t="s">
        <v>250</v>
      </c>
      <c r="L1123" s="120" t="s">
        <v>250</v>
      </c>
      <c r="M1123" s="120" t="s">
        <v>250</v>
      </c>
      <c r="N1123" s="120" t="s">
        <v>250</v>
      </c>
      <c r="O1123" s="120" t="s">
        <v>250</v>
      </c>
      <c r="P1123" s="120" t="s">
        <v>250</v>
      </c>
      <c r="Q1123" s="120" t="s">
        <v>250</v>
      </c>
      <c r="R1123" s="120"/>
    </row>
    <row r="1124" spans="1:18" ht="15">
      <c r="A1124" s="105">
        <v>20</v>
      </c>
      <c r="B1124" s="105"/>
      <c r="C1124" s="107" t="s">
        <v>250</v>
      </c>
      <c r="D1124" s="107" t="s">
        <v>250</v>
      </c>
      <c r="E1124" s="120" t="s">
        <v>250</v>
      </c>
      <c r="F1124" s="120" t="s">
        <v>250</v>
      </c>
      <c r="G1124" s="120" t="s">
        <v>250</v>
      </c>
      <c r="H1124" s="120" t="s">
        <v>250</v>
      </c>
      <c r="I1124" s="120" t="s">
        <v>250</v>
      </c>
      <c r="J1124" s="120" t="s">
        <v>250</v>
      </c>
      <c r="K1124" s="120" t="s">
        <v>250</v>
      </c>
      <c r="L1124" s="120" t="s">
        <v>250</v>
      </c>
      <c r="M1124" s="120" t="s">
        <v>250</v>
      </c>
      <c r="N1124" s="120" t="s">
        <v>250</v>
      </c>
      <c r="O1124" s="120" t="s">
        <v>250</v>
      </c>
      <c r="P1124" s="120" t="s">
        <v>250</v>
      </c>
      <c r="Q1124" s="120" t="s">
        <v>250</v>
      </c>
      <c r="R1124" s="120"/>
    </row>
    <row r="1125" spans="1:18" ht="15">
      <c r="A1125" s="105">
        <v>21</v>
      </c>
      <c r="B1125" s="105"/>
      <c r="C1125" s="107" t="s">
        <v>250</v>
      </c>
      <c r="D1125" s="107" t="s">
        <v>250</v>
      </c>
      <c r="E1125" s="120" t="s">
        <v>250</v>
      </c>
      <c r="F1125" s="120" t="s">
        <v>250</v>
      </c>
      <c r="G1125" s="120" t="s">
        <v>250</v>
      </c>
      <c r="H1125" s="120" t="s">
        <v>250</v>
      </c>
      <c r="I1125" s="120" t="s">
        <v>250</v>
      </c>
      <c r="J1125" s="120" t="s">
        <v>250</v>
      </c>
      <c r="K1125" s="120" t="s">
        <v>250</v>
      </c>
      <c r="L1125" s="120" t="s">
        <v>250</v>
      </c>
      <c r="M1125" s="120" t="s">
        <v>250</v>
      </c>
      <c r="N1125" s="120" t="s">
        <v>250</v>
      </c>
      <c r="O1125" s="120" t="s">
        <v>250</v>
      </c>
      <c r="P1125" s="120" t="s">
        <v>250</v>
      </c>
      <c r="Q1125" s="120" t="s">
        <v>250</v>
      </c>
      <c r="R1125" s="120"/>
    </row>
    <row r="1126" spans="1:18" ht="15">
      <c r="A1126" s="105">
        <v>22</v>
      </c>
      <c r="B1126" s="105"/>
      <c r="C1126" s="107" t="s">
        <v>250</v>
      </c>
      <c r="D1126" s="107" t="s">
        <v>250</v>
      </c>
      <c r="E1126" s="120" t="s">
        <v>250</v>
      </c>
      <c r="F1126" s="120" t="s">
        <v>250</v>
      </c>
      <c r="G1126" s="120" t="s">
        <v>250</v>
      </c>
      <c r="H1126" s="120" t="s">
        <v>250</v>
      </c>
      <c r="I1126" s="120" t="s">
        <v>250</v>
      </c>
      <c r="J1126" s="120" t="s">
        <v>250</v>
      </c>
      <c r="K1126" s="120" t="s">
        <v>250</v>
      </c>
      <c r="L1126" s="120" t="s">
        <v>250</v>
      </c>
      <c r="M1126" s="120" t="s">
        <v>250</v>
      </c>
      <c r="N1126" s="120" t="s">
        <v>250</v>
      </c>
      <c r="O1126" s="120" t="s">
        <v>250</v>
      </c>
      <c r="P1126" s="120" t="s">
        <v>250</v>
      </c>
      <c r="Q1126" s="120" t="s">
        <v>250</v>
      </c>
      <c r="R1126" s="120"/>
    </row>
    <row r="1127" spans="1:18" ht="15">
      <c r="A1127" s="105">
        <v>23</v>
      </c>
      <c r="B1127" s="105"/>
      <c r="C1127" s="107" t="s">
        <v>250</v>
      </c>
      <c r="D1127" s="107" t="s">
        <v>250</v>
      </c>
      <c r="E1127" s="120" t="s">
        <v>250</v>
      </c>
      <c r="F1127" s="120" t="s">
        <v>250</v>
      </c>
      <c r="G1127" s="120" t="s">
        <v>250</v>
      </c>
      <c r="H1127" s="120" t="s">
        <v>250</v>
      </c>
      <c r="I1127" s="120" t="s">
        <v>250</v>
      </c>
      <c r="J1127" s="120" t="s">
        <v>250</v>
      </c>
      <c r="K1127" s="120" t="s">
        <v>250</v>
      </c>
      <c r="L1127" s="120" t="s">
        <v>250</v>
      </c>
      <c r="M1127" s="120" t="s">
        <v>250</v>
      </c>
      <c r="N1127" s="120" t="s">
        <v>250</v>
      </c>
      <c r="O1127" s="120" t="s">
        <v>250</v>
      </c>
      <c r="P1127" s="120" t="s">
        <v>250</v>
      </c>
      <c r="Q1127" s="120" t="s">
        <v>250</v>
      </c>
      <c r="R1127" s="120"/>
    </row>
    <row r="1128" spans="1:18" ht="15">
      <c r="A1128" s="105">
        <v>24</v>
      </c>
      <c r="B1128" s="105"/>
      <c r="C1128" s="107" t="s">
        <v>250</v>
      </c>
      <c r="D1128" s="107" t="s">
        <v>250</v>
      </c>
      <c r="E1128" s="120" t="s">
        <v>250</v>
      </c>
      <c r="F1128" s="120" t="s">
        <v>250</v>
      </c>
      <c r="G1128" s="120" t="s">
        <v>250</v>
      </c>
      <c r="H1128" s="120" t="s">
        <v>250</v>
      </c>
      <c r="I1128" s="120" t="s">
        <v>250</v>
      </c>
      <c r="J1128" s="120" t="s">
        <v>250</v>
      </c>
      <c r="K1128" s="120" t="s">
        <v>250</v>
      </c>
      <c r="L1128" s="120" t="s">
        <v>250</v>
      </c>
      <c r="M1128" s="120" t="s">
        <v>250</v>
      </c>
      <c r="N1128" s="120" t="s">
        <v>250</v>
      </c>
      <c r="O1128" s="120" t="s">
        <v>250</v>
      </c>
      <c r="P1128" s="120" t="s">
        <v>250</v>
      </c>
      <c r="Q1128" s="120" t="s">
        <v>250</v>
      </c>
      <c r="R1128" s="120"/>
    </row>
    <row r="1129" spans="1:18" ht="15">
      <c r="A1129" s="105">
        <v>25</v>
      </c>
      <c r="B1129" s="105"/>
      <c r="C1129" s="107" t="s">
        <v>250</v>
      </c>
      <c r="D1129" s="107" t="s">
        <v>250</v>
      </c>
      <c r="E1129" s="120" t="s">
        <v>250</v>
      </c>
      <c r="F1129" s="120" t="s">
        <v>250</v>
      </c>
      <c r="G1129" s="120" t="s">
        <v>250</v>
      </c>
      <c r="H1129" s="120" t="s">
        <v>250</v>
      </c>
      <c r="I1129" s="120" t="s">
        <v>250</v>
      </c>
      <c r="J1129" s="120" t="s">
        <v>250</v>
      </c>
      <c r="K1129" s="120" t="s">
        <v>250</v>
      </c>
      <c r="L1129" s="120" t="s">
        <v>250</v>
      </c>
      <c r="M1129" s="120" t="s">
        <v>250</v>
      </c>
      <c r="N1129" s="120" t="s">
        <v>250</v>
      </c>
      <c r="O1129" s="120" t="s">
        <v>250</v>
      </c>
      <c r="P1129" s="120" t="s">
        <v>250</v>
      </c>
      <c r="Q1129" s="120" t="s">
        <v>250</v>
      </c>
      <c r="R1129" s="120"/>
    </row>
    <row r="1130" spans="1:18" ht="15">
      <c r="A1130" s="105">
        <v>26</v>
      </c>
      <c r="B1130" s="105"/>
      <c r="C1130" s="107" t="s">
        <v>250</v>
      </c>
      <c r="D1130" s="107" t="s">
        <v>250</v>
      </c>
      <c r="E1130" s="120" t="s">
        <v>250</v>
      </c>
      <c r="F1130" s="120" t="s">
        <v>250</v>
      </c>
      <c r="G1130" s="120" t="s">
        <v>250</v>
      </c>
      <c r="H1130" s="120" t="s">
        <v>250</v>
      </c>
      <c r="I1130" s="120" t="s">
        <v>250</v>
      </c>
      <c r="J1130" s="120" t="s">
        <v>250</v>
      </c>
      <c r="K1130" s="120" t="s">
        <v>250</v>
      </c>
      <c r="L1130" s="120" t="s">
        <v>250</v>
      </c>
      <c r="M1130" s="120" t="s">
        <v>250</v>
      </c>
      <c r="N1130" s="120" t="s">
        <v>250</v>
      </c>
      <c r="O1130" s="120" t="s">
        <v>250</v>
      </c>
      <c r="P1130" s="120" t="s">
        <v>250</v>
      </c>
      <c r="Q1130" s="120" t="s">
        <v>250</v>
      </c>
      <c r="R1130" s="120"/>
    </row>
    <row r="1131" spans="1:18" ht="15">
      <c r="A1131" s="105">
        <v>27</v>
      </c>
      <c r="B1131" s="105"/>
      <c r="C1131" s="107" t="s">
        <v>250</v>
      </c>
      <c r="D1131" s="107" t="s">
        <v>250</v>
      </c>
      <c r="E1131" s="120" t="s">
        <v>250</v>
      </c>
      <c r="F1131" s="120" t="s">
        <v>250</v>
      </c>
      <c r="G1131" s="120" t="s">
        <v>250</v>
      </c>
      <c r="H1131" s="120" t="s">
        <v>250</v>
      </c>
      <c r="I1131" s="120" t="s">
        <v>250</v>
      </c>
      <c r="J1131" s="120" t="s">
        <v>250</v>
      </c>
      <c r="K1131" s="120" t="s">
        <v>250</v>
      </c>
      <c r="L1131" s="120" t="s">
        <v>250</v>
      </c>
      <c r="M1131" s="120" t="s">
        <v>250</v>
      </c>
      <c r="N1131" s="120" t="s">
        <v>250</v>
      </c>
      <c r="O1131" s="120" t="s">
        <v>250</v>
      </c>
      <c r="P1131" s="120" t="s">
        <v>250</v>
      </c>
      <c r="Q1131" s="120" t="s">
        <v>250</v>
      </c>
      <c r="R1131" s="120"/>
    </row>
    <row r="1132" spans="1:18" ht="15">
      <c r="A1132" s="105">
        <v>28</v>
      </c>
      <c r="B1132" s="105"/>
      <c r="C1132" s="107" t="s">
        <v>250</v>
      </c>
      <c r="D1132" s="107" t="s">
        <v>250</v>
      </c>
      <c r="E1132" s="120" t="s">
        <v>250</v>
      </c>
      <c r="F1132" s="120" t="s">
        <v>250</v>
      </c>
      <c r="G1132" s="120" t="s">
        <v>250</v>
      </c>
      <c r="H1132" s="120" t="s">
        <v>250</v>
      </c>
      <c r="I1132" s="120" t="s">
        <v>250</v>
      </c>
      <c r="J1132" s="120" t="s">
        <v>250</v>
      </c>
      <c r="K1132" s="120" t="s">
        <v>250</v>
      </c>
      <c r="L1132" s="120" t="s">
        <v>250</v>
      </c>
      <c r="M1132" s="120" t="s">
        <v>250</v>
      </c>
      <c r="N1132" s="120" t="s">
        <v>250</v>
      </c>
      <c r="O1132" s="120" t="s">
        <v>250</v>
      </c>
      <c r="P1132" s="120" t="s">
        <v>250</v>
      </c>
      <c r="Q1132" s="120" t="s">
        <v>250</v>
      </c>
      <c r="R1132" s="120"/>
    </row>
    <row r="1133" spans="1:18" ht="15">
      <c r="A1133" s="105">
        <v>29</v>
      </c>
      <c r="B1133" s="105"/>
      <c r="C1133" s="107" t="s">
        <v>250</v>
      </c>
      <c r="D1133" s="107" t="s">
        <v>250</v>
      </c>
      <c r="E1133" s="120" t="s">
        <v>250</v>
      </c>
      <c r="F1133" s="120" t="s">
        <v>250</v>
      </c>
      <c r="G1133" s="120" t="s">
        <v>250</v>
      </c>
      <c r="H1133" s="120" t="s">
        <v>250</v>
      </c>
      <c r="I1133" s="120" t="s">
        <v>250</v>
      </c>
      <c r="J1133" s="120" t="s">
        <v>250</v>
      </c>
      <c r="K1133" s="120" t="s">
        <v>250</v>
      </c>
      <c r="L1133" s="120" t="s">
        <v>250</v>
      </c>
      <c r="M1133" s="120" t="s">
        <v>250</v>
      </c>
      <c r="N1133" s="120" t="s">
        <v>250</v>
      </c>
      <c r="O1133" s="120" t="s">
        <v>250</v>
      </c>
      <c r="P1133" s="120" t="s">
        <v>250</v>
      </c>
      <c r="Q1133" s="120" t="s">
        <v>250</v>
      </c>
      <c r="R1133" s="120"/>
    </row>
    <row r="1134" spans="1:18" ht="15">
      <c r="A1134" s="105">
        <v>30</v>
      </c>
      <c r="B1134" s="105"/>
      <c r="C1134" s="107" t="s">
        <v>250</v>
      </c>
      <c r="D1134" s="107" t="s">
        <v>250</v>
      </c>
      <c r="E1134" s="120" t="s">
        <v>250</v>
      </c>
      <c r="F1134" s="120" t="s">
        <v>250</v>
      </c>
      <c r="G1134" s="120" t="s">
        <v>250</v>
      </c>
      <c r="H1134" s="120" t="s">
        <v>250</v>
      </c>
      <c r="I1134" s="120" t="s">
        <v>250</v>
      </c>
      <c r="J1134" s="120" t="s">
        <v>250</v>
      </c>
      <c r="K1134" s="120" t="s">
        <v>250</v>
      </c>
      <c r="L1134" s="120" t="s">
        <v>250</v>
      </c>
      <c r="M1134" s="120" t="s">
        <v>250</v>
      </c>
      <c r="N1134" s="120" t="s">
        <v>250</v>
      </c>
      <c r="O1134" s="120" t="s">
        <v>250</v>
      </c>
      <c r="P1134" s="120" t="s">
        <v>250</v>
      </c>
      <c r="Q1134" s="120" t="s">
        <v>250</v>
      </c>
      <c r="R1134" s="120"/>
    </row>
    <row r="1135" spans="1:18" ht="15">
      <c r="A1135" s="105" t="s">
        <v>250</v>
      </c>
      <c r="B1135" s="105"/>
      <c r="C1135" s="107" t="s">
        <v>250</v>
      </c>
      <c r="D1135" s="107" t="s">
        <v>250</v>
      </c>
      <c r="E1135" s="120" t="s">
        <v>250</v>
      </c>
      <c r="F1135" s="120" t="s">
        <v>250</v>
      </c>
      <c r="G1135" s="120" t="s">
        <v>250</v>
      </c>
      <c r="H1135" s="120" t="s">
        <v>250</v>
      </c>
      <c r="I1135" s="120" t="s">
        <v>250</v>
      </c>
      <c r="J1135" s="120" t="s">
        <v>250</v>
      </c>
      <c r="K1135" s="120" t="s">
        <v>250</v>
      </c>
      <c r="L1135" s="120" t="s">
        <v>250</v>
      </c>
      <c r="M1135" s="120" t="s">
        <v>250</v>
      </c>
      <c r="N1135" s="120" t="s">
        <v>250</v>
      </c>
      <c r="O1135" s="120" t="s">
        <v>250</v>
      </c>
      <c r="P1135" s="120" t="s">
        <v>250</v>
      </c>
      <c r="Q1135" s="120" t="s">
        <v>250</v>
      </c>
      <c r="R1135" s="120"/>
    </row>
    <row r="1136" spans="1:18" ht="15">
      <c r="A1136" s="105" t="s">
        <v>250</v>
      </c>
      <c r="B1136" s="105"/>
      <c r="C1136" s="107" t="s">
        <v>1124</v>
      </c>
      <c r="D1136" s="107" t="s">
        <v>250</v>
      </c>
      <c r="E1136" s="120" t="s">
        <v>250</v>
      </c>
      <c r="F1136" s="120" t="s">
        <v>250</v>
      </c>
      <c r="G1136" s="120" t="s">
        <v>250</v>
      </c>
      <c r="H1136" s="120" t="s">
        <v>250</v>
      </c>
      <c r="I1136" s="120" t="s">
        <v>250</v>
      </c>
      <c r="J1136" s="120" t="s">
        <v>250</v>
      </c>
      <c r="K1136" s="120" t="s">
        <v>250</v>
      </c>
      <c r="L1136" s="120" t="s">
        <v>250</v>
      </c>
      <c r="M1136" s="120" t="s">
        <v>250</v>
      </c>
      <c r="N1136" s="120" t="s">
        <v>250</v>
      </c>
      <c r="O1136" s="120" t="s">
        <v>250</v>
      </c>
      <c r="P1136" s="120" t="s">
        <v>250</v>
      </c>
      <c r="Q1136" s="120" t="s">
        <v>250</v>
      </c>
      <c r="R1136" s="120"/>
    </row>
    <row r="1137" spans="1:18" ht="15">
      <c r="A1137" s="105" t="s">
        <v>250</v>
      </c>
      <c r="B1137" s="105"/>
      <c r="C1137" s="107" t="s">
        <v>917</v>
      </c>
      <c r="D1137" s="107" t="s">
        <v>250</v>
      </c>
      <c r="E1137" s="120" t="s">
        <v>250</v>
      </c>
      <c r="F1137" s="120" t="s">
        <v>250</v>
      </c>
      <c r="G1137" s="120" t="s">
        <v>250</v>
      </c>
      <c r="H1137" s="120" t="s">
        <v>250</v>
      </c>
      <c r="I1137" s="120" t="s">
        <v>250</v>
      </c>
      <c r="J1137" s="120" t="s">
        <v>250</v>
      </c>
      <c r="K1137" s="120" t="s">
        <v>250</v>
      </c>
      <c r="L1137" s="120" t="s">
        <v>250</v>
      </c>
      <c r="M1137" s="120" t="s">
        <v>250</v>
      </c>
      <c r="N1137" s="120" t="s">
        <v>250</v>
      </c>
      <c r="O1137" s="120" t="s">
        <v>250</v>
      </c>
      <c r="P1137" s="120" t="s">
        <v>250</v>
      </c>
      <c r="Q1137" s="120" t="s">
        <v>250</v>
      </c>
      <c r="R1137" s="120"/>
    </row>
    <row r="1138" spans="1:18" ht="15">
      <c r="A1138" s="105">
        <v>1</v>
      </c>
      <c r="B1138" s="105"/>
      <c r="C1138" s="107" t="s">
        <v>1125</v>
      </c>
      <c r="D1138" s="107" t="s">
        <v>250</v>
      </c>
      <c r="E1138" s="120">
        <v>686915543.30342388</v>
      </c>
      <c r="F1138" s="120" t="s">
        <v>250</v>
      </c>
      <c r="G1138" s="120">
        <v>645498445.13669002</v>
      </c>
      <c r="H1138" s="120" t="s">
        <v>250</v>
      </c>
      <c r="I1138" s="120">
        <v>41417098.166733816</v>
      </c>
      <c r="J1138" s="120">
        <v>0</v>
      </c>
      <c r="K1138" s="120" t="s">
        <v>250</v>
      </c>
      <c r="L1138" s="120" t="s">
        <v>250</v>
      </c>
      <c r="M1138" s="120">
        <v>0</v>
      </c>
      <c r="N1138" s="120" t="s">
        <v>250</v>
      </c>
      <c r="O1138" s="120">
        <v>0</v>
      </c>
      <c r="P1138" s="120">
        <v>0</v>
      </c>
      <c r="Q1138" s="120">
        <v>0</v>
      </c>
      <c r="R1138" s="120"/>
    </row>
    <row r="1139" spans="1:18" ht="15">
      <c r="A1139" s="105">
        <v>2</v>
      </c>
      <c r="B1139" s="105"/>
      <c r="C1139" s="107" t="s">
        <v>1126</v>
      </c>
      <c r="D1139" s="107" t="s">
        <v>250</v>
      </c>
      <c r="E1139" s="120">
        <v>430116615.75865459</v>
      </c>
      <c r="F1139" s="120" t="s">
        <v>250</v>
      </c>
      <c r="G1139" s="120">
        <v>412153544.04914832</v>
      </c>
      <c r="H1139" s="120" t="s">
        <v>250</v>
      </c>
      <c r="I1139" s="120">
        <v>17963071.709506247</v>
      </c>
      <c r="J1139" s="120">
        <v>0</v>
      </c>
      <c r="K1139" s="120" t="s">
        <v>250</v>
      </c>
      <c r="L1139" s="120" t="s">
        <v>250</v>
      </c>
      <c r="M1139" s="120">
        <v>0</v>
      </c>
      <c r="N1139" s="120" t="s">
        <v>250</v>
      </c>
      <c r="O1139" s="120">
        <v>0</v>
      </c>
      <c r="P1139" s="120">
        <v>0</v>
      </c>
      <c r="Q1139" s="120">
        <v>0</v>
      </c>
      <c r="R1139" s="120"/>
    </row>
    <row r="1140" spans="1:18" ht="15">
      <c r="A1140" s="105">
        <v>3</v>
      </c>
      <c r="B1140" s="105"/>
      <c r="C1140" s="107" t="s">
        <v>1127</v>
      </c>
      <c r="D1140" s="107" t="s">
        <v>250</v>
      </c>
      <c r="E1140" s="120">
        <v>0</v>
      </c>
      <c r="F1140" s="120" t="s">
        <v>250</v>
      </c>
      <c r="G1140" s="120">
        <v>0</v>
      </c>
      <c r="H1140" s="120" t="s">
        <v>250</v>
      </c>
      <c r="I1140" s="120">
        <v>0</v>
      </c>
      <c r="J1140" s="120">
        <v>0</v>
      </c>
      <c r="K1140" s="120" t="s">
        <v>250</v>
      </c>
      <c r="L1140" s="120" t="s">
        <v>250</v>
      </c>
      <c r="M1140" s="120">
        <v>0</v>
      </c>
      <c r="N1140" s="120" t="s">
        <v>250</v>
      </c>
      <c r="O1140" s="120">
        <v>0</v>
      </c>
      <c r="P1140" s="120">
        <v>0</v>
      </c>
      <c r="Q1140" s="120">
        <v>0</v>
      </c>
      <c r="R1140" s="120"/>
    </row>
    <row r="1141" spans="1:18" ht="15">
      <c r="A1141" s="105">
        <v>4</v>
      </c>
      <c r="B1141" s="105"/>
      <c r="C1141" s="107" t="s">
        <v>1128</v>
      </c>
      <c r="D1141" s="107" t="s">
        <v>250</v>
      </c>
      <c r="E1141" s="120">
        <v>361308655.23026764</v>
      </c>
      <c r="F1141" s="120" t="s">
        <v>250</v>
      </c>
      <c r="G1141" s="120">
        <v>353118959.00594628</v>
      </c>
      <c r="H1141" s="120" t="s">
        <v>250</v>
      </c>
      <c r="I1141" s="120">
        <v>8189696.2243213933</v>
      </c>
      <c r="J1141" s="120">
        <v>0</v>
      </c>
      <c r="K1141" s="120" t="s">
        <v>250</v>
      </c>
      <c r="L1141" s="120" t="s">
        <v>250</v>
      </c>
      <c r="M1141" s="120">
        <v>0</v>
      </c>
      <c r="N1141" s="120" t="s">
        <v>250</v>
      </c>
      <c r="O1141" s="120">
        <v>0</v>
      </c>
      <c r="P1141" s="120">
        <v>0</v>
      </c>
      <c r="Q1141" s="120">
        <v>0</v>
      </c>
      <c r="R1141" s="107"/>
    </row>
    <row r="1142" spans="1:18" ht="15">
      <c r="A1142" s="105">
        <v>5</v>
      </c>
      <c r="B1142" s="105"/>
      <c r="C1142" s="107" t="s">
        <v>1129</v>
      </c>
      <c r="D1142" s="107" t="s">
        <v>250</v>
      </c>
      <c r="E1142" s="120">
        <v>0</v>
      </c>
      <c r="F1142" s="120" t="s">
        <v>250</v>
      </c>
      <c r="G1142" s="120">
        <v>0</v>
      </c>
      <c r="H1142" s="120" t="s">
        <v>250</v>
      </c>
      <c r="I1142" s="120">
        <v>0</v>
      </c>
      <c r="J1142" s="120">
        <v>0</v>
      </c>
      <c r="K1142" s="120" t="s">
        <v>250</v>
      </c>
      <c r="L1142" s="120" t="s">
        <v>250</v>
      </c>
      <c r="M1142" s="120">
        <v>0</v>
      </c>
      <c r="N1142" s="120" t="s">
        <v>250</v>
      </c>
      <c r="O1142" s="120">
        <v>0</v>
      </c>
      <c r="P1142" s="120">
        <v>0</v>
      </c>
      <c r="Q1142" s="120">
        <v>0</v>
      </c>
      <c r="R1142" s="107"/>
    </row>
    <row r="1143" spans="1:18" ht="15">
      <c r="A1143" s="105">
        <v>6</v>
      </c>
      <c r="B1143" s="105"/>
      <c r="C1143" s="107" t="s">
        <v>1130</v>
      </c>
      <c r="D1143" s="107" t="s">
        <v>250</v>
      </c>
      <c r="E1143" s="120">
        <v>11423230.290103801</v>
      </c>
      <c r="F1143" s="120" t="s">
        <v>250</v>
      </c>
      <c r="G1143" s="120">
        <v>11043891.781045847</v>
      </c>
      <c r="H1143" s="120" t="s">
        <v>250</v>
      </c>
      <c r="I1143" s="120">
        <v>379338.50905795401</v>
      </c>
      <c r="J1143" s="120">
        <v>0</v>
      </c>
      <c r="K1143" s="120" t="s">
        <v>250</v>
      </c>
      <c r="L1143" s="120" t="s">
        <v>250</v>
      </c>
      <c r="M1143" s="120">
        <v>0</v>
      </c>
      <c r="N1143" s="120" t="s">
        <v>250</v>
      </c>
      <c r="O1143" s="120">
        <v>0</v>
      </c>
      <c r="P1143" s="120">
        <v>0</v>
      </c>
      <c r="Q1143" s="120">
        <v>0</v>
      </c>
      <c r="R1143" s="107"/>
    </row>
    <row r="1144" spans="1:18" ht="15">
      <c r="A1144" s="105">
        <v>7</v>
      </c>
      <c r="B1144" s="105"/>
      <c r="C1144" s="107" t="s">
        <v>1131</v>
      </c>
      <c r="D1144" s="107" t="s">
        <v>250</v>
      </c>
      <c r="E1144" s="120">
        <v>132633077.62242344</v>
      </c>
      <c r="F1144" s="120" t="s">
        <v>250</v>
      </c>
      <c r="G1144" s="120">
        <v>125787029.88222556</v>
      </c>
      <c r="H1144" s="120" t="s">
        <v>250</v>
      </c>
      <c r="I1144" s="120">
        <v>6846047.7401978765</v>
      </c>
      <c r="J1144" s="120">
        <v>0</v>
      </c>
      <c r="K1144" s="120" t="s">
        <v>250</v>
      </c>
      <c r="L1144" s="120" t="s">
        <v>250</v>
      </c>
      <c r="M1144" s="120">
        <v>0</v>
      </c>
      <c r="N1144" s="120" t="s">
        <v>250</v>
      </c>
      <c r="O1144" s="120">
        <v>0</v>
      </c>
      <c r="P1144" s="120">
        <v>0</v>
      </c>
      <c r="Q1144" s="120">
        <v>0</v>
      </c>
      <c r="R1144" s="107"/>
    </row>
    <row r="1145" spans="1:18" ht="15">
      <c r="A1145" s="105">
        <v>8</v>
      </c>
      <c r="B1145" s="105"/>
      <c r="C1145" s="107" t="s">
        <v>1132</v>
      </c>
      <c r="D1145" s="107" t="s">
        <v>250</v>
      </c>
      <c r="E1145" s="120">
        <v>0</v>
      </c>
      <c r="F1145" s="120" t="s">
        <v>250</v>
      </c>
      <c r="G1145" s="120">
        <v>0</v>
      </c>
      <c r="H1145" s="120" t="s">
        <v>250</v>
      </c>
      <c r="I1145" s="120">
        <v>0</v>
      </c>
      <c r="J1145" s="120">
        <v>0</v>
      </c>
      <c r="K1145" s="120" t="s">
        <v>250</v>
      </c>
      <c r="L1145" s="120" t="s">
        <v>250</v>
      </c>
      <c r="M1145" s="120">
        <v>0</v>
      </c>
      <c r="N1145" s="120" t="s">
        <v>250</v>
      </c>
      <c r="O1145" s="120">
        <v>0</v>
      </c>
      <c r="P1145" s="120">
        <v>0</v>
      </c>
      <c r="Q1145" s="120">
        <v>0</v>
      </c>
      <c r="R1145" s="107"/>
    </row>
    <row r="1146" spans="1:18" ht="15">
      <c r="A1146" s="105">
        <v>9</v>
      </c>
      <c r="B1146" s="105"/>
      <c r="C1146" s="107" t="s">
        <v>1133</v>
      </c>
      <c r="D1146" s="107" t="s">
        <v>250</v>
      </c>
      <c r="E1146" s="120">
        <v>22976700.318359286</v>
      </c>
      <c r="F1146" s="120" t="s">
        <v>250</v>
      </c>
      <c r="G1146" s="120">
        <v>0</v>
      </c>
      <c r="H1146" s="120" t="s">
        <v>250</v>
      </c>
      <c r="I1146" s="120">
        <v>0</v>
      </c>
      <c r="J1146" s="120">
        <v>22976700.318359286</v>
      </c>
      <c r="K1146" s="120" t="s">
        <v>250</v>
      </c>
      <c r="L1146" s="120" t="s">
        <v>250</v>
      </c>
      <c r="M1146" s="120">
        <v>0</v>
      </c>
      <c r="N1146" s="120" t="s">
        <v>250</v>
      </c>
      <c r="O1146" s="120">
        <v>22976700.318359286</v>
      </c>
      <c r="P1146" s="120">
        <v>11103222.254691027</v>
      </c>
      <c r="Q1146" s="120">
        <v>11873478.06366826</v>
      </c>
      <c r="R1146" s="107"/>
    </row>
    <row r="1147" spans="1:18" ht="15">
      <c r="A1147" s="105">
        <v>10</v>
      </c>
      <c r="B1147" s="105"/>
      <c r="C1147" s="107" t="s">
        <v>1134</v>
      </c>
      <c r="D1147" s="107" t="s">
        <v>250</v>
      </c>
      <c r="E1147" s="120">
        <v>0</v>
      </c>
      <c r="F1147" s="120" t="s">
        <v>250</v>
      </c>
      <c r="G1147" s="120">
        <v>0</v>
      </c>
      <c r="H1147" s="120" t="s">
        <v>250</v>
      </c>
      <c r="I1147" s="120">
        <v>0</v>
      </c>
      <c r="J1147" s="120">
        <v>0</v>
      </c>
      <c r="K1147" s="120" t="s">
        <v>250</v>
      </c>
      <c r="L1147" s="120" t="s">
        <v>250</v>
      </c>
      <c r="M1147" s="120">
        <v>0</v>
      </c>
      <c r="N1147" s="120" t="s">
        <v>250</v>
      </c>
      <c r="O1147" s="120">
        <v>0</v>
      </c>
      <c r="P1147" s="120">
        <v>0</v>
      </c>
      <c r="Q1147" s="120">
        <v>0</v>
      </c>
      <c r="R1147" s="107"/>
    </row>
    <row r="1148" spans="1:18" ht="15">
      <c r="A1148" s="105">
        <v>11</v>
      </c>
      <c r="B1148" s="105"/>
      <c r="C1148" s="107" t="s">
        <v>1135</v>
      </c>
      <c r="D1148" s="107" t="s">
        <v>250</v>
      </c>
      <c r="E1148" s="120">
        <v>0</v>
      </c>
      <c r="F1148" s="120" t="s">
        <v>250</v>
      </c>
      <c r="G1148" s="120">
        <v>0</v>
      </c>
      <c r="H1148" s="120" t="s">
        <v>250</v>
      </c>
      <c r="I1148" s="120">
        <v>0</v>
      </c>
      <c r="J1148" s="120">
        <v>0</v>
      </c>
      <c r="K1148" s="120" t="s">
        <v>250</v>
      </c>
      <c r="L1148" s="120" t="s">
        <v>250</v>
      </c>
      <c r="M1148" s="120">
        <v>0</v>
      </c>
      <c r="N1148" s="120" t="s">
        <v>250</v>
      </c>
      <c r="O1148" s="120">
        <v>0</v>
      </c>
      <c r="P1148" s="120">
        <v>0</v>
      </c>
      <c r="Q1148" s="120">
        <v>0</v>
      </c>
      <c r="R1148" s="107"/>
    </row>
    <row r="1149" spans="1:18" ht="15">
      <c r="A1149" s="105">
        <v>12</v>
      </c>
      <c r="B1149" s="105"/>
      <c r="C1149" s="107" t="s">
        <v>250</v>
      </c>
      <c r="D1149" s="107" t="s">
        <v>250</v>
      </c>
      <c r="E1149" s="107" t="s">
        <v>250</v>
      </c>
      <c r="F1149" s="107" t="s">
        <v>250</v>
      </c>
      <c r="G1149" s="107" t="s">
        <v>250</v>
      </c>
      <c r="H1149" s="107" t="s">
        <v>250</v>
      </c>
      <c r="I1149" s="107" t="s">
        <v>250</v>
      </c>
      <c r="J1149" s="107" t="s">
        <v>250</v>
      </c>
      <c r="K1149" s="107" t="s">
        <v>250</v>
      </c>
      <c r="L1149" s="107" t="s">
        <v>250</v>
      </c>
      <c r="M1149" s="107" t="s">
        <v>250</v>
      </c>
      <c r="N1149" s="107" t="s">
        <v>250</v>
      </c>
      <c r="O1149" s="107" t="s">
        <v>250</v>
      </c>
      <c r="P1149" s="107" t="s">
        <v>250</v>
      </c>
      <c r="Q1149" s="107" t="s">
        <v>250</v>
      </c>
      <c r="R1149" s="107"/>
    </row>
    <row r="1150" spans="1:18" ht="15">
      <c r="A1150" s="105">
        <v>13</v>
      </c>
      <c r="B1150" s="105"/>
      <c r="C1150" s="107" t="s">
        <v>250</v>
      </c>
      <c r="D1150" s="107" t="s">
        <v>250</v>
      </c>
      <c r="E1150" s="124" t="s">
        <v>250</v>
      </c>
      <c r="F1150" s="124" t="s">
        <v>250</v>
      </c>
      <c r="G1150" s="124" t="s">
        <v>250</v>
      </c>
      <c r="H1150" s="124" t="s">
        <v>250</v>
      </c>
      <c r="I1150" s="124" t="s">
        <v>250</v>
      </c>
      <c r="J1150" s="124" t="s">
        <v>250</v>
      </c>
      <c r="K1150" s="124" t="s">
        <v>250</v>
      </c>
      <c r="L1150" s="124" t="s">
        <v>250</v>
      </c>
      <c r="M1150" s="124" t="s">
        <v>250</v>
      </c>
      <c r="N1150" s="124" t="s">
        <v>250</v>
      </c>
      <c r="O1150" s="124" t="s">
        <v>250</v>
      </c>
      <c r="P1150" s="124" t="s">
        <v>250</v>
      </c>
      <c r="Q1150" s="124" t="s">
        <v>250</v>
      </c>
      <c r="R1150" s="124"/>
    </row>
    <row r="1151" spans="1:18" ht="15">
      <c r="A1151" s="105" t="s">
        <v>250</v>
      </c>
      <c r="B1151" s="105"/>
      <c r="C1151" s="107" t="s">
        <v>250</v>
      </c>
      <c r="D1151" s="107" t="s">
        <v>250</v>
      </c>
      <c r="E1151" s="124" t="s">
        <v>250</v>
      </c>
      <c r="F1151" s="124" t="s">
        <v>250</v>
      </c>
      <c r="G1151" s="124" t="s">
        <v>250</v>
      </c>
      <c r="H1151" s="124" t="s">
        <v>250</v>
      </c>
      <c r="I1151" s="124" t="s">
        <v>250</v>
      </c>
      <c r="J1151" s="124" t="s">
        <v>250</v>
      </c>
      <c r="K1151" s="124" t="s">
        <v>250</v>
      </c>
      <c r="L1151" s="124" t="s">
        <v>250</v>
      </c>
      <c r="M1151" s="124" t="s">
        <v>250</v>
      </c>
      <c r="N1151" s="124" t="s">
        <v>250</v>
      </c>
      <c r="O1151" s="124" t="s">
        <v>250</v>
      </c>
      <c r="P1151" s="124" t="s">
        <v>250</v>
      </c>
      <c r="Q1151" s="124" t="s">
        <v>250</v>
      </c>
      <c r="R1151" s="124"/>
    </row>
    <row r="1152" spans="1:18" ht="15">
      <c r="A1152" s="105" t="s">
        <v>250</v>
      </c>
      <c r="B1152" s="105"/>
      <c r="C1152" s="107" t="s">
        <v>250</v>
      </c>
      <c r="D1152" s="107" t="s">
        <v>250</v>
      </c>
      <c r="E1152" s="124" t="s">
        <v>250</v>
      </c>
      <c r="F1152" s="124" t="s">
        <v>250</v>
      </c>
      <c r="G1152" s="124" t="s">
        <v>250</v>
      </c>
      <c r="H1152" s="124" t="s">
        <v>250</v>
      </c>
      <c r="I1152" s="124" t="s">
        <v>250</v>
      </c>
      <c r="J1152" s="124" t="s">
        <v>250</v>
      </c>
      <c r="K1152" s="124" t="s">
        <v>250</v>
      </c>
      <c r="L1152" s="124" t="s">
        <v>250</v>
      </c>
      <c r="M1152" s="124" t="s">
        <v>250</v>
      </c>
      <c r="N1152" s="124" t="s">
        <v>250</v>
      </c>
      <c r="O1152" s="124" t="s">
        <v>250</v>
      </c>
      <c r="P1152" s="124" t="s">
        <v>250</v>
      </c>
      <c r="Q1152" s="124" t="s">
        <v>250</v>
      </c>
      <c r="R1152" s="124"/>
    </row>
    <row r="1153" spans="1:18" ht="15">
      <c r="A1153" s="105" t="s">
        <v>250</v>
      </c>
      <c r="B1153" s="105"/>
      <c r="C1153" s="107" t="s">
        <v>250</v>
      </c>
      <c r="D1153" s="107" t="s">
        <v>250</v>
      </c>
      <c r="E1153" s="124" t="s">
        <v>250</v>
      </c>
      <c r="F1153" s="124" t="s">
        <v>250</v>
      </c>
      <c r="G1153" s="124" t="s">
        <v>250</v>
      </c>
      <c r="H1153" s="124" t="s">
        <v>250</v>
      </c>
      <c r="I1153" s="124" t="s">
        <v>250</v>
      </c>
      <c r="J1153" s="124" t="s">
        <v>250</v>
      </c>
      <c r="K1153" s="124" t="s">
        <v>250</v>
      </c>
      <c r="L1153" s="124" t="s">
        <v>250</v>
      </c>
      <c r="M1153" s="124" t="s">
        <v>250</v>
      </c>
      <c r="N1153" s="124" t="s">
        <v>250</v>
      </c>
      <c r="O1153" s="124" t="s">
        <v>250</v>
      </c>
      <c r="P1153" s="124" t="s">
        <v>250</v>
      </c>
      <c r="Q1153" s="124" t="s">
        <v>250</v>
      </c>
      <c r="R1153" s="124"/>
    </row>
    <row r="1154" spans="1:18" ht="15">
      <c r="A1154" s="105" t="s">
        <v>250</v>
      </c>
      <c r="B1154" s="105"/>
      <c r="C1154" s="107" t="s">
        <v>250</v>
      </c>
      <c r="D1154" s="107" t="s">
        <v>250</v>
      </c>
      <c r="E1154" s="124" t="s">
        <v>250</v>
      </c>
      <c r="F1154" s="124" t="s">
        <v>250</v>
      </c>
      <c r="G1154" s="124" t="s">
        <v>250</v>
      </c>
      <c r="H1154" s="124" t="s">
        <v>250</v>
      </c>
      <c r="I1154" s="124" t="s">
        <v>250</v>
      </c>
      <c r="J1154" s="124" t="s">
        <v>250</v>
      </c>
      <c r="K1154" s="124" t="s">
        <v>250</v>
      </c>
      <c r="L1154" s="124" t="s">
        <v>250</v>
      </c>
      <c r="M1154" s="124" t="s">
        <v>250</v>
      </c>
      <c r="N1154" s="124" t="s">
        <v>250</v>
      </c>
      <c r="O1154" s="124" t="s">
        <v>250</v>
      </c>
      <c r="P1154" s="124" t="s">
        <v>250</v>
      </c>
      <c r="Q1154" s="124" t="s">
        <v>250</v>
      </c>
      <c r="R1154" s="124"/>
    </row>
    <row r="1155" spans="1:18" ht="15">
      <c r="A1155" s="105" t="s">
        <v>250</v>
      </c>
      <c r="B1155" s="105"/>
      <c r="C1155" s="107" t="s">
        <v>250</v>
      </c>
      <c r="D1155" s="107" t="s">
        <v>250</v>
      </c>
      <c r="E1155" s="124" t="s">
        <v>250</v>
      </c>
      <c r="F1155" s="124" t="s">
        <v>250</v>
      </c>
      <c r="G1155" s="124" t="s">
        <v>250</v>
      </c>
      <c r="H1155" s="124" t="s">
        <v>250</v>
      </c>
      <c r="I1155" s="124" t="s">
        <v>250</v>
      </c>
      <c r="J1155" s="124" t="s">
        <v>250</v>
      </c>
      <c r="K1155" s="124" t="s">
        <v>250</v>
      </c>
      <c r="L1155" s="124" t="s">
        <v>250</v>
      </c>
      <c r="M1155" s="124" t="s">
        <v>250</v>
      </c>
      <c r="N1155" s="124" t="s">
        <v>250</v>
      </c>
      <c r="O1155" s="124" t="s">
        <v>250</v>
      </c>
      <c r="P1155" s="124" t="s">
        <v>250</v>
      </c>
      <c r="Q1155" s="124" t="s">
        <v>250</v>
      </c>
      <c r="R1155" s="124"/>
    </row>
    <row r="1156" spans="1:18" ht="15">
      <c r="A1156" s="105" t="s">
        <v>250</v>
      </c>
      <c r="B1156" s="105"/>
      <c r="C1156" s="107" t="s">
        <v>1136</v>
      </c>
      <c r="D1156" s="107" t="s">
        <v>250</v>
      </c>
      <c r="E1156" s="124" t="s">
        <v>250</v>
      </c>
      <c r="F1156" s="124" t="s">
        <v>250</v>
      </c>
      <c r="G1156" s="124" t="s">
        <v>250</v>
      </c>
      <c r="H1156" s="124" t="s">
        <v>250</v>
      </c>
      <c r="I1156" s="124" t="s">
        <v>250</v>
      </c>
      <c r="J1156" s="124" t="s">
        <v>250</v>
      </c>
      <c r="K1156" s="124" t="s">
        <v>250</v>
      </c>
      <c r="L1156" s="124" t="s">
        <v>250</v>
      </c>
      <c r="M1156" s="124" t="s">
        <v>250</v>
      </c>
      <c r="N1156" s="124" t="s">
        <v>250</v>
      </c>
      <c r="O1156" s="124" t="s">
        <v>250</v>
      </c>
      <c r="P1156" s="124" t="s">
        <v>250</v>
      </c>
      <c r="Q1156" s="124" t="s">
        <v>250</v>
      </c>
      <c r="R1156" s="124"/>
    </row>
    <row r="1157" spans="1:18" ht="15">
      <c r="A1157" s="105" t="s">
        <v>250</v>
      </c>
      <c r="B1157" s="105"/>
      <c r="C1157" s="107" t="s">
        <v>250</v>
      </c>
      <c r="D1157" s="107" t="s">
        <v>250</v>
      </c>
      <c r="E1157" s="124" t="s">
        <v>250</v>
      </c>
      <c r="F1157" s="124" t="s">
        <v>250</v>
      </c>
      <c r="G1157" s="124" t="s">
        <v>250</v>
      </c>
      <c r="H1157" s="124" t="s">
        <v>250</v>
      </c>
      <c r="I1157" s="124" t="s">
        <v>250</v>
      </c>
      <c r="J1157" s="124" t="s">
        <v>250</v>
      </c>
      <c r="K1157" s="124" t="s">
        <v>250</v>
      </c>
      <c r="L1157" s="124" t="s">
        <v>250</v>
      </c>
      <c r="M1157" s="124" t="s">
        <v>250</v>
      </c>
      <c r="N1157" s="124" t="s">
        <v>250</v>
      </c>
      <c r="O1157" s="124" t="s">
        <v>250</v>
      </c>
      <c r="P1157" s="124" t="s">
        <v>250</v>
      </c>
      <c r="Q1157" s="124" t="s">
        <v>250</v>
      </c>
      <c r="R1157" s="124"/>
    </row>
    <row r="1158" spans="1:18" ht="15">
      <c r="A1158" s="105" t="s">
        <v>250</v>
      </c>
      <c r="B1158" s="105"/>
      <c r="C1158" s="107" t="s">
        <v>1137</v>
      </c>
      <c r="D1158" s="107" t="s">
        <v>250</v>
      </c>
      <c r="E1158" s="124" t="s">
        <v>250</v>
      </c>
      <c r="F1158" s="124" t="s">
        <v>250</v>
      </c>
      <c r="G1158" s="124" t="s">
        <v>250</v>
      </c>
      <c r="H1158" s="124" t="s">
        <v>250</v>
      </c>
      <c r="I1158" s="124" t="s">
        <v>250</v>
      </c>
      <c r="J1158" s="124" t="s">
        <v>250</v>
      </c>
      <c r="K1158" s="124" t="s">
        <v>250</v>
      </c>
      <c r="L1158" s="124" t="s">
        <v>250</v>
      </c>
      <c r="M1158" s="124" t="s">
        <v>250</v>
      </c>
      <c r="N1158" s="124" t="s">
        <v>250</v>
      </c>
      <c r="O1158" s="124" t="s">
        <v>250</v>
      </c>
      <c r="P1158" s="124" t="s">
        <v>250</v>
      </c>
      <c r="Q1158" s="124" t="s">
        <v>250</v>
      </c>
      <c r="R1158" s="124"/>
    </row>
    <row r="1159" spans="1:18" ht="15">
      <c r="A1159" s="105" t="s">
        <v>250</v>
      </c>
      <c r="B1159" s="105"/>
      <c r="C1159" s="107" t="s">
        <v>917</v>
      </c>
      <c r="D1159" s="107" t="s">
        <v>250</v>
      </c>
      <c r="E1159" s="124" t="s">
        <v>250</v>
      </c>
      <c r="F1159" s="124" t="s">
        <v>250</v>
      </c>
      <c r="G1159" s="124" t="s">
        <v>250</v>
      </c>
      <c r="H1159" s="124" t="s">
        <v>250</v>
      </c>
      <c r="I1159" s="124" t="s">
        <v>250</v>
      </c>
      <c r="J1159" s="124" t="s">
        <v>250</v>
      </c>
      <c r="K1159" s="124" t="s">
        <v>250</v>
      </c>
      <c r="L1159" s="124" t="s">
        <v>250</v>
      </c>
      <c r="M1159" s="124" t="s">
        <v>250</v>
      </c>
      <c r="N1159" s="124" t="s">
        <v>250</v>
      </c>
      <c r="O1159" s="124" t="s">
        <v>250</v>
      </c>
      <c r="P1159" s="124" t="s">
        <v>250</v>
      </c>
      <c r="Q1159" s="124" t="s">
        <v>250</v>
      </c>
      <c r="R1159" s="124"/>
    </row>
    <row r="1160" spans="1:18" ht="15">
      <c r="A1160" s="105" t="s">
        <v>250</v>
      </c>
      <c r="B1160" s="105"/>
      <c r="C1160" s="107" t="s">
        <v>918</v>
      </c>
      <c r="D1160" s="107" t="s">
        <v>250</v>
      </c>
      <c r="E1160" s="124" t="s">
        <v>250</v>
      </c>
      <c r="F1160" s="124" t="s">
        <v>250</v>
      </c>
      <c r="G1160" s="124" t="s">
        <v>250</v>
      </c>
      <c r="H1160" s="124" t="s">
        <v>250</v>
      </c>
      <c r="I1160" s="124" t="s">
        <v>250</v>
      </c>
      <c r="J1160" s="124" t="s">
        <v>250</v>
      </c>
      <c r="K1160" s="124" t="s">
        <v>250</v>
      </c>
      <c r="L1160" s="124" t="s">
        <v>250</v>
      </c>
      <c r="M1160" s="124" t="s">
        <v>250</v>
      </c>
      <c r="N1160" s="124" t="s">
        <v>250</v>
      </c>
      <c r="O1160" s="124" t="s">
        <v>250</v>
      </c>
      <c r="P1160" s="124" t="s">
        <v>250</v>
      </c>
      <c r="Q1160" s="124" t="s">
        <v>250</v>
      </c>
      <c r="R1160" s="124"/>
    </row>
    <row r="1161" spans="1:18" ht="15">
      <c r="A1161" s="105">
        <v>1</v>
      </c>
      <c r="B1161" s="105"/>
      <c r="C1161" s="107" t="s">
        <v>919</v>
      </c>
      <c r="D1161" s="107" t="s">
        <v>303</v>
      </c>
      <c r="E1161" s="124">
        <v>0.99999999999999989</v>
      </c>
      <c r="F1161" s="124" t="s">
        <v>250</v>
      </c>
      <c r="G1161" s="124">
        <v>0.93811298816770394</v>
      </c>
      <c r="H1161" s="124" t="s">
        <v>250</v>
      </c>
      <c r="I1161" s="124">
        <v>4.2485124136515971E-2</v>
      </c>
      <c r="J1161" s="124">
        <v>1.9401887695780044E-2</v>
      </c>
      <c r="K1161" s="124" t="s">
        <v>250</v>
      </c>
      <c r="L1161" s="124" t="s">
        <v>250</v>
      </c>
      <c r="M1161" s="124">
        <v>0</v>
      </c>
      <c r="N1161" s="124" t="s">
        <v>250</v>
      </c>
      <c r="O1161" s="124">
        <v>1.9401887695780044E-2</v>
      </c>
      <c r="P1161" s="124">
        <v>9.8417230923557447E-3</v>
      </c>
      <c r="Q1161" s="124">
        <v>9.5601646034242978E-3</v>
      </c>
      <c r="R1161" s="124"/>
    </row>
    <row r="1162" spans="1:18" ht="15">
      <c r="A1162" s="105">
        <v>2</v>
      </c>
      <c r="B1162" s="105"/>
      <c r="C1162" s="107" t="s">
        <v>920</v>
      </c>
      <c r="D1162" s="107" t="s">
        <v>311</v>
      </c>
      <c r="E1162" s="124">
        <v>1</v>
      </c>
      <c r="F1162" s="124" t="s">
        <v>250</v>
      </c>
      <c r="G1162" s="124">
        <v>0</v>
      </c>
      <c r="H1162" s="124" t="s">
        <v>250</v>
      </c>
      <c r="I1162" s="124">
        <v>0.68649499917113332</v>
      </c>
      <c r="J1162" s="124">
        <v>0.31350500082886668</v>
      </c>
      <c r="K1162" s="124" t="s">
        <v>250</v>
      </c>
      <c r="L1162" s="124" t="s">
        <v>250</v>
      </c>
      <c r="M1162" s="124">
        <v>0</v>
      </c>
      <c r="N1162" s="124" t="s">
        <v>250</v>
      </c>
      <c r="O1162" s="124">
        <v>0.31350500082886668</v>
      </c>
      <c r="P1162" s="124">
        <v>0.15902727892284171</v>
      </c>
      <c r="Q1162" s="124">
        <v>0.15447772190602493</v>
      </c>
      <c r="R1162" s="124"/>
    </row>
    <row r="1163" spans="1:18" ht="15">
      <c r="A1163" s="105">
        <v>3</v>
      </c>
      <c r="B1163" s="105"/>
      <c r="C1163" s="107" t="s">
        <v>921</v>
      </c>
      <c r="D1163" s="107" t="s">
        <v>397</v>
      </c>
      <c r="E1163" s="124">
        <v>1</v>
      </c>
      <c r="F1163" s="124" t="s">
        <v>250</v>
      </c>
      <c r="G1163" s="124">
        <v>0</v>
      </c>
      <c r="H1163" s="124" t="s">
        <v>250</v>
      </c>
      <c r="I1163" s="124">
        <v>1</v>
      </c>
      <c r="J1163" s="124">
        <v>0</v>
      </c>
      <c r="K1163" s="124" t="s">
        <v>250</v>
      </c>
      <c r="L1163" s="124" t="s">
        <v>250</v>
      </c>
      <c r="M1163" s="124">
        <v>0</v>
      </c>
      <c r="N1163" s="124" t="s">
        <v>250</v>
      </c>
      <c r="O1163" s="124">
        <v>0</v>
      </c>
      <c r="P1163" s="124">
        <v>0</v>
      </c>
      <c r="Q1163" s="124">
        <v>0</v>
      </c>
      <c r="R1163" s="124"/>
    </row>
    <row r="1164" spans="1:18" ht="15">
      <c r="A1164" s="105">
        <v>4</v>
      </c>
      <c r="B1164" s="105"/>
      <c r="C1164" s="107" t="s">
        <v>922</v>
      </c>
      <c r="D1164" s="107" t="s">
        <v>375</v>
      </c>
      <c r="E1164" s="124">
        <v>1</v>
      </c>
      <c r="F1164" s="124" t="s">
        <v>250</v>
      </c>
      <c r="G1164" s="124">
        <v>0.97973724671558393</v>
      </c>
      <c r="H1164" s="124" t="s">
        <v>250</v>
      </c>
      <c r="I1164" s="124">
        <v>0</v>
      </c>
      <c r="J1164" s="124">
        <v>2.0262753284416055E-2</v>
      </c>
      <c r="K1164" s="124" t="s">
        <v>250</v>
      </c>
      <c r="L1164" s="124" t="s">
        <v>250</v>
      </c>
      <c r="M1164" s="124">
        <v>0</v>
      </c>
      <c r="N1164" s="124" t="s">
        <v>250</v>
      </c>
      <c r="O1164" s="124">
        <v>2.0262753284416055E-2</v>
      </c>
      <c r="P1164" s="124">
        <v>1.027840228955243E-2</v>
      </c>
      <c r="Q1164" s="124">
        <v>9.9843509948636267E-3</v>
      </c>
      <c r="R1164" s="124"/>
    </row>
    <row r="1165" spans="1:18" ht="15">
      <c r="A1165" s="105">
        <v>5</v>
      </c>
      <c r="B1165" s="105"/>
      <c r="C1165" s="107" t="s">
        <v>923</v>
      </c>
      <c r="D1165" s="107" t="s">
        <v>313</v>
      </c>
      <c r="E1165" s="124">
        <v>1</v>
      </c>
      <c r="F1165" s="124" t="s">
        <v>250</v>
      </c>
      <c r="G1165" s="124">
        <v>0</v>
      </c>
      <c r="H1165" s="124" t="s">
        <v>250</v>
      </c>
      <c r="I1165" s="124">
        <v>0</v>
      </c>
      <c r="J1165" s="124">
        <v>1</v>
      </c>
      <c r="K1165" s="124" t="s">
        <v>250</v>
      </c>
      <c r="L1165" s="124" t="s">
        <v>250</v>
      </c>
      <c r="M1165" s="124">
        <v>0</v>
      </c>
      <c r="N1165" s="124" t="s">
        <v>250</v>
      </c>
      <c r="O1165" s="124">
        <v>1</v>
      </c>
      <c r="P1165" s="124">
        <v>0.50725595605299489</v>
      </c>
      <c r="Q1165" s="124">
        <v>0.49274404394700511</v>
      </c>
      <c r="R1165" s="124"/>
    </row>
    <row r="1166" spans="1:18" ht="15">
      <c r="A1166" s="105">
        <v>6</v>
      </c>
      <c r="B1166" s="105"/>
      <c r="C1166" s="107" t="s">
        <v>924</v>
      </c>
      <c r="D1166" s="107" t="s">
        <v>925</v>
      </c>
      <c r="E1166" s="124">
        <v>1</v>
      </c>
      <c r="F1166" s="124" t="s">
        <v>250</v>
      </c>
      <c r="G1166" s="124">
        <v>0.97973724671558393</v>
      </c>
      <c r="H1166" s="124" t="s">
        <v>250</v>
      </c>
      <c r="I1166" s="124">
        <v>0</v>
      </c>
      <c r="J1166" s="124">
        <v>2.0262753284416055E-2</v>
      </c>
      <c r="K1166" s="124" t="s">
        <v>250</v>
      </c>
      <c r="L1166" s="124" t="s">
        <v>250</v>
      </c>
      <c r="M1166" s="124">
        <v>0</v>
      </c>
      <c r="N1166" s="124" t="s">
        <v>250</v>
      </c>
      <c r="O1166" s="124">
        <v>2.0262753284416055E-2</v>
      </c>
      <c r="P1166" s="124">
        <v>1.027840228955243E-2</v>
      </c>
      <c r="Q1166" s="124">
        <v>9.9843509948636267E-3</v>
      </c>
      <c r="R1166" s="124"/>
    </row>
    <row r="1167" spans="1:18" ht="15">
      <c r="A1167" s="105" t="s">
        <v>250</v>
      </c>
      <c r="B1167" s="105"/>
      <c r="C1167" s="107" t="s">
        <v>926</v>
      </c>
      <c r="D1167" s="107" t="s">
        <v>250</v>
      </c>
      <c r="E1167" s="124" t="s">
        <v>250</v>
      </c>
      <c r="F1167" s="124" t="s">
        <v>250</v>
      </c>
      <c r="G1167" s="124" t="s">
        <v>250</v>
      </c>
      <c r="H1167" s="124" t="s">
        <v>250</v>
      </c>
      <c r="I1167" s="124" t="s">
        <v>250</v>
      </c>
      <c r="J1167" s="124" t="s">
        <v>250</v>
      </c>
      <c r="K1167" s="124" t="s">
        <v>250</v>
      </c>
      <c r="L1167" s="124" t="s">
        <v>250</v>
      </c>
      <c r="M1167" s="124" t="s">
        <v>250</v>
      </c>
      <c r="N1167" s="124" t="s">
        <v>250</v>
      </c>
      <c r="O1167" s="124" t="s">
        <v>250</v>
      </c>
      <c r="P1167" s="124" t="s">
        <v>250</v>
      </c>
      <c r="Q1167" s="124" t="s">
        <v>250</v>
      </c>
      <c r="R1167" s="124"/>
    </row>
    <row r="1168" spans="1:18" ht="15">
      <c r="A1168" s="105">
        <v>7</v>
      </c>
      <c r="B1168" s="105"/>
      <c r="C1168" s="107" t="s">
        <v>927</v>
      </c>
      <c r="D1168" s="107" t="s">
        <v>571</v>
      </c>
      <c r="E1168" s="124">
        <v>0.99999999999999989</v>
      </c>
      <c r="F1168" s="124" t="s">
        <v>250</v>
      </c>
      <c r="G1168" s="124">
        <v>0.93811298816770394</v>
      </c>
      <c r="H1168" s="124" t="s">
        <v>250</v>
      </c>
      <c r="I1168" s="124">
        <v>4.2485124136515971E-2</v>
      </c>
      <c r="J1168" s="124">
        <v>1.9401887695780044E-2</v>
      </c>
      <c r="K1168" s="124" t="s">
        <v>250</v>
      </c>
      <c r="L1168" s="124" t="s">
        <v>250</v>
      </c>
      <c r="M1168" s="124">
        <v>0</v>
      </c>
      <c r="N1168" s="124" t="s">
        <v>250</v>
      </c>
      <c r="O1168" s="124">
        <v>1.9401887695780044E-2</v>
      </c>
      <c r="P1168" s="124">
        <v>9.8417230923557447E-3</v>
      </c>
      <c r="Q1168" s="124">
        <v>9.5601646034242978E-3</v>
      </c>
      <c r="R1168" s="124"/>
    </row>
    <row r="1169" spans="1:18" ht="15">
      <c r="A1169" s="105">
        <v>8</v>
      </c>
      <c r="B1169" s="105"/>
      <c r="C1169" s="107" t="s">
        <v>928</v>
      </c>
      <c r="D1169" s="107" t="s">
        <v>351</v>
      </c>
      <c r="E1169" s="124">
        <v>1</v>
      </c>
      <c r="F1169" s="124" t="s">
        <v>250</v>
      </c>
      <c r="G1169" s="124">
        <v>0</v>
      </c>
      <c r="H1169" s="124" t="s">
        <v>250</v>
      </c>
      <c r="I1169" s="124">
        <v>1</v>
      </c>
      <c r="J1169" s="124">
        <v>0</v>
      </c>
      <c r="K1169" s="124" t="s">
        <v>250</v>
      </c>
      <c r="L1169" s="124" t="s">
        <v>250</v>
      </c>
      <c r="M1169" s="124">
        <v>0</v>
      </c>
      <c r="N1169" s="124" t="s">
        <v>250</v>
      </c>
      <c r="O1169" s="124">
        <v>0</v>
      </c>
      <c r="P1169" s="124">
        <v>0</v>
      </c>
      <c r="Q1169" s="124">
        <v>0</v>
      </c>
      <c r="R1169" s="124"/>
    </row>
    <row r="1170" spans="1:18" ht="15">
      <c r="A1170" s="105">
        <v>9</v>
      </c>
      <c r="B1170" s="105"/>
      <c r="C1170" s="107" t="s">
        <v>929</v>
      </c>
      <c r="D1170" s="107" t="s">
        <v>340</v>
      </c>
      <c r="E1170" s="124">
        <v>1</v>
      </c>
      <c r="F1170" s="124" t="s">
        <v>250</v>
      </c>
      <c r="G1170" s="124">
        <v>0.956674275012947</v>
      </c>
      <c r="H1170" s="124" t="s">
        <v>250</v>
      </c>
      <c r="I1170" s="124">
        <v>4.3325724987053026E-2</v>
      </c>
      <c r="J1170" s="124">
        <v>0</v>
      </c>
      <c r="K1170" s="124" t="s">
        <v>250</v>
      </c>
      <c r="L1170" s="124" t="s">
        <v>250</v>
      </c>
      <c r="M1170" s="124">
        <v>0</v>
      </c>
      <c r="N1170" s="124" t="s">
        <v>250</v>
      </c>
      <c r="O1170" s="124">
        <v>0</v>
      </c>
      <c r="P1170" s="124">
        <v>0</v>
      </c>
      <c r="Q1170" s="124">
        <v>0</v>
      </c>
      <c r="R1170" s="124"/>
    </row>
    <row r="1171" spans="1:18" ht="15">
      <c r="A1171" s="105">
        <v>10</v>
      </c>
      <c r="B1171" s="105"/>
      <c r="C1171" s="107" t="s">
        <v>930</v>
      </c>
      <c r="D1171" s="107" t="s">
        <v>931</v>
      </c>
      <c r="E1171" s="124">
        <v>1</v>
      </c>
      <c r="F1171" s="124" t="s">
        <v>250</v>
      </c>
      <c r="G1171" s="124">
        <v>0</v>
      </c>
      <c r="H1171" s="124" t="s">
        <v>250</v>
      </c>
      <c r="I1171" s="124">
        <v>0.68649499917113332</v>
      </c>
      <c r="J1171" s="124">
        <v>0.31350500082886668</v>
      </c>
      <c r="K1171" s="124" t="s">
        <v>250</v>
      </c>
      <c r="L1171" s="124" t="s">
        <v>250</v>
      </c>
      <c r="M1171" s="124">
        <v>0</v>
      </c>
      <c r="N1171" s="124" t="s">
        <v>250</v>
      </c>
      <c r="O1171" s="124">
        <v>0.31350500082886668</v>
      </c>
      <c r="P1171" s="124">
        <v>0.15902727892284171</v>
      </c>
      <c r="Q1171" s="124">
        <v>0.15447772190602493</v>
      </c>
      <c r="R1171" s="124"/>
    </row>
    <row r="1172" spans="1:18" ht="15">
      <c r="A1172" s="105">
        <v>11</v>
      </c>
      <c r="B1172" s="105"/>
      <c r="C1172" s="107" t="s">
        <v>932</v>
      </c>
      <c r="D1172" s="107" t="s">
        <v>354</v>
      </c>
      <c r="E1172" s="124">
        <v>1</v>
      </c>
      <c r="F1172" s="124" t="s">
        <v>250</v>
      </c>
      <c r="G1172" s="124">
        <v>1</v>
      </c>
      <c r="H1172" s="124" t="s">
        <v>250</v>
      </c>
      <c r="I1172" s="124">
        <v>0</v>
      </c>
      <c r="J1172" s="124">
        <v>0</v>
      </c>
      <c r="K1172" s="124" t="s">
        <v>250</v>
      </c>
      <c r="L1172" s="124" t="s">
        <v>250</v>
      </c>
      <c r="M1172" s="124">
        <v>0</v>
      </c>
      <c r="N1172" s="124" t="s">
        <v>250</v>
      </c>
      <c r="O1172" s="124">
        <v>0</v>
      </c>
      <c r="P1172" s="124">
        <v>0</v>
      </c>
      <c r="Q1172" s="124">
        <v>0</v>
      </c>
      <c r="R1172" s="124"/>
    </row>
    <row r="1173" spans="1:18" ht="15">
      <c r="A1173" s="105" t="s">
        <v>250</v>
      </c>
      <c r="B1173" s="105"/>
      <c r="C1173" s="107" t="s">
        <v>250</v>
      </c>
      <c r="D1173" s="107" t="s">
        <v>250</v>
      </c>
      <c r="E1173" s="124" t="s">
        <v>250</v>
      </c>
      <c r="F1173" s="124" t="s">
        <v>250</v>
      </c>
      <c r="G1173" s="124" t="s">
        <v>250</v>
      </c>
      <c r="H1173" s="124" t="s">
        <v>250</v>
      </c>
      <c r="I1173" s="124" t="s">
        <v>250</v>
      </c>
      <c r="J1173" s="124" t="s">
        <v>250</v>
      </c>
      <c r="K1173" s="124" t="s">
        <v>250</v>
      </c>
      <c r="L1173" s="124" t="s">
        <v>250</v>
      </c>
      <c r="M1173" s="124" t="s">
        <v>250</v>
      </c>
      <c r="N1173" s="124" t="s">
        <v>250</v>
      </c>
      <c r="O1173" s="124" t="s">
        <v>250</v>
      </c>
      <c r="P1173" s="124" t="s">
        <v>250</v>
      </c>
      <c r="Q1173" s="124" t="s">
        <v>250</v>
      </c>
      <c r="R1173" s="124"/>
    </row>
    <row r="1174" spans="1:18" ht="15">
      <c r="A1174" s="105" t="s">
        <v>250</v>
      </c>
      <c r="B1174" s="105"/>
      <c r="C1174" s="107" t="s">
        <v>933</v>
      </c>
      <c r="D1174" s="107" t="s">
        <v>250</v>
      </c>
      <c r="E1174" s="124" t="s">
        <v>250</v>
      </c>
      <c r="F1174" s="124" t="s">
        <v>250</v>
      </c>
      <c r="G1174" s="124" t="s">
        <v>250</v>
      </c>
      <c r="H1174" s="124" t="s">
        <v>250</v>
      </c>
      <c r="I1174" s="124" t="s">
        <v>250</v>
      </c>
      <c r="J1174" s="124" t="s">
        <v>250</v>
      </c>
      <c r="K1174" s="124" t="s">
        <v>250</v>
      </c>
      <c r="L1174" s="124" t="s">
        <v>250</v>
      </c>
      <c r="M1174" s="124" t="s">
        <v>250</v>
      </c>
      <c r="N1174" s="124" t="s">
        <v>250</v>
      </c>
      <c r="O1174" s="124" t="s">
        <v>250</v>
      </c>
      <c r="P1174" s="124" t="s">
        <v>250</v>
      </c>
      <c r="Q1174" s="124" t="s">
        <v>250</v>
      </c>
      <c r="R1174" s="124"/>
    </row>
    <row r="1175" spans="1:18" ht="15">
      <c r="A1175" s="105">
        <v>12</v>
      </c>
      <c r="B1175" s="105"/>
      <c r="C1175" s="107" t="s">
        <v>934</v>
      </c>
      <c r="D1175" s="107" t="s">
        <v>360</v>
      </c>
      <c r="E1175" s="124">
        <v>1</v>
      </c>
      <c r="F1175" s="124" t="s">
        <v>250</v>
      </c>
      <c r="G1175" s="124">
        <v>0.99897404357814712</v>
      </c>
      <c r="H1175" s="124" t="s">
        <v>250</v>
      </c>
      <c r="I1175" s="124">
        <v>0</v>
      </c>
      <c r="J1175" s="124">
        <v>1.0259564218528263E-3</v>
      </c>
      <c r="K1175" s="124" t="s">
        <v>250</v>
      </c>
      <c r="L1175" s="124" t="s">
        <v>250</v>
      </c>
      <c r="M1175" s="124">
        <v>0</v>
      </c>
      <c r="N1175" s="124" t="s">
        <v>250</v>
      </c>
      <c r="O1175" s="124">
        <v>1.0259564218528263E-3</v>
      </c>
      <c r="P1175" s="124">
        <v>1.0259564218528263E-3</v>
      </c>
      <c r="Q1175" s="124">
        <v>0</v>
      </c>
      <c r="R1175" s="124"/>
    </row>
    <row r="1176" spans="1:18" ht="15">
      <c r="A1176" s="105">
        <v>13</v>
      </c>
      <c r="B1176" s="105"/>
      <c r="C1176" s="107" t="s">
        <v>935</v>
      </c>
      <c r="D1176" s="107" t="s">
        <v>362</v>
      </c>
      <c r="E1176" s="124">
        <v>1</v>
      </c>
      <c r="F1176" s="124" t="s">
        <v>250</v>
      </c>
      <c r="G1176" s="124">
        <v>0.98681491454806902</v>
      </c>
      <c r="H1176" s="124" t="s">
        <v>250</v>
      </c>
      <c r="I1176" s="124">
        <v>0</v>
      </c>
      <c r="J1176" s="124">
        <v>1.3185085451930974E-2</v>
      </c>
      <c r="K1176" s="124" t="s">
        <v>250</v>
      </c>
      <c r="L1176" s="124" t="s">
        <v>250</v>
      </c>
      <c r="M1176" s="124">
        <v>0</v>
      </c>
      <c r="N1176" s="124" t="s">
        <v>250</v>
      </c>
      <c r="O1176" s="124">
        <v>1.3185085451930974E-2</v>
      </c>
      <c r="P1176" s="124">
        <v>1.3185085451930974E-2</v>
      </c>
      <c r="Q1176" s="124">
        <v>0</v>
      </c>
      <c r="R1176" s="124"/>
    </row>
    <row r="1177" spans="1:18" ht="15">
      <c r="A1177" s="105">
        <v>14</v>
      </c>
      <c r="B1177" s="105"/>
      <c r="C1177" s="107" t="s">
        <v>936</v>
      </c>
      <c r="D1177" s="107" t="s">
        <v>364</v>
      </c>
      <c r="E1177" s="124">
        <v>1</v>
      </c>
      <c r="F1177" s="124" t="s">
        <v>250</v>
      </c>
      <c r="G1177" s="124">
        <v>0.98884582504055396</v>
      </c>
      <c r="H1177" s="124" t="s">
        <v>250</v>
      </c>
      <c r="I1177" s="124">
        <v>0</v>
      </c>
      <c r="J1177" s="124">
        <v>1.1154174959446015E-2</v>
      </c>
      <c r="K1177" s="124" t="s">
        <v>250</v>
      </c>
      <c r="L1177" s="124" t="s">
        <v>250</v>
      </c>
      <c r="M1177" s="124">
        <v>0</v>
      </c>
      <c r="N1177" s="124" t="s">
        <v>250</v>
      </c>
      <c r="O1177" s="124">
        <v>1.1154174959446015E-2</v>
      </c>
      <c r="P1177" s="124">
        <v>1.1154174959446015E-2</v>
      </c>
      <c r="Q1177" s="124">
        <v>0</v>
      </c>
      <c r="R1177" s="124"/>
    </row>
    <row r="1178" spans="1:18" ht="15">
      <c r="A1178" s="105">
        <v>15</v>
      </c>
      <c r="B1178" s="105"/>
      <c r="C1178" s="107" t="s">
        <v>937</v>
      </c>
      <c r="D1178" s="107" t="s">
        <v>366</v>
      </c>
      <c r="E1178" s="124">
        <v>1</v>
      </c>
      <c r="F1178" s="124" t="s">
        <v>250</v>
      </c>
      <c r="G1178" s="124">
        <v>1</v>
      </c>
      <c r="H1178" s="124" t="s">
        <v>250</v>
      </c>
      <c r="I1178" s="124">
        <v>0</v>
      </c>
      <c r="J1178" s="124">
        <v>0</v>
      </c>
      <c r="K1178" s="124" t="s">
        <v>250</v>
      </c>
      <c r="L1178" s="124" t="s">
        <v>250</v>
      </c>
      <c r="M1178" s="124">
        <v>0</v>
      </c>
      <c r="N1178" s="124" t="s">
        <v>250</v>
      </c>
      <c r="O1178" s="124">
        <v>0</v>
      </c>
      <c r="P1178" s="124">
        <v>0</v>
      </c>
      <c r="Q1178" s="124">
        <v>0</v>
      </c>
      <c r="R1178" s="124"/>
    </row>
    <row r="1179" spans="1:18" ht="15">
      <c r="A1179" s="105">
        <v>16</v>
      </c>
      <c r="B1179" s="105"/>
      <c r="C1179" s="107" t="s">
        <v>938</v>
      </c>
      <c r="D1179" s="107" t="s">
        <v>368</v>
      </c>
      <c r="E1179" s="124">
        <v>1</v>
      </c>
      <c r="F1179" s="124" t="s">
        <v>250</v>
      </c>
      <c r="G1179" s="124">
        <v>1</v>
      </c>
      <c r="H1179" s="124" t="s">
        <v>250</v>
      </c>
      <c r="I1179" s="124">
        <v>0</v>
      </c>
      <c r="J1179" s="124">
        <v>0</v>
      </c>
      <c r="K1179" s="124" t="s">
        <v>250</v>
      </c>
      <c r="L1179" s="124" t="s">
        <v>250</v>
      </c>
      <c r="M1179" s="124">
        <v>0</v>
      </c>
      <c r="N1179" s="124" t="s">
        <v>250</v>
      </c>
      <c r="O1179" s="124">
        <v>0</v>
      </c>
      <c r="P1179" s="124">
        <v>0</v>
      </c>
      <c r="Q1179" s="124">
        <v>0</v>
      </c>
      <c r="R1179" s="124"/>
    </row>
    <row r="1180" spans="1:18" ht="15">
      <c r="A1180" s="105">
        <v>17</v>
      </c>
      <c r="B1180" s="105"/>
      <c r="C1180" s="107" t="s">
        <v>939</v>
      </c>
      <c r="D1180" s="107" t="s">
        <v>370</v>
      </c>
      <c r="E1180" s="124">
        <v>1</v>
      </c>
      <c r="F1180" s="124" t="s">
        <v>250</v>
      </c>
      <c r="G1180" s="124">
        <v>1</v>
      </c>
      <c r="H1180" s="124" t="s">
        <v>250</v>
      </c>
      <c r="I1180" s="124">
        <v>0</v>
      </c>
      <c r="J1180" s="124">
        <v>0</v>
      </c>
      <c r="K1180" s="124" t="s">
        <v>250</v>
      </c>
      <c r="L1180" s="124" t="s">
        <v>250</v>
      </c>
      <c r="M1180" s="124">
        <v>0</v>
      </c>
      <c r="N1180" s="124" t="s">
        <v>250</v>
      </c>
      <c r="O1180" s="124">
        <v>0</v>
      </c>
      <c r="P1180" s="124">
        <v>0</v>
      </c>
      <c r="Q1180" s="124">
        <v>0</v>
      </c>
      <c r="R1180" s="124"/>
    </row>
    <row r="1181" spans="1:18" ht="15">
      <c r="A1181" s="105">
        <v>18</v>
      </c>
      <c r="B1181" s="105"/>
      <c r="C1181" s="107" t="s">
        <v>940</v>
      </c>
      <c r="D1181" s="107" t="s">
        <v>372</v>
      </c>
      <c r="E1181" s="124">
        <v>1</v>
      </c>
      <c r="F1181" s="124" t="s">
        <v>250</v>
      </c>
      <c r="G1181" s="124">
        <v>1</v>
      </c>
      <c r="H1181" s="124" t="s">
        <v>250</v>
      </c>
      <c r="I1181" s="124">
        <v>0</v>
      </c>
      <c r="J1181" s="124">
        <v>0</v>
      </c>
      <c r="K1181" s="124" t="s">
        <v>250</v>
      </c>
      <c r="L1181" s="124" t="s">
        <v>250</v>
      </c>
      <c r="M1181" s="124">
        <v>0</v>
      </c>
      <c r="N1181" s="124" t="s">
        <v>250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19</v>
      </c>
      <c r="B1182" s="105"/>
      <c r="C1182" s="107" t="s">
        <v>941</v>
      </c>
      <c r="D1182" s="107" t="s">
        <v>377</v>
      </c>
      <c r="E1182" s="124">
        <v>1</v>
      </c>
      <c r="F1182" s="124" t="s">
        <v>250</v>
      </c>
      <c r="G1182" s="124">
        <v>1</v>
      </c>
      <c r="H1182" s="124" t="s">
        <v>250</v>
      </c>
      <c r="I1182" s="124">
        <v>0</v>
      </c>
      <c r="J1182" s="124">
        <v>0</v>
      </c>
      <c r="K1182" s="124" t="s">
        <v>250</v>
      </c>
      <c r="L1182" s="124" t="s">
        <v>250</v>
      </c>
      <c r="M1182" s="124">
        <v>0</v>
      </c>
      <c r="N1182" s="124" t="s">
        <v>250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20</v>
      </c>
      <c r="B1183" s="105"/>
      <c r="C1183" s="107" t="s">
        <v>942</v>
      </c>
      <c r="D1183" s="107" t="s">
        <v>388</v>
      </c>
      <c r="E1183" s="124">
        <v>1</v>
      </c>
      <c r="F1183" s="124" t="s">
        <v>250</v>
      </c>
      <c r="G1183" s="124">
        <v>1</v>
      </c>
      <c r="H1183" s="124" t="s">
        <v>250</v>
      </c>
      <c r="I1183" s="124">
        <v>0</v>
      </c>
      <c r="J1183" s="124">
        <v>0</v>
      </c>
      <c r="K1183" s="124" t="s">
        <v>250</v>
      </c>
      <c r="L1183" s="124" t="s">
        <v>250</v>
      </c>
      <c r="M1183" s="124">
        <v>0</v>
      </c>
      <c r="N1183" s="124" t="s">
        <v>250</v>
      </c>
      <c r="O1183" s="124">
        <v>0</v>
      </c>
      <c r="P1183" s="124">
        <v>0</v>
      </c>
      <c r="Q1183" s="124">
        <v>0</v>
      </c>
      <c r="R1183" s="124"/>
    </row>
    <row r="1184" spans="1:18" ht="15">
      <c r="A1184" s="105">
        <v>21</v>
      </c>
      <c r="B1184" s="105"/>
      <c r="C1184" s="107" t="s">
        <v>943</v>
      </c>
      <c r="D1184" s="107" t="s">
        <v>391</v>
      </c>
      <c r="E1184" s="124">
        <v>1</v>
      </c>
      <c r="F1184" s="124" t="s">
        <v>250</v>
      </c>
      <c r="G1184" s="124">
        <v>0</v>
      </c>
      <c r="H1184" s="124" t="s">
        <v>250</v>
      </c>
      <c r="I1184" s="124">
        <v>1</v>
      </c>
      <c r="J1184" s="124">
        <v>0</v>
      </c>
      <c r="K1184" s="124" t="s">
        <v>250</v>
      </c>
      <c r="L1184" s="124" t="s">
        <v>250</v>
      </c>
      <c r="M1184" s="124">
        <v>0</v>
      </c>
      <c r="N1184" s="124" t="s">
        <v>250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>
        <v>22</v>
      </c>
      <c r="B1185" s="105"/>
      <c r="C1185" s="107" t="s">
        <v>944</v>
      </c>
      <c r="D1185" s="107" t="s">
        <v>392</v>
      </c>
      <c r="E1185" s="124">
        <v>1</v>
      </c>
      <c r="F1185" s="124" t="s">
        <v>250</v>
      </c>
      <c r="G1185" s="124">
        <v>0</v>
      </c>
      <c r="H1185" s="124" t="s">
        <v>250</v>
      </c>
      <c r="I1185" s="124">
        <v>1</v>
      </c>
      <c r="J1185" s="124">
        <v>0</v>
      </c>
      <c r="K1185" s="124" t="s">
        <v>250</v>
      </c>
      <c r="L1185" s="124" t="s">
        <v>250</v>
      </c>
      <c r="M1185" s="124">
        <v>0</v>
      </c>
      <c r="N1185" s="124" t="s">
        <v>250</v>
      </c>
      <c r="O1185" s="124">
        <v>0</v>
      </c>
      <c r="P1185" s="124">
        <v>0</v>
      </c>
      <c r="Q1185" s="124">
        <v>0</v>
      </c>
      <c r="R1185" s="124"/>
    </row>
    <row r="1186" spans="1:18" ht="15">
      <c r="A1186" s="105">
        <v>23</v>
      </c>
      <c r="B1186" s="105"/>
      <c r="C1186" s="107" t="s">
        <v>945</v>
      </c>
      <c r="D1186" s="107" t="s">
        <v>393</v>
      </c>
      <c r="E1186" s="124">
        <v>1</v>
      </c>
      <c r="F1186" s="124" t="s">
        <v>250</v>
      </c>
      <c r="G1186" s="124">
        <v>0</v>
      </c>
      <c r="H1186" s="124" t="s">
        <v>250</v>
      </c>
      <c r="I1186" s="124">
        <v>1</v>
      </c>
      <c r="J1186" s="124">
        <v>0</v>
      </c>
      <c r="K1186" s="124" t="s">
        <v>250</v>
      </c>
      <c r="L1186" s="124" t="s">
        <v>250</v>
      </c>
      <c r="M1186" s="124">
        <v>0</v>
      </c>
      <c r="N1186" s="124" t="s">
        <v>250</v>
      </c>
      <c r="O1186" s="124">
        <v>0</v>
      </c>
      <c r="P1186" s="124">
        <v>0</v>
      </c>
      <c r="Q1186" s="124">
        <v>0</v>
      </c>
      <c r="R1186" s="124"/>
    </row>
    <row r="1187" spans="1:18" ht="15">
      <c r="A1187" s="105">
        <v>24</v>
      </c>
      <c r="B1187" s="105"/>
      <c r="C1187" s="107" t="s">
        <v>2238</v>
      </c>
      <c r="D1187" s="107" t="s">
        <v>2216</v>
      </c>
      <c r="E1187" s="124">
        <v>1</v>
      </c>
      <c r="F1187" s="124" t="s">
        <v>250</v>
      </c>
      <c r="G1187" s="124">
        <v>0.61605786547017749</v>
      </c>
      <c r="H1187" s="124" t="s">
        <v>250</v>
      </c>
      <c r="I1187" s="124">
        <v>0.38394213452982262</v>
      </c>
      <c r="J1187" s="124">
        <v>0</v>
      </c>
      <c r="K1187" s="124" t="s">
        <v>250</v>
      </c>
      <c r="L1187" s="124" t="s">
        <v>250</v>
      </c>
      <c r="M1187" s="124">
        <v>0</v>
      </c>
      <c r="N1187" s="124" t="s">
        <v>250</v>
      </c>
      <c r="O1187" s="124">
        <v>0</v>
      </c>
      <c r="P1187" s="124">
        <v>0</v>
      </c>
      <c r="Q1187" s="124">
        <v>0</v>
      </c>
      <c r="R1187" s="124"/>
    </row>
    <row r="1188" spans="1:18" ht="15">
      <c r="A1188" s="105">
        <v>25</v>
      </c>
      <c r="B1188" s="105"/>
      <c r="C1188" s="107" t="s">
        <v>946</v>
      </c>
      <c r="D1188" s="107" t="s">
        <v>394</v>
      </c>
      <c r="E1188" s="124">
        <v>1</v>
      </c>
      <c r="F1188" s="124" t="s">
        <v>250</v>
      </c>
      <c r="G1188" s="124">
        <v>0</v>
      </c>
      <c r="H1188" s="124" t="s">
        <v>250</v>
      </c>
      <c r="I1188" s="124">
        <v>1</v>
      </c>
      <c r="J1188" s="124">
        <v>0</v>
      </c>
      <c r="K1188" s="124" t="s">
        <v>250</v>
      </c>
      <c r="L1188" s="124" t="s">
        <v>250</v>
      </c>
      <c r="M1188" s="124">
        <v>0</v>
      </c>
      <c r="N1188" s="124" t="s">
        <v>250</v>
      </c>
      <c r="O1188" s="124">
        <v>0</v>
      </c>
      <c r="P1188" s="124">
        <v>0</v>
      </c>
      <c r="Q1188" s="124">
        <v>0</v>
      </c>
      <c r="R1188" s="124"/>
    </row>
    <row r="1189" spans="1:18" ht="15">
      <c r="A1189" s="105">
        <v>26</v>
      </c>
      <c r="B1189" s="105"/>
      <c r="C1189" s="107" t="s">
        <v>947</v>
      </c>
      <c r="D1189" s="107" t="s">
        <v>395</v>
      </c>
      <c r="E1189" s="124">
        <v>1</v>
      </c>
      <c r="F1189" s="124" t="s">
        <v>250</v>
      </c>
      <c r="G1189" s="124">
        <v>0</v>
      </c>
      <c r="H1189" s="124" t="s">
        <v>250</v>
      </c>
      <c r="I1189" s="124">
        <v>1</v>
      </c>
      <c r="J1189" s="124">
        <v>0</v>
      </c>
      <c r="K1189" s="124" t="s">
        <v>250</v>
      </c>
      <c r="L1189" s="124" t="s">
        <v>250</v>
      </c>
      <c r="M1189" s="124">
        <v>0</v>
      </c>
      <c r="N1189" s="124" t="s">
        <v>250</v>
      </c>
      <c r="O1189" s="124">
        <v>0</v>
      </c>
      <c r="P1189" s="124">
        <v>0</v>
      </c>
      <c r="Q1189" s="124">
        <v>0</v>
      </c>
      <c r="R1189" s="124"/>
    </row>
    <row r="1190" spans="1:18" ht="15">
      <c r="A1190" s="105">
        <v>27</v>
      </c>
      <c r="B1190" s="105"/>
      <c r="C1190" s="107" t="s">
        <v>948</v>
      </c>
      <c r="D1190" s="107" t="s">
        <v>396</v>
      </c>
      <c r="E1190" s="124">
        <v>1</v>
      </c>
      <c r="F1190" s="124" t="s">
        <v>250</v>
      </c>
      <c r="G1190" s="124">
        <v>0</v>
      </c>
      <c r="H1190" s="124" t="s">
        <v>250</v>
      </c>
      <c r="I1190" s="124">
        <v>1</v>
      </c>
      <c r="J1190" s="124">
        <v>0</v>
      </c>
      <c r="K1190" s="124" t="s">
        <v>250</v>
      </c>
      <c r="L1190" s="124" t="s">
        <v>250</v>
      </c>
      <c r="M1190" s="124">
        <v>0</v>
      </c>
      <c r="N1190" s="124" t="s">
        <v>250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28</v>
      </c>
      <c r="B1191" s="105"/>
      <c r="C1191" s="107" t="s">
        <v>949</v>
      </c>
      <c r="D1191" s="107" t="s">
        <v>398</v>
      </c>
      <c r="E1191" s="124">
        <v>1</v>
      </c>
      <c r="F1191" s="124" t="s">
        <v>250</v>
      </c>
      <c r="G1191" s="124">
        <v>0</v>
      </c>
      <c r="H1191" s="124" t="s">
        <v>250</v>
      </c>
      <c r="I1191" s="124">
        <v>1</v>
      </c>
      <c r="J1191" s="124">
        <v>0</v>
      </c>
      <c r="K1191" s="124" t="s">
        <v>250</v>
      </c>
      <c r="L1191" s="124" t="s">
        <v>250</v>
      </c>
      <c r="M1191" s="124">
        <v>0</v>
      </c>
      <c r="N1191" s="124" t="s">
        <v>250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29</v>
      </c>
      <c r="B1192" s="105"/>
      <c r="C1192" s="107" t="s">
        <v>950</v>
      </c>
      <c r="D1192" s="107" t="s">
        <v>405</v>
      </c>
      <c r="E1192" s="124">
        <v>1</v>
      </c>
      <c r="F1192" s="124" t="s">
        <v>250</v>
      </c>
      <c r="G1192" s="124">
        <v>1</v>
      </c>
      <c r="H1192" s="124" t="s">
        <v>250</v>
      </c>
      <c r="I1192" s="124">
        <v>0</v>
      </c>
      <c r="J1192" s="124">
        <v>0</v>
      </c>
      <c r="K1192" s="124" t="s">
        <v>250</v>
      </c>
      <c r="L1192" s="124" t="s">
        <v>250</v>
      </c>
      <c r="M1192" s="124">
        <v>0</v>
      </c>
      <c r="N1192" s="124" t="s">
        <v>250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30</v>
      </c>
      <c r="B1193" s="105"/>
      <c r="C1193" s="107" t="s">
        <v>951</v>
      </c>
      <c r="D1193" s="107" t="s">
        <v>406</v>
      </c>
      <c r="E1193" s="124">
        <v>1</v>
      </c>
      <c r="F1193" s="124" t="s">
        <v>250</v>
      </c>
      <c r="G1193" s="124">
        <v>1</v>
      </c>
      <c r="H1193" s="124" t="s">
        <v>250</v>
      </c>
      <c r="I1193" s="124">
        <v>0</v>
      </c>
      <c r="J1193" s="124">
        <v>0</v>
      </c>
      <c r="K1193" s="124" t="s">
        <v>250</v>
      </c>
      <c r="L1193" s="124" t="s">
        <v>250</v>
      </c>
      <c r="M1193" s="124">
        <v>0</v>
      </c>
      <c r="N1193" s="124" t="s">
        <v>250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31</v>
      </c>
      <c r="B1194" s="105"/>
      <c r="C1194" s="107" t="s">
        <v>952</v>
      </c>
      <c r="D1194" s="107" t="s">
        <v>407</v>
      </c>
      <c r="E1194" s="124">
        <v>1</v>
      </c>
      <c r="F1194" s="124" t="s">
        <v>250</v>
      </c>
      <c r="G1194" s="124">
        <v>1</v>
      </c>
      <c r="H1194" s="124" t="s">
        <v>250</v>
      </c>
      <c r="I1194" s="124">
        <v>0</v>
      </c>
      <c r="J1194" s="124">
        <v>0</v>
      </c>
      <c r="K1194" s="124" t="s">
        <v>250</v>
      </c>
      <c r="L1194" s="124" t="s">
        <v>250</v>
      </c>
      <c r="M1194" s="124">
        <v>0</v>
      </c>
      <c r="N1194" s="124" t="s">
        <v>250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32</v>
      </c>
      <c r="B1195" s="105"/>
      <c r="C1195" s="107" t="s">
        <v>953</v>
      </c>
      <c r="D1195" s="107" t="s">
        <v>408</v>
      </c>
      <c r="E1195" s="124">
        <v>1</v>
      </c>
      <c r="F1195" s="124" t="s">
        <v>250</v>
      </c>
      <c r="G1195" s="124">
        <v>1</v>
      </c>
      <c r="H1195" s="124" t="s">
        <v>250</v>
      </c>
      <c r="I1195" s="124">
        <v>0</v>
      </c>
      <c r="J1195" s="124">
        <v>0</v>
      </c>
      <c r="K1195" s="124" t="s">
        <v>250</v>
      </c>
      <c r="L1195" s="124" t="s">
        <v>250</v>
      </c>
      <c r="M1195" s="124">
        <v>0</v>
      </c>
      <c r="N1195" s="124" t="s">
        <v>250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33</v>
      </c>
      <c r="B1196" s="105"/>
      <c r="C1196" s="107" t="s">
        <v>954</v>
      </c>
      <c r="D1196" s="107" t="s">
        <v>409</v>
      </c>
      <c r="E1196" s="124">
        <v>1</v>
      </c>
      <c r="F1196" s="124" t="s">
        <v>250</v>
      </c>
      <c r="G1196" s="124">
        <v>1</v>
      </c>
      <c r="H1196" s="124" t="s">
        <v>250</v>
      </c>
      <c r="I1196" s="124">
        <v>0</v>
      </c>
      <c r="J1196" s="124">
        <v>0</v>
      </c>
      <c r="K1196" s="124" t="s">
        <v>250</v>
      </c>
      <c r="L1196" s="124" t="s">
        <v>250</v>
      </c>
      <c r="M1196" s="124">
        <v>0</v>
      </c>
      <c r="N1196" s="124" t="s">
        <v>250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34</v>
      </c>
      <c r="B1197" s="105"/>
      <c r="C1197" s="107" t="s">
        <v>955</v>
      </c>
      <c r="D1197" s="107" t="s">
        <v>410</v>
      </c>
      <c r="E1197" s="124">
        <v>0</v>
      </c>
      <c r="F1197" s="124" t="s">
        <v>250</v>
      </c>
      <c r="G1197" s="124">
        <v>0</v>
      </c>
      <c r="H1197" s="124" t="s">
        <v>250</v>
      </c>
      <c r="I1197" s="124">
        <v>0</v>
      </c>
      <c r="J1197" s="124">
        <v>0</v>
      </c>
      <c r="K1197" s="124" t="s">
        <v>250</v>
      </c>
      <c r="L1197" s="124" t="s">
        <v>250</v>
      </c>
      <c r="M1197" s="124">
        <v>0</v>
      </c>
      <c r="N1197" s="124" t="s">
        <v>250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35</v>
      </c>
      <c r="B1198" s="105"/>
      <c r="C1198" s="107" t="s">
        <v>956</v>
      </c>
      <c r="D1198" s="107" t="s">
        <v>411</v>
      </c>
      <c r="E1198" s="124">
        <v>0</v>
      </c>
      <c r="F1198" s="124" t="s">
        <v>250</v>
      </c>
      <c r="G1198" s="124">
        <v>0</v>
      </c>
      <c r="H1198" s="124" t="s">
        <v>250</v>
      </c>
      <c r="I1198" s="124">
        <v>0</v>
      </c>
      <c r="J1198" s="124">
        <v>0</v>
      </c>
      <c r="K1198" s="124" t="s">
        <v>250</v>
      </c>
      <c r="L1198" s="124" t="s">
        <v>250</v>
      </c>
      <c r="M1198" s="124">
        <v>0</v>
      </c>
      <c r="N1198" s="124" t="s">
        <v>250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36</v>
      </c>
      <c r="B1199" s="105"/>
      <c r="C1199" s="107" t="s">
        <v>957</v>
      </c>
      <c r="D1199" s="107" t="s">
        <v>412</v>
      </c>
      <c r="E1199" s="124">
        <v>0</v>
      </c>
      <c r="F1199" s="124" t="s">
        <v>250</v>
      </c>
      <c r="G1199" s="124">
        <v>0</v>
      </c>
      <c r="H1199" s="124" t="s">
        <v>250</v>
      </c>
      <c r="I1199" s="124">
        <v>0</v>
      </c>
      <c r="J1199" s="124">
        <v>0</v>
      </c>
      <c r="K1199" s="124" t="s">
        <v>250</v>
      </c>
      <c r="L1199" s="124" t="s">
        <v>250</v>
      </c>
      <c r="M1199" s="124">
        <v>0</v>
      </c>
      <c r="N1199" s="124" t="s">
        <v>250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37</v>
      </c>
      <c r="B1200" s="105"/>
      <c r="C1200" s="107" t="s">
        <v>958</v>
      </c>
      <c r="D1200" s="107" t="s">
        <v>413</v>
      </c>
      <c r="E1200" s="124">
        <v>0</v>
      </c>
      <c r="F1200" s="124" t="s">
        <v>250</v>
      </c>
      <c r="G1200" s="124">
        <v>0</v>
      </c>
      <c r="H1200" s="124" t="s">
        <v>250</v>
      </c>
      <c r="I1200" s="124">
        <v>0</v>
      </c>
      <c r="J1200" s="124">
        <v>0</v>
      </c>
      <c r="K1200" s="124" t="s">
        <v>250</v>
      </c>
      <c r="L1200" s="124" t="s">
        <v>250</v>
      </c>
      <c r="M1200" s="124">
        <v>0</v>
      </c>
      <c r="N1200" s="124" t="s">
        <v>250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38</v>
      </c>
      <c r="B1201" s="105"/>
      <c r="C1201" s="107" t="s">
        <v>1138</v>
      </c>
      <c r="D1201" s="107" t="s">
        <v>463</v>
      </c>
      <c r="E1201" s="124">
        <v>1</v>
      </c>
      <c r="F1201" s="124" t="s">
        <v>250</v>
      </c>
      <c r="G1201" s="124">
        <v>4.2365435801900993E-4</v>
      </c>
      <c r="H1201" s="124" t="s">
        <v>250</v>
      </c>
      <c r="I1201" s="124">
        <v>0.99957634564198095</v>
      </c>
      <c r="J1201" s="124">
        <v>0</v>
      </c>
      <c r="K1201" s="124" t="s">
        <v>250</v>
      </c>
      <c r="L1201" s="124" t="s">
        <v>250</v>
      </c>
      <c r="M1201" s="124">
        <v>0</v>
      </c>
      <c r="N1201" s="124" t="s">
        <v>250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39</v>
      </c>
      <c r="B1202" s="105"/>
      <c r="C1202" s="107" t="s">
        <v>1139</v>
      </c>
      <c r="D1202" s="107" t="s">
        <v>486</v>
      </c>
      <c r="E1202" s="124">
        <v>1</v>
      </c>
      <c r="F1202" s="124" t="s">
        <v>250</v>
      </c>
      <c r="G1202" s="124">
        <v>0</v>
      </c>
      <c r="H1202" s="124" t="s">
        <v>250</v>
      </c>
      <c r="I1202" s="124">
        <v>1</v>
      </c>
      <c r="J1202" s="124">
        <v>0</v>
      </c>
      <c r="K1202" s="124" t="s">
        <v>250</v>
      </c>
      <c r="L1202" s="124" t="s">
        <v>250</v>
      </c>
      <c r="M1202" s="124">
        <v>0</v>
      </c>
      <c r="N1202" s="124" t="s">
        <v>250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40</v>
      </c>
      <c r="B1203" s="105"/>
      <c r="C1203" s="107" t="s">
        <v>1140</v>
      </c>
      <c r="D1203" s="107" t="s">
        <v>522</v>
      </c>
      <c r="E1203" s="124">
        <v>1</v>
      </c>
      <c r="F1203" s="124" t="s">
        <v>250</v>
      </c>
      <c r="G1203" s="124">
        <v>0</v>
      </c>
      <c r="H1203" s="124" t="s">
        <v>250</v>
      </c>
      <c r="I1203" s="124">
        <v>1</v>
      </c>
      <c r="J1203" s="124">
        <v>0</v>
      </c>
      <c r="K1203" s="124" t="s">
        <v>250</v>
      </c>
      <c r="L1203" s="124" t="s">
        <v>250</v>
      </c>
      <c r="M1203" s="124">
        <v>0</v>
      </c>
      <c r="N1203" s="124" t="s">
        <v>250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41</v>
      </c>
      <c r="B1204" s="105"/>
      <c r="C1204" s="107" t="s">
        <v>1141</v>
      </c>
      <c r="D1204" s="107" t="s">
        <v>531</v>
      </c>
      <c r="E1204" s="124">
        <v>0</v>
      </c>
      <c r="F1204" s="124" t="s">
        <v>250</v>
      </c>
      <c r="G1204" s="124">
        <v>0</v>
      </c>
      <c r="H1204" s="124" t="s">
        <v>250</v>
      </c>
      <c r="I1204" s="124">
        <v>0</v>
      </c>
      <c r="J1204" s="124">
        <v>0</v>
      </c>
      <c r="K1204" s="124" t="s">
        <v>250</v>
      </c>
      <c r="L1204" s="124" t="s">
        <v>250</v>
      </c>
      <c r="M1204" s="124">
        <v>0</v>
      </c>
      <c r="N1204" s="124" t="s">
        <v>250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42</v>
      </c>
      <c r="B1205" s="105"/>
      <c r="C1205" s="107" t="s">
        <v>961</v>
      </c>
      <c r="D1205" s="107" t="s">
        <v>568</v>
      </c>
      <c r="E1205" s="124">
        <v>1</v>
      </c>
      <c r="F1205" s="124" t="s">
        <v>250</v>
      </c>
      <c r="G1205" s="124">
        <v>0.72590793224852024</v>
      </c>
      <c r="H1205" s="124" t="s">
        <v>250</v>
      </c>
      <c r="I1205" s="124">
        <v>0.21385661697078195</v>
      </c>
      <c r="J1205" s="124">
        <v>6.0235450780697836E-2</v>
      </c>
      <c r="K1205" s="124" t="s">
        <v>250</v>
      </c>
      <c r="L1205" s="124" t="s">
        <v>250</v>
      </c>
      <c r="M1205" s="124">
        <v>0</v>
      </c>
      <c r="N1205" s="124" t="s">
        <v>250</v>
      </c>
      <c r="O1205" s="124">
        <v>6.0235450780697836E-2</v>
      </c>
      <c r="P1205" s="124">
        <v>6.0235450780697836E-2</v>
      </c>
      <c r="Q1205" s="124">
        <v>0</v>
      </c>
      <c r="R1205" s="124"/>
    </row>
    <row r="1206" spans="1:18" ht="15">
      <c r="A1206" s="105">
        <v>43</v>
      </c>
      <c r="B1206" s="105"/>
      <c r="C1206" s="107" t="s">
        <v>962</v>
      </c>
      <c r="D1206" s="107" t="s">
        <v>578</v>
      </c>
      <c r="E1206" s="124">
        <v>1</v>
      </c>
      <c r="F1206" s="124" t="s">
        <v>250</v>
      </c>
      <c r="G1206" s="124">
        <v>0.96541055400462417</v>
      </c>
      <c r="H1206" s="124" t="s">
        <v>250</v>
      </c>
      <c r="I1206" s="124">
        <v>3.4589445995375875E-2</v>
      </c>
      <c r="J1206" s="124">
        <v>0</v>
      </c>
      <c r="K1206" s="124" t="s">
        <v>250</v>
      </c>
      <c r="L1206" s="124" t="s">
        <v>250</v>
      </c>
      <c r="M1206" s="124">
        <v>0</v>
      </c>
      <c r="N1206" s="124" t="s">
        <v>250</v>
      </c>
      <c r="O1206" s="124">
        <v>0</v>
      </c>
      <c r="P1206" s="124">
        <v>0</v>
      </c>
      <c r="Q1206" s="124">
        <v>0</v>
      </c>
      <c r="R1206" s="124"/>
    </row>
    <row r="1207" spans="1:18" ht="15">
      <c r="A1207" s="105">
        <v>44</v>
      </c>
      <c r="B1207" s="105"/>
      <c r="C1207" s="107" t="s">
        <v>963</v>
      </c>
      <c r="D1207" s="107" t="s">
        <v>576</v>
      </c>
      <c r="E1207" s="124">
        <v>1</v>
      </c>
      <c r="F1207" s="124" t="s">
        <v>250</v>
      </c>
      <c r="G1207" s="124">
        <v>1</v>
      </c>
      <c r="H1207" s="124" t="s">
        <v>250</v>
      </c>
      <c r="I1207" s="124">
        <v>0</v>
      </c>
      <c r="J1207" s="124">
        <v>0</v>
      </c>
      <c r="K1207" s="124" t="s">
        <v>250</v>
      </c>
      <c r="L1207" s="124" t="s">
        <v>250</v>
      </c>
      <c r="M1207" s="124">
        <v>0</v>
      </c>
      <c r="N1207" s="124" t="s">
        <v>250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45</v>
      </c>
      <c r="B1208" s="105"/>
      <c r="C1208" s="107" t="s">
        <v>1142</v>
      </c>
      <c r="D1208" s="107" t="s">
        <v>564</v>
      </c>
      <c r="E1208" s="124">
        <v>1</v>
      </c>
      <c r="F1208" s="124" t="s">
        <v>250</v>
      </c>
      <c r="G1208" s="124">
        <v>0.90227256375112652</v>
      </c>
      <c r="H1208" s="124" t="s">
        <v>250</v>
      </c>
      <c r="I1208" s="124">
        <v>9.7727436248873437E-2</v>
      </c>
      <c r="J1208" s="124">
        <v>0</v>
      </c>
      <c r="K1208" s="124" t="s">
        <v>250</v>
      </c>
      <c r="L1208" s="124" t="s">
        <v>250</v>
      </c>
      <c r="M1208" s="124">
        <v>0</v>
      </c>
      <c r="N1208" s="124" t="s">
        <v>250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46</v>
      </c>
      <c r="B1209" s="105"/>
      <c r="C1209" s="107" t="s">
        <v>1143</v>
      </c>
      <c r="D1209" s="107" t="s">
        <v>566</v>
      </c>
      <c r="E1209" s="124">
        <v>1</v>
      </c>
      <c r="F1209" s="124" t="s">
        <v>250</v>
      </c>
      <c r="G1209" s="124">
        <v>0.99895100847684803</v>
      </c>
      <c r="H1209" s="124" t="s">
        <v>250</v>
      </c>
      <c r="I1209" s="124">
        <v>1.0489915231519519E-3</v>
      </c>
      <c r="J1209" s="124">
        <v>0</v>
      </c>
      <c r="K1209" s="124" t="s">
        <v>250</v>
      </c>
      <c r="L1209" s="124" t="s">
        <v>250</v>
      </c>
      <c r="M1209" s="124">
        <v>0</v>
      </c>
      <c r="N1209" s="124" t="s">
        <v>250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47</v>
      </c>
      <c r="B1210" s="105"/>
      <c r="C1210" s="107" t="s">
        <v>1144</v>
      </c>
      <c r="D1210" s="107" t="s">
        <v>574</v>
      </c>
      <c r="E1210" s="124">
        <v>1</v>
      </c>
      <c r="F1210" s="124" t="s">
        <v>250</v>
      </c>
      <c r="G1210" s="124">
        <v>0.85351242744456024</v>
      </c>
      <c r="H1210" s="124" t="s">
        <v>250</v>
      </c>
      <c r="I1210" s="124">
        <v>0.14648757255543979</v>
      </c>
      <c r="J1210" s="124">
        <v>0</v>
      </c>
      <c r="K1210" s="124" t="s">
        <v>250</v>
      </c>
      <c r="L1210" s="124" t="s">
        <v>250</v>
      </c>
      <c r="M1210" s="124">
        <v>0</v>
      </c>
      <c r="N1210" s="124" t="s">
        <v>250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48</v>
      </c>
      <c r="B1211" s="105"/>
      <c r="C1211" s="107" t="s">
        <v>967</v>
      </c>
      <c r="D1211" s="107" t="s">
        <v>968</v>
      </c>
      <c r="E1211" s="124">
        <v>1</v>
      </c>
      <c r="F1211" s="124" t="s">
        <v>250</v>
      </c>
      <c r="G1211" s="124">
        <v>0</v>
      </c>
      <c r="H1211" s="124" t="s">
        <v>250</v>
      </c>
      <c r="I1211" s="124">
        <v>1</v>
      </c>
      <c r="J1211" s="124">
        <v>0</v>
      </c>
      <c r="K1211" s="124" t="s">
        <v>250</v>
      </c>
      <c r="L1211" s="124" t="s">
        <v>250</v>
      </c>
      <c r="M1211" s="124">
        <v>0</v>
      </c>
      <c r="N1211" s="124" t="s">
        <v>250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49</v>
      </c>
      <c r="B1212" s="105"/>
      <c r="C1212" s="107" t="s">
        <v>969</v>
      </c>
      <c r="D1212" s="107" t="s">
        <v>770</v>
      </c>
      <c r="E1212" s="124">
        <v>0</v>
      </c>
      <c r="F1212" s="124" t="s">
        <v>250</v>
      </c>
      <c r="G1212" s="124">
        <v>0</v>
      </c>
      <c r="H1212" s="124" t="s">
        <v>250</v>
      </c>
      <c r="I1212" s="124">
        <v>0</v>
      </c>
      <c r="J1212" s="124">
        <v>0</v>
      </c>
      <c r="K1212" s="124" t="s">
        <v>250</v>
      </c>
      <c r="L1212" s="124" t="s">
        <v>250</v>
      </c>
      <c r="M1212" s="124">
        <v>0</v>
      </c>
      <c r="N1212" s="124" t="s">
        <v>250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50</v>
      </c>
      <c r="B1213" s="105"/>
      <c r="C1213" s="107" t="s">
        <v>970</v>
      </c>
      <c r="D1213" s="107" t="s">
        <v>540</v>
      </c>
      <c r="E1213" s="124">
        <v>1</v>
      </c>
      <c r="F1213" s="124" t="s">
        <v>250</v>
      </c>
      <c r="G1213" s="124">
        <v>0</v>
      </c>
      <c r="H1213" s="124" t="s">
        <v>250</v>
      </c>
      <c r="I1213" s="124">
        <v>1</v>
      </c>
      <c r="J1213" s="124">
        <v>0</v>
      </c>
      <c r="K1213" s="124" t="s">
        <v>250</v>
      </c>
      <c r="L1213" s="124" t="s">
        <v>250</v>
      </c>
      <c r="M1213" s="124">
        <v>0</v>
      </c>
      <c r="N1213" s="124" t="s">
        <v>250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 t="s">
        <v>250</v>
      </c>
      <c r="B1214" s="105"/>
      <c r="C1214" s="107" t="s">
        <v>250</v>
      </c>
      <c r="D1214" s="107" t="s">
        <v>250</v>
      </c>
      <c r="E1214" s="124" t="s">
        <v>250</v>
      </c>
      <c r="F1214" s="124" t="s">
        <v>250</v>
      </c>
      <c r="G1214" s="124" t="s">
        <v>250</v>
      </c>
      <c r="H1214" s="124" t="s">
        <v>250</v>
      </c>
      <c r="I1214" s="124" t="s">
        <v>250</v>
      </c>
      <c r="J1214" s="124" t="s">
        <v>250</v>
      </c>
      <c r="K1214" s="124" t="s">
        <v>250</v>
      </c>
      <c r="L1214" s="124" t="s">
        <v>250</v>
      </c>
      <c r="M1214" s="124" t="s">
        <v>250</v>
      </c>
      <c r="N1214" s="124" t="s">
        <v>250</v>
      </c>
      <c r="O1214" s="124" t="s">
        <v>250</v>
      </c>
      <c r="P1214" s="124" t="s">
        <v>250</v>
      </c>
      <c r="Q1214" s="124" t="s">
        <v>250</v>
      </c>
      <c r="R1214" s="124"/>
    </row>
    <row r="1215" spans="1:18" ht="15">
      <c r="A1215" s="105" t="s">
        <v>250</v>
      </c>
      <c r="B1215" s="105"/>
      <c r="C1215" s="107" t="s">
        <v>250</v>
      </c>
      <c r="D1215" s="107" t="s">
        <v>250</v>
      </c>
      <c r="E1215" s="124" t="s">
        <v>250</v>
      </c>
      <c r="F1215" s="124" t="s">
        <v>250</v>
      </c>
      <c r="G1215" s="124" t="s">
        <v>250</v>
      </c>
      <c r="H1215" s="124" t="s">
        <v>250</v>
      </c>
      <c r="I1215" s="124" t="s">
        <v>250</v>
      </c>
      <c r="J1215" s="124" t="s">
        <v>250</v>
      </c>
      <c r="K1215" s="124" t="s">
        <v>250</v>
      </c>
      <c r="L1215" s="124" t="s">
        <v>250</v>
      </c>
      <c r="M1215" s="124" t="s">
        <v>250</v>
      </c>
      <c r="N1215" s="124" t="s">
        <v>250</v>
      </c>
      <c r="O1215" s="124" t="s">
        <v>250</v>
      </c>
      <c r="P1215" s="124" t="s">
        <v>250</v>
      </c>
      <c r="Q1215" s="124" t="s">
        <v>250</v>
      </c>
      <c r="R1215" s="124"/>
    </row>
    <row r="1216" spans="1:18" ht="15">
      <c r="A1216" s="105" t="s">
        <v>250</v>
      </c>
      <c r="B1216" s="105"/>
      <c r="C1216" s="107" t="s">
        <v>494</v>
      </c>
      <c r="D1216" s="107" t="s">
        <v>250</v>
      </c>
      <c r="E1216" s="124" t="s">
        <v>250</v>
      </c>
      <c r="F1216" s="124" t="s">
        <v>250</v>
      </c>
      <c r="G1216" s="124" t="s">
        <v>250</v>
      </c>
      <c r="H1216" s="124" t="s">
        <v>250</v>
      </c>
      <c r="I1216" s="124" t="s">
        <v>250</v>
      </c>
      <c r="J1216" s="124" t="s">
        <v>250</v>
      </c>
      <c r="K1216" s="124" t="s">
        <v>250</v>
      </c>
      <c r="L1216" s="124" t="s">
        <v>250</v>
      </c>
      <c r="M1216" s="124" t="s">
        <v>250</v>
      </c>
      <c r="N1216" s="124" t="s">
        <v>250</v>
      </c>
      <c r="O1216" s="124" t="s">
        <v>250</v>
      </c>
      <c r="P1216" s="124" t="s">
        <v>250</v>
      </c>
      <c r="Q1216" s="124" t="s">
        <v>250</v>
      </c>
      <c r="R1216" s="124"/>
    </row>
    <row r="1217" spans="1:18" ht="15">
      <c r="A1217" s="105" t="s">
        <v>250</v>
      </c>
      <c r="B1217" s="105"/>
      <c r="C1217" s="107" t="s">
        <v>917</v>
      </c>
      <c r="D1217" s="107" t="s">
        <v>250</v>
      </c>
      <c r="E1217" s="124" t="s">
        <v>250</v>
      </c>
      <c r="F1217" s="124" t="s">
        <v>250</v>
      </c>
      <c r="G1217" s="124" t="s">
        <v>250</v>
      </c>
      <c r="H1217" s="124" t="s">
        <v>250</v>
      </c>
      <c r="I1217" s="124" t="s">
        <v>250</v>
      </c>
      <c r="J1217" s="124" t="s">
        <v>250</v>
      </c>
      <c r="K1217" s="124" t="s">
        <v>250</v>
      </c>
      <c r="L1217" s="124" t="s">
        <v>250</v>
      </c>
      <c r="M1217" s="124" t="s">
        <v>250</v>
      </c>
      <c r="N1217" s="124" t="s">
        <v>250</v>
      </c>
      <c r="O1217" s="124" t="s">
        <v>250</v>
      </c>
      <c r="P1217" s="124" t="s">
        <v>250</v>
      </c>
      <c r="Q1217" s="124" t="s">
        <v>250</v>
      </c>
      <c r="R1217" s="124"/>
    </row>
    <row r="1218" spans="1:18" ht="15">
      <c r="A1218" s="105">
        <v>1</v>
      </c>
      <c r="B1218" s="105"/>
      <c r="C1218" s="107" t="s">
        <v>971</v>
      </c>
      <c r="D1218" s="107" t="s">
        <v>494</v>
      </c>
      <c r="E1218" s="124">
        <v>0.99999999999999989</v>
      </c>
      <c r="F1218" s="124" t="s">
        <v>250</v>
      </c>
      <c r="G1218" s="124">
        <v>0.94182569268505678</v>
      </c>
      <c r="H1218" s="124" t="s">
        <v>250</v>
      </c>
      <c r="I1218" s="124">
        <v>3.7823388264772315E-2</v>
      </c>
      <c r="J1218" s="124">
        <v>2.0350919050170856E-2</v>
      </c>
      <c r="K1218" s="124" t="s">
        <v>250</v>
      </c>
      <c r="L1218" s="124" t="s">
        <v>250</v>
      </c>
      <c r="M1218" s="124">
        <v>0</v>
      </c>
      <c r="N1218" s="124" t="s">
        <v>250</v>
      </c>
      <c r="O1218" s="124">
        <v>2.0350919050170856E-2</v>
      </c>
      <c r="P1218" s="124">
        <v>1.0445598345751202E-2</v>
      </c>
      <c r="Q1218" s="124">
        <v>9.9053207044196515E-3</v>
      </c>
      <c r="R1218" s="124"/>
    </row>
    <row r="1219" spans="1:18" ht="15">
      <c r="A1219" s="105">
        <v>2</v>
      </c>
      <c r="B1219" s="105"/>
      <c r="C1219" s="107" t="s">
        <v>972</v>
      </c>
      <c r="D1219" s="107" t="s">
        <v>739</v>
      </c>
      <c r="E1219" s="124">
        <v>1</v>
      </c>
      <c r="F1219" s="124" t="s">
        <v>250</v>
      </c>
      <c r="G1219" s="124">
        <v>0.96139088067320977</v>
      </c>
      <c r="H1219" s="124" t="s">
        <v>250</v>
      </c>
      <c r="I1219" s="124">
        <v>3.860911932679021E-2</v>
      </c>
      <c r="J1219" s="124">
        <v>0</v>
      </c>
      <c r="K1219" s="124" t="s">
        <v>250</v>
      </c>
      <c r="L1219" s="124" t="s">
        <v>250</v>
      </c>
      <c r="M1219" s="124">
        <v>0</v>
      </c>
      <c r="N1219" s="124" t="s">
        <v>250</v>
      </c>
      <c r="O1219" s="124">
        <v>0</v>
      </c>
      <c r="P1219" s="124">
        <v>0</v>
      </c>
      <c r="Q1219" s="124">
        <v>0</v>
      </c>
      <c r="R1219" s="124"/>
    </row>
    <row r="1220" spans="1:18" ht="15">
      <c r="A1220" s="105">
        <v>3</v>
      </c>
      <c r="B1220" s="105"/>
      <c r="C1220" s="107" t="s">
        <v>250</v>
      </c>
      <c r="D1220" s="107" t="s">
        <v>250</v>
      </c>
      <c r="E1220" s="124" t="s">
        <v>250</v>
      </c>
      <c r="F1220" s="124" t="s">
        <v>250</v>
      </c>
      <c r="G1220" s="124" t="s">
        <v>250</v>
      </c>
      <c r="H1220" s="124" t="s">
        <v>250</v>
      </c>
      <c r="I1220" s="124" t="s">
        <v>250</v>
      </c>
      <c r="J1220" s="124" t="s">
        <v>250</v>
      </c>
      <c r="K1220" s="124" t="s">
        <v>250</v>
      </c>
      <c r="L1220" s="124" t="s">
        <v>250</v>
      </c>
      <c r="M1220" s="124" t="s">
        <v>250</v>
      </c>
      <c r="N1220" s="124" t="s">
        <v>250</v>
      </c>
      <c r="O1220" s="124" t="s">
        <v>250</v>
      </c>
      <c r="P1220" s="124" t="s">
        <v>250</v>
      </c>
      <c r="Q1220" s="124" t="s">
        <v>250</v>
      </c>
      <c r="R1220" s="124"/>
    </row>
    <row r="1221" spans="1:18" ht="15">
      <c r="A1221" s="105">
        <v>4</v>
      </c>
      <c r="B1221" s="105"/>
      <c r="C1221" s="107" t="s">
        <v>250</v>
      </c>
      <c r="D1221" s="107" t="s">
        <v>250</v>
      </c>
      <c r="E1221" s="124" t="s">
        <v>250</v>
      </c>
      <c r="F1221" s="124" t="s">
        <v>250</v>
      </c>
      <c r="G1221" s="124" t="s">
        <v>250</v>
      </c>
      <c r="H1221" s="124" t="s">
        <v>250</v>
      </c>
      <c r="I1221" s="124" t="s">
        <v>250</v>
      </c>
      <c r="J1221" s="124" t="s">
        <v>250</v>
      </c>
      <c r="K1221" s="124" t="s">
        <v>250</v>
      </c>
      <c r="L1221" s="124" t="s">
        <v>250</v>
      </c>
      <c r="M1221" s="124" t="s">
        <v>250</v>
      </c>
      <c r="N1221" s="124" t="s">
        <v>250</v>
      </c>
      <c r="O1221" s="124" t="s">
        <v>250</v>
      </c>
      <c r="P1221" s="124" t="s">
        <v>250</v>
      </c>
      <c r="Q1221" s="124" t="s">
        <v>250</v>
      </c>
      <c r="R1221" s="124"/>
    </row>
    <row r="1222" spans="1:18" ht="15">
      <c r="A1222" s="105" t="s">
        <v>250</v>
      </c>
      <c r="B1222" s="105"/>
      <c r="C1222" s="107" t="s">
        <v>250</v>
      </c>
      <c r="D1222" s="107" t="s">
        <v>250</v>
      </c>
      <c r="E1222" s="124" t="s">
        <v>250</v>
      </c>
      <c r="F1222" s="124" t="s">
        <v>250</v>
      </c>
      <c r="G1222" s="124" t="s">
        <v>250</v>
      </c>
      <c r="H1222" s="124" t="s">
        <v>250</v>
      </c>
      <c r="I1222" s="124" t="s">
        <v>250</v>
      </c>
      <c r="J1222" s="124" t="s">
        <v>250</v>
      </c>
      <c r="K1222" s="124" t="s">
        <v>250</v>
      </c>
      <c r="L1222" s="124" t="s">
        <v>250</v>
      </c>
      <c r="M1222" s="124" t="s">
        <v>250</v>
      </c>
      <c r="N1222" s="124" t="s">
        <v>250</v>
      </c>
      <c r="O1222" s="124" t="s">
        <v>250</v>
      </c>
      <c r="P1222" s="124" t="s">
        <v>250</v>
      </c>
      <c r="Q1222" s="124" t="s">
        <v>250</v>
      </c>
      <c r="R1222" s="124"/>
    </row>
    <row r="1223" spans="1:18" ht="15">
      <c r="A1223" s="105" t="s">
        <v>250</v>
      </c>
      <c r="B1223" s="105"/>
      <c r="C1223" s="107" t="s">
        <v>973</v>
      </c>
      <c r="D1223" s="107" t="s">
        <v>250</v>
      </c>
      <c r="E1223" s="124" t="s">
        <v>250</v>
      </c>
      <c r="F1223" s="124" t="s">
        <v>250</v>
      </c>
      <c r="G1223" s="124" t="s">
        <v>250</v>
      </c>
      <c r="H1223" s="124" t="s">
        <v>250</v>
      </c>
      <c r="I1223" s="124" t="s">
        <v>250</v>
      </c>
      <c r="J1223" s="124" t="s">
        <v>250</v>
      </c>
      <c r="K1223" s="124" t="s">
        <v>250</v>
      </c>
      <c r="L1223" s="124" t="s">
        <v>250</v>
      </c>
      <c r="M1223" s="124" t="s">
        <v>250</v>
      </c>
      <c r="N1223" s="124" t="s">
        <v>250</v>
      </c>
      <c r="O1223" s="124" t="s">
        <v>250</v>
      </c>
      <c r="P1223" s="124" t="s">
        <v>250</v>
      </c>
      <c r="Q1223" s="124" t="s">
        <v>250</v>
      </c>
      <c r="R1223" s="124"/>
    </row>
    <row r="1224" spans="1:18" ht="15">
      <c r="A1224" s="105" t="s">
        <v>250</v>
      </c>
      <c r="B1224" s="105"/>
      <c r="C1224" s="107" t="s">
        <v>917</v>
      </c>
      <c r="D1224" s="107" t="s">
        <v>250</v>
      </c>
      <c r="E1224" s="124" t="s">
        <v>250</v>
      </c>
      <c r="F1224" s="124" t="s">
        <v>250</v>
      </c>
      <c r="G1224" s="124" t="s">
        <v>250</v>
      </c>
      <c r="H1224" s="124" t="s">
        <v>250</v>
      </c>
      <c r="I1224" s="124" t="s">
        <v>250</v>
      </c>
      <c r="J1224" s="124" t="s">
        <v>250</v>
      </c>
      <c r="K1224" s="124" t="s">
        <v>250</v>
      </c>
      <c r="L1224" s="124" t="s">
        <v>250</v>
      </c>
      <c r="M1224" s="124" t="s">
        <v>250</v>
      </c>
      <c r="N1224" s="124" t="s">
        <v>250</v>
      </c>
      <c r="O1224" s="124" t="s">
        <v>250</v>
      </c>
      <c r="P1224" s="124" t="s">
        <v>250</v>
      </c>
      <c r="Q1224" s="124" t="s">
        <v>250</v>
      </c>
      <c r="R1224" s="124"/>
    </row>
    <row r="1225" spans="1:18" ht="15">
      <c r="A1225" s="105">
        <v>1</v>
      </c>
      <c r="B1225" s="105"/>
      <c r="C1225" s="107" t="s">
        <v>1145</v>
      </c>
      <c r="D1225" s="107" t="s">
        <v>380</v>
      </c>
      <c r="E1225" s="124">
        <v>1</v>
      </c>
      <c r="F1225" s="124" t="s">
        <v>250</v>
      </c>
      <c r="G1225" s="124">
        <v>1</v>
      </c>
      <c r="H1225" s="124" t="s">
        <v>250</v>
      </c>
      <c r="I1225" s="124">
        <v>0</v>
      </c>
      <c r="J1225" s="124">
        <v>0</v>
      </c>
      <c r="K1225" s="124" t="s">
        <v>250</v>
      </c>
      <c r="L1225" s="124" t="s">
        <v>250</v>
      </c>
      <c r="M1225" s="124">
        <v>0</v>
      </c>
      <c r="N1225" s="124" t="s">
        <v>250</v>
      </c>
      <c r="O1225" s="124">
        <v>0</v>
      </c>
      <c r="P1225" s="124">
        <v>0</v>
      </c>
      <c r="Q1225" s="124">
        <v>0</v>
      </c>
      <c r="R1225" s="124"/>
    </row>
    <row r="1226" spans="1:18" ht="15">
      <c r="A1226" s="105">
        <v>2</v>
      </c>
      <c r="B1226" s="105"/>
      <c r="C1226" s="107" t="s">
        <v>1146</v>
      </c>
      <c r="D1226" s="107" t="s">
        <v>382</v>
      </c>
      <c r="E1226" s="124">
        <v>1</v>
      </c>
      <c r="F1226" s="124" t="s">
        <v>250</v>
      </c>
      <c r="G1226" s="124">
        <v>0.9993795122795669</v>
      </c>
      <c r="H1226" s="124" t="s">
        <v>250</v>
      </c>
      <c r="I1226" s="124">
        <v>0</v>
      </c>
      <c r="J1226" s="124">
        <v>6.2048772043305173E-4</v>
      </c>
      <c r="K1226" s="124" t="s">
        <v>250</v>
      </c>
      <c r="L1226" s="124" t="s">
        <v>250</v>
      </c>
      <c r="M1226" s="124">
        <v>0</v>
      </c>
      <c r="N1226" s="124" t="s">
        <v>250</v>
      </c>
      <c r="O1226" s="124">
        <v>6.2048772043305173E-4</v>
      </c>
      <c r="P1226" s="124">
        <v>2.6829916312628955E-4</v>
      </c>
      <c r="Q1226" s="124">
        <v>3.5218855730676218E-4</v>
      </c>
      <c r="R1226" s="124"/>
    </row>
    <row r="1227" spans="1:18" ht="15">
      <c r="A1227" s="105">
        <v>3</v>
      </c>
      <c r="B1227" s="105"/>
      <c r="C1227" s="107" t="s">
        <v>1147</v>
      </c>
      <c r="D1227" s="107" t="s">
        <v>384</v>
      </c>
      <c r="E1227" s="124">
        <v>1</v>
      </c>
      <c r="F1227" s="124" t="s">
        <v>250</v>
      </c>
      <c r="G1227" s="124">
        <v>1</v>
      </c>
      <c r="H1227" s="124" t="s">
        <v>250</v>
      </c>
      <c r="I1227" s="124">
        <v>0</v>
      </c>
      <c r="J1227" s="124">
        <v>0</v>
      </c>
      <c r="K1227" s="124" t="s">
        <v>250</v>
      </c>
      <c r="L1227" s="124" t="s">
        <v>250</v>
      </c>
      <c r="M1227" s="124">
        <v>0</v>
      </c>
      <c r="N1227" s="124" t="s">
        <v>250</v>
      </c>
      <c r="O1227" s="124">
        <v>0</v>
      </c>
      <c r="P1227" s="124">
        <v>0</v>
      </c>
      <c r="Q1227" s="124">
        <v>0</v>
      </c>
      <c r="R1227" s="124"/>
    </row>
    <row r="1228" spans="1:18" ht="15">
      <c r="A1228" s="105">
        <v>4</v>
      </c>
      <c r="B1228" s="105"/>
      <c r="C1228" s="107" t="s">
        <v>1148</v>
      </c>
      <c r="D1228" s="107" t="s">
        <v>386</v>
      </c>
      <c r="E1228" s="124">
        <v>1</v>
      </c>
      <c r="F1228" s="124" t="s">
        <v>250</v>
      </c>
      <c r="G1228" s="124">
        <v>1</v>
      </c>
      <c r="H1228" s="124" t="s">
        <v>250</v>
      </c>
      <c r="I1228" s="124">
        <v>0</v>
      </c>
      <c r="J1228" s="124">
        <v>0</v>
      </c>
      <c r="K1228" s="124" t="s">
        <v>250</v>
      </c>
      <c r="L1228" s="124" t="s">
        <v>250</v>
      </c>
      <c r="M1228" s="124">
        <v>0</v>
      </c>
      <c r="N1228" s="124" t="s">
        <v>250</v>
      </c>
      <c r="O1228" s="124">
        <v>0</v>
      </c>
      <c r="P1228" s="124">
        <v>0</v>
      </c>
      <c r="Q1228" s="124">
        <v>0</v>
      </c>
      <c r="R1228" s="124"/>
    </row>
    <row r="1229" spans="1:18" ht="15">
      <c r="A1229" s="105">
        <v>5</v>
      </c>
      <c r="B1229" s="105"/>
      <c r="C1229" s="107" t="s">
        <v>535</v>
      </c>
      <c r="D1229" s="107" t="s">
        <v>536</v>
      </c>
      <c r="E1229" s="124">
        <v>1</v>
      </c>
      <c r="F1229" s="124" t="s">
        <v>250</v>
      </c>
      <c r="G1229" s="124">
        <v>0.99560637798336138</v>
      </c>
      <c r="H1229" s="124" t="s">
        <v>250</v>
      </c>
      <c r="I1229" s="124">
        <v>4.3936220166385818E-3</v>
      </c>
      <c r="J1229" s="124">
        <v>0</v>
      </c>
      <c r="K1229" s="124" t="s">
        <v>250</v>
      </c>
      <c r="L1229" s="124" t="s">
        <v>250</v>
      </c>
      <c r="M1229" s="124">
        <v>0</v>
      </c>
      <c r="N1229" s="124" t="s">
        <v>250</v>
      </c>
      <c r="O1229" s="124">
        <v>0</v>
      </c>
      <c r="P1229" s="124">
        <v>0</v>
      </c>
      <c r="Q1229" s="124">
        <v>0</v>
      </c>
      <c r="R1229" s="124"/>
    </row>
    <row r="1230" spans="1:18" ht="15">
      <c r="A1230" s="105">
        <v>6</v>
      </c>
      <c r="B1230" s="105"/>
      <c r="C1230" s="107" t="s">
        <v>978</v>
      </c>
      <c r="D1230" s="107" t="s">
        <v>538</v>
      </c>
      <c r="E1230" s="124">
        <v>1</v>
      </c>
      <c r="F1230" s="124" t="s">
        <v>250</v>
      </c>
      <c r="G1230" s="124">
        <v>0.96117955307114755</v>
      </c>
      <c r="H1230" s="124" t="s">
        <v>250</v>
      </c>
      <c r="I1230" s="124">
        <v>3.8820446611318983E-2</v>
      </c>
      <c r="J1230" s="124">
        <v>3.1753345509223521E-10</v>
      </c>
      <c r="K1230" s="124" t="s">
        <v>250</v>
      </c>
      <c r="L1230" s="124" t="s">
        <v>250</v>
      </c>
      <c r="M1230" s="124">
        <v>0</v>
      </c>
      <c r="N1230" s="124" t="s">
        <v>250</v>
      </c>
      <c r="O1230" s="124">
        <v>3.1753345509223521E-10</v>
      </c>
      <c r="P1230" s="124">
        <v>3.1753345509223521E-10</v>
      </c>
      <c r="Q1230" s="124">
        <v>0</v>
      </c>
      <c r="R1230" s="124"/>
    </row>
    <row r="1231" spans="1:18" ht="15">
      <c r="A1231" s="105">
        <v>7</v>
      </c>
      <c r="B1231" s="105"/>
      <c r="C1231" s="107" t="s">
        <v>979</v>
      </c>
      <c r="D1231" s="107" t="s">
        <v>686</v>
      </c>
      <c r="E1231" s="124">
        <v>1</v>
      </c>
      <c r="F1231" s="124" t="s">
        <v>250</v>
      </c>
      <c r="G1231" s="124">
        <v>0.9509900206560824</v>
      </c>
      <c r="H1231" s="124" t="s">
        <v>250</v>
      </c>
      <c r="I1231" s="124">
        <v>4.8607008413625447E-2</v>
      </c>
      <c r="J1231" s="124">
        <v>4.0297093029219061E-4</v>
      </c>
      <c r="K1231" s="124" t="s">
        <v>250</v>
      </c>
      <c r="L1231" s="124" t="s">
        <v>250</v>
      </c>
      <c r="M1231" s="124">
        <v>0</v>
      </c>
      <c r="N1231" s="124" t="s">
        <v>250</v>
      </c>
      <c r="O1231" s="124">
        <v>4.0297093029219061E-4</v>
      </c>
      <c r="P1231" s="124">
        <v>1.6118837211687626E-4</v>
      </c>
      <c r="Q1231" s="124">
        <v>2.4178255817531438E-4</v>
      </c>
      <c r="R1231" s="124"/>
    </row>
    <row r="1232" spans="1:18" ht="15">
      <c r="A1232" s="105">
        <v>8</v>
      </c>
      <c r="B1232" s="105"/>
      <c r="C1232" s="107" t="s">
        <v>980</v>
      </c>
      <c r="D1232" s="107" t="s">
        <v>688</v>
      </c>
      <c r="E1232" s="124">
        <v>1</v>
      </c>
      <c r="F1232" s="124" t="s">
        <v>250</v>
      </c>
      <c r="G1232" s="124">
        <v>0.9509900206560824</v>
      </c>
      <c r="H1232" s="124" t="s">
        <v>250</v>
      </c>
      <c r="I1232" s="124">
        <v>4.8607008413625447E-2</v>
      </c>
      <c r="J1232" s="124">
        <v>4.0297093029219061E-4</v>
      </c>
      <c r="K1232" s="124" t="s">
        <v>250</v>
      </c>
      <c r="L1232" s="124" t="s">
        <v>250</v>
      </c>
      <c r="M1232" s="124">
        <v>0</v>
      </c>
      <c r="N1232" s="124" t="s">
        <v>250</v>
      </c>
      <c r="O1232" s="124">
        <v>4.0297093029219061E-4</v>
      </c>
      <c r="P1232" s="124">
        <v>1.6118837211687626E-4</v>
      </c>
      <c r="Q1232" s="124">
        <v>2.4178255817531438E-4</v>
      </c>
      <c r="R1232" s="124"/>
    </row>
    <row r="1233" spans="1:18" ht="15">
      <c r="A1233" s="105">
        <v>9</v>
      </c>
      <c r="B1233" s="105"/>
      <c r="C1233" s="107" t="s">
        <v>981</v>
      </c>
      <c r="D1233" s="107" t="s">
        <v>690</v>
      </c>
      <c r="E1233" s="124">
        <v>1</v>
      </c>
      <c r="F1233" s="124" t="s">
        <v>250</v>
      </c>
      <c r="G1233" s="124">
        <v>0.9509900206560824</v>
      </c>
      <c r="H1233" s="124" t="s">
        <v>250</v>
      </c>
      <c r="I1233" s="124">
        <v>4.8607008413625447E-2</v>
      </c>
      <c r="J1233" s="124">
        <v>4.0297093029219061E-4</v>
      </c>
      <c r="K1233" s="124" t="s">
        <v>250</v>
      </c>
      <c r="L1233" s="124" t="s">
        <v>250</v>
      </c>
      <c r="M1233" s="124">
        <v>0</v>
      </c>
      <c r="N1233" s="124" t="s">
        <v>250</v>
      </c>
      <c r="O1233" s="124">
        <v>4.0297093029219061E-4</v>
      </c>
      <c r="P1233" s="124">
        <v>1.6118837211687626E-4</v>
      </c>
      <c r="Q1233" s="124">
        <v>2.4178255817531438E-4</v>
      </c>
      <c r="R1233" s="124"/>
    </row>
    <row r="1234" spans="1:18" ht="15">
      <c r="A1234" s="105">
        <v>10</v>
      </c>
      <c r="B1234" s="105"/>
      <c r="C1234" s="107" t="s">
        <v>982</v>
      </c>
      <c r="D1234" s="107" t="s">
        <v>399</v>
      </c>
      <c r="E1234" s="124">
        <v>1</v>
      </c>
      <c r="F1234" s="124" t="s">
        <v>250</v>
      </c>
      <c r="G1234" s="124">
        <v>0</v>
      </c>
      <c r="H1234" s="124" t="s">
        <v>250</v>
      </c>
      <c r="I1234" s="124">
        <v>1</v>
      </c>
      <c r="J1234" s="124">
        <v>0</v>
      </c>
      <c r="K1234" s="124" t="s">
        <v>250</v>
      </c>
      <c r="L1234" s="124" t="s">
        <v>250</v>
      </c>
      <c r="M1234" s="124">
        <v>0</v>
      </c>
      <c r="N1234" s="124" t="s">
        <v>250</v>
      </c>
      <c r="O1234" s="124">
        <v>0</v>
      </c>
      <c r="P1234" s="124">
        <v>0</v>
      </c>
      <c r="Q1234" s="124">
        <v>0</v>
      </c>
      <c r="R1234" s="124"/>
    </row>
    <row r="1235" spans="1:18" ht="15">
      <c r="A1235" s="105">
        <v>11</v>
      </c>
      <c r="B1235" s="105"/>
      <c r="C1235" s="107" t="s">
        <v>983</v>
      </c>
      <c r="D1235" s="107" t="s">
        <v>400</v>
      </c>
      <c r="E1235" s="124">
        <v>1</v>
      </c>
      <c r="F1235" s="124" t="s">
        <v>250</v>
      </c>
      <c r="G1235" s="124">
        <v>0</v>
      </c>
      <c r="H1235" s="124" t="s">
        <v>250</v>
      </c>
      <c r="I1235" s="124">
        <v>1</v>
      </c>
      <c r="J1235" s="124">
        <v>0</v>
      </c>
      <c r="K1235" s="124" t="s">
        <v>250</v>
      </c>
      <c r="L1235" s="124" t="s">
        <v>250</v>
      </c>
      <c r="M1235" s="124">
        <v>0</v>
      </c>
      <c r="N1235" s="124" t="s">
        <v>250</v>
      </c>
      <c r="O1235" s="124">
        <v>0</v>
      </c>
      <c r="P1235" s="124">
        <v>0</v>
      </c>
      <c r="Q1235" s="124">
        <v>0</v>
      </c>
      <c r="R1235" s="124"/>
    </row>
    <row r="1236" spans="1:18" ht="15">
      <c r="A1236" s="105">
        <v>12</v>
      </c>
      <c r="B1236" s="105"/>
      <c r="C1236" s="107" t="s">
        <v>1149</v>
      </c>
      <c r="D1236" s="107" t="s">
        <v>401</v>
      </c>
      <c r="E1236" s="124">
        <v>0</v>
      </c>
      <c r="F1236" s="124" t="s">
        <v>250</v>
      </c>
      <c r="G1236" s="124">
        <v>0</v>
      </c>
      <c r="H1236" s="124" t="s">
        <v>250</v>
      </c>
      <c r="I1236" s="124">
        <v>0</v>
      </c>
      <c r="J1236" s="124">
        <v>0</v>
      </c>
      <c r="K1236" s="124" t="s">
        <v>250</v>
      </c>
      <c r="L1236" s="124" t="s">
        <v>250</v>
      </c>
      <c r="M1236" s="124">
        <v>0</v>
      </c>
      <c r="N1236" s="124" t="s">
        <v>250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13</v>
      </c>
      <c r="B1237" s="105"/>
      <c r="C1237" s="107" t="s">
        <v>985</v>
      </c>
      <c r="D1237" s="107" t="s">
        <v>402</v>
      </c>
      <c r="E1237" s="124">
        <v>1</v>
      </c>
      <c r="F1237" s="124" t="s">
        <v>250</v>
      </c>
      <c r="G1237" s="124">
        <v>0</v>
      </c>
      <c r="H1237" s="124" t="s">
        <v>250</v>
      </c>
      <c r="I1237" s="124">
        <v>1</v>
      </c>
      <c r="J1237" s="124">
        <v>0</v>
      </c>
      <c r="K1237" s="124" t="s">
        <v>250</v>
      </c>
      <c r="L1237" s="124" t="s">
        <v>250</v>
      </c>
      <c r="M1237" s="124">
        <v>0</v>
      </c>
      <c r="N1237" s="124" t="s">
        <v>250</v>
      </c>
      <c r="O1237" s="124">
        <v>0</v>
      </c>
      <c r="P1237" s="124">
        <v>0</v>
      </c>
      <c r="Q1237" s="124">
        <v>0</v>
      </c>
      <c r="R1237" s="124"/>
    </row>
    <row r="1238" spans="1:18" ht="15">
      <c r="A1238" s="105">
        <v>14</v>
      </c>
      <c r="B1238" s="105"/>
      <c r="C1238" s="107" t="s">
        <v>986</v>
      </c>
      <c r="D1238" s="107" t="s">
        <v>698</v>
      </c>
      <c r="E1238" s="124">
        <v>1</v>
      </c>
      <c r="F1238" s="124" t="s">
        <v>250</v>
      </c>
      <c r="G1238" s="124">
        <v>1</v>
      </c>
      <c r="H1238" s="124" t="s">
        <v>250</v>
      </c>
      <c r="I1238" s="124">
        <v>0</v>
      </c>
      <c r="J1238" s="124">
        <v>0</v>
      </c>
      <c r="K1238" s="124" t="s">
        <v>250</v>
      </c>
      <c r="L1238" s="124" t="s">
        <v>250</v>
      </c>
      <c r="M1238" s="124">
        <v>0</v>
      </c>
      <c r="N1238" s="124" t="s">
        <v>250</v>
      </c>
      <c r="O1238" s="124">
        <v>0</v>
      </c>
      <c r="P1238" s="124">
        <v>0</v>
      </c>
      <c r="Q1238" s="124">
        <v>0</v>
      </c>
      <c r="R1238" s="124"/>
    </row>
    <row r="1239" spans="1:18" ht="15">
      <c r="A1239" s="105">
        <v>15</v>
      </c>
      <c r="B1239" s="105"/>
      <c r="C1239" s="107" t="s">
        <v>987</v>
      </c>
      <c r="D1239" s="107" t="s">
        <v>700</v>
      </c>
      <c r="E1239" s="124">
        <v>1</v>
      </c>
      <c r="F1239" s="124" t="s">
        <v>250</v>
      </c>
      <c r="G1239" s="124">
        <v>0.95002957946807309</v>
      </c>
      <c r="H1239" s="124" t="s">
        <v>250</v>
      </c>
      <c r="I1239" s="124">
        <v>4.9970420531926948E-2</v>
      </c>
      <c r="J1239" s="124">
        <v>0</v>
      </c>
      <c r="K1239" s="124" t="s">
        <v>250</v>
      </c>
      <c r="L1239" s="124" t="s">
        <v>250</v>
      </c>
      <c r="M1239" s="124">
        <v>0</v>
      </c>
      <c r="N1239" s="124" t="s">
        <v>250</v>
      </c>
      <c r="O1239" s="124">
        <v>0</v>
      </c>
      <c r="P1239" s="124">
        <v>0</v>
      </c>
      <c r="Q1239" s="124">
        <v>0</v>
      </c>
      <c r="R1239" s="124"/>
    </row>
    <row r="1240" spans="1:18" ht="15">
      <c r="A1240" s="105">
        <v>16</v>
      </c>
      <c r="B1240" s="105"/>
      <c r="C1240" s="107" t="s">
        <v>988</v>
      </c>
      <c r="D1240" s="107" t="s">
        <v>707</v>
      </c>
      <c r="E1240" s="124">
        <v>1</v>
      </c>
      <c r="F1240" s="124" t="s">
        <v>250</v>
      </c>
      <c r="G1240" s="124">
        <v>0.95002957946807309</v>
      </c>
      <c r="H1240" s="124" t="s">
        <v>250</v>
      </c>
      <c r="I1240" s="124">
        <v>4.9970420531926948E-2</v>
      </c>
      <c r="J1240" s="124">
        <v>0</v>
      </c>
      <c r="K1240" s="124" t="s">
        <v>250</v>
      </c>
      <c r="L1240" s="124" t="s">
        <v>250</v>
      </c>
      <c r="M1240" s="124">
        <v>0</v>
      </c>
      <c r="N1240" s="124" t="s">
        <v>250</v>
      </c>
      <c r="O1240" s="124">
        <v>0</v>
      </c>
      <c r="P1240" s="124">
        <v>0</v>
      </c>
      <c r="Q1240" s="124">
        <v>0</v>
      </c>
      <c r="R1240" s="124"/>
    </row>
    <row r="1241" spans="1:18" ht="15">
      <c r="A1241" s="105">
        <v>17</v>
      </c>
      <c r="B1241" s="105"/>
      <c r="C1241" s="107" t="s">
        <v>989</v>
      </c>
      <c r="D1241" s="107" t="s">
        <v>709</v>
      </c>
      <c r="E1241" s="124">
        <v>1</v>
      </c>
      <c r="F1241" s="124" t="s">
        <v>250</v>
      </c>
      <c r="G1241" s="124">
        <v>0.95002957946807309</v>
      </c>
      <c r="H1241" s="124" t="s">
        <v>250</v>
      </c>
      <c r="I1241" s="124">
        <v>4.9970420531926948E-2</v>
      </c>
      <c r="J1241" s="124">
        <v>0</v>
      </c>
      <c r="K1241" s="124" t="s">
        <v>250</v>
      </c>
      <c r="L1241" s="124" t="s">
        <v>250</v>
      </c>
      <c r="M1241" s="124">
        <v>0</v>
      </c>
      <c r="N1241" s="124" t="s">
        <v>250</v>
      </c>
      <c r="O1241" s="124">
        <v>0</v>
      </c>
      <c r="P1241" s="124">
        <v>0</v>
      </c>
      <c r="Q1241" s="124">
        <v>0</v>
      </c>
      <c r="R1241" s="124"/>
    </row>
    <row r="1242" spans="1:18" ht="15">
      <c r="A1242" s="105">
        <v>18</v>
      </c>
      <c r="B1242" s="105"/>
      <c r="C1242" s="107" t="s">
        <v>990</v>
      </c>
      <c r="D1242" s="107" t="s">
        <v>991</v>
      </c>
      <c r="E1242" s="124">
        <v>0</v>
      </c>
      <c r="F1242" s="124" t="s">
        <v>250</v>
      </c>
      <c r="G1242" s="124">
        <v>0</v>
      </c>
      <c r="H1242" s="124" t="s">
        <v>250</v>
      </c>
      <c r="I1242" s="124">
        <v>0</v>
      </c>
      <c r="J1242" s="124">
        <v>0</v>
      </c>
      <c r="K1242" s="124" t="s">
        <v>250</v>
      </c>
      <c r="L1242" s="124" t="s">
        <v>250</v>
      </c>
      <c r="M1242" s="124">
        <v>0</v>
      </c>
      <c r="N1242" s="124" t="s">
        <v>250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19</v>
      </c>
      <c r="B1243" s="105"/>
      <c r="C1243" s="107" t="s">
        <v>992</v>
      </c>
      <c r="D1243" s="107" t="s">
        <v>783</v>
      </c>
      <c r="E1243" s="124">
        <v>0.99999999999999989</v>
      </c>
      <c r="F1243" s="124" t="s">
        <v>250</v>
      </c>
      <c r="G1243" s="124">
        <v>0.95788670165986745</v>
      </c>
      <c r="H1243" s="124" t="s">
        <v>250</v>
      </c>
      <c r="I1243" s="124">
        <v>4.2113298340132464E-2</v>
      </c>
      <c r="J1243" s="124">
        <v>0</v>
      </c>
      <c r="K1243" s="124" t="s">
        <v>250</v>
      </c>
      <c r="L1243" s="124" t="s">
        <v>250</v>
      </c>
      <c r="M1243" s="124">
        <v>0</v>
      </c>
      <c r="N1243" s="124" t="s">
        <v>250</v>
      </c>
      <c r="O1243" s="124">
        <v>0</v>
      </c>
      <c r="P1243" s="124">
        <v>0</v>
      </c>
      <c r="Q1243" s="124">
        <v>0</v>
      </c>
      <c r="R1243" s="124"/>
    </row>
    <row r="1244" spans="1:18" ht="15">
      <c r="A1244" s="105">
        <v>20</v>
      </c>
      <c r="B1244" s="105"/>
      <c r="C1244" s="107" t="s">
        <v>1150</v>
      </c>
      <c r="D1244" s="107" t="s">
        <v>562</v>
      </c>
      <c r="E1244" s="124">
        <v>1</v>
      </c>
      <c r="F1244" s="124" t="s">
        <v>250</v>
      </c>
      <c r="G1244" s="124">
        <v>0.95944367779370365</v>
      </c>
      <c r="H1244" s="124" t="s">
        <v>250</v>
      </c>
      <c r="I1244" s="124">
        <v>4.0493237582335334E-2</v>
      </c>
      <c r="J1244" s="124">
        <v>6.3084623961068178E-5</v>
      </c>
      <c r="K1244" s="124" t="s">
        <v>250</v>
      </c>
      <c r="L1244" s="124" t="s">
        <v>250</v>
      </c>
      <c r="M1244" s="124">
        <v>0</v>
      </c>
      <c r="N1244" s="124" t="s">
        <v>250</v>
      </c>
      <c r="O1244" s="124">
        <v>6.3084623961068178E-5</v>
      </c>
      <c r="P1244" s="124">
        <v>6.3084623961068178E-5</v>
      </c>
      <c r="Q1244" s="124">
        <v>0</v>
      </c>
      <c r="R1244" s="124"/>
    </row>
    <row r="1245" spans="1:18" ht="15">
      <c r="A1245" s="105">
        <v>21</v>
      </c>
      <c r="B1245" s="105"/>
      <c r="C1245" s="107" t="s">
        <v>250</v>
      </c>
      <c r="D1245" s="107" t="s">
        <v>250</v>
      </c>
      <c r="E1245" s="124" t="s">
        <v>250</v>
      </c>
      <c r="F1245" s="124" t="s">
        <v>250</v>
      </c>
      <c r="G1245" s="124" t="s">
        <v>250</v>
      </c>
      <c r="H1245" s="124" t="s">
        <v>250</v>
      </c>
      <c r="I1245" s="124" t="s">
        <v>250</v>
      </c>
      <c r="J1245" s="124" t="s">
        <v>250</v>
      </c>
      <c r="K1245" s="124" t="s">
        <v>250</v>
      </c>
      <c r="L1245" s="124" t="s">
        <v>250</v>
      </c>
      <c r="M1245" s="124" t="s">
        <v>250</v>
      </c>
      <c r="N1245" s="124" t="s">
        <v>250</v>
      </c>
      <c r="O1245" s="124" t="s">
        <v>250</v>
      </c>
      <c r="P1245" s="124" t="s">
        <v>250</v>
      </c>
      <c r="Q1245" s="124" t="s">
        <v>250</v>
      </c>
      <c r="R1245" s="124"/>
    </row>
    <row r="1246" spans="1:18" ht="15">
      <c r="A1246" s="105">
        <v>22</v>
      </c>
      <c r="B1246" s="105"/>
      <c r="C1246" s="107" t="s">
        <v>250</v>
      </c>
      <c r="D1246" s="107" t="s">
        <v>250</v>
      </c>
      <c r="E1246" s="124" t="s">
        <v>250</v>
      </c>
      <c r="F1246" s="124" t="s">
        <v>250</v>
      </c>
      <c r="G1246" s="124" t="s">
        <v>250</v>
      </c>
      <c r="H1246" s="124" t="s">
        <v>250</v>
      </c>
      <c r="I1246" s="124" t="s">
        <v>250</v>
      </c>
      <c r="J1246" s="124" t="s">
        <v>250</v>
      </c>
      <c r="K1246" s="124" t="s">
        <v>250</v>
      </c>
      <c r="L1246" s="124" t="s">
        <v>250</v>
      </c>
      <c r="M1246" s="124" t="s">
        <v>250</v>
      </c>
      <c r="N1246" s="124" t="s">
        <v>250</v>
      </c>
      <c r="O1246" s="124" t="s">
        <v>250</v>
      </c>
      <c r="P1246" s="124" t="s">
        <v>250</v>
      </c>
      <c r="Q1246" s="124" t="s">
        <v>250</v>
      </c>
      <c r="R1246" s="124"/>
    </row>
    <row r="1247" spans="1:18" ht="15">
      <c r="A1247" s="105">
        <v>23</v>
      </c>
      <c r="B1247" s="105"/>
      <c r="C1247" s="107" t="s">
        <v>250</v>
      </c>
      <c r="D1247" s="107" t="s">
        <v>250</v>
      </c>
      <c r="E1247" s="124" t="s">
        <v>250</v>
      </c>
      <c r="F1247" s="124" t="s">
        <v>250</v>
      </c>
      <c r="G1247" s="124" t="s">
        <v>250</v>
      </c>
      <c r="H1247" s="124" t="s">
        <v>250</v>
      </c>
      <c r="I1247" s="124" t="s">
        <v>250</v>
      </c>
      <c r="J1247" s="124" t="s">
        <v>250</v>
      </c>
      <c r="K1247" s="124" t="s">
        <v>250</v>
      </c>
      <c r="L1247" s="124" t="s">
        <v>250</v>
      </c>
      <c r="M1247" s="124" t="s">
        <v>250</v>
      </c>
      <c r="N1247" s="124" t="s">
        <v>250</v>
      </c>
      <c r="O1247" s="124" t="s">
        <v>250</v>
      </c>
      <c r="P1247" s="124" t="s">
        <v>250</v>
      </c>
      <c r="Q1247" s="124" t="s">
        <v>250</v>
      </c>
      <c r="R1247" s="124"/>
    </row>
    <row r="1248" spans="1:18" ht="15">
      <c r="A1248" s="105">
        <v>24</v>
      </c>
      <c r="B1248" s="105"/>
      <c r="C1248" s="107" t="s">
        <v>250</v>
      </c>
      <c r="D1248" s="107" t="s">
        <v>250</v>
      </c>
      <c r="E1248" s="124" t="s">
        <v>250</v>
      </c>
      <c r="F1248" s="124" t="s">
        <v>250</v>
      </c>
      <c r="G1248" s="124" t="s">
        <v>250</v>
      </c>
      <c r="H1248" s="124" t="s">
        <v>250</v>
      </c>
      <c r="I1248" s="124" t="s">
        <v>250</v>
      </c>
      <c r="J1248" s="124" t="s">
        <v>250</v>
      </c>
      <c r="K1248" s="124" t="s">
        <v>250</v>
      </c>
      <c r="L1248" s="124" t="s">
        <v>250</v>
      </c>
      <c r="M1248" s="124" t="s">
        <v>250</v>
      </c>
      <c r="N1248" s="124" t="s">
        <v>250</v>
      </c>
      <c r="O1248" s="124" t="s">
        <v>250</v>
      </c>
      <c r="P1248" s="124" t="s">
        <v>250</v>
      </c>
      <c r="Q1248" s="124" t="s">
        <v>250</v>
      </c>
      <c r="R1248" s="124"/>
    </row>
    <row r="1249" spans="1:18" ht="15">
      <c r="A1249" s="105">
        <v>25</v>
      </c>
      <c r="B1249" s="105"/>
      <c r="C1249" s="107" t="s">
        <v>250</v>
      </c>
      <c r="D1249" s="107" t="s">
        <v>250</v>
      </c>
      <c r="E1249" s="124" t="s">
        <v>250</v>
      </c>
      <c r="F1249" s="124" t="s">
        <v>250</v>
      </c>
      <c r="G1249" s="124" t="s">
        <v>250</v>
      </c>
      <c r="H1249" s="124" t="s">
        <v>250</v>
      </c>
      <c r="I1249" s="124" t="s">
        <v>250</v>
      </c>
      <c r="J1249" s="124" t="s">
        <v>250</v>
      </c>
      <c r="K1249" s="124" t="s">
        <v>250</v>
      </c>
      <c r="L1249" s="124" t="s">
        <v>250</v>
      </c>
      <c r="M1249" s="124" t="s">
        <v>250</v>
      </c>
      <c r="N1249" s="124" t="s">
        <v>250</v>
      </c>
      <c r="O1249" s="124" t="s">
        <v>250</v>
      </c>
      <c r="P1249" s="124" t="s">
        <v>250</v>
      </c>
      <c r="Q1249" s="124" t="s">
        <v>250</v>
      </c>
      <c r="R1249" s="124"/>
    </row>
    <row r="1250" spans="1:18" ht="15">
      <c r="A1250" s="105" t="s">
        <v>250</v>
      </c>
      <c r="B1250" s="105"/>
      <c r="C1250" s="107" t="s">
        <v>250</v>
      </c>
      <c r="D1250" s="107" t="s">
        <v>250</v>
      </c>
      <c r="E1250" s="124" t="s">
        <v>250</v>
      </c>
      <c r="F1250" s="124" t="s">
        <v>250</v>
      </c>
      <c r="G1250" s="124" t="s">
        <v>250</v>
      </c>
      <c r="H1250" s="124" t="s">
        <v>250</v>
      </c>
      <c r="I1250" s="124" t="s">
        <v>250</v>
      </c>
      <c r="J1250" s="124" t="s">
        <v>250</v>
      </c>
      <c r="K1250" s="124" t="s">
        <v>250</v>
      </c>
      <c r="L1250" s="124" t="s">
        <v>250</v>
      </c>
      <c r="M1250" s="124" t="s">
        <v>250</v>
      </c>
      <c r="N1250" s="124" t="s">
        <v>250</v>
      </c>
      <c r="O1250" s="124" t="s">
        <v>250</v>
      </c>
      <c r="P1250" s="124" t="s">
        <v>250</v>
      </c>
      <c r="Q1250" s="124" t="s">
        <v>250</v>
      </c>
      <c r="R1250" s="124"/>
    </row>
    <row r="1251" spans="1:18" ht="15">
      <c r="A1251" s="105" t="s">
        <v>250</v>
      </c>
      <c r="B1251" s="105"/>
      <c r="C1251" s="107" t="s">
        <v>994</v>
      </c>
      <c r="D1251" s="107" t="s">
        <v>250</v>
      </c>
      <c r="E1251" s="124" t="s">
        <v>250</v>
      </c>
      <c r="F1251" s="124" t="s">
        <v>250</v>
      </c>
      <c r="G1251" s="124" t="s">
        <v>250</v>
      </c>
      <c r="H1251" s="124" t="s">
        <v>250</v>
      </c>
      <c r="I1251" s="124" t="s">
        <v>250</v>
      </c>
      <c r="J1251" s="124" t="s">
        <v>250</v>
      </c>
      <c r="K1251" s="124" t="s">
        <v>250</v>
      </c>
      <c r="L1251" s="124" t="s">
        <v>250</v>
      </c>
      <c r="M1251" s="124" t="s">
        <v>250</v>
      </c>
      <c r="N1251" s="124" t="s">
        <v>250</v>
      </c>
      <c r="O1251" s="124" t="s">
        <v>250</v>
      </c>
      <c r="P1251" s="124" t="s">
        <v>250</v>
      </c>
      <c r="Q1251" s="124" t="s">
        <v>250</v>
      </c>
      <c r="R1251" s="124"/>
    </row>
    <row r="1252" spans="1:18" ht="15">
      <c r="A1252" s="105" t="s">
        <v>250</v>
      </c>
      <c r="B1252" s="105"/>
      <c r="C1252" s="107" t="s">
        <v>917</v>
      </c>
      <c r="D1252" s="107" t="s">
        <v>250</v>
      </c>
      <c r="E1252" s="124" t="s">
        <v>250</v>
      </c>
      <c r="F1252" s="124" t="s">
        <v>250</v>
      </c>
      <c r="G1252" s="124" t="s">
        <v>250</v>
      </c>
      <c r="H1252" s="124" t="s">
        <v>250</v>
      </c>
      <c r="I1252" s="124" t="s">
        <v>250</v>
      </c>
      <c r="J1252" s="124" t="s">
        <v>250</v>
      </c>
      <c r="K1252" s="124" t="s">
        <v>250</v>
      </c>
      <c r="L1252" s="124" t="s">
        <v>250</v>
      </c>
      <c r="M1252" s="124" t="s">
        <v>250</v>
      </c>
      <c r="N1252" s="124" t="s">
        <v>250</v>
      </c>
      <c r="O1252" s="124" t="s">
        <v>250</v>
      </c>
      <c r="P1252" s="124" t="s">
        <v>250</v>
      </c>
      <c r="Q1252" s="124" t="s">
        <v>250</v>
      </c>
      <c r="R1252" s="124"/>
    </row>
    <row r="1253" spans="1:18" ht="15">
      <c r="A1253" s="105">
        <v>1</v>
      </c>
      <c r="B1253" s="105"/>
      <c r="C1253" s="107" t="s">
        <v>995</v>
      </c>
      <c r="D1253" s="107" t="s">
        <v>295</v>
      </c>
      <c r="E1253" s="124">
        <v>1</v>
      </c>
      <c r="F1253" s="124" t="s">
        <v>250</v>
      </c>
      <c r="G1253" s="124">
        <v>0.93492051078927074</v>
      </c>
      <c r="H1253" s="124" t="s">
        <v>250</v>
      </c>
      <c r="I1253" s="124">
        <v>5.1024116097176289E-2</v>
      </c>
      <c r="J1253" s="124">
        <v>1.405537311355296E-2</v>
      </c>
      <c r="K1253" s="124" t="s">
        <v>250</v>
      </c>
      <c r="L1253" s="124" t="s">
        <v>250</v>
      </c>
      <c r="M1253" s="124">
        <v>0</v>
      </c>
      <c r="N1253" s="124" t="s">
        <v>250</v>
      </c>
      <c r="O1253" s="124">
        <v>1.405537311355296E-2</v>
      </c>
      <c r="P1253" s="124">
        <v>7.3483392244920879E-3</v>
      </c>
      <c r="Q1253" s="124">
        <v>6.7070338890608721E-3</v>
      </c>
      <c r="R1253" s="124"/>
    </row>
    <row r="1254" spans="1:18" ht="15">
      <c r="A1254" s="105">
        <v>2</v>
      </c>
      <c r="B1254" s="105"/>
      <c r="C1254" s="107" t="s">
        <v>996</v>
      </c>
      <c r="D1254" s="107" t="s">
        <v>297</v>
      </c>
      <c r="E1254" s="124">
        <v>1</v>
      </c>
      <c r="F1254" s="124" t="s">
        <v>250</v>
      </c>
      <c r="G1254" s="124">
        <v>1</v>
      </c>
      <c r="H1254" s="124" t="s">
        <v>250</v>
      </c>
      <c r="I1254" s="124">
        <v>0</v>
      </c>
      <c r="J1254" s="124">
        <v>0</v>
      </c>
      <c r="K1254" s="124" t="s">
        <v>250</v>
      </c>
      <c r="L1254" s="124" t="s">
        <v>250</v>
      </c>
      <c r="M1254" s="124">
        <v>0</v>
      </c>
      <c r="N1254" s="124" t="s">
        <v>250</v>
      </c>
      <c r="O1254" s="124">
        <v>0</v>
      </c>
      <c r="P1254" s="124">
        <v>0</v>
      </c>
      <c r="Q1254" s="124">
        <v>0</v>
      </c>
      <c r="R1254" s="124"/>
    </row>
    <row r="1255" spans="1:18" ht="15">
      <c r="A1255" s="105">
        <v>3</v>
      </c>
      <c r="B1255" s="105"/>
      <c r="C1255" s="107" t="s">
        <v>997</v>
      </c>
      <c r="D1255" s="107" t="s">
        <v>418</v>
      </c>
      <c r="E1255" s="124">
        <v>1</v>
      </c>
      <c r="F1255" s="124" t="s">
        <v>250</v>
      </c>
      <c r="G1255" s="124">
        <v>0.94120216334583617</v>
      </c>
      <c r="H1255" s="124" t="s">
        <v>250</v>
      </c>
      <c r="I1255" s="124">
        <v>4.7038502998527271E-2</v>
      </c>
      <c r="J1255" s="124">
        <v>1.1759333655636474E-2</v>
      </c>
      <c r="K1255" s="124" t="s">
        <v>250</v>
      </c>
      <c r="L1255" s="124" t="s">
        <v>250</v>
      </c>
      <c r="M1255" s="124">
        <v>0</v>
      </c>
      <c r="N1255" s="124" t="s">
        <v>250</v>
      </c>
      <c r="O1255" s="124">
        <v>1.1759333655636474E-2</v>
      </c>
      <c r="P1255" s="124">
        <v>6.1357405777299296E-3</v>
      </c>
      <c r="Q1255" s="124">
        <v>5.6235930779065446E-3</v>
      </c>
      <c r="R1255" s="124"/>
    </row>
    <row r="1256" spans="1:18" ht="15">
      <c r="A1256" s="105">
        <v>4</v>
      </c>
      <c r="B1256" s="105"/>
      <c r="C1256" s="107" t="s">
        <v>997</v>
      </c>
      <c r="D1256" s="107" t="s">
        <v>901</v>
      </c>
      <c r="E1256" s="124">
        <v>1</v>
      </c>
      <c r="F1256" s="124" t="s">
        <v>250</v>
      </c>
      <c r="G1256" s="124">
        <v>0.94120216334583617</v>
      </c>
      <c r="H1256" s="124" t="s">
        <v>250</v>
      </c>
      <c r="I1256" s="124">
        <v>4.7038502998527271E-2</v>
      </c>
      <c r="J1256" s="124">
        <v>1.1759333655636476E-2</v>
      </c>
      <c r="K1256" s="124" t="s">
        <v>250</v>
      </c>
      <c r="L1256" s="124" t="s">
        <v>250</v>
      </c>
      <c r="M1256" s="124">
        <v>0</v>
      </c>
      <c r="N1256" s="124" t="s">
        <v>250</v>
      </c>
      <c r="O1256" s="124">
        <v>1.1759333655636476E-2</v>
      </c>
      <c r="P1256" s="124">
        <v>6.1357405777299314E-3</v>
      </c>
      <c r="Q1256" s="124">
        <v>5.6235930779065446E-3</v>
      </c>
      <c r="R1256" s="124"/>
    </row>
    <row r="1257" spans="1:18" ht="15">
      <c r="A1257" s="105">
        <v>5</v>
      </c>
      <c r="B1257" s="105"/>
      <c r="C1257" s="107" t="s">
        <v>998</v>
      </c>
      <c r="D1257" s="107" t="s">
        <v>443</v>
      </c>
      <c r="E1257" s="124">
        <v>0.99999999999999989</v>
      </c>
      <c r="F1257" s="124" t="s">
        <v>250</v>
      </c>
      <c r="G1257" s="124">
        <v>0.93811298816770394</v>
      </c>
      <c r="H1257" s="124" t="s">
        <v>250</v>
      </c>
      <c r="I1257" s="124">
        <v>4.2485124136515964E-2</v>
      </c>
      <c r="J1257" s="124">
        <v>1.9401887695780037E-2</v>
      </c>
      <c r="K1257" s="124" t="s">
        <v>250</v>
      </c>
      <c r="L1257" s="124" t="s">
        <v>250</v>
      </c>
      <c r="M1257" s="124">
        <v>0</v>
      </c>
      <c r="N1257" s="124" t="s">
        <v>250</v>
      </c>
      <c r="O1257" s="124">
        <v>1.9401887695780037E-2</v>
      </c>
      <c r="P1257" s="124">
        <v>9.841723092355743E-3</v>
      </c>
      <c r="Q1257" s="124">
        <v>9.5601646034242944E-3</v>
      </c>
      <c r="R1257" s="124"/>
    </row>
    <row r="1258" spans="1:18" ht="15">
      <c r="A1258" s="105">
        <v>6</v>
      </c>
      <c r="B1258" s="105"/>
      <c r="C1258" s="107" t="s">
        <v>1000</v>
      </c>
      <c r="D1258" s="107" t="s">
        <v>448</v>
      </c>
      <c r="E1258" s="124">
        <v>0.99999999999999989</v>
      </c>
      <c r="F1258" s="124" t="s">
        <v>250</v>
      </c>
      <c r="G1258" s="124">
        <v>0.93811298816770394</v>
      </c>
      <c r="H1258" s="124" t="s">
        <v>250</v>
      </c>
      <c r="I1258" s="124">
        <v>4.2485124136515978E-2</v>
      </c>
      <c r="J1258" s="124">
        <v>1.9401887695780044E-2</v>
      </c>
      <c r="K1258" s="124" t="s">
        <v>250</v>
      </c>
      <c r="L1258" s="124" t="s">
        <v>250</v>
      </c>
      <c r="M1258" s="124">
        <v>0</v>
      </c>
      <c r="N1258" s="124" t="s">
        <v>250</v>
      </c>
      <c r="O1258" s="124">
        <v>1.9401887695780044E-2</v>
      </c>
      <c r="P1258" s="124">
        <v>9.8417230923557465E-3</v>
      </c>
      <c r="Q1258" s="124">
        <v>9.5601646034242978E-3</v>
      </c>
      <c r="R1258" s="124"/>
    </row>
    <row r="1259" spans="1:18" ht="15">
      <c r="A1259" s="105">
        <v>7</v>
      </c>
      <c r="B1259" s="105"/>
      <c r="C1259" s="107" t="s">
        <v>1001</v>
      </c>
      <c r="D1259" s="107" t="s">
        <v>451</v>
      </c>
      <c r="E1259" s="124">
        <v>0.99999999999999989</v>
      </c>
      <c r="F1259" s="124" t="s">
        <v>250</v>
      </c>
      <c r="G1259" s="124">
        <v>0.93826469975444682</v>
      </c>
      <c r="H1259" s="124" t="s">
        <v>250</v>
      </c>
      <c r="I1259" s="124">
        <v>4.2380974890900661E-2</v>
      </c>
      <c r="J1259" s="124">
        <v>1.9354325354652459E-2</v>
      </c>
      <c r="K1259" s="124" t="s">
        <v>250</v>
      </c>
      <c r="L1259" s="124" t="s">
        <v>250</v>
      </c>
      <c r="M1259" s="124">
        <v>0</v>
      </c>
      <c r="N1259" s="124" t="s">
        <v>250</v>
      </c>
      <c r="O1259" s="124">
        <v>1.9354325354652459E-2</v>
      </c>
      <c r="P1259" s="124">
        <v>9.8175968115349552E-3</v>
      </c>
      <c r="Q1259" s="124">
        <v>9.5367285431175054E-3</v>
      </c>
      <c r="R1259" s="124"/>
    </row>
    <row r="1260" spans="1:18" ht="15">
      <c r="A1260" s="105">
        <v>8</v>
      </c>
      <c r="B1260" s="105"/>
      <c r="C1260" s="107" t="s">
        <v>1002</v>
      </c>
      <c r="D1260" s="107" t="s">
        <v>1003</v>
      </c>
      <c r="E1260" s="124">
        <v>1</v>
      </c>
      <c r="F1260" s="124" t="s">
        <v>250</v>
      </c>
      <c r="G1260" s="124">
        <v>0.95457377236854957</v>
      </c>
      <c r="H1260" s="124" t="s">
        <v>250</v>
      </c>
      <c r="I1260" s="124">
        <v>4.3968549619618012E-2</v>
      </c>
      <c r="J1260" s="124">
        <v>1.4576780118324821E-3</v>
      </c>
      <c r="K1260" s="124" t="s">
        <v>250</v>
      </c>
      <c r="L1260" s="124" t="s">
        <v>250</v>
      </c>
      <c r="M1260" s="124">
        <v>0</v>
      </c>
      <c r="N1260" s="124" t="s">
        <v>250</v>
      </c>
      <c r="O1260" s="124">
        <v>1.4576780118324821E-3</v>
      </c>
      <c r="P1260" s="124">
        <v>1.1658887812228493E-3</v>
      </c>
      <c r="Q1260" s="124">
        <v>2.9178923060963277E-4</v>
      </c>
      <c r="R1260" s="124"/>
    </row>
    <row r="1261" spans="1:18" ht="15">
      <c r="A1261" s="105">
        <v>9</v>
      </c>
      <c r="B1261" s="105"/>
      <c r="C1261" s="107" t="s">
        <v>1004</v>
      </c>
      <c r="D1261" s="107" t="s">
        <v>483</v>
      </c>
      <c r="E1261" s="124">
        <v>1</v>
      </c>
      <c r="F1261" s="124" t="s">
        <v>250</v>
      </c>
      <c r="G1261" s="124">
        <v>0</v>
      </c>
      <c r="H1261" s="124" t="s">
        <v>250</v>
      </c>
      <c r="I1261" s="124">
        <v>1</v>
      </c>
      <c r="J1261" s="124">
        <v>0</v>
      </c>
      <c r="K1261" s="124" t="s">
        <v>250</v>
      </c>
      <c r="L1261" s="124" t="s">
        <v>250</v>
      </c>
      <c r="M1261" s="124">
        <v>0</v>
      </c>
      <c r="N1261" s="124" t="s">
        <v>250</v>
      </c>
      <c r="O1261" s="124">
        <v>0</v>
      </c>
      <c r="P1261" s="124">
        <v>0</v>
      </c>
      <c r="Q1261" s="124">
        <v>0</v>
      </c>
      <c r="R1261" s="124"/>
    </row>
    <row r="1262" spans="1:18" ht="15">
      <c r="A1262" s="105">
        <v>10</v>
      </c>
      <c r="B1262" s="105"/>
      <c r="C1262" s="107" t="s">
        <v>1005</v>
      </c>
      <c r="D1262" s="107" t="s">
        <v>1006</v>
      </c>
      <c r="E1262" s="124">
        <v>1.0000000000000002</v>
      </c>
      <c r="F1262" s="124" t="s">
        <v>250</v>
      </c>
      <c r="G1262" s="124">
        <v>9.9967139406268682E-2</v>
      </c>
      <c r="H1262" s="124" t="s">
        <v>250</v>
      </c>
      <c r="I1262" s="124">
        <v>0.90003286059373144</v>
      </c>
      <c r="J1262" s="124">
        <v>0</v>
      </c>
      <c r="K1262" s="124" t="s">
        <v>250</v>
      </c>
      <c r="L1262" s="124" t="s">
        <v>250</v>
      </c>
      <c r="M1262" s="124">
        <v>0</v>
      </c>
      <c r="N1262" s="124" t="s">
        <v>250</v>
      </c>
      <c r="O1262" s="124">
        <v>0</v>
      </c>
      <c r="P1262" s="124">
        <v>0</v>
      </c>
      <c r="Q1262" s="124">
        <v>0</v>
      </c>
      <c r="R1262" s="124"/>
    </row>
    <row r="1263" spans="1:18" ht="15">
      <c r="A1263" s="105">
        <v>11</v>
      </c>
      <c r="B1263" s="105"/>
      <c r="C1263" s="107" t="s">
        <v>415</v>
      </c>
      <c r="D1263" s="107" t="s">
        <v>501</v>
      </c>
      <c r="E1263" s="124">
        <v>0.99999999999999989</v>
      </c>
      <c r="F1263" s="124" t="s">
        <v>250</v>
      </c>
      <c r="G1263" s="124">
        <v>0.95110389252677174</v>
      </c>
      <c r="H1263" s="124" t="s">
        <v>250</v>
      </c>
      <c r="I1263" s="124">
        <v>4.7291318730895648E-2</v>
      </c>
      <c r="J1263" s="124">
        <v>1.6047887423324932E-3</v>
      </c>
      <c r="K1263" s="124" t="s">
        <v>250</v>
      </c>
      <c r="L1263" s="124" t="s">
        <v>250</v>
      </c>
      <c r="M1263" s="124">
        <v>0</v>
      </c>
      <c r="N1263" s="124" t="s">
        <v>250</v>
      </c>
      <c r="O1263" s="124">
        <v>1.6047887423324932E-3</v>
      </c>
      <c r="P1263" s="124">
        <v>1.592576147327713E-3</v>
      </c>
      <c r="Q1263" s="124">
        <v>1.2212595004780288E-5</v>
      </c>
      <c r="R1263" s="124"/>
    </row>
    <row r="1264" spans="1:18" ht="15">
      <c r="A1264" s="105">
        <v>12</v>
      </c>
      <c r="B1264" s="105"/>
      <c r="C1264" s="107" t="s">
        <v>1007</v>
      </c>
      <c r="D1264" s="107" t="s">
        <v>465</v>
      </c>
      <c r="E1264" s="124">
        <v>1</v>
      </c>
      <c r="F1264" s="124" t="s">
        <v>250</v>
      </c>
      <c r="G1264" s="124">
        <v>0.99831546498914481</v>
      </c>
      <c r="H1264" s="124" t="s">
        <v>250</v>
      </c>
      <c r="I1264" s="124">
        <v>0</v>
      </c>
      <c r="J1264" s="124">
        <v>1.6845350108551942E-3</v>
      </c>
      <c r="K1264" s="124" t="s">
        <v>250</v>
      </c>
      <c r="L1264" s="124" t="s">
        <v>250</v>
      </c>
      <c r="M1264" s="124">
        <v>0</v>
      </c>
      <c r="N1264" s="124" t="s">
        <v>250</v>
      </c>
      <c r="O1264" s="124">
        <v>1.6845350108551942E-3</v>
      </c>
      <c r="P1264" s="124">
        <v>1.6717155391600934E-3</v>
      </c>
      <c r="Q1264" s="124">
        <v>1.2819471695100702E-5</v>
      </c>
      <c r="R1264" s="124"/>
    </row>
    <row r="1265" spans="1:18" ht="15">
      <c r="A1265" s="105">
        <v>13</v>
      </c>
      <c r="B1265" s="105"/>
      <c r="C1265" s="107" t="s">
        <v>1008</v>
      </c>
      <c r="D1265" s="107" t="s">
        <v>467</v>
      </c>
      <c r="E1265" s="124">
        <v>1</v>
      </c>
      <c r="F1265" s="124" t="s">
        <v>250</v>
      </c>
      <c r="G1265" s="124">
        <v>0.9429933243391716</v>
      </c>
      <c r="H1265" s="124" t="s">
        <v>250</v>
      </c>
      <c r="I1265" s="124">
        <v>4.5605567085401616E-2</v>
      </c>
      <c r="J1265" s="124">
        <v>1.1401108575426838E-2</v>
      </c>
      <c r="K1265" s="124" t="s">
        <v>250</v>
      </c>
      <c r="L1265" s="124" t="s">
        <v>250</v>
      </c>
      <c r="M1265" s="124">
        <v>0</v>
      </c>
      <c r="N1265" s="124" t="s">
        <v>250</v>
      </c>
      <c r="O1265" s="124">
        <v>1.1401108575426838E-2</v>
      </c>
      <c r="P1265" s="124">
        <v>5.9488272521139585E-3</v>
      </c>
      <c r="Q1265" s="124">
        <v>5.4522813233128789E-3</v>
      </c>
      <c r="R1265" s="124"/>
    </row>
    <row r="1266" spans="1:18" ht="15">
      <c r="A1266" s="105">
        <v>14</v>
      </c>
      <c r="B1266" s="105"/>
      <c r="C1266" s="107" t="s">
        <v>1009</v>
      </c>
      <c r="D1266" s="107" t="s">
        <v>469</v>
      </c>
      <c r="E1266" s="124">
        <v>1</v>
      </c>
      <c r="F1266" s="124" t="s">
        <v>250</v>
      </c>
      <c r="G1266" s="124">
        <v>1</v>
      </c>
      <c r="H1266" s="124" t="s">
        <v>250</v>
      </c>
      <c r="I1266" s="124">
        <v>0</v>
      </c>
      <c r="J1266" s="124">
        <v>0</v>
      </c>
      <c r="K1266" s="124" t="s">
        <v>250</v>
      </c>
      <c r="L1266" s="124" t="s">
        <v>250</v>
      </c>
      <c r="M1266" s="124">
        <v>0</v>
      </c>
      <c r="N1266" s="124" t="s">
        <v>250</v>
      </c>
      <c r="O1266" s="124">
        <v>0</v>
      </c>
      <c r="P1266" s="124">
        <v>0</v>
      </c>
      <c r="Q1266" s="124">
        <v>0</v>
      </c>
      <c r="R1266" s="124"/>
    </row>
    <row r="1267" spans="1:18" ht="15">
      <c r="A1267" s="105">
        <v>15</v>
      </c>
      <c r="B1267" s="105"/>
      <c r="C1267" s="107" t="s">
        <v>1010</v>
      </c>
      <c r="D1267" s="107" t="s">
        <v>471</v>
      </c>
      <c r="E1267" s="124">
        <v>1</v>
      </c>
      <c r="F1267" s="124" t="s">
        <v>250</v>
      </c>
      <c r="G1267" s="124">
        <v>0.93492051078927074</v>
      </c>
      <c r="H1267" s="124" t="s">
        <v>250</v>
      </c>
      <c r="I1267" s="124">
        <v>5.1024116097176289E-2</v>
      </c>
      <c r="J1267" s="124">
        <v>1.405537311355296E-2</v>
      </c>
      <c r="K1267" s="124" t="s">
        <v>250</v>
      </c>
      <c r="L1267" s="124" t="s">
        <v>250</v>
      </c>
      <c r="M1267" s="124">
        <v>0</v>
      </c>
      <c r="N1267" s="124" t="s">
        <v>250</v>
      </c>
      <c r="O1267" s="124">
        <v>1.405537311355296E-2</v>
      </c>
      <c r="P1267" s="124">
        <v>7.3483392244920879E-3</v>
      </c>
      <c r="Q1267" s="124">
        <v>6.7070338890608721E-3</v>
      </c>
      <c r="R1267" s="124"/>
    </row>
    <row r="1268" spans="1:18" ht="15">
      <c r="A1268" s="105">
        <v>16</v>
      </c>
      <c r="B1268" s="105"/>
      <c r="C1268" s="107" t="s">
        <v>1011</v>
      </c>
      <c r="D1268" s="107" t="s">
        <v>477</v>
      </c>
      <c r="E1268" s="124">
        <v>1</v>
      </c>
      <c r="F1268" s="124" t="s">
        <v>250</v>
      </c>
      <c r="G1268" s="124">
        <v>0.93813774178066944</v>
      </c>
      <c r="H1268" s="124" t="s">
        <v>250</v>
      </c>
      <c r="I1268" s="124">
        <v>4.2468130905003836E-2</v>
      </c>
      <c r="J1268" s="124">
        <v>1.9394127314326826E-2</v>
      </c>
      <c r="K1268" s="124" t="s">
        <v>250</v>
      </c>
      <c r="L1268" s="124" t="s">
        <v>250</v>
      </c>
      <c r="M1268" s="124">
        <v>0</v>
      </c>
      <c r="N1268" s="124" t="s">
        <v>250</v>
      </c>
      <c r="O1268" s="124">
        <v>1.9394127314326826E-2</v>
      </c>
      <c r="P1268" s="124">
        <v>9.8377865926423582E-3</v>
      </c>
      <c r="Q1268" s="124">
        <v>9.5563407216844691E-3</v>
      </c>
      <c r="R1268" s="124"/>
    </row>
    <row r="1269" spans="1:18" ht="15">
      <c r="A1269" s="105">
        <v>17</v>
      </c>
      <c r="B1269" s="105"/>
      <c r="C1269" s="107" t="s">
        <v>335</v>
      </c>
      <c r="D1269" s="107" t="s">
        <v>497</v>
      </c>
      <c r="E1269" s="124">
        <v>0.99999999999999978</v>
      </c>
      <c r="F1269" s="124" t="s">
        <v>250</v>
      </c>
      <c r="G1269" s="124">
        <v>0.93605396899428039</v>
      </c>
      <c r="H1269" s="124" t="s">
        <v>250</v>
      </c>
      <c r="I1269" s="124">
        <v>4.3175994271414539E-2</v>
      </c>
      <c r="J1269" s="124">
        <v>2.0770036734304935E-2</v>
      </c>
      <c r="K1269" s="124" t="s">
        <v>250</v>
      </c>
      <c r="L1269" s="124" t="s">
        <v>250</v>
      </c>
      <c r="M1269" s="124">
        <v>0</v>
      </c>
      <c r="N1269" s="124" t="s">
        <v>250</v>
      </c>
      <c r="O1269" s="124">
        <v>2.0770036734304935E-2</v>
      </c>
      <c r="P1269" s="124">
        <v>1.0535724840915674E-2</v>
      </c>
      <c r="Q1269" s="124">
        <v>1.023431189338926E-2</v>
      </c>
      <c r="R1269" s="124"/>
    </row>
    <row r="1270" spans="1:18" ht="15">
      <c r="A1270" s="105">
        <v>18</v>
      </c>
      <c r="B1270" s="105"/>
      <c r="C1270" s="107" t="s">
        <v>356</v>
      </c>
      <c r="D1270" s="107" t="s">
        <v>1012</v>
      </c>
      <c r="E1270" s="124">
        <v>1</v>
      </c>
      <c r="F1270" s="124" t="s">
        <v>250</v>
      </c>
      <c r="G1270" s="124">
        <v>0.90076821835616316</v>
      </c>
      <c r="H1270" s="124" t="s">
        <v>250</v>
      </c>
      <c r="I1270" s="124">
        <v>9.7865878221591221E-2</v>
      </c>
      <c r="J1270" s="124">
        <v>1.3659034222456231E-3</v>
      </c>
      <c r="K1270" s="124" t="s">
        <v>250</v>
      </c>
      <c r="L1270" s="124" t="s">
        <v>250</v>
      </c>
      <c r="M1270" s="124">
        <v>0</v>
      </c>
      <c r="N1270" s="124" t="s">
        <v>250</v>
      </c>
      <c r="O1270" s="124">
        <v>1.3659034222456231E-3</v>
      </c>
      <c r="P1270" s="124">
        <v>1.0924850778452158E-3</v>
      </c>
      <c r="Q1270" s="124">
        <v>2.7341834440040743E-4</v>
      </c>
      <c r="R1270" s="124"/>
    </row>
    <row r="1271" spans="1:18" ht="15">
      <c r="A1271" s="105">
        <v>19</v>
      </c>
      <c r="B1271" s="105"/>
      <c r="C1271" s="107" t="s">
        <v>1013</v>
      </c>
      <c r="D1271" s="107" t="s">
        <v>499</v>
      </c>
      <c r="E1271" s="124">
        <v>1</v>
      </c>
      <c r="F1271" s="124" t="s">
        <v>250</v>
      </c>
      <c r="G1271" s="124">
        <v>0.90200026360308516</v>
      </c>
      <c r="H1271" s="124" t="s">
        <v>250</v>
      </c>
      <c r="I1271" s="124">
        <v>9.7999736396914949E-2</v>
      </c>
      <c r="J1271" s="124">
        <v>0</v>
      </c>
      <c r="K1271" s="124" t="s">
        <v>250</v>
      </c>
      <c r="L1271" s="124" t="s">
        <v>250</v>
      </c>
      <c r="M1271" s="124">
        <v>0</v>
      </c>
      <c r="N1271" s="124" t="s">
        <v>250</v>
      </c>
      <c r="O1271" s="124">
        <v>0</v>
      </c>
      <c r="P1271" s="124">
        <v>0</v>
      </c>
      <c r="Q1271" s="124">
        <v>0</v>
      </c>
      <c r="R1271" s="124"/>
    </row>
    <row r="1272" spans="1:18" ht="15">
      <c r="A1272" s="105">
        <v>20</v>
      </c>
      <c r="B1272" s="105"/>
      <c r="C1272" s="107" t="s">
        <v>1014</v>
      </c>
      <c r="D1272" s="107" t="s">
        <v>504</v>
      </c>
      <c r="E1272" s="124">
        <v>1</v>
      </c>
      <c r="F1272" s="124" t="s">
        <v>250</v>
      </c>
      <c r="G1272" s="124">
        <v>0.92978140422616196</v>
      </c>
      <c r="H1272" s="124" t="s">
        <v>250</v>
      </c>
      <c r="I1272" s="124">
        <v>5.8098838829860139E-2</v>
      </c>
      <c r="J1272" s="124">
        <v>1.2119756943977921E-2</v>
      </c>
      <c r="K1272" s="124" t="s">
        <v>250</v>
      </c>
      <c r="L1272" s="124" t="s">
        <v>250</v>
      </c>
      <c r="M1272" s="124">
        <v>0</v>
      </c>
      <c r="N1272" s="124" t="s">
        <v>250</v>
      </c>
      <c r="O1272" s="124">
        <v>1.2119756943977921E-2</v>
      </c>
      <c r="P1272" s="124">
        <v>6.2803337635497242E-3</v>
      </c>
      <c r="Q1272" s="124">
        <v>5.8394231804281965E-3</v>
      </c>
      <c r="R1272" s="124"/>
    </row>
    <row r="1273" spans="1:18" ht="15">
      <c r="A1273" s="105">
        <v>21</v>
      </c>
      <c r="B1273" s="105"/>
      <c r="C1273" s="107" t="s">
        <v>1015</v>
      </c>
      <c r="D1273" s="107" t="s">
        <v>509</v>
      </c>
      <c r="E1273" s="124">
        <v>1.0000000000000002</v>
      </c>
      <c r="F1273" s="124" t="s">
        <v>250</v>
      </c>
      <c r="G1273" s="124">
        <v>0.93701103768102212</v>
      </c>
      <c r="H1273" s="124" t="s">
        <v>250</v>
      </c>
      <c r="I1273" s="124">
        <v>4.9697619357666208E-2</v>
      </c>
      <c r="J1273" s="124">
        <v>1.3291342961311759E-2</v>
      </c>
      <c r="K1273" s="124" t="s">
        <v>250</v>
      </c>
      <c r="L1273" s="124" t="s">
        <v>250</v>
      </c>
      <c r="M1273" s="124">
        <v>0</v>
      </c>
      <c r="N1273" s="124" t="s">
        <v>250</v>
      </c>
      <c r="O1273" s="124">
        <v>1.3291342961311759E-2</v>
      </c>
      <c r="P1273" s="124">
        <v>6.9448355502740441E-3</v>
      </c>
      <c r="Q1273" s="124">
        <v>6.3465074110377146E-3</v>
      </c>
      <c r="R1273" s="124"/>
    </row>
    <row r="1274" spans="1:18" ht="15">
      <c r="A1274" s="105">
        <v>22</v>
      </c>
      <c r="B1274" s="105"/>
      <c r="C1274" s="107" t="s">
        <v>1016</v>
      </c>
      <c r="D1274" s="107" t="s">
        <v>511</v>
      </c>
      <c r="E1274" s="124">
        <v>1</v>
      </c>
      <c r="F1274" s="124" t="s">
        <v>250</v>
      </c>
      <c r="G1274" s="124">
        <v>1</v>
      </c>
      <c r="H1274" s="124" t="s">
        <v>250</v>
      </c>
      <c r="I1274" s="124">
        <v>0</v>
      </c>
      <c r="J1274" s="124">
        <v>0</v>
      </c>
      <c r="K1274" s="124" t="s">
        <v>250</v>
      </c>
      <c r="L1274" s="124" t="s">
        <v>250</v>
      </c>
      <c r="M1274" s="124">
        <v>0</v>
      </c>
      <c r="N1274" s="124" t="s">
        <v>250</v>
      </c>
      <c r="O1274" s="124">
        <v>0</v>
      </c>
      <c r="P1274" s="124">
        <v>0</v>
      </c>
      <c r="Q1274" s="124">
        <v>0</v>
      </c>
      <c r="R1274" s="124"/>
    </row>
    <row r="1275" spans="1:18" ht="15">
      <c r="A1275" s="105">
        <v>23</v>
      </c>
      <c r="B1275" s="105"/>
      <c r="C1275" s="107" t="s">
        <v>1017</v>
      </c>
      <c r="D1275" s="107" t="s">
        <v>2534</v>
      </c>
      <c r="E1275" s="124">
        <v>1</v>
      </c>
      <c r="F1275" s="124" t="s">
        <v>250</v>
      </c>
      <c r="G1275" s="124">
        <v>0</v>
      </c>
      <c r="H1275" s="124" t="s">
        <v>250</v>
      </c>
      <c r="I1275" s="124">
        <v>0</v>
      </c>
      <c r="J1275" s="124">
        <v>1</v>
      </c>
      <c r="K1275" s="124" t="s">
        <v>250</v>
      </c>
      <c r="L1275" s="124" t="s">
        <v>250</v>
      </c>
      <c r="M1275" s="124">
        <v>0</v>
      </c>
      <c r="N1275" s="124" t="s">
        <v>250</v>
      </c>
      <c r="O1275" s="124">
        <v>1</v>
      </c>
      <c r="P1275" s="124">
        <v>0.50725595605299501</v>
      </c>
      <c r="Q1275" s="124">
        <v>0.49274404394700499</v>
      </c>
      <c r="R1275" s="124"/>
    </row>
    <row r="1276" spans="1:18" ht="15">
      <c r="A1276" s="105">
        <v>24</v>
      </c>
      <c r="B1276" s="105"/>
      <c r="C1276" s="107" t="s">
        <v>1018</v>
      </c>
      <c r="D1276" s="107" t="s">
        <v>1019</v>
      </c>
      <c r="E1276" s="124">
        <v>0</v>
      </c>
      <c r="F1276" s="124" t="s">
        <v>250</v>
      </c>
      <c r="G1276" s="124">
        <v>0</v>
      </c>
      <c r="H1276" s="124" t="s">
        <v>250</v>
      </c>
      <c r="I1276" s="124">
        <v>0</v>
      </c>
      <c r="J1276" s="124">
        <v>0</v>
      </c>
      <c r="K1276" s="124" t="s">
        <v>250</v>
      </c>
      <c r="L1276" s="124" t="s">
        <v>250</v>
      </c>
      <c r="M1276" s="124">
        <v>0</v>
      </c>
      <c r="N1276" s="124" t="s">
        <v>250</v>
      </c>
      <c r="O1276" s="124">
        <v>0</v>
      </c>
      <c r="P1276" s="124">
        <v>0</v>
      </c>
      <c r="Q1276" s="124">
        <v>0</v>
      </c>
      <c r="R1276" s="124"/>
    </row>
    <row r="1277" spans="1:18" ht="15">
      <c r="A1277" s="105">
        <v>25</v>
      </c>
      <c r="B1277" s="105"/>
      <c r="C1277" s="107" t="s">
        <v>1020</v>
      </c>
      <c r="D1277" s="107" t="s">
        <v>1021</v>
      </c>
      <c r="E1277" s="124">
        <v>1</v>
      </c>
      <c r="F1277" s="124" t="s">
        <v>250</v>
      </c>
      <c r="G1277" s="124">
        <v>0</v>
      </c>
      <c r="H1277" s="124" t="s">
        <v>250</v>
      </c>
      <c r="I1277" s="124">
        <v>0</v>
      </c>
      <c r="J1277" s="124">
        <v>1</v>
      </c>
      <c r="K1277" s="124" t="s">
        <v>250</v>
      </c>
      <c r="L1277" s="124" t="s">
        <v>250</v>
      </c>
      <c r="M1277" s="124">
        <v>0</v>
      </c>
      <c r="N1277" s="124" t="s">
        <v>250</v>
      </c>
      <c r="O1277" s="124">
        <v>1</v>
      </c>
      <c r="P1277" s="124">
        <v>0.50725595605299501</v>
      </c>
      <c r="Q1277" s="124">
        <v>0.49274404394700511</v>
      </c>
      <c r="R1277" s="124"/>
    </row>
    <row r="1278" spans="1:18" ht="15">
      <c r="A1278" s="105">
        <v>26</v>
      </c>
      <c r="B1278" s="105"/>
      <c r="C1278" s="107" t="s">
        <v>1022</v>
      </c>
      <c r="D1278" s="107" t="s">
        <v>1023</v>
      </c>
      <c r="E1278" s="124">
        <v>1</v>
      </c>
      <c r="F1278" s="124" t="s">
        <v>250</v>
      </c>
      <c r="G1278" s="124">
        <v>0</v>
      </c>
      <c r="H1278" s="124" t="s">
        <v>250</v>
      </c>
      <c r="I1278" s="124">
        <v>0</v>
      </c>
      <c r="J1278" s="124">
        <v>1</v>
      </c>
      <c r="K1278" s="124" t="s">
        <v>250</v>
      </c>
      <c r="L1278" s="124" t="s">
        <v>250</v>
      </c>
      <c r="M1278" s="124">
        <v>0</v>
      </c>
      <c r="N1278" s="124" t="s">
        <v>250</v>
      </c>
      <c r="O1278" s="124">
        <v>1</v>
      </c>
      <c r="P1278" s="124">
        <v>0.50725595605299489</v>
      </c>
      <c r="Q1278" s="124">
        <v>0.49274404394700505</v>
      </c>
      <c r="R1278" s="124"/>
    </row>
    <row r="1279" spans="1:18" ht="15">
      <c r="A1279" s="105">
        <v>27</v>
      </c>
      <c r="B1279" s="105"/>
      <c r="C1279" s="107" t="s">
        <v>1024</v>
      </c>
      <c r="D1279" s="107" t="s">
        <v>1025</v>
      </c>
      <c r="E1279" s="124">
        <v>1</v>
      </c>
      <c r="F1279" s="124" t="s">
        <v>250</v>
      </c>
      <c r="G1279" s="124">
        <v>0.95457377236854957</v>
      </c>
      <c r="H1279" s="124" t="s">
        <v>250</v>
      </c>
      <c r="I1279" s="124">
        <v>4.3968549619618012E-2</v>
      </c>
      <c r="J1279" s="124">
        <v>1.4576780118324821E-3</v>
      </c>
      <c r="K1279" s="124" t="s">
        <v>250</v>
      </c>
      <c r="L1279" s="124" t="s">
        <v>250</v>
      </c>
      <c r="M1279" s="124">
        <v>0</v>
      </c>
      <c r="N1279" s="124" t="s">
        <v>250</v>
      </c>
      <c r="O1279" s="124">
        <v>1.4576780118324821E-3</v>
      </c>
      <c r="P1279" s="124">
        <v>1.1658887812228493E-3</v>
      </c>
      <c r="Q1279" s="124">
        <v>2.9178923060963277E-4</v>
      </c>
      <c r="R1279" s="124"/>
    </row>
    <row r="1280" spans="1:18" ht="15">
      <c r="A1280" s="105">
        <v>28</v>
      </c>
      <c r="B1280" s="105"/>
      <c r="C1280" s="107" t="s">
        <v>1151</v>
      </c>
      <c r="D1280" s="107" t="s">
        <v>458</v>
      </c>
      <c r="E1280" s="124">
        <v>1.0000000000000002</v>
      </c>
      <c r="F1280" s="124" t="s">
        <v>250</v>
      </c>
      <c r="G1280" s="124">
        <v>9.9967139406268682E-2</v>
      </c>
      <c r="H1280" s="124" t="s">
        <v>250</v>
      </c>
      <c r="I1280" s="124">
        <v>0.90003286059373144</v>
      </c>
      <c r="J1280" s="124">
        <v>0</v>
      </c>
      <c r="K1280" s="124" t="s">
        <v>250</v>
      </c>
      <c r="L1280" s="124" t="s">
        <v>250</v>
      </c>
      <c r="M1280" s="124">
        <v>0</v>
      </c>
      <c r="N1280" s="124" t="s">
        <v>250</v>
      </c>
      <c r="O1280" s="124">
        <v>0</v>
      </c>
      <c r="P1280" s="124">
        <v>0</v>
      </c>
      <c r="Q1280" s="124">
        <v>0</v>
      </c>
      <c r="R1280" s="124"/>
    </row>
    <row r="1281" spans="1:18" ht="15">
      <c r="A1281" s="105">
        <v>29</v>
      </c>
      <c r="B1281" s="105"/>
      <c r="C1281" s="107" t="s">
        <v>1027</v>
      </c>
      <c r="D1281" s="107" t="s">
        <v>658</v>
      </c>
      <c r="E1281" s="124">
        <v>1</v>
      </c>
      <c r="F1281" s="124" t="s">
        <v>250</v>
      </c>
      <c r="G1281" s="124">
        <v>0.93349746846993065</v>
      </c>
      <c r="H1281" s="124" t="s">
        <v>250</v>
      </c>
      <c r="I1281" s="124">
        <v>6.6502531530069409E-2</v>
      </c>
      <c r="J1281" s="124">
        <v>0</v>
      </c>
      <c r="K1281" s="124" t="s">
        <v>250</v>
      </c>
      <c r="L1281" s="124" t="s">
        <v>250</v>
      </c>
      <c r="M1281" s="124">
        <v>0</v>
      </c>
      <c r="N1281" s="124" t="s">
        <v>250</v>
      </c>
      <c r="O1281" s="124">
        <v>0</v>
      </c>
      <c r="P1281" s="124">
        <v>0</v>
      </c>
      <c r="Q1281" s="124">
        <v>0</v>
      </c>
      <c r="R1281" s="124"/>
    </row>
    <row r="1282" spans="1:18" ht="15">
      <c r="A1282" s="105">
        <v>30</v>
      </c>
      <c r="B1282" s="105"/>
      <c r="C1282" s="107" t="s">
        <v>438</v>
      </c>
      <c r="D1282" s="107" t="s">
        <v>716</v>
      </c>
      <c r="E1282" s="124">
        <v>1</v>
      </c>
      <c r="F1282" s="124" t="s">
        <v>250</v>
      </c>
      <c r="G1282" s="124">
        <v>0.93492140459074247</v>
      </c>
      <c r="H1282" s="124" t="s">
        <v>250</v>
      </c>
      <c r="I1282" s="124">
        <v>5.1023415332148603E-2</v>
      </c>
      <c r="J1282" s="124">
        <v>1.4055180077108972E-2</v>
      </c>
      <c r="K1282" s="124" t="s">
        <v>250</v>
      </c>
      <c r="L1282" s="124" t="s">
        <v>250</v>
      </c>
      <c r="M1282" s="124">
        <v>0</v>
      </c>
      <c r="N1282" s="124" t="s">
        <v>250</v>
      </c>
      <c r="O1282" s="124">
        <v>1.4055180077108972E-2</v>
      </c>
      <c r="P1282" s="124">
        <v>7.3482383024275049E-3</v>
      </c>
      <c r="Q1282" s="124">
        <v>6.7069417746814667E-3</v>
      </c>
      <c r="R1282" s="124"/>
    </row>
    <row r="1283" spans="1:18" ht="15">
      <c r="A1283" s="105">
        <v>31</v>
      </c>
      <c r="B1283" s="105"/>
      <c r="C1283" s="107" t="s">
        <v>1028</v>
      </c>
      <c r="D1283" s="107" t="s">
        <v>488</v>
      </c>
      <c r="E1283" s="124">
        <v>1</v>
      </c>
      <c r="F1283" s="124" t="s">
        <v>250</v>
      </c>
      <c r="G1283" s="124">
        <v>1</v>
      </c>
      <c r="H1283" s="124" t="s">
        <v>250</v>
      </c>
      <c r="I1283" s="124">
        <v>0</v>
      </c>
      <c r="J1283" s="124">
        <v>0</v>
      </c>
      <c r="K1283" s="124" t="s">
        <v>250</v>
      </c>
      <c r="L1283" s="124" t="s">
        <v>250</v>
      </c>
      <c r="M1283" s="124">
        <v>0</v>
      </c>
      <c r="N1283" s="124" t="s">
        <v>250</v>
      </c>
      <c r="O1283" s="124">
        <v>0</v>
      </c>
      <c r="P1283" s="124">
        <v>0</v>
      </c>
      <c r="Q1283" s="124">
        <v>0</v>
      </c>
      <c r="R1283" s="124"/>
    </row>
    <row r="1284" spans="1:18" ht="15">
      <c r="A1284" s="105">
        <v>32</v>
      </c>
      <c r="B1284" s="105"/>
      <c r="C1284" s="107" t="s">
        <v>1029</v>
      </c>
      <c r="D1284" s="107" t="s">
        <v>796</v>
      </c>
      <c r="E1284" s="124">
        <v>1</v>
      </c>
      <c r="F1284" s="124" t="s">
        <v>250</v>
      </c>
      <c r="G1284" s="124">
        <v>0.98518911814665233</v>
      </c>
      <c r="H1284" s="124" t="s">
        <v>250</v>
      </c>
      <c r="I1284" s="124">
        <v>0</v>
      </c>
      <c r="J1284" s="124">
        <v>1.4810881853347715E-2</v>
      </c>
      <c r="K1284" s="124" t="s">
        <v>250</v>
      </c>
      <c r="L1284" s="124" t="s">
        <v>250</v>
      </c>
      <c r="M1284" s="124">
        <v>0</v>
      </c>
      <c r="N1284" s="124" t="s">
        <v>250</v>
      </c>
      <c r="O1284" s="124">
        <v>1.4810881853347715E-2</v>
      </c>
      <c r="P1284" s="124">
        <v>7.7433294152346663E-3</v>
      </c>
      <c r="Q1284" s="124">
        <v>7.0675524381130488E-3</v>
      </c>
      <c r="R1284" s="124"/>
    </row>
    <row r="1285" spans="1:18" ht="15">
      <c r="A1285" s="105">
        <v>33</v>
      </c>
      <c r="B1285" s="105"/>
      <c r="C1285" s="107" t="s">
        <v>1030</v>
      </c>
      <c r="D1285" s="107" t="s">
        <v>1031</v>
      </c>
      <c r="E1285" s="124">
        <v>1</v>
      </c>
      <c r="F1285" s="124" t="s">
        <v>250</v>
      </c>
      <c r="G1285" s="124">
        <v>0</v>
      </c>
      <c r="H1285" s="124" t="s">
        <v>250</v>
      </c>
      <c r="I1285" s="124">
        <v>1</v>
      </c>
      <c r="J1285" s="124">
        <v>0</v>
      </c>
      <c r="K1285" s="124" t="s">
        <v>250</v>
      </c>
      <c r="L1285" s="124" t="s">
        <v>250</v>
      </c>
      <c r="M1285" s="124">
        <v>0</v>
      </c>
      <c r="N1285" s="124" t="s">
        <v>250</v>
      </c>
      <c r="O1285" s="124">
        <v>0</v>
      </c>
      <c r="P1285" s="124">
        <v>0</v>
      </c>
      <c r="Q1285" s="124">
        <v>0</v>
      </c>
      <c r="R1285" s="124"/>
    </row>
    <row r="1286" spans="1:18" ht="15">
      <c r="A1286" s="105">
        <v>34</v>
      </c>
      <c r="B1286" s="105"/>
      <c r="C1286" s="107" t="s">
        <v>314</v>
      </c>
      <c r="D1286" s="107" t="s">
        <v>584</v>
      </c>
      <c r="E1286" s="124">
        <v>1</v>
      </c>
      <c r="F1286" s="124" t="s">
        <v>250</v>
      </c>
      <c r="G1286" s="124">
        <v>0.93579270571366135</v>
      </c>
      <c r="H1286" s="124" t="s">
        <v>250</v>
      </c>
      <c r="I1286" s="124">
        <v>4.3345924688725321E-2</v>
      </c>
      <c r="J1286" s="124">
        <v>2.0861369597613415E-2</v>
      </c>
      <c r="K1286" s="124" t="s">
        <v>250</v>
      </c>
      <c r="L1286" s="124" t="s">
        <v>250</v>
      </c>
      <c r="M1286" s="124">
        <v>0</v>
      </c>
      <c r="N1286" s="124" t="s">
        <v>250</v>
      </c>
      <c r="O1286" s="124">
        <v>2.0861369597613415E-2</v>
      </c>
      <c r="P1286" s="124">
        <v>1.0582053979812277E-2</v>
      </c>
      <c r="Q1286" s="124">
        <v>1.0279315617801139E-2</v>
      </c>
      <c r="R1286" s="124"/>
    </row>
    <row r="1287" spans="1:18" ht="15">
      <c r="A1287" s="105">
        <v>35</v>
      </c>
      <c r="B1287" s="105"/>
      <c r="C1287" s="107" t="s">
        <v>1032</v>
      </c>
      <c r="D1287" s="107" t="s">
        <v>599</v>
      </c>
      <c r="E1287" s="124">
        <v>0.99999999999999989</v>
      </c>
      <c r="F1287" s="124" t="s">
        <v>250</v>
      </c>
      <c r="G1287" s="124">
        <v>0.93758912617191703</v>
      </c>
      <c r="H1287" s="124" t="s">
        <v>250</v>
      </c>
      <c r="I1287" s="124">
        <v>4.246748224137533E-2</v>
      </c>
      <c r="J1287" s="124">
        <v>1.9943391586707548E-2</v>
      </c>
      <c r="K1287" s="124" t="s">
        <v>250</v>
      </c>
      <c r="L1287" s="124" t="s">
        <v>250</v>
      </c>
      <c r="M1287" s="124">
        <v>0</v>
      </c>
      <c r="N1287" s="124" t="s">
        <v>250</v>
      </c>
      <c r="O1287" s="124">
        <v>1.9943391586707548E-2</v>
      </c>
      <c r="P1287" s="124">
        <v>1.0116404166254594E-2</v>
      </c>
      <c r="Q1287" s="124">
        <v>9.826987420452956E-3</v>
      </c>
      <c r="R1287" s="124"/>
    </row>
    <row r="1288" spans="1:18" ht="15">
      <c r="A1288" s="105">
        <v>36</v>
      </c>
      <c r="B1288" s="105"/>
      <c r="C1288" s="107" t="s">
        <v>1033</v>
      </c>
      <c r="D1288" s="107" t="s">
        <v>614</v>
      </c>
      <c r="E1288" s="124">
        <v>1</v>
      </c>
      <c r="F1288" s="124" t="s">
        <v>250</v>
      </c>
      <c r="G1288" s="124">
        <v>0.9373224688606504</v>
      </c>
      <c r="H1288" s="124" t="s">
        <v>250</v>
      </c>
      <c r="I1288" s="124">
        <v>4.2338994002620957E-2</v>
      </c>
      <c r="J1288" s="124">
        <v>2.0338537136728681E-2</v>
      </c>
      <c r="K1288" s="124" t="s">
        <v>250</v>
      </c>
      <c r="L1288" s="124" t="s">
        <v>250</v>
      </c>
      <c r="M1288" s="124">
        <v>0</v>
      </c>
      <c r="N1288" s="124" t="s">
        <v>250</v>
      </c>
      <c r="O1288" s="124">
        <v>2.0338537136728681E-2</v>
      </c>
      <c r="P1288" s="124">
        <v>1.0316844100010649E-2</v>
      </c>
      <c r="Q1288" s="124">
        <v>1.0021693036718031E-2</v>
      </c>
      <c r="R1288" s="124"/>
    </row>
    <row r="1289" spans="1:18" ht="15">
      <c r="A1289" s="105">
        <v>37</v>
      </c>
      <c r="B1289" s="105"/>
      <c r="C1289" s="107" t="s">
        <v>1034</v>
      </c>
      <c r="D1289" s="107" t="s">
        <v>655</v>
      </c>
      <c r="E1289" s="124">
        <v>1</v>
      </c>
      <c r="F1289" s="124" t="s">
        <v>250</v>
      </c>
      <c r="G1289" s="124">
        <v>0.95802182521061185</v>
      </c>
      <c r="H1289" s="124" t="s">
        <v>250</v>
      </c>
      <c r="I1289" s="124">
        <v>3.1278428253276258E-2</v>
      </c>
      <c r="J1289" s="124">
        <v>1.0699746536111891E-2</v>
      </c>
      <c r="K1289" s="124" t="s">
        <v>250</v>
      </c>
      <c r="L1289" s="124" t="s">
        <v>250</v>
      </c>
      <c r="M1289" s="124">
        <v>0</v>
      </c>
      <c r="N1289" s="124" t="s">
        <v>250</v>
      </c>
      <c r="O1289" s="124">
        <v>1.0699746536111891E-2</v>
      </c>
      <c r="P1289" s="124">
        <v>1.0699746536111891E-2</v>
      </c>
      <c r="Q1289" s="124">
        <v>0</v>
      </c>
      <c r="R1289" s="124"/>
    </row>
    <row r="1290" spans="1:18" ht="15">
      <c r="A1290" s="105">
        <v>38</v>
      </c>
      <c r="B1290" s="105"/>
      <c r="C1290" s="107" t="s">
        <v>1035</v>
      </c>
      <c r="D1290" s="107" t="s">
        <v>660</v>
      </c>
      <c r="E1290" s="124">
        <v>1</v>
      </c>
      <c r="F1290" s="124" t="s">
        <v>250</v>
      </c>
      <c r="G1290" s="124">
        <v>0.97901504167284625</v>
      </c>
      <c r="H1290" s="124" t="s">
        <v>250</v>
      </c>
      <c r="I1290" s="124">
        <v>2.098495832715376E-2</v>
      </c>
      <c r="J1290" s="124">
        <v>0</v>
      </c>
      <c r="K1290" s="124" t="s">
        <v>250</v>
      </c>
      <c r="L1290" s="124" t="s">
        <v>250</v>
      </c>
      <c r="M1290" s="124">
        <v>0</v>
      </c>
      <c r="N1290" s="124" t="s">
        <v>250</v>
      </c>
      <c r="O1290" s="124">
        <v>0</v>
      </c>
      <c r="P1290" s="124">
        <v>0</v>
      </c>
      <c r="Q1290" s="124">
        <v>0</v>
      </c>
      <c r="R1290" s="124"/>
    </row>
    <row r="1291" spans="1:18" ht="15">
      <c r="A1291" s="105">
        <v>39</v>
      </c>
      <c r="B1291" s="105"/>
      <c r="C1291" s="107" t="s">
        <v>1036</v>
      </c>
      <c r="D1291" s="107" t="s">
        <v>662</v>
      </c>
      <c r="E1291" s="124">
        <v>1</v>
      </c>
      <c r="F1291" s="124" t="s">
        <v>250</v>
      </c>
      <c r="G1291" s="124">
        <v>0.97102293631467496</v>
      </c>
      <c r="H1291" s="124" t="s">
        <v>250</v>
      </c>
      <c r="I1291" s="124">
        <v>2.8977063685325082E-2</v>
      </c>
      <c r="J1291" s="124">
        <v>0</v>
      </c>
      <c r="K1291" s="124" t="s">
        <v>250</v>
      </c>
      <c r="L1291" s="124" t="s">
        <v>250</v>
      </c>
      <c r="M1291" s="124">
        <v>0</v>
      </c>
      <c r="N1291" s="124" t="s">
        <v>250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40</v>
      </c>
      <c r="B1292" s="105"/>
      <c r="C1292" s="107" t="s">
        <v>1037</v>
      </c>
      <c r="D1292" s="107" t="s">
        <v>664</v>
      </c>
      <c r="E1292" s="124">
        <v>1.0000000000000002</v>
      </c>
      <c r="F1292" s="124" t="s">
        <v>250</v>
      </c>
      <c r="G1292" s="124">
        <v>0.94734862112507634</v>
      </c>
      <c r="H1292" s="124" t="s">
        <v>250</v>
      </c>
      <c r="I1292" s="124">
        <v>5.2063195728126524E-2</v>
      </c>
      <c r="J1292" s="124">
        <v>5.8818314679724682E-4</v>
      </c>
      <c r="K1292" s="124" t="s">
        <v>250</v>
      </c>
      <c r="L1292" s="124" t="s">
        <v>250</v>
      </c>
      <c r="M1292" s="124">
        <v>0</v>
      </c>
      <c r="N1292" s="124" t="s">
        <v>250</v>
      </c>
      <c r="O1292" s="124">
        <v>5.8818314679724682E-4</v>
      </c>
      <c r="P1292" s="124">
        <v>2.5433065128275303E-4</v>
      </c>
      <c r="Q1292" s="124">
        <v>3.3385249551449374E-4</v>
      </c>
      <c r="R1292" s="124"/>
    </row>
    <row r="1293" spans="1:18" ht="15">
      <c r="A1293" s="105">
        <v>41</v>
      </c>
      <c r="B1293" s="105"/>
      <c r="C1293" s="107" t="s">
        <v>1038</v>
      </c>
      <c r="D1293" s="107" t="s">
        <v>666</v>
      </c>
      <c r="E1293" s="124">
        <v>1</v>
      </c>
      <c r="F1293" s="124" t="s">
        <v>250</v>
      </c>
      <c r="G1293" s="124">
        <v>1</v>
      </c>
      <c r="H1293" s="124" t="s">
        <v>250</v>
      </c>
      <c r="I1293" s="124">
        <v>0</v>
      </c>
      <c r="J1293" s="124">
        <v>0</v>
      </c>
      <c r="K1293" s="124" t="s">
        <v>250</v>
      </c>
      <c r="L1293" s="124" t="s">
        <v>250</v>
      </c>
      <c r="M1293" s="124">
        <v>0</v>
      </c>
      <c r="N1293" s="124" t="s">
        <v>250</v>
      </c>
      <c r="O1293" s="124">
        <v>0</v>
      </c>
      <c r="P1293" s="124">
        <v>0</v>
      </c>
      <c r="Q1293" s="124">
        <v>0</v>
      </c>
      <c r="R1293" s="124"/>
    </row>
    <row r="1294" spans="1:18" ht="15">
      <c r="A1294" s="105">
        <v>42</v>
      </c>
      <c r="B1294" s="105"/>
      <c r="C1294" s="107" t="s">
        <v>1039</v>
      </c>
      <c r="D1294" s="107" t="s">
        <v>676</v>
      </c>
      <c r="E1294" s="124">
        <v>1</v>
      </c>
      <c r="F1294" s="124" t="s">
        <v>250</v>
      </c>
      <c r="G1294" s="124">
        <v>0.96684450753860718</v>
      </c>
      <c r="H1294" s="124" t="s">
        <v>250</v>
      </c>
      <c r="I1294" s="124">
        <v>3.3155492461392842E-2</v>
      </c>
      <c r="J1294" s="124">
        <v>0</v>
      </c>
      <c r="K1294" s="124" t="s">
        <v>250</v>
      </c>
      <c r="L1294" s="124" t="s">
        <v>250</v>
      </c>
      <c r="M1294" s="124">
        <v>0</v>
      </c>
      <c r="N1294" s="124" t="s">
        <v>250</v>
      </c>
      <c r="O1294" s="124">
        <v>0</v>
      </c>
      <c r="P1294" s="124">
        <v>0</v>
      </c>
      <c r="Q1294" s="124">
        <v>0</v>
      </c>
      <c r="R1294" s="124"/>
    </row>
    <row r="1295" spans="1:18" ht="15">
      <c r="A1295" s="105">
        <v>43</v>
      </c>
      <c r="B1295" s="105"/>
      <c r="C1295" s="107" t="s">
        <v>1040</v>
      </c>
      <c r="D1295" s="107" t="s">
        <v>692</v>
      </c>
      <c r="E1295" s="124">
        <v>1.0000000000000002</v>
      </c>
      <c r="F1295" s="124" t="s">
        <v>250</v>
      </c>
      <c r="G1295" s="124">
        <v>0.95099002065608251</v>
      </c>
      <c r="H1295" s="124" t="s">
        <v>250</v>
      </c>
      <c r="I1295" s="124">
        <v>4.8607008413625447E-2</v>
      </c>
      <c r="J1295" s="124">
        <v>4.0297093029219072E-4</v>
      </c>
      <c r="K1295" s="124" t="s">
        <v>250</v>
      </c>
      <c r="L1295" s="124" t="s">
        <v>250</v>
      </c>
      <c r="M1295" s="124">
        <v>0</v>
      </c>
      <c r="N1295" s="124" t="s">
        <v>250</v>
      </c>
      <c r="O1295" s="124">
        <v>4.0297093029219072E-4</v>
      </c>
      <c r="P1295" s="124">
        <v>1.6118837211687628E-4</v>
      </c>
      <c r="Q1295" s="124">
        <v>2.4178255817531444E-4</v>
      </c>
      <c r="R1295" s="124"/>
    </row>
    <row r="1296" spans="1:18" ht="15">
      <c r="A1296" s="105">
        <v>44</v>
      </c>
      <c r="B1296" s="105"/>
      <c r="C1296" s="107" t="s">
        <v>1041</v>
      </c>
      <c r="D1296" s="107" t="s">
        <v>702</v>
      </c>
      <c r="E1296" s="124">
        <v>1</v>
      </c>
      <c r="F1296" s="124" t="s">
        <v>250</v>
      </c>
      <c r="G1296" s="124">
        <v>0.99018917107147997</v>
      </c>
      <c r="H1296" s="124" t="s">
        <v>250</v>
      </c>
      <c r="I1296" s="124">
        <v>9.8108289285200219E-3</v>
      </c>
      <c r="J1296" s="124">
        <v>0</v>
      </c>
      <c r="K1296" s="124" t="s">
        <v>250</v>
      </c>
      <c r="L1296" s="124" t="s">
        <v>250</v>
      </c>
      <c r="M1296" s="124">
        <v>0</v>
      </c>
      <c r="N1296" s="124" t="s">
        <v>250</v>
      </c>
      <c r="O1296" s="124">
        <v>0</v>
      </c>
      <c r="P1296" s="124">
        <v>0</v>
      </c>
      <c r="Q1296" s="124">
        <v>0</v>
      </c>
      <c r="R1296" s="124"/>
    </row>
    <row r="1297" spans="1:18" ht="15">
      <c r="A1297" s="105">
        <v>45</v>
      </c>
      <c r="B1297" s="105"/>
      <c r="C1297" s="107" t="s">
        <v>1042</v>
      </c>
      <c r="D1297" s="107" t="s">
        <v>1043</v>
      </c>
      <c r="E1297" s="124">
        <v>1</v>
      </c>
      <c r="F1297" s="124" t="s">
        <v>250</v>
      </c>
      <c r="G1297" s="124">
        <v>0.93233154818988062</v>
      </c>
      <c r="H1297" s="124" t="s">
        <v>250</v>
      </c>
      <c r="I1297" s="124">
        <v>6.6152753708959219E-2</v>
      </c>
      <c r="J1297" s="124">
        <v>1.5156981011601991E-3</v>
      </c>
      <c r="K1297" s="124" t="s">
        <v>250</v>
      </c>
      <c r="L1297" s="124" t="s">
        <v>250</v>
      </c>
      <c r="M1297" s="124">
        <v>0</v>
      </c>
      <c r="N1297" s="124" t="s">
        <v>250</v>
      </c>
      <c r="O1297" s="124">
        <v>1.5156981011601991E-3</v>
      </c>
      <c r="P1297" s="124">
        <v>1.4060706140093314E-3</v>
      </c>
      <c r="Q1297" s="124">
        <v>1.0962748715086767E-4</v>
      </c>
      <c r="R1297" s="124"/>
    </row>
    <row r="1298" spans="1:18" ht="15">
      <c r="A1298" s="105" t="s">
        <v>250</v>
      </c>
      <c r="B1298" s="105"/>
      <c r="C1298" s="107" t="s">
        <v>1044</v>
      </c>
      <c r="D1298" s="107" t="s">
        <v>250</v>
      </c>
      <c r="E1298" s="124" t="s">
        <v>250</v>
      </c>
      <c r="F1298" s="124" t="s">
        <v>250</v>
      </c>
      <c r="G1298" s="124" t="s">
        <v>250</v>
      </c>
      <c r="H1298" s="124" t="s">
        <v>250</v>
      </c>
      <c r="I1298" s="124" t="s">
        <v>250</v>
      </c>
      <c r="J1298" s="124" t="s">
        <v>250</v>
      </c>
      <c r="K1298" s="124" t="s">
        <v>250</v>
      </c>
      <c r="L1298" s="124" t="s">
        <v>250</v>
      </c>
      <c r="M1298" s="124" t="s">
        <v>250</v>
      </c>
      <c r="N1298" s="124" t="s">
        <v>250</v>
      </c>
      <c r="O1298" s="124" t="s">
        <v>250</v>
      </c>
      <c r="P1298" s="124" t="s">
        <v>250</v>
      </c>
      <c r="Q1298" s="124" t="s">
        <v>250</v>
      </c>
      <c r="R1298" s="124"/>
    </row>
    <row r="1299" spans="1:18" ht="15">
      <c r="A1299" s="105" t="s">
        <v>250</v>
      </c>
      <c r="B1299" s="105"/>
      <c r="C1299" s="107" t="s">
        <v>917</v>
      </c>
      <c r="D1299" s="107" t="s">
        <v>250</v>
      </c>
      <c r="E1299" s="124" t="s">
        <v>250</v>
      </c>
      <c r="F1299" s="124" t="s">
        <v>250</v>
      </c>
      <c r="G1299" s="124" t="s">
        <v>250</v>
      </c>
      <c r="H1299" s="124" t="s">
        <v>250</v>
      </c>
      <c r="I1299" s="124" t="s">
        <v>250</v>
      </c>
      <c r="J1299" s="124" t="s">
        <v>250</v>
      </c>
      <c r="K1299" s="124" t="s">
        <v>250</v>
      </c>
      <c r="L1299" s="124" t="s">
        <v>250</v>
      </c>
      <c r="M1299" s="124" t="s">
        <v>250</v>
      </c>
      <c r="N1299" s="124" t="s">
        <v>250</v>
      </c>
      <c r="O1299" s="124" t="s">
        <v>250</v>
      </c>
      <c r="P1299" s="124" t="s">
        <v>250</v>
      </c>
      <c r="Q1299" s="124" t="s">
        <v>250</v>
      </c>
      <c r="R1299" s="124"/>
    </row>
    <row r="1300" spans="1:18" ht="15">
      <c r="A1300" s="105">
        <v>1</v>
      </c>
      <c r="B1300" s="105"/>
      <c r="C1300" s="107" t="s">
        <v>1045</v>
      </c>
      <c r="D1300" s="107" t="s">
        <v>711</v>
      </c>
      <c r="E1300" s="124">
        <v>1</v>
      </c>
      <c r="F1300" s="124" t="s">
        <v>250</v>
      </c>
      <c r="G1300" s="124">
        <v>0.95002957946807309</v>
      </c>
      <c r="H1300" s="124" t="s">
        <v>250</v>
      </c>
      <c r="I1300" s="124">
        <v>4.9970420531926941E-2</v>
      </c>
      <c r="J1300" s="124">
        <v>0</v>
      </c>
      <c r="K1300" s="124" t="s">
        <v>250</v>
      </c>
      <c r="L1300" s="124" t="s">
        <v>250</v>
      </c>
      <c r="M1300" s="124">
        <v>0</v>
      </c>
      <c r="N1300" s="124" t="s">
        <v>250</v>
      </c>
      <c r="O1300" s="124">
        <v>0</v>
      </c>
      <c r="P1300" s="124">
        <v>0</v>
      </c>
      <c r="Q1300" s="124">
        <v>0</v>
      </c>
      <c r="R1300" s="124"/>
    </row>
    <row r="1301" spans="1:18" ht="15">
      <c r="A1301" s="105">
        <v>2</v>
      </c>
      <c r="B1301" s="105"/>
      <c r="C1301" s="107" t="s">
        <v>1046</v>
      </c>
      <c r="D1301" s="107" t="s">
        <v>586</v>
      </c>
      <c r="E1301" s="124">
        <v>1</v>
      </c>
      <c r="F1301" s="124" t="s">
        <v>250</v>
      </c>
      <c r="G1301" s="124">
        <v>0</v>
      </c>
      <c r="H1301" s="124" t="s">
        <v>250</v>
      </c>
      <c r="I1301" s="124">
        <v>0</v>
      </c>
      <c r="J1301" s="124">
        <v>1</v>
      </c>
      <c r="K1301" s="124" t="s">
        <v>250</v>
      </c>
      <c r="L1301" s="124" t="s">
        <v>250</v>
      </c>
      <c r="M1301" s="124">
        <v>0</v>
      </c>
      <c r="N1301" s="124" t="s">
        <v>250</v>
      </c>
      <c r="O1301" s="124">
        <v>1</v>
      </c>
      <c r="P1301" s="124">
        <v>0.48387045064980133</v>
      </c>
      <c r="Q1301" s="124">
        <v>0.51612954935019872</v>
      </c>
      <c r="R1301" s="124"/>
    </row>
    <row r="1302" spans="1:18" ht="15">
      <c r="A1302" s="105">
        <v>3</v>
      </c>
      <c r="B1302" s="105"/>
      <c r="C1302" s="107" t="s">
        <v>1047</v>
      </c>
      <c r="D1302" s="107" t="s">
        <v>735</v>
      </c>
      <c r="E1302" s="124">
        <v>1</v>
      </c>
      <c r="F1302" s="124" t="s">
        <v>250</v>
      </c>
      <c r="G1302" s="124">
        <v>0</v>
      </c>
      <c r="H1302" s="124" t="s">
        <v>250</v>
      </c>
      <c r="I1302" s="124">
        <v>1</v>
      </c>
      <c r="J1302" s="124">
        <v>0</v>
      </c>
      <c r="K1302" s="124" t="s">
        <v>250</v>
      </c>
      <c r="L1302" s="124" t="s">
        <v>250</v>
      </c>
      <c r="M1302" s="124">
        <v>0</v>
      </c>
      <c r="N1302" s="124" t="s">
        <v>250</v>
      </c>
      <c r="O1302" s="124">
        <v>0</v>
      </c>
      <c r="P1302" s="124">
        <v>0</v>
      </c>
      <c r="Q1302" s="124">
        <v>0</v>
      </c>
      <c r="R1302" s="124"/>
    </row>
    <row r="1303" spans="1:18" ht="15">
      <c r="A1303" s="105">
        <v>4</v>
      </c>
      <c r="B1303" s="105"/>
      <c r="C1303" s="107" t="s">
        <v>1048</v>
      </c>
      <c r="D1303" s="107" t="s">
        <v>1049</v>
      </c>
      <c r="E1303" s="124">
        <v>1</v>
      </c>
      <c r="F1303" s="124" t="s">
        <v>250</v>
      </c>
      <c r="G1303" s="124">
        <v>0.94059435240176192</v>
      </c>
      <c r="H1303" s="124" t="s">
        <v>250</v>
      </c>
      <c r="I1303" s="124">
        <v>4.5348402187935552E-2</v>
      </c>
      <c r="J1303" s="124">
        <v>1.4057245410302496E-2</v>
      </c>
      <c r="K1303" s="124" t="s">
        <v>250</v>
      </c>
      <c r="L1303" s="124" t="s">
        <v>250</v>
      </c>
      <c r="M1303" s="124">
        <v>0</v>
      </c>
      <c r="N1303" s="124" t="s">
        <v>250</v>
      </c>
      <c r="O1303" s="124">
        <v>1.4057245410302496E-2</v>
      </c>
      <c r="P1303" s="124">
        <v>6.8018856715779206E-3</v>
      </c>
      <c r="Q1303" s="124">
        <v>7.2553597387245766E-3</v>
      </c>
      <c r="R1303" s="124"/>
    </row>
    <row r="1304" spans="1:18" ht="15">
      <c r="A1304" s="105">
        <v>5</v>
      </c>
      <c r="B1304" s="105"/>
      <c r="C1304" s="107" t="s">
        <v>1050</v>
      </c>
      <c r="D1304" s="107" t="s">
        <v>726</v>
      </c>
      <c r="E1304" s="124">
        <v>1</v>
      </c>
      <c r="F1304" s="124" t="s">
        <v>250</v>
      </c>
      <c r="G1304" s="124">
        <v>0</v>
      </c>
      <c r="H1304" s="124" t="s">
        <v>250</v>
      </c>
      <c r="I1304" s="124">
        <v>1</v>
      </c>
      <c r="J1304" s="124">
        <v>0</v>
      </c>
      <c r="K1304" s="124" t="s">
        <v>250</v>
      </c>
      <c r="L1304" s="124" t="s">
        <v>250</v>
      </c>
      <c r="M1304" s="124">
        <v>0</v>
      </c>
      <c r="N1304" s="124" t="s">
        <v>250</v>
      </c>
      <c r="O1304" s="124">
        <v>0</v>
      </c>
      <c r="P1304" s="124">
        <v>0</v>
      </c>
      <c r="Q1304" s="124">
        <v>0</v>
      </c>
      <c r="R1304" s="124"/>
    </row>
    <row r="1305" spans="1:18" ht="15">
      <c r="A1305" s="105">
        <v>6</v>
      </c>
      <c r="B1305" s="105"/>
      <c r="C1305" s="107" t="s">
        <v>1051</v>
      </c>
      <c r="D1305" s="107" t="s">
        <v>1052</v>
      </c>
      <c r="E1305" s="124">
        <v>1</v>
      </c>
      <c r="F1305" s="124" t="s">
        <v>250</v>
      </c>
      <c r="G1305" s="124">
        <v>0.95400503530571878</v>
      </c>
      <c r="H1305" s="124" t="s">
        <v>250</v>
      </c>
      <c r="I1305" s="124">
        <v>4.5994964694281271E-2</v>
      </c>
      <c r="J1305" s="124">
        <v>0</v>
      </c>
      <c r="K1305" s="124" t="s">
        <v>250</v>
      </c>
      <c r="L1305" s="124" t="s">
        <v>250</v>
      </c>
      <c r="M1305" s="124">
        <v>0</v>
      </c>
      <c r="N1305" s="124" t="s">
        <v>250</v>
      </c>
      <c r="O1305" s="124">
        <v>0</v>
      </c>
      <c r="P1305" s="124">
        <v>0</v>
      </c>
      <c r="Q1305" s="124">
        <v>0</v>
      </c>
      <c r="R1305" s="124"/>
    </row>
    <row r="1306" spans="1:18" ht="15">
      <c r="A1306" s="105">
        <v>7</v>
      </c>
      <c r="B1306" s="105"/>
      <c r="C1306" s="107" t="s">
        <v>1053</v>
      </c>
      <c r="D1306" s="107" t="s">
        <v>746</v>
      </c>
      <c r="E1306" s="124">
        <v>1</v>
      </c>
      <c r="F1306" s="124" t="s">
        <v>250</v>
      </c>
      <c r="G1306" s="124">
        <v>0.99831546498914481</v>
      </c>
      <c r="H1306" s="124" t="s">
        <v>250</v>
      </c>
      <c r="I1306" s="124">
        <v>0</v>
      </c>
      <c r="J1306" s="124">
        <v>1.6845350108551942E-3</v>
      </c>
      <c r="K1306" s="124" t="s">
        <v>250</v>
      </c>
      <c r="L1306" s="124" t="s">
        <v>250</v>
      </c>
      <c r="M1306" s="124">
        <v>0</v>
      </c>
      <c r="N1306" s="124" t="s">
        <v>250</v>
      </c>
      <c r="O1306" s="124">
        <v>1.6845350108551942E-3</v>
      </c>
      <c r="P1306" s="124">
        <v>1.6717155391600934E-3</v>
      </c>
      <c r="Q1306" s="124">
        <v>1.2819471695100702E-5</v>
      </c>
      <c r="R1306" s="124"/>
    </row>
    <row r="1307" spans="1:18" ht="15">
      <c r="A1307" s="105">
        <v>8</v>
      </c>
      <c r="B1307" s="105"/>
      <c r="C1307" s="107" t="s">
        <v>1054</v>
      </c>
      <c r="D1307" s="107" t="s">
        <v>748</v>
      </c>
      <c r="E1307" s="124">
        <v>1</v>
      </c>
      <c r="F1307" s="124" t="s">
        <v>250</v>
      </c>
      <c r="G1307" s="124">
        <v>0</v>
      </c>
      <c r="H1307" s="124" t="s">
        <v>250</v>
      </c>
      <c r="I1307" s="124">
        <v>1</v>
      </c>
      <c r="J1307" s="124">
        <v>0</v>
      </c>
      <c r="K1307" s="124" t="s">
        <v>250</v>
      </c>
      <c r="L1307" s="124" t="s">
        <v>250</v>
      </c>
      <c r="M1307" s="124">
        <v>0</v>
      </c>
      <c r="N1307" s="124" t="s">
        <v>250</v>
      </c>
      <c r="O1307" s="124">
        <v>0</v>
      </c>
      <c r="P1307" s="124">
        <v>0</v>
      </c>
      <c r="Q1307" s="124">
        <v>0</v>
      </c>
      <c r="R1307" s="124"/>
    </row>
    <row r="1308" spans="1:18" ht="15">
      <c r="A1308" s="105">
        <v>9</v>
      </c>
      <c r="B1308" s="105"/>
      <c r="C1308" s="107" t="s">
        <v>1055</v>
      </c>
      <c r="D1308" s="107" t="s">
        <v>750</v>
      </c>
      <c r="E1308" s="124">
        <v>1</v>
      </c>
      <c r="F1308" s="124" t="s">
        <v>250</v>
      </c>
      <c r="G1308" s="124">
        <v>1</v>
      </c>
      <c r="H1308" s="124" t="s">
        <v>250</v>
      </c>
      <c r="I1308" s="124">
        <v>0</v>
      </c>
      <c r="J1308" s="124">
        <v>0</v>
      </c>
      <c r="K1308" s="124" t="s">
        <v>250</v>
      </c>
      <c r="L1308" s="124" t="s">
        <v>250</v>
      </c>
      <c r="M1308" s="124">
        <v>0</v>
      </c>
      <c r="N1308" s="124" t="s">
        <v>250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10</v>
      </c>
      <c r="B1309" s="105"/>
      <c r="C1309" s="107" t="s">
        <v>473</v>
      </c>
      <c r="D1309" s="107" t="s">
        <v>759</v>
      </c>
      <c r="E1309" s="124">
        <v>1</v>
      </c>
      <c r="F1309" s="124" t="s">
        <v>250</v>
      </c>
      <c r="G1309" s="124">
        <v>0.93790673014954262</v>
      </c>
      <c r="H1309" s="124" t="s">
        <v>250</v>
      </c>
      <c r="I1309" s="124">
        <v>4.8589590379252416E-2</v>
      </c>
      <c r="J1309" s="124">
        <v>1.3503679471205045E-2</v>
      </c>
      <c r="K1309" s="124" t="s">
        <v>250</v>
      </c>
      <c r="L1309" s="124" t="s">
        <v>250</v>
      </c>
      <c r="M1309" s="124">
        <v>0</v>
      </c>
      <c r="N1309" s="124" t="s">
        <v>250</v>
      </c>
      <c r="O1309" s="124">
        <v>1.3503679471205045E-2</v>
      </c>
      <c r="P1309" s="124">
        <v>7.1013912781079354E-3</v>
      </c>
      <c r="Q1309" s="124">
        <v>6.4022881930971094E-3</v>
      </c>
      <c r="R1309" s="124"/>
    </row>
    <row r="1310" spans="1:18" ht="15">
      <c r="A1310" s="105">
        <v>11</v>
      </c>
      <c r="B1310" s="105"/>
      <c r="C1310" s="107" t="s">
        <v>546</v>
      </c>
      <c r="D1310" s="107" t="s">
        <v>781</v>
      </c>
      <c r="E1310" s="124">
        <v>0.99999999999999989</v>
      </c>
      <c r="F1310" s="124" t="s">
        <v>250</v>
      </c>
      <c r="G1310" s="124">
        <v>0.93708826324620531</v>
      </c>
      <c r="H1310" s="124" t="s">
        <v>250</v>
      </c>
      <c r="I1310" s="124">
        <v>4.9500214667036226E-2</v>
      </c>
      <c r="J1310" s="124">
        <v>1.3411522086758363E-2</v>
      </c>
      <c r="K1310" s="124" t="s">
        <v>250</v>
      </c>
      <c r="L1310" s="124" t="s">
        <v>250</v>
      </c>
      <c r="M1310" s="124">
        <v>0</v>
      </c>
      <c r="N1310" s="124" t="s">
        <v>250</v>
      </c>
      <c r="O1310" s="124">
        <v>1.3411522086758363E-2</v>
      </c>
      <c r="P1310" s="124">
        <v>7.0538354020464582E-3</v>
      </c>
      <c r="Q1310" s="124">
        <v>6.3576866847119056E-3</v>
      </c>
      <c r="R1310" s="124"/>
    </row>
    <row r="1311" spans="1:18" ht="15">
      <c r="A1311" s="105">
        <v>12</v>
      </c>
      <c r="B1311" s="105"/>
      <c r="C1311" s="107" t="s">
        <v>1056</v>
      </c>
      <c r="D1311" s="107" t="s">
        <v>785</v>
      </c>
      <c r="E1311" s="124">
        <v>1</v>
      </c>
      <c r="F1311" s="124" t="s">
        <v>250</v>
      </c>
      <c r="G1311" s="124">
        <v>0</v>
      </c>
      <c r="H1311" s="124" t="s">
        <v>250</v>
      </c>
      <c r="I1311" s="124">
        <v>0</v>
      </c>
      <c r="J1311" s="124">
        <v>1</v>
      </c>
      <c r="K1311" s="124" t="s">
        <v>250</v>
      </c>
      <c r="L1311" s="124" t="s">
        <v>250</v>
      </c>
      <c r="M1311" s="124">
        <v>0</v>
      </c>
      <c r="N1311" s="124" t="s">
        <v>250</v>
      </c>
      <c r="O1311" s="124">
        <v>1</v>
      </c>
      <c r="P1311" s="124">
        <v>0.50725595605299489</v>
      </c>
      <c r="Q1311" s="124">
        <v>0.49274404394700511</v>
      </c>
      <c r="R1311" s="124"/>
    </row>
    <row r="1312" spans="1:18" ht="15">
      <c r="A1312" s="105">
        <v>13</v>
      </c>
      <c r="B1312" s="105"/>
      <c r="C1312" s="107" t="s">
        <v>1152</v>
      </c>
      <c r="D1312" s="107" t="s">
        <v>1058</v>
      </c>
      <c r="E1312" s="124">
        <v>1</v>
      </c>
      <c r="F1312" s="124" t="s">
        <v>250</v>
      </c>
      <c r="G1312" s="124">
        <v>0.93924755151319894</v>
      </c>
      <c r="H1312" s="124" t="s">
        <v>250</v>
      </c>
      <c r="I1312" s="124">
        <v>4.663217557764094E-2</v>
      </c>
      <c r="J1312" s="124">
        <v>1.4120272909160079E-2</v>
      </c>
      <c r="K1312" s="124" t="s">
        <v>250</v>
      </c>
      <c r="L1312" s="124" t="s">
        <v>250</v>
      </c>
      <c r="M1312" s="124">
        <v>0</v>
      </c>
      <c r="N1312" s="124" t="s">
        <v>250</v>
      </c>
      <c r="O1312" s="124">
        <v>1.4120272909160079E-2</v>
      </c>
      <c r="P1312" s="124">
        <v>7.382238126134145E-3</v>
      </c>
      <c r="Q1312" s="124">
        <v>6.7380347830259335E-3</v>
      </c>
      <c r="R1312" s="124"/>
    </row>
    <row r="1313" spans="1:18" ht="15">
      <c r="A1313" s="105">
        <v>14</v>
      </c>
      <c r="B1313" s="105"/>
      <c r="C1313" s="107" t="s">
        <v>1059</v>
      </c>
      <c r="D1313" s="107" t="s">
        <v>1060</v>
      </c>
      <c r="E1313" s="124">
        <v>0.99999999999999989</v>
      </c>
      <c r="F1313" s="124" t="s">
        <v>250</v>
      </c>
      <c r="G1313" s="124">
        <v>0.94094427023244587</v>
      </c>
      <c r="H1313" s="124" t="s">
        <v>250</v>
      </c>
      <c r="I1313" s="124">
        <v>3.860873842395518E-2</v>
      </c>
      <c r="J1313" s="124">
        <v>2.0446991343598855E-2</v>
      </c>
      <c r="K1313" s="124" t="s">
        <v>250</v>
      </c>
      <c r="L1313" s="124" t="s">
        <v>250</v>
      </c>
      <c r="M1313" s="124">
        <v>0</v>
      </c>
      <c r="N1313" s="124" t="s">
        <v>250</v>
      </c>
      <c r="O1313" s="124">
        <v>2.0446991343598855E-2</v>
      </c>
      <c r="P1313" s="124">
        <v>1.0480020419607857E-2</v>
      </c>
      <c r="Q1313" s="124">
        <v>9.9669709239910004E-3</v>
      </c>
      <c r="R1313" s="124"/>
    </row>
    <row r="1314" spans="1:18" ht="15">
      <c r="A1314" s="105">
        <v>15</v>
      </c>
      <c r="B1314" s="105"/>
      <c r="C1314" s="107" t="s">
        <v>1061</v>
      </c>
      <c r="D1314" s="107" t="s">
        <v>1062</v>
      </c>
      <c r="E1314" s="124">
        <v>1</v>
      </c>
      <c r="F1314" s="124" t="s">
        <v>250</v>
      </c>
      <c r="G1314" s="124">
        <v>0.9323882690461015</v>
      </c>
      <c r="H1314" s="124" t="s">
        <v>250</v>
      </c>
      <c r="I1314" s="124">
        <v>4.4290715066545375E-2</v>
      </c>
      <c r="J1314" s="124">
        <v>2.3321015887353188E-2</v>
      </c>
      <c r="K1314" s="124" t="s">
        <v>250</v>
      </c>
      <c r="L1314" s="124" t="s">
        <v>250</v>
      </c>
      <c r="M1314" s="124">
        <v>0</v>
      </c>
      <c r="N1314" s="124" t="s">
        <v>250</v>
      </c>
      <c r="O1314" s="124">
        <v>2.3321015887353188E-2</v>
      </c>
      <c r="P1314" s="124">
        <v>1.1944079184120998E-2</v>
      </c>
      <c r="Q1314" s="124">
        <v>1.137693670323219E-2</v>
      </c>
      <c r="R1314" s="124"/>
    </row>
    <row r="1315" spans="1:18" ht="15">
      <c r="A1315" s="105">
        <v>16</v>
      </c>
      <c r="B1315" s="105"/>
      <c r="C1315" s="107" t="s">
        <v>1063</v>
      </c>
      <c r="D1315" s="107" t="s">
        <v>1064</v>
      </c>
      <c r="E1315" s="124">
        <v>0.99999999999999989</v>
      </c>
      <c r="F1315" s="124" t="s">
        <v>250</v>
      </c>
      <c r="G1315" s="124">
        <v>0.93758912617191703</v>
      </c>
      <c r="H1315" s="124" t="s">
        <v>250</v>
      </c>
      <c r="I1315" s="124">
        <v>4.246748224137533E-2</v>
      </c>
      <c r="J1315" s="124">
        <v>1.9943391586707548E-2</v>
      </c>
      <c r="K1315" s="124" t="s">
        <v>250</v>
      </c>
      <c r="L1315" s="124" t="s">
        <v>250</v>
      </c>
      <c r="M1315" s="124">
        <v>0</v>
      </c>
      <c r="N1315" s="124" t="s">
        <v>250</v>
      </c>
      <c r="O1315" s="124">
        <v>1.9943391586707548E-2</v>
      </c>
      <c r="P1315" s="124">
        <v>1.0116404166254594E-2</v>
      </c>
      <c r="Q1315" s="124">
        <v>9.826987420452956E-3</v>
      </c>
      <c r="R1315" s="124"/>
    </row>
    <row r="1316" spans="1:18" ht="15">
      <c r="A1316" s="105">
        <v>17</v>
      </c>
      <c r="B1316" s="105"/>
      <c r="C1316" s="107" t="s">
        <v>1065</v>
      </c>
      <c r="D1316" s="107" t="s">
        <v>1066</v>
      </c>
      <c r="E1316" s="124">
        <v>1</v>
      </c>
      <c r="F1316" s="124" t="s">
        <v>250</v>
      </c>
      <c r="G1316" s="124">
        <v>0.93850514008784802</v>
      </c>
      <c r="H1316" s="124" t="s">
        <v>250</v>
      </c>
      <c r="I1316" s="124">
        <v>4.1463354324047519E-2</v>
      </c>
      <c r="J1316" s="124">
        <v>2.0031505588104355E-2</v>
      </c>
      <c r="K1316" s="124" t="s">
        <v>250</v>
      </c>
      <c r="L1316" s="124" t="s">
        <v>250</v>
      </c>
      <c r="M1316" s="124">
        <v>0</v>
      </c>
      <c r="N1316" s="124" t="s">
        <v>250</v>
      </c>
      <c r="O1316" s="124">
        <v>2.0031505588104355E-2</v>
      </c>
      <c r="P1316" s="124">
        <v>1.0187581249991421E-2</v>
      </c>
      <c r="Q1316" s="124">
        <v>9.8439243381129356E-3</v>
      </c>
      <c r="R1316" s="124"/>
    </row>
    <row r="1317" spans="1:18" ht="15">
      <c r="A1317" s="105">
        <v>18</v>
      </c>
      <c r="B1317" s="105"/>
      <c r="C1317" s="107" t="s">
        <v>1067</v>
      </c>
      <c r="D1317" s="107" t="s">
        <v>1068</v>
      </c>
      <c r="E1317" s="124">
        <v>1</v>
      </c>
      <c r="F1317" s="124" t="s">
        <v>250</v>
      </c>
      <c r="G1317" s="124">
        <v>0.94180012214446118</v>
      </c>
      <c r="H1317" s="124" t="s">
        <v>250</v>
      </c>
      <c r="I1317" s="124">
        <v>3.7849029113270288E-2</v>
      </c>
      <c r="J1317" s="124">
        <v>2.0350848742268633E-2</v>
      </c>
      <c r="K1317" s="124" t="s">
        <v>250</v>
      </c>
      <c r="L1317" s="124" t="s">
        <v>250</v>
      </c>
      <c r="M1317" s="124">
        <v>0</v>
      </c>
      <c r="N1317" s="124" t="s">
        <v>250</v>
      </c>
      <c r="O1317" s="124">
        <v>2.0350848742268633E-2</v>
      </c>
      <c r="P1317" s="124">
        <v>1.0444867243812691E-2</v>
      </c>
      <c r="Q1317" s="124">
        <v>9.9059814984559444E-3</v>
      </c>
      <c r="R1317" s="124"/>
    </row>
    <row r="1318" spans="1:18" ht="15">
      <c r="A1318" s="105">
        <v>19</v>
      </c>
      <c r="B1318" s="105"/>
      <c r="C1318" s="107" t="s">
        <v>1069</v>
      </c>
      <c r="D1318" s="107" t="s">
        <v>1070</v>
      </c>
      <c r="E1318" s="124">
        <v>1</v>
      </c>
      <c r="F1318" s="124" t="s">
        <v>250</v>
      </c>
      <c r="G1318" s="124">
        <v>0.90403204680637572</v>
      </c>
      <c r="H1318" s="124" t="s">
        <v>250</v>
      </c>
      <c r="I1318" s="124">
        <v>6.4809436827994463E-2</v>
      </c>
      <c r="J1318" s="124">
        <v>3.1158516365629867E-2</v>
      </c>
      <c r="K1318" s="124" t="s">
        <v>250</v>
      </c>
      <c r="L1318" s="124" t="s">
        <v>250</v>
      </c>
      <c r="M1318" s="124">
        <v>0</v>
      </c>
      <c r="N1318" s="124" t="s">
        <v>250</v>
      </c>
      <c r="O1318" s="124">
        <v>3.1158516365629867E-2</v>
      </c>
      <c r="P1318" s="124">
        <v>1.5805343008240467E-2</v>
      </c>
      <c r="Q1318" s="124">
        <v>1.5353173357389401E-2</v>
      </c>
      <c r="R1318" s="124"/>
    </row>
    <row r="1319" spans="1:18" ht="15">
      <c r="A1319" s="105">
        <v>20</v>
      </c>
      <c r="B1319" s="105"/>
      <c r="C1319" s="107" t="s">
        <v>1153</v>
      </c>
      <c r="D1319" s="107" t="s">
        <v>1072</v>
      </c>
      <c r="E1319" s="124">
        <v>0</v>
      </c>
      <c r="F1319" s="124" t="s">
        <v>250</v>
      </c>
      <c r="G1319" s="124">
        <v>0</v>
      </c>
      <c r="H1319" s="124" t="s">
        <v>250</v>
      </c>
      <c r="I1319" s="124">
        <v>0</v>
      </c>
      <c r="J1319" s="124">
        <v>0</v>
      </c>
      <c r="K1319" s="124" t="s">
        <v>250</v>
      </c>
      <c r="L1319" s="124" t="s">
        <v>250</v>
      </c>
      <c r="M1319" s="124">
        <v>0</v>
      </c>
      <c r="N1319" s="124" t="s">
        <v>250</v>
      </c>
      <c r="O1319" s="124">
        <v>0</v>
      </c>
      <c r="P1319" s="124">
        <v>0</v>
      </c>
      <c r="Q1319" s="124">
        <v>0</v>
      </c>
      <c r="R1319" s="124"/>
    </row>
    <row r="1320" spans="1:18" ht="15">
      <c r="A1320" s="105">
        <v>21</v>
      </c>
      <c r="B1320" s="105"/>
      <c r="C1320" s="107" t="s">
        <v>1154</v>
      </c>
      <c r="D1320" s="107" t="s">
        <v>1074</v>
      </c>
      <c r="E1320" s="124">
        <v>0</v>
      </c>
      <c r="F1320" s="124" t="s">
        <v>250</v>
      </c>
      <c r="G1320" s="124">
        <v>0</v>
      </c>
      <c r="H1320" s="124" t="s">
        <v>250</v>
      </c>
      <c r="I1320" s="124">
        <v>0</v>
      </c>
      <c r="J1320" s="124">
        <v>0</v>
      </c>
      <c r="K1320" s="124" t="s">
        <v>250</v>
      </c>
      <c r="L1320" s="124" t="s">
        <v>250</v>
      </c>
      <c r="M1320" s="124">
        <v>0</v>
      </c>
      <c r="N1320" s="124" t="s">
        <v>250</v>
      </c>
      <c r="O1320" s="124">
        <v>0</v>
      </c>
      <c r="P1320" s="124">
        <v>0</v>
      </c>
      <c r="Q1320" s="124">
        <v>0</v>
      </c>
      <c r="R1320" s="124"/>
    </row>
    <row r="1321" spans="1:18" ht="15">
      <c r="A1321" s="105">
        <v>22</v>
      </c>
      <c r="B1321" s="105"/>
      <c r="C1321" s="107" t="s">
        <v>1155</v>
      </c>
      <c r="D1321" s="107" t="s">
        <v>1076</v>
      </c>
      <c r="E1321" s="124">
        <v>0</v>
      </c>
      <c r="F1321" s="124" t="s">
        <v>250</v>
      </c>
      <c r="G1321" s="124">
        <v>0</v>
      </c>
      <c r="H1321" s="124" t="s">
        <v>250</v>
      </c>
      <c r="I1321" s="124">
        <v>0</v>
      </c>
      <c r="J1321" s="124">
        <v>0</v>
      </c>
      <c r="K1321" s="124" t="s">
        <v>250</v>
      </c>
      <c r="L1321" s="124" t="s">
        <v>250</v>
      </c>
      <c r="M1321" s="124">
        <v>0</v>
      </c>
      <c r="N1321" s="124" t="s">
        <v>250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23</v>
      </c>
      <c r="B1322" s="105"/>
      <c r="C1322" s="107" t="s">
        <v>1156</v>
      </c>
      <c r="D1322" s="107" t="s">
        <v>1078</v>
      </c>
      <c r="E1322" s="124">
        <v>0</v>
      </c>
      <c r="F1322" s="124" t="s">
        <v>250</v>
      </c>
      <c r="G1322" s="124">
        <v>0</v>
      </c>
      <c r="H1322" s="124" t="s">
        <v>250</v>
      </c>
      <c r="I1322" s="124">
        <v>0</v>
      </c>
      <c r="J1322" s="124">
        <v>0</v>
      </c>
      <c r="K1322" s="124" t="s">
        <v>250</v>
      </c>
      <c r="L1322" s="124" t="s">
        <v>250</v>
      </c>
      <c r="M1322" s="124">
        <v>0</v>
      </c>
      <c r="N1322" s="124" t="s">
        <v>250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24</v>
      </c>
      <c r="B1323" s="105"/>
      <c r="C1323" s="107" t="s">
        <v>1157</v>
      </c>
      <c r="D1323" s="107" t="s">
        <v>1080</v>
      </c>
      <c r="E1323" s="124">
        <v>0</v>
      </c>
      <c r="F1323" s="124" t="s">
        <v>250</v>
      </c>
      <c r="G1323" s="124">
        <v>0</v>
      </c>
      <c r="H1323" s="124" t="s">
        <v>250</v>
      </c>
      <c r="I1323" s="124">
        <v>0</v>
      </c>
      <c r="J1323" s="124">
        <v>0</v>
      </c>
      <c r="K1323" s="124" t="s">
        <v>250</v>
      </c>
      <c r="L1323" s="124" t="s">
        <v>250</v>
      </c>
      <c r="M1323" s="124">
        <v>0</v>
      </c>
      <c r="N1323" s="124" t="s">
        <v>250</v>
      </c>
      <c r="O1323" s="124">
        <v>0</v>
      </c>
      <c r="P1323" s="124">
        <v>0</v>
      </c>
      <c r="Q1323" s="124">
        <v>0</v>
      </c>
      <c r="R1323" s="124"/>
    </row>
    <row r="1324" spans="1:18" ht="15">
      <c r="A1324" s="105">
        <v>25</v>
      </c>
      <c r="B1324" s="105"/>
      <c r="C1324" s="107" t="s">
        <v>1158</v>
      </c>
      <c r="D1324" s="107" t="s">
        <v>1082</v>
      </c>
      <c r="E1324" s="124">
        <v>0</v>
      </c>
      <c r="F1324" s="124" t="s">
        <v>250</v>
      </c>
      <c r="G1324" s="124">
        <v>0</v>
      </c>
      <c r="H1324" s="124" t="s">
        <v>250</v>
      </c>
      <c r="I1324" s="124">
        <v>0</v>
      </c>
      <c r="J1324" s="124">
        <v>0</v>
      </c>
      <c r="K1324" s="124" t="s">
        <v>250</v>
      </c>
      <c r="L1324" s="124" t="s">
        <v>250</v>
      </c>
      <c r="M1324" s="124">
        <v>0</v>
      </c>
      <c r="N1324" s="124" t="s">
        <v>250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26</v>
      </c>
      <c r="B1325" s="105"/>
      <c r="C1325" s="107" t="s">
        <v>1083</v>
      </c>
      <c r="D1325" s="107" t="s">
        <v>1084</v>
      </c>
      <c r="E1325" s="124">
        <v>1</v>
      </c>
      <c r="F1325" s="124" t="s">
        <v>250</v>
      </c>
      <c r="G1325" s="124">
        <v>0.90200026360308505</v>
      </c>
      <c r="H1325" s="124" t="s">
        <v>250</v>
      </c>
      <c r="I1325" s="124">
        <v>9.7999736396914922E-2</v>
      </c>
      <c r="J1325" s="124">
        <v>0</v>
      </c>
      <c r="K1325" s="124" t="s">
        <v>250</v>
      </c>
      <c r="L1325" s="124" t="s">
        <v>250</v>
      </c>
      <c r="M1325" s="124">
        <v>0</v>
      </c>
      <c r="N1325" s="124" t="s">
        <v>250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27</v>
      </c>
      <c r="B1326" s="105"/>
      <c r="C1326" s="107" t="s">
        <v>1085</v>
      </c>
      <c r="D1326" s="107" t="s">
        <v>1086</v>
      </c>
      <c r="E1326" s="124">
        <v>1</v>
      </c>
      <c r="F1326" s="124" t="s">
        <v>250</v>
      </c>
      <c r="G1326" s="124">
        <v>0.90234017575397873</v>
      </c>
      <c r="H1326" s="124" t="s">
        <v>250</v>
      </c>
      <c r="I1326" s="124">
        <v>9.7659824246021321E-2</v>
      </c>
      <c r="J1326" s="124">
        <v>0</v>
      </c>
      <c r="K1326" s="124" t="s">
        <v>250</v>
      </c>
      <c r="L1326" s="124" t="s">
        <v>250</v>
      </c>
      <c r="M1326" s="124">
        <v>0</v>
      </c>
      <c r="N1326" s="124" t="s">
        <v>250</v>
      </c>
      <c r="O1326" s="124">
        <v>0</v>
      </c>
      <c r="P1326" s="124">
        <v>0</v>
      </c>
      <c r="Q1326" s="124">
        <v>0</v>
      </c>
      <c r="R1326" s="124"/>
    </row>
    <row r="1327" spans="1:18" ht="15">
      <c r="A1327" s="105">
        <v>28</v>
      </c>
      <c r="B1327" s="105"/>
      <c r="C1327" s="107" t="s">
        <v>1087</v>
      </c>
      <c r="D1327" s="107" t="s">
        <v>634</v>
      </c>
      <c r="E1327" s="124">
        <v>1</v>
      </c>
      <c r="F1327" s="124" t="s">
        <v>250</v>
      </c>
      <c r="G1327" s="124">
        <v>0.90200026360308505</v>
      </c>
      <c r="H1327" s="124" t="s">
        <v>250</v>
      </c>
      <c r="I1327" s="124">
        <v>9.7999736396914908E-2</v>
      </c>
      <c r="J1327" s="124">
        <v>0</v>
      </c>
      <c r="K1327" s="124" t="s">
        <v>250</v>
      </c>
      <c r="L1327" s="124" t="s">
        <v>250</v>
      </c>
      <c r="M1327" s="124">
        <v>0</v>
      </c>
      <c r="N1327" s="124" t="s">
        <v>250</v>
      </c>
      <c r="O1327" s="124">
        <v>0</v>
      </c>
      <c r="P1327" s="124">
        <v>0</v>
      </c>
      <c r="Q1327" s="124">
        <v>0</v>
      </c>
      <c r="R1327" s="124"/>
    </row>
    <row r="1328" spans="1:18" ht="15">
      <c r="A1328" s="105">
        <v>29</v>
      </c>
      <c r="B1328" s="105"/>
      <c r="C1328" s="107" t="s">
        <v>1088</v>
      </c>
      <c r="D1328" s="107" t="s">
        <v>1089</v>
      </c>
      <c r="E1328" s="124">
        <v>0</v>
      </c>
      <c r="F1328" s="124" t="s">
        <v>250</v>
      </c>
      <c r="G1328" s="124">
        <v>0</v>
      </c>
      <c r="H1328" s="124" t="s">
        <v>250</v>
      </c>
      <c r="I1328" s="124">
        <v>0</v>
      </c>
      <c r="J1328" s="124">
        <v>0</v>
      </c>
      <c r="K1328" s="124" t="s">
        <v>250</v>
      </c>
      <c r="L1328" s="124" t="s">
        <v>250</v>
      </c>
      <c r="M1328" s="124">
        <v>0</v>
      </c>
      <c r="N1328" s="124" t="s">
        <v>250</v>
      </c>
      <c r="O1328" s="124">
        <v>0</v>
      </c>
      <c r="P1328" s="124">
        <v>0</v>
      </c>
      <c r="Q1328" s="124">
        <v>0</v>
      </c>
      <c r="R1328" s="124"/>
    </row>
    <row r="1329" spans="1:18" ht="15">
      <c r="A1329" s="105">
        <v>30</v>
      </c>
      <c r="B1329" s="105"/>
      <c r="C1329" s="107" t="s">
        <v>1090</v>
      </c>
      <c r="D1329" s="107" t="s">
        <v>1091</v>
      </c>
      <c r="E1329" s="124">
        <v>0.99999999999999989</v>
      </c>
      <c r="F1329" s="124" t="s">
        <v>250</v>
      </c>
      <c r="G1329" s="124">
        <v>0.94749315118496691</v>
      </c>
      <c r="H1329" s="124" t="s">
        <v>250</v>
      </c>
      <c r="I1329" s="124">
        <v>5.1004013059019269E-2</v>
      </c>
      <c r="J1329" s="124">
        <v>1.5028357560137534E-3</v>
      </c>
      <c r="K1329" s="124" t="s">
        <v>250</v>
      </c>
      <c r="L1329" s="124" t="s">
        <v>250</v>
      </c>
      <c r="M1329" s="124">
        <v>0</v>
      </c>
      <c r="N1329" s="124" t="s">
        <v>250</v>
      </c>
      <c r="O1329" s="124">
        <v>1.5028357560137534E-3</v>
      </c>
      <c r="P1329" s="124">
        <v>1.3790719400864394E-3</v>
      </c>
      <c r="Q1329" s="124">
        <v>1.2376381592731412E-4</v>
      </c>
      <c r="R1329" s="124"/>
    </row>
    <row r="1330" spans="1:18" ht="15">
      <c r="A1330" s="105">
        <v>31</v>
      </c>
      <c r="B1330" s="105"/>
      <c r="C1330" s="107" t="s">
        <v>1092</v>
      </c>
      <c r="D1330" s="107" t="s">
        <v>1093</v>
      </c>
      <c r="E1330" s="124">
        <v>1</v>
      </c>
      <c r="F1330" s="124" t="s">
        <v>250</v>
      </c>
      <c r="G1330" s="124">
        <v>0.94266363179266044</v>
      </c>
      <c r="H1330" s="124" t="s">
        <v>250</v>
      </c>
      <c r="I1330" s="124">
        <v>5.6842198465257121E-2</v>
      </c>
      <c r="J1330" s="124">
        <v>4.9416974208233832E-4</v>
      </c>
      <c r="K1330" s="124" t="s">
        <v>250</v>
      </c>
      <c r="L1330" s="124" t="s">
        <v>250</v>
      </c>
      <c r="M1330" s="124">
        <v>0</v>
      </c>
      <c r="N1330" s="124" t="s">
        <v>250</v>
      </c>
      <c r="O1330" s="124">
        <v>4.9416974208233832E-4</v>
      </c>
      <c r="P1330" s="124">
        <v>4.9401034388063449E-4</v>
      </c>
      <c r="Q1330" s="124">
        <v>1.5939820170381934E-7</v>
      </c>
      <c r="R1330" s="124"/>
    </row>
    <row r="1331" spans="1:18" ht="15">
      <c r="A1331" s="105">
        <v>32</v>
      </c>
      <c r="B1331" s="105"/>
      <c r="C1331" s="107" t="s">
        <v>1094</v>
      </c>
      <c r="D1331" s="107" t="s">
        <v>1095</v>
      </c>
      <c r="E1331" s="124">
        <v>1</v>
      </c>
      <c r="F1331" s="124" t="s">
        <v>250</v>
      </c>
      <c r="G1331" s="124">
        <v>0.95110389252677185</v>
      </c>
      <c r="H1331" s="124" t="s">
        <v>250</v>
      </c>
      <c r="I1331" s="124">
        <v>4.7291318730895655E-2</v>
      </c>
      <c r="J1331" s="124">
        <v>1.6047887423324937E-3</v>
      </c>
      <c r="K1331" s="124" t="s">
        <v>250</v>
      </c>
      <c r="L1331" s="124" t="s">
        <v>250</v>
      </c>
      <c r="M1331" s="124">
        <v>0</v>
      </c>
      <c r="N1331" s="124" t="s">
        <v>250</v>
      </c>
      <c r="O1331" s="124">
        <v>1.6047887423324937E-3</v>
      </c>
      <c r="P1331" s="124">
        <v>1.5925761473277135E-3</v>
      </c>
      <c r="Q1331" s="124">
        <v>1.221259500478029E-5</v>
      </c>
      <c r="R1331" s="124"/>
    </row>
    <row r="1332" spans="1:18" ht="15">
      <c r="A1332" s="105">
        <v>33</v>
      </c>
      <c r="B1332" s="105"/>
      <c r="C1332" s="107" t="s">
        <v>1096</v>
      </c>
      <c r="D1332" s="107" t="s">
        <v>1097</v>
      </c>
      <c r="E1332" s="124">
        <v>0</v>
      </c>
      <c r="F1332" s="124" t="s">
        <v>250</v>
      </c>
      <c r="G1332" s="124">
        <v>0</v>
      </c>
      <c r="H1332" s="124" t="s">
        <v>250</v>
      </c>
      <c r="I1332" s="124">
        <v>0</v>
      </c>
      <c r="J1332" s="124">
        <v>0</v>
      </c>
      <c r="K1332" s="124" t="s">
        <v>250</v>
      </c>
      <c r="L1332" s="124" t="s">
        <v>250</v>
      </c>
      <c r="M1332" s="124">
        <v>0</v>
      </c>
      <c r="N1332" s="124" t="s">
        <v>250</v>
      </c>
      <c r="O1332" s="124">
        <v>0</v>
      </c>
      <c r="P1332" s="124">
        <v>0</v>
      </c>
      <c r="Q1332" s="124">
        <v>0</v>
      </c>
      <c r="R1332" s="124"/>
    </row>
    <row r="1333" spans="1:18" ht="15">
      <c r="A1333" s="105">
        <v>34</v>
      </c>
      <c r="B1333" s="105"/>
      <c r="C1333" s="107" t="s">
        <v>1098</v>
      </c>
      <c r="D1333" s="107" t="s">
        <v>882</v>
      </c>
      <c r="E1333" s="124">
        <v>1</v>
      </c>
      <c r="F1333" s="124" t="s">
        <v>250</v>
      </c>
      <c r="G1333" s="124">
        <v>0.9509900206560824</v>
      </c>
      <c r="H1333" s="124" t="s">
        <v>250</v>
      </c>
      <c r="I1333" s="124">
        <v>4.860700841362544E-2</v>
      </c>
      <c r="J1333" s="124">
        <v>4.0297093029219061E-4</v>
      </c>
      <c r="K1333" s="124" t="s">
        <v>250</v>
      </c>
      <c r="L1333" s="124" t="s">
        <v>250</v>
      </c>
      <c r="M1333" s="124">
        <v>0</v>
      </c>
      <c r="N1333" s="124" t="s">
        <v>250</v>
      </c>
      <c r="O1333" s="124">
        <v>4.0297093029219061E-4</v>
      </c>
      <c r="P1333" s="124">
        <v>1.6118837211687626E-4</v>
      </c>
      <c r="Q1333" s="124">
        <v>2.4178255817531438E-4</v>
      </c>
      <c r="R1333" s="124"/>
    </row>
    <row r="1334" spans="1:18" ht="15">
      <c r="A1334" s="105">
        <v>35</v>
      </c>
      <c r="B1334" s="105"/>
      <c r="C1334" s="107" t="s">
        <v>1099</v>
      </c>
      <c r="D1334" s="107" t="s">
        <v>684</v>
      </c>
      <c r="E1334" s="124">
        <v>1</v>
      </c>
      <c r="F1334" s="124" t="s">
        <v>250</v>
      </c>
      <c r="G1334" s="124">
        <v>0.9509900206560824</v>
      </c>
      <c r="H1334" s="124" t="s">
        <v>250</v>
      </c>
      <c r="I1334" s="124">
        <v>4.860700841362544E-2</v>
      </c>
      <c r="J1334" s="124">
        <v>4.0297093029219061E-4</v>
      </c>
      <c r="K1334" s="124" t="s">
        <v>250</v>
      </c>
      <c r="L1334" s="124" t="s">
        <v>250</v>
      </c>
      <c r="M1334" s="124">
        <v>0</v>
      </c>
      <c r="N1334" s="124" t="s">
        <v>250</v>
      </c>
      <c r="O1334" s="124">
        <v>4.0297093029219061E-4</v>
      </c>
      <c r="P1334" s="124">
        <v>1.6118837211687626E-4</v>
      </c>
      <c r="Q1334" s="124">
        <v>2.4178255817531438E-4</v>
      </c>
      <c r="R1334" s="124"/>
    </row>
    <row r="1335" spans="1:18" ht="15">
      <c r="A1335" s="105">
        <v>36</v>
      </c>
      <c r="B1335" s="105"/>
      <c r="C1335" s="107" t="s">
        <v>1159</v>
      </c>
      <c r="D1335" s="107" t="s">
        <v>890</v>
      </c>
      <c r="E1335" s="124">
        <v>1</v>
      </c>
      <c r="F1335" s="124" t="s">
        <v>250</v>
      </c>
      <c r="G1335" s="124">
        <v>0.98714606072532629</v>
      </c>
      <c r="H1335" s="124" t="s">
        <v>250</v>
      </c>
      <c r="I1335" s="124">
        <v>1.2853939274673765E-2</v>
      </c>
      <c r="J1335" s="124">
        <v>0</v>
      </c>
      <c r="K1335" s="124" t="s">
        <v>250</v>
      </c>
      <c r="L1335" s="124" t="s">
        <v>250</v>
      </c>
      <c r="M1335" s="124">
        <v>0</v>
      </c>
      <c r="N1335" s="124" t="s">
        <v>250</v>
      </c>
      <c r="O1335" s="124">
        <v>0</v>
      </c>
      <c r="P1335" s="124">
        <v>0</v>
      </c>
      <c r="Q1335" s="124">
        <v>0</v>
      </c>
      <c r="R1335" s="124"/>
    </row>
    <row r="1336" spans="1:18" ht="15">
      <c r="A1336" s="105">
        <v>37</v>
      </c>
      <c r="B1336" s="105"/>
      <c r="C1336" s="107" t="s">
        <v>1101</v>
      </c>
      <c r="D1336" s="107" t="s">
        <v>1102</v>
      </c>
      <c r="E1336" s="124">
        <v>1</v>
      </c>
      <c r="F1336" s="124" t="s">
        <v>250</v>
      </c>
      <c r="G1336" s="124">
        <v>0.9509900206560824</v>
      </c>
      <c r="H1336" s="124" t="s">
        <v>250</v>
      </c>
      <c r="I1336" s="124">
        <v>4.860700841362544E-2</v>
      </c>
      <c r="J1336" s="124">
        <v>4.0297093029219061E-4</v>
      </c>
      <c r="K1336" s="124" t="s">
        <v>250</v>
      </c>
      <c r="L1336" s="124" t="s">
        <v>250</v>
      </c>
      <c r="M1336" s="124">
        <v>0</v>
      </c>
      <c r="N1336" s="124" t="s">
        <v>250</v>
      </c>
      <c r="O1336" s="124">
        <v>4.0297093029219061E-4</v>
      </c>
      <c r="P1336" s="124">
        <v>1.6118837211687626E-4</v>
      </c>
      <c r="Q1336" s="124">
        <v>2.4178255817531438E-4</v>
      </c>
      <c r="R1336" s="124"/>
    </row>
    <row r="1337" spans="1:18" ht="15">
      <c r="A1337" s="105">
        <v>38</v>
      </c>
      <c r="B1337" s="105"/>
      <c r="C1337" s="107" t="s">
        <v>1103</v>
      </c>
      <c r="D1337" s="107" t="s">
        <v>1104</v>
      </c>
      <c r="E1337" s="124">
        <v>1</v>
      </c>
      <c r="F1337" s="124" t="s">
        <v>250</v>
      </c>
      <c r="G1337" s="124">
        <v>0.95002957946807309</v>
      </c>
      <c r="H1337" s="124" t="s">
        <v>250</v>
      </c>
      <c r="I1337" s="124">
        <v>4.9970420531926941E-2</v>
      </c>
      <c r="J1337" s="124">
        <v>0</v>
      </c>
      <c r="K1337" s="124" t="s">
        <v>250</v>
      </c>
      <c r="L1337" s="124" t="s">
        <v>250</v>
      </c>
      <c r="M1337" s="124">
        <v>0</v>
      </c>
      <c r="N1337" s="124" t="s">
        <v>250</v>
      </c>
      <c r="O1337" s="124">
        <v>0</v>
      </c>
      <c r="P1337" s="124">
        <v>0</v>
      </c>
      <c r="Q1337" s="124">
        <v>0</v>
      </c>
      <c r="R1337" s="124"/>
    </row>
    <row r="1338" spans="1:18" ht="15">
      <c r="A1338" s="105">
        <v>39</v>
      </c>
      <c r="B1338" s="105"/>
      <c r="C1338" s="107" t="s">
        <v>1105</v>
      </c>
      <c r="D1338" s="107" t="s">
        <v>696</v>
      </c>
      <c r="E1338" s="124">
        <v>0.99999999999999989</v>
      </c>
      <c r="F1338" s="124" t="s">
        <v>250</v>
      </c>
      <c r="G1338" s="124">
        <v>0.98714606072532618</v>
      </c>
      <c r="H1338" s="124" t="s">
        <v>250</v>
      </c>
      <c r="I1338" s="124">
        <v>1.2853939274673763E-2</v>
      </c>
      <c r="J1338" s="124">
        <v>0</v>
      </c>
      <c r="K1338" s="124" t="s">
        <v>250</v>
      </c>
      <c r="L1338" s="124" t="s">
        <v>250</v>
      </c>
      <c r="M1338" s="124">
        <v>0</v>
      </c>
      <c r="N1338" s="124" t="s">
        <v>250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40</v>
      </c>
      <c r="B1339" s="105"/>
      <c r="C1339" s="107" t="s">
        <v>1106</v>
      </c>
      <c r="D1339" s="107" t="s">
        <v>1107</v>
      </c>
      <c r="E1339" s="124">
        <v>1</v>
      </c>
      <c r="F1339" s="124" t="s">
        <v>250</v>
      </c>
      <c r="G1339" s="124">
        <v>0.93873011801332273</v>
      </c>
      <c r="H1339" s="124" t="s">
        <v>250</v>
      </c>
      <c r="I1339" s="124">
        <v>4.896854637146681E-2</v>
      </c>
      <c r="J1339" s="124">
        <v>1.2301335615210482E-2</v>
      </c>
      <c r="K1339" s="124" t="s">
        <v>250</v>
      </c>
      <c r="L1339" s="124" t="s">
        <v>250</v>
      </c>
      <c r="M1339" s="124">
        <v>0</v>
      </c>
      <c r="N1339" s="124" t="s">
        <v>250</v>
      </c>
      <c r="O1339" s="124">
        <v>1.2301335615210482E-2</v>
      </c>
      <c r="P1339" s="124">
        <v>6.4188965635263075E-3</v>
      </c>
      <c r="Q1339" s="124">
        <v>5.882439051684174E-3</v>
      </c>
      <c r="R1339" s="124"/>
    </row>
    <row r="1340" spans="1:18" ht="15">
      <c r="A1340" s="105" t="s">
        <v>250</v>
      </c>
      <c r="B1340" s="105"/>
      <c r="C1340" s="107" t="s">
        <v>250</v>
      </c>
      <c r="D1340" s="107" t="s">
        <v>250</v>
      </c>
      <c r="E1340" s="124" t="s">
        <v>250</v>
      </c>
      <c r="F1340" s="124" t="s">
        <v>250</v>
      </c>
      <c r="G1340" s="124" t="s">
        <v>250</v>
      </c>
      <c r="H1340" s="124" t="s">
        <v>250</v>
      </c>
      <c r="I1340" s="124" t="s">
        <v>250</v>
      </c>
      <c r="J1340" s="124" t="s">
        <v>250</v>
      </c>
      <c r="K1340" s="124" t="s">
        <v>250</v>
      </c>
      <c r="L1340" s="124" t="s">
        <v>250</v>
      </c>
      <c r="M1340" s="124" t="s">
        <v>250</v>
      </c>
      <c r="N1340" s="124" t="s">
        <v>250</v>
      </c>
      <c r="O1340" s="124" t="s">
        <v>250</v>
      </c>
      <c r="P1340" s="124" t="s">
        <v>250</v>
      </c>
      <c r="Q1340" s="124" t="s">
        <v>250</v>
      </c>
      <c r="R1340" s="124"/>
    </row>
    <row r="1341" spans="1:18" ht="15">
      <c r="A1341" s="105" t="s">
        <v>250</v>
      </c>
      <c r="B1341" s="105"/>
      <c r="C1341" s="107" t="s">
        <v>1044</v>
      </c>
      <c r="D1341" s="107" t="s">
        <v>250</v>
      </c>
      <c r="E1341" s="124" t="s">
        <v>250</v>
      </c>
      <c r="F1341" s="124" t="s">
        <v>250</v>
      </c>
      <c r="G1341" s="124" t="s">
        <v>250</v>
      </c>
      <c r="H1341" s="124" t="s">
        <v>250</v>
      </c>
      <c r="I1341" s="124" t="s">
        <v>250</v>
      </c>
      <c r="J1341" s="124" t="s">
        <v>250</v>
      </c>
      <c r="K1341" s="124" t="s">
        <v>250</v>
      </c>
      <c r="L1341" s="124" t="s">
        <v>250</v>
      </c>
      <c r="M1341" s="124" t="s">
        <v>250</v>
      </c>
      <c r="N1341" s="124" t="s">
        <v>250</v>
      </c>
      <c r="O1341" s="124" t="s">
        <v>250</v>
      </c>
      <c r="P1341" s="124" t="s">
        <v>250</v>
      </c>
      <c r="Q1341" s="124" t="s">
        <v>250</v>
      </c>
      <c r="R1341" s="124"/>
    </row>
    <row r="1342" spans="1:18" ht="15">
      <c r="A1342" s="105" t="s">
        <v>250</v>
      </c>
      <c r="B1342" s="105"/>
      <c r="C1342" s="107" t="s">
        <v>917</v>
      </c>
      <c r="D1342" s="107" t="s">
        <v>250</v>
      </c>
      <c r="E1342" s="124" t="s">
        <v>250</v>
      </c>
      <c r="F1342" s="124" t="s">
        <v>250</v>
      </c>
      <c r="G1342" s="124" t="s">
        <v>250</v>
      </c>
      <c r="H1342" s="124" t="s">
        <v>250</v>
      </c>
      <c r="I1342" s="124" t="s">
        <v>250</v>
      </c>
      <c r="J1342" s="124" t="s">
        <v>250</v>
      </c>
      <c r="K1342" s="124" t="s">
        <v>250</v>
      </c>
      <c r="L1342" s="124" t="s">
        <v>250</v>
      </c>
      <c r="M1342" s="124" t="s">
        <v>250</v>
      </c>
      <c r="N1342" s="124" t="s">
        <v>250</v>
      </c>
      <c r="O1342" s="124" t="s">
        <v>250</v>
      </c>
      <c r="P1342" s="124" t="s">
        <v>250</v>
      </c>
      <c r="Q1342" s="124" t="s">
        <v>250</v>
      </c>
      <c r="R1342" s="124"/>
    </row>
    <row r="1343" spans="1:18" ht="15">
      <c r="A1343" s="105">
        <v>1</v>
      </c>
      <c r="B1343" s="105"/>
      <c r="C1343" s="107" t="s">
        <v>1108</v>
      </c>
      <c r="D1343" s="107" t="s">
        <v>1109</v>
      </c>
      <c r="E1343" s="124">
        <v>1</v>
      </c>
      <c r="F1343" s="124" t="s">
        <v>250</v>
      </c>
      <c r="G1343" s="124">
        <v>0.94189769891788599</v>
      </c>
      <c r="H1343" s="124" t="s">
        <v>250</v>
      </c>
      <c r="I1343" s="124">
        <v>4.648535387189321E-2</v>
      </c>
      <c r="J1343" s="124">
        <v>1.1616947210220885E-2</v>
      </c>
      <c r="K1343" s="124" t="s">
        <v>250</v>
      </c>
      <c r="L1343" s="124" t="s">
        <v>250</v>
      </c>
      <c r="M1343" s="124">
        <v>0</v>
      </c>
      <c r="N1343" s="124" t="s">
        <v>250</v>
      </c>
      <c r="O1343" s="124">
        <v>1.1616947210220885E-2</v>
      </c>
      <c r="P1343" s="124">
        <v>6.0614467175130792E-3</v>
      </c>
      <c r="Q1343" s="124">
        <v>5.5555004927078057E-3</v>
      </c>
      <c r="R1343" s="124"/>
    </row>
    <row r="1344" spans="1:18" ht="15">
      <c r="A1344" s="105">
        <v>2</v>
      </c>
      <c r="B1344" s="105"/>
      <c r="C1344" s="107" t="s">
        <v>1110</v>
      </c>
      <c r="D1344" s="107" t="s">
        <v>1111</v>
      </c>
      <c r="E1344" s="124">
        <v>1</v>
      </c>
      <c r="F1344" s="124" t="s">
        <v>250</v>
      </c>
      <c r="G1344" s="124">
        <v>0.9900660993032645</v>
      </c>
      <c r="H1344" s="124" t="s">
        <v>250</v>
      </c>
      <c r="I1344" s="124">
        <v>9.9339006967354721E-3</v>
      </c>
      <c r="J1344" s="124">
        <v>0</v>
      </c>
      <c r="K1344" s="124" t="s">
        <v>250</v>
      </c>
      <c r="L1344" s="124" t="s">
        <v>250</v>
      </c>
      <c r="M1344" s="124">
        <v>0</v>
      </c>
      <c r="N1344" s="124" t="s">
        <v>250</v>
      </c>
      <c r="O1344" s="124">
        <v>0</v>
      </c>
      <c r="P1344" s="124">
        <v>0</v>
      </c>
      <c r="Q1344" s="124">
        <v>0</v>
      </c>
      <c r="R1344" s="124"/>
    </row>
    <row r="1345" spans="1:18" ht="15">
      <c r="A1345" s="105">
        <v>3</v>
      </c>
      <c r="B1345" s="105"/>
      <c r="C1345" s="107" t="s">
        <v>1112</v>
      </c>
      <c r="D1345" s="107" t="s">
        <v>524</v>
      </c>
      <c r="E1345" s="124">
        <v>1</v>
      </c>
      <c r="F1345" s="124" t="s">
        <v>250</v>
      </c>
      <c r="G1345" s="124">
        <v>0.99831555146511863</v>
      </c>
      <c r="H1345" s="124" t="s">
        <v>250</v>
      </c>
      <c r="I1345" s="124">
        <v>0</v>
      </c>
      <c r="J1345" s="124">
        <v>1.684448534881358E-3</v>
      </c>
      <c r="K1345" s="124" t="s">
        <v>250</v>
      </c>
      <c r="L1345" s="124" t="s">
        <v>250</v>
      </c>
      <c r="M1345" s="124">
        <v>0</v>
      </c>
      <c r="N1345" s="124" t="s">
        <v>250</v>
      </c>
      <c r="O1345" s="124">
        <v>1.6844485348813578E-3</v>
      </c>
      <c r="P1345" s="124">
        <v>1.6716297212766452E-3</v>
      </c>
      <c r="Q1345" s="124">
        <v>1.28188136047127E-5</v>
      </c>
      <c r="R1345" s="124"/>
    </row>
    <row r="1346" spans="1:18" ht="15">
      <c r="A1346" s="105">
        <v>4</v>
      </c>
      <c r="B1346" s="105"/>
      <c r="C1346" s="107" t="s">
        <v>1113</v>
      </c>
      <c r="D1346" s="107" t="s">
        <v>428</v>
      </c>
      <c r="E1346" s="124">
        <v>1</v>
      </c>
      <c r="F1346" s="124" t="s">
        <v>250</v>
      </c>
      <c r="G1346" s="124">
        <v>1</v>
      </c>
      <c r="H1346" s="124" t="s">
        <v>250</v>
      </c>
      <c r="I1346" s="124">
        <v>0</v>
      </c>
      <c r="J1346" s="124">
        <v>0</v>
      </c>
      <c r="K1346" s="124" t="s">
        <v>250</v>
      </c>
      <c r="L1346" s="124" t="s">
        <v>250</v>
      </c>
      <c r="M1346" s="124">
        <v>0</v>
      </c>
      <c r="N1346" s="124" t="s">
        <v>250</v>
      </c>
      <c r="O1346" s="124">
        <v>0</v>
      </c>
      <c r="P1346" s="124">
        <v>0</v>
      </c>
      <c r="Q1346" s="124">
        <v>0</v>
      </c>
      <c r="R1346" s="124"/>
    </row>
    <row r="1347" spans="1:18" ht="15">
      <c r="A1347" s="105">
        <v>5</v>
      </c>
      <c r="B1347" s="105"/>
      <c r="C1347" s="107" t="s">
        <v>1114</v>
      </c>
      <c r="D1347" s="107" t="s">
        <v>1115</v>
      </c>
      <c r="E1347" s="124">
        <v>1</v>
      </c>
      <c r="F1347" s="124" t="s">
        <v>250</v>
      </c>
      <c r="G1347" s="124">
        <v>0</v>
      </c>
      <c r="H1347" s="124" t="s">
        <v>250</v>
      </c>
      <c r="I1347" s="124">
        <v>1</v>
      </c>
      <c r="J1347" s="124">
        <v>0</v>
      </c>
      <c r="K1347" s="124" t="s">
        <v>250</v>
      </c>
      <c r="L1347" s="124" t="s">
        <v>250</v>
      </c>
      <c r="M1347" s="124">
        <v>0</v>
      </c>
      <c r="N1347" s="124" t="s">
        <v>250</v>
      </c>
      <c r="O1347" s="124">
        <v>0</v>
      </c>
      <c r="P1347" s="124">
        <v>0</v>
      </c>
      <c r="Q1347" s="124">
        <v>0</v>
      </c>
      <c r="R1347" s="124"/>
    </row>
    <row r="1348" spans="1:18" ht="15">
      <c r="A1348" s="105">
        <v>6</v>
      </c>
      <c r="B1348" s="105"/>
      <c r="C1348" s="107" t="s">
        <v>1116</v>
      </c>
      <c r="D1348" s="107" t="s">
        <v>1117</v>
      </c>
      <c r="E1348" s="124">
        <v>0</v>
      </c>
      <c r="F1348" s="124" t="s">
        <v>250</v>
      </c>
      <c r="G1348" s="124">
        <v>0</v>
      </c>
      <c r="H1348" s="124" t="s">
        <v>250</v>
      </c>
      <c r="I1348" s="124">
        <v>0</v>
      </c>
      <c r="J1348" s="124">
        <v>0</v>
      </c>
      <c r="K1348" s="124" t="s">
        <v>250</v>
      </c>
      <c r="L1348" s="124" t="s">
        <v>250</v>
      </c>
      <c r="M1348" s="124">
        <v>0</v>
      </c>
      <c r="N1348" s="124" t="s">
        <v>250</v>
      </c>
      <c r="O1348" s="124">
        <v>0</v>
      </c>
      <c r="P1348" s="124">
        <v>0</v>
      </c>
      <c r="Q1348" s="124">
        <v>0</v>
      </c>
      <c r="R1348" s="124"/>
    </row>
    <row r="1349" spans="1:18" ht="15">
      <c r="A1349" s="105">
        <v>7</v>
      </c>
      <c r="B1349" s="105"/>
      <c r="C1349" s="107" t="s">
        <v>1118</v>
      </c>
      <c r="D1349" s="107" t="s">
        <v>1119</v>
      </c>
      <c r="E1349" s="124">
        <v>1</v>
      </c>
      <c r="F1349" s="124" t="s">
        <v>250</v>
      </c>
      <c r="G1349" s="124">
        <v>0</v>
      </c>
      <c r="H1349" s="124" t="s">
        <v>250</v>
      </c>
      <c r="I1349" s="124">
        <v>0</v>
      </c>
      <c r="J1349" s="124">
        <v>1</v>
      </c>
      <c r="K1349" s="124" t="s">
        <v>250</v>
      </c>
      <c r="L1349" s="124" t="s">
        <v>250</v>
      </c>
      <c r="M1349" s="124">
        <v>0</v>
      </c>
      <c r="N1349" s="124" t="s">
        <v>250</v>
      </c>
      <c r="O1349" s="124">
        <v>0.99999999999999989</v>
      </c>
      <c r="P1349" s="124">
        <v>0.52246730959203769</v>
      </c>
      <c r="Q1349" s="124">
        <v>0.4775326904079622</v>
      </c>
      <c r="R1349" s="124"/>
    </row>
    <row r="1350" spans="1:18" ht="15">
      <c r="A1350" s="105">
        <v>8</v>
      </c>
      <c r="B1350" s="105"/>
      <c r="C1350" s="107" t="s">
        <v>1120</v>
      </c>
      <c r="D1350" s="107" t="s">
        <v>1121</v>
      </c>
      <c r="E1350" s="124">
        <v>1</v>
      </c>
      <c r="F1350" s="124" t="s">
        <v>250</v>
      </c>
      <c r="G1350" s="124">
        <v>0.98518877042287822</v>
      </c>
      <c r="H1350" s="124" t="s">
        <v>250</v>
      </c>
      <c r="I1350" s="124">
        <v>0</v>
      </c>
      <c r="J1350" s="124">
        <v>1.4811229577121781E-2</v>
      </c>
      <c r="K1350" s="124" t="s">
        <v>250</v>
      </c>
      <c r="L1350" s="124" t="s">
        <v>250</v>
      </c>
      <c r="M1350" s="124">
        <v>0</v>
      </c>
      <c r="N1350" s="124" t="s">
        <v>250</v>
      </c>
      <c r="O1350" s="124">
        <v>1.4811229577121781E-2</v>
      </c>
      <c r="P1350" s="124">
        <v>7.7433475829513099E-3</v>
      </c>
      <c r="Q1350" s="124">
        <v>7.0678819941704715E-3</v>
      </c>
      <c r="R1350" s="124"/>
    </row>
    <row r="1351" spans="1:18" ht="15">
      <c r="A1351" s="105">
        <v>9</v>
      </c>
      <c r="B1351" s="105"/>
      <c r="C1351" s="107" t="s">
        <v>1122</v>
      </c>
      <c r="D1351" s="107" t="s">
        <v>727</v>
      </c>
      <c r="E1351" s="124">
        <v>0.99999999999999989</v>
      </c>
      <c r="F1351" s="124" t="s">
        <v>250</v>
      </c>
      <c r="G1351" s="124">
        <v>0.9524017735755308</v>
      </c>
      <c r="H1351" s="124" t="s">
        <v>250</v>
      </c>
      <c r="I1351" s="124">
        <v>4.7598226424469134E-2</v>
      </c>
      <c r="J1351" s="124">
        <v>0</v>
      </c>
      <c r="K1351" s="124" t="s">
        <v>250</v>
      </c>
      <c r="L1351" s="124" t="s">
        <v>250</v>
      </c>
      <c r="M1351" s="124">
        <v>0</v>
      </c>
      <c r="N1351" s="124" t="s">
        <v>250</v>
      </c>
      <c r="O1351" s="124">
        <v>0</v>
      </c>
      <c r="P1351" s="124">
        <v>0</v>
      </c>
      <c r="Q1351" s="124">
        <v>0</v>
      </c>
      <c r="R1351" s="124"/>
    </row>
    <row r="1352" spans="1:18" ht="15">
      <c r="A1352" s="105">
        <v>10</v>
      </c>
      <c r="B1352" s="105"/>
      <c r="C1352" s="107" t="s">
        <v>1123</v>
      </c>
      <c r="D1352" s="107" t="s">
        <v>456</v>
      </c>
      <c r="E1352" s="124">
        <v>1.0000000000000002</v>
      </c>
      <c r="F1352" s="124" t="s">
        <v>250</v>
      </c>
      <c r="G1352" s="124">
        <v>0.95596726483052474</v>
      </c>
      <c r="H1352" s="124" t="s">
        <v>250</v>
      </c>
      <c r="I1352" s="124">
        <v>4.4032735169475402E-2</v>
      </c>
      <c r="J1352" s="124">
        <v>0</v>
      </c>
      <c r="K1352" s="124" t="s">
        <v>250</v>
      </c>
      <c r="L1352" s="124" t="s">
        <v>250</v>
      </c>
      <c r="M1352" s="124">
        <v>0</v>
      </c>
      <c r="N1352" s="124" t="s">
        <v>250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11</v>
      </c>
      <c r="B1353" s="105"/>
      <c r="C1353" s="107" t="s">
        <v>250</v>
      </c>
      <c r="D1353" s="107" t="s">
        <v>250</v>
      </c>
      <c r="E1353" s="124" t="s">
        <v>250</v>
      </c>
      <c r="F1353" s="124" t="s">
        <v>250</v>
      </c>
      <c r="G1353" s="124" t="s">
        <v>250</v>
      </c>
      <c r="H1353" s="124" t="s">
        <v>250</v>
      </c>
      <c r="I1353" s="124" t="s">
        <v>250</v>
      </c>
      <c r="J1353" s="124" t="s">
        <v>250</v>
      </c>
      <c r="K1353" s="124" t="s">
        <v>250</v>
      </c>
      <c r="L1353" s="124" t="s">
        <v>250</v>
      </c>
      <c r="M1353" s="124" t="s">
        <v>250</v>
      </c>
      <c r="N1353" s="124" t="s">
        <v>250</v>
      </c>
      <c r="O1353" s="124" t="s">
        <v>250</v>
      </c>
      <c r="P1353" s="124" t="s">
        <v>250</v>
      </c>
      <c r="Q1353" s="124" t="s">
        <v>250</v>
      </c>
      <c r="R1353" s="124"/>
    </row>
    <row r="1354" spans="1:18" s="107" customFormat="1" ht="15">
      <c r="A1354" s="105">
        <v>12</v>
      </c>
      <c r="B1354" s="105"/>
      <c r="C1354" s="107" t="s">
        <v>250</v>
      </c>
      <c r="D1354" s="107" t="s">
        <v>250</v>
      </c>
      <c r="E1354" s="107" t="s">
        <v>250</v>
      </c>
      <c r="F1354" s="107" t="s">
        <v>250</v>
      </c>
      <c r="G1354" s="107" t="s">
        <v>250</v>
      </c>
      <c r="H1354" s="107" t="s">
        <v>250</v>
      </c>
      <c r="I1354" s="107" t="s">
        <v>250</v>
      </c>
      <c r="J1354" s="107" t="s">
        <v>250</v>
      </c>
      <c r="K1354" s="107" t="s">
        <v>250</v>
      </c>
      <c r="L1354" s="107" t="s">
        <v>250</v>
      </c>
      <c r="M1354" s="107" t="s">
        <v>250</v>
      </c>
      <c r="N1354" s="107" t="s">
        <v>250</v>
      </c>
      <c r="O1354" s="107" t="s">
        <v>250</v>
      </c>
      <c r="P1354" s="107" t="s">
        <v>250</v>
      </c>
      <c r="Q1354" s="107" t="s">
        <v>250</v>
      </c>
    </row>
    <row r="1355" spans="1:18" s="107" customFormat="1" ht="15">
      <c r="A1355" s="105">
        <v>13</v>
      </c>
      <c r="B1355" s="105"/>
      <c r="C1355" s="107" t="s">
        <v>250</v>
      </c>
      <c r="D1355" s="107" t="s">
        <v>250</v>
      </c>
      <c r="E1355" s="107" t="s">
        <v>250</v>
      </c>
      <c r="F1355" s="107" t="s">
        <v>250</v>
      </c>
      <c r="G1355" s="107" t="s">
        <v>250</v>
      </c>
      <c r="H1355" s="107" t="s">
        <v>250</v>
      </c>
      <c r="I1355" s="107" t="s">
        <v>250</v>
      </c>
      <c r="J1355" s="107" t="s">
        <v>250</v>
      </c>
      <c r="K1355" s="107" t="s">
        <v>250</v>
      </c>
      <c r="L1355" s="107" t="s">
        <v>250</v>
      </c>
      <c r="M1355" s="107" t="s">
        <v>250</v>
      </c>
      <c r="N1355" s="107" t="s">
        <v>250</v>
      </c>
      <c r="O1355" s="107" t="s">
        <v>250</v>
      </c>
      <c r="P1355" s="107" t="s">
        <v>250</v>
      </c>
      <c r="Q1355" s="107" t="s">
        <v>250</v>
      </c>
    </row>
    <row r="1356" spans="1:18" s="107" customFormat="1" ht="15">
      <c r="A1356" s="105">
        <v>14</v>
      </c>
      <c r="B1356" s="105" t="s">
        <v>250</v>
      </c>
      <c r="D1356" s="107" t="s">
        <v>250</v>
      </c>
      <c r="E1356" s="107" t="s">
        <v>250</v>
      </c>
      <c r="F1356" s="107" t="s">
        <v>250</v>
      </c>
      <c r="G1356" s="107" t="s">
        <v>250</v>
      </c>
      <c r="H1356" s="107" t="s">
        <v>250</v>
      </c>
      <c r="I1356" s="107" t="s">
        <v>250</v>
      </c>
      <c r="J1356" s="107" t="s">
        <v>250</v>
      </c>
      <c r="K1356" s="107" t="s">
        <v>250</v>
      </c>
      <c r="L1356" s="107" t="s">
        <v>250</v>
      </c>
      <c r="M1356" s="107" t="s">
        <v>250</v>
      </c>
      <c r="N1356" s="107" t="s">
        <v>250</v>
      </c>
      <c r="O1356" s="107" t="s">
        <v>250</v>
      </c>
      <c r="P1356" s="107" t="s">
        <v>250</v>
      </c>
      <c r="Q1356" s="107" t="s">
        <v>250</v>
      </c>
    </row>
    <row r="1357" spans="1:18" s="107" customFormat="1" ht="15">
      <c r="A1357" s="105">
        <v>15</v>
      </c>
      <c r="B1357" s="105" t="s">
        <v>250</v>
      </c>
      <c r="D1357" s="107" t="s">
        <v>250</v>
      </c>
      <c r="E1357" s="107" t="s">
        <v>250</v>
      </c>
      <c r="F1357" s="107" t="s">
        <v>250</v>
      </c>
      <c r="G1357" s="107" t="s">
        <v>250</v>
      </c>
      <c r="H1357" s="107" t="s">
        <v>250</v>
      </c>
      <c r="I1357" s="107" t="s">
        <v>250</v>
      </c>
      <c r="J1357" s="107" t="s">
        <v>250</v>
      </c>
      <c r="K1357" s="107" t="s">
        <v>250</v>
      </c>
      <c r="L1357" s="107" t="s">
        <v>250</v>
      </c>
      <c r="M1357" s="107" t="s">
        <v>250</v>
      </c>
      <c r="N1357" s="107" t="s">
        <v>250</v>
      </c>
      <c r="O1357" s="107" t="s">
        <v>250</v>
      </c>
      <c r="P1357" s="107" t="s">
        <v>250</v>
      </c>
      <c r="Q1357" s="107" t="s">
        <v>250</v>
      </c>
    </row>
    <row r="1358" spans="1:18" s="107" customFormat="1" ht="15">
      <c r="A1358" s="105">
        <v>16</v>
      </c>
      <c r="B1358" s="125" t="s">
        <v>250</v>
      </c>
      <c r="D1358" s="119" t="s">
        <v>250</v>
      </c>
      <c r="E1358" s="126" t="s">
        <v>250</v>
      </c>
      <c r="F1358" s="126" t="s">
        <v>250</v>
      </c>
      <c r="G1358" s="126" t="s">
        <v>250</v>
      </c>
      <c r="H1358" s="126" t="s">
        <v>250</v>
      </c>
      <c r="I1358" s="126" t="s">
        <v>250</v>
      </c>
      <c r="J1358" s="126" t="s">
        <v>250</v>
      </c>
      <c r="K1358" s="126" t="s">
        <v>250</v>
      </c>
      <c r="L1358" s="126" t="s">
        <v>250</v>
      </c>
      <c r="M1358" s="126" t="s">
        <v>250</v>
      </c>
      <c r="N1358" s="126" t="s">
        <v>250</v>
      </c>
      <c r="O1358" s="126" t="s">
        <v>250</v>
      </c>
      <c r="P1358" s="126" t="s">
        <v>250</v>
      </c>
      <c r="Q1358" s="126" t="s">
        <v>250</v>
      </c>
      <c r="R1358" s="126"/>
    </row>
    <row r="1359" spans="1:18" s="107" customFormat="1" ht="15">
      <c r="A1359" s="105">
        <v>17</v>
      </c>
      <c r="B1359" s="125" t="s">
        <v>250</v>
      </c>
      <c r="D1359" s="119" t="s">
        <v>250</v>
      </c>
      <c r="E1359" s="126" t="s">
        <v>250</v>
      </c>
      <c r="F1359" s="126" t="s">
        <v>250</v>
      </c>
      <c r="G1359" s="126" t="s">
        <v>250</v>
      </c>
      <c r="H1359" s="126" t="s">
        <v>250</v>
      </c>
      <c r="I1359" s="126" t="s">
        <v>250</v>
      </c>
      <c r="J1359" s="126" t="s">
        <v>250</v>
      </c>
      <c r="K1359" s="126" t="s">
        <v>250</v>
      </c>
      <c r="L1359" s="126" t="s">
        <v>250</v>
      </c>
      <c r="M1359" s="126" t="s">
        <v>250</v>
      </c>
      <c r="N1359" s="126" t="s">
        <v>250</v>
      </c>
      <c r="O1359" s="126" t="s">
        <v>250</v>
      </c>
      <c r="P1359" s="126" t="s">
        <v>250</v>
      </c>
      <c r="Q1359" s="126" t="s">
        <v>250</v>
      </c>
      <c r="R1359" s="126"/>
    </row>
    <row r="1360" spans="1:18" s="107" customFormat="1" ht="15">
      <c r="A1360" s="105">
        <v>18</v>
      </c>
      <c r="B1360" s="125" t="s">
        <v>250</v>
      </c>
      <c r="D1360" s="119" t="s">
        <v>250</v>
      </c>
      <c r="E1360" s="126" t="s">
        <v>250</v>
      </c>
      <c r="F1360" s="126" t="s">
        <v>250</v>
      </c>
      <c r="G1360" s="126" t="s">
        <v>250</v>
      </c>
      <c r="H1360" s="126" t="s">
        <v>250</v>
      </c>
      <c r="I1360" s="126" t="s">
        <v>250</v>
      </c>
      <c r="J1360" s="126" t="s">
        <v>250</v>
      </c>
      <c r="K1360" s="126" t="s">
        <v>250</v>
      </c>
      <c r="L1360" s="126" t="s">
        <v>250</v>
      </c>
      <c r="M1360" s="126" t="s">
        <v>250</v>
      </c>
      <c r="N1360" s="126" t="s">
        <v>250</v>
      </c>
      <c r="O1360" s="126" t="s">
        <v>250</v>
      </c>
      <c r="P1360" s="126" t="s">
        <v>250</v>
      </c>
      <c r="Q1360" s="126" t="s">
        <v>250</v>
      </c>
      <c r="R1360" s="126"/>
    </row>
    <row r="1361" spans="1:18" s="107" customFormat="1" ht="15">
      <c r="A1361" s="105">
        <v>19</v>
      </c>
      <c r="B1361" s="105" t="s">
        <v>250</v>
      </c>
      <c r="D1361" s="107" t="s">
        <v>250</v>
      </c>
      <c r="E1361" s="126" t="s">
        <v>250</v>
      </c>
      <c r="F1361" s="126" t="s">
        <v>250</v>
      </c>
      <c r="G1361" s="126" t="s">
        <v>250</v>
      </c>
      <c r="H1361" s="126" t="s">
        <v>250</v>
      </c>
      <c r="I1361" s="126" t="s">
        <v>250</v>
      </c>
      <c r="J1361" s="126" t="s">
        <v>250</v>
      </c>
      <c r="K1361" s="126" t="s">
        <v>250</v>
      </c>
      <c r="L1361" s="126" t="s">
        <v>250</v>
      </c>
      <c r="M1361" s="126" t="s">
        <v>250</v>
      </c>
      <c r="N1361" s="126" t="s">
        <v>250</v>
      </c>
      <c r="O1361" s="126" t="s">
        <v>250</v>
      </c>
      <c r="P1361" s="126" t="s">
        <v>250</v>
      </c>
      <c r="Q1361" s="126" t="s">
        <v>250</v>
      </c>
      <c r="R1361" s="126"/>
    </row>
    <row r="1362" spans="1:18" s="107" customFormat="1" ht="15">
      <c r="A1362" s="105">
        <v>20</v>
      </c>
      <c r="B1362" s="105" t="s">
        <v>250</v>
      </c>
      <c r="D1362" s="107" t="s">
        <v>250</v>
      </c>
      <c r="E1362" s="126" t="s">
        <v>250</v>
      </c>
      <c r="F1362" s="126" t="s">
        <v>250</v>
      </c>
      <c r="G1362" s="126" t="s">
        <v>250</v>
      </c>
      <c r="H1362" s="126" t="s">
        <v>250</v>
      </c>
      <c r="I1362" s="126" t="s">
        <v>250</v>
      </c>
      <c r="J1362" s="126" t="s">
        <v>250</v>
      </c>
      <c r="K1362" s="126" t="s">
        <v>250</v>
      </c>
      <c r="L1362" s="126" t="s">
        <v>250</v>
      </c>
      <c r="M1362" s="126" t="s">
        <v>250</v>
      </c>
      <c r="N1362" s="126" t="s">
        <v>250</v>
      </c>
      <c r="O1362" s="126" t="s">
        <v>250</v>
      </c>
      <c r="P1362" s="126" t="s">
        <v>250</v>
      </c>
      <c r="Q1362" s="126" t="s">
        <v>250</v>
      </c>
      <c r="R1362" s="126"/>
    </row>
    <row r="1363" spans="1:18" s="107" customFormat="1" ht="15">
      <c r="A1363" s="105">
        <v>21</v>
      </c>
      <c r="B1363" s="105" t="s">
        <v>250</v>
      </c>
      <c r="D1363" s="107" t="s">
        <v>250</v>
      </c>
      <c r="E1363" s="126" t="s">
        <v>250</v>
      </c>
      <c r="F1363" s="126" t="s">
        <v>250</v>
      </c>
      <c r="G1363" s="126" t="s">
        <v>250</v>
      </c>
      <c r="H1363" s="126" t="s">
        <v>250</v>
      </c>
      <c r="I1363" s="126" t="s">
        <v>250</v>
      </c>
      <c r="J1363" s="126" t="s">
        <v>250</v>
      </c>
      <c r="K1363" s="126" t="s">
        <v>250</v>
      </c>
      <c r="L1363" s="126" t="s">
        <v>250</v>
      </c>
      <c r="M1363" s="126" t="s">
        <v>250</v>
      </c>
      <c r="N1363" s="126" t="s">
        <v>250</v>
      </c>
      <c r="O1363" s="126" t="s">
        <v>250</v>
      </c>
      <c r="P1363" s="126" t="s">
        <v>250</v>
      </c>
      <c r="Q1363" s="126" t="s">
        <v>250</v>
      </c>
      <c r="R1363" s="126"/>
    </row>
    <row r="1364" spans="1:18" s="107" customFormat="1" ht="15">
      <c r="A1364" s="105">
        <v>22</v>
      </c>
      <c r="B1364" s="105" t="s">
        <v>250</v>
      </c>
      <c r="D1364" s="107" t="s">
        <v>250</v>
      </c>
      <c r="E1364" s="126" t="s">
        <v>250</v>
      </c>
      <c r="F1364" s="126" t="s">
        <v>250</v>
      </c>
      <c r="G1364" s="126" t="s">
        <v>250</v>
      </c>
      <c r="H1364" s="126" t="s">
        <v>250</v>
      </c>
      <c r="I1364" s="126" t="s">
        <v>250</v>
      </c>
      <c r="J1364" s="126" t="s">
        <v>250</v>
      </c>
      <c r="K1364" s="126" t="s">
        <v>250</v>
      </c>
      <c r="L1364" s="126" t="s">
        <v>250</v>
      </c>
      <c r="M1364" s="126" t="s">
        <v>250</v>
      </c>
      <c r="N1364" s="126" t="s">
        <v>250</v>
      </c>
      <c r="O1364" s="126" t="s">
        <v>250</v>
      </c>
      <c r="P1364" s="126" t="s">
        <v>250</v>
      </c>
      <c r="Q1364" s="126" t="s">
        <v>250</v>
      </c>
      <c r="R1364" s="126"/>
    </row>
    <row r="1365" spans="1:18" s="107" customFormat="1" ht="15">
      <c r="A1365" s="105">
        <v>23</v>
      </c>
      <c r="B1365" s="105" t="s">
        <v>250</v>
      </c>
      <c r="D1365" s="107" t="s">
        <v>250</v>
      </c>
      <c r="E1365" s="126" t="s">
        <v>250</v>
      </c>
      <c r="F1365" s="126" t="s">
        <v>250</v>
      </c>
      <c r="G1365" s="126" t="s">
        <v>250</v>
      </c>
      <c r="H1365" s="126" t="s">
        <v>250</v>
      </c>
      <c r="I1365" s="126" t="s">
        <v>250</v>
      </c>
      <c r="J1365" s="126" t="s">
        <v>250</v>
      </c>
      <c r="K1365" s="126" t="s">
        <v>250</v>
      </c>
      <c r="L1365" s="126" t="s">
        <v>250</v>
      </c>
      <c r="M1365" s="126" t="s">
        <v>250</v>
      </c>
      <c r="N1365" s="126" t="s">
        <v>250</v>
      </c>
      <c r="O1365" s="126" t="s">
        <v>250</v>
      </c>
      <c r="P1365" s="126" t="s">
        <v>250</v>
      </c>
      <c r="Q1365" s="126" t="s">
        <v>250</v>
      </c>
      <c r="R1365" s="126"/>
    </row>
    <row r="1366" spans="1:18" s="107" customFormat="1" ht="15">
      <c r="A1366" s="105">
        <v>24</v>
      </c>
      <c r="B1366" s="105" t="s">
        <v>250</v>
      </c>
      <c r="D1366" s="107" t="s">
        <v>250</v>
      </c>
      <c r="E1366" s="126" t="s">
        <v>250</v>
      </c>
      <c r="F1366" s="126" t="s">
        <v>250</v>
      </c>
      <c r="G1366" s="126" t="s">
        <v>250</v>
      </c>
      <c r="H1366" s="126" t="s">
        <v>250</v>
      </c>
      <c r="I1366" s="126" t="s">
        <v>250</v>
      </c>
      <c r="J1366" s="126" t="s">
        <v>250</v>
      </c>
      <c r="K1366" s="126" t="s">
        <v>250</v>
      </c>
      <c r="L1366" s="126" t="s">
        <v>250</v>
      </c>
      <c r="M1366" s="126" t="s">
        <v>250</v>
      </c>
      <c r="N1366" s="126" t="s">
        <v>250</v>
      </c>
      <c r="O1366" s="126" t="s">
        <v>250</v>
      </c>
      <c r="P1366" s="126" t="s">
        <v>250</v>
      </c>
      <c r="Q1366" s="126" t="s">
        <v>250</v>
      </c>
      <c r="R1366" s="126"/>
    </row>
    <row r="1367" spans="1:18" s="107" customFormat="1" ht="15">
      <c r="A1367" s="105">
        <v>25</v>
      </c>
      <c r="B1367" s="105" t="s">
        <v>250</v>
      </c>
      <c r="D1367" s="107" t="s">
        <v>250</v>
      </c>
      <c r="E1367" s="126" t="s">
        <v>250</v>
      </c>
      <c r="F1367" s="126" t="s">
        <v>250</v>
      </c>
      <c r="G1367" s="126" t="s">
        <v>250</v>
      </c>
      <c r="H1367" s="126" t="s">
        <v>250</v>
      </c>
      <c r="I1367" s="126" t="s">
        <v>250</v>
      </c>
      <c r="J1367" s="126" t="s">
        <v>250</v>
      </c>
      <c r="K1367" s="126" t="s">
        <v>250</v>
      </c>
      <c r="L1367" s="126" t="s">
        <v>250</v>
      </c>
      <c r="M1367" s="126" t="s">
        <v>250</v>
      </c>
      <c r="N1367" s="126" t="s">
        <v>250</v>
      </c>
      <c r="O1367" s="126" t="s">
        <v>250</v>
      </c>
      <c r="P1367" s="126" t="s">
        <v>250</v>
      </c>
      <c r="Q1367" s="126" t="s">
        <v>250</v>
      </c>
      <c r="R1367" s="126"/>
    </row>
    <row r="1368" spans="1:18" s="107" customFormat="1" ht="15">
      <c r="A1368" s="105">
        <v>26</v>
      </c>
      <c r="B1368" s="105" t="s">
        <v>250</v>
      </c>
      <c r="D1368" s="107" t="s">
        <v>250</v>
      </c>
      <c r="E1368" s="126" t="s">
        <v>250</v>
      </c>
      <c r="F1368" s="126" t="s">
        <v>250</v>
      </c>
      <c r="G1368" s="126" t="s">
        <v>250</v>
      </c>
      <c r="H1368" s="126" t="s">
        <v>250</v>
      </c>
      <c r="I1368" s="126" t="s">
        <v>250</v>
      </c>
      <c r="J1368" s="126" t="s">
        <v>250</v>
      </c>
      <c r="K1368" s="126" t="s">
        <v>250</v>
      </c>
      <c r="L1368" s="126" t="s">
        <v>250</v>
      </c>
      <c r="M1368" s="126" t="s">
        <v>250</v>
      </c>
      <c r="N1368" s="126" t="s">
        <v>250</v>
      </c>
      <c r="O1368" s="126" t="s">
        <v>250</v>
      </c>
      <c r="P1368" s="126" t="s">
        <v>250</v>
      </c>
      <c r="Q1368" s="126" t="s">
        <v>250</v>
      </c>
      <c r="R1368" s="126"/>
    </row>
    <row r="1369" spans="1:18" s="107" customFormat="1" ht="15">
      <c r="A1369" s="125">
        <v>27</v>
      </c>
      <c r="B1369" s="105" t="s">
        <v>250</v>
      </c>
      <c r="D1369" s="107" t="s">
        <v>250</v>
      </c>
      <c r="E1369" s="126" t="s">
        <v>250</v>
      </c>
      <c r="F1369" s="126" t="s">
        <v>250</v>
      </c>
      <c r="G1369" s="126" t="s">
        <v>250</v>
      </c>
      <c r="H1369" s="126" t="s">
        <v>250</v>
      </c>
      <c r="I1369" s="126" t="s">
        <v>250</v>
      </c>
      <c r="J1369" s="126" t="s">
        <v>250</v>
      </c>
      <c r="K1369" s="126" t="s">
        <v>250</v>
      </c>
      <c r="L1369" s="126" t="s">
        <v>250</v>
      </c>
      <c r="M1369" s="126" t="s">
        <v>250</v>
      </c>
      <c r="N1369" s="126" t="s">
        <v>250</v>
      </c>
      <c r="O1369" s="126" t="s">
        <v>250</v>
      </c>
      <c r="P1369" s="126" t="s">
        <v>250</v>
      </c>
      <c r="Q1369" s="126" t="s">
        <v>250</v>
      </c>
      <c r="R1369" s="126"/>
    </row>
    <row r="1370" spans="1:18" s="107" customFormat="1" ht="15">
      <c r="A1370" s="125">
        <v>28</v>
      </c>
      <c r="B1370" s="105" t="s">
        <v>250</v>
      </c>
      <c r="D1370" s="107" t="s">
        <v>250</v>
      </c>
      <c r="E1370" s="126" t="s">
        <v>250</v>
      </c>
      <c r="F1370" s="126" t="s">
        <v>250</v>
      </c>
      <c r="G1370" s="126" t="s">
        <v>250</v>
      </c>
      <c r="H1370" s="126" t="s">
        <v>250</v>
      </c>
      <c r="I1370" s="126" t="s">
        <v>250</v>
      </c>
      <c r="J1370" s="126" t="s">
        <v>250</v>
      </c>
      <c r="K1370" s="126" t="s">
        <v>250</v>
      </c>
      <c r="L1370" s="126" t="s">
        <v>250</v>
      </c>
      <c r="M1370" s="126" t="s">
        <v>250</v>
      </c>
      <c r="N1370" s="126" t="s">
        <v>250</v>
      </c>
      <c r="O1370" s="126" t="s">
        <v>250</v>
      </c>
      <c r="P1370" s="126" t="s">
        <v>250</v>
      </c>
      <c r="Q1370" s="126" t="s">
        <v>250</v>
      </c>
      <c r="R1370" s="126"/>
    </row>
    <row r="1371" spans="1:18" s="107" customFormat="1" ht="15">
      <c r="A1371" s="125">
        <v>29</v>
      </c>
      <c r="B1371" s="105" t="s">
        <v>250</v>
      </c>
      <c r="D1371" s="107" t="s">
        <v>250</v>
      </c>
      <c r="E1371" s="126" t="s">
        <v>250</v>
      </c>
      <c r="F1371" s="126" t="s">
        <v>250</v>
      </c>
      <c r="G1371" s="126" t="s">
        <v>250</v>
      </c>
      <c r="H1371" s="126" t="s">
        <v>250</v>
      </c>
      <c r="I1371" s="126" t="s">
        <v>250</v>
      </c>
      <c r="J1371" s="126" t="s">
        <v>250</v>
      </c>
      <c r="K1371" s="126" t="s">
        <v>250</v>
      </c>
      <c r="L1371" s="126" t="s">
        <v>250</v>
      </c>
      <c r="M1371" s="126" t="s">
        <v>250</v>
      </c>
      <c r="N1371" s="126" t="s">
        <v>250</v>
      </c>
      <c r="O1371" s="126" t="s">
        <v>250</v>
      </c>
      <c r="P1371" s="126" t="s">
        <v>250</v>
      </c>
      <c r="Q1371" s="126" t="s">
        <v>250</v>
      </c>
      <c r="R1371" s="126"/>
    </row>
    <row r="1372" spans="1:18" s="107" customFormat="1" ht="15">
      <c r="A1372" s="105">
        <v>30</v>
      </c>
      <c r="B1372" s="105" t="s">
        <v>250</v>
      </c>
      <c r="D1372" s="107" t="s">
        <v>250</v>
      </c>
      <c r="E1372" s="126" t="s">
        <v>250</v>
      </c>
      <c r="F1372" s="126" t="s">
        <v>250</v>
      </c>
      <c r="G1372" s="126" t="s">
        <v>250</v>
      </c>
      <c r="H1372" s="126" t="s">
        <v>250</v>
      </c>
      <c r="I1372" s="126" t="s">
        <v>250</v>
      </c>
      <c r="J1372" s="126" t="s">
        <v>250</v>
      </c>
      <c r="K1372" s="126" t="s">
        <v>250</v>
      </c>
      <c r="L1372" s="126" t="s">
        <v>250</v>
      </c>
      <c r="M1372" s="126" t="s">
        <v>250</v>
      </c>
      <c r="N1372" s="126" t="s">
        <v>250</v>
      </c>
      <c r="O1372" s="126" t="s">
        <v>250</v>
      </c>
      <c r="P1372" s="126" t="s">
        <v>250</v>
      </c>
      <c r="Q1372" s="126" t="s">
        <v>250</v>
      </c>
      <c r="R1372" s="126"/>
    </row>
    <row r="1373" spans="1:18" s="107" customFormat="1" ht="15">
      <c r="A1373" s="105">
        <v>31</v>
      </c>
      <c r="B1373" s="105" t="s">
        <v>250</v>
      </c>
      <c r="D1373" s="107" t="s">
        <v>250</v>
      </c>
      <c r="E1373" s="126" t="s">
        <v>250</v>
      </c>
      <c r="F1373" s="126" t="s">
        <v>250</v>
      </c>
      <c r="G1373" s="126" t="s">
        <v>250</v>
      </c>
      <c r="H1373" s="126" t="s">
        <v>250</v>
      </c>
      <c r="I1373" s="126" t="s">
        <v>250</v>
      </c>
      <c r="J1373" s="126" t="s">
        <v>250</v>
      </c>
      <c r="K1373" s="126" t="s">
        <v>250</v>
      </c>
      <c r="L1373" s="126" t="s">
        <v>250</v>
      </c>
      <c r="M1373" s="126" t="s">
        <v>250</v>
      </c>
      <c r="N1373" s="126" t="s">
        <v>250</v>
      </c>
      <c r="O1373" s="126" t="s">
        <v>250</v>
      </c>
      <c r="P1373" s="126" t="s">
        <v>250</v>
      </c>
      <c r="Q1373" s="126" t="s">
        <v>250</v>
      </c>
      <c r="R1373" s="126"/>
    </row>
    <row r="1374" spans="1:18" s="107" customFormat="1" ht="15">
      <c r="A1374" s="105">
        <v>32</v>
      </c>
      <c r="B1374" s="105" t="s">
        <v>250</v>
      </c>
      <c r="D1374" s="107" t="s">
        <v>250</v>
      </c>
      <c r="E1374" s="126" t="s">
        <v>250</v>
      </c>
      <c r="F1374" s="126" t="s">
        <v>250</v>
      </c>
      <c r="G1374" s="126" t="s">
        <v>250</v>
      </c>
      <c r="H1374" s="126" t="s">
        <v>250</v>
      </c>
      <c r="I1374" s="126" t="s">
        <v>250</v>
      </c>
      <c r="J1374" s="126" t="s">
        <v>250</v>
      </c>
      <c r="K1374" s="126" t="s">
        <v>250</v>
      </c>
      <c r="L1374" s="126" t="s">
        <v>250</v>
      </c>
      <c r="M1374" s="126" t="s">
        <v>250</v>
      </c>
      <c r="N1374" s="126" t="s">
        <v>250</v>
      </c>
      <c r="O1374" s="126" t="s">
        <v>250</v>
      </c>
      <c r="P1374" s="126" t="s">
        <v>250</v>
      </c>
      <c r="Q1374" s="126" t="s">
        <v>250</v>
      </c>
      <c r="R1374" s="126"/>
    </row>
    <row r="1375" spans="1:18" s="107" customFormat="1" ht="15">
      <c r="A1375" s="105">
        <v>33</v>
      </c>
      <c r="B1375" s="105" t="s">
        <v>250</v>
      </c>
      <c r="D1375" s="107" t="s">
        <v>250</v>
      </c>
      <c r="E1375" s="126" t="s">
        <v>250</v>
      </c>
      <c r="F1375" s="126" t="s">
        <v>250</v>
      </c>
      <c r="G1375" s="126" t="s">
        <v>250</v>
      </c>
      <c r="H1375" s="126" t="s">
        <v>250</v>
      </c>
      <c r="I1375" s="126" t="s">
        <v>250</v>
      </c>
      <c r="J1375" s="126" t="s">
        <v>250</v>
      </c>
      <c r="K1375" s="126" t="s">
        <v>250</v>
      </c>
      <c r="L1375" s="126" t="s">
        <v>250</v>
      </c>
      <c r="M1375" s="126" t="s">
        <v>250</v>
      </c>
      <c r="N1375" s="126" t="s">
        <v>250</v>
      </c>
      <c r="O1375" s="126" t="s">
        <v>250</v>
      </c>
      <c r="P1375" s="126" t="s">
        <v>250</v>
      </c>
      <c r="Q1375" s="126" t="s">
        <v>250</v>
      </c>
      <c r="R1375" s="126"/>
    </row>
    <row r="1376" spans="1:18" s="107" customFormat="1" ht="15">
      <c r="A1376" s="105">
        <v>34</v>
      </c>
      <c r="B1376" s="105" t="s">
        <v>250</v>
      </c>
      <c r="D1376" s="107" t="s">
        <v>250</v>
      </c>
      <c r="E1376" s="126" t="s">
        <v>250</v>
      </c>
      <c r="F1376" s="126" t="s">
        <v>250</v>
      </c>
      <c r="G1376" s="126" t="s">
        <v>250</v>
      </c>
      <c r="H1376" s="126" t="s">
        <v>250</v>
      </c>
      <c r="I1376" s="126" t="s">
        <v>250</v>
      </c>
      <c r="J1376" s="126" t="s">
        <v>250</v>
      </c>
      <c r="K1376" s="126" t="s">
        <v>250</v>
      </c>
      <c r="L1376" s="126" t="s">
        <v>250</v>
      </c>
      <c r="M1376" s="126" t="s">
        <v>250</v>
      </c>
      <c r="N1376" s="126" t="s">
        <v>250</v>
      </c>
      <c r="O1376" s="126" t="s">
        <v>250</v>
      </c>
      <c r="P1376" s="126" t="s">
        <v>250</v>
      </c>
      <c r="Q1376" s="126" t="s">
        <v>250</v>
      </c>
      <c r="R1376" s="126"/>
    </row>
    <row r="1377" spans="1:18" s="107" customFormat="1" ht="15">
      <c r="A1377" s="105">
        <v>35</v>
      </c>
      <c r="B1377" s="105" t="s">
        <v>250</v>
      </c>
      <c r="D1377" s="107" t="s">
        <v>250</v>
      </c>
      <c r="E1377" s="126" t="s">
        <v>250</v>
      </c>
      <c r="F1377" s="126" t="s">
        <v>250</v>
      </c>
      <c r="G1377" s="126" t="s">
        <v>250</v>
      </c>
      <c r="H1377" s="126" t="s">
        <v>250</v>
      </c>
      <c r="I1377" s="126" t="s">
        <v>250</v>
      </c>
      <c r="J1377" s="126" t="s">
        <v>250</v>
      </c>
      <c r="K1377" s="126" t="s">
        <v>250</v>
      </c>
      <c r="L1377" s="126" t="s">
        <v>250</v>
      </c>
      <c r="M1377" s="126" t="s">
        <v>250</v>
      </c>
      <c r="N1377" s="126" t="s">
        <v>250</v>
      </c>
      <c r="O1377" s="126" t="s">
        <v>250</v>
      </c>
      <c r="P1377" s="126" t="s">
        <v>250</v>
      </c>
      <c r="Q1377" s="126" t="s">
        <v>250</v>
      </c>
      <c r="R1377" s="126"/>
    </row>
    <row r="1378" spans="1:18" s="107" customFormat="1" ht="15">
      <c r="A1378" s="105">
        <v>36</v>
      </c>
      <c r="B1378" s="105" t="s">
        <v>250</v>
      </c>
      <c r="D1378" s="107" t="s">
        <v>250</v>
      </c>
      <c r="E1378" s="126" t="s">
        <v>250</v>
      </c>
      <c r="F1378" s="126" t="s">
        <v>250</v>
      </c>
      <c r="G1378" s="126" t="s">
        <v>250</v>
      </c>
      <c r="H1378" s="126" t="s">
        <v>250</v>
      </c>
      <c r="I1378" s="126" t="s">
        <v>250</v>
      </c>
      <c r="J1378" s="126" t="s">
        <v>250</v>
      </c>
      <c r="K1378" s="126" t="s">
        <v>250</v>
      </c>
      <c r="L1378" s="126" t="s">
        <v>250</v>
      </c>
      <c r="M1378" s="126" t="s">
        <v>250</v>
      </c>
      <c r="N1378" s="126" t="s">
        <v>250</v>
      </c>
      <c r="O1378" s="126" t="s">
        <v>250</v>
      </c>
      <c r="P1378" s="126" t="s">
        <v>250</v>
      </c>
      <c r="Q1378" s="126" t="s">
        <v>250</v>
      </c>
      <c r="R1378" s="126"/>
    </row>
    <row r="1379" spans="1:18" s="107" customFormat="1" ht="15">
      <c r="A1379" s="105">
        <v>37</v>
      </c>
      <c r="B1379" s="105" t="s">
        <v>250</v>
      </c>
      <c r="D1379" s="107" t="s">
        <v>250</v>
      </c>
      <c r="E1379" s="126" t="s">
        <v>250</v>
      </c>
      <c r="F1379" s="126" t="s">
        <v>250</v>
      </c>
      <c r="G1379" s="126" t="s">
        <v>250</v>
      </c>
      <c r="H1379" s="126" t="s">
        <v>250</v>
      </c>
      <c r="I1379" s="126" t="s">
        <v>250</v>
      </c>
      <c r="J1379" s="126" t="s">
        <v>250</v>
      </c>
      <c r="K1379" s="126" t="s">
        <v>250</v>
      </c>
      <c r="L1379" s="126" t="s">
        <v>250</v>
      </c>
      <c r="M1379" s="126" t="s">
        <v>250</v>
      </c>
      <c r="N1379" s="126" t="s">
        <v>250</v>
      </c>
      <c r="O1379" s="126" t="s">
        <v>250</v>
      </c>
      <c r="P1379" s="126" t="s">
        <v>250</v>
      </c>
      <c r="Q1379" s="126" t="s">
        <v>250</v>
      </c>
      <c r="R1379" s="126"/>
    </row>
    <row r="1380" spans="1:18" s="107" customFormat="1" ht="15">
      <c r="A1380" s="105">
        <v>38</v>
      </c>
      <c r="B1380" s="105" t="s">
        <v>250</v>
      </c>
      <c r="D1380" s="107" t="s">
        <v>250</v>
      </c>
      <c r="E1380" s="126" t="s">
        <v>250</v>
      </c>
      <c r="F1380" s="126" t="s">
        <v>250</v>
      </c>
      <c r="G1380" s="126" t="s">
        <v>250</v>
      </c>
      <c r="H1380" s="126" t="s">
        <v>250</v>
      </c>
      <c r="I1380" s="126" t="s">
        <v>250</v>
      </c>
      <c r="J1380" s="126" t="s">
        <v>250</v>
      </c>
      <c r="K1380" s="126" t="s">
        <v>250</v>
      </c>
      <c r="L1380" s="126" t="s">
        <v>250</v>
      </c>
      <c r="M1380" s="126" t="s">
        <v>250</v>
      </c>
      <c r="N1380" s="126" t="s">
        <v>250</v>
      </c>
      <c r="O1380" s="126" t="s">
        <v>250</v>
      </c>
      <c r="P1380" s="126" t="s">
        <v>250</v>
      </c>
      <c r="Q1380" s="126" t="s">
        <v>250</v>
      </c>
      <c r="R1380" s="126"/>
    </row>
    <row r="1381" spans="1:18" s="107" customFormat="1" ht="15">
      <c r="A1381" s="105">
        <v>39</v>
      </c>
      <c r="B1381" s="105" t="s">
        <v>250</v>
      </c>
      <c r="D1381" s="107" t="s">
        <v>250</v>
      </c>
      <c r="E1381" s="126" t="s">
        <v>250</v>
      </c>
      <c r="F1381" s="126" t="s">
        <v>250</v>
      </c>
      <c r="G1381" s="126" t="s">
        <v>250</v>
      </c>
      <c r="H1381" s="126" t="s">
        <v>250</v>
      </c>
      <c r="I1381" s="126" t="s">
        <v>250</v>
      </c>
      <c r="J1381" s="126" t="s">
        <v>250</v>
      </c>
      <c r="K1381" s="126" t="s">
        <v>250</v>
      </c>
      <c r="L1381" s="126" t="s">
        <v>250</v>
      </c>
      <c r="M1381" s="126" t="s">
        <v>250</v>
      </c>
      <c r="N1381" s="126" t="s">
        <v>250</v>
      </c>
      <c r="O1381" s="126" t="s">
        <v>250</v>
      </c>
      <c r="P1381" s="126" t="s">
        <v>250</v>
      </c>
      <c r="Q1381" s="126" t="s">
        <v>250</v>
      </c>
      <c r="R1381" s="126"/>
    </row>
    <row r="1382" spans="1:18" s="107" customFormat="1" ht="15">
      <c r="A1382" s="105">
        <v>40</v>
      </c>
      <c r="B1382" s="105" t="s">
        <v>250</v>
      </c>
      <c r="D1382" s="107" t="s">
        <v>250</v>
      </c>
      <c r="E1382" s="126" t="s">
        <v>250</v>
      </c>
      <c r="F1382" s="126" t="s">
        <v>250</v>
      </c>
      <c r="G1382" s="126" t="s">
        <v>250</v>
      </c>
      <c r="H1382" s="126" t="s">
        <v>250</v>
      </c>
      <c r="I1382" s="126" t="s">
        <v>250</v>
      </c>
      <c r="J1382" s="126" t="s">
        <v>250</v>
      </c>
      <c r="K1382" s="126" t="s">
        <v>250</v>
      </c>
      <c r="L1382" s="126" t="s">
        <v>250</v>
      </c>
      <c r="M1382" s="126" t="s">
        <v>250</v>
      </c>
      <c r="N1382" s="126" t="s">
        <v>250</v>
      </c>
      <c r="O1382" s="126" t="s">
        <v>250</v>
      </c>
      <c r="P1382" s="126" t="s">
        <v>250</v>
      </c>
      <c r="Q1382" s="126" t="s">
        <v>250</v>
      </c>
      <c r="R1382" s="126"/>
    </row>
    <row r="1383" spans="1:18" s="107" customFormat="1" ht="15">
      <c r="A1383" s="105" t="s">
        <v>250</v>
      </c>
      <c r="B1383" s="105" t="s">
        <v>250</v>
      </c>
      <c r="D1383" s="107" t="s">
        <v>250</v>
      </c>
      <c r="E1383" s="126" t="s">
        <v>250</v>
      </c>
      <c r="F1383" s="126" t="s">
        <v>250</v>
      </c>
      <c r="G1383" s="126" t="s">
        <v>250</v>
      </c>
      <c r="H1383" s="126" t="s">
        <v>250</v>
      </c>
      <c r="I1383" s="126" t="s">
        <v>250</v>
      </c>
      <c r="J1383" s="126" t="s">
        <v>250</v>
      </c>
      <c r="K1383" s="126" t="s">
        <v>250</v>
      </c>
      <c r="L1383" s="126" t="s">
        <v>250</v>
      </c>
      <c r="M1383" s="126" t="s">
        <v>250</v>
      </c>
      <c r="N1383" s="126" t="s">
        <v>250</v>
      </c>
      <c r="O1383" s="126" t="s">
        <v>250</v>
      </c>
      <c r="P1383" s="126" t="s">
        <v>250</v>
      </c>
      <c r="Q1383" s="126" t="s">
        <v>250</v>
      </c>
      <c r="R1383" s="126"/>
    </row>
    <row r="1384" spans="1:18" s="107" customFormat="1" ht="15">
      <c r="A1384" s="105" t="s">
        <v>250</v>
      </c>
      <c r="B1384" s="105" t="s">
        <v>1124</v>
      </c>
      <c r="D1384" s="107" t="s">
        <v>250</v>
      </c>
      <c r="E1384" s="126" t="s">
        <v>250</v>
      </c>
      <c r="F1384" s="126" t="s">
        <v>250</v>
      </c>
      <c r="G1384" s="126" t="s">
        <v>250</v>
      </c>
      <c r="H1384" s="126" t="s">
        <v>250</v>
      </c>
      <c r="I1384" s="126" t="s">
        <v>250</v>
      </c>
      <c r="J1384" s="126" t="s">
        <v>250</v>
      </c>
      <c r="K1384" s="126" t="s">
        <v>250</v>
      </c>
      <c r="L1384" s="126" t="s">
        <v>250</v>
      </c>
      <c r="M1384" s="126" t="s">
        <v>250</v>
      </c>
      <c r="N1384" s="126" t="s">
        <v>250</v>
      </c>
      <c r="O1384" s="126" t="s">
        <v>250</v>
      </c>
      <c r="P1384" s="126" t="s">
        <v>250</v>
      </c>
      <c r="Q1384" s="126" t="s">
        <v>250</v>
      </c>
      <c r="R1384" s="126"/>
    </row>
    <row r="1385" spans="1:18" s="107" customFormat="1" ht="15">
      <c r="A1385" s="105" t="s">
        <v>250</v>
      </c>
      <c r="B1385" s="105" t="s">
        <v>917</v>
      </c>
      <c r="D1385" s="107" t="s">
        <v>250</v>
      </c>
      <c r="E1385" s="126" t="s">
        <v>250</v>
      </c>
      <c r="F1385" s="126" t="s">
        <v>250</v>
      </c>
      <c r="G1385" s="126" t="s">
        <v>250</v>
      </c>
      <c r="H1385" s="126" t="s">
        <v>250</v>
      </c>
      <c r="I1385" s="126" t="s">
        <v>250</v>
      </c>
      <c r="J1385" s="126" t="s">
        <v>250</v>
      </c>
      <c r="K1385" s="126" t="s">
        <v>250</v>
      </c>
      <c r="L1385" s="126" t="s">
        <v>250</v>
      </c>
      <c r="M1385" s="126" t="s">
        <v>250</v>
      </c>
      <c r="N1385" s="126" t="s">
        <v>250</v>
      </c>
      <c r="O1385" s="126" t="s">
        <v>250</v>
      </c>
      <c r="P1385" s="126" t="s">
        <v>250</v>
      </c>
      <c r="Q1385" s="126" t="s">
        <v>250</v>
      </c>
      <c r="R1385" s="126"/>
    </row>
    <row r="1386" spans="1:18" s="107" customFormat="1" ht="15">
      <c r="A1386" s="105">
        <v>1</v>
      </c>
      <c r="B1386" s="105" t="s">
        <v>1125</v>
      </c>
      <c r="D1386" s="107" t="s">
        <v>250</v>
      </c>
      <c r="E1386" s="126">
        <v>0.99999999999999989</v>
      </c>
      <c r="F1386" s="126" t="s">
        <v>250</v>
      </c>
      <c r="G1386" s="126">
        <v>0.93970569079343258</v>
      </c>
      <c r="H1386" s="126" t="s">
        <v>250</v>
      </c>
      <c r="I1386" s="126">
        <v>6.0294309206567309E-2</v>
      </c>
      <c r="J1386" s="126">
        <v>0</v>
      </c>
      <c r="K1386" s="126" t="s">
        <v>250</v>
      </c>
      <c r="L1386" s="126" t="s">
        <v>250</v>
      </c>
      <c r="M1386" s="126">
        <v>0</v>
      </c>
      <c r="N1386" s="126" t="s">
        <v>250</v>
      </c>
      <c r="O1386" s="126">
        <v>0</v>
      </c>
      <c r="P1386" s="126">
        <v>0</v>
      </c>
      <c r="Q1386" s="126">
        <v>0</v>
      </c>
      <c r="R1386" s="126"/>
    </row>
    <row r="1387" spans="1:18" s="107" customFormat="1" ht="15">
      <c r="A1387" s="105">
        <v>2</v>
      </c>
      <c r="B1387" s="105" t="s">
        <v>1126</v>
      </c>
      <c r="D1387" s="107" t="s">
        <v>250</v>
      </c>
      <c r="E1387" s="126">
        <v>1</v>
      </c>
      <c r="F1387" s="126" t="s">
        <v>250</v>
      </c>
      <c r="G1387" s="126">
        <v>0.95823674080150945</v>
      </c>
      <c r="H1387" s="126" t="s">
        <v>250</v>
      </c>
      <c r="I1387" s="126">
        <v>4.1763259198490527E-2</v>
      </c>
      <c r="J1387" s="126">
        <v>0</v>
      </c>
      <c r="K1387" s="126" t="s">
        <v>250</v>
      </c>
      <c r="L1387" s="126" t="s">
        <v>250</v>
      </c>
      <c r="M1387" s="126">
        <v>0</v>
      </c>
      <c r="N1387" s="126" t="s">
        <v>250</v>
      </c>
      <c r="O1387" s="126">
        <v>0</v>
      </c>
      <c r="P1387" s="126">
        <v>0</v>
      </c>
      <c r="Q1387" s="126">
        <v>0</v>
      </c>
      <c r="R1387" s="126"/>
    </row>
    <row r="1388" spans="1:18" s="107" customFormat="1" ht="15">
      <c r="A1388" s="105">
        <v>3</v>
      </c>
      <c r="B1388" s="105" t="s">
        <v>1127</v>
      </c>
      <c r="D1388" s="107" t="s">
        <v>250</v>
      </c>
      <c r="E1388" s="126">
        <v>0</v>
      </c>
      <c r="F1388" s="126" t="s">
        <v>250</v>
      </c>
      <c r="G1388" s="126">
        <v>0</v>
      </c>
      <c r="H1388" s="126" t="s">
        <v>250</v>
      </c>
      <c r="I1388" s="126">
        <v>0</v>
      </c>
      <c r="J1388" s="126">
        <v>0</v>
      </c>
      <c r="K1388" s="126" t="s">
        <v>250</v>
      </c>
      <c r="L1388" s="126" t="s">
        <v>250</v>
      </c>
      <c r="M1388" s="126">
        <v>0</v>
      </c>
      <c r="N1388" s="126" t="s">
        <v>250</v>
      </c>
      <c r="O1388" s="126">
        <v>0</v>
      </c>
      <c r="P1388" s="126">
        <v>0</v>
      </c>
      <c r="Q1388" s="126">
        <v>0</v>
      </c>
      <c r="R1388" s="126"/>
    </row>
    <row r="1389" spans="1:18" s="107" customFormat="1" ht="15">
      <c r="A1389" s="105">
        <v>4</v>
      </c>
      <c r="B1389" s="105" t="s">
        <v>1128</v>
      </c>
      <c r="D1389" s="107" t="s">
        <v>250</v>
      </c>
      <c r="E1389" s="126">
        <v>1</v>
      </c>
      <c r="F1389" s="126" t="s">
        <v>250</v>
      </c>
      <c r="G1389" s="126">
        <v>0.97733324096788676</v>
      </c>
      <c r="H1389" s="126" t="s">
        <v>250</v>
      </c>
      <c r="I1389" s="126">
        <v>2.2666759032113338E-2</v>
      </c>
      <c r="J1389" s="126">
        <v>0</v>
      </c>
      <c r="K1389" s="126" t="s">
        <v>250</v>
      </c>
      <c r="L1389" s="126" t="s">
        <v>250</v>
      </c>
      <c r="M1389" s="126">
        <v>0</v>
      </c>
      <c r="N1389" s="126" t="s">
        <v>250</v>
      </c>
      <c r="O1389" s="126">
        <v>0</v>
      </c>
      <c r="P1389" s="126">
        <v>0</v>
      </c>
      <c r="Q1389" s="126">
        <v>0</v>
      </c>
      <c r="R1389" s="126"/>
    </row>
    <row r="1390" spans="1:18" s="107" customFormat="1" ht="15">
      <c r="A1390" s="105">
        <v>5</v>
      </c>
      <c r="B1390" s="105" t="s">
        <v>1129</v>
      </c>
      <c r="D1390" s="107" t="s">
        <v>250</v>
      </c>
      <c r="E1390" s="126">
        <v>0</v>
      </c>
      <c r="F1390" s="126" t="s">
        <v>250</v>
      </c>
      <c r="G1390" s="126">
        <v>0</v>
      </c>
      <c r="H1390" s="126" t="s">
        <v>250</v>
      </c>
      <c r="I1390" s="126">
        <v>0</v>
      </c>
      <c r="J1390" s="126">
        <v>0</v>
      </c>
      <c r="K1390" s="126" t="s">
        <v>250</v>
      </c>
      <c r="L1390" s="126" t="s">
        <v>250</v>
      </c>
      <c r="M1390" s="126">
        <v>0</v>
      </c>
      <c r="N1390" s="126" t="s">
        <v>250</v>
      </c>
      <c r="O1390" s="126">
        <v>0</v>
      </c>
      <c r="P1390" s="126">
        <v>0</v>
      </c>
      <c r="Q1390" s="126">
        <v>0</v>
      </c>
      <c r="R1390" s="126"/>
    </row>
    <row r="1391" spans="1:18" s="107" customFormat="1" ht="15">
      <c r="A1391" s="105">
        <v>6</v>
      </c>
      <c r="B1391" s="105" t="s">
        <v>1130</v>
      </c>
      <c r="D1391" s="107" t="s">
        <v>250</v>
      </c>
      <c r="E1391" s="126">
        <v>1</v>
      </c>
      <c r="F1391" s="126" t="s">
        <v>250</v>
      </c>
      <c r="G1391" s="126">
        <v>0.96679236088004084</v>
      </c>
      <c r="H1391" s="126" t="s">
        <v>250</v>
      </c>
      <c r="I1391" s="126">
        <v>3.3207639119959213E-2</v>
      </c>
      <c r="J1391" s="126">
        <v>0</v>
      </c>
      <c r="K1391" s="126" t="s">
        <v>250</v>
      </c>
      <c r="L1391" s="126" t="s">
        <v>250</v>
      </c>
      <c r="M1391" s="126">
        <v>0</v>
      </c>
      <c r="N1391" s="126" t="s">
        <v>250</v>
      </c>
      <c r="O1391" s="126">
        <v>0</v>
      </c>
      <c r="P1391" s="126">
        <v>0</v>
      </c>
      <c r="Q1391" s="126">
        <v>0</v>
      </c>
      <c r="R1391" s="126"/>
    </row>
    <row r="1392" spans="1:18" s="107" customFormat="1" ht="15">
      <c r="A1392" s="105">
        <v>7</v>
      </c>
      <c r="B1392" s="105" t="s">
        <v>1131</v>
      </c>
      <c r="D1392" s="107" t="s">
        <v>250</v>
      </c>
      <c r="E1392" s="126">
        <v>0.99999999999999989</v>
      </c>
      <c r="F1392" s="126" t="s">
        <v>250</v>
      </c>
      <c r="G1392" s="126">
        <v>0.94838355662916118</v>
      </c>
      <c r="H1392" s="126" t="s">
        <v>250</v>
      </c>
      <c r="I1392" s="126">
        <v>5.1616443370838726E-2</v>
      </c>
      <c r="J1392" s="126">
        <v>0</v>
      </c>
      <c r="K1392" s="126" t="s">
        <v>250</v>
      </c>
      <c r="L1392" s="126" t="s">
        <v>250</v>
      </c>
      <c r="M1392" s="126">
        <v>0</v>
      </c>
      <c r="N1392" s="126" t="s">
        <v>250</v>
      </c>
      <c r="O1392" s="126">
        <v>0</v>
      </c>
      <c r="P1392" s="126">
        <v>0</v>
      </c>
      <c r="Q1392" s="126">
        <v>0</v>
      </c>
      <c r="R1392" s="126"/>
    </row>
    <row r="1393" spans="1:18" s="107" customFormat="1" ht="15">
      <c r="A1393" s="105">
        <v>8</v>
      </c>
      <c r="B1393" s="105" t="s">
        <v>1132</v>
      </c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</row>
    <row r="1394" spans="1:18" s="107" customFormat="1" ht="15">
      <c r="A1394" s="105">
        <v>9</v>
      </c>
      <c r="B1394" s="105" t="s">
        <v>1133</v>
      </c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</row>
    <row r="1395" spans="1:18" s="107" customFormat="1" ht="15">
      <c r="A1395" s="105">
        <v>10</v>
      </c>
      <c r="B1395" s="105" t="s">
        <v>1134</v>
      </c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</row>
    <row r="1396" spans="1:18" s="107" customFormat="1" ht="15">
      <c r="A1396" s="105">
        <v>11</v>
      </c>
      <c r="B1396" s="105" t="s">
        <v>1135</v>
      </c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</row>
    <row r="1397" spans="1:18" s="107" customFormat="1" ht="15">
      <c r="A1397" s="105">
        <v>12</v>
      </c>
      <c r="B1397" s="105" t="s">
        <v>250</v>
      </c>
    </row>
    <row r="1398" spans="1:18" s="107" customFormat="1" ht="15">
      <c r="A1398" s="105">
        <v>13</v>
      </c>
      <c r="B1398" s="105" t="s">
        <v>250</v>
      </c>
    </row>
    <row r="1399" spans="1:18" s="107" customFormat="1" ht="15">
      <c r="A1399" s="105">
        <v>14</v>
      </c>
      <c r="B1399" s="105" t="s">
        <v>250</v>
      </c>
    </row>
    <row r="1400" spans="1:18" s="107" customFormat="1" ht="15">
      <c r="A1400" s="105">
        <v>15</v>
      </c>
      <c r="B1400" s="105" t="s">
        <v>250</v>
      </c>
    </row>
    <row r="1401" spans="1:18" s="107" customFormat="1" ht="15">
      <c r="A1401" s="105">
        <v>16</v>
      </c>
      <c r="B1401" s="105" t="s">
        <v>250</v>
      </c>
    </row>
    <row r="1402" spans="1:18" s="107" customFormat="1" ht="15">
      <c r="A1402" s="105">
        <v>17</v>
      </c>
      <c r="B1402" s="105" t="s">
        <v>250</v>
      </c>
    </row>
    <row r="1403" spans="1:18" s="107" customFormat="1" ht="15">
      <c r="A1403" s="105">
        <v>18</v>
      </c>
      <c r="B1403" s="105" t="s">
        <v>250</v>
      </c>
    </row>
  </sheetData>
  <sheetProtection selectLockedCells="1" selectUnlockedCells="1"/>
  <pageMargins left="0.5" right="0.25" top="1" bottom="0.19" header="1" footer="0.4"/>
  <pageSetup scale="53" pageOrder="overThenDown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/>
  <dimension ref="A1:T1425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1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510"/>
      <c r="D2" s="107"/>
      <c r="E2" s="107"/>
      <c r="G2" s="108" t="s">
        <v>228</v>
      </c>
      <c r="H2" s="107"/>
      <c r="I2" s="107"/>
      <c r="J2" s="107"/>
      <c r="K2" s="107"/>
      <c r="L2" s="107"/>
      <c r="M2" s="107"/>
      <c r="N2" s="103" t="s">
        <v>228</v>
      </c>
      <c r="O2" s="107"/>
      <c r="P2" s="107"/>
      <c r="Q2" s="511">
        <v>44145.769355324075</v>
      </c>
      <c r="R2" s="107"/>
      <c r="S2" s="107"/>
      <c r="T2" s="107"/>
    </row>
    <row r="3" spans="1:20" ht="15">
      <c r="A3" s="105"/>
      <c r="B3" s="105"/>
      <c r="C3" s="512"/>
      <c r="D3" s="107"/>
      <c r="E3" s="107"/>
      <c r="G3" s="108" t="s">
        <v>229</v>
      </c>
      <c r="H3" s="107"/>
      <c r="I3" s="107"/>
      <c r="J3" s="110"/>
      <c r="K3" s="107"/>
      <c r="L3" s="107"/>
      <c r="M3" s="107"/>
      <c r="N3" s="103" t="s">
        <v>229</v>
      </c>
      <c r="O3" s="107"/>
      <c r="P3" s="107"/>
      <c r="Q3" s="513">
        <v>44145.769355324075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230</v>
      </c>
      <c r="H4" s="107"/>
      <c r="I4" s="107"/>
      <c r="J4" s="107"/>
      <c r="K4" s="107"/>
      <c r="L4" s="107"/>
      <c r="M4" s="107"/>
      <c r="N4" s="103" t="s">
        <v>230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2532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232</v>
      </c>
      <c r="D6" s="107"/>
      <c r="E6" s="113"/>
      <c r="G6" s="114" t="s">
        <v>3704</v>
      </c>
      <c r="H6" s="107"/>
      <c r="I6" s="107"/>
      <c r="J6" s="107"/>
      <c r="K6" s="107"/>
      <c r="L6" s="107"/>
      <c r="M6" s="107"/>
      <c r="N6" s="103" t="s">
        <v>2420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233</v>
      </c>
      <c r="F8" s="107"/>
      <c r="G8" s="111" t="s">
        <v>234</v>
      </c>
      <c r="H8" s="107"/>
      <c r="I8" s="111" t="s">
        <v>235</v>
      </c>
      <c r="J8" s="115" t="s">
        <v>236</v>
      </c>
      <c r="K8" s="107"/>
      <c r="L8" s="107"/>
      <c r="M8" s="111" t="s">
        <v>237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234</v>
      </c>
      <c r="F9" s="107"/>
      <c r="G9" s="111" t="s">
        <v>238</v>
      </c>
      <c r="H9" s="107"/>
      <c r="I9" s="111" t="s">
        <v>238</v>
      </c>
      <c r="J9" s="111" t="s">
        <v>237</v>
      </c>
      <c r="K9" s="107"/>
      <c r="L9" s="107"/>
      <c r="M9" s="111" t="s">
        <v>238</v>
      </c>
      <c r="N9" s="111"/>
      <c r="O9" s="111" t="s">
        <v>239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240</v>
      </c>
      <c r="E10" s="111" t="s">
        <v>241</v>
      </c>
      <c r="F10" s="107"/>
      <c r="G10" s="111" t="s">
        <v>242</v>
      </c>
      <c r="H10" s="107"/>
      <c r="I10" s="111" t="s">
        <v>242</v>
      </c>
      <c r="J10" s="111" t="s">
        <v>242</v>
      </c>
      <c r="K10" s="107"/>
      <c r="L10" s="107"/>
      <c r="M10" s="111" t="s">
        <v>242</v>
      </c>
      <c r="N10" s="111"/>
      <c r="O10" s="111" t="s">
        <v>242</v>
      </c>
      <c r="P10" s="111" t="s">
        <v>243</v>
      </c>
      <c r="Q10" s="111" t="s">
        <v>244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245</v>
      </c>
      <c r="F11" s="107"/>
      <c r="G11" s="111" t="s">
        <v>246</v>
      </c>
      <c r="H11" s="107"/>
      <c r="I11" s="514">
        <v>-3</v>
      </c>
      <c r="J11" s="514">
        <v>-4</v>
      </c>
      <c r="K11" s="107"/>
      <c r="L11" s="107"/>
      <c r="M11" s="514">
        <v>-5</v>
      </c>
      <c r="N11" s="111"/>
      <c r="O11" s="111" t="s">
        <v>247</v>
      </c>
      <c r="P11" s="111" t="s">
        <v>248</v>
      </c>
      <c r="Q11" s="111" t="s">
        <v>249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250</v>
      </c>
      <c r="B13" s="105"/>
      <c r="C13" s="107" t="s">
        <v>251</v>
      </c>
      <c r="D13" s="107" t="s">
        <v>250</v>
      </c>
      <c r="E13" s="107" t="s">
        <v>250</v>
      </c>
      <c r="F13" s="107" t="s">
        <v>250</v>
      </c>
      <c r="G13" s="107" t="s">
        <v>250</v>
      </c>
      <c r="H13" s="107" t="s">
        <v>250</v>
      </c>
      <c r="I13" s="107" t="s">
        <v>250</v>
      </c>
      <c r="J13" s="107" t="s">
        <v>250</v>
      </c>
      <c r="K13" s="107" t="s">
        <v>250</v>
      </c>
      <c r="L13" s="107" t="s">
        <v>250</v>
      </c>
      <c r="M13" s="107" t="s">
        <v>250</v>
      </c>
      <c r="N13" s="107" t="s">
        <v>250</v>
      </c>
      <c r="O13" s="107" t="s">
        <v>250</v>
      </c>
      <c r="P13" s="107" t="s">
        <v>250</v>
      </c>
      <c r="Q13" s="107" t="s">
        <v>250</v>
      </c>
      <c r="R13" s="107"/>
      <c r="S13" s="107"/>
      <c r="T13" s="107"/>
    </row>
    <row r="14" spans="1:20" ht="15">
      <c r="A14" s="105" t="s">
        <v>250</v>
      </c>
      <c r="B14" s="105"/>
      <c r="C14" s="107" t="s">
        <v>250</v>
      </c>
      <c r="D14" s="107" t="s">
        <v>250</v>
      </c>
      <c r="E14" s="107" t="s">
        <v>250</v>
      </c>
      <c r="F14" s="107" t="s">
        <v>250</v>
      </c>
      <c r="G14" s="107" t="s">
        <v>250</v>
      </c>
      <c r="H14" s="107" t="s">
        <v>250</v>
      </c>
      <c r="I14" s="107" t="s">
        <v>250</v>
      </c>
      <c r="J14" s="107" t="s">
        <v>250</v>
      </c>
      <c r="K14" s="107" t="s">
        <v>250</v>
      </c>
      <c r="L14" s="107" t="s">
        <v>250</v>
      </c>
      <c r="M14" s="107" t="s">
        <v>250</v>
      </c>
      <c r="N14" s="107" t="s">
        <v>250</v>
      </c>
      <c r="O14" s="107" t="s">
        <v>250</v>
      </c>
      <c r="P14" s="107" t="s">
        <v>250</v>
      </c>
      <c r="Q14" s="107" t="s">
        <v>250</v>
      </c>
      <c r="R14" s="107"/>
      <c r="S14" s="107"/>
      <c r="T14" s="107"/>
    </row>
    <row r="15" spans="1:20" ht="15">
      <c r="A15" s="105" t="s">
        <v>250</v>
      </c>
      <c r="B15" s="105"/>
      <c r="C15" s="107" t="s">
        <v>252</v>
      </c>
      <c r="D15" s="107" t="s">
        <v>250</v>
      </c>
      <c r="E15" s="107" t="s">
        <v>250</v>
      </c>
      <c r="F15" s="107" t="s">
        <v>250</v>
      </c>
      <c r="G15" s="107" t="s">
        <v>250</v>
      </c>
      <c r="H15" s="107" t="s">
        <v>250</v>
      </c>
      <c r="I15" s="107" t="s">
        <v>250</v>
      </c>
      <c r="J15" s="107" t="s">
        <v>250</v>
      </c>
      <c r="K15" s="107" t="s">
        <v>250</v>
      </c>
      <c r="L15" s="107" t="s">
        <v>250</v>
      </c>
      <c r="M15" s="107" t="s">
        <v>250</v>
      </c>
      <c r="N15" s="107" t="s">
        <v>250</v>
      </c>
      <c r="O15" s="107" t="s">
        <v>250</v>
      </c>
      <c r="P15" s="107" t="s">
        <v>250</v>
      </c>
      <c r="Q15" s="107" t="s">
        <v>250</v>
      </c>
      <c r="R15" s="107"/>
      <c r="S15" s="107"/>
      <c r="T15" s="107"/>
    </row>
    <row r="16" spans="1:20" ht="15">
      <c r="A16" s="105" t="s">
        <v>250</v>
      </c>
      <c r="B16" s="105"/>
      <c r="C16" s="107" t="s">
        <v>250</v>
      </c>
      <c r="D16" s="107" t="s">
        <v>250</v>
      </c>
      <c r="E16" s="107" t="s">
        <v>250</v>
      </c>
      <c r="F16" s="107" t="s">
        <v>250</v>
      </c>
      <c r="G16" s="107" t="s">
        <v>250</v>
      </c>
      <c r="H16" s="107" t="s">
        <v>250</v>
      </c>
      <c r="I16" s="107" t="s">
        <v>250</v>
      </c>
      <c r="J16" s="107" t="s">
        <v>250</v>
      </c>
      <c r="K16" s="107" t="s">
        <v>250</v>
      </c>
      <c r="L16" s="107" t="s">
        <v>250</v>
      </c>
      <c r="M16" s="107" t="s">
        <v>250</v>
      </c>
      <c r="N16" s="107" t="s">
        <v>250</v>
      </c>
      <c r="O16" s="107" t="s">
        <v>250</v>
      </c>
      <c r="P16" s="107" t="s">
        <v>250</v>
      </c>
      <c r="Q16" s="107" t="s">
        <v>250</v>
      </c>
      <c r="R16" s="107"/>
      <c r="S16" s="107"/>
      <c r="T16" s="107"/>
    </row>
    <row r="17" spans="1:20" ht="15">
      <c r="A17" s="105">
        <v>1</v>
      </c>
      <c r="B17" s="105"/>
      <c r="C17" s="107" t="s">
        <v>253</v>
      </c>
      <c r="D17" s="107" t="s">
        <v>250</v>
      </c>
      <c r="E17" s="120">
        <v>10907444067.867552</v>
      </c>
      <c r="F17" s="120" t="s">
        <v>250</v>
      </c>
      <c r="G17" s="120">
        <v>10194926070.146112</v>
      </c>
      <c r="H17" s="120" t="s">
        <v>250</v>
      </c>
      <c r="I17" s="120">
        <v>568609349.45916653</v>
      </c>
      <c r="J17" s="120">
        <v>143908648.26227397</v>
      </c>
      <c r="K17" s="120" t="s">
        <v>250</v>
      </c>
      <c r="L17" s="120" t="s">
        <v>250</v>
      </c>
      <c r="M17" s="120">
        <v>0</v>
      </c>
      <c r="N17" s="120" t="s">
        <v>250</v>
      </c>
      <c r="O17" s="120">
        <v>143908648.26227397</v>
      </c>
      <c r="P17" s="120">
        <v>75298903.356376141</v>
      </c>
      <c r="Q17" s="120">
        <v>68609744.905897826</v>
      </c>
      <c r="R17" s="120"/>
      <c r="S17" s="120"/>
      <c r="T17" s="107"/>
    </row>
    <row r="18" spans="1:20" ht="15">
      <c r="A18" s="105" t="s">
        <v>250</v>
      </c>
      <c r="B18" s="105"/>
      <c r="C18" s="107" t="s">
        <v>250</v>
      </c>
      <c r="D18" s="107" t="s">
        <v>250</v>
      </c>
      <c r="E18" s="120" t="s">
        <v>250</v>
      </c>
      <c r="F18" s="120" t="s">
        <v>250</v>
      </c>
      <c r="G18" s="120" t="s">
        <v>250</v>
      </c>
      <c r="H18" s="120" t="s">
        <v>250</v>
      </c>
      <c r="I18" s="120" t="s">
        <v>250</v>
      </c>
      <c r="J18" s="120" t="s">
        <v>250</v>
      </c>
      <c r="K18" s="120" t="s">
        <v>250</v>
      </c>
      <c r="L18" s="120" t="s">
        <v>250</v>
      </c>
      <c r="M18" s="120" t="s">
        <v>250</v>
      </c>
      <c r="N18" s="120" t="s">
        <v>250</v>
      </c>
      <c r="O18" s="120" t="s">
        <v>250</v>
      </c>
      <c r="P18" s="120" t="s">
        <v>250</v>
      </c>
      <c r="Q18" s="120" t="s">
        <v>250</v>
      </c>
      <c r="R18" s="120"/>
      <c r="S18" s="120"/>
      <c r="T18" s="107"/>
    </row>
    <row r="19" spans="1:20" ht="15">
      <c r="A19" s="105">
        <v>2</v>
      </c>
      <c r="B19" s="105"/>
      <c r="C19" s="107" t="s">
        <v>254</v>
      </c>
      <c r="D19" s="107" t="s">
        <v>250</v>
      </c>
      <c r="E19" s="120">
        <v>3922604709.0445523</v>
      </c>
      <c r="F19" s="120" t="s">
        <v>250</v>
      </c>
      <c r="G19" s="120">
        <v>3655298713.2239285</v>
      </c>
      <c r="H19" s="120" t="s">
        <v>250</v>
      </c>
      <c r="I19" s="120">
        <v>211103567.11867952</v>
      </c>
      <c r="J19" s="120">
        <v>56202428.701944135</v>
      </c>
      <c r="K19" s="120" t="s">
        <v>250</v>
      </c>
      <c r="L19" s="120" t="s">
        <v>250</v>
      </c>
      <c r="M19" s="120">
        <v>0</v>
      </c>
      <c r="N19" s="120" t="s">
        <v>250</v>
      </c>
      <c r="O19" s="120">
        <v>56202428.701944135</v>
      </c>
      <c r="P19" s="120">
        <v>29077632.874473128</v>
      </c>
      <c r="Q19" s="120">
        <v>27124795.827471007</v>
      </c>
      <c r="R19" s="120"/>
      <c r="S19" s="120"/>
      <c r="T19" s="107"/>
    </row>
    <row r="20" spans="1:20" ht="15">
      <c r="A20" s="105">
        <v>3</v>
      </c>
      <c r="B20" s="105"/>
      <c r="C20" s="107" t="s">
        <v>255</v>
      </c>
      <c r="D20" s="107" t="s">
        <v>250</v>
      </c>
      <c r="E20" s="120">
        <v>6984839358.823</v>
      </c>
      <c r="F20" s="120" t="s">
        <v>250</v>
      </c>
      <c r="G20" s="120">
        <v>6539627356.922184</v>
      </c>
      <c r="H20" s="120" t="s">
        <v>250</v>
      </c>
      <c r="I20" s="120">
        <v>357505782.340487</v>
      </c>
      <c r="J20" s="120">
        <v>87706219.56032984</v>
      </c>
      <c r="K20" s="120" t="s">
        <v>250</v>
      </c>
      <c r="L20" s="120" t="s">
        <v>250</v>
      </c>
      <c r="M20" s="120">
        <v>0</v>
      </c>
      <c r="N20" s="120" t="s">
        <v>250</v>
      </c>
      <c r="O20" s="120">
        <v>87706219.56032984</v>
      </c>
      <c r="P20" s="120">
        <v>46221270.481903017</v>
      </c>
      <c r="Q20" s="120">
        <v>41484949.078426823</v>
      </c>
      <c r="R20" s="120"/>
      <c r="S20" s="120"/>
      <c r="T20" s="107"/>
    </row>
    <row r="21" spans="1:20" ht="15">
      <c r="A21" s="105" t="s">
        <v>250</v>
      </c>
      <c r="B21" s="105"/>
      <c r="C21" s="107" t="s">
        <v>250</v>
      </c>
      <c r="D21" s="107" t="s">
        <v>250</v>
      </c>
      <c r="E21" s="120" t="s">
        <v>250</v>
      </c>
      <c r="F21" s="120" t="s">
        <v>250</v>
      </c>
      <c r="G21" s="120" t="s">
        <v>250</v>
      </c>
      <c r="H21" s="120" t="s">
        <v>250</v>
      </c>
      <c r="I21" s="120" t="s">
        <v>250</v>
      </c>
      <c r="J21" s="120" t="s">
        <v>250</v>
      </c>
      <c r="K21" s="120" t="s">
        <v>250</v>
      </c>
      <c r="L21" s="120" t="s">
        <v>250</v>
      </c>
      <c r="M21" s="120" t="s">
        <v>250</v>
      </c>
      <c r="N21" s="120" t="s">
        <v>250</v>
      </c>
      <c r="O21" s="120" t="s">
        <v>250</v>
      </c>
      <c r="P21" s="120" t="s">
        <v>250</v>
      </c>
      <c r="Q21" s="120" t="s">
        <v>250</v>
      </c>
      <c r="R21" s="120"/>
      <c r="S21" s="120"/>
      <c r="T21" s="107"/>
    </row>
    <row r="22" spans="1:20" ht="15">
      <c r="A22" s="105">
        <v>4</v>
      </c>
      <c r="B22" s="105"/>
      <c r="C22" s="107" t="s">
        <v>256</v>
      </c>
      <c r="D22" s="107" t="s">
        <v>250</v>
      </c>
      <c r="E22" s="120">
        <v>296834853.58090872</v>
      </c>
      <c r="F22" s="120" t="s">
        <v>250</v>
      </c>
      <c r="G22" s="120">
        <v>269886192.02961266</v>
      </c>
      <c r="H22" s="120" t="s">
        <v>250</v>
      </c>
      <c r="I22" s="120">
        <v>23811187.123464573</v>
      </c>
      <c r="J22" s="120">
        <v>3137474.4278314626</v>
      </c>
      <c r="K22" s="120" t="s">
        <v>250</v>
      </c>
      <c r="L22" s="120" t="s">
        <v>250</v>
      </c>
      <c r="M22" s="120">
        <v>0</v>
      </c>
      <c r="N22" s="120" t="s">
        <v>250</v>
      </c>
      <c r="O22" s="120">
        <v>3137474.4278314626</v>
      </c>
      <c r="P22" s="120">
        <v>1653794.4675877029</v>
      </c>
      <c r="Q22" s="120">
        <v>1483679.9602437599</v>
      </c>
      <c r="R22" s="120"/>
      <c r="S22" s="120"/>
      <c r="T22" s="107"/>
    </row>
    <row r="23" spans="1:20" ht="15">
      <c r="A23" s="105">
        <v>5</v>
      </c>
      <c r="B23" s="105"/>
      <c r="C23" s="107" t="s">
        <v>257</v>
      </c>
      <c r="D23" s="107" t="s">
        <v>250</v>
      </c>
      <c r="E23" s="120">
        <v>7281674212.4039097</v>
      </c>
      <c r="F23" s="120" t="s">
        <v>250</v>
      </c>
      <c r="G23" s="120">
        <v>6809513548.9517965</v>
      </c>
      <c r="H23" s="120" t="s">
        <v>250</v>
      </c>
      <c r="I23" s="120">
        <v>381316969.46395159</v>
      </c>
      <c r="J23" s="120">
        <v>90843693.988161296</v>
      </c>
      <c r="K23" s="120" t="s">
        <v>250</v>
      </c>
      <c r="L23" s="120" t="s">
        <v>250</v>
      </c>
      <c r="M23" s="120">
        <v>0</v>
      </c>
      <c r="N23" s="120" t="s">
        <v>250</v>
      </c>
      <c r="O23" s="120">
        <v>90843693.988161296</v>
      </c>
      <c r="P23" s="120">
        <v>47875064.949490719</v>
      </c>
      <c r="Q23" s="120">
        <v>42968629.038670585</v>
      </c>
      <c r="R23" s="120"/>
      <c r="S23" s="120"/>
      <c r="T23" s="107"/>
    </row>
    <row r="24" spans="1:20" ht="15">
      <c r="A24" s="105" t="s">
        <v>250</v>
      </c>
      <c r="B24" s="105"/>
      <c r="C24" s="107" t="s">
        <v>250</v>
      </c>
      <c r="D24" s="107" t="s">
        <v>250</v>
      </c>
      <c r="E24" s="120"/>
      <c r="F24" s="120" t="s">
        <v>250</v>
      </c>
      <c r="G24" s="120" t="s">
        <v>250</v>
      </c>
      <c r="H24" s="120" t="s">
        <v>250</v>
      </c>
      <c r="I24" s="120" t="s">
        <v>250</v>
      </c>
      <c r="J24" s="120" t="s">
        <v>250</v>
      </c>
      <c r="K24" s="120" t="s">
        <v>250</v>
      </c>
      <c r="L24" s="120" t="s">
        <v>250</v>
      </c>
      <c r="M24" s="120" t="s">
        <v>250</v>
      </c>
      <c r="N24" s="120" t="s">
        <v>250</v>
      </c>
      <c r="O24" s="120" t="s">
        <v>250</v>
      </c>
      <c r="P24" s="120" t="s">
        <v>250</v>
      </c>
      <c r="Q24" s="120" t="s">
        <v>250</v>
      </c>
      <c r="R24" s="120"/>
      <c r="S24" s="120"/>
      <c r="T24" s="107"/>
    </row>
    <row r="25" spans="1:20" ht="15">
      <c r="A25" s="105" t="s">
        <v>250</v>
      </c>
      <c r="B25" s="105"/>
      <c r="C25" s="107" t="s">
        <v>258</v>
      </c>
      <c r="D25" s="107" t="s">
        <v>250</v>
      </c>
      <c r="E25" s="120"/>
      <c r="F25" s="120" t="s">
        <v>250</v>
      </c>
      <c r="G25" s="120" t="s">
        <v>250</v>
      </c>
      <c r="H25" s="120" t="s">
        <v>250</v>
      </c>
      <c r="I25" s="120" t="s">
        <v>250</v>
      </c>
      <c r="J25" s="120" t="s">
        <v>250</v>
      </c>
      <c r="K25" s="120" t="s">
        <v>250</v>
      </c>
      <c r="L25" s="120" t="s">
        <v>250</v>
      </c>
      <c r="M25" s="120" t="s">
        <v>250</v>
      </c>
      <c r="N25" s="120" t="s">
        <v>250</v>
      </c>
      <c r="O25" s="120" t="s">
        <v>250</v>
      </c>
      <c r="P25" s="120" t="s">
        <v>250</v>
      </c>
      <c r="Q25" s="120" t="s">
        <v>250</v>
      </c>
      <c r="R25" s="120"/>
      <c r="S25" s="121"/>
    </row>
    <row r="26" spans="1:20" ht="15">
      <c r="A26" s="105">
        <v>6</v>
      </c>
      <c r="B26" s="105"/>
      <c r="C26" s="107" t="s">
        <v>259</v>
      </c>
      <c r="D26" s="107" t="s">
        <v>250</v>
      </c>
      <c r="E26" s="120">
        <v>64509936.000000007</v>
      </c>
      <c r="F26" s="120" t="s">
        <v>250</v>
      </c>
      <c r="G26" s="120">
        <v>59890780.6852585</v>
      </c>
      <c r="H26" s="120" t="s">
        <v>250</v>
      </c>
      <c r="I26" s="120">
        <v>3875237.7438895628</v>
      </c>
      <c r="J26" s="120">
        <v>743917.57085194136</v>
      </c>
      <c r="K26" s="120" t="s">
        <v>250</v>
      </c>
      <c r="L26" s="120" t="s">
        <v>250</v>
      </c>
      <c r="M26" s="120">
        <v>0</v>
      </c>
      <c r="N26" s="120" t="s">
        <v>250</v>
      </c>
      <c r="O26" s="120">
        <v>743917.57085194136</v>
      </c>
      <c r="P26" s="120">
        <v>385550.58960301254</v>
      </c>
      <c r="Q26" s="120">
        <v>358366.98124892882</v>
      </c>
      <c r="R26" s="120"/>
      <c r="S26" s="121"/>
    </row>
    <row r="27" spans="1:20" ht="15">
      <c r="A27" s="105">
        <v>7</v>
      </c>
      <c r="B27" s="105"/>
      <c r="C27" s="107" t="s">
        <v>260</v>
      </c>
      <c r="D27" s="107" t="s">
        <v>250</v>
      </c>
      <c r="E27" s="120">
        <v>66398898</v>
      </c>
      <c r="F27" s="120" t="s">
        <v>250</v>
      </c>
      <c r="G27" s="120">
        <v>62536188.102374434</v>
      </c>
      <c r="H27" s="120" t="s">
        <v>250</v>
      </c>
      <c r="I27" s="120">
        <v>2511431.2994070137</v>
      </c>
      <c r="J27" s="120">
        <v>1351278.5982185514</v>
      </c>
      <c r="K27" s="120" t="s">
        <v>250</v>
      </c>
      <c r="L27" s="120" t="s">
        <v>250</v>
      </c>
      <c r="M27" s="120">
        <v>0</v>
      </c>
      <c r="N27" s="120" t="s">
        <v>250</v>
      </c>
      <c r="O27" s="120">
        <v>1351278.5982185514</v>
      </c>
      <c r="P27" s="120">
        <v>693576.21910850285</v>
      </c>
      <c r="Q27" s="120">
        <v>657702.37911004864</v>
      </c>
      <c r="R27" s="120"/>
      <c r="S27" s="121"/>
    </row>
    <row r="28" spans="1:20" ht="15">
      <c r="A28" s="105">
        <v>8</v>
      </c>
      <c r="B28" s="105"/>
      <c r="C28" s="107" t="s">
        <v>261</v>
      </c>
      <c r="D28" s="107" t="s">
        <v>250</v>
      </c>
      <c r="E28" s="120">
        <v>19279556.74023141</v>
      </c>
      <c r="F28" s="120" t="s">
        <v>250</v>
      </c>
      <c r="G28" s="120">
        <v>19024116.4808103</v>
      </c>
      <c r="H28" s="120" t="s">
        <v>250</v>
      </c>
      <c r="I28" s="120">
        <v>0</v>
      </c>
      <c r="J28" s="120">
        <v>255440.25942111167</v>
      </c>
      <c r="K28" s="120" t="s">
        <v>250</v>
      </c>
      <c r="L28" s="120" t="s">
        <v>250</v>
      </c>
      <c r="M28" s="120">
        <v>0</v>
      </c>
      <c r="N28" s="120" t="s">
        <v>250</v>
      </c>
      <c r="O28" s="120">
        <v>255440.25942111167</v>
      </c>
      <c r="P28" s="120">
        <v>133506.97973973415</v>
      </c>
      <c r="Q28" s="120">
        <v>121933.27968137751</v>
      </c>
      <c r="R28" s="120"/>
      <c r="S28" s="121"/>
    </row>
    <row r="29" spans="1:20" ht="15">
      <c r="A29" s="105">
        <v>9</v>
      </c>
      <c r="B29" s="105"/>
      <c r="C29" s="107" t="s">
        <v>262</v>
      </c>
      <c r="D29" s="107" t="s">
        <v>250</v>
      </c>
      <c r="E29" s="120">
        <v>141138202.09120801</v>
      </c>
      <c r="F29" s="120" t="s">
        <v>250</v>
      </c>
      <c r="G29" s="120">
        <v>129933874.99042901</v>
      </c>
      <c r="H29" s="120" t="s">
        <v>250</v>
      </c>
      <c r="I29" s="120">
        <v>9535669.2656360883</v>
      </c>
      <c r="J29" s="120">
        <v>1668657.8351429114</v>
      </c>
      <c r="K29" s="120" t="s">
        <v>250</v>
      </c>
      <c r="L29" s="120" t="s">
        <v>250</v>
      </c>
      <c r="M29" s="120">
        <v>0</v>
      </c>
      <c r="N29" s="120" t="s">
        <v>250</v>
      </c>
      <c r="O29" s="120">
        <v>1668657.8351429114</v>
      </c>
      <c r="P29" s="120">
        <v>859437.38609817624</v>
      </c>
      <c r="Q29" s="120">
        <v>809220.44904473529</v>
      </c>
      <c r="R29" s="120"/>
      <c r="S29" s="121"/>
    </row>
    <row r="30" spans="1:20" ht="15">
      <c r="A30" s="105">
        <v>10</v>
      </c>
      <c r="B30" s="105"/>
      <c r="C30" s="107" t="s">
        <v>263</v>
      </c>
      <c r="D30" s="107" t="s">
        <v>250</v>
      </c>
      <c r="E30" s="120">
        <v>124309.99999999999</v>
      </c>
      <c r="F30" s="120" t="s">
        <v>250</v>
      </c>
      <c r="G30" s="120">
        <v>116616.82555912728</v>
      </c>
      <c r="H30" s="120" t="s">
        <v>250</v>
      </c>
      <c r="I30" s="120">
        <v>5281.3257814103008</v>
      </c>
      <c r="J30" s="120">
        <v>2411.8486594624173</v>
      </c>
      <c r="K30" s="120" t="s">
        <v>250</v>
      </c>
      <c r="L30" s="120" t="s">
        <v>250</v>
      </c>
      <c r="M30" s="120">
        <v>0</v>
      </c>
      <c r="N30" s="120" t="s">
        <v>250</v>
      </c>
      <c r="O30" s="120">
        <v>2411.8486594624173</v>
      </c>
      <c r="P30" s="120">
        <v>1223.4245976107427</v>
      </c>
      <c r="Q30" s="120">
        <v>1188.4240618516744</v>
      </c>
      <c r="R30" s="120"/>
      <c r="S30" s="121"/>
    </row>
    <row r="31" spans="1:20" ht="15">
      <c r="A31" s="105">
        <v>11</v>
      </c>
      <c r="B31" s="105"/>
      <c r="C31" s="107" t="s">
        <v>2389</v>
      </c>
      <c r="D31" s="107" t="s">
        <v>250</v>
      </c>
      <c r="E31" s="120">
        <v>183002470.17830518</v>
      </c>
      <c r="F31" s="120" t="s">
        <v>250</v>
      </c>
      <c r="G31" s="120">
        <v>174570689</v>
      </c>
      <c r="H31" s="120" t="s">
        <v>250</v>
      </c>
      <c r="I31" s="120">
        <v>6196953.0122768618</v>
      </c>
      <c r="J31" s="120">
        <v>2234828.1660283152</v>
      </c>
      <c r="K31" s="120" t="s">
        <v>250</v>
      </c>
      <c r="L31" s="120" t="s">
        <v>250</v>
      </c>
      <c r="M31" s="120">
        <v>0</v>
      </c>
      <c r="N31" s="120" t="s">
        <v>250</v>
      </c>
      <c r="O31" s="120">
        <v>2234828.1660283152</v>
      </c>
      <c r="P31" s="120">
        <v>1133629.8979728546</v>
      </c>
      <c r="Q31" s="120">
        <v>1101198.2680554606</v>
      </c>
      <c r="R31" s="120"/>
      <c r="S31" s="121"/>
    </row>
    <row r="32" spans="1:20" ht="15">
      <c r="A32" s="105">
        <v>12</v>
      </c>
      <c r="B32" s="105"/>
      <c r="C32" s="107" t="s">
        <v>264</v>
      </c>
      <c r="D32" s="107" t="s">
        <v>250</v>
      </c>
      <c r="E32" s="120">
        <v>474453373.00974464</v>
      </c>
      <c r="F32" s="120" t="s">
        <v>250</v>
      </c>
      <c r="G32" s="120">
        <v>446072266.08443141</v>
      </c>
      <c r="H32" s="120" t="s">
        <v>250</v>
      </c>
      <c r="I32" s="120">
        <v>22124572.64699094</v>
      </c>
      <c r="J32" s="120">
        <v>6256534.2783222944</v>
      </c>
      <c r="K32" s="120" t="s">
        <v>250</v>
      </c>
      <c r="L32" s="120" t="s">
        <v>250</v>
      </c>
      <c r="M32" s="120">
        <v>0</v>
      </c>
      <c r="N32" s="120" t="s">
        <v>250</v>
      </c>
      <c r="O32" s="120">
        <v>6256534.2783222944</v>
      </c>
      <c r="P32" s="120">
        <v>3206924.497119891</v>
      </c>
      <c r="Q32" s="120">
        <v>3049609.7812024029</v>
      </c>
      <c r="R32" s="120"/>
      <c r="S32" s="121"/>
    </row>
    <row r="33" spans="1:19" ht="15">
      <c r="A33" s="105" t="s">
        <v>250</v>
      </c>
      <c r="B33" s="105"/>
      <c r="C33" s="107" t="s">
        <v>250</v>
      </c>
      <c r="D33" s="107" t="s">
        <v>250</v>
      </c>
      <c r="E33" s="120" t="s">
        <v>250</v>
      </c>
      <c r="F33" s="120" t="s">
        <v>250</v>
      </c>
      <c r="G33" s="120" t="s">
        <v>250</v>
      </c>
      <c r="H33" s="120" t="s">
        <v>250</v>
      </c>
      <c r="I33" s="120" t="s">
        <v>250</v>
      </c>
      <c r="J33" s="120" t="s">
        <v>250</v>
      </c>
      <c r="K33" s="120" t="s">
        <v>250</v>
      </c>
      <c r="L33" s="120" t="s">
        <v>250</v>
      </c>
      <c r="M33" s="120" t="s">
        <v>250</v>
      </c>
      <c r="N33" s="120" t="s">
        <v>250</v>
      </c>
      <c r="O33" s="120" t="s">
        <v>250</v>
      </c>
      <c r="P33" s="120" t="s">
        <v>250</v>
      </c>
      <c r="Q33" s="120" t="s">
        <v>250</v>
      </c>
      <c r="R33" s="120"/>
      <c r="S33" s="121"/>
    </row>
    <row r="34" spans="1:19" ht="15">
      <c r="A34" s="105" t="s">
        <v>250</v>
      </c>
      <c r="B34" s="105"/>
      <c r="C34" s="107" t="s">
        <v>265</v>
      </c>
      <c r="D34" s="107" t="s">
        <v>250</v>
      </c>
      <c r="E34" s="120" t="s">
        <v>250</v>
      </c>
      <c r="F34" s="120" t="s">
        <v>250</v>
      </c>
      <c r="G34" s="120" t="s">
        <v>250</v>
      </c>
      <c r="H34" s="120" t="s">
        <v>250</v>
      </c>
      <c r="I34" s="120" t="s">
        <v>250</v>
      </c>
      <c r="J34" s="120" t="s">
        <v>250</v>
      </c>
      <c r="K34" s="120" t="s">
        <v>250</v>
      </c>
      <c r="L34" s="120" t="s">
        <v>250</v>
      </c>
      <c r="M34" s="120" t="s">
        <v>250</v>
      </c>
      <c r="N34" s="120" t="s">
        <v>250</v>
      </c>
      <c r="O34" s="120" t="s">
        <v>250</v>
      </c>
      <c r="P34" s="120" t="s">
        <v>250</v>
      </c>
      <c r="Q34" s="120" t="s">
        <v>250</v>
      </c>
      <c r="R34" s="120"/>
      <c r="S34" s="121"/>
    </row>
    <row r="35" spans="1:19" ht="15">
      <c r="A35" s="105">
        <v>13</v>
      </c>
      <c r="B35" s="105"/>
      <c r="C35" s="107" t="s">
        <v>266</v>
      </c>
      <c r="D35" s="107" t="s">
        <v>250</v>
      </c>
      <c r="E35" s="120">
        <v>1438518389.5100257</v>
      </c>
      <c r="F35" s="120" t="s">
        <v>250</v>
      </c>
      <c r="G35" s="120">
        <v>1342260433.3640857</v>
      </c>
      <c r="H35" s="120" t="s">
        <v>250</v>
      </c>
      <c r="I35" s="120">
        <v>78899320.031552657</v>
      </c>
      <c r="J35" s="120">
        <v>17358636.114387628</v>
      </c>
      <c r="K35" s="120" t="s">
        <v>250</v>
      </c>
      <c r="L35" s="120" t="s">
        <v>250</v>
      </c>
      <c r="M35" s="120">
        <v>0</v>
      </c>
      <c r="N35" s="120" t="s">
        <v>250</v>
      </c>
      <c r="O35" s="120">
        <v>17358636.114387628</v>
      </c>
      <c r="P35" s="120">
        <v>9059596.2266796306</v>
      </c>
      <c r="Q35" s="120">
        <v>8299039.887707998</v>
      </c>
      <c r="R35" s="120"/>
      <c r="S35" s="121"/>
    </row>
    <row r="36" spans="1:19" ht="15">
      <c r="A36" s="105">
        <v>14</v>
      </c>
      <c r="B36" s="105"/>
      <c r="C36" s="107" t="s">
        <v>267</v>
      </c>
      <c r="D36" s="107" t="s">
        <v>250</v>
      </c>
      <c r="E36" s="120">
        <v>86323268.203333288</v>
      </c>
      <c r="F36" s="120" t="s">
        <v>250</v>
      </c>
      <c r="G36" s="120">
        <v>80926984.971659347</v>
      </c>
      <c r="H36" s="120" t="s">
        <v>250</v>
      </c>
      <c r="I36" s="120">
        <v>3690611.7141947746</v>
      </c>
      <c r="J36" s="120">
        <v>1705671.5174791734</v>
      </c>
      <c r="K36" s="120" t="s">
        <v>250</v>
      </c>
      <c r="L36" s="120" t="s">
        <v>250</v>
      </c>
      <c r="M36" s="120">
        <v>0</v>
      </c>
      <c r="N36" s="120" t="s">
        <v>250</v>
      </c>
      <c r="O36" s="120">
        <v>1705671.5174791734</v>
      </c>
      <c r="P36" s="120">
        <v>865212.03631126077</v>
      </c>
      <c r="Q36" s="120">
        <v>840459.4811679126</v>
      </c>
      <c r="R36" s="120"/>
      <c r="S36" s="121"/>
    </row>
    <row r="37" spans="1:19" ht="15">
      <c r="A37" s="105">
        <v>15</v>
      </c>
      <c r="B37" s="105"/>
      <c r="C37" s="107" t="s">
        <v>268</v>
      </c>
      <c r="D37" s="107" t="s">
        <v>250</v>
      </c>
      <c r="E37" s="120">
        <v>1719771.59</v>
      </c>
      <c r="F37" s="120" t="s">
        <v>250</v>
      </c>
      <c r="G37" s="120">
        <v>1712215.5636785864</v>
      </c>
      <c r="H37" s="120" t="s">
        <v>250</v>
      </c>
      <c r="I37" s="120">
        <v>7556.026321413593</v>
      </c>
      <c r="J37" s="120">
        <v>0</v>
      </c>
      <c r="K37" s="120" t="s">
        <v>250</v>
      </c>
      <c r="L37" s="120" t="s">
        <v>250</v>
      </c>
      <c r="M37" s="120">
        <v>0</v>
      </c>
      <c r="N37" s="120" t="s">
        <v>250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269</v>
      </c>
      <c r="D38" s="107" t="s">
        <v>250</v>
      </c>
      <c r="E38" s="120">
        <v>31620707.210000005</v>
      </c>
      <c r="F38" s="120" t="s">
        <v>250</v>
      </c>
      <c r="G38" s="120">
        <v>0</v>
      </c>
      <c r="H38" s="120" t="s">
        <v>250</v>
      </c>
      <c r="I38" s="120">
        <v>1227529.9764477331</v>
      </c>
      <c r="J38" s="120">
        <v>0</v>
      </c>
      <c r="K38" s="120" t="s">
        <v>250</v>
      </c>
      <c r="L38" s="120" t="s">
        <v>250</v>
      </c>
      <c r="M38" s="120">
        <v>0</v>
      </c>
      <c r="N38" s="120" t="s">
        <v>250</v>
      </c>
      <c r="O38" s="120">
        <v>0</v>
      </c>
      <c r="P38" s="120">
        <v>0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270</v>
      </c>
      <c r="D39" s="107" t="s">
        <v>250</v>
      </c>
      <c r="E39" s="120">
        <v>237184.29288461525</v>
      </c>
      <c r="F39" s="120" t="s">
        <v>250</v>
      </c>
      <c r="G39" s="120">
        <v>0</v>
      </c>
      <c r="H39" s="120" t="s">
        <v>250</v>
      </c>
      <c r="I39" s="120">
        <v>237184.29288461525</v>
      </c>
      <c r="J39" s="120">
        <v>0</v>
      </c>
      <c r="K39" s="120" t="s">
        <v>250</v>
      </c>
      <c r="L39" s="120" t="s">
        <v>250</v>
      </c>
      <c r="M39" s="120">
        <v>0</v>
      </c>
      <c r="N39" s="120" t="s">
        <v>250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271</v>
      </c>
      <c r="D40" s="107" t="s">
        <v>250</v>
      </c>
      <c r="E40" s="120">
        <v>15691506.648250578</v>
      </c>
      <c r="F40" s="120" t="s">
        <v>250</v>
      </c>
      <c r="G40" s="120">
        <v>0</v>
      </c>
      <c r="H40" s="120" t="s">
        <v>250</v>
      </c>
      <c r="I40" s="120">
        <v>746553.06848298851</v>
      </c>
      <c r="J40" s="120">
        <v>0</v>
      </c>
      <c r="K40" s="120" t="s">
        <v>250</v>
      </c>
      <c r="L40" s="120" t="s">
        <v>250</v>
      </c>
      <c r="M40" s="120">
        <v>0</v>
      </c>
      <c r="N40" s="120" t="s">
        <v>250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272</v>
      </c>
      <c r="D41" s="107" t="s">
        <v>250</v>
      </c>
      <c r="E41" s="120">
        <v>4697652.9999999907</v>
      </c>
      <c r="F41" s="120" t="s">
        <v>250</v>
      </c>
      <c r="G41" s="120">
        <v>0</v>
      </c>
      <c r="H41" s="120" t="s">
        <v>250</v>
      </c>
      <c r="I41" s="120">
        <v>0</v>
      </c>
      <c r="J41" s="120">
        <v>53793.915207454214</v>
      </c>
      <c r="K41" s="120" t="s">
        <v>250</v>
      </c>
      <c r="L41" s="120" t="s">
        <v>250</v>
      </c>
      <c r="M41" s="120">
        <v>0</v>
      </c>
      <c r="N41" s="120" t="s">
        <v>250</v>
      </c>
      <c r="O41" s="120">
        <v>53793.915207454214</v>
      </c>
      <c r="P41" s="120">
        <v>28048.777447444743</v>
      </c>
      <c r="Q41" s="120">
        <v>25745.137760009471</v>
      </c>
      <c r="R41" s="120"/>
      <c r="S41" s="121"/>
    </row>
    <row r="42" spans="1:19" ht="15">
      <c r="A42" s="105">
        <v>20</v>
      </c>
      <c r="B42" s="105"/>
      <c r="C42" s="107" t="s">
        <v>273</v>
      </c>
      <c r="D42" s="107" t="s">
        <v>250</v>
      </c>
      <c r="E42" s="120">
        <v>6765971.8600000003</v>
      </c>
      <c r="F42" s="120" t="s">
        <v>250</v>
      </c>
      <c r="G42" s="120">
        <v>0</v>
      </c>
      <c r="H42" s="120" t="s">
        <v>250</v>
      </c>
      <c r="I42" s="120">
        <v>0</v>
      </c>
      <c r="J42" s="120">
        <v>77478.714697075746</v>
      </c>
      <c r="K42" s="120" t="s">
        <v>250</v>
      </c>
      <c r="L42" s="120" t="s">
        <v>250</v>
      </c>
      <c r="M42" s="120">
        <v>0</v>
      </c>
      <c r="N42" s="120" t="s">
        <v>250</v>
      </c>
      <c r="O42" s="120">
        <v>77478.714697075746</v>
      </c>
      <c r="P42" s="120">
        <v>40398.309308246935</v>
      </c>
      <c r="Q42" s="120">
        <v>37080.405388828818</v>
      </c>
      <c r="R42" s="120"/>
      <c r="S42" s="121"/>
    </row>
    <row r="43" spans="1:19" ht="15">
      <c r="A43" s="105">
        <v>21</v>
      </c>
      <c r="B43" s="105"/>
      <c r="C43" s="107" t="s">
        <v>274</v>
      </c>
      <c r="D43" s="107" t="s">
        <v>250</v>
      </c>
      <c r="E43" s="120">
        <v>1236415.0000000005</v>
      </c>
      <c r="F43" s="120" t="s">
        <v>250</v>
      </c>
      <c r="G43" s="120">
        <v>0</v>
      </c>
      <c r="H43" s="120" t="s">
        <v>250</v>
      </c>
      <c r="I43" s="120">
        <v>0</v>
      </c>
      <c r="J43" s="120">
        <v>14158.475236724522</v>
      </c>
      <c r="K43" s="120" t="s">
        <v>250</v>
      </c>
      <c r="L43" s="120" t="s">
        <v>250</v>
      </c>
      <c r="M43" s="120">
        <v>0</v>
      </c>
      <c r="N43" s="120" t="s">
        <v>250</v>
      </c>
      <c r="O43" s="120">
        <v>14158.475236724522</v>
      </c>
      <c r="P43" s="120">
        <v>7382.3948187919532</v>
      </c>
      <c r="Q43" s="120">
        <v>6776.0804179325687</v>
      </c>
      <c r="R43" s="120"/>
      <c r="S43" s="121"/>
    </row>
    <row r="44" spans="1:19" ht="15">
      <c r="A44" s="105">
        <v>22</v>
      </c>
      <c r="B44" s="105"/>
      <c r="C44" s="107" t="s">
        <v>275</v>
      </c>
      <c r="D44" s="107" t="s">
        <v>250</v>
      </c>
      <c r="E44" s="120">
        <v>1586810867.3144941</v>
      </c>
      <c r="F44" s="120" t="s">
        <v>250</v>
      </c>
      <c r="G44" s="120">
        <v>1424899633.8994236</v>
      </c>
      <c r="H44" s="120" t="s">
        <v>250</v>
      </c>
      <c r="I44" s="120">
        <v>84808755.109884188</v>
      </c>
      <c r="J44" s="120">
        <v>19209738.737008058</v>
      </c>
      <c r="K44" s="120" t="s">
        <v>250</v>
      </c>
      <c r="L44" s="120" t="s">
        <v>250</v>
      </c>
      <c r="M44" s="120">
        <v>0</v>
      </c>
      <c r="N44" s="120" t="s">
        <v>250</v>
      </c>
      <c r="O44" s="120">
        <v>19209738.737008058</v>
      </c>
      <c r="P44" s="120">
        <v>10000637.744565377</v>
      </c>
      <c r="Q44" s="120">
        <v>9209100.9924426824</v>
      </c>
      <c r="R44" s="120"/>
      <c r="S44" s="121"/>
    </row>
    <row r="45" spans="1:19" ht="15">
      <c r="A45" s="105" t="s">
        <v>250</v>
      </c>
      <c r="B45" s="105"/>
      <c r="C45" s="107" t="s">
        <v>250</v>
      </c>
      <c r="D45" s="107" t="s">
        <v>250</v>
      </c>
      <c r="E45" s="120" t="s">
        <v>250</v>
      </c>
      <c r="F45" s="120" t="s">
        <v>250</v>
      </c>
      <c r="G45" s="120" t="s">
        <v>250</v>
      </c>
      <c r="H45" s="120" t="s">
        <v>250</v>
      </c>
      <c r="I45" s="120" t="s">
        <v>250</v>
      </c>
      <c r="J45" s="120" t="s">
        <v>250</v>
      </c>
      <c r="K45" s="120" t="s">
        <v>250</v>
      </c>
      <c r="L45" s="120" t="s">
        <v>250</v>
      </c>
      <c r="M45" s="120" t="s">
        <v>250</v>
      </c>
      <c r="N45" s="120" t="s">
        <v>250</v>
      </c>
      <c r="O45" s="120" t="s">
        <v>250</v>
      </c>
      <c r="P45" s="120" t="s">
        <v>250</v>
      </c>
      <c r="Q45" s="120" t="s">
        <v>250</v>
      </c>
      <c r="R45" s="120"/>
      <c r="S45" s="121"/>
    </row>
    <row r="46" spans="1:19" ht="15">
      <c r="A46" s="105">
        <v>23</v>
      </c>
      <c r="B46" s="105"/>
      <c r="C46" s="107" t="s">
        <v>276</v>
      </c>
      <c r="D46" s="107" t="s">
        <v>250</v>
      </c>
      <c r="E46" s="120">
        <v>6169316718.0991602</v>
      </c>
      <c r="F46" s="120" t="s">
        <v>250</v>
      </c>
      <c r="G46" s="120">
        <v>5830686181.1368046</v>
      </c>
      <c r="H46" s="120" t="s">
        <v>250</v>
      </c>
      <c r="I46" s="120">
        <v>318632787.00105834</v>
      </c>
      <c r="J46" s="120">
        <v>77890489.52947554</v>
      </c>
      <c r="K46" s="120" t="s">
        <v>250</v>
      </c>
      <c r="L46" s="120" t="s">
        <v>250</v>
      </c>
      <c r="M46" s="120">
        <v>0</v>
      </c>
      <c r="N46" s="120" t="s">
        <v>250</v>
      </c>
      <c r="O46" s="120">
        <v>77890489.52947554</v>
      </c>
      <c r="P46" s="120">
        <v>41081351.702045232</v>
      </c>
      <c r="Q46" s="120">
        <v>36809137.827430308</v>
      </c>
      <c r="R46" s="120"/>
      <c r="S46" s="121"/>
    </row>
    <row r="47" spans="1:19" ht="15">
      <c r="A47" s="105" t="s">
        <v>250</v>
      </c>
      <c r="B47" s="105"/>
      <c r="C47" s="107" t="s">
        <v>250</v>
      </c>
      <c r="D47" s="107" t="s">
        <v>250</v>
      </c>
      <c r="E47" s="120" t="s">
        <v>250</v>
      </c>
      <c r="F47" s="120" t="s">
        <v>250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250</v>
      </c>
      <c r="B48" s="105"/>
      <c r="C48" s="107" t="s">
        <v>277</v>
      </c>
      <c r="D48" s="107" t="s">
        <v>250</v>
      </c>
      <c r="E48" s="120" t="s">
        <v>250</v>
      </c>
      <c r="F48" s="120" t="s">
        <v>250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278</v>
      </c>
      <c r="D49" s="107" t="s">
        <v>250</v>
      </c>
      <c r="E49" s="120">
        <v>1747033170.423636</v>
      </c>
      <c r="F49" s="120" t="s">
        <v>250</v>
      </c>
      <c r="G49" s="120">
        <v>1643983056.9242573</v>
      </c>
      <c r="H49" s="120" t="s">
        <v>250</v>
      </c>
      <c r="I49" s="120">
        <v>78577228.506153539</v>
      </c>
      <c r="J49" s="120">
        <v>24472884.993225012</v>
      </c>
      <c r="K49" s="120" t="s">
        <v>250</v>
      </c>
      <c r="L49" s="120" t="s">
        <v>250</v>
      </c>
      <c r="M49" s="120">
        <v>0</v>
      </c>
      <c r="N49" s="120" t="s">
        <v>250</v>
      </c>
      <c r="O49" s="120">
        <v>24472884.993225012</v>
      </c>
      <c r="P49" s="120">
        <v>12599774.383357871</v>
      </c>
      <c r="Q49" s="120">
        <v>11873110.609867141</v>
      </c>
      <c r="R49" s="120"/>
      <c r="S49" s="121"/>
    </row>
    <row r="50" spans="1:19" ht="15">
      <c r="A50" s="105" t="s">
        <v>250</v>
      </c>
      <c r="B50" s="105"/>
      <c r="C50" s="107" t="s">
        <v>250</v>
      </c>
      <c r="D50" s="107" t="s">
        <v>250</v>
      </c>
      <c r="E50" s="120" t="s">
        <v>250</v>
      </c>
      <c r="F50" s="120" t="s">
        <v>250</v>
      </c>
      <c r="G50" s="120" t="s">
        <v>250</v>
      </c>
      <c r="H50" s="120" t="s">
        <v>250</v>
      </c>
      <c r="I50" s="120" t="s">
        <v>250</v>
      </c>
      <c r="J50" s="120" t="s">
        <v>250</v>
      </c>
      <c r="K50" s="120" t="s">
        <v>250</v>
      </c>
      <c r="L50" s="120" t="s">
        <v>250</v>
      </c>
      <c r="M50" s="120" t="s">
        <v>250</v>
      </c>
      <c r="N50" s="120" t="s">
        <v>250</v>
      </c>
      <c r="O50" s="120" t="s">
        <v>250</v>
      </c>
      <c r="P50" s="120" t="s">
        <v>250</v>
      </c>
      <c r="Q50" s="120" t="s">
        <v>250</v>
      </c>
      <c r="R50" s="120"/>
      <c r="S50" s="121"/>
    </row>
    <row r="51" spans="1:19" ht="15">
      <c r="A51" s="105" t="s">
        <v>250</v>
      </c>
      <c r="B51" s="105"/>
      <c r="C51" s="107" t="s">
        <v>279</v>
      </c>
      <c r="D51" s="107" t="s">
        <v>250</v>
      </c>
      <c r="E51" s="120" t="s">
        <v>250</v>
      </c>
      <c r="F51" s="120" t="s">
        <v>250</v>
      </c>
      <c r="G51" s="120" t="s">
        <v>250</v>
      </c>
      <c r="H51" s="120" t="s">
        <v>250</v>
      </c>
      <c r="I51" s="120" t="s">
        <v>250</v>
      </c>
      <c r="J51" s="120" t="s">
        <v>250</v>
      </c>
      <c r="K51" s="120" t="s">
        <v>250</v>
      </c>
      <c r="L51" s="120" t="s">
        <v>250</v>
      </c>
      <c r="M51" s="120" t="s">
        <v>250</v>
      </c>
      <c r="N51" s="120" t="s">
        <v>250</v>
      </c>
      <c r="O51" s="120" t="s">
        <v>250</v>
      </c>
      <c r="P51" s="120" t="s">
        <v>250</v>
      </c>
      <c r="Q51" s="120" t="s">
        <v>250</v>
      </c>
      <c r="R51" s="120"/>
      <c r="S51" s="121"/>
    </row>
    <row r="52" spans="1:19" ht="15">
      <c r="A52" s="105">
        <v>25</v>
      </c>
      <c r="B52" s="105"/>
      <c r="C52" s="107" t="s">
        <v>280</v>
      </c>
      <c r="D52" s="107" t="s">
        <v>250</v>
      </c>
      <c r="E52" s="120">
        <v>935841767.74843872</v>
      </c>
      <c r="F52" s="120" t="s">
        <v>250</v>
      </c>
      <c r="G52" s="120">
        <v>879083724.44560122</v>
      </c>
      <c r="H52" s="120" t="s">
        <v>250</v>
      </c>
      <c r="I52" s="120">
        <v>42365200.891559198</v>
      </c>
      <c r="J52" s="120">
        <v>14392842.411278289</v>
      </c>
      <c r="K52" s="120" t="s">
        <v>250</v>
      </c>
      <c r="L52" s="120" t="s">
        <v>250</v>
      </c>
      <c r="M52" s="120">
        <v>0</v>
      </c>
      <c r="N52" s="120" t="s">
        <v>250</v>
      </c>
      <c r="O52" s="120">
        <v>14392842.411278289</v>
      </c>
      <c r="P52" s="120">
        <v>7409945.9947840646</v>
      </c>
      <c r="Q52" s="120">
        <v>6982896.4164942252</v>
      </c>
      <c r="R52" s="120"/>
      <c r="S52" s="121"/>
    </row>
    <row r="53" spans="1:19" ht="15">
      <c r="A53" s="105">
        <v>26</v>
      </c>
      <c r="B53" s="105"/>
      <c r="C53" s="107" t="s">
        <v>281</v>
      </c>
      <c r="D53" s="107" t="s">
        <v>250</v>
      </c>
      <c r="E53" s="120">
        <v>415869665.36114585</v>
      </c>
      <c r="F53" s="120" t="s">
        <v>250</v>
      </c>
      <c r="G53" s="120">
        <v>389129203.55510539</v>
      </c>
      <c r="H53" s="120" t="s">
        <v>250</v>
      </c>
      <c r="I53" s="120">
        <v>20250489.547382459</v>
      </c>
      <c r="J53" s="120">
        <v>6489972.2586579928</v>
      </c>
      <c r="K53" s="120" t="s">
        <v>250</v>
      </c>
      <c r="L53" s="120" t="s">
        <v>250</v>
      </c>
      <c r="M53" s="120">
        <v>0</v>
      </c>
      <c r="N53" s="120" t="s">
        <v>250</v>
      </c>
      <c r="O53" s="120">
        <v>6489972.2586579928</v>
      </c>
      <c r="P53" s="120">
        <v>3330483.155149274</v>
      </c>
      <c r="Q53" s="120">
        <v>3159489.1035087188</v>
      </c>
      <c r="R53" s="120"/>
      <c r="S53" s="121"/>
    </row>
    <row r="54" spans="1:19" ht="15">
      <c r="A54" s="105">
        <v>27</v>
      </c>
      <c r="B54" s="105"/>
      <c r="C54" s="107" t="s">
        <v>2215</v>
      </c>
      <c r="D54" s="107" t="s">
        <v>250</v>
      </c>
      <c r="E54" s="120">
        <v>15097734.217080034</v>
      </c>
      <c r="F54" s="120" t="s">
        <v>250</v>
      </c>
      <c r="G54" s="120">
        <v>14409913.723276298</v>
      </c>
      <c r="H54" s="120" t="s">
        <v>250</v>
      </c>
      <c r="I54" s="120">
        <v>573176.75</v>
      </c>
      <c r="J54" s="120">
        <v>114643.74380373658</v>
      </c>
      <c r="K54" s="120" t="s">
        <v>250</v>
      </c>
      <c r="L54" s="120" t="s">
        <v>250</v>
      </c>
      <c r="M54" s="120">
        <v>0</v>
      </c>
      <c r="N54" s="120" t="s">
        <v>250</v>
      </c>
      <c r="O54" s="120">
        <v>114643.74380373658</v>
      </c>
      <c r="P54" s="120">
        <v>58510.406531572</v>
      </c>
      <c r="Q54" s="120">
        <v>56133.337272164572</v>
      </c>
      <c r="R54" s="120"/>
      <c r="S54" s="121"/>
    </row>
    <row r="55" spans="1:19" ht="15">
      <c r="A55" s="105">
        <v>28</v>
      </c>
      <c r="B55" s="105"/>
      <c r="C55" s="107" t="s">
        <v>282</v>
      </c>
      <c r="D55" s="107" t="s">
        <v>250</v>
      </c>
      <c r="E55" s="120">
        <v>53284217.675990254</v>
      </c>
      <c r="F55" s="120" t="s">
        <v>250</v>
      </c>
      <c r="G55" s="120">
        <v>50152056.193816267</v>
      </c>
      <c r="H55" s="120" t="s">
        <v>250</v>
      </c>
      <c r="I55" s="120">
        <v>2517072.3935700692</v>
      </c>
      <c r="J55" s="120">
        <v>615089.08860391099</v>
      </c>
      <c r="K55" s="120" t="s">
        <v>250</v>
      </c>
      <c r="L55" s="120" t="s">
        <v>250</v>
      </c>
      <c r="M55" s="120">
        <v>0</v>
      </c>
      <c r="N55" s="120" t="s">
        <v>250</v>
      </c>
      <c r="O55" s="120">
        <v>615089.08860391099</v>
      </c>
      <c r="P55" s="120">
        <v>323450.96583968855</v>
      </c>
      <c r="Q55" s="120">
        <v>291638.1227642225</v>
      </c>
      <c r="R55" s="120"/>
      <c r="S55" s="121"/>
    </row>
    <row r="56" spans="1:19" ht="15">
      <c r="A56" s="105">
        <v>29</v>
      </c>
      <c r="B56" s="105"/>
      <c r="C56" s="107" t="s">
        <v>283</v>
      </c>
      <c r="D56" s="107" t="s">
        <v>250</v>
      </c>
      <c r="E56" s="120">
        <v>22878471.35218589</v>
      </c>
      <c r="F56" s="120" t="s">
        <v>250</v>
      </c>
      <c r="G56" s="120">
        <v>22157158.05242122</v>
      </c>
      <c r="H56" s="120" t="s">
        <v>250</v>
      </c>
      <c r="I56" s="120">
        <v>678002.39887874934</v>
      </c>
      <c r="J56" s="120">
        <v>106903.92046315905</v>
      </c>
      <c r="K56" s="120" t="s">
        <v>250</v>
      </c>
      <c r="L56" s="120" t="s">
        <v>250</v>
      </c>
      <c r="M56" s="120">
        <v>0</v>
      </c>
      <c r="N56" s="120" t="s">
        <v>250</v>
      </c>
      <c r="O56" s="120">
        <v>106903.92046315905</v>
      </c>
      <c r="P56" s="120">
        <v>49275.112833232532</v>
      </c>
      <c r="Q56" s="120">
        <v>57628.807629926523</v>
      </c>
      <c r="R56" s="120"/>
      <c r="S56" s="121"/>
    </row>
    <row r="57" spans="1:19" ht="15">
      <c r="A57" s="105">
        <v>30</v>
      </c>
      <c r="B57" s="105"/>
      <c r="C57" s="107" t="s">
        <v>284</v>
      </c>
      <c r="D57" s="107" t="s">
        <v>250</v>
      </c>
      <c r="E57" s="120">
        <v>0</v>
      </c>
      <c r="F57" s="120" t="s">
        <v>250</v>
      </c>
      <c r="G57" s="120">
        <v>0</v>
      </c>
      <c r="H57" s="120" t="s">
        <v>250</v>
      </c>
      <c r="I57" s="120">
        <v>0</v>
      </c>
      <c r="J57" s="120">
        <v>0</v>
      </c>
      <c r="K57" s="120"/>
      <c r="L57" s="120"/>
      <c r="M57" s="120">
        <v>0</v>
      </c>
      <c r="N57" s="120" t="s">
        <v>250</v>
      </c>
      <c r="O57" s="120">
        <v>0</v>
      </c>
      <c r="P57" s="120">
        <v>0</v>
      </c>
      <c r="Q57" s="120">
        <v>0</v>
      </c>
      <c r="R57" s="120"/>
      <c r="S57" s="121"/>
    </row>
    <row r="58" spans="1:19" ht="15">
      <c r="A58" s="105">
        <v>31</v>
      </c>
      <c r="B58" s="105"/>
      <c r="C58" s="107" t="s">
        <v>285</v>
      </c>
      <c r="D58" s="107" t="s">
        <v>250</v>
      </c>
      <c r="E58" s="120">
        <v>0</v>
      </c>
      <c r="F58" s="120" t="s">
        <v>250</v>
      </c>
      <c r="G58" s="120">
        <v>0</v>
      </c>
      <c r="H58" s="120" t="s">
        <v>250</v>
      </c>
      <c r="I58" s="120">
        <v>0</v>
      </c>
      <c r="J58" s="120">
        <v>0</v>
      </c>
      <c r="K58" s="120"/>
      <c r="L58" s="120"/>
      <c r="M58" s="120">
        <v>0</v>
      </c>
      <c r="N58" s="120" t="s">
        <v>250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286</v>
      </c>
      <c r="D59" s="107" t="s">
        <v>250</v>
      </c>
      <c r="E59" s="120">
        <v>194933.9852</v>
      </c>
      <c r="F59" s="120" t="s">
        <v>250</v>
      </c>
      <c r="G59" s="120">
        <v>0</v>
      </c>
      <c r="H59" s="120" t="s">
        <v>250</v>
      </c>
      <c r="I59" s="120">
        <v>4637.176278381854</v>
      </c>
      <c r="J59" s="120">
        <v>0</v>
      </c>
      <c r="K59" s="120"/>
      <c r="L59" s="120"/>
      <c r="M59" s="120">
        <v>0</v>
      </c>
      <c r="N59" s="120" t="s">
        <v>250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287</v>
      </c>
      <c r="D60" s="107" t="s">
        <v>250</v>
      </c>
      <c r="E60" s="120">
        <v>532644</v>
      </c>
      <c r="F60" s="120" t="s">
        <v>250</v>
      </c>
      <c r="G60" s="120">
        <v>0</v>
      </c>
      <c r="H60" s="120" t="s">
        <v>250</v>
      </c>
      <c r="I60" s="120">
        <v>18854.152757470201</v>
      </c>
      <c r="J60" s="120">
        <v>0</v>
      </c>
      <c r="K60" s="120"/>
      <c r="L60" s="120"/>
      <c r="M60" s="120">
        <v>0</v>
      </c>
      <c r="N60" s="120" t="s">
        <v>250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288</v>
      </c>
      <c r="D61" s="107" t="s">
        <v>250</v>
      </c>
      <c r="E61" s="120">
        <v>0</v>
      </c>
      <c r="F61" s="120" t="s">
        <v>250</v>
      </c>
      <c r="G61" s="120">
        <v>0</v>
      </c>
      <c r="H61" s="120" t="s">
        <v>250</v>
      </c>
      <c r="I61" s="120">
        <v>0</v>
      </c>
      <c r="J61" s="120">
        <v>0</v>
      </c>
      <c r="K61" s="120"/>
      <c r="L61" s="120"/>
      <c r="M61" s="120">
        <v>0</v>
      </c>
      <c r="N61" s="120" t="s">
        <v>250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289</v>
      </c>
      <c r="D62" s="107" t="s">
        <v>250</v>
      </c>
      <c r="E62" s="120">
        <v>1443699434.3400409</v>
      </c>
      <c r="F62" s="120" t="s">
        <v>250</v>
      </c>
      <c r="G62" s="120">
        <v>1354932055.9702206</v>
      </c>
      <c r="H62" s="120" t="s">
        <v>250</v>
      </c>
      <c r="I62" s="120">
        <v>66407433.310426325</v>
      </c>
      <c r="J62" s="120">
        <v>21719451.42280709</v>
      </c>
      <c r="K62" s="120" t="s">
        <v>250</v>
      </c>
      <c r="L62" s="120" t="s">
        <v>250</v>
      </c>
      <c r="M62" s="120">
        <v>0</v>
      </c>
      <c r="N62" s="120" t="s">
        <v>250</v>
      </c>
      <c r="O62" s="120">
        <v>21719451.42280709</v>
      </c>
      <c r="P62" s="120">
        <v>11171665.63513783</v>
      </c>
      <c r="Q62" s="120">
        <v>10547785.787669258</v>
      </c>
      <c r="R62" s="120"/>
      <c r="S62" s="121"/>
    </row>
    <row r="63" spans="1:19" ht="15">
      <c r="A63" s="105" t="s">
        <v>250</v>
      </c>
      <c r="B63" s="105"/>
      <c r="C63" s="107" t="s">
        <v>250</v>
      </c>
      <c r="D63" s="107" t="s">
        <v>250</v>
      </c>
      <c r="E63" s="120" t="s">
        <v>250</v>
      </c>
      <c r="F63" s="120" t="s">
        <v>250</v>
      </c>
      <c r="G63" s="120" t="s">
        <v>250</v>
      </c>
      <c r="H63" s="120" t="s">
        <v>250</v>
      </c>
      <c r="I63" s="120" t="s">
        <v>250</v>
      </c>
      <c r="J63" s="120" t="s">
        <v>250</v>
      </c>
      <c r="K63" s="120" t="s">
        <v>250</v>
      </c>
      <c r="L63" s="120" t="s">
        <v>250</v>
      </c>
      <c r="M63" s="120" t="s">
        <v>250</v>
      </c>
      <c r="N63" s="120" t="s">
        <v>250</v>
      </c>
      <c r="O63" s="120" t="s">
        <v>250</v>
      </c>
      <c r="P63" s="120" t="s">
        <v>250</v>
      </c>
      <c r="Q63" s="120" t="s">
        <v>250</v>
      </c>
      <c r="R63" s="120"/>
      <c r="S63" s="121"/>
    </row>
    <row r="64" spans="1:19" ht="15">
      <c r="A64" s="105">
        <v>36</v>
      </c>
      <c r="B64" s="105"/>
      <c r="C64" s="107" t="s">
        <v>290</v>
      </c>
      <c r="D64" s="107" t="s">
        <v>250</v>
      </c>
      <c r="E64" s="120">
        <v>303333736.08359504</v>
      </c>
      <c r="F64" s="120" t="s">
        <v>250</v>
      </c>
      <c r="G64" s="120">
        <v>289051000.95403671</v>
      </c>
      <c r="H64" s="120" t="s">
        <v>250</v>
      </c>
      <c r="I64" s="120">
        <v>12169795.195727214</v>
      </c>
      <c r="J64" s="120">
        <v>2753433.5704179239</v>
      </c>
      <c r="K64" s="120" t="s">
        <v>250</v>
      </c>
      <c r="L64" s="120" t="s">
        <v>250</v>
      </c>
      <c r="M64" s="120">
        <v>0</v>
      </c>
      <c r="N64" s="120" t="s">
        <v>250</v>
      </c>
      <c r="O64" s="120">
        <v>2753433.5704179239</v>
      </c>
      <c r="P64" s="120">
        <v>1428108.7482200414</v>
      </c>
      <c r="Q64" s="120">
        <v>1325324.8221978825</v>
      </c>
      <c r="R64" s="122"/>
      <c r="S64" s="121"/>
    </row>
    <row r="65" spans="1:19" ht="15">
      <c r="A65" s="105">
        <v>37</v>
      </c>
      <c r="B65" s="105"/>
      <c r="C65" s="107" t="s">
        <v>291</v>
      </c>
      <c r="D65" s="107" t="s">
        <v>250</v>
      </c>
      <c r="E65" s="515">
        <v>4.9168125084856358E-2</v>
      </c>
      <c r="F65" s="515" t="s">
        <v>250</v>
      </c>
      <c r="G65" s="515">
        <v>4.9574096765688157E-2</v>
      </c>
      <c r="H65" s="515" t="s">
        <v>250</v>
      </c>
      <c r="I65" s="515">
        <v>3.8193794525253275E-2</v>
      </c>
      <c r="J65" s="515">
        <v>3.5350061182706546E-2</v>
      </c>
      <c r="K65" s="515" t="s">
        <v>250</v>
      </c>
      <c r="L65" s="515" t="s">
        <v>250</v>
      </c>
      <c r="M65" s="515">
        <v>0</v>
      </c>
      <c r="N65" s="515" t="s">
        <v>250</v>
      </c>
      <c r="O65" s="515">
        <v>3.5350061182706546E-2</v>
      </c>
      <c r="P65" s="515">
        <v>3.4762944476068522E-2</v>
      </c>
      <c r="Q65" s="515">
        <v>3.6005320972507145E-2</v>
      </c>
      <c r="R65" s="120"/>
      <c r="S65" s="121"/>
    </row>
    <row r="66" spans="1:19" ht="15">
      <c r="A66" s="105" t="s">
        <v>250</v>
      </c>
      <c r="B66" s="105"/>
      <c r="C66" s="107" t="s">
        <v>250</v>
      </c>
      <c r="D66" s="107" t="s">
        <v>250</v>
      </c>
      <c r="E66" s="120" t="s">
        <v>250</v>
      </c>
      <c r="F66" s="120" t="s">
        <v>250</v>
      </c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120"/>
      <c r="S66" s="121"/>
    </row>
    <row r="67" spans="1:19" ht="15">
      <c r="A67" s="105" t="s">
        <v>250</v>
      </c>
      <c r="B67" s="105"/>
      <c r="C67" s="107" t="s">
        <v>250</v>
      </c>
      <c r="D67" s="107" t="s">
        <v>250</v>
      </c>
      <c r="E67" s="120" t="s">
        <v>250</v>
      </c>
      <c r="F67" s="120" t="s">
        <v>250</v>
      </c>
      <c r="G67" s="120" t="s">
        <v>250</v>
      </c>
      <c r="H67" s="120" t="s">
        <v>250</v>
      </c>
      <c r="I67" s="120" t="s">
        <v>250</v>
      </c>
      <c r="J67" s="120" t="s">
        <v>250</v>
      </c>
      <c r="K67" s="120" t="s">
        <v>250</v>
      </c>
      <c r="L67" s="120" t="s">
        <v>250</v>
      </c>
      <c r="M67" s="120" t="s">
        <v>250</v>
      </c>
      <c r="N67" s="120" t="s">
        <v>250</v>
      </c>
      <c r="O67" s="120" t="s">
        <v>250</v>
      </c>
      <c r="P67" s="120" t="s">
        <v>250</v>
      </c>
      <c r="Q67" s="120" t="s">
        <v>250</v>
      </c>
      <c r="R67" s="120"/>
      <c r="S67" s="121"/>
    </row>
    <row r="68" spans="1:19" ht="15">
      <c r="A68" s="105" t="s">
        <v>250</v>
      </c>
      <c r="B68" s="105"/>
      <c r="C68" s="107" t="s">
        <v>250</v>
      </c>
      <c r="D68" s="107" t="s">
        <v>250</v>
      </c>
      <c r="E68" s="120" t="s">
        <v>250</v>
      </c>
      <c r="F68" s="120" t="s">
        <v>250</v>
      </c>
      <c r="G68" s="120" t="s">
        <v>250</v>
      </c>
      <c r="H68" s="120" t="s">
        <v>250</v>
      </c>
      <c r="I68" s="120" t="s">
        <v>250</v>
      </c>
      <c r="J68" s="120" t="s">
        <v>250</v>
      </c>
      <c r="K68" s="120" t="s">
        <v>250</v>
      </c>
      <c r="L68" s="120" t="s">
        <v>250</v>
      </c>
      <c r="M68" s="120" t="s">
        <v>250</v>
      </c>
      <c r="N68" s="120" t="s">
        <v>250</v>
      </c>
      <c r="O68" s="120" t="s">
        <v>250</v>
      </c>
      <c r="P68" s="120" t="s">
        <v>250</v>
      </c>
      <c r="Q68" s="120" t="s">
        <v>250</v>
      </c>
      <c r="R68" s="120"/>
      <c r="S68" s="121"/>
    </row>
    <row r="69" spans="1:19" ht="15">
      <c r="A69" s="105" t="s">
        <v>250</v>
      </c>
      <c r="B69" s="105"/>
      <c r="C69" s="107" t="s">
        <v>292</v>
      </c>
      <c r="D69" s="107" t="s">
        <v>250</v>
      </c>
      <c r="E69" s="120" t="s">
        <v>250</v>
      </c>
      <c r="F69" s="120" t="s">
        <v>250</v>
      </c>
      <c r="G69" s="120" t="s">
        <v>250</v>
      </c>
      <c r="H69" s="120" t="s">
        <v>250</v>
      </c>
      <c r="I69" s="120" t="s">
        <v>250</v>
      </c>
      <c r="J69" s="120" t="s">
        <v>250</v>
      </c>
      <c r="K69" s="120" t="s">
        <v>250</v>
      </c>
      <c r="L69" s="120" t="s">
        <v>250</v>
      </c>
      <c r="M69" s="120" t="s">
        <v>250</v>
      </c>
      <c r="N69" s="120" t="s">
        <v>250</v>
      </c>
      <c r="O69" s="120" t="s">
        <v>250</v>
      </c>
      <c r="P69" s="120" t="s">
        <v>250</v>
      </c>
      <c r="Q69" s="120" t="s">
        <v>250</v>
      </c>
      <c r="R69" s="120"/>
      <c r="S69" s="121"/>
    </row>
    <row r="70" spans="1:19" ht="15">
      <c r="A70" s="105" t="s">
        <v>250</v>
      </c>
      <c r="B70" s="105"/>
      <c r="C70" s="107" t="s">
        <v>250</v>
      </c>
      <c r="D70" s="107" t="s">
        <v>250</v>
      </c>
      <c r="E70" s="120" t="s">
        <v>250</v>
      </c>
      <c r="F70" s="120" t="s">
        <v>250</v>
      </c>
      <c r="G70" s="120" t="s">
        <v>250</v>
      </c>
      <c r="H70" s="120" t="s">
        <v>250</v>
      </c>
      <c r="I70" s="120" t="s">
        <v>250</v>
      </c>
      <c r="J70" s="120" t="s">
        <v>250</v>
      </c>
      <c r="K70" s="120" t="s">
        <v>250</v>
      </c>
      <c r="L70" s="120" t="s">
        <v>250</v>
      </c>
      <c r="M70" s="120" t="s">
        <v>250</v>
      </c>
      <c r="N70" s="120" t="s">
        <v>250</v>
      </c>
      <c r="O70" s="120" t="s">
        <v>250</v>
      </c>
      <c r="P70" s="120" t="s">
        <v>250</v>
      </c>
      <c r="Q70" s="120" t="s">
        <v>250</v>
      </c>
      <c r="R70" s="120"/>
      <c r="S70" s="121"/>
    </row>
    <row r="71" spans="1:19" ht="15">
      <c r="A71" s="105" t="s">
        <v>250</v>
      </c>
      <c r="B71" s="129"/>
      <c r="C71" s="107" t="s">
        <v>293</v>
      </c>
      <c r="D71" s="107" t="s">
        <v>250</v>
      </c>
      <c r="E71" s="120" t="s">
        <v>250</v>
      </c>
      <c r="F71" s="120" t="s">
        <v>250</v>
      </c>
      <c r="G71" s="120" t="s">
        <v>250</v>
      </c>
      <c r="H71" s="120" t="s">
        <v>250</v>
      </c>
      <c r="I71" s="120" t="s">
        <v>250</v>
      </c>
      <c r="J71" s="120" t="s">
        <v>250</v>
      </c>
      <c r="K71" s="120" t="s">
        <v>250</v>
      </c>
      <c r="L71" s="120" t="s">
        <v>250</v>
      </c>
      <c r="M71" s="120" t="s">
        <v>250</v>
      </c>
      <c r="N71" s="120" t="s">
        <v>250</v>
      </c>
      <c r="O71" s="120" t="s">
        <v>250</v>
      </c>
      <c r="P71" s="120" t="s">
        <v>250</v>
      </c>
      <c r="Q71" s="120" t="s">
        <v>250</v>
      </c>
      <c r="R71" s="120"/>
      <c r="S71" s="121"/>
    </row>
    <row r="72" spans="1:19" ht="15">
      <c r="A72" s="105">
        <v>1</v>
      </c>
      <c r="B72" s="129" t="str">
        <f t="shared" ref="B72:B74" si="1">MID(C72,2,3)</f>
        <v>301</v>
      </c>
      <c r="C72" s="107" t="s">
        <v>294</v>
      </c>
      <c r="D72" s="107" t="s">
        <v>295</v>
      </c>
      <c r="E72" s="120">
        <v>44455.580000000009</v>
      </c>
      <c r="F72" s="120" t="s">
        <v>250</v>
      </c>
      <c r="G72" s="120">
        <v>41551.524759687265</v>
      </c>
      <c r="H72" s="120" t="s">
        <v>250</v>
      </c>
      <c r="I72" s="120">
        <v>2317.5175451964928</v>
      </c>
      <c r="J72" s="120">
        <v>586.5376951162516</v>
      </c>
      <c r="K72" s="120" t="s">
        <v>250</v>
      </c>
      <c r="L72" s="120" t="s">
        <v>250</v>
      </c>
      <c r="M72" s="120">
        <v>0</v>
      </c>
      <c r="N72" s="120" t="s">
        <v>250</v>
      </c>
      <c r="O72" s="120">
        <v>586.5376951162516</v>
      </c>
      <c r="P72" s="120">
        <v>306.90056332777317</v>
      </c>
      <c r="Q72" s="120">
        <v>279.63713178847843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296</v>
      </c>
      <c r="D73" s="107" t="s">
        <v>297</v>
      </c>
      <c r="E73" s="120">
        <v>144368.66000000003</v>
      </c>
      <c r="F73" s="120" t="s">
        <v>250</v>
      </c>
      <c r="G73" s="120">
        <v>144368.66000000003</v>
      </c>
      <c r="H73" s="120" t="s">
        <v>250</v>
      </c>
      <c r="I73" s="120">
        <v>0</v>
      </c>
      <c r="J73" s="120">
        <v>0</v>
      </c>
      <c r="K73" s="120" t="s">
        <v>250</v>
      </c>
      <c r="L73" s="120" t="s">
        <v>250</v>
      </c>
      <c r="M73" s="120">
        <v>0</v>
      </c>
      <c r="N73" s="120" t="s">
        <v>250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298</v>
      </c>
      <c r="D74" s="107" t="s">
        <v>295</v>
      </c>
      <c r="E74" s="120">
        <v>112943497.79846153</v>
      </c>
      <c r="F74" s="120" t="s">
        <v>250</v>
      </c>
      <c r="G74" s="120">
        <v>105565477.83694324</v>
      </c>
      <c r="H74" s="120" t="s">
        <v>250</v>
      </c>
      <c r="I74" s="120">
        <v>5887866.8946349593</v>
      </c>
      <c r="J74" s="120">
        <v>1490153.0668833256</v>
      </c>
      <c r="K74" s="120" t="s">
        <v>250</v>
      </c>
      <c r="L74" s="120" t="s">
        <v>250</v>
      </c>
      <c r="M74" s="120">
        <v>0</v>
      </c>
      <c r="N74" s="120" t="s">
        <v>250</v>
      </c>
      <c r="O74" s="120">
        <v>1490153.0668833256</v>
      </c>
      <c r="P74" s="120">
        <v>779709.16358659451</v>
      </c>
      <c r="Q74" s="120">
        <v>710443.90329673118</v>
      </c>
      <c r="R74" s="120"/>
      <c r="S74" s="121"/>
    </row>
    <row r="75" spans="1:19" ht="15">
      <c r="A75" s="105">
        <v>4</v>
      </c>
      <c r="B75" s="105"/>
      <c r="C75" s="107" t="s">
        <v>299</v>
      </c>
      <c r="D75" s="107" t="s">
        <v>250</v>
      </c>
      <c r="E75" s="120">
        <v>113132322.03846152</v>
      </c>
      <c r="F75" s="120" t="s">
        <v>250</v>
      </c>
      <c r="G75" s="120">
        <v>105751398.02170293</v>
      </c>
      <c r="H75" s="120" t="s">
        <v>250</v>
      </c>
      <c r="I75" s="120">
        <v>5890184.4121801555</v>
      </c>
      <c r="J75" s="120">
        <v>1490739.6045784419</v>
      </c>
      <c r="K75" s="120" t="s">
        <v>250</v>
      </c>
      <c r="L75" s="120" t="s">
        <v>250</v>
      </c>
      <c r="M75" s="120">
        <v>0</v>
      </c>
      <c r="N75" s="120" t="s">
        <v>250</v>
      </c>
      <c r="O75" s="120">
        <v>1490739.6045784419</v>
      </c>
      <c r="P75" s="120">
        <v>780016.06414992234</v>
      </c>
      <c r="Q75" s="120">
        <v>710723.54042851971</v>
      </c>
      <c r="R75" s="120"/>
      <c r="S75" s="121"/>
    </row>
    <row r="76" spans="1:19" ht="15">
      <c r="A76" s="105" t="s">
        <v>250</v>
      </c>
      <c r="B76" s="105"/>
      <c r="C76" s="107" t="s">
        <v>250</v>
      </c>
      <c r="D76" s="107" t="s">
        <v>250</v>
      </c>
      <c r="E76" s="120" t="s">
        <v>250</v>
      </c>
      <c r="F76" s="120" t="s">
        <v>250</v>
      </c>
      <c r="G76" s="120" t="s">
        <v>250</v>
      </c>
      <c r="H76" s="120" t="s">
        <v>250</v>
      </c>
      <c r="I76" s="120" t="s">
        <v>250</v>
      </c>
      <c r="J76" s="120" t="s">
        <v>250</v>
      </c>
      <c r="K76" s="120" t="s">
        <v>250</v>
      </c>
      <c r="L76" s="120" t="s">
        <v>250</v>
      </c>
      <c r="M76" s="120" t="s">
        <v>250</v>
      </c>
      <c r="N76" s="120" t="s">
        <v>250</v>
      </c>
      <c r="O76" s="120" t="s">
        <v>250</v>
      </c>
      <c r="P76" s="120" t="s">
        <v>250</v>
      </c>
      <c r="Q76" s="120" t="s">
        <v>250</v>
      </c>
      <c r="R76" s="120"/>
      <c r="S76" s="121"/>
    </row>
    <row r="77" spans="1:19" ht="15">
      <c r="A77" s="105" t="s">
        <v>250</v>
      </c>
      <c r="B77" s="105"/>
      <c r="C77" s="107" t="s">
        <v>300</v>
      </c>
      <c r="D77" s="107" t="s">
        <v>250</v>
      </c>
      <c r="E77" s="120" t="s">
        <v>250</v>
      </c>
      <c r="F77" s="120" t="s">
        <v>250</v>
      </c>
      <c r="G77" s="120" t="s">
        <v>250</v>
      </c>
      <c r="H77" s="120" t="s">
        <v>250</v>
      </c>
      <c r="I77" s="120" t="s">
        <v>250</v>
      </c>
      <c r="J77" s="120" t="s">
        <v>250</v>
      </c>
      <c r="K77" s="120" t="s">
        <v>250</v>
      </c>
      <c r="L77" s="120" t="s">
        <v>250</v>
      </c>
      <c r="M77" s="120" t="s">
        <v>250</v>
      </c>
      <c r="N77" s="120" t="s">
        <v>250</v>
      </c>
      <c r="O77" s="120" t="s">
        <v>250</v>
      </c>
      <c r="P77" s="120" t="s">
        <v>250</v>
      </c>
      <c r="Q77" s="120" t="s">
        <v>250</v>
      </c>
      <c r="R77" s="120"/>
      <c r="S77" s="121"/>
    </row>
    <row r="78" spans="1:19" ht="15">
      <c r="A78" s="105" t="s">
        <v>250</v>
      </c>
      <c r="B78" s="129"/>
      <c r="C78" s="107" t="s">
        <v>301</v>
      </c>
      <c r="D78" s="107" t="s">
        <v>250</v>
      </c>
      <c r="E78" s="120" t="s">
        <v>250</v>
      </c>
      <c r="F78" s="120" t="s">
        <v>250</v>
      </c>
      <c r="G78" s="120" t="s">
        <v>250</v>
      </c>
      <c r="H78" s="120" t="s">
        <v>250</v>
      </c>
      <c r="I78" s="120" t="s">
        <v>250</v>
      </c>
      <c r="J78" s="120" t="s">
        <v>250</v>
      </c>
      <c r="K78" s="120" t="s">
        <v>250</v>
      </c>
      <c r="L78" s="120" t="s">
        <v>250</v>
      </c>
      <c r="M78" s="120" t="s">
        <v>250</v>
      </c>
      <c r="N78" s="120" t="s">
        <v>250</v>
      </c>
      <c r="O78" s="120" t="s">
        <v>250</v>
      </c>
      <c r="P78" s="120" t="s">
        <v>250</v>
      </c>
      <c r="Q78" s="120" t="s">
        <v>250</v>
      </c>
      <c r="R78" s="120"/>
      <c r="S78" s="121"/>
    </row>
    <row r="79" spans="1:19" ht="15">
      <c r="A79" s="105">
        <v>5</v>
      </c>
      <c r="B79" s="129" t="str">
        <f t="shared" ref="B79:B85" si="2">MID(C79,2,3)</f>
        <v>310</v>
      </c>
      <c r="C79" s="107" t="s">
        <v>302</v>
      </c>
      <c r="D79" s="107" t="s">
        <v>303</v>
      </c>
      <c r="E79" s="120">
        <v>25383481.64076912</v>
      </c>
      <c r="F79" s="120" t="s">
        <v>250</v>
      </c>
      <c r="G79" s="120">
        <v>23812573.812121972</v>
      </c>
      <c r="H79" s="120" t="s">
        <v>250</v>
      </c>
      <c r="I79" s="120">
        <v>1078420.3685250501</v>
      </c>
      <c r="J79" s="120">
        <v>492487.46012209699</v>
      </c>
      <c r="K79" s="120" t="s">
        <v>250</v>
      </c>
      <c r="L79" s="120" t="s">
        <v>250</v>
      </c>
      <c r="M79" s="120">
        <v>0</v>
      </c>
      <c r="N79" s="120" t="s">
        <v>250</v>
      </c>
      <c r="O79" s="120">
        <v>492487.46012209699</v>
      </c>
      <c r="P79" s="120">
        <v>249817.19742834553</v>
      </c>
      <c r="Q79" s="120">
        <v>242670.26269375146</v>
      </c>
      <c r="R79" s="120"/>
      <c r="S79" s="121"/>
    </row>
    <row r="80" spans="1:19" ht="15">
      <c r="A80" s="105">
        <v>6</v>
      </c>
      <c r="B80" s="129" t="str">
        <f t="shared" si="2"/>
        <v>311</v>
      </c>
      <c r="C80" s="107" t="s">
        <v>304</v>
      </c>
      <c r="D80" s="107" t="s">
        <v>303</v>
      </c>
      <c r="E80" s="120">
        <v>356830965.54461539</v>
      </c>
      <c r="F80" s="120" t="s">
        <v>250</v>
      </c>
      <c r="G80" s="120">
        <v>334747763.35782617</v>
      </c>
      <c r="H80" s="120" t="s">
        <v>250</v>
      </c>
      <c r="I80" s="120">
        <v>15160007.866915839</v>
      </c>
      <c r="J80" s="120">
        <v>6923194.3198733851</v>
      </c>
      <c r="K80" s="120" t="s">
        <v>250</v>
      </c>
      <c r="L80" s="120" t="s">
        <v>250</v>
      </c>
      <c r="M80" s="120">
        <v>0</v>
      </c>
      <c r="N80" s="120" t="s">
        <v>250</v>
      </c>
      <c r="O80" s="120">
        <v>6923194.3198733851</v>
      </c>
      <c r="P80" s="120">
        <v>3511831.5536680385</v>
      </c>
      <c r="Q80" s="120">
        <v>3411362.7662053471</v>
      </c>
      <c r="R80" s="120"/>
      <c r="S80" s="121"/>
    </row>
    <row r="81" spans="1:19" ht="15">
      <c r="A81" s="105">
        <v>7</v>
      </c>
      <c r="B81" s="129" t="str">
        <f t="shared" si="2"/>
        <v>312</v>
      </c>
      <c r="C81" s="107" t="s">
        <v>305</v>
      </c>
      <c r="D81" s="107" t="s">
        <v>303</v>
      </c>
      <c r="E81" s="120">
        <v>4413195224.5192194</v>
      </c>
      <c r="F81" s="120" t="s">
        <v>250</v>
      </c>
      <c r="G81" s="120">
        <v>4140075759.4411669</v>
      </c>
      <c r="H81" s="120" t="s">
        <v>250</v>
      </c>
      <c r="I81" s="120">
        <v>187495146.95237854</v>
      </c>
      <c r="J81" s="120">
        <v>85624318.12567471</v>
      </c>
      <c r="K81" s="120" t="s">
        <v>250</v>
      </c>
      <c r="L81" s="120" t="s">
        <v>250</v>
      </c>
      <c r="M81" s="120">
        <v>0</v>
      </c>
      <c r="N81" s="120" t="s">
        <v>250</v>
      </c>
      <c r="O81" s="120">
        <v>85624318.12567471</v>
      </c>
      <c r="P81" s="120">
        <v>43433445.352224909</v>
      </c>
      <c r="Q81" s="120">
        <v>42190872.773449801</v>
      </c>
      <c r="R81" s="120"/>
      <c r="S81" s="121"/>
    </row>
    <row r="82" spans="1:19" ht="15">
      <c r="A82" s="105">
        <v>8</v>
      </c>
      <c r="B82" s="129" t="str">
        <f t="shared" si="2"/>
        <v>314</v>
      </c>
      <c r="C82" s="107" t="s">
        <v>306</v>
      </c>
      <c r="D82" s="107" t="s">
        <v>303</v>
      </c>
      <c r="E82" s="120">
        <v>371776674.86846167</v>
      </c>
      <c r="F82" s="120" t="s">
        <v>250</v>
      </c>
      <c r="G82" s="120">
        <v>348768527.39190549</v>
      </c>
      <c r="H82" s="120" t="s">
        <v>250</v>
      </c>
      <c r="I82" s="120">
        <v>15794978.182847731</v>
      </c>
      <c r="J82" s="120">
        <v>7213169.2937084241</v>
      </c>
      <c r="K82" s="120" t="s">
        <v>250</v>
      </c>
      <c r="L82" s="120" t="s">
        <v>250</v>
      </c>
      <c r="M82" s="120">
        <v>0</v>
      </c>
      <c r="N82" s="120" t="s">
        <v>250</v>
      </c>
      <c r="O82" s="120">
        <v>7213169.2937084241</v>
      </c>
      <c r="P82" s="120">
        <v>3658923.0862521729</v>
      </c>
      <c r="Q82" s="120">
        <v>3554246.2074562511</v>
      </c>
      <c r="R82" s="120"/>
      <c r="S82" s="121"/>
    </row>
    <row r="83" spans="1:19" ht="15">
      <c r="A83" s="105">
        <v>9</v>
      </c>
      <c r="B83" s="129" t="str">
        <f t="shared" si="2"/>
        <v>315</v>
      </c>
      <c r="C83" s="107" t="s">
        <v>307</v>
      </c>
      <c r="D83" s="107" t="s">
        <v>303</v>
      </c>
      <c r="E83" s="120">
        <v>260025216.70384529</v>
      </c>
      <c r="F83" s="120" t="s">
        <v>250</v>
      </c>
      <c r="G83" s="120">
        <v>243933033.04099908</v>
      </c>
      <c r="H83" s="120" t="s">
        <v>250</v>
      </c>
      <c r="I83" s="120">
        <v>11047203.610287333</v>
      </c>
      <c r="J83" s="120">
        <v>5044980.0525588747</v>
      </c>
      <c r="K83" s="120" t="s">
        <v>250</v>
      </c>
      <c r="L83" s="120" t="s">
        <v>250</v>
      </c>
      <c r="M83" s="120">
        <v>0</v>
      </c>
      <c r="N83" s="120" t="s">
        <v>250</v>
      </c>
      <c r="O83" s="120">
        <v>5044980.0525588747</v>
      </c>
      <c r="P83" s="120">
        <v>2559096.179829041</v>
      </c>
      <c r="Q83" s="120">
        <v>2485883.8727298342</v>
      </c>
      <c r="R83" s="120"/>
      <c r="S83" s="121"/>
    </row>
    <row r="84" spans="1:19" ht="15">
      <c r="A84" s="105">
        <v>10</v>
      </c>
      <c r="B84" s="129" t="str">
        <f t="shared" si="2"/>
        <v>316</v>
      </c>
      <c r="C84" s="107" t="s">
        <v>308</v>
      </c>
      <c r="D84" s="107" t="s">
        <v>303</v>
      </c>
      <c r="E84" s="120">
        <v>47960436.392307699</v>
      </c>
      <c r="F84" s="120" t="s">
        <v>250</v>
      </c>
      <c r="G84" s="120">
        <v>44992308.297814868</v>
      </c>
      <c r="H84" s="120" t="s">
        <v>250</v>
      </c>
      <c r="I84" s="120">
        <v>2037605.0937686707</v>
      </c>
      <c r="J84" s="120">
        <v>930523.00072415615</v>
      </c>
      <c r="K84" s="120" t="s">
        <v>250</v>
      </c>
      <c r="L84" s="120" t="s">
        <v>250</v>
      </c>
      <c r="M84" s="120">
        <v>0</v>
      </c>
      <c r="N84" s="120" t="s">
        <v>250</v>
      </c>
      <c r="O84" s="120">
        <v>930523.00072415615</v>
      </c>
      <c r="P84" s="120">
        <v>472013.33436163352</v>
      </c>
      <c r="Q84" s="120">
        <v>458509.66636252258</v>
      </c>
      <c r="R84" s="120"/>
      <c r="S84" s="121"/>
    </row>
    <row r="85" spans="1:19" ht="15">
      <c r="A85" s="105">
        <v>11</v>
      </c>
      <c r="B85" s="129" t="str">
        <f t="shared" si="2"/>
        <v>317</v>
      </c>
      <c r="C85" s="107" t="s">
        <v>309</v>
      </c>
      <c r="D85" s="107" t="s">
        <v>303</v>
      </c>
      <c r="E85" s="120">
        <v>158472628.39384618</v>
      </c>
      <c r="F85" s="120" t="s">
        <v>250</v>
      </c>
      <c r="G85" s="120">
        <v>148665230.96534118</v>
      </c>
      <c r="H85" s="120" t="s">
        <v>250</v>
      </c>
      <c r="I85" s="120">
        <v>6732729.289552521</v>
      </c>
      <c r="J85" s="120">
        <v>3074668.1389524871</v>
      </c>
      <c r="K85" s="120" t="s">
        <v>250</v>
      </c>
      <c r="L85" s="120" t="s">
        <v>250</v>
      </c>
      <c r="M85" s="120">
        <v>0</v>
      </c>
      <c r="N85" s="120" t="s">
        <v>250</v>
      </c>
      <c r="O85" s="120">
        <v>3074668.1389524871</v>
      </c>
      <c r="P85" s="120">
        <v>1559643.7263700266</v>
      </c>
      <c r="Q85" s="120">
        <v>1515024.4125824606</v>
      </c>
      <c r="R85" s="120"/>
      <c r="S85" s="121"/>
    </row>
    <row r="86" spans="1:19" ht="15">
      <c r="A86" s="105">
        <v>12</v>
      </c>
      <c r="B86" s="105"/>
      <c r="C86" s="107" t="s">
        <v>310</v>
      </c>
      <c r="D86" s="107" t="s">
        <v>311</v>
      </c>
      <c r="E86" s="120">
        <v>7769119.6200000001</v>
      </c>
      <c r="F86" s="120" t="s">
        <v>250</v>
      </c>
      <c r="G86" s="120">
        <v>3996227.776710609</v>
      </c>
      <c r="H86" s="120" t="s">
        <v>250</v>
      </c>
      <c r="I86" s="120">
        <v>2590071.3828317267</v>
      </c>
      <c r="J86" s="120">
        <v>1182820.4604576649</v>
      </c>
      <c r="K86" s="120" t="s">
        <v>250</v>
      </c>
      <c r="L86" s="120" t="s">
        <v>250</v>
      </c>
      <c r="M86" s="120">
        <v>0</v>
      </c>
      <c r="N86" s="120" t="s">
        <v>250</v>
      </c>
      <c r="O86" s="120">
        <v>1182820.4604576649</v>
      </c>
      <c r="P86" s="120">
        <v>599992.72350849654</v>
      </c>
      <c r="Q86" s="120">
        <v>582827.73694916838</v>
      </c>
      <c r="R86" s="120"/>
      <c r="S86" s="121"/>
    </row>
    <row r="87" spans="1:19" ht="15">
      <c r="A87" s="105">
        <v>13</v>
      </c>
      <c r="B87" s="105"/>
      <c r="C87" s="107" t="s">
        <v>312</v>
      </c>
      <c r="D87" s="107" t="s">
        <v>313</v>
      </c>
      <c r="E87" s="120">
        <v>5888379.9600000009</v>
      </c>
      <c r="F87" s="120" t="s">
        <v>250</v>
      </c>
      <c r="G87" s="120">
        <v>4543558.2907110015</v>
      </c>
      <c r="H87" s="120" t="s">
        <v>250</v>
      </c>
      <c r="I87" s="120">
        <v>0</v>
      </c>
      <c r="J87" s="120">
        <v>1344821.6692889996</v>
      </c>
      <c r="K87" s="120" t="s">
        <v>250</v>
      </c>
      <c r="L87" s="120" t="s">
        <v>250</v>
      </c>
      <c r="M87" s="120">
        <v>0</v>
      </c>
      <c r="N87" s="120" t="s">
        <v>250</v>
      </c>
      <c r="O87" s="120">
        <v>1344821.6692889996</v>
      </c>
      <c r="P87" s="120">
        <v>682168.80157597607</v>
      </c>
      <c r="Q87" s="120">
        <v>662652.86771302356</v>
      </c>
      <c r="R87" s="120"/>
      <c r="S87" s="121"/>
    </row>
    <row r="88" spans="1:19" ht="15">
      <c r="A88" s="105">
        <v>14</v>
      </c>
      <c r="B88" s="105"/>
      <c r="C88" s="107" t="s">
        <v>314</v>
      </c>
      <c r="D88" s="107" t="s">
        <v>250</v>
      </c>
      <c r="E88" s="120">
        <v>5647302127.6430674</v>
      </c>
      <c r="F88" s="120" t="s">
        <v>250</v>
      </c>
      <c r="G88" s="120">
        <v>5293534982.3745995</v>
      </c>
      <c r="H88" s="120" t="s">
        <v>250</v>
      </c>
      <c r="I88" s="120">
        <v>241936162.74710739</v>
      </c>
      <c r="J88" s="120">
        <v>111830982.5213608</v>
      </c>
      <c r="K88" s="120" t="s">
        <v>250</v>
      </c>
      <c r="L88" s="120" t="s">
        <v>250</v>
      </c>
      <c r="M88" s="120">
        <v>0</v>
      </c>
      <c r="N88" s="120" t="s">
        <v>250</v>
      </c>
      <c r="O88" s="120">
        <v>111830982.5213608</v>
      </c>
      <c r="P88" s="120">
        <v>56726931.955218643</v>
      </c>
      <c r="Q88" s="120">
        <v>55104050.566142157</v>
      </c>
      <c r="R88" s="120"/>
      <c r="S88" s="121"/>
    </row>
    <row r="89" spans="1:19" ht="15">
      <c r="A89" s="105" t="s">
        <v>250</v>
      </c>
      <c r="B89" s="105"/>
      <c r="C89" s="107" t="s">
        <v>250</v>
      </c>
      <c r="D89" s="107" t="s">
        <v>250</v>
      </c>
      <c r="E89" s="120" t="s">
        <v>250</v>
      </c>
      <c r="F89" s="120" t="s">
        <v>250</v>
      </c>
      <c r="G89" s="120" t="s">
        <v>250</v>
      </c>
      <c r="H89" s="120" t="s">
        <v>250</v>
      </c>
      <c r="I89" s="120" t="s">
        <v>250</v>
      </c>
      <c r="J89" s="120" t="s">
        <v>250</v>
      </c>
      <c r="K89" s="120" t="s">
        <v>250</v>
      </c>
      <c r="L89" s="120" t="s">
        <v>250</v>
      </c>
      <c r="M89" s="120" t="s">
        <v>250</v>
      </c>
      <c r="N89" s="120" t="s">
        <v>250</v>
      </c>
      <c r="O89" s="120" t="s">
        <v>250</v>
      </c>
      <c r="P89" s="120" t="s">
        <v>250</v>
      </c>
      <c r="Q89" s="120" t="s">
        <v>250</v>
      </c>
      <c r="R89" s="120"/>
      <c r="S89" s="121"/>
    </row>
    <row r="90" spans="1:19" ht="15">
      <c r="A90" s="105" t="s">
        <v>250</v>
      </c>
      <c r="B90" s="129"/>
      <c r="C90" s="107" t="s">
        <v>315</v>
      </c>
      <c r="D90" s="107" t="s">
        <v>250</v>
      </c>
      <c r="E90" s="120" t="s">
        <v>250</v>
      </c>
      <c r="F90" s="120" t="s">
        <v>250</v>
      </c>
      <c r="G90" s="120" t="s">
        <v>250</v>
      </c>
      <c r="H90" s="120" t="s">
        <v>250</v>
      </c>
      <c r="I90" s="120" t="s">
        <v>250</v>
      </c>
      <c r="J90" s="120" t="s">
        <v>250</v>
      </c>
      <c r="K90" s="120" t="s">
        <v>250</v>
      </c>
      <c r="L90" s="120" t="s">
        <v>250</v>
      </c>
      <c r="M90" s="120" t="s">
        <v>250</v>
      </c>
      <c r="N90" s="120" t="s">
        <v>250</v>
      </c>
      <c r="O90" s="120" t="s">
        <v>250</v>
      </c>
      <c r="P90" s="120" t="s">
        <v>250</v>
      </c>
      <c r="Q90" s="120" t="s">
        <v>250</v>
      </c>
      <c r="R90" s="120"/>
      <c r="S90" s="121"/>
    </row>
    <row r="91" spans="1:19" ht="15">
      <c r="A91" s="105">
        <v>15</v>
      </c>
      <c r="B91" s="129" t="str">
        <f t="shared" ref="B91:B98" si="3">MID(C91,2,3)</f>
        <v>330</v>
      </c>
      <c r="C91" s="107" t="s">
        <v>316</v>
      </c>
      <c r="D91" s="107" t="s">
        <v>303</v>
      </c>
      <c r="E91" s="120">
        <v>855636.47000000009</v>
      </c>
      <c r="F91" s="120" t="s">
        <v>250</v>
      </c>
      <c r="G91" s="120">
        <v>802683.68565696606</v>
      </c>
      <c r="H91" s="120" t="s">
        <v>250</v>
      </c>
      <c r="I91" s="120">
        <v>36351.821643680327</v>
      </c>
      <c r="J91" s="120">
        <v>16600.962699353669</v>
      </c>
      <c r="K91" s="120" t="s">
        <v>250</v>
      </c>
      <c r="L91" s="120" t="s">
        <v>250</v>
      </c>
      <c r="M91" s="120">
        <v>0</v>
      </c>
      <c r="N91" s="120" t="s">
        <v>250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3"/>
        <v>331</v>
      </c>
      <c r="C92" s="107" t="s">
        <v>317</v>
      </c>
      <c r="D92" s="107" t="s">
        <v>303</v>
      </c>
      <c r="E92" s="120">
        <v>5185319.4346153839</v>
      </c>
      <c r="F92" s="120" t="s">
        <v>250</v>
      </c>
      <c r="G92" s="120">
        <v>4864415.5094111077</v>
      </c>
      <c r="H92" s="120" t="s">
        <v>250</v>
      </c>
      <c r="I92" s="120">
        <v>220298.93986712344</v>
      </c>
      <c r="J92" s="120">
        <v>100604.98533715337</v>
      </c>
      <c r="K92" s="120" t="s">
        <v>250</v>
      </c>
      <c r="L92" s="120" t="s">
        <v>250</v>
      </c>
      <c r="M92" s="120">
        <v>0</v>
      </c>
      <c r="N92" s="120" t="s">
        <v>250</v>
      </c>
      <c r="O92" s="120">
        <v>100604.98533715337</v>
      </c>
      <c r="P92" s="120">
        <v>51032.478020895265</v>
      </c>
      <c r="Q92" s="120">
        <v>49572.507316258096</v>
      </c>
      <c r="R92" s="120"/>
      <c r="S92" s="121"/>
    </row>
    <row r="93" spans="1:19" ht="15">
      <c r="A93" s="105">
        <v>17</v>
      </c>
      <c r="B93" s="129" t="str">
        <f t="shared" si="3"/>
        <v>332</v>
      </c>
      <c r="C93" s="107" t="s">
        <v>318</v>
      </c>
      <c r="D93" s="107" t="s">
        <v>303</v>
      </c>
      <c r="E93" s="120">
        <v>25900914.033846155</v>
      </c>
      <c r="F93" s="120" t="s">
        <v>250</v>
      </c>
      <c r="G93" s="120">
        <v>24297983.860566236</v>
      </c>
      <c r="H93" s="120" t="s">
        <v>250</v>
      </c>
      <c r="I93" s="120">
        <v>1100403.5479771825</v>
      </c>
      <c r="J93" s="120">
        <v>502526.62530273636</v>
      </c>
      <c r="K93" s="120" t="s">
        <v>250</v>
      </c>
      <c r="L93" s="120" t="s">
        <v>250</v>
      </c>
      <c r="M93" s="120">
        <v>0</v>
      </c>
      <c r="N93" s="120" t="s">
        <v>250</v>
      </c>
      <c r="O93" s="120">
        <v>502526.62530273636</v>
      </c>
      <c r="P93" s="120">
        <v>254909.6237600247</v>
      </c>
      <c r="Q93" s="120">
        <v>247617.00154271166</v>
      </c>
      <c r="R93" s="120"/>
      <c r="S93" s="121"/>
    </row>
    <row r="94" spans="1:19" ht="15">
      <c r="A94" s="105">
        <v>18</v>
      </c>
      <c r="B94" s="129" t="str">
        <f t="shared" si="3"/>
        <v>333</v>
      </c>
      <c r="C94" s="107" t="s">
        <v>319</v>
      </c>
      <c r="D94" s="107" t="s">
        <v>303</v>
      </c>
      <c r="E94" s="120">
        <v>14864454.560000001</v>
      </c>
      <c r="F94" s="120" t="s">
        <v>250</v>
      </c>
      <c r="G94" s="120">
        <v>13944537.884764655</v>
      </c>
      <c r="H94" s="120" t="s">
        <v>250</v>
      </c>
      <c r="I94" s="120">
        <v>631518.19720320101</v>
      </c>
      <c r="J94" s="120">
        <v>288398.47803214559</v>
      </c>
      <c r="K94" s="120" t="s">
        <v>250</v>
      </c>
      <c r="L94" s="120" t="s">
        <v>250</v>
      </c>
      <c r="M94" s="120">
        <v>0</v>
      </c>
      <c r="N94" s="120" t="s">
        <v>250</v>
      </c>
      <c r="O94" s="120">
        <v>288398.47803214559</v>
      </c>
      <c r="P94" s="120">
        <v>146291.84569842467</v>
      </c>
      <c r="Q94" s="120">
        <v>142106.63233372092</v>
      </c>
      <c r="R94" s="120"/>
      <c r="S94" s="121"/>
    </row>
    <row r="95" spans="1:19" ht="15">
      <c r="A95" s="105">
        <v>19</v>
      </c>
      <c r="B95" s="129" t="str">
        <f t="shared" si="3"/>
        <v>334</v>
      </c>
      <c r="C95" s="107" t="s">
        <v>320</v>
      </c>
      <c r="D95" s="107" t="s">
        <v>303</v>
      </c>
      <c r="E95" s="120">
        <v>1388843.538461538</v>
      </c>
      <c r="F95" s="120" t="s">
        <v>250</v>
      </c>
      <c r="G95" s="120">
        <v>1302892.1619635611</v>
      </c>
      <c r="H95" s="120" t="s">
        <v>250</v>
      </c>
      <c r="I95" s="120">
        <v>59005.19013773655</v>
      </c>
      <c r="J95" s="120">
        <v>26946.186360240536</v>
      </c>
      <c r="K95" s="120" t="s">
        <v>250</v>
      </c>
      <c r="L95" s="120" t="s">
        <v>250</v>
      </c>
      <c r="M95" s="120">
        <v>0</v>
      </c>
      <c r="N95" s="120" t="s">
        <v>250</v>
      </c>
      <c r="O95" s="120">
        <v>26946.186360240536</v>
      </c>
      <c r="P95" s="120">
        <v>13668.613524145985</v>
      </c>
      <c r="Q95" s="120">
        <v>13277.57283609455</v>
      </c>
      <c r="R95" s="120"/>
      <c r="S95" s="121"/>
    </row>
    <row r="96" spans="1:19" ht="15">
      <c r="A96" s="105">
        <v>20</v>
      </c>
      <c r="B96" s="129" t="str">
        <f t="shared" si="3"/>
        <v>335</v>
      </c>
      <c r="C96" s="107" t="s">
        <v>321</v>
      </c>
      <c r="D96" s="107" t="s">
        <v>303</v>
      </c>
      <c r="E96" s="120">
        <v>328984.81999999995</v>
      </c>
      <c r="F96" s="120" t="s">
        <v>250</v>
      </c>
      <c r="G96" s="120">
        <v>308624.93255201419</v>
      </c>
      <c r="H96" s="120" t="s">
        <v>250</v>
      </c>
      <c r="I96" s="120">
        <v>13976.96091672936</v>
      </c>
      <c r="J96" s="120">
        <v>6382.9265312564112</v>
      </c>
      <c r="K96" s="120" t="s">
        <v>250</v>
      </c>
      <c r="L96" s="120" t="s">
        <v>250</v>
      </c>
      <c r="M96" s="120">
        <v>0</v>
      </c>
      <c r="N96" s="120" t="s">
        <v>250</v>
      </c>
      <c r="O96" s="120">
        <v>6382.9265312564112</v>
      </c>
      <c r="P96" s="120">
        <v>3237.7775000284973</v>
      </c>
      <c r="Q96" s="120">
        <v>3145.1490312279134</v>
      </c>
      <c r="R96" s="120"/>
      <c r="S96" s="121"/>
    </row>
    <row r="97" spans="1:19" ht="15">
      <c r="A97" s="105">
        <v>21</v>
      </c>
      <c r="B97" s="129" t="str">
        <f t="shared" si="3"/>
        <v>336</v>
      </c>
      <c r="C97" s="107" t="s">
        <v>322</v>
      </c>
      <c r="D97" s="107" t="s">
        <v>303</v>
      </c>
      <c r="E97" s="120">
        <v>198899.82999999894</v>
      </c>
      <c r="F97" s="120" t="s">
        <v>250</v>
      </c>
      <c r="G97" s="120">
        <v>186590.51386734736</v>
      </c>
      <c r="H97" s="120" t="s">
        <v>250</v>
      </c>
      <c r="I97" s="120">
        <v>8450.2839682818794</v>
      </c>
      <c r="J97" s="120">
        <v>3859.0321643697225</v>
      </c>
      <c r="K97" s="120" t="s">
        <v>250</v>
      </c>
      <c r="L97" s="120" t="s">
        <v>250</v>
      </c>
      <c r="M97" s="120">
        <v>0</v>
      </c>
      <c r="N97" s="120" t="s">
        <v>250</v>
      </c>
      <c r="O97" s="120">
        <v>3859.0321643697225</v>
      </c>
      <c r="P97" s="120">
        <v>1957.5170499766218</v>
      </c>
      <c r="Q97" s="120">
        <v>1901.5151143931005</v>
      </c>
      <c r="R97" s="120"/>
      <c r="S97" s="121"/>
    </row>
    <row r="98" spans="1:19" ht="15">
      <c r="A98" s="105">
        <v>22</v>
      </c>
      <c r="B98" s="129" t="str">
        <f t="shared" si="3"/>
        <v>337</v>
      </c>
      <c r="C98" s="107" t="s">
        <v>323</v>
      </c>
      <c r="D98" s="107" t="s">
        <v>303</v>
      </c>
      <c r="E98" s="120">
        <v>645787.98999999976</v>
      </c>
      <c r="F98" s="120" t="s">
        <v>250</v>
      </c>
      <c r="G98" s="120">
        <v>605822.10102171521</v>
      </c>
      <c r="H98" s="120" t="s">
        <v>250</v>
      </c>
      <c r="I98" s="120">
        <v>27436.38292102113</v>
      </c>
      <c r="J98" s="120">
        <v>12529.506057263523</v>
      </c>
      <c r="K98" s="120" t="s">
        <v>250</v>
      </c>
      <c r="L98" s="120" t="s">
        <v>250</v>
      </c>
      <c r="M98" s="120">
        <v>0</v>
      </c>
      <c r="N98" s="120" t="s">
        <v>250</v>
      </c>
      <c r="O98" s="120">
        <v>12529.506057263523</v>
      </c>
      <c r="P98" s="120">
        <v>6355.6665739489999</v>
      </c>
      <c r="Q98" s="120">
        <v>6173.839483314523</v>
      </c>
      <c r="R98" s="120"/>
      <c r="S98" s="121"/>
    </row>
    <row r="99" spans="1:19" ht="15">
      <c r="A99" s="105">
        <v>23</v>
      </c>
      <c r="B99" s="105"/>
      <c r="C99" s="107" t="s">
        <v>310</v>
      </c>
      <c r="D99" s="107" t="s">
        <v>311</v>
      </c>
      <c r="E99" s="120">
        <v>389.35999999999996</v>
      </c>
      <c r="F99" s="120" t="s">
        <v>250</v>
      </c>
      <c r="G99" s="120">
        <v>200.27639208109431</v>
      </c>
      <c r="H99" s="120" t="s">
        <v>250</v>
      </c>
      <c r="I99" s="120">
        <v>129.80495126156404</v>
      </c>
      <c r="J99" s="120">
        <v>59.278656657341621</v>
      </c>
      <c r="K99" s="120" t="s">
        <v>250</v>
      </c>
      <c r="L99" s="120" t="s">
        <v>250</v>
      </c>
      <c r="M99" s="120">
        <v>0</v>
      </c>
      <c r="N99" s="120" t="s">
        <v>250</v>
      </c>
      <c r="O99" s="120">
        <v>59.278656657341621</v>
      </c>
      <c r="P99" s="120">
        <v>30.069451656257058</v>
      </c>
      <c r="Q99" s="120">
        <v>29.209205001084563</v>
      </c>
      <c r="R99" s="120"/>
      <c r="S99" s="121"/>
    </row>
    <row r="100" spans="1:19" ht="15">
      <c r="A100" s="105">
        <v>24</v>
      </c>
      <c r="B100" s="105"/>
      <c r="C100" s="107" t="s">
        <v>312</v>
      </c>
      <c r="D100" s="107" t="s">
        <v>313</v>
      </c>
      <c r="E100" s="120">
        <v>24149.519999999997</v>
      </c>
      <c r="F100" s="120" t="s">
        <v>250</v>
      </c>
      <c r="G100" s="120">
        <v>18634.115420209928</v>
      </c>
      <c r="H100" s="120" t="s">
        <v>250</v>
      </c>
      <c r="I100" s="120">
        <v>0</v>
      </c>
      <c r="J100" s="120">
        <v>5515.4045797900708</v>
      </c>
      <c r="K100" s="120" t="s">
        <v>250</v>
      </c>
      <c r="L100" s="120" t="s">
        <v>250</v>
      </c>
      <c r="M100" s="120">
        <v>0</v>
      </c>
      <c r="N100" s="120" t="s">
        <v>250</v>
      </c>
      <c r="O100" s="120">
        <v>5515.4045797900708</v>
      </c>
      <c r="P100" s="120">
        <v>2797.721823140479</v>
      </c>
      <c r="Q100" s="120">
        <v>2717.6827566495917</v>
      </c>
      <c r="R100" s="120"/>
      <c r="S100" s="121"/>
    </row>
    <row r="101" spans="1:19" ht="15">
      <c r="A101" s="105">
        <v>25</v>
      </c>
      <c r="B101" s="105"/>
      <c r="C101" s="107" t="s">
        <v>324</v>
      </c>
      <c r="D101" s="107" t="s">
        <v>250</v>
      </c>
      <c r="E101" s="120">
        <v>49393379.556923077</v>
      </c>
      <c r="F101" s="120" t="s">
        <v>250</v>
      </c>
      <c r="G101" s="120">
        <v>46332385.041615888</v>
      </c>
      <c r="H101" s="120" t="s">
        <v>250</v>
      </c>
      <c r="I101" s="120">
        <v>2097571.1295862179</v>
      </c>
      <c r="J101" s="120">
        <v>963423.3857209665</v>
      </c>
      <c r="K101" s="120" t="s">
        <v>250</v>
      </c>
      <c r="L101" s="120" t="s">
        <v>250</v>
      </c>
      <c r="M101" s="120">
        <v>0</v>
      </c>
      <c r="N101" s="120" t="s">
        <v>250</v>
      </c>
      <c r="O101" s="120">
        <v>963423.3857209665</v>
      </c>
      <c r="P101" s="120">
        <v>488702.25060770218</v>
      </c>
      <c r="Q101" s="120">
        <v>474721.13511326432</v>
      </c>
      <c r="R101" s="120"/>
      <c r="S101" s="121"/>
    </row>
    <row r="102" spans="1:19" ht="15">
      <c r="A102" s="105" t="s">
        <v>250</v>
      </c>
      <c r="B102" s="105"/>
      <c r="C102" s="107" t="s">
        <v>250</v>
      </c>
      <c r="D102" s="107" t="s">
        <v>250</v>
      </c>
      <c r="E102" s="120" t="s">
        <v>250</v>
      </c>
      <c r="F102" s="120" t="s">
        <v>250</v>
      </c>
      <c r="G102" s="120" t="s">
        <v>250</v>
      </c>
      <c r="H102" s="120" t="s">
        <v>250</v>
      </c>
      <c r="I102" s="120" t="s">
        <v>250</v>
      </c>
      <c r="J102" s="120" t="s">
        <v>250</v>
      </c>
      <c r="K102" s="120" t="s">
        <v>250</v>
      </c>
      <c r="L102" s="120" t="s">
        <v>250</v>
      </c>
      <c r="M102" s="120" t="s">
        <v>250</v>
      </c>
      <c r="N102" s="120" t="s">
        <v>250</v>
      </c>
      <c r="O102" s="120" t="s">
        <v>250</v>
      </c>
      <c r="P102" s="120" t="s">
        <v>250</v>
      </c>
      <c r="Q102" s="120" t="s">
        <v>250</v>
      </c>
      <c r="R102" s="120"/>
      <c r="S102" s="121"/>
    </row>
    <row r="103" spans="1:19" ht="15">
      <c r="A103" s="105" t="s">
        <v>250</v>
      </c>
      <c r="B103" s="129" t="str">
        <f t="shared" ref="B103:B111" si="4">MID(C103,2,3)</f>
        <v>THE</v>
      </c>
      <c r="C103" s="107" t="s">
        <v>325</v>
      </c>
      <c r="D103" s="107" t="s">
        <v>250</v>
      </c>
      <c r="E103" s="120" t="s">
        <v>250</v>
      </c>
      <c r="F103" s="120" t="s">
        <v>250</v>
      </c>
      <c r="G103" s="120" t="s">
        <v>250</v>
      </c>
      <c r="H103" s="120" t="s">
        <v>250</v>
      </c>
      <c r="I103" s="120" t="s">
        <v>250</v>
      </c>
      <c r="J103" s="120" t="s">
        <v>250</v>
      </c>
      <c r="K103" s="120" t="s">
        <v>250</v>
      </c>
      <c r="L103" s="120" t="s">
        <v>250</v>
      </c>
      <c r="M103" s="120" t="s">
        <v>250</v>
      </c>
      <c r="N103" s="120" t="s">
        <v>250</v>
      </c>
      <c r="O103" s="120" t="s">
        <v>250</v>
      </c>
      <c r="P103" s="120" t="s">
        <v>250</v>
      </c>
      <c r="Q103" s="120" t="s">
        <v>250</v>
      </c>
      <c r="R103" s="120"/>
      <c r="S103" s="121"/>
    </row>
    <row r="104" spans="1:19" ht="15">
      <c r="A104" s="105">
        <v>26</v>
      </c>
      <c r="B104" s="129" t="str">
        <f t="shared" si="4"/>
        <v>340</v>
      </c>
      <c r="C104" s="107" t="s">
        <v>326</v>
      </c>
      <c r="D104" s="107" t="s">
        <v>303</v>
      </c>
      <c r="E104" s="120">
        <v>894512.75</v>
      </c>
      <c r="F104" s="120" t="s">
        <v>250</v>
      </c>
      <c r="G104" s="120">
        <v>861471.21125798509</v>
      </c>
      <c r="H104" s="120" t="s">
        <v>250</v>
      </c>
      <c r="I104" s="120">
        <v>22682.851111312499</v>
      </c>
      <c r="J104" s="120">
        <v>10358.687630702414</v>
      </c>
      <c r="K104" s="120" t="s">
        <v>250</v>
      </c>
      <c r="L104" s="120" t="s">
        <v>250</v>
      </c>
      <c r="M104" s="120">
        <v>0</v>
      </c>
      <c r="N104" s="120" t="s">
        <v>250</v>
      </c>
      <c r="O104" s="120">
        <v>10358.687630702414</v>
      </c>
      <c r="P104" s="120">
        <v>5254.5059975662862</v>
      </c>
      <c r="Q104" s="120">
        <v>5104.1816331361279</v>
      </c>
      <c r="R104" s="120"/>
      <c r="S104" s="121"/>
    </row>
    <row r="105" spans="1:19" ht="15">
      <c r="A105" s="105">
        <v>27</v>
      </c>
      <c r="B105" s="129" t="str">
        <f t="shared" si="4"/>
        <v>341</v>
      </c>
      <c r="C105" s="107" t="s">
        <v>327</v>
      </c>
      <c r="D105" s="107" t="s">
        <v>303</v>
      </c>
      <c r="E105" s="120">
        <v>90414570.890000001</v>
      </c>
      <c r="F105" s="120" t="s">
        <v>250</v>
      </c>
      <c r="G105" s="120">
        <v>84869439.383909687</v>
      </c>
      <c r="H105" s="120" t="s">
        <v>250</v>
      </c>
      <c r="I105" s="120">
        <v>3806705.0486772964</v>
      </c>
      <c r="J105" s="120">
        <v>1738426.4574130189</v>
      </c>
      <c r="K105" s="120" t="s">
        <v>250</v>
      </c>
      <c r="L105" s="120" t="s">
        <v>250</v>
      </c>
      <c r="M105" s="120">
        <v>0</v>
      </c>
      <c r="N105" s="120" t="s">
        <v>250</v>
      </c>
      <c r="O105" s="120">
        <v>1738426.4574130189</v>
      </c>
      <c r="P105" s="120">
        <v>881827.17468286201</v>
      </c>
      <c r="Q105" s="120">
        <v>856599.28273015691</v>
      </c>
      <c r="R105" s="120"/>
      <c r="S105" s="121"/>
    </row>
    <row r="106" spans="1:19" ht="15">
      <c r="A106" s="105">
        <v>28</v>
      </c>
      <c r="B106" s="129" t="str">
        <f t="shared" si="4"/>
        <v>342</v>
      </c>
      <c r="C106" s="107" t="s">
        <v>328</v>
      </c>
      <c r="D106" s="107" t="s">
        <v>303</v>
      </c>
      <c r="E106" s="120">
        <v>84141316.649999991</v>
      </c>
      <c r="F106" s="120" t="s">
        <v>250</v>
      </c>
      <c r="G106" s="120">
        <v>78934061.990896478</v>
      </c>
      <c r="H106" s="120" t="s">
        <v>250</v>
      </c>
      <c r="I106" s="120">
        <v>3574754.2828851477</v>
      </c>
      <c r="J106" s="120">
        <v>1632500.3762183674</v>
      </c>
      <c r="K106" s="120" t="s">
        <v>250</v>
      </c>
      <c r="L106" s="120" t="s">
        <v>250</v>
      </c>
      <c r="M106" s="120">
        <v>0</v>
      </c>
      <c r="N106" s="120" t="s">
        <v>250</v>
      </c>
      <c r="O106" s="120">
        <v>1632500.3762183674</v>
      </c>
      <c r="P106" s="120">
        <v>828095.53909552179</v>
      </c>
      <c r="Q106" s="120">
        <v>804404.83712284546</v>
      </c>
      <c r="R106" s="120"/>
      <c r="S106" s="121"/>
    </row>
    <row r="107" spans="1:19" ht="15">
      <c r="A107" s="105">
        <v>29</v>
      </c>
      <c r="B107" s="129" t="str">
        <f t="shared" si="4"/>
        <v>343</v>
      </c>
      <c r="C107" s="107" t="s">
        <v>329</v>
      </c>
      <c r="D107" s="107" t="s">
        <v>303</v>
      </c>
      <c r="E107" s="120">
        <v>701938620.07692099</v>
      </c>
      <c r="F107" s="120" t="s">
        <v>250</v>
      </c>
      <c r="G107" s="120">
        <v>658497736.39067507</v>
      </c>
      <c r="H107" s="120" t="s">
        <v>250</v>
      </c>
      <c r="I107" s="120">
        <v>29821949.410182711</v>
      </c>
      <c r="J107" s="120">
        <v>13618934.276063235</v>
      </c>
      <c r="K107" s="120" t="s">
        <v>250</v>
      </c>
      <c r="L107" s="120" t="s">
        <v>250</v>
      </c>
      <c r="M107" s="120">
        <v>0</v>
      </c>
      <c r="N107" s="120" t="s">
        <v>250</v>
      </c>
      <c r="O107" s="120">
        <v>13618934.276063235</v>
      </c>
      <c r="P107" s="120">
        <v>6908285.526627359</v>
      </c>
      <c r="Q107" s="120">
        <v>6710648.7494358765</v>
      </c>
      <c r="R107" s="120"/>
      <c r="S107" s="121"/>
    </row>
    <row r="108" spans="1:19" ht="15">
      <c r="A108" s="105">
        <v>30</v>
      </c>
      <c r="B108" s="129" t="str">
        <f t="shared" si="4"/>
        <v>344</v>
      </c>
      <c r="C108" s="107" t="s">
        <v>330</v>
      </c>
      <c r="D108" s="107" t="s">
        <v>303</v>
      </c>
      <c r="E108" s="120">
        <v>137728524.13923076</v>
      </c>
      <c r="F108" s="120" t="s">
        <v>250</v>
      </c>
      <c r="G108" s="120">
        <v>129298332.29135266</v>
      </c>
      <c r="H108" s="120" t="s">
        <v>250</v>
      </c>
      <c r="I108" s="120">
        <v>5787284.5456215842</v>
      </c>
      <c r="J108" s="120">
        <v>2642907.3022565348</v>
      </c>
      <c r="K108" s="120" t="s">
        <v>250</v>
      </c>
      <c r="L108" s="120" t="s">
        <v>250</v>
      </c>
      <c r="M108" s="120">
        <v>0</v>
      </c>
      <c r="N108" s="120" t="s">
        <v>250</v>
      </c>
      <c r="O108" s="120">
        <v>2642907.3022565348</v>
      </c>
      <c r="P108" s="120">
        <v>1340630.4703655802</v>
      </c>
      <c r="Q108" s="120">
        <v>1302276.8318909544</v>
      </c>
      <c r="R108" s="120"/>
      <c r="S108" s="121"/>
    </row>
    <row r="109" spans="1:19" ht="15">
      <c r="A109" s="105">
        <v>31</v>
      </c>
      <c r="B109" s="129" t="str">
        <f t="shared" si="4"/>
        <v>345</v>
      </c>
      <c r="C109" s="107" t="s">
        <v>331</v>
      </c>
      <c r="D109" s="107" t="s">
        <v>303</v>
      </c>
      <c r="E109" s="120">
        <v>77666660.529999986</v>
      </c>
      <c r="F109" s="120" t="s">
        <v>250</v>
      </c>
      <c r="G109" s="120">
        <v>72890132.151396886</v>
      </c>
      <c r="H109" s="120" t="s">
        <v>250</v>
      </c>
      <c r="I109" s="120">
        <v>3279062.8453100328</v>
      </c>
      <c r="J109" s="120">
        <v>1497465.5332930712</v>
      </c>
      <c r="K109" s="120" t="s">
        <v>250</v>
      </c>
      <c r="L109" s="120" t="s">
        <v>250</v>
      </c>
      <c r="M109" s="120">
        <v>0</v>
      </c>
      <c r="N109" s="120" t="s">
        <v>250</v>
      </c>
      <c r="O109" s="120">
        <v>1497465.5332930712</v>
      </c>
      <c r="P109" s="120">
        <v>759598.31074698479</v>
      </c>
      <c r="Q109" s="120">
        <v>737867.22254608641</v>
      </c>
      <c r="R109" s="120"/>
      <c r="S109" s="121"/>
    </row>
    <row r="110" spans="1:19" ht="15">
      <c r="A110" s="105">
        <v>32</v>
      </c>
      <c r="B110" s="129" t="str">
        <f t="shared" si="4"/>
        <v>346</v>
      </c>
      <c r="C110" s="107" t="s">
        <v>332</v>
      </c>
      <c r="D110" s="107" t="s">
        <v>303</v>
      </c>
      <c r="E110" s="120">
        <v>19565395.949999996</v>
      </c>
      <c r="F110" s="120" t="s">
        <v>250</v>
      </c>
      <c r="G110" s="120">
        <v>18356429.763881739</v>
      </c>
      <c r="H110" s="120" t="s">
        <v>250</v>
      </c>
      <c r="I110" s="120">
        <v>829949.24093717919</v>
      </c>
      <c r="J110" s="120">
        <v>379016.94518107502</v>
      </c>
      <c r="K110" s="120" t="s">
        <v>250</v>
      </c>
      <c r="L110" s="120" t="s">
        <v>250</v>
      </c>
      <c r="M110" s="120">
        <v>0</v>
      </c>
      <c r="N110" s="120" t="s">
        <v>250</v>
      </c>
      <c r="O110" s="120">
        <v>379016.94518107502</v>
      </c>
      <c r="P110" s="120">
        <v>192258.60288811181</v>
      </c>
      <c r="Q110" s="120">
        <v>186758.34229296324</v>
      </c>
      <c r="R110" s="120"/>
      <c r="S110" s="121"/>
    </row>
    <row r="111" spans="1:19" ht="15">
      <c r="A111" s="105">
        <v>33</v>
      </c>
      <c r="B111" s="129" t="str">
        <f t="shared" si="4"/>
        <v>347</v>
      </c>
      <c r="C111" s="107" t="s">
        <v>333</v>
      </c>
      <c r="D111" s="107" t="s">
        <v>303</v>
      </c>
      <c r="E111" s="120">
        <v>406991.12</v>
      </c>
      <c r="F111" s="120" t="s">
        <v>250</v>
      </c>
      <c r="G111" s="120">
        <v>381803.65574092057</v>
      </c>
      <c r="H111" s="120" t="s">
        <v>250</v>
      </c>
      <c r="I111" s="120">
        <v>17291.068255659669</v>
      </c>
      <c r="J111" s="120">
        <v>7896.3960034197389</v>
      </c>
      <c r="K111" s="120" t="s">
        <v>250</v>
      </c>
      <c r="L111" s="120" t="s">
        <v>250</v>
      </c>
      <c r="M111" s="120">
        <v>0</v>
      </c>
      <c r="N111" s="120" t="s">
        <v>250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310</v>
      </c>
      <c r="D112" s="107" t="s">
        <v>311</v>
      </c>
      <c r="E112" s="120">
        <v>914.31000000000017</v>
      </c>
      <c r="F112" s="120" t="s">
        <v>250</v>
      </c>
      <c r="G112" s="120">
        <v>470.2966612997364</v>
      </c>
      <c r="H112" s="120" t="s">
        <v>250</v>
      </c>
      <c r="I112" s="120">
        <v>304.81293658300967</v>
      </c>
      <c r="J112" s="120">
        <v>139.20040211725404</v>
      </c>
      <c r="K112" s="120" t="s">
        <v>250</v>
      </c>
      <c r="L112" s="120" t="s">
        <v>250</v>
      </c>
      <c r="M112" s="120">
        <v>0</v>
      </c>
      <c r="N112" s="120" t="s">
        <v>250</v>
      </c>
      <c r="O112" s="120">
        <v>139.20040211725404</v>
      </c>
      <c r="P112" s="120">
        <v>70.610233058949035</v>
      </c>
      <c r="Q112" s="120">
        <v>68.590169058304994</v>
      </c>
      <c r="R112" s="120"/>
      <c r="S112" s="121"/>
    </row>
    <row r="113" spans="1:19" ht="15">
      <c r="A113" s="105">
        <v>35</v>
      </c>
      <c r="B113" s="105"/>
      <c r="C113" s="107" t="s">
        <v>312</v>
      </c>
      <c r="D113" s="107" t="s">
        <v>313</v>
      </c>
      <c r="E113" s="120">
        <v>1087278.79</v>
      </c>
      <c r="F113" s="120" t="s">
        <v>250</v>
      </c>
      <c r="G113" s="120">
        <v>838959.88271428144</v>
      </c>
      <c r="H113" s="120" t="s">
        <v>250</v>
      </c>
      <c r="I113" s="120">
        <v>0</v>
      </c>
      <c r="J113" s="120">
        <v>248318.90728571863</v>
      </c>
      <c r="K113" s="120" t="s">
        <v>250</v>
      </c>
      <c r="L113" s="120" t="s">
        <v>250</v>
      </c>
      <c r="M113" s="120">
        <v>0</v>
      </c>
      <c r="N113" s="120" t="s">
        <v>250</v>
      </c>
      <c r="O113" s="120">
        <v>248318.90728571863</v>
      </c>
      <c r="P113" s="120">
        <v>125961.24472125221</v>
      </c>
      <c r="Q113" s="120">
        <v>122357.66256446642</v>
      </c>
      <c r="R113" s="120"/>
      <c r="S113" s="121"/>
    </row>
    <row r="114" spans="1:19" ht="15">
      <c r="A114" s="105">
        <v>36</v>
      </c>
      <c r="B114" s="105"/>
      <c r="C114" s="107" t="s">
        <v>334</v>
      </c>
      <c r="D114" s="107" t="s">
        <v>250</v>
      </c>
      <c r="E114" s="120">
        <v>1113844785.2061517</v>
      </c>
      <c r="F114" s="120" t="s">
        <v>250</v>
      </c>
      <c r="G114" s="120">
        <v>1044928837.0184869</v>
      </c>
      <c r="H114" s="120" t="s">
        <v>250</v>
      </c>
      <c r="I114" s="120">
        <v>47139984.105917506</v>
      </c>
      <c r="J114" s="120">
        <v>21775964.081747256</v>
      </c>
      <c r="K114" s="120" t="s">
        <v>250</v>
      </c>
      <c r="L114" s="120" t="s">
        <v>250</v>
      </c>
      <c r="M114" s="120">
        <v>0</v>
      </c>
      <c r="N114" s="120" t="s">
        <v>250</v>
      </c>
      <c r="O114" s="120">
        <v>21775964.081747256</v>
      </c>
      <c r="P114" s="120">
        <v>11045987.479262384</v>
      </c>
      <c r="Q114" s="120">
        <v>10729976.602484874</v>
      </c>
      <c r="R114" s="120"/>
      <c r="S114" s="121"/>
    </row>
    <row r="115" spans="1:19" ht="15">
      <c r="A115" s="105" t="s">
        <v>250</v>
      </c>
      <c r="B115" s="105"/>
      <c r="C115" s="107" t="s">
        <v>250</v>
      </c>
      <c r="D115" s="107" t="s">
        <v>250</v>
      </c>
      <c r="E115" s="120" t="s">
        <v>250</v>
      </c>
      <c r="F115" s="120" t="s">
        <v>250</v>
      </c>
      <c r="G115" s="120" t="s">
        <v>250</v>
      </c>
      <c r="H115" s="120" t="s">
        <v>250</v>
      </c>
      <c r="I115" s="120" t="s">
        <v>250</v>
      </c>
      <c r="J115" s="120" t="s">
        <v>250</v>
      </c>
      <c r="K115" s="120" t="s">
        <v>250</v>
      </c>
      <c r="L115" s="120" t="s">
        <v>250</v>
      </c>
      <c r="M115" s="120" t="s">
        <v>250</v>
      </c>
      <c r="N115" s="120" t="s">
        <v>250</v>
      </c>
      <c r="O115" s="120" t="s">
        <v>250</v>
      </c>
      <c r="P115" s="120" t="s">
        <v>250</v>
      </c>
      <c r="Q115" s="120" t="s">
        <v>250</v>
      </c>
      <c r="R115" s="120"/>
      <c r="S115" s="121"/>
    </row>
    <row r="116" spans="1:19" ht="15">
      <c r="A116" s="105">
        <v>37</v>
      </c>
      <c r="B116" s="105"/>
      <c r="C116" s="107" t="s">
        <v>335</v>
      </c>
      <c r="D116" s="107" t="s">
        <v>250</v>
      </c>
      <c r="E116" s="120">
        <v>6810540292.4061413</v>
      </c>
      <c r="F116" s="120" t="s">
        <v>250</v>
      </c>
      <c r="G116" s="120">
        <v>6384796204.4347019</v>
      </c>
      <c r="H116" s="120" t="s">
        <v>250</v>
      </c>
      <c r="I116" s="120">
        <v>291173717.98261112</v>
      </c>
      <c r="J116" s="120">
        <v>134570369.98882902</v>
      </c>
      <c r="K116" s="120" t="s">
        <v>250</v>
      </c>
      <c r="L116" s="120" t="s">
        <v>250</v>
      </c>
      <c r="M116" s="120">
        <v>0</v>
      </c>
      <c r="N116" s="120" t="s">
        <v>250</v>
      </c>
      <c r="O116" s="120">
        <v>134570369.98882902</v>
      </c>
      <c r="P116" s="120">
        <v>68261621.685088724</v>
      </c>
      <c r="Q116" s="120">
        <v>66308748.303740293</v>
      </c>
      <c r="R116" s="120"/>
      <c r="S116" s="121"/>
    </row>
    <row r="117" spans="1:19" ht="15">
      <c r="A117" s="105" t="s">
        <v>250</v>
      </c>
      <c r="B117" s="105"/>
      <c r="C117" s="107" t="s">
        <v>250</v>
      </c>
      <c r="D117" s="107" t="s">
        <v>250</v>
      </c>
      <c r="E117" s="120" t="s">
        <v>250</v>
      </c>
      <c r="F117" s="120" t="s">
        <v>250</v>
      </c>
      <c r="G117" s="120" t="s">
        <v>250</v>
      </c>
      <c r="H117" s="120" t="s">
        <v>250</v>
      </c>
      <c r="I117" s="120" t="s">
        <v>250</v>
      </c>
      <c r="J117" s="120" t="s">
        <v>250</v>
      </c>
      <c r="K117" s="120" t="s">
        <v>250</v>
      </c>
      <c r="L117" s="120" t="s">
        <v>250</v>
      </c>
      <c r="M117" s="120" t="s">
        <v>250</v>
      </c>
      <c r="N117" s="120" t="s">
        <v>250</v>
      </c>
      <c r="O117" s="120" t="s">
        <v>250</v>
      </c>
      <c r="P117" s="120" t="s">
        <v>250</v>
      </c>
      <c r="Q117" s="120" t="s">
        <v>250</v>
      </c>
      <c r="R117" s="120"/>
      <c r="S117" s="121"/>
    </row>
    <row r="118" spans="1:19" ht="15">
      <c r="A118" s="105" t="s">
        <v>250</v>
      </c>
      <c r="B118" s="105"/>
      <c r="C118" s="107" t="s">
        <v>336</v>
      </c>
      <c r="D118" s="107" t="s">
        <v>250</v>
      </c>
      <c r="E118" s="120" t="s">
        <v>250</v>
      </c>
      <c r="F118" s="120" t="s">
        <v>250</v>
      </c>
      <c r="G118" s="120" t="s">
        <v>250</v>
      </c>
      <c r="H118" s="120" t="s">
        <v>250</v>
      </c>
      <c r="I118" s="120" t="s">
        <v>250</v>
      </c>
      <c r="J118" s="120" t="s">
        <v>250</v>
      </c>
      <c r="K118" s="120" t="s">
        <v>250</v>
      </c>
      <c r="L118" s="120" t="s">
        <v>250</v>
      </c>
      <c r="M118" s="120" t="s">
        <v>250</v>
      </c>
      <c r="N118" s="120" t="s">
        <v>250</v>
      </c>
      <c r="O118" s="120" t="s">
        <v>250</v>
      </c>
      <c r="P118" s="120" t="s">
        <v>250</v>
      </c>
      <c r="Q118" s="120" t="s">
        <v>250</v>
      </c>
      <c r="R118" s="120"/>
      <c r="S118" s="121"/>
    </row>
    <row r="119" spans="1:19" ht="15">
      <c r="A119" s="105" t="s">
        <v>250</v>
      </c>
      <c r="B119" s="105"/>
      <c r="C119" s="107" t="s">
        <v>250</v>
      </c>
      <c r="D119" s="107" t="s">
        <v>250</v>
      </c>
      <c r="E119" s="120" t="s">
        <v>250</v>
      </c>
      <c r="F119" s="120" t="s">
        <v>250</v>
      </c>
      <c r="G119" s="120" t="s">
        <v>250</v>
      </c>
      <c r="H119" s="120" t="s">
        <v>250</v>
      </c>
      <c r="I119" s="120" t="s">
        <v>250</v>
      </c>
      <c r="J119" s="120" t="s">
        <v>250</v>
      </c>
      <c r="K119" s="120" t="s">
        <v>250</v>
      </c>
      <c r="L119" s="120" t="s">
        <v>250</v>
      </c>
      <c r="M119" s="120" t="s">
        <v>250</v>
      </c>
      <c r="N119" s="120" t="s">
        <v>250</v>
      </c>
      <c r="O119" s="120" t="s">
        <v>250</v>
      </c>
      <c r="P119" s="120" t="s">
        <v>250</v>
      </c>
      <c r="Q119" s="120" t="s">
        <v>250</v>
      </c>
      <c r="R119" s="120"/>
      <c r="S119" s="121"/>
    </row>
    <row r="120" spans="1:19" ht="15">
      <c r="A120" s="105" t="s">
        <v>250</v>
      </c>
      <c r="B120" s="105"/>
      <c r="C120" s="107" t="s">
        <v>337</v>
      </c>
      <c r="D120" s="107" t="s">
        <v>250</v>
      </c>
      <c r="E120" s="120" t="s">
        <v>250</v>
      </c>
      <c r="F120" s="120" t="s">
        <v>250</v>
      </c>
      <c r="G120" s="120" t="s">
        <v>250</v>
      </c>
      <c r="H120" s="120" t="s">
        <v>250</v>
      </c>
      <c r="I120" s="120" t="s">
        <v>250</v>
      </c>
      <c r="J120" s="120" t="s">
        <v>250</v>
      </c>
      <c r="K120" s="120" t="s">
        <v>250</v>
      </c>
      <c r="L120" s="120" t="s">
        <v>250</v>
      </c>
      <c r="M120" s="120" t="s">
        <v>250</v>
      </c>
      <c r="N120" s="120" t="s">
        <v>250</v>
      </c>
      <c r="O120" s="120" t="s">
        <v>250</v>
      </c>
      <c r="P120" s="120" t="s">
        <v>250</v>
      </c>
      <c r="Q120" s="120" t="s">
        <v>250</v>
      </c>
      <c r="R120" s="120"/>
      <c r="S120" s="121"/>
    </row>
    <row r="121" spans="1:19" ht="15">
      <c r="A121" s="105" t="s">
        <v>250</v>
      </c>
      <c r="B121" s="129" t="str">
        <f t="shared" ref="B121:B130" si="5">MID(C121,2,3)</f>
        <v>ENT</v>
      </c>
      <c r="C121" s="107" t="s">
        <v>338</v>
      </c>
      <c r="D121" s="107" t="s">
        <v>250</v>
      </c>
      <c r="E121" s="120" t="s">
        <v>250</v>
      </c>
      <c r="F121" s="120" t="s">
        <v>250</v>
      </c>
      <c r="G121" s="120" t="s">
        <v>250</v>
      </c>
      <c r="H121" s="120" t="s">
        <v>250</v>
      </c>
      <c r="I121" s="120" t="s">
        <v>250</v>
      </c>
      <c r="J121" s="120" t="s">
        <v>250</v>
      </c>
      <c r="K121" s="120" t="s">
        <v>250</v>
      </c>
      <c r="L121" s="120" t="s">
        <v>250</v>
      </c>
      <c r="M121" s="120" t="s">
        <v>250</v>
      </c>
      <c r="N121" s="120" t="s">
        <v>250</v>
      </c>
      <c r="O121" s="120" t="s">
        <v>250</v>
      </c>
      <c r="P121" s="120" t="s">
        <v>250</v>
      </c>
      <c r="Q121" s="120" t="s">
        <v>250</v>
      </c>
      <c r="R121" s="120"/>
      <c r="S121" s="121"/>
    </row>
    <row r="122" spans="1:19" ht="15">
      <c r="A122" s="105">
        <v>1</v>
      </c>
      <c r="B122" s="129" t="str">
        <f t="shared" si="5"/>
        <v>350</v>
      </c>
      <c r="C122" s="107" t="s">
        <v>339</v>
      </c>
      <c r="D122" s="107" t="s">
        <v>340</v>
      </c>
      <c r="E122" s="120">
        <v>33118178.690000001</v>
      </c>
      <c r="F122" s="120" t="s">
        <v>250</v>
      </c>
      <c r="G122" s="120">
        <v>31642365.450146526</v>
      </c>
      <c r="H122" s="120" t="s">
        <v>250</v>
      </c>
      <c r="I122" s="120">
        <v>1433014.829853477</v>
      </c>
      <c r="J122" s="120">
        <v>42798.409999999989</v>
      </c>
      <c r="K122" s="120" t="s">
        <v>250</v>
      </c>
      <c r="L122" s="120" t="s">
        <v>250</v>
      </c>
      <c r="M122" s="120">
        <v>0</v>
      </c>
      <c r="N122" s="120" t="s">
        <v>250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5"/>
        <v>352</v>
      </c>
      <c r="C123" s="107" t="s">
        <v>341</v>
      </c>
      <c r="D123" s="107" t="s">
        <v>340</v>
      </c>
      <c r="E123" s="120">
        <v>31993801.829999994</v>
      </c>
      <c r="F123" s="120" t="s">
        <v>250</v>
      </c>
      <c r="G123" s="120">
        <v>30607647.170623142</v>
      </c>
      <c r="H123" s="120" t="s">
        <v>250</v>
      </c>
      <c r="I123" s="120">
        <v>1386154.6593768536</v>
      </c>
      <c r="J123" s="120">
        <v>0</v>
      </c>
      <c r="K123" s="120" t="s">
        <v>250</v>
      </c>
      <c r="L123" s="120" t="s">
        <v>250</v>
      </c>
      <c r="M123" s="120">
        <v>0</v>
      </c>
      <c r="N123" s="120" t="s">
        <v>250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5"/>
        <v>353</v>
      </c>
      <c r="C124" s="107" t="s">
        <v>342</v>
      </c>
      <c r="D124" s="107" t="s">
        <v>340</v>
      </c>
      <c r="E124" s="120">
        <v>386506841.23461539</v>
      </c>
      <c r="F124" s="120" t="s">
        <v>250</v>
      </c>
      <c r="G124" s="120">
        <v>369761152.1256699</v>
      </c>
      <c r="H124" s="120" t="s">
        <v>250</v>
      </c>
      <c r="I124" s="120">
        <v>16745689.108945513</v>
      </c>
      <c r="J124" s="120">
        <v>0</v>
      </c>
      <c r="K124" s="120" t="s">
        <v>250</v>
      </c>
      <c r="L124" s="120" t="s">
        <v>250</v>
      </c>
      <c r="M124" s="120">
        <v>0</v>
      </c>
      <c r="N124" s="120" t="s">
        <v>250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5"/>
        <v>354</v>
      </c>
      <c r="C125" s="107" t="s">
        <v>343</v>
      </c>
      <c r="D125" s="107" t="s">
        <v>340</v>
      </c>
      <c r="E125" s="120">
        <v>70360450.749999985</v>
      </c>
      <c r="F125" s="120" t="s">
        <v>250</v>
      </c>
      <c r="G125" s="120">
        <v>67312033.210840404</v>
      </c>
      <c r="H125" s="120" t="s">
        <v>250</v>
      </c>
      <c r="I125" s="120">
        <v>3048417.5391595881</v>
      </c>
      <c r="J125" s="120">
        <v>0</v>
      </c>
      <c r="K125" s="120" t="s">
        <v>250</v>
      </c>
      <c r="L125" s="120" t="s">
        <v>250</v>
      </c>
      <c r="M125" s="120">
        <v>0</v>
      </c>
      <c r="N125" s="120" t="s">
        <v>250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5"/>
        <v>355</v>
      </c>
      <c r="C126" s="107" t="s">
        <v>344</v>
      </c>
      <c r="D126" s="107" t="s">
        <v>340</v>
      </c>
      <c r="E126" s="120">
        <v>551441092.49769187</v>
      </c>
      <c r="F126" s="120" t="s">
        <v>250</v>
      </c>
      <c r="G126" s="120">
        <v>526922377.59946895</v>
      </c>
      <c r="H126" s="120" t="s">
        <v>250</v>
      </c>
      <c r="I126" s="120">
        <v>23863183.758222979</v>
      </c>
      <c r="J126" s="120">
        <v>655531.14000000013</v>
      </c>
      <c r="K126" s="120" t="s">
        <v>250</v>
      </c>
      <c r="L126" s="120" t="s">
        <v>250</v>
      </c>
      <c r="M126" s="120">
        <v>0</v>
      </c>
      <c r="N126" s="120" t="s">
        <v>250</v>
      </c>
      <c r="O126" s="120">
        <v>655531.14000000013</v>
      </c>
      <c r="P126" s="120">
        <v>655531.14000000013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5"/>
        <v>356</v>
      </c>
      <c r="C127" s="107" t="s">
        <v>345</v>
      </c>
      <c r="D127" s="107" t="s">
        <v>340</v>
      </c>
      <c r="E127" s="120">
        <v>240353260.15615332</v>
      </c>
      <c r="F127" s="120" t="s">
        <v>250</v>
      </c>
      <c r="G127" s="120">
        <v>229593249.93115586</v>
      </c>
      <c r="H127" s="120" t="s">
        <v>250</v>
      </c>
      <c r="I127" s="120">
        <v>10397785.604997449</v>
      </c>
      <c r="J127" s="120">
        <v>362224.62</v>
      </c>
      <c r="K127" s="120" t="s">
        <v>250</v>
      </c>
      <c r="L127" s="120" t="s">
        <v>250</v>
      </c>
      <c r="M127" s="120">
        <v>0</v>
      </c>
      <c r="N127" s="120" t="s">
        <v>250</v>
      </c>
      <c r="O127" s="120">
        <v>362224.62</v>
      </c>
      <c r="P127" s="120">
        <v>362224.62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5"/>
        <v>357</v>
      </c>
      <c r="C128" s="107" t="s">
        <v>346</v>
      </c>
      <c r="D128" s="107" t="s">
        <v>340</v>
      </c>
      <c r="E128" s="120">
        <v>618115.07000000007</v>
      </c>
      <c r="F128" s="120" t="s">
        <v>250</v>
      </c>
      <c r="G128" s="120">
        <v>591334.78646682703</v>
      </c>
      <c r="H128" s="120" t="s">
        <v>250</v>
      </c>
      <c r="I128" s="120">
        <v>26780.283533173031</v>
      </c>
      <c r="J128" s="120">
        <v>0</v>
      </c>
      <c r="K128" s="120" t="s">
        <v>250</v>
      </c>
      <c r="L128" s="120" t="s">
        <v>250</v>
      </c>
      <c r="M128" s="120">
        <v>0</v>
      </c>
      <c r="N128" s="120" t="s">
        <v>250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5"/>
        <v>358</v>
      </c>
      <c r="C129" s="107" t="s">
        <v>347</v>
      </c>
      <c r="D129" s="107" t="s">
        <v>340</v>
      </c>
      <c r="E129" s="120">
        <v>1233715.8100000003</v>
      </c>
      <c r="F129" s="120" t="s">
        <v>250</v>
      </c>
      <c r="G129" s="120">
        <v>1180264.1781037608</v>
      </c>
      <c r="H129" s="120" t="s">
        <v>250</v>
      </c>
      <c r="I129" s="120">
        <v>53451.631896239363</v>
      </c>
      <c r="J129" s="120">
        <v>0</v>
      </c>
      <c r="K129" s="120" t="s">
        <v>250</v>
      </c>
      <c r="L129" s="120" t="s">
        <v>250</v>
      </c>
      <c r="M129" s="120">
        <v>0</v>
      </c>
      <c r="N129" s="120" t="s">
        <v>250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5"/>
        <v>359</v>
      </c>
      <c r="C130" s="107" t="s">
        <v>348</v>
      </c>
      <c r="D130" s="107" t="s">
        <v>340</v>
      </c>
      <c r="E130" s="120">
        <v>254317.41000000009</v>
      </c>
      <c r="F130" s="120" t="s">
        <v>250</v>
      </c>
      <c r="G130" s="120">
        <v>243298.92383492048</v>
      </c>
      <c r="H130" s="120" t="s">
        <v>250</v>
      </c>
      <c r="I130" s="120">
        <v>11018.486165079614</v>
      </c>
      <c r="J130" s="120">
        <v>0</v>
      </c>
      <c r="K130" s="120" t="s">
        <v>250</v>
      </c>
      <c r="L130" s="120" t="s">
        <v>250</v>
      </c>
      <c r="M130" s="120">
        <v>0</v>
      </c>
      <c r="N130" s="120" t="s">
        <v>250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310</v>
      </c>
      <c r="D131" s="107" t="s">
        <v>311</v>
      </c>
      <c r="E131" s="120">
        <v>1317205.2200000002</v>
      </c>
      <c r="F131" s="120" t="s">
        <v>250</v>
      </c>
      <c r="G131" s="120">
        <v>677535.20929726772</v>
      </c>
      <c r="H131" s="120" t="s">
        <v>250</v>
      </c>
      <c r="I131" s="120">
        <v>439130.26346717123</v>
      </c>
      <c r="J131" s="120">
        <v>200539.74723556131</v>
      </c>
      <c r="K131" s="120" t="s">
        <v>250</v>
      </c>
      <c r="L131" s="120" t="s">
        <v>250</v>
      </c>
      <c r="M131" s="120">
        <v>0</v>
      </c>
      <c r="N131" s="120" t="s">
        <v>250</v>
      </c>
      <c r="O131" s="120">
        <v>200539.74723556131</v>
      </c>
      <c r="P131" s="120">
        <v>101724.9812106006</v>
      </c>
      <c r="Q131" s="120">
        <v>98814.766024960714</v>
      </c>
      <c r="R131" s="120"/>
      <c r="S131" s="121"/>
    </row>
    <row r="132" spans="1:19" ht="15">
      <c r="A132" s="105">
        <v>11</v>
      </c>
      <c r="B132" s="105"/>
      <c r="C132" s="107" t="s">
        <v>312</v>
      </c>
      <c r="D132" s="107" t="s">
        <v>313</v>
      </c>
      <c r="E132" s="120">
        <v>312671.92000000004</v>
      </c>
      <c r="F132" s="120" t="s">
        <v>250</v>
      </c>
      <c r="G132" s="120">
        <v>241262.13050771385</v>
      </c>
      <c r="H132" s="120" t="s">
        <v>250</v>
      </c>
      <c r="I132" s="120">
        <v>0</v>
      </c>
      <c r="J132" s="120">
        <v>71409.789492286189</v>
      </c>
      <c r="K132" s="120" t="s">
        <v>250</v>
      </c>
      <c r="L132" s="120" t="s">
        <v>250</v>
      </c>
      <c r="M132" s="120">
        <v>0</v>
      </c>
      <c r="N132" s="120" t="s">
        <v>250</v>
      </c>
      <c r="O132" s="120">
        <v>71409.789492286189</v>
      </c>
      <c r="P132" s="120">
        <v>36223.041040452736</v>
      </c>
      <c r="Q132" s="120">
        <v>35186.748451833446</v>
      </c>
      <c r="R132" s="120"/>
      <c r="S132" s="121"/>
    </row>
    <row r="133" spans="1:19" ht="15">
      <c r="A133" s="105">
        <v>12</v>
      </c>
      <c r="B133" s="105"/>
      <c r="C133" s="107" t="s">
        <v>349</v>
      </c>
      <c r="D133" s="107" t="s">
        <v>250</v>
      </c>
      <c r="E133" s="120">
        <v>1317509650.5884604</v>
      </c>
      <c r="F133" s="120" t="s">
        <v>250</v>
      </c>
      <c r="G133" s="120">
        <v>1258772520.7161152</v>
      </c>
      <c r="H133" s="120" t="s">
        <v>250</v>
      </c>
      <c r="I133" s="120">
        <v>57404626.165617518</v>
      </c>
      <c r="J133" s="120">
        <v>1332503.7067278475</v>
      </c>
      <c r="K133" s="120" t="s">
        <v>250</v>
      </c>
      <c r="L133" s="120" t="s">
        <v>250</v>
      </c>
      <c r="M133" s="120">
        <v>0</v>
      </c>
      <c r="N133" s="120" t="s">
        <v>250</v>
      </c>
      <c r="O133" s="120">
        <v>1332503.7067278475</v>
      </c>
      <c r="P133" s="120">
        <v>1198502.1922510534</v>
      </c>
      <c r="Q133" s="120">
        <v>134001.51447679417</v>
      </c>
      <c r="R133" s="120"/>
      <c r="S133" s="121"/>
    </row>
    <row r="134" spans="1:19" ht="15">
      <c r="A134" s="105" t="s">
        <v>250</v>
      </c>
      <c r="B134" s="105"/>
      <c r="C134" s="107" t="s">
        <v>250</v>
      </c>
      <c r="D134" s="107" t="s">
        <v>250</v>
      </c>
      <c r="E134" s="120" t="s">
        <v>250</v>
      </c>
      <c r="F134" s="120" t="s">
        <v>250</v>
      </c>
      <c r="G134" s="120" t="s">
        <v>250</v>
      </c>
      <c r="H134" s="120" t="s">
        <v>250</v>
      </c>
      <c r="I134" s="120" t="s">
        <v>250</v>
      </c>
      <c r="J134" s="120" t="s">
        <v>250</v>
      </c>
      <c r="K134" s="120" t="s">
        <v>250</v>
      </c>
      <c r="L134" s="120" t="s">
        <v>250</v>
      </c>
      <c r="M134" s="120" t="s">
        <v>250</v>
      </c>
      <c r="N134" s="120" t="s">
        <v>250</v>
      </c>
      <c r="O134" s="120" t="s">
        <v>250</v>
      </c>
      <c r="P134" s="120" t="s">
        <v>250</v>
      </c>
      <c r="Q134" s="120" t="s">
        <v>250</v>
      </c>
      <c r="R134" s="120"/>
      <c r="S134" s="121"/>
    </row>
    <row r="135" spans="1:19" ht="15">
      <c r="A135" s="105" t="s">
        <v>250</v>
      </c>
      <c r="B135" s="129" t="str">
        <f t="shared" ref="B135:B141" si="6">MID(C135,2,3)</f>
        <v>IRG</v>
      </c>
      <c r="C135" s="107" t="s">
        <v>350</v>
      </c>
      <c r="D135" s="107" t="s">
        <v>250</v>
      </c>
      <c r="E135" s="120" t="s">
        <v>250</v>
      </c>
      <c r="F135" s="120" t="s">
        <v>250</v>
      </c>
      <c r="G135" s="120" t="s">
        <v>250</v>
      </c>
      <c r="H135" s="120" t="s">
        <v>250</v>
      </c>
      <c r="I135" s="120" t="s">
        <v>250</v>
      </c>
      <c r="J135" s="120" t="s">
        <v>250</v>
      </c>
      <c r="K135" s="120" t="s">
        <v>250</v>
      </c>
      <c r="L135" s="120" t="s">
        <v>250</v>
      </c>
      <c r="M135" s="120" t="s">
        <v>250</v>
      </c>
      <c r="N135" s="120" t="s">
        <v>250</v>
      </c>
      <c r="O135" s="120" t="s">
        <v>250</v>
      </c>
      <c r="P135" s="120" t="s">
        <v>250</v>
      </c>
      <c r="Q135" s="120" t="s">
        <v>250</v>
      </c>
      <c r="R135" s="120"/>
      <c r="S135" s="121"/>
    </row>
    <row r="136" spans="1:19" ht="15">
      <c r="A136" s="105">
        <v>13</v>
      </c>
      <c r="B136" s="129" t="str">
        <f t="shared" si="6"/>
        <v>350</v>
      </c>
      <c r="C136" s="107" t="s">
        <v>339</v>
      </c>
      <c r="D136" s="107" t="s">
        <v>351</v>
      </c>
      <c r="E136" s="120">
        <v>2775187.5400000005</v>
      </c>
      <c r="F136" s="120" t="s">
        <v>250</v>
      </c>
      <c r="G136" s="120">
        <v>0</v>
      </c>
      <c r="H136" s="120" t="s">
        <v>250</v>
      </c>
      <c r="I136" s="120">
        <v>2775187.5400000005</v>
      </c>
      <c r="J136" s="120">
        <v>0</v>
      </c>
      <c r="K136" s="120" t="s">
        <v>250</v>
      </c>
      <c r="L136" s="120" t="s">
        <v>250</v>
      </c>
      <c r="M136" s="120">
        <v>0</v>
      </c>
      <c r="N136" s="120" t="s">
        <v>250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6"/>
        <v>352</v>
      </c>
      <c r="C137" s="107" t="s">
        <v>341</v>
      </c>
      <c r="D137" s="107" t="s">
        <v>351</v>
      </c>
      <c r="E137" s="120">
        <v>1801901.6999999997</v>
      </c>
      <c r="F137" s="120" t="s">
        <v>250</v>
      </c>
      <c r="G137" s="120">
        <v>0</v>
      </c>
      <c r="H137" s="120" t="s">
        <v>250</v>
      </c>
      <c r="I137" s="120">
        <v>1801901.6999999997</v>
      </c>
      <c r="J137" s="120">
        <v>0</v>
      </c>
      <c r="K137" s="120" t="s">
        <v>250</v>
      </c>
      <c r="L137" s="120" t="s">
        <v>250</v>
      </c>
      <c r="M137" s="120">
        <v>0</v>
      </c>
      <c r="N137" s="120" t="s">
        <v>250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6"/>
        <v>353</v>
      </c>
      <c r="C138" s="107" t="s">
        <v>342</v>
      </c>
      <c r="D138" s="107" t="s">
        <v>351</v>
      </c>
      <c r="E138" s="120">
        <v>33429228.686923061</v>
      </c>
      <c r="F138" s="120" t="s">
        <v>250</v>
      </c>
      <c r="G138" s="120">
        <v>0</v>
      </c>
      <c r="H138" s="120" t="s">
        <v>250</v>
      </c>
      <c r="I138" s="120">
        <v>33429228.686923061</v>
      </c>
      <c r="J138" s="120">
        <v>0</v>
      </c>
      <c r="K138" s="120" t="s">
        <v>250</v>
      </c>
      <c r="L138" s="120" t="s">
        <v>250</v>
      </c>
      <c r="M138" s="120">
        <v>0</v>
      </c>
      <c r="N138" s="120" t="s">
        <v>250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6"/>
        <v>354</v>
      </c>
      <c r="C139" s="107" t="s">
        <v>343</v>
      </c>
      <c r="D139" s="107" t="s">
        <v>351</v>
      </c>
      <c r="E139" s="120">
        <v>2411758.4299999997</v>
      </c>
      <c r="F139" s="120" t="s">
        <v>250</v>
      </c>
      <c r="G139" s="120">
        <v>0</v>
      </c>
      <c r="H139" s="120" t="s">
        <v>250</v>
      </c>
      <c r="I139" s="120">
        <v>2411758.4299999997</v>
      </c>
      <c r="J139" s="120">
        <v>0</v>
      </c>
      <c r="K139" s="120" t="s">
        <v>250</v>
      </c>
      <c r="L139" s="120" t="s">
        <v>250</v>
      </c>
      <c r="M139" s="120">
        <v>0</v>
      </c>
      <c r="N139" s="120" t="s">
        <v>250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6"/>
        <v>355</v>
      </c>
      <c r="C140" s="107" t="s">
        <v>344</v>
      </c>
      <c r="D140" s="107" t="s">
        <v>351</v>
      </c>
      <c r="E140" s="120">
        <v>37546239.793076925</v>
      </c>
      <c r="F140" s="120" t="s">
        <v>250</v>
      </c>
      <c r="G140" s="120">
        <v>0</v>
      </c>
      <c r="H140" s="120" t="s">
        <v>250</v>
      </c>
      <c r="I140" s="120">
        <v>37546239.793076925</v>
      </c>
      <c r="J140" s="120">
        <v>0</v>
      </c>
      <c r="K140" s="120" t="s">
        <v>250</v>
      </c>
      <c r="L140" s="120" t="s">
        <v>250</v>
      </c>
      <c r="M140" s="120">
        <v>0</v>
      </c>
      <c r="N140" s="120" t="s">
        <v>250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6"/>
        <v>356</v>
      </c>
      <c r="C141" s="107" t="s">
        <v>345</v>
      </c>
      <c r="D141" s="107" t="s">
        <v>351</v>
      </c>
      <c r="E141" s="120">
        <v>16512914.309999997</v>
      </c>
      <c r="F141" s="120" t="s">
        <v>250</v>
      </c>
      <c r="G141" s="120">
        <v>0</v>
      </c>
      <c r="H141" s="120" t="s">
        <v>250</v>
      </c>
      <c r="I141" s="120">
        <v>16512914.309999997</v>
      </c>
      <c r="J141" s="120">
        <v>0</v>
      </c>
      <c r="K141" s="120" t="s">
        <v>250</v>
      </c>
      <c r="L141" s="120" t="s">
        <v>250</v>
      </c>
      <c r="M141" s="120">
        <v>0</v>
      </c>
      <c r="N141" s="120" t="s">
        <v>250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310</v>
      </c>
      <c r="D142" s="107" t="s">
        <v>351</v>
      </c>
      <c r="E142" s="120">
        <v>0</v>
      </c>
      <c r="F142" s="120" t="s">
        <v>250</v>
      </c>
      <c r="G142" s="120">
        <v>0</v>
      </c>
      <c r="H142" s="120" t="s">
        <v>250</v>
      </c>
      <c r="I142" s="120">
        <v>0</v>
      </c>
      <c r="J142" s="120">
        <v>0</v>
      </c>
      <c r="K142" s="120" t="s">
        <v>250</v>
      </c>
      <c r="L142" s="120" t="s">
        <v>250</v>
      </c>
      <c r="M142" s="120">
        <v>0</v>
      </c>
      <c r="N142" s="120" t="s">
        <v>250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312</v>
      </c>
      <c r="D143" s="107" t="s">
        <v>351</v>
      </c>
      <c r="E143" s="120">
        <v>0</v>
      </c>
      <c r="F143" s="120" t="s">
        <v>250</v>
      </c>
      <c r="G143" s="120">
        <v>0</v>
      </c>
      <c r="H143" s="120" t="s">
        <v>250</v>
      </c>
      <c r="I143" s="120">
        <v>0</v>
      </c>
      <c r="J143" s="120">
        <v>0</v>
      </c>
      <c r="K143" s="120" t="s">
        <v>250</v>
      </c>
      <c r="L143" s="120" t="s">
        <v>250</v>
      </c>
      <c r="M143" s="120">
        <v>0</v>
      </c>
      <c r="N143" s="120" t="s">
        <v>250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352</v>
      </c>
      <c r="D144" s="107" t="s">
        <v>250</v>
      </c>
      <c r="E144" s="120">
        <v>94477230.459999979</v>
      </c>
      <c r="F144" s="120" t="s">
        <v>250</v>
      </c>
      <c r="G144" s="120">
        <v>0</v>
      </c>
      <c r="H144" s="120" t="s">
        <v>250</v>
      </c>
      <c r="I144" s="120">
        <v>94477230.459999979</v>
      </c>
      <c r="J144" s="120">
        <v>0</v>
      </c>
      <c r="K144" s="120" t="s">
        <v>250</v>
      </c>
      <c r="L144" s="120" t="s">
        <v>250</v>
      </c>
      <c r="M144" s="120">
        <v>0</v>
      </c>
      <c r="N144" s="120" t="s">
        <v>250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250</v>
      </c>
      <c r="B145" s="105"/>
      <c r="C145" s="107" t="s">
        <v>250</v>
      </c>
      <c r="D145" s="107" t="s">
        <v>250</v>
      </c>
      <c r="E145" s="120" t="s">
        <v>250</v>
      </c>
      <c r="F145" s="120" t="s">
        <v>250</v>
      </c>
      <c r="G145" s="120" t="s">
        <v>250</v>
      </c>
      <c r="H145" s="120" t="s">
        <v>250</v>
      </c>
      <c r="I145" s="120" t="s">
        <v>250</v>
      </c>
      <c r="J145" s="120" t="s">
        <v>250</v>
      </c>
      <c r="K145" s="120" t="s">
        <v>250</v>
      </c>
      <c r="L145" s="120" t="s">
        <v>250</v>
      </c>
      <c r="M145" s="120" t="s">
        <v>250</v>
      </c>
      <c r="N145" s="120" t="s">
        <v>250</v>
      </c>
      <c r="O145" s="120" t="s">
        <v>250</v>
      </c>
      <c r="P145" s="120" t="s">
        <v>250</v>
      </c>
      <c r="Q145" s="120" t="s">
        <v>250</v>
      </c>
      <c r="R145" s="120"/>
      <c r="S145" s="121"/>
    </row>
    <row r="146" spans="1:19" ht="15">
      <c r="A146" s="105" t="s">
        <v>250</v>
      </c>
      <c r="B146" s="129" t="str">
        <f t="shared" ref="B146:B150" si="7">MID(C146,2,3)</f>
        <v>IRG</v>
      </c>
      <c r="C146" s="107" t="s">
        <v>353</v>
      </c>
      <c r="D146" s="107" t="s">
        <v>250</v>
      </c>
      <c r="E146" s="120" t="s">
        <v>250</v>
      </c>
      <c r="F146" s="120" t="s">
        <v>250</v>
      </c>
      <c r="G146" s="120" t="s">
        <v>250</v>
      </c>
      <c r="H146" s="120" t="s">
        <v>250</v>
      </c>
      <c r="I146" s="120" t="s">
        <v>250</v>
      </c>
      <c r="J146" s="120" t="s">
        <v>250</v>
      </c>
      <c r="K146" s="120" t="s">
        <v>250</v>
      </c>
      <c r="L146" s="120" t="s">
        <v>250</v>
      </c>
      <c r="M146" s="120" t="s">
        <v>250</v>
      </c>
      <c r="N146" s="120" t="s">
        <v>250</v>
      </c>
      <c r="O146" s="120" t="s">
        <v>250</v>
      </c>
      <c r="P146" s="120" t="s">
        <v>250</v>
      </c>
      <c r="Q146" s="120" t="s">
        <v>250</v>
      </c>
      <c r="R146" s="120"/>
      <c r="S146" s="121"/>
    </row>
    <row r="147" spans="1:19" ht="15">
      <c r="A147" s="105">
        <v>22</v>
      </c>
      <c r="B147" s="129" t="str">
        <f t="shared" si="7"/>
        <v>350</v>
      </c>
      <c r="C147" s="107" t="s">
        <v>339</v>
      </c>
      <c r="D147" s="107" t="s">
        <v>354</v>
      </c>
      <c r="E147" s="120">
        <v>280370.75</v>
      </c>
      <c r="F147" s="120" t="s">
        <v>250</v>
      </c>
      <c r="G147" s="120">
        <v>280370.75</v>
      </c>
      <c r="H147" s="120" t="s">
        <v>250</v>
      </c>
      <c r="I147" s="120">
        <v>0</v>
      </c>
      <c r="J147" s="120">
        <v>0</v>
      </c>
      <c r="K147" s="120" t="s">
        <v>250</v>
      </c>
      <c r="L147" s="120" t="s">
        <v>250</v>
      </c>
      <c r="M147" s="120">
        <v>0</v>
      </c>
      <c r="N147" s="120" t="s">
        <v>250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7"/>
        <v>354</v>
      </c>
      <c r="C148" s="107" t="s">
        <v>343</v>
      </c>
      <c r="D148" s="107" t="s">
        <v>354</v>
      </c>
      <c r="E148" s="120">
        <v>4769322.870000001</v>
      </c>
      <c r="F148" s="120" t="s">
        <v>250</v>
      </c>
      <c r="G148" s="120">
        <v>4769322.870000001</v>
      </c>
      <c r="H148" s="120" t="s">
        <v>250</v>
      </c>
      <c r="I148" s="120">
        <v>0</v>
      </c>
      <c r="J148" s="120">
        <v>0</v>
      </c>
      <c r="K148" s="120" t="s">
        <v>250</v>
      </c>
      <c r="L148" s="120" t="s">
        <v>250</v>
      </c>
      <c r="M148" s="120">
        <v>0</v>
      </c>
      <c r="N148" s="120" t="s">
        <v>250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7"/>
        <v>355</v>
      </c>
      <c r="C149" s="107" t="s">
        <v>344</v>
      </c>
      <c r="D149" s="107" t="s">
        <v>354</v>
      </c>
      <c r="E149" s="120">
        <v>51357.979999999996</v>
      </c>
      <c r="F149" s="120" t="s">
        <v>250</v>
      </c>
      <c r="G149" s="120">
        <v>51357.979999999996</v>
      </c>
      <c r="H149" s="120" t="s">
        <v>250</v>
      </c>
      <c r="I149" s="120">
        <v>0</v>
      </c>
      <c r="J149" s="120">
        <v>0</v>
      </c>
      <c r="K149" s="120" t="s">
        <v>250</v>
      </c>
      <c r="L149" s="120" t="s">
        <v>250</v>
      </c>
      <c r="M149" s="120">
        <v>0</v>
      </c>
      <c r="N149" s="120" t="s">
        <v>250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7"/>
        <v>356</v>
      </c>
      <c r="C150" s="107" t="s">
        <v>345</v>
      </c>
      <c r="D150" s="107" t="s">
        <v>354</v>
      </c>
      <c r="E150" s="120">
        <v>3129377.81</v>
      </c>
      <c r="F150" s="120" t="s">
        <v>250</v>
      </c>
      <c r="G150" s="120">
        <v>3129377.81</v>
      </c>
      <c r="H150" s="120" t="s">
        <v>250</v>
      </c>
      <c r="I150" s="120">
        <v>0</v>
      </c>
      <c r="J150" s="120">
        <v>0</v>
      </c>
      <c r="K150" s="120" t="s">
        <v>250</v>
      </c>
      <c r="L150" s="120" t="s">
        <v>250</v>
      </c>
      <c r="M150" s="120">
        <v>0</v>
      </c>
      <c r="N150" s="120" t="s">
        <v>250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310</v>
      </c>
      <c r="D151" s="107" t="s">
        <v>311</v>
      </c>
      <c r="E151" s="120">
        <v>0</v>
      </c>
      <c r="F151" s="120" t="s">
        <v>250</v>
      </c>
      <c r="G151" s="120">
        <v>0</v>
      </c>
      <c r="H151" s="120" t="s">
        <v>250</v>
      </c>
      <c r="I151" s="120">
        <v>0</v>
      </c>
      <c r="J151" s="120">
        <v>0</v>
      </c>
      <c r="K151" s="120" t="s">
        <v>250</v>
      </c>
      <c r="L151" s="120" t="s">
        <v>250</v>
      </c>
      <c r="M151" s="120">
        <v>0</v>
      </c>
      <c r="N151" s="120" t="s">
        <v>250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312</v>
      </c>
      <c r="D152" s="107" t="s">
        <v>313</v>
      </c>
      <c r="E152" s="120">
        <v>0</v>
      </c>
      <c r="F152" s="120" t="s">
        <v>250</v>
      </c>
      <c r="G152" s="120">
        <v>0</v>
      </c>
      <c r="H152" s="120" t="s">
        <v>250</v>
      </c>
      <c r="I152" s="120">
        <v>0</v>
      </c>
      <c r="J152" s="120">
        <v>0</v>
      </c>
      <c r="K152" s="120" t="s">
        <v>250</v>
      </c>
      <c r="L152" s="120" t="s">
        <v>250</v>
      </c>
      <c r="M152" s="120">
        <v>0</v>
      </c>
      <c r="N152" s="120" t="s">
        <v>250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355</v>
      </c>
      <c r="D153" s="107" t="s">
        <v>250</v>
      </c>
      <c r="E153" s="120">
        <v>8230429.410000002</v>
      </c>
      <c r="F153" s="120" t="s">
        <v>250</v>
      </c>
      <c r="G153" s="120">
        <v>8230429.410000002</v>
      </c>
      <c r="H153" s="120" t="s">
        <v>250</v>
      </c>
      <c r="I153" s="120">
        <v>0</v>
      </c>
      <c r="J153" s="120">
        <v>0</v>
      </c>
      <c r="K153" s="120" t="s">
        <v>250</v>
      </c>
      <c r="L153" s="120" t="s">
        <v>250</v>
      </c>
      <c r="M153" s="120">
        <v>0</v>
      </c>
      <c r="N153" s="120" t="s">
        <v>250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250</v>
      </c>
      <c r="B154" s="105"/>
      <c r="C154" s="107" t="s">
        <v>250</v>
      </c>
      <c r="D154" s="107" t="s">
        <v>250</v>
      </c>
      <c r="E154" s="120" t="s">
        <v>250</v>
      </c>
      <c r="F154" s="120" t="s">
        <v>250</v>
      </c>
      <c r="G154" s="120" t="s">
        <v>250</v>
      </c>
      <c r="H154" s="120" t="s">
        <v>250</v>
      </c>
      <c r="I154" s="120" t="s">
        <v>250</v>
      </c>
      <c r="J154" s="120" t="s">
        <v>250</v>
      </c>
      <c r="K154" s="120" t="s">
        <v>250</v>
      </c>
      <c r="L154" s="120" t="s">
        <v>250</v>
      </c>
      <c r="M154" s="120" t="s">
        <v>250</v>
      </c>
      <c r="N154" s="120" t="s">
        <v>250</v>
      </c>
      <c r="O154" s="120" t="s">
        <v>250</v>
      </c>
      <c r="P154" s="120" t="s">
        <v>250</v>
      </c>
      <c r="Q154" s="120" t="s">
        <v>250</v>
      </c>
      <c r="R154" s="120"/>
      <c r="S154" s="121"/>
    </row>
    <row r="155" spans="1:19" ht="15">
      <c r="A155" s="105">
        <v>29</v>
      </c>
      <c r="B155" s="105"/>
      <c r="C155" s="107" t="s">
        <v>356</v>
      </c>
      <c r="D155" s="107" t="s">
        <v>250</v>
      </c>
      <c r="E155" s="120">
        <v>1420217310.4584606</v>
      </c>
      <c r="F155" s="120" t="s">
        <v>250</v>
      </c>
      <c r="G155" s="120">
        <v>1267002950.1261153</v>
      </c>
      <c r="H155" s="120" t="s">
        <v>250</v>
      </c>
      <c r="I155" s="120">
        <v>151881856.6256175</v>
      </c>
      <c r="J155" s="120">
        <v>1332503.7067278475</v>
      </c>
      <c r="K155" s="120" t="s">
        <v>250</v>
      </c>
      <c r="L155" s="120" t="s">
        <v>250</v>
      </c>
      <c r="M155" s="120">
        <v>0</v>
      </c>
      <c r="N155" s="120" t="s">
        <v>250</v>
      </c>
      <c r="O155" s="120">
        <v>1332503.7067278475</v>
      </c>
      <c r="P155" s="120">
        <v>1198502.1922510534</v>
      </c>
      <c r="Q155" s="120">
        <v>134001.51447679417</v>
      </c>
      <c r="R155" s="120"/>
      <c r="S155" s="121"/>
    </row>
    <row r="156" spans="1:19" ht="15">
      <c r="A156" s="105" t="s">
        <v>250</v>
      </c>
      <c r="B156" s="105"/>
      <c r="C156" s="107" t="s">
        <v>250</v>
      </c>
      <c r="D156" s="107" t="s">
        <v>250</v>
      </c>
      <c r="E156" s="120" t="s">
        <v>250</v>
      </c>
      <c r="F156" s="120" t="s">
        <v>250</v>
      </c>
      <c r="G156" s="120" t="s">
        <v>250</v>
      </c>
      <c r="H156" s="120" t="s">
        <v>250</v>
      </c>
      <c r="I156" s="120" t="s">
        <v>250</v>
      </c>
      <c r="J156" s="120" t="s">
        <v>250</v>
      </c>
      <c r="K156" s="120" t="s">
        <v>250</v>
      </c>
      <c r="L156" s="120" t="s">
        <v>250</v>
      </c>
      <c r="M156" s="120" t="s">
        <v>250</v>
      </c>
      <c r="N156" s="120" t="s">
        <v>250</v>
      </c>
      <c r="O156" s="120" t="s">
        <v>250</v>
      </c>
      <c r="P156" s="120" t="s">
        <v>250</v>
      </c>
      <c r="Q156" s="120" t="s">
        <v>250</v>
      </c>
      <c r="R156" s="120"/>
      <c r="S156" s="121"/>
    </row>
    <row r="157" spans="1:19" ht="15">
      <c r="A157" s="105" t="s">
        <v>250</v>
      </c>
      <c r="B157" s="105"/>
      <c r="C157" s="107" t="s">
        <v>336</v>
      </c>
      <c r="D157" s="107" t="s">
        <v>250</v>
      </c>
      <c r="E157" s="120" t="s">
        <v>250</v>
      </c>
      <c r="F157" s="120" t="s">
        <v>250</v>
      </c>
      <c r="G157" s="120" t="s">
        <v>250</v>
      </c>
      <c r="H157" s="120" t="s">
        <v>250</v>
      </c>
      <c r="I157" s="120" t="s">
        <v>250</v>
      </c>
      <c r="J157" s="120" t="s">
        <v>250</v>
      </c>
      <c r="K157" s="120" t="s">
        <v>250</v>
      </c>
      <c r="L157" s="120" t="s">
        <v>250</v>
      </c>
      <c r="M157" s="120" t="s">
        <v>250</v>
      </c>
      <c r="N157" s="120" t="s">
        <v>250</v>
      </c>
      <c r="O157" s="120" t="s">
        <v>250</v>
      </c>
      <c r="P157" s="120" t="s">
        <v>250</v>
      </c>
      <c r="Q157" s="120" t="s">
        <v>250</v>
      </c>
      <c r="R157" s="120"/>
      <c r="S157" s="121"/>
    </row>
    <row r="158" spans="1:19" ht="15">
      <c r="A158" s="105" t="s">
        <v>250</v>
      </c>
      <c r="B158" s="105"/>
      <c r="C158" s="107" t="s">
        <v>250</v>
      </c>
      <c r="D158" s="107" t="s">
        <v>250</v>
      </c>
      <c r="E158" s="120" t="s">
        <v>250</v>
      </c>
      <c r="F158" s="120" t="s">
        <v>250</v>
      </c>
      <c r="G158" s="120" t="s">
        <v>250</v>
      </c>
      <c r="H158" s="120" t="s">
        <v>250</v>
      </c>
      <c r="I158" s="120" t="s">
        <v>250</v>
      </c>
      <c r="J158" s="120" t="s">
        <v>250</v>
      </c>
      <c r="K158" s="120" t="s">
        <v>250</v>
      </c>
      <c r="L158" s="120" t="s">
        <v>250</v>
      </c>
      <c r="M158" s="120" t="s">
        <v>250</v>
      </c>
      <c r="N158" s="120" t="s">
        <v>250</v>
      </c>
      <c r="O158" s="120" t="s">
        <v>250</v>
      </c>
      <c r="P158" s="120" t="s">
        <v>250</v>
      </c>
      <c r="Q158" s="120" t="s">
        <v>250</v>
      </c>
      <c r="R158" s="120"/>
      <c r="S158" s="121"/>
    </row>
    <row r="159" spans="1:19" ht="15">
      <c r="A159" s="105" t="s">
        <v>250</v>
      </c>
      <c r="B159" s="105"/>
      <c r="C159" s="107" t="s">
        <v>357</v>
      </c>
      <c r="D159" s="107" t="s">
        <v>250</v>
      </c>
      <c r="E159" s="120" t="s">
        <v>250</v>
      </c>
      <c r="F159" s="120" t="s">
        <v>250</v>
      </c>
      <c r="G159" s="120" t="s">
        <v>250</v>
      </c>
      <c r="H159" s="120" t="s">
        <v>250</v>
      </c>
      <c r="I159" s="120" t="s">
        <v>250</v>
      </c>
      <c r="J159" s="120" t="s">
        <v>250</v>
      </c>
      <c r="K159" s="120" t="s">
        <v>250</v>
      </c>
      <c r="L159" s="120" t="s">
        <v>250</v>
      </c>
      <c r="M159" s="120" t="s">
        <v>250</v>
      </c>
      <c r="N159" s="120" t="s">
        <v>250</v>
      </c>
      <c r="O159" s="120" t="s">
        <v>250</v>
      </c>
      <c r="P159" s="120" t="s">
        <v>250</v>
      </c>
      <c r="Q159" s="120" t="s">
        <v>250</v>
      </c>
      <c r="R159" s="120"/>
      <c r="S159" s="121"/>
    </row>
    <row r="160" spans="1:19" ht="15">
      <c r="A160" s="105" t="s">
        <v>250</v>
      </c>
      <c r="B160" s="129" t="str">
        <f t="shared" ref="B160:B167" si="8">MID(C160,2,3)</f>
        <v>KEN</v>
      </c>
      <c r="C160" s="107" t="s">
        <v>358</v>
      </c>
      <c r="D160" s="107" t="s">
        <v>250</v>
      </c>
      <c r="E160" s="120" t="s">
        <v>250</v>
      </c>
      <c r="F160" s="120" t="s">
        <v>250</v>
      </c>
      <c r="G160" s="120" t="s">
        <v>250</v>
      </c>
      <c r="H160" s="120" t="s">
        <v>250</v>
      </c>
      <c r="I160" s="120" t="s">
        <v>250</v>
      </c>
      <c r="J160" s="120" t="s">
        <v>250</v>
      </c>
      <c r="K160" s="120" t="s">
        <v>250</v>
      </c>
      <c r="L160" s="120" t="s">
        <v>250</v>
      </c>
      <c r="M160" s="120" t="s">
        <v>250</v>
      </c>
      <c r="N160" s="120" t="s">
        <v>250</v>
      </c>
      <c r="O160" s="120" t="s">
        <v>250</v>
      </c>
      <c r="P160" s="120" t="s">
        <v>250</v>
      </c>
      <c r="Q160" s="120" t="s">
        <v>250</v>
      </c>
      <c r="R160" s="120"/>
      <c r="S160" s="121"/>
    </row>
    <row r="161" spans="1:19" ht="15">
      <c r="A161" s="105">
        <v>1</v>
      </c>
      <c r="B161" s="129" t="str">
        <f t="shared" si="8"/>
        <v>360</v>
      </c>
      <c r="C161" s="107" t="s">
        <v>359</v>
      </c>
      <c r="D161" s="107" t="s">
        <v>360</v>
      </c>
      <c r="E161" s="120">
        <v>9194561.7892307676</v>
      </c>
      <c r="F161" s="120" t="s">
        <v>250</v>
      </c>
      <c r="G161" s="120">
        <v>9185404.7892307676</v>
      </c>
      <c r="H161" s="120" t="s">
        <v>250</v>
      </c>
      <c r="I161" s="120">
        <v>0</v>
      </c>
      <c r="J161" s="120">
        <v>9157</v>
      </c>
      <c r="K161" s="120" t="s">
        <v>250</v>
      </c>
      <c r="L161" s="120" t="s">
        <v>250</v>
      </c>
      <c r="M161" s="120">
        <v>0</v>
      </c>
      <c r="N161" s="120" t="s">
        <v>250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8"/>
        <v>361</v>
      </c>
      <c r="C162" s="107" t="s">
        <v>361</v>
      </c>
      <c r="D162" s="107" t="s">
        <v>362</v>
      </c>
      <c r="E162" s="120">
        <v>30821241.809230641</v>
      </c>
      <c r="F162" s="120" t="s">
        <v>250</v>
      </c>
      <c r="G162" s="120">
        <v>30451903.809230641</v>
      </c>
      <c r="H162" s="120" t="s">
        <v>250</v>
      </c>
      <c r="I162" s="120">
        <v>0</v>
      </c>
      <c r="J162" s="120">
        <v>369338</v>
      </c>
      <c r="K162" s="120" t="s">
        <v>250</v>
      </c>
      <c r="L162" s="120" t="s">
        <v>250</v>
      </c>
      <c r="M162" s="120">
        <v>0</v>
      </c>
      <c r="N162" s="120" t="s">
        <v>250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8"/>
        <v>362</v>
      </c>
      <c r="C163" s="107" t="s">
        <v>363</v>
      </c>
      <c r="D163" s="107" t="s">
        <v>364</v>
      </c>
      <c r="E163" s="120">
        <v>305122025.30461538</v>
      </c>
      <c r="F163" s="120" t="s">
        <v>250</v>
      </c>
      <c r="G163" s="120">
        <v>302019357.30461538</v>
      </c>
      <c r="H163" s="120" t="s">
        <v>250</v>
      </c>
      <c r="I163" s="120">
        <v>0</v>
      </c>
      <c r="J163" s="120">
        <v>3102668</v>
      </c>
      <c r="K163" s="120" t="s">
        <v>250</v>
      </c>
      <c r="L163" s="120" t="s">
        <v>250</v>
      </c>
      <c r="M163" s="120">
        <v>0</v>
      </c>
      <c r="N163" s="120" t="s">
        <v>250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8"/>
        <v>364</v>
      </c>
      <c r="C164" s="107" t="s">
        <v>365</v>
      </c>
      <c r="D164" s="107" t="s">
        <v>366</v>
      </c>
      <c r="E164" s="120">
        <v>449646390.21461505</v>
      </c>
      <c r="F164" s="120" t="s">
        <v>250</v>
      </c>
      <c r="G164" s="120">
        <v>449646390.21461505</v>
      </c>
      <c r="H164" s="120" t="s">
        <v>250</v>
      </c>
      <c r="I164" s="120">
        <v>0</v>
      </c>
      <c r="J164" s="120">
        <v>0</v>
      </c>
      <c r="K164" s="120" t="s">
        <v>250</v>
      </c>
      <c r="L164" s="120" t="s">
        <v>250</v>
      </c>
      <c r="M164" s="120">
        <v>0</v>
      </c>
      <c r="N164" s="120" t="s">
        <v>250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8"/>
        <v>365</v>
      </c>
      <c r="C165" s="107" t="s">
        <v>367</v>
      </c>
      <c r="D165" s="107" t="s">
        <v>368</v>
      </c>
      <c r="E165" s="120">
        <v>472111951.7769224</v>
      </c>
      <c r="F165" s="120" t="s">
        <v>250</v>
      </c>
      <c r="G165" s="120">
        <v>472111951.7769224</v>
      </c>
      <c r="H165" s="120" t="s">
        <v>250</v>
      </c>
      <c r="I165" s="120">
        <v>0</v>
      </c>
      <c r="J165" s="120">
        <v>0</v>
      </c>
      <c r="K165" s="120" t="s">
        <v>250</v>
      </c>
      <c r="L165" s="120" t="s">
        <v>250</v>
      </c>
      <c r="M165" s="120">
        <v>0</v>
      </c>
      <c r="N165" s="120" t="s">
        <v>250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8"/>
        <v>366</v>
      </c>
      <c r="C166" s="107" t="s">
        <v>369</v>
      </c>
      <c r="D166" s="107" t="s">
        <v>370</v>
      </c>
      <c r="E166" s="120">
        <v>2524144.5200000009</v>
      </c>
      <c r="F166" s="120" t="s">
        <v>250</v>
      </c>
      <c r="G166" s="120">
        <v>2524144.5200000009</v>
      </c>
      <c r="H166" s="120" t="s">
        <v>250</v>
      </c>
      <c r="I166" s="120">
        <v>0</v>
      </c>
      <c r="J166" s="120">
        <v>0</v>
      </c>
      <c r="K166" s="120" t="s">
        <v>250</v>
      </c>
      <c r="L166" s="120" t="s">
        <v>250</v>
      </c>
      <c r="M166" s="120">
        <v>0</v>
      </c>
      <c r="N166" s="120" t="s">
        <v>250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8"/>
        <v>367</v>
      </c>
      <c r="C167" s="107" t="s">
        <v>371</v>
      </c>
      <c r="D167" s="107" t="s">
        <v>372</v>
      </c>
      <c r="E167" s="120">
        <v>245161809.96076822</v>
      </c>
      <c r="F167" s="120" t="s">
        <v>250</v>
      </c>
      <c r="G167" s="120">
        <v>245161809.96076822</v>
      </c>
      <c r="H167" s="120" t="s">
        <v>250</v>
      </c>
      <c r="I167" s="120">
        <v>0</v>
      </c>
      <c r="J167" s="120">
        <v>0</v>
      </c>
      <c r="K167" s="120" t="s">
        <v>250</v>
      </c>
      <c r="L167" s="120" t="s">
        <v>250</v>
      </c>
      <c r="M167" s="120">
        <v>0</v>
      </c>
      <c r="N167" s="120" t="s">
        <v>250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250</v>
      </c>
      <c r="B168" s="105"/>
      <c r="C168" s="107" t="s">
        <v>373</v>
      </c>
      <c r="D168" s="107" t="s">
        <v>250</v>
      </c>
      <c r="E168" s="120" t="s">
        <v>250</v>
      </c>
      <c r="F168" s="120" t="s">
        <v>250</v>
      </c>
      <c r="G168" s="120" t="s">
        <v>250</v>
      </c>
      <c r="H168" s="120" t="s">
        <v>250</v>
      </c>
      <c r="I168" s="120" t="s">
        <v>250</v>
      </c>
      <c r="J168" s="120" t="s">
        <v>250</v>
      </c>
      <c r="K168" s="120" t="s">
        <v>250</v>
      </c>
      <c r="L168" s="120" t="s">
        <v>250</v>
      </c>
      <c r="M168" s="120" t="s">
        <v>250</v>
      </c>
      <c r="N168" s="120" t="s">
        <v>250</v>
      </c>
      <c r="O168" s="120" t="s">
        <v>250</v>
      </c>
      <c r="P168" s="120" t="s">
        <v>250</v>
      </c>
      <c r="Q168" s="120" t="s">
        <v>250</v>
      </c>
      <c r="R168" s="120"/>
      <c r="S168" s="121"/>
    </row>
    <row r="169" spans="1:19" ht="15">
      <c r="A169" s="105">
        <v>8</v>
      </c>
      <c r="B169" s="105"/>
      <c r="C169" s="107" t="s">
        <v>374</v>
      </c>
      <c r="D169" s="107" t="s">
        <v>377</v>
      </c>
      <c r="E169" s="120">
        <v>5363041.5999999996</v>
      </c>
      <c r="F169" s="120" t="s">
        <v>250</v>
      </c>
      <c r="G169" s="120">
        <v>5363041.5999999996</v>
      </c>
      <c r="H169" s="120" t="s">
        <v>250</v>
      </c>
      <c r="I169" s="120">
        <v>0</v>
      </c>
      <c r="J169" s="120">
        <v>0</v>
      </c>
      <c r="K169" s="120" t="s">
        <v>250</v>
      </c>
      <c r="L169" s="120" t="s">
        <v>250</v>
      </c>
      <c r="M169" s="120">
        <v>0</v>
      </c>
      <c r="N169" s="120" t="s">
        <v>250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376</v>
      </c>
      <c r="D170" s="107" t="s">
        <v>377</v>
      </c>
      <c r="E170" s="120">
        <v>321195482.52538359</v>
      </c>
      <c r="F170" s="120" t="s">
        <v>250</v>
      </c>
      <c r="G170" s="120">
        <v>321195482.52538359</v>
      </c>
      <c r="H170" s="120" t="s">
        <v>250</v>
      </c>
      <c r="I170" s="120">
        <v>0</v>
      </c>
      <c r="J170" s="120">
        <v>0</v>
      </c>
      <c r="K170" s="120" t="s">
        <v>250</v>
      </c>
      <c r="L170" s="120" t="s">
        <v>250</v>
      </c>
      <c r="M170" s="120">
        <v>0</v>
      </c>
      <c r="N170" s="120" t="s">
        <v>250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378</v>
      </c>
      <c r="D171" s="107" t="s">
        <v>250</v>
      </c>
      <c r="E171" s="120">
        <v>326558524.12538362</v>
      </c>
      <c r="F171" s="120" t="s">
        <v>250</v>
      </c>
      <c r="G171" s="120">
        <v>326558524.12538362</v>
      </c>
      <c r="H171" s="120" t="s">
        <v>250</v>
      </c>
      <c r="I171" s="120">
        <v>0</v>
      </c>
      <c r="J171" s="120">
        <v>0</v>
      </c>
      <c r="K171" s="120" t="s">
        <v>250</v>
      </c>
      <c r="L171" s="120" t="s">
        <v>250</v>
      </c>
      <c r="M171" s="120">
        <v>0</v>
      </c>
      <c r="N171" s="120" t="s">
        <v>250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9">MID(C172,2,3)</f>
        <v>369</v>
      </c>
      <c r="C172" s="107" t="s">
        <v>379</v>
      </c>
      <c r="D172" s="107" t="s">
        <v>380</v>
      </c>
      <c r="E172" s="120">
        <v>124944572.24615385</v>
      </c>
      <c r="F172" s="120" t="s">
        <v>250</v>
      </c>
      <c r="G172" s="120">
        <v>124944572.24615385</v>
      </c>
      <c r="H172" s="120" t="s">
        <v>250</v>
      </c>
      <c r="I172" s="120">
        <v>0</v>
      </c>
      <c r="J172" s="120">
        <v>0</v>
      </c>
      <c r="K172" s="120" t="s">
        <v>250</v>
      </c>
      <c r="L172" s="120" t="s">
        <v>250</v>
      </c>
      <c r="M172" s="120">
        <v>0</v>
      </c>
      <c r="N172" s="120" t="s">
        <v>250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9"/>
        <v>370</v>
      </c>
      <c r="C173" s="107" t="s">
        <v>381</v>
      </c>
      <c r="D173" s="107" t="s">
        <v>382</v>
      </c>
      <c r="E173" s="120">
        <v>77200740.479111478</v>
      </c>
      <c r="F173" s="120" t="s">
        <v>250</v>
      </c>
      <c r="G173" s="120">
        <v>77153432.479111478</v>
      </c>
      <c r="H173" s="120" t="s">
        <v>250</v>
      </c>
      <c r="I173" s="120">
        <v>0</v>
      </c>
      <c r="J173" s="120">
        <v>47308</v>
      </c>
      <c r="K173" s="120" t="s">
        <v>250</v>
      </c>
      <c r="L173" s="120" t="s">
        <v>250</v>
      </c>
      <c r="M173" s="120">
        <v>0</v>
      </c>
      <c r="N173" s="120" t="s">
        <v>250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9"/>
        <v>371</v>
      </c>
      <c r="C174" s="107" t="s">
        <v>383</v>
      </c>
      <c r="D174" s="107" t="s">
        <v>384</v>
      </c>
      <c r="E174" s="120">
        <v>159233.80999999997</v>
      </c>
      <c r="F174" s="120" t="s">
        <v>250</v>
      </c>
      <c r="G174" s="120">
        <v>159233.80999999997</v>
      </c>
      <c r="H174" s="120" t="s">
        <v>250</v>
      </c>
      <c r="I174" s="120">
        <v>0</v>
      </c>
      <c r="J174" s="120">
        <v>0</v>
      </c>
      <c r="K174" s="120" t="s">
        <v>250</v>
      </c>
      <c r="L174" s="120" t="s">
        <v>250</v>
      </c>
      <c r="M174" s="120">
        <v>0</v>
      </c>
      <c r="N174" s="120" t="s">
        <v>250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9"/>
        <v>373</v>
      </c>
      <c r="C175" s="107" t="s">
        <v>385</v>
      </c>
      <c r="D175" s="107" t="s">
        <v>386</v>
      </c>
      <c r="E175" s="120">
        <v>143087299.06384519</v>
      </c>
      <c r="F175" s="120" t="s">
        <v>250</v>
      </c>
      <c r="G175" s="120">
        <v>143087299.06384519</v>
      </c>
      <c r="H175" s="120" t="s">
        <v>250</v>
      </c>
      <c r="I175" s="120">
        <v>0</v>
      </c>
      <c r="J175" s="120">
        <v>0</v>
      </c>
      <c r="K175" s="120" t="s">
        <v>250</v>
      </c>
      <c r="L175" s="120" t="s">
        <v>250</v>
      </c>
      <c r="M175" s="120">
        <v>0</v>
      </c>
      <c r="N175" s="120" t="s">
        <v>250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9"/>
        <v>374</v>
      </c>
      <c r="C176" s="107" t="s">
        <v>387</v>
      </c>
      <c r="D176" s="107" t="s">
        <v>388</v>
      </c>
      <c r="E176" s="120">
        <v>510376.10000000009</v>
      </c>
      <c r="F176" s="120" t="s">
        <v>250</v>
      </c>
      <c r="G176" s="120">
        <v>510376.10000000009</v>
      </c>
      <c r="H176" s="120" t="s">
        <v>250</v>
      </c>
      <c r="I176" s="120">
        <v>0</v>
      </c>
      <c r="J176" s="120">
        <v>0</v>
      </c>
      <c r="K176" s="120" t="s">
        <v>250</v>
      </c>
      <c r="L176" s="120" t="s">
        <v>250</v>
      </c>
      <c r="M176" s="120">
        <v>0</v>
      </c>
      <c r="N176" s="120" t="s">
        <v>250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389</v>
      </c>
      <c r="D177" s="107" t="s">
        <v>250</v>
      </c>
      <c r="E177" s="120">
        <v>2187042871.1998763</v>
      </c>
      <c r="F177" s="120" t="s">
        <v>250</v>
      </c>
      <c r="G177" s="120">
        <v>2183514400.1998763</v>
      </c>
      <c r="H177" s="120" t="s">
        <v>250</v>
      </c>
      <c r="I177" s="120">
        <v>0</v>
      </c>
      <c r="J177" s="120">
        <v>3528471</v>
      </c>
      <c r="K177" s="120" t="s">
        <v>250</v>
      </c>
      <c r="L177" s="120" t="s">
        <v>250</v>
      </c>
      <c r="M177" s="120">
        <v>0</v>
      </c>
      <c r="N177" s="120" t="s">
        <v>250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250</v>
      </c>
      <c r="B178" s="105"/>
      <c r="C178" s="107" t="s">
        <v>250</v>
      </c>
      <c r="D178" s="107" t="s">
        <v>250</v>
      </c>
      <c r="E178" s="120"/>
      <c r="F178" s="120" t="s">
        <v>250</v>
      </c>
      <c r="G178" s="120" t="s">
        <v>250</v>
      </c>
      <c r="H178" s="120" t="s">
        <v>250</v>
      </c>
      <c r="I178" s="120" t="s">
        <v>250</v>
      </c>
      <c r="J178" s="120" t="s">
        <v>250</v>
      </c>
      <c r="K178" s="120" t="s">
        <v>250</v>
      </c>
      <c r="L178" s="120" t="s">
        <v>250</v>
      </c>
      <c r="M178" s="120" t="s">
        <v>250</v>
      </c>
      <c r="N178" s="120" t="s">
        <v>250</v>
      </c>
      <c r="O178" s="120" t="s">
        <v>250</v>
      </c>
      <c r="P178" s="120" t="s">
        <v>250</v>
      </c>
      <c r="Q178" s="120" t="s">
        <v>250</v>
      </c>
      <c r="R178" s="120"/>
      <c r="S178" s="121"/>
    </row>
    <row r="179" spans="1:19" ht="15">
      <c r="A179" s="105" t="s">
        <v>250</v>
      </c>
      <c r="B179" s="129" t="str">
        <f t="shared" ref="B179:B185" si="10">MID(C179,2,3)</f>
        <v>VIR</v>
      </c>
      <c r="C179" s="107" t="s">
        <v>390</v>
      </c>
      <c r="D179" s="107" t="s">
        <v>250</v>
      </c>
      <c r="E179" s="120" t="s">
        <v>250</v>
      </c>
      <c r="F179" s="120" t="s">
        <v>250</v>
      </c>
      <c r="G179" s="120" t="s">
        <v>250</v>
      </c>
      <c r="H179" s="120" t="s">
        <v>250</v>
      </c>
      <c r="I179" s="120" t="s">
        <v>250</v>
      </c>
      <c r="J179" s="120" t="s">
        <v>250</v>
      </c>
      <c r="K179" s="120" t="s">
        <v>250</v>
      </c>
      <c r="L179" s="120" t="s">
        <v>250</v>
      </c>
      <c r="M179" s="120" t="s">
        <v>250</v>
      </c>
      <c r="N179" s="120" t="s">
        <v>250</v>
      </c>
      <c r="O179" s="120" t="s">
        <v>250</v>
      </c>
      <c r="P179" s="120" t="s">
        <v>250</v>
      </c>
      <c r="Q179" s="120" t="s">
        <v>250</v>
      </c>
      <c r="R179" s="120"/>
      <c r="S179" s="121"/>
    </row>
    <row r="180" spans="1:19" ht="15">
      <c r="A180" s="105">
        <v>17</v>
      </c>
      <c r="B180" s="129" t="str">
        <f t="shared" si="10"/>
        <v>360</v>
      </c>
      <c r="C180" s="107" t="s">
        <v>359</v>
      </c>
      <c r="D180" s="107" t="s">
        <v>391</v>
      </c>
      <c r="E180" s="120">
        <v>305487.90000000002</v>
      </c>
      <c r="F180" s="120" t="s">
        <v>250</v>
      </c>
      <c r="G180" s="120">
        <v>0</v>
      </c>
      <c r="H180" s="120" t="s">
        <v>250</v>
      </c>
      <c r="I180" s="120">
        <v>305487.90000000002</v>
      </c>
      <c r="J180" s="120">
        <v>0</v>
      </c>
      <c r="K180" s="120" t="s">
        <v>250</v>
      </c>
      <c r="L180" s="120" t="s">
        <v>250</v>
      </c>
      <c r="M180" s="120">
        <v>0</v>
      </c>
      <c r="N180" s="120" t="s">
        <v>250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10"/>
        <v>361</v>
      </c>
      <c r="C181" s="107" t="s">
        <v>361</v>
      </c>
      <c r="D181" s="107" t="s">
        <v>392</v>
      </c>
      <c r="E181" s="120">
        <v>652265.45999999985</v>
      </c>
      <c r="F181" s="120" t="s">
        <v>250</v>
      </c>
      <c r="G181" s="120">
        <v>0</v>
      </c>
      <c r="H181" s="120" t="s">
        <v>250</v>
      </c>
      <c r="I181" s="120">
        <v>652265.45999999985</v>
      </c>
      <c r="J181" s="120">
        <v>0</v>
      </c>
      <c r="K181" s="120" t="s">
        <v>250</v>
      </c>
      <c r="L181" s="120" t="s">
        <v>250</v>
      </c>
      <c r="M181" s="120">
        <v>0</v>
      </c>
      <c r="N181" s="120" t="s">
        <v>250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10"/>
        <v>362</v>
      </c>
      <c r="C182" s="107" t="s">
        <v>363</v>
      </c>
      <c r="D182" s="107" t="s">
        <v>393</v>
      </c>
      <c r="E182" s="120">
        <v>9218684.6300000008</v>
      </c>
      <c r="F182" s="120" t="s">
        <v>250</v>
      </c>
      <c r="G182" s="120">
        <v>0</v>
      </c>
      <c r="H182" s="120" t="s">
        <v>250</v>
      </c>
      <c r="I182" s="120">
        <v>9218684.6300000008</v>
      </c>
      <c r="J182" s="120">
        <v>0</v>
      </c>
      <c r="K182" s="120" t="s">
        <v>250</v>
      </c>
      <c r="L182" s="120" t="s">
        <v>250</v>
      </c>
      <c r="M182" s="120">
        <v>0</v>
      </c>
      <c r="N182" s="120" t="s">
        <v>250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10"/>
        <v>364</v>
      </c>
      <c r="C183" s="107" t="s">
        <v>365</v>
      </c>
      <c r="D183" s="107" t="s">
        <v>394</v>
      </c>
      <c r="E183" s="120">
        <v>33401557.545384619</v>
      </c>
      <c r="F183" s="120" t="s">
        <v>250</v>
      </c>
      <c r="G183" s="120">
        <v>0</v>
      </c>
      <c r="H183" s="120" t="s">
        <v>250</v>
      </c>
      <c r="I183" s="120">
        <v>33401557.545384619</v>
      </c>
      <c r="J183" s="120">
        <v>0</v>
      </c>
      <c r="K183" s="120" t="s">
        <v>250</v>
      </c>
      <c r="L183" s="120" t="s">
        <v>250</v>
      </c>
      <c r="M183" s="120">
        <v>0</v>
      </c>
      <c r="N183" s="120" t="s">
        <v>250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10"/>
        <v>365</v>
      </c>
      <c r="C184" s="107" t="s">
        <v>367</v>
      </c>
      <c r="D184" s="107" t="s">
        <v>395</v>
      </c>
      <c r="E184" s="120">
        <v>31936306.109230727</v>
      </c>
      <c r="F184" s="120" t="s">
        <v>250</v>
      </c>
      <c r="G184" s="120">
        <v>0</v>
      </c>
      <c r="H184" s="120" t="s">
        <v>250</v>
      </c>
      <c r="I184" s="120">
        <v>31936306.109230727</v>
      </c>
      <c r="J184" s="120">
        <v>0</v>
      </c>
      <c r="K184" s="120" t="s">
        <v>250</v>
      </c>
      <c r="L184" s="120" t="s">
        <v>250</v>
      </c>
      <c r="M184" s="120">
        <v>0</v>
      </c>
      <c r="N184" s="120" t="s">
        <v>250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10"/>
        <v>367</v>
      </c>
      <c r="C185" s="107" t="s">
        <v>371</v>
      </c>
      <c r="D185" s="107" t="s">
        <v>396</v>
      </c>
      <c r="E185" s="120">
        <v>5388250.1130769132</v>
      </c>
      <c r="F185" s="120" t="s">
        <v>250</v>
      </c>
      <c r="G185" s="120">
        <v>0</v>
      </c>
      <c r="H185" s="120" t="s">
        <v>250</v>
      </c>
      <c r="I185" s="120">
        <v>5388250.1130769132</v>
      </c>
      <c r="J185" s="120">
        <v>0</v>
      </c>
      <c r="K185" s="120" t="s">
        <v>250</v>
      </c>
      <c r="L185" s="120" t="s">
        <v>250</v>
      </c>
      <c r="M185" s="120">
        <v>0</v>
      </c>
      <c r="N185" s="120" t="s">
        <v>250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250</v>
      </c>
      <c r="B186" s="105"/>
      <c r="C186" s="107" t="s">
        <v>373</v>
      </c>
      <c r="D186" s="107" t="s">
        <v>250</v>
      </c>
      <c r="E186" s="120" t="s">
        <v>250</v>
      </c>
      <c r="F186" s="120" t="s">
        <v>250</v>
      </c>
      <c r="G186" s="120" t="s">
        <v>250</v>
      </c>
      <c r="H186" s="120" t="s">
        <v>250</v>
      </c>
      <c r="I186" s="120" t="s">
        <v>250</v>
      </c>
      <c r="J186" s="120" t="s">
        <v>250</v>
      </c>
      <c r="K186" s="120" t="s">
        <v>250</v>
      </c>
      <c r="L186" s="120" t="s">
        <v>250</v>
      </c>
      <c r="M186" s="120" t="s">
        <v>250</v>
      </c>
      <c r="N186" s="120" t="s">
        <v>250</v>
      </c>
      <c r="O186" s="120" t="s">
        <v>250</v>
      </c>
      <c r="P186" s="120" t="s">
        <v>250</v>
      </c>
      <c r="Q186" s="120" t="s">
        <v>250</v>
      </c>
      <c r="R186" s="120"/>
      <c r="S186" s="121"/>
    </row>
    <row r="187" spans="1:19" ht="15">
      <c r="A187" s="105">
        <v>23</v>
      </c>
      <c r="B187" s="105"/>
      <c r="C187" s="107" t="s">
        <v>374</v>
      </c>
      <c r="D187" s="107" t="s">
        <v>398</v>
      </c>
      <c r="E187" s="120">
        <v>110559.51</v>
      </c>
      <c r="F187" s="120" t="s">
        <v>250</v>
      </c>
      <c r="G187" s="120">
        <v>0</v>
      </c>
      <c r="H187" s="120" t="s">
        <v>250</v>
      </c>
      <c r="I187" s="120">
        <v>110559.51</v>
      </c>
      <c r="J187" s="120">
        <v>0</v>
      </c>
      <c r="K187" s="120" t="s">
        <v>250</v>
      </c>
      <c r="L187" s="120" t="s">
        <v>250</v>
      </c>
      <c r="M187" s="120">
        <v>0</v>
      </c>
      <c r="N187" s="120" t="s">
        <v>250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376</v>
      </c>
      <c r="D188" s="107" t="s">
        <v>398</v>
      </c>
      <c r="E188" s="120">
        <v>10950955.253076922</v>
      </c>
      <c r="F188" s="120" t="s">
        <v>250</v>
      </c>
      <c r="G188" s="120">
        <v>0</v>
      </c>
      <c r="H188" s="120" t="s">
        <v>250</v>
      </c>
      <c r="I188" s="120">
        <v>10950955.253076922</v>
      </c>
      <c r="J188" s="120">
        <v>0</v>
      </c>
      <c r="K188" s="120" t="s">
        <v>250</v>
      </c>
      <c r="L188" s="120" t="s">
        <v>250</v>
      </c>
      <c r="M188" s="120">
        <v>0</v>
      </c>
      <c r="N188" s="120" t="s">
        <v>250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378</v>
      </c>
      <c r="D189" s="107" t="s">
        <v>250</v>
      </c>
      <c r="E189" s="120">
        <v>11061514.763076922</v>
      </c>
      <c r="F189" s="120" t="s">
        <v>250</v>
      </c>
      <c r="G189" s="120">
        <v>0</v>
      </c>
      <c r="H189" s="120" t="s">
        <v>250</v>
      </c>
      <c r="I189" s="120">
        <v>11061514.763076922</v>
      </c>
      <c r="J189" s="120">
        <v>0</v>
      </c>
      <c r="K189" s="120" t="s">
        <v>250</v>
      </c>
      <c r="L189" s="120" t="s">
        <v>250</v>
      </c>
      <c r="M189" s="120">
        <v>0</v>
      </c>
      <c r="N189" s="120" t="s">
        <v>250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11">MID(C190,2,3)</f>
        <v>369</v>
      </c>
      <c r="C190" s="107" t="s">
        <v>379</v>
      </c>
      <c r="D190" s="107" t="s">
        <v>399</v>
      </c>
      <c r="E190" s="120">
        <v>6306473.2199999997</v>
      </c>
      <c r="F190" s="120" t="s">
        <v>250</v>
      </c>
      <c r="G190" s="120">
        <v>0</v>
      </c>
      <c r="H190" s="120" t="s">
        <v>250</v>
      </c>
      <c r="I190" s="120">
        <v>6306473.2199999997</v>
      </c>
      <c r="J190" s="120">
        <v>0</v>
      </c>
      <c r="K190" s="120" t="s">
        <v>250</v>
      </c>
      <c r="L190" s="120" t="s">
        <v>250</v>
      </c>
      <c r="M190" s="120">
        <v>0</v>
      </c>
      <c r="N190" s="120" t="s">
        <v>250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11"/>
        <v>370</v>
      </c>
      <c r="C191" s="107" t="s">
        <v>381</v>
      </c>
      <c r="D191" s="107" t="s">
        <v>400</v>
      </c>
      <c r="E191" s="120">
        <v>4187480.85</v>
      </c>
      <c r="F191" s="120" t="s">
        <v>250</v>
      </c>
      <c r="G191" s="120">
        <v>0</v>
      </c>
      <c r="H191" s="120" t="s">
        <v>250</v>
      </c>
      <c r="I191" s="120">
        <v>4187480.85</v>
      </c>
      <c r="J191" s="120">
        <v>0</v>
      </c>
      <c r="K191" s="120" t="s">
        <v>250</v>
      </c>
      <c r="L191" s="120" t="s">
        <v>250</v>
      </c>
      <c r="M191" s="120">
        <v>0</v>
      </c>
      <c r="N191" s="120" t="s">
        <v>250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11"/>
        <v>371</v>
      </c>
      <c r="C192" s="107" t="s">
        <v>383</v>
      </c>
      <c r="D192" s="107" t="s">
        <v>401</v>
      </c>
      <c r="E192" s="120">
        <v>0</v>
      </c>
      <c r="F192" s="120" t="s">
        <v>250</v>
      </c>
      <c r="G192" s="120">
        <v>0</v>
      </c>
      <c r="H192" s="120" t="s">
        <v>250</v>
      </c>
      <c r="I192" s="120">
        <v>0</v>
      </c>
      <c r="J192" s="120">
        <v>0</v>
      </c>
      <c r="K192" s="120" t="s">
        <v>250</v>
      </c>
      <c r="L192" s="120" t="s">
        <v>250</v>
      </c>
      <c r="M192" s="120">
        <v>0</v>
      </c>
      <c r="N192" s="120" t="s">
        <v>250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11"/>
        <v>373</v>
      </c>
      <c r="C193" s="107" t="s">
        <v>385</v>
      </c>
      <c r="D193" s="107" t="s">
        <v>402</v>
      </c>
      <c r="E193" s="120">
        <v>4244034.1969230715</v>
      </c>
      <c r="F193" s="120" t="s">
        <v>250</v>
      </c>
      <c r="G193" s="120">
        <v>0</v>
      </c>
      <c r="H193" s="120" t="s">
        <v>250</v>
      </c>
      <c r="I193" s="120">
        <v>4244034.1969230715</v>
      </c>
      <c r="J193" s="120">
        <v>0</v>
      </c>
      <c r="K193" s="120" t="s">
        <v>250</v>
      </c>
      <c r="L193" s="120" t="s">
        <v>250</v>
      </c>
      <c r="M193" s="120">
        <v>0</v>
      </c>
      <c r="N193" s="120" t="s">
        <v>250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403</v>
      </c>
      <c r="D194" s="107" t="s">
        <v>250</v>
      </c>
      <c r="E194" s="120">
        <v>106702054.78769226</v>
      </c>
      <c r="F194" s="120" t="s">
        <v>250</v>
      </c>
      <c r="G194" s="120">
        <v>0</v>
      </c>
      <c r="H194" s="120" t="s">
        <v>250</v>
      </c>
      <c r="I194" s="120">
        <v>106702054.78769226</v>
      </c>
      <c r="J194" s="120">
        <v>0</v>
      </c>
      <c r="K194" s="120" t="s">
        <v>250</v>
      </c>
      <c r="L194" s="120" t="s">
        <v>250</v>
      </c>
      <c r="M194" s="120">
        <v>0</v>
      </c>
      <c r="N194" s="120" t="s">
        <v>250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250</v>
      </c>
      <c r="B195" s="105"/>
      <c r="C195" s="107" t="s">
        <v>250</v>
      </c>
      <c r="D195" s="107" t="s">
        <v>250</v>
      </c>
      <c r="E195" s="120" t="s">
        <v>250</v>
      </c>
      <c r="F195" s="120" t="s">
        <v>250</v>
      </c>
      <c r="G195" s="120" t="s">
        <v>250</v>
      </c>
      <c r="H195" s="120" t="s">
        <v>250</v>
      </c>
      <c r="I195" s="120" t="s">
        <v>250</v>
      </c>
      <c r="J195" s="120" t="s">
        <v>250</v>
      </c>
      <c r="K195" s="120" t="s">
        <v>250</v>
      </c>
      <c r="L195" s="120" t="s">
        <v>250</v>
      </c>
      <c r="M195" s="120" t="s">
        <v>250</v>
      </c>
      <c r="N195" s="120" t="s">
        <v>250</v>
      </c>
      <c r="O195" s="120" t="s">
        <v>250</v>
      </c>
      <c r="P195" s="120" t="s">
        <v>250</v>
      </c>
      <c r="Q195" s="120" t="s">
        <v>250</v>
      </c>
      <c r="R195" s="120"/>
      <c r="S195" s="121"/>
    </row>
    <row r="196" spans="1:19" ht="15">
      <c r="A196" s="105" t="s">
        <v>250</v>
      </c>
      <c r="B196" s="129" t="str">
        <f t="shared" ref="B196:B205" si="12">MID(C196,2,3)</f>
        <v>TEN</v>
      </c>
      <c r="C196" s="107" t="s">
        <v>404</v>
      </c>
      <c r="D196" s="107" t="s">
        <v>250</v>
      </c>
      <c r="E196" s="120" t="s">
        <v>250</v>
      </c>
      <c r="F196" s="120" t="s">
        <v>250</v>
      </c>
      <c r="G196" s="120" t="s">
        <v>250</v>
      </c>
      <c r="H196" s="120" t="s">
        <v>250</v>
      </c>
      <c r="I196" s="120" t="s">
        <v>250</v>
      </c>
      <c r="J196" s="120" t="s">
        <v>250</v>
      </c>
      <c r="K196" s="120" t="s">
        <v>250</v>
      </c>
      <c r="L196" s="120" t="s">
        <v>250</v>
      </c>
      <c r="M196" s="120" t="s">
        <v>250</v>
      </c>
      <c r="N196" s="120" t="s">
        <v>250</v>
      </c>
      <c r="O196" s="120" t="s">
        <v>250</v>
      </c>
      <c r="P196" s="120" t="s">
        <v>250</v>
      </c>
      <c r="Q196" s="120" t="s">
        <v>250</v>
      </c>
      <c r="R196" s="120"/>
      <c r="S196" s="121"/>
    </row>
    <row r="197" spans="1:19" ht="15">
      <c r="A197" s="105">
        <v>31</v>
      </c>
      <c r="B197" s="129" t="str">
        <f t="shared" si="12"/>
        <v>360</v>
      </c>
      <c r="C197" s="107" t="s">
        <v>359</v>
      </c>
      <c r="D197" s="107" t="s">
        <v>405</v>
      </c>
      <c r="E197" s="120">
        <v>5040.2300000000005</v>
      </c>
      <c r="F197" s="120" t="s">
        <v>250</v>
      </c>
      <c r="G197" s="120">
        <v>5040.2300000000005</v>
      </c>
      <c r="H197" s="120" t="s">
        <v>250</v>
      </c>
      <c r="I197" s="120">
        <v>0</v>
      </c>
      <c r="J197" s="120">
        <v>0</v>
      </c>
      <c r="K197" s="120" t="s">
        <v>250</v>
      </c>
      <c r="L197" s="120" t="s">
        <v>250</v>
      </c>
      <c r="M197" s="120">
        <v>0</v>
      </c>
      <c r="N197" s="120" t="s">
        <v>250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12"/>
        <v>361</v>
      </c>
      <c r="C198" s="107" t="s">
        <v>361</v>
      </c>
      <c r="D198" s="107" t="s">
        <v>406</v>
      </c>
      <c r="E198" s="120">
        <v>2545.13</v>
      </c>
      <c r="F198" s="120" t="s">
        <v>250</v>
      </c>
      <c r="G198" s="120">
        <v>2545.13</v>
      </c>
      <c r="H198" s="120" t="s">
        <v>250</v>
      </c>
      <c r="I198" s="120">
        <v>0</v>
      </c>
      <c r="J198" s="120">
        <v>0</v>
      </c>
      <c r="K198" s="120" t="s">
        <v>250</v>
      </c>
      <c r="L198" s="120" t="s">
        <v>250</v>
      </c>
      <c r="M198" s="120">
        <v>0</v>
      </c>
      <c r="N198" s="120" t="s">
        <v>250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12"/>
        <v>362</v>
      </c>
      <c r="C199" s="107" t="s">
        <v>363</v>
      </c>
      <c r="D199" s="107" t="s">
        <v>407</v>
      </c>
      <c r="E199" s="120">
        <v>66853.420000000013</v>
      </c>
      <c r="F199" s="120" t="s">
        <v>250</v>
      </c>
      <c r="G199" s="120">
        <v>66853.420000000013</v>
      </c>
      <c r="H199" s="120" t="s">
        <v>250</v>
      </c>
      <c r="I199" s="120">
        <v>0</v>
      </c>
      <c r="J199" s="120">
        <v>0</v>
      </c>
      <c r="K199" s="120" t="s">
        <v>250</v>
      </c>
      <c r="L199" s="120" t="s">
        <v>250</v>
      </c>
      <c r="M199" s="120">
        <v>0</v>
      </c>
      <c r="N199" s="120" t="s">
        <v>250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12"/>
        <v>364</v>
      </c>
      <c r="C200" s="107" t="s">
        <v>365</v>
      </c>
      <c r="D200" s="107" t="s">
        <v>408</v>
      </c>
      <c r="E200" s="120">
        <v>15954.52</v>
      </c>
      <c r="F200" s="120" t="s">
        <v>250</v>
      </c>
      <c r="G200" s="120">
        <v>15954.52</v>
      </c>
      <c r="H200" s="120" t="s">
        <v>250</v>
      </c>
      <c r="I200" s="120">
        <v>0</v>
      </c>
      <c r="J200" s="120">
        <v>0</v>
      </c>
      <c r="K200" s="120" t="s">
        <v>250</v>
      </c>
      <c r="L200" s="120" t="s">
        <v>250</v>
      </c>
      <c r="M200" s="120">
        <v>0</v>
      </c>
      <c r="N200" s="120" t="s">
        <v>250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12"/>
        <v>365</v>
      </c>
      <c r="C201" s="107" t="s">
        <v>367</v>
      </c>
      <c r="D201" s="107" t="s">
        <v>409</v>
      </c>
      <c r="E201" s="120">
        <v>17140.309999999998</v>
      </c>
      <c r="F201" s="120" t="s">
        <v>250</v>
      </c>
      <c r="G201" s="120">
        <v>17140.309999999998</v>
      </c>
      <c r="H201" s="120" t="s">
        <v>250</v>
      </c>
      <c r="I201" s="120">
        <v>0</v>
      </c>
      <c r="J201" s="120">
        <v>0</v>
      </c>
      <c r="K201" s="120" t="s">
        <v>250</v>
      </c>
      <c r="L201" s="120" t="s">
        <v>250</v>
      </c>
      <c r="M201" s="120">
        <v>0</v>
      </c>
      <c r="N201" s="120" t="s">
        <v>250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12"/>
        <v>368</v>
      </c>
      <c r="C202" s="107" t="s">
        <v>373</v>
      </c>
      <c r="D202" s="107" t="s">
        <v>410</v>
      </c>
      <c r="E202" s="120">
        <v>0</v>
      </c>
      <c r="F202" s="120" t="s">
        <v>250</v>
      </c>
      <c r="G202" s="120">
        <v>0</v>
      </c>
      <c r="H202" s="120" t="s">
        <v>250</v>
      </c>
      <c r="I202" s="120">
        <v>0</v>
      </c>
      <c r="J202" s="120">
        <v>0</v>
      </c>
      <c r="K202" s="120" t="s">
        <v>250</v>
      </c>
      <c r="L202" s="120" t="s">
        <v>250</v>
      </c>
      <c r="M202" s="120">
        <v>0</v>
      </c>
      <c r="N202" s="120" t="s">
        <v>250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12"/>
        <v>369</v>
      </c>
      <c r="C203" s="107" t="s">
        <v>379</v>
      </c>
      <c r="D203" s="107" t="s">
        <v>411</v>
      </c>
      <c r="E203" s="120">
        <v>0</v>
      </c>
      <c r="F203" s="120" t="s">
        <v>250</v>
      </c>
      <c r="G203" s="120">
        <v>0</v>
      </c>
      <c r="H203" s="120" t="s">
        <v>250</v>
      </c>
      <c r="I203" s="120">
        <v>0</v>
      </c>
      <c r="J203" s="120">
        <v>0</v>
      </c>
      <c r="K203" s="120" t="s">
        <v>250</v>
      </c>
      <c r="L203" s="120" t="s">
        <v>250</v>
      </c>
      <c r="M203" s="120">
        <v>0</v>
      </c>
      <c r="N203" s="120" t="s">
        <v>250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12"/>
        <v>370</v>
      </c>
      <c r="C204" s="107" t="s">
        <v>381</v>
      </c>
      <c r="D204" s="107" t="s">
        <v>412</v>
      </c>
      <c r="E204" s="120">
        <v>0</v>
      </c>
      <c r="F204" s="120" t="s">
        <v>250</v>
      </c>
      <c r="G204" s="120">
        <v>0</v>
      </c>
      <c r="H204" s="120" t="s">
        <v>250</v>
      </c>
      <c r="I204" s="120">
        <v>0</v>
      </c>
      <c r="J204" s="120">
        <v>0</v>
      </c>
      <c r="K204" s="120" t="s">
        <v>250</v>
      </c>
      <c r="L204" s="120" t="s">
        <v>250</v>
      </c>
      <c r="M204" s="120">
        <v>0</v>
      </c>
      <c r="N204" s="120" t="s">
        <v>250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12"/>
        <v>371</v>
      </c>
      <c r="C205" s="107" t="s">
        <v>383</v>
      </c>
      <c r="D205" s="107" t="s">
        <v>413</v>
      </c>
      <c r="E205" s="120">
        <v>0</v>
      </c>
      <c r="F205" s="120" t="s">
        <v>250</v>
      </c>
      <c r="G205" s="120">
        <v>0</v>
      </c>
      <c r="H205" s="120" t="s">
        <v>250</v>
      </c>
      <c r="I205" s="120">
        <v>0</v>
      </c>
      <c r="J205" s="120">
        <v>0</v>
      </c>
      <c r="K205" s="120" t="s">
        <v>250</v>
      </c>
      <c r="L205" s="120" t="s">
        <v>250</v>
      </c>
      <c r="M205" s="120">
        <v>0</v>
      </c>
      <c r="N205" s="120" t="s">
        <v>250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414</v>
      </c>
      <c r="D206" s="107" t="s">
        <v>250</v>
      </c>
      <c r="E206" s="120">
        <v>107533.61000000002</v>
      </c>
      <c r="F206" s="120" t="s">
        <v>250</v>
      </c>
      <c r="G206" s="120">
        <v>107533.61000000002</v>
      </c>
      <c r="H206" s="120" t="s">
        <v>250</v>
      </c>
      <c r="I206" s="120">
        <v>0</v>
      </c>
      <c r="J206" s="120">
        <v>0</v>
      </c>
      <c r="K206" s="120" t="s">
        <v>250</v>
      </c>
      <c r="L206" s="120" t="s">
        <v>250</v>
      </c>
      <c r="M206" s="120">
        <v>0</v>
      </c>
      <c r="N206" s="120" t="s">
        <v>250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250</v>
      </c>
      <c r="B207" s="105"/>
      <c r="C207" s="107" t="s">
        <v>250</v>
      </c>
      <c r="D207" s="107" t="s">
        <v>250</v>
      </c>
      <c r="E207" s="120" t="s">
        <v>250</v>
      </c>
      <c r="F207" s="120" t="s">
        <v>250</v>
      </c>
      <c r="G207" s="120" t="s">
        <v>250</v>
      </c>
      <c r="H207" s="120" t="s">
        <v>250</v>
      </c>
      <c r="I207" s="120" t="s">
        <v>250</v>
      </c>
      <c r="J207" s="120" t="s">
        <v>250</v>
      </c>
      <c r="K207" s="120" t="s">
        <v>250</v>
      </c>
      <c r="L207" s="120" t="s">
        <v>250</v>
      </c>
      <c r="M207" s="120" t="s">
        <v>250</v>
      </c>
      <c r="N207" s="120" t="s">
        <v>250</v>
      </c>
      <c r="O207" s="120" t="s">
        <v>250</v>
      </c>
      <c r="P207" s="120" t="s">
        <v>250</v>
      </c>
      <c r="Q207" s="120" t="s">
        <v>250</v>
      </c>
      <c r="R207" s="120"/>
      <c r="S207" s="121"/>
    </row>
    <row r="208" spans="1:19" ht="15">
      <c r="A208" s="105">
        <v>41</v>
      </c>
      <c r="B208" s="105"/>
      <c r="C208" s="107" t="s">
        <v>415</v>
      </c>
      <c r="D208" s="107" t="s">
        <v>250</v>
      </c>
      <c r="E208" s="120">
        <v>2293852459.5975685</v>
      </c>
      <c r="F208" s="120" t="s">
        <v>250</v>
      </c>
      <c r="G208" s="120">
        <v>2183621933.8098764</v>
      </c>
      <c r="H208" s="120" t="s">
        <v>250</v>
      </c>
      <c r="I208" s="120">
        <v>106702054.78769226</v>
      </c>
      <c r="J208" s="120">
        <v>3528471</v>
      </c>
      <c r="K208" s="120" t="s">
        <v>250</v>
      </c>
      <c r="L208" s="120" t="s">
        <v>250</v>
      </c>
      <c r="M208" s="120">
        <v>0</v>
      </c>
      <c r="N208" s="120" t="s">
        <v>250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250</v>
      </c>
      <c r="B209" s="105"/>
      <c r="C209" s="107" t="s">
        <v>250</v>
      </c>
      <c r="D209" s="107" t="s">
        <v>250</v>
      </c>
      <c r="E209" s="120" t="s">
        <v>250</v>
      </c>
      <c r="F209" s="120" t="s">
        <v>250</v>
      </c>
      <c r="G209" s="120" t="s">
        <v>250</v>
      </c>
      <c r="H209" s="120" t="s">
        <v>250</v>
      </c>
      <c r="I209" s="120" t="s">
        <v>250</v>
      </c>
      <c r="J209" s="120" t="s">
        <v>250</v>
      </c>
      <c r="K209" s="120" t="s">
        <v>250</v>
      </c>
      <c r="L209" s="120" t="s">
        <v>250</v>
      </c>
      <c r="M209" s="120" t="s">
        <v>250</v>
      </c>
      <c r="N209" s="120" t="s">
        <v>250</v>
      </c>
      <c r="O209" s="120" t="s">
        <v>250</v>
      </c>
      <c r="P209" s="120" t="s">
        <v>250</v>
      </c>
      <c r="Q209" s="120" t="s">
        <v>250</v>
      </c>
      <c r="R209" s="120"/>
      <c r="S209" s="121"/>
    </row>
    <row r="210" spans="1:19" ht="15">
      <c r="A210" s="105" t="s">
        <v>250</v>
      </c>
      <c r="B210" s="105"/>
      <c r="C210" s="107" t="s">
        <v>336</v>
      </c>
      <c r="D210" s="107" t="s">
        <v>250</v>
      </c>
      <c r="E210" s="120" t="s">
        <v>250</v>
      </c>
      <c r="F210" s="120" t="s">
        <v>250</v>
      </c>
      <c r="G210" s="120" t="s">
        <v>250</v>
      </c>
      <c r="H210" s="120" t="s">
        <v>250</v>
      </c>
      <c r="I210" s="120" t="s">
        <v>250</v>
      </c>
      <c r="J210" s="120" t="s">
        <v>250</v>
      </c>
      <c r="K210" s="120" t="s">
        <v>250</v>
      </c>
      <c r="L210" s="120" t="s">
        <v>250</v>
      </c>
      <c r="M210" s="120" t="s">
        <v>250</v>
      </c>
      <c r="N210" s="120" t="s">
        <v>250</v>
      </c>
      <c r="O210" s="120" t="s">
        <v>250</v>
      </c>
      <c r="P210" s="120" t="s">
        <v>250</v>
      </c>
      <c r="Q210" s="120" t="s">
        <v>250</v>
      </c>
      <c r="R210" s="120"/>
      <c r="S210" s="121"/>
    </row>
    <row r="211" spans="1:19" ht="15">
      <c r="A211" s="105" t="s">
        <v>250</v>
      </c>
      <c r="B211" s="105"/>
      <c r="C211" s="107" t="s">
        <v>250</v>
      </c>
      <c r="D211" s="107" t="s">
        <v>250</v>
      </c>
      <c r="E211" s="120" t="s">
        <v>250</v>
      </c>
      <c r="F211" s="120" t="s">
        <v>250</v>
      </c>
      <c r="G211" s="120" t="s">
        <v>250</v>
      </c>
      <c r="H211" s="120" t="s">
        <v>250</v>
      </c>
      <c r="I211" s="120" t="s">
        <v>250</v>
      </c>
      <c r="J211" s="120" t="s">
        <v>250</v>
      </c>
      <c r="K211" s="120" t="s">
        <v>250</v>
      </c>
      <c r="L211" s="120" t="s">
        <v>250</v>
      </c>
      <c r="M211" s="120" t="s">
        <v>250</v>
      </c>
      <c r="N211" s="120" t="s">
        <v>250</v>
      </c>
      <c r="O211" s="120" t="s">
        <v>250</v>
      </c>
      <c r="P211" s="120" t="s">
        <v>250</v>
      </c>
      <c r="Q211" s="120" t="s">
        <v>250</v>
      </c>
      <c r="R211" s="120"/>
      <c r="S211" s="121"/>
    </row>
    <row r="212" spans="1:19" ht="15">
      <c r="A212" s="105" t="s">
        <v>250</v>
      </c>
      <c r="B212" s="129" t="str">
        <f t="shared" ref="B212:B220" si="13">MID(C212,2,3)</f>
        <v>GEN</v>
      </c>
      <c r="C212" s="107" t="s">
        <v>416</v>
      </c>
      <c r="D212" s="107" t="s">
        <v>250</v>
      </c>
      <c r="E212" s="120" t="s">
        <v>250</v>
      </c>
      <c r="F212" s="120" t="s">
        <v>250</v>
      </c>
      <c r="G212" s="120" t="s">
        <v>250</v>
      </c>
      <c r="H212" s="120" t="s">
        <v>250</v>
      </c>
      <c r="I212" s="120" t="s">
        <v>250</v>
      </c>
      <c r="J212" s="120" t="s">
        <v>250</v>
      </c>
      <c r="K212" s="120" t="s">
        <v>250</v>
      </c>
      <c r="L212" s="120" t="s">
        <v>250</v>
      </c>
      <c r="M212" s="120" t="s">
        <v>250</v>
      </c>
      <c r="N212" s="120" t="s">
        <v>250</v>
      </c>
      <c r="O212" s="120" t="s">
        <v>250</v>
      </c>
      <c r="P212" s="120" t="s">
        <v>250</v>
      </c>
      <c r="Q212" s="120" t="s">
        <v>250</v>
      </c>
      <c r="R212" s="120"/>
      <c r="S212" s="121"/>
    </row>
    <row r="213" spans="1:19" ht="15">
      <c r="A213" s="105">
        <v>1</v>
      </c>
      <c r="B213" s="129" t="str">
        <f t="shared" si="13"/>
        <v>389</v>
      </c>
      <c r="C213" s="107" t="s">
        <v>417</v>
      </c>
      <c r="D213" s="107" t="s">
        <v>418</v>
      </c>
      <c r="E213" s="120">
        <v>4166496.5453846147</v>
      </c>
      <c r="F213" s="120" t="s">
        <v>250</v>
      </c>
      <c r="G213" s="120">
        <v>3920556.0828197752</v>
      </c>
      <c r="H213" s="120" t="s">
        <v>250</v>
      </c>
      <c r="I213" s="120">
        <v>198228.9432434738</v>
      </c>
      <c r="J213" s="120">
        <v>47711.519321365653</v>
      </c>
      <c r="K213" s="120" t="s">
        <v>250</v>
      </c>
      <c r="L213" s="120" t="s">
        <v>250</v>
      </c>
      <c r="M213" s="120">
        <v>0</v>
      </c>
      <c r="N213" s="120" t="s">
        <v>250</v>
      </c>
      <c r="O213" s="120">
        <v>47711.519321365653</v>
      </c>
      <c r="P213" s="120">
        <v>24877.344992710328</v>
      </c>
      <c r="Q213" s="120">
        <v>22834.174328655325</v>
      </c>
      <c r="R213" s="120"/>
      <c r="S213" s="121"/>
    </row>
    <row r="214" spans="1:19" ht="15">
      <c r="A214" s="105">
        <v>2</v>
      </c>
      <c r="B214" s="129" t="str">
        <f t="shared" si="13"/>
        <v>390</v>
      </c>
      <c r="C214" s="107" t="s">
        <v>419</v>
      </c>
      <c r="D214" s="107" t="s">
        <v>418</v>
      </c>
      <c r="E214" s="120">
        <v>107767567.20230766</v>
      </c>
      <c r="F214" s="120" t="s">
        <v>250</v>
      </c>
      <c r="G214" s="120">
        <v>101406250.19687708</v>
      </c>
      <c r="H214" s="120" t="s">
        <v>250</v>
      </c>
      <c r="I214" s="120">
        <v>5127245.5718456572</v>
      </c>
      <c r="J214" s="120">
        <v>1234071.4335849357</v>
      </c>
      <c r="K214" s="120" t="s">
        <v>250</v>
      </c>
      <c r="L214" s="120" t="s">
        <v>250</v>
      </c>
      <c r="M214" s="120">
        <v>0</v>
      </c>
      <c r="N214" s="120" t="s">
        <v>250</v>
      </c>
      <c r="O214" s="120">
        <v>1234071.4335849357</v>
      </c>
      <c r="P214" s="120">
        <v>643459.29946509015</v>
      </c>
      <c r="Q214" s="120">
        <v>590612.13411984558</v>
      </c>
      <c r="R214" s="120"/>
      <c r="S214" s="121"/>
    </row>
    <row r="215" spans="1:19" ht="15">
      <c r="A215" s="105">
        <v>3</v>
      </c>
      <c r="B215" s="129" t="str">
        <f t="shared" si="13"/>
        <v>391</v>
      </c>
      <c r="C215" s="107" t="s">
        <v>420</v>
      </c>
      <c r="D215" s="107" t="s">
        <v>418</v>
      </c>
      <c r="E215" s="120">
        <v>44582199.950769179</v>
      </c>
      <c r="F215" s="120" t="s">
        <v>250</v>
      </c>
      <c r="G215" s="120">
        <v>41950596.454014525</v>
      </c>
      <c r="H215" s="120" t="s">
        <v>250</v>
      </c>
      <c r="I215" s="120">
        <v>2121082.3739911262</v>
      </c>
      <c r="J215" s="120">
        <v>510521.12276352709</v>
      </c>
      <c r="K215" s="120" t="s">
        <v>250</v>
      </c>
      <c r="L215" s="120" t="s">
        <v>250</v>
      </c>
      <c r="M215" s="120">
        <v>0</v>
      </c>
      <c r="N215" s="120" t="s">
        <v>250</v>
      </c>
      <c r="O215" s="120">
        <v>510521.12276352709</v>
      </c>
      <c r="P215" s="120">
        <v>266191.69285952137</v>
      </c>
      <c r="Q215" s="120">
        <v>244329.42990400572</v>
      </c>
      <c r="R215" s="120"/>
      <c r="S215" s="121"/>
    </row>
    <row r="216" spans="1:19" ht="15">
      <c r="A216" s="105">
        <v>4</v>
      </c>
      <c r="B216" s="129" t="str">
        <f t="shared" si="13"/>
        <v>392</v>
      </c>
      <c r="C216" s="107" t="s">
        <v>421</v>
      </c>
      <c r="D216" s="107" t="s">
        <v>418</v>
      </c>
      <c r="E216" s="120">
        <v>8654017</v>
      </c>
      <c r="F216" s="120" t="s">
        <v>250</v>
      </c>
      <c r="G216" s="120">
        <v>8143186.6366863269</v>
      </c>
      <c r="H216" s="120" t="s">
        <v>250</v>
      </c>
      <c r="I216" s="120">
        <v>411731.20535077737</v>
      </c>
      <c r="J216" s="120">
        <v>99099.157962895129</v>
      </c>
      <c r="K216" s="120" t="s">
        <v>250</v>
      </c>
      <c r="L216" s="120" t="s">
        <v>250</v>
      </c>
      <c r="M216" s="120">
        <v>0</v>
      </c>
      <c r="N216" s="120" t="s">
        <v>250</v>
      </c>
      <c r="O216" s="120">
        <v>99099.157962895129</v>
      </c>
      <c r="P216" s="120">
        <v>51671.461655299761</v>
      </c>
      <c r="Q216" s="120">
        <v>47427.696307595368</v>
      </c>
      <c r="R216" s="120"/>
      <c r="S216" s="121"/>
    </row>
    <row r="217" spans="1:19" ht="15">
      <c r="A217" s="105">
        <v>5</v>
      </c>
      <c r="B217" s="129" t="str">
        <f t="shared" si="13"/>
        <v>393</v>
      </c>
      <c r="C217" s="107" t="s">
        <v>422</v>
      </c>
      <c r="D217" s="107" t="s">
        <v>418</v>
      </c>
      <c r="E217" s="120">
        <v>1028665.9292307594</v>
      </c>
      <c r="F217" s="120" t="s">
        <v>250</v>
      </c>
      <c r="G217" s="120">
        <v>967945.71220815065</v>
      </c>
      <c r="H217" s="120" t="s">
        <v>250</v>
      </c>
      <c r="I217" s="120">
        <v>48940.724630591561</v>
      </c>
      <c r="J217" s="120">
        <v>11779.492392017179</v>
      </c>
      <c r="K217" s="120" t="s">
        <v>250</v>
      </c>
      <c r="L217" s="120" t="s">
        <v>250</v>
      </c>
      <c r="M217" s="120">
        <v>0</v>
      </c>
      <c r="N217" s="120" t="s">
        <v>250</v>
      </c>
      <c r="O217" s="120">
        <v>11779.492392017179</v>
      </c>
      <c r="P217" s="120">
        <v>6141.965299855603</v>
      </c>
      <c r="Q217" s="120">
        <v>5637.5270921615765</v>
      </c>
      <c r="R217" s="120"/>
      <c r="S217" s="121"/>
    </row>
    <row r="218" spans="1:19" ht="15">
      <c r="A218" s="105">
        <v>6</v>
      </c>
      <c r="B218" s="129" t="str">
        <f t="shared" si="13"/>
        <v>394</v>
      </c>
      <c r="C218" s="107" t="s">
        <v>423</v>
      </c>
      <c r="D218" s="107" t="s">
        <v>418</v>
      </c>
      <c r="E218" s="120">
        <v>18691643.190769225</v>
      </c>
      <c r="F218" s="120" t="s">
        <v>250</v>
      </c>
      <c r="G218" s="120">
        <v>17588310.613300268</v>
      </c>
      <c r="H218" s="120" t="s">
        <v>250</v>
      </c>
      <c r="I218" s="120">
        <v>889290.23145229137</v>
      </c>
      <c r="J218" s="120">
        <v>214042.34601666633</v>
      </c>
      <c r="K218" s="120" t="s">
        <v>250</v>
      </c>
      <c r="L218" s="120" t="s">
        <v>250</v>
      </c>
      <c r="M218" s="120">
        <v>0</v>
      </c>
      <c r="N218" s="120" t="s">
        <v>250</v>
      </c>
      <c r="O218" s="120">
        <v>214042.34601666633</v>
      </c>
      <c r="P218" s="120">
        <v>111604.18617231476</v>
      </c>
      <c r="Q218" s="120">
        <v>102438.15984435155</v>
      </c>
      <c r="R218" s="120"/>
      <c r="S218" s="121"/>
    </row>
    <row r="219" spans="1:19" ht="15">
      <c r="A219" s="105">
        <v>7</v>
      </c>
      <c r="B219" s="129" t="str">
        <f t="shared" si="13"/>
        <v>395</v>
      </c>
      <c r="C219" s="107" t="s">
        <v>424</v>
      </c>
      <c r="D219" s="107" t="s">
        <v>418</v>
      </c>
      <c r="E219" s="120">
        <v>0</v>
      </c>
      <c r="F219" s="120" t="s">
        <v>250</v>
      </c>
      <c r="G219" s="120">
        <v>0</v>
      </c>
      <c r="H219" s="120" t="s">
        <v>250</v>
      </c>
      <c r="I219" s="120">
        <v>0</v>
      </c>
      <c r="J219" s="120">
        <v>0</v>
      </c>
      <c r="K219" s="120" t="s">
        <v>250</v>
      </c>
      <c r="L219" s="120" t="s">
        <v>250</v>
      </c>
      <c r="M219" s="120">
        <v>0</v>
      </c>
      <c r="N219" s="120" t="s">
        <v>250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3"/>
        <v>396</v>
      </c>
      <c r="C220" s="107" t="s">
        <v>425</v>
      </c>
      <c r="D220" s="107" t="s">
        <v>418</v>
      </c>
      <c r="E220" s="120">
        <v>5841644.1200000001</v>
      </c>
      <c r="F220" s="120" t="s">
        <v>250</v>
      </c>
      <c r="G220" s="120">
        <v>5496822.843572096</v>
      </c>
      <c r="H220" s="120" t="s">
        <v>250</v>
      </c>
      <c r="I220" s="120">
        <v>277927.25329264795</v>
      </c>
      <c r="J220" s="120">
        <v>66894.023135255862</v>
      </c>
      <c r="K220" s="120" t="s">
        <v>250</v>
      </c>
      <c r="L220" s="120" t="s">
        <v>250</v>
      </c>
      <c r="M220" s="120">
        <v>0</v>
      </c>
      <c r="N220" s="120" t="s">
        <v>250</v>
      </c>
      <c r="O220" s="120">
        <v>66894.023135255862</v>
      </c>
      <c r="P220" s="120">
        <v>34879.327155295316</v>
      </c>
      <c r="Q220" s="120">
        <v>32014.695979960543</v>
      </c>
      <c r="R220" s="120"/>
      <c r="S220" s="121"/>
    </row>
    <row r="221" spans="1:19" ht="15">
      <c r="A221" s="105" t="s">
        <v>250</v>
      </c>
      <c r="B221" s="105"/>
      <c r="C221" s="107" t="s">
        <v>426</v>
      </c>
      <c r="D221" s="107" t="s">
        <v>250</v>
      </c>
      <c r="E221" s="120" t="s">
        <v>250</v>
      </c>
      <c r="F221" s="120" t="s">
        <v>250</v>
      </c>
      <c r="G221" s="120" t="s">
        <v>250</v>
      </c>
      <c r="H221" s="120" t="s">
        <v>250</v>
      </c>
      <c r="I221" s="120" t="s">
        <v>250</v>
      </c>
      <c r="J221" s="120" t="s">
        <v>250</v>
      </c>
      <c r="K221" s="120" t="s">
        <v>250</v>
      </c>
      <c r="L221" s="120" t="s">
        <v>250</v>
      </c>
      <c r="M221" s="120" t="s">
        <v>250</v>
      </c>
      <c r="N221" s="120" t="s">
        <v>250</v>
      </c>
      <c r="O221" s="120" t="s">
        <v>250</v>
      </c>
      <c r="P221" s="120" t="s">
        <v>250</v>
      </c>
      <c r="Q221" s="120" t="s">
        <v>250</v>
      </c>
      <c r="R221" s="120"/>
      <c r="S221" s="121"/>
    </row>
    <row r="222" spans="1:19" ht="15">
      <c r="A222" s="105">
        <v>9</v>
      </c>
      <c r="B222" s="105"/>
      <c r="C222" s="107" t="s">
        <v>427</v>
      </c>
      <c r="D222" s="107" t="s">
        <v>428</v>
      </c>
      <c r="E222" s="120">
        <v>7637963.2915384527</v>
      </c>
      <c r="F222" s="120" t="s">
        <v>250</v>
      </c>
      <c r="G222" s="120">
        <v>7637963.2915384527</v>
      </c>
      <c r="H222" s="120" t="s">
        <v>250</v>
      </c>
      <c r="I222" s="120">
        <v>0</v>
      </c>
      <c r="J222" s="120">
        <v>0</v>
      </c>
      <c r="K222" s="120" t="s">
        <v>250</v>
      </c>
      <c r="L222" s="120" t="s">
        <v>250</v>
      </c>
      <c r="M222" s="120">
        <v>0</v>
      </c>
      <c r="N222" s="120" t="s">
        <v>250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376</v>
      </c>
      <c r="D223" s="107" t="s">
        <v>418</v>
      </c>
      <c r="E223" s="120">
        <v>69550523.006922975</v>
      </c>
      <c r="F223" s="120" t="s">
        <v>250</v>
      </c>
      <c r="G223" s="120">
        <v>65445086.313618302</v>
      </c>
      <c r="H223" s="120" t="s">
        <v>250</v>
      </c>
      <c r="I223" s="120">
        <v>3308997.5060619097</v>
      </c>
      <c r="J223" s="120">
        <v>796439.18724276044</v>
      </c>
      <c r="K223" s="120" t="s">
        <v>250</v>
      </c>
      <c r="L223" s="120" t="s">
        <v>250</v>
      </c>
      <c r="M223" s="120">
        <v>0</v>
      </c>
      <c r="N223" s="120" t="s">
        <v>250</v>
      </c>
      <c r="O223" s="120">
        <v>796439.18724276044</v>
      </c>
      <c r="P223" s="120">
        <v>415272.72047862445</v>
      </c>
      <c r="Q223" s="120">
        <v>381166.46676413598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429</v>
      </c>
      <c r="D224" s="107" t="s">
        <v>250</v>
      </c>
      <c r="E224" s="120">
        <v>77188486.298461422</v>
      </c>
      <c r="F224" s="120" t="s">
        <v>250</v>
      </c>
      <c r="G224" s="120">
        <v>73083049.605156749</v>
      </c>
      <c r="H224" s="120" t="s">
        <v>250</v>
      </c>
      <c r="I224" s="120">
        <v>3308997.5060619097</v>
      </c>
      <c r="J224" s="120">
        <v>796439.18724276044</v>
      </c>
      <c r="K224" s="120" t="s">
        <v>250</v>
      </c>
      <c r="L224" s="120" t="s">
        <v>250</v>
      </c>
      <c r="M224" s="120">
        <v>0</v>
      </c>
      <c r="N224" s="120" t="s">
        <v>250</v>
      </c>
      <c r="O224" s="120">
        <v>796439.18724276044</v>
      </c>
      <c r="P224" s="120">
        <v>415272.72047862445</v>
      </c>
      <c r="Q224" s="120">
        <v>381166.46676413598</v>
      </c>
      <c r="R224" s="120"/>
      <c r="S224" s="121"/>
    </row>
    <row r="225" spans="1:19" ht="15">
      <c r="A225" s="105">
        <v>12</v>
      </c>
      <c r="B225" s="129" t="str">
        <f t="shared" ref="B225" si="14">MID(C225,2,3)</f>
        <v>398</v>
      </c>
      <c r="C225" s="107" t="s">
        <v>430</v>
      </c>
      <c r="D225" s="107" t="s">
        <v>418</v>
      </c>
      <c r="E225" s="120">
        <v>0</v>
      </c>
      <c r="F225" s="120" t="s">
        <v>250</v>
      </c>
      <c r="G225" s="120">
        <v>0</v>
      </c>
      <c r="H225" s="120" t="s">
        <v>250</v>
      </c>
      <c r="I225" s="120">
        <v>0</v>
      </c>
      <c r="J225" s="120">
        <v>0</v>
      </c>
      <c r="K225" s="120" t="s">
        <v>250</v>
      </c>
      <c r="L225" s="120" t="s">
        <v>250</v>
      </c>
      <c r="M225" s="120">
        <v>0</v>
      </c>
      <c r="N225" s="120" t="s">
        <v>250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431</v>
      </c>
      <c r="D226" s="107" t="s">
        <v>250</v>
      </c>
      <c r="E226" s="120">
        <v>267920720.23692286</v>
      </c>
      <c r="F226" s="120" t="s">
        <v>250</v>
      </c>
      <c r="G226" s="120">
        <v>252556718.14463496</v>
      </c>
      <c r="H226" s="120" t="s">
        <v>250</v>
      </c>
      <c r="I226" s="120">
        <v>12383443.809868475</v>
      </c>
      <c r="J226" s="120">
        <v>2980558.2824194236</v>
      </c>
      <c r="K226" s="120" t="s">
        <v>250</v>
      </c>
      <c r="L226" s="120" t="s">
        <v>250</v>
      </c>
      <c r="M226" s="120">
        <v>0</v>
      </c>
      <c r="N226" s="120" t="s">
        <v>250</v>
      </c>
      <c r="O226" s="120">
        <v>2980558.2824194236</v>
      </c>
      <c r="P226" s="120">
        <v>1554097.9980787118</v>
      </c>
      <c r="Q226" s="120">
        <v>1426460.2843407118</v>
      </c>
      <c r="R226" s="120"/>
      <c r="S226" s="121"/>
    </row>
    <row r="227" spans="1:19" ht="15">
      <c r="A227" s="105" t="s">
        <v>250</v>
      </c>
      <c r="B227" s="105"/>
      <c r="C227" s="107" t="s">
        <v>250</v>
      </c>
      <c r="D227" s="107" t="s">
        <v>250</v>
      </c>
      <c r="E227" s="120" t="s">
        <v>250</v>
      </c>
      <c r="F227" s="120" t="s">
        <v>250</v>
      </c>
      <c r="G227" s="120" t="s">
        <v>250</v>
      </c>
      <c r="H227" s="120" t="s">
        <v>250</v>
      </c>
      <c r="I227" s="120" t="s">
        <v>250</v>
      </c>
      <c r="J227" s="120" t="s">
        <v>250</v>
      </c>
      <c r="K227" s="120" t="s">
        <v>250</v>
      </c>
      <c r="L227" s="120" t="s">
        <v>250</v>
      </c>
      <c r="M227" s="120" t="s">
        <v>250</v>
      </c>
      <c r="N227" s="120" t="s">
        <v>250</v>
      </c>
      <c r="O227" s="120" t="s">
        <v>250</v>
      </c>
      <c r="P227" s="120" t="s">
        <v>250</v>
      </c>
      <c r="Q227" s="120" t="s">
        <v>250</v>
      </c>
      <c r="R227" s="120"/>
      <c r="S227" s="121"/>
    </row>
    <row r="228" spans="1:19" ht="15">
      <c r="A228" s="105" t="s">
        <v>250</v>
      </c>
      <c r="B228" s="105"/>
      <c r="C228" s="107" t="s">
        <v>432</v>
      </c>
      <c r="D228" s="107" t="s">
        <v>250</v>
      </c>
      <c r="E228" s="120" t="s">
        <v>250</v>
      </c>
      <c r="F228" s="120" t="s">
        <v>250</v>
      </c>
      <c r="G228" s="120" t="s">
        <v>250</v>
      </c>
      <c r="H228" s="120" t="s">
        <v>250</v>
      </c>
      <c r="I228" s="120" t="s">
        <v>250</v>
      </c>
      <c r="J228" s="120" t="s">
        <v>250</v>
      </c>
      <c r="K228" s="120" t="s">
        <v>250</v>
      </c>
      <c r="L228" s="120" t="s">
        <v>250</v>
      </c>
      <c r="M228" s="120" t="s">
        <v>250</v>
      </c>
      <c r="N228" s="120" t="s">
        <v>250</v>
      </c>
      <c r="O228" s="120" t="s">
        <v>250</v>
      </c>
      <c r="P228" s="120" t="s">
        <v>250</v>
      </c>
      <c r="Q228" s="120" t="s">
        <v>250</v>
      </c>
      <c r="R228" s="120"/>
      <c r="S228" s="121"/>
    </row>
    <row r="229" spans="1:19" ht="15">
      <c r="A229" s="105">
        <v>14</v>
      </c>
      <c r="B229" s="105"/>
      <c r="C229" s="107" t="s">
        <v>433</v>
      </c>
      <c r="D229" s="107" t="s">
        <v>303</v>
      </c>
      <c r="E229" s="120">
        <v>309541.00000000012</v>
      </c>
      <c r="F229" s="120" t="s">
        <v>250</v>
      </c>
      <c r="G229" s="120">
        <v>290384.43247041933</v>
      </c>
      <c r="H229" s="120" t="s">
        <v>250</v>
      </c>
      <c r="I229" s="120">
        <v>13150.887810341294</v>
      </c>
      <c r="J229" s="120">
        <v>6005.6797192394515</v>
      </c>
      <c r="K229" s="120" t="s">
        <v>250</v>
      </c>
      <c r="L229" s="120" t="s">
        <v>250</v>
      </c>
      <c r="M229" s="120">
        <v>0</v>
      </c>
      <c r="N229" s="120" t="s">
        <v>250</v>
      </c>
      <c r="O229" s="120">
        <v>6005.6797192394515</v>
      </c>
      <c r="P229" s="120">
        <v>3046.41680773089</v>
      </c>
      <c r="Q229" s="120">
        <v>2959.262911508561</v>
      </c>
      <c r="R229" s="120"/>
      <c r="S229" s="121"/>
    </row>
    <row r="230" spans="1:19" ht="15">
      <c r="A230" s="105">
        <v>15</v>
      </c>
      <c r="B230" s="105"/>
      <c r="C230" s="107" t="s">
        <v>434</v>
      </c>
      <c r="D230" s="107" t="s">
        <v>340</v>
      </c>
      <c r="E230" s="120">
        <v>0</v>
      </c>
      <c r="F230" s="120" t="s">
        <v>250</v>
      </c>
      <c r="G230" s="120">
        <v>0</v>
      </c>
      <c r="H230" s="120" t="s">
        <v>250</v>
      </c>
      <c r="I230" s="120">
        <v>0</v>
      </c>
      <c r="J230" s="120">
        <v>0</v>
      </c>
      <c r="K230" s="120" t="s">
        <v>250</v>
      </c>
      <c r="L230" s="120" t="s">
        <v>250</v>
      </c>
      <c r="M230" s="120">
        <v>0</v>
      </c>
      <c r="N230" s="120" t="s">
        <v>250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435</v>
      </c>
      <c r="D231" s="107" t="s">
        <v>2216</v>
      </c>
      <c r="E231" s="120">
        <v>1471422.1299999997</v>
      </c>
      <c r="F231" s="120" t="s">
        <v>250</v>
      </c>
      <c r="G231" s="120">
        <v>906481.17661338171</v>
      </c>
      <c r="H231" s="120" t="s">
        <v>250</v>
      </c>
      <c r="I231" s="120">
        <v>564940.95338661794</v>
      </c>
      <c r="J231" s="120">
        <v>0</v>
      </c>
      <c r="K231" s="120" t="s">
        <v>250</v>
      </c>
      <c r="L231" s="120" t="s">
        <v>250</v>
      </c>
      <c r="M231" s="120">
        <v>0</v>
      </c>
      <c r="N231" s="120" t="s">
        <v>250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436</v>
      </c>
      <c r="D232" s="107" t="s">
        <v>418</v>
      </c>
      <c r="E232" s="120">
        <v>0</v>
      </c>
      <c r="F232" s="120" t="s">
        <v>250</v>
      </c>
      <c r="G232" s="120">
        <v>0</v>
      </c>
      <c r="H232" s="120" t="s">
        <v>250</v>
      </c>
      <c r="I232" s="120">
        <v>0</v>
      </c>
      <c r="J232" s="120">
        <v>0</v>
      </c>
      <c r="K232" s="120" t="s">
        <v>250</v>
      </c>
      <c r="L232" s="120" t="s">
        <v>250</v>
      </c>
      <c r="M232" s="120">
        <v>0</v>
      </c>
      <c r="N232" s="120" t="s">
        <v>250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437</v>
      </c>
      <c r="D233" s="107" t="s">
        <v>250</v>
      </c>
      <c r="E233" s="120">
        <v>1780963.13</v>
      </c>
      <c r="F233" s="120" t="s">
        <v>250</v>
      </c>
      <c r="G233" s="120">
        <v>1196865.609083801</v>
      </c>
      <c r="H233" s="120" t="s">
        <v>250</v>
      </c>
      <c r="I233" s="120">
        <v>578091.84119695926</v>
      </c>
      <c r="J233" s="120">
        <v>6005.6797192394515</v>
      </c>
      <c r="K233" s="120" t="s">
        <v>250</v>
      </c>
      <c r="L233" s="120" t="s">
        <v>250</v>
      </c>
      <c r="M233" s="120">
        <v>0</v>
      </c>
      <c r="N233" s="120" t="s">
        <v>250</v>
      </c>
      <c r="O233" s="120">
        <v>6005.6797192394515</v>
      </c>
      <c r="P233" s="120">
        <v>3046.41680773089</v>
      </c>
      <c r="Q233" s="120">
        <v>2959.262911508561</v>
      </c>
      <c r="R233" s="120"/>
      <c r="S233" s="121"/>
    </row>
    <row r="234" spans="1:19" ht="15">
      <c r="A234" s="105" t="s">
        <v>250</v>
      </c>
      <c r="B234" s="105"/>
      <c r="C234" s="107" t="s">
        <v>250</v>
      </c>
      <c r="D234" s="107" t="s">
        <v>250</v>
      </c>
      <c r="E234" s="120" t="s">
        <v>250</v>
      </c>
      <c r="F234" s="120" t="s">
        <v>250</v>
      </c>
      <c r="G234" s="120" t="s">
        <v>250</v>
      </c>
      <c r="H234" s="120" t="s">
        <v>250</v>
      </c>
      <c r="I234" s="120" t="s">
        <v>250</v>
      </c>
      <c r="J234" s="120" t="s">
        <v>250</v>
      </c>
      <c r="K234" s="120" t="s">
        <v>250</v>
      </c>
      <c r="L234" s="120" t="s">
        <v>250</v>
      </c>
      <c r="M234" s="120" t="s">
        <v>250</v>
      </c>
      <c r="N234" s="120" t="s">
        <v>250</v>
      </c>
      <c r="O234" s="120" t="s">
        <v>250</v>
      </c>
      <c r="P234" s="120" t="s">
        <v>250</v>
      </c>
      <c r="Q234" s="120" t="s">
        <v>250</v>
      </c>
      <c r="R234" s="120"/>
      <c r="S234" s="121"/>
    </row>
    <row r="235" spans="1:19" ht="15">
      <c r="A235" s="105">
        <v>19</v>
      </c>
      <c r="B235" s="105"/>
      <c r="C235" s="107" t="s">
        <v>438</v>
      </c>
      <c r="D235" s="107" t="s">
        <v>250</v>
      </c>
      <c r="E235" s="120">
        <v>10907444067.867552</v>
      </c>
      <c r="F235" s="120" t="s">
        <v>250</v>
      </c>
      <c r="G235" s="120">
        <v>10194926070.146112</v>
      </c>
      <c r="H235" s="120" t="s">
        <v>250</v>
      </c>
      <c r="I235" s="120">
        <v>568609349.45916653</v>
      </c>
      <c r="J235" s="120">
        <v>143908648.26227397</v>
      </c>
      <c r="K235" s="120" t="s">
        <v>250</v>
      </c>
      <c r="L235" s="120" t="s">
        <v>250</v>
      </c>
      <c r="M235" s="120">
        <v>0</v>
      </c>
      <c r="N235" s="120" t="s">
        <v>250</v>
      </c>
      <c r="O235" s="120">
        <v>143908648.26227397</v>
      </c>
      <c r="P235" s="120">
        <v>75298903.356376141</v>
      </c>
      <c r="Q235" s="120">
        <v>68609744.905897826</v>
      </c>
      <c r="R235" s="120"/>
      <c r="S235" s="121"/>
    </row>
    <row r="236" spans="1:19" ht="15">
      <c r="A236" s="105" t="s">
        <v>250</v>
      </c>
      <c r="B236" s="105"/>
      <c r="C236" s="107" t="s">
        <v>250</v>
      </c>
      <c r="D236" s="107" t="s">
        <v>250</v>
      </c>
      <c r="E236" s="120" t="s">
        <v>250</v>
      </c>
      <c r="F236" s="120" t="s">
        <v>250</v>
      </c>
      <c r="G236" s="120" t="s">
        <v>250</v>
      </c>
      <c r="H236" s="120" t="s">
        <v>250</v>
      </c>
      <c r="I236" s="120" t="s">
        <v>250</v>
      </c>
      <c r="J236" s="120" t="s">
        <v>250</v>
      </c>
      <c r="K236" s="120" t="s">
        <v>250</v>
      </c>
      <c r="L236" s="120" t="s">
        <v>250</v>
      </c>
      <c r="M236" s="120" t="s">
        <v>250</v>
      </c>
      <c r="N236" s="120" t="s">
        <v>250</v>
      </c>
      <c r="O236" s="120" t="s">
        <v>250</v>
      </c>
      <c r="P236" s="120" t="s">
        <v>250</v>
      </c>
      <c r="Q236" s="120" t="s">
        <v>250</v>
      </c>
      <c r="R236" s="120"/>
      <c r="S236" s="121"/>
    </row>
    <row r="237" spans="1:19" ht="15">
      <c r="A237" s="105" t="s">
        <v>250</v>
      </c>
      <c r="B237" s="105"/>
      <c r="C237" s="107" t="s">
        <v>336</v>
      </c>
      <c r="D237" s="107" t="s">
        <v>250</v>
      </c>
      <c r="E237" s="120" t="s">
        <v>250</v>
      </c>
      <c r="F237" s="120" t="s">
        <v>250</v>
      </c>
      <c r="G237" s="120" t="s">
        <v>250</v>
      </c>
      <c r="H237" s="120" t="s">
        <v>250</v>
      </c>
      <c r="I237" s="120" t="s">
        <v>250</v>
      </c>
      <c r="J237" s="120" t="s">
        <v>250</v>
      </c>
      <c r="K237" s="120" t="s">
        <v>250</v>
      </c>
      <c r="L237" s="120" t="s">
        <v>250</v>
      </c>
      <c r="M237" s="120" t="s">
        <v>250</v>
      </c>
      <c r="N237" s="120" t="s">
        <v>250</v>
      </c>
      <c r="O237" s="120" t="s">
        <v>250</v>
      </c>
      <c r="P237" s="120" t="s">
        <v>250</v>
      </c>
      <c r="Q237" s="120" t="s">
        <v>250</v>
      </c>
      <c r="R237" s="120"/>
      <c r="S237" s="121"/>
    </row>
    <row r="238" spans="1:19" ht="15">
      <c r="A238" s="105" t="s">
        <v>250</v>
      </c>
      <c r="B238" s="105"/>
      <c r="C238" s="107" t="s">
        <v>250</v>
      </c>
      <c r="D238" s="107" t="s">
        <v>250</v>
      </c>
      <c r="E238" s="120" t="s">
        <v>250</v>
      </c>
      <c r="F238" s="120" t="s">
        <v>250</v>
      </c>
      <c r="G238" s="120" t="s">
        <v>250</v>
      </c>
      <c r="H238" s="120" t="s">
        <v>250</v>
      </c>
      <c r="I238" s="120" t="s">
        <v>250</v>
      </c>
      <c r="J238" s="120" t="s">
        <v>250</v>
      </c>
      <c r="K238" s="120" t="s">
        <v>250</v>
      </c>
      <c r="L238" s="120" t="s">
        <v>250</v>
      </c>
      <c r="M238" s="120" t="s">
        <v>250</v>
      </c>
      <c r="N238" s="120" t="s">
        <v>250</v>
      </c>
      <c r="O238" s="120" t="s">
        <v>250</v>
      </c>
      <c r="P238" s="120" t="s">
        <v>250</v>
      </c>
      <c r="Q238" s="120" t="s">
        <v>250</v>
      </c>
      <c r="R238" s="120"/>
      <c r="S238" s="121"/>
    </row>
    <row r="239" spans="1:19" ht="15">
      <c r="A239" s="105" t="s">
        <v>250</v>
      </c>
      <c r="B239" s="105"/>
      <c r="C239" s="107" t="s">
        <v>439</v>
      </c>
      <c r="D239" s="107" t="s">
        <v>250</v>
      </c>
      <c r="E239" s="120" t="s">
        <v>250</v>
      </c>
      <c r="F239" s="120" t="s">
        <v>250</v>
      </c>
      <c r="G239" s="120" t="s">
        <v>250</v>
      </c>
      <c r="H239" s="120" t="s">
        <v>250</v>
      </c>
      <c r="I239" s="120" t="s">
        <v>250</v>
      </c>
      <c r="J239" s="120" t="s">
        <v>250</v>
      </c>
      <c r="K239" s="120" t="s">
        <v>250</v>
      </c>
      <c r="L239" s="120" t="s">
        <v>250</v>
      </c>
      <c r="M239" s="120" t="s">
        <v>250</v>
      </c>
      <c r="N239" s="120" t="s">
        <v>250</v>
      </c>
      <c r="O239" s="120" t="s">
        <v>250</v>
      </c>
      <c r="P239" s="120" t="s">
        <v>250</v>
      </c>
      <c r="Q239" s="120" t="s">
        <v>250</v>
      </c>
      <c r="R239" s="120"/>
      <c r="S239" s="121"/>
    </row>
    <row r="240" spans="1:19" ht="15">
      <c r="A240" s="105" t="s">
        <v>250</v>
      </c>
      <c r="B240" s="105"/>
      <c r="C240" s="107" t="s">
        <v>250</v>
      </c>
      <c r="D240" s="107" t="s">
        <v>250</v>
      </c>
      <c r="E240" s="120" t="s">
        <v>250</v>
      </c>
      <c r="F240" s="120" t="s">
        <v>250</v>
      </c>
      <c r="G240" s="120" t="s">
        <v>250</v>
      </c>
      <c r="H240" s="120" t="s">
        <v>250</v>
      </c>
      <c r="I240" s="120" t="s">
        <v>250</v>
      </c>
      <c r="J240" s="120" t="s">
        <v>250</v>
      </c>
      <c r="K240" s="120" t="s">
        <v>250</v>
      </c>
      <c r="L240" s="120" t="s">
        <v>250</v>
      </c>
      <c r="M240" s="120" t="s">
        <v>250</v>
      </c>
      <c r="N240" s="120" t="s">
        <v>250</v>
      </c>
      <c r="O240" s="120" t="s">
        <v>250</v>
      </c>
      <c r="P240" s="120" t="s">
        <v>250</v>
      </c>
      <c r="Q240" s="120" t="s">
        <v>250</v>
      </c>
      <c r="R240" s="120"/>
      <c r="S240" s="121"/>
    </row>
    <row r="241" spans="1:19" ht="15">
      <c r="A241" s="105" t="s">
        <v>250</v>
      </c>
      <c r="B241" s="105"/>
      <c r="C241" s="107" t="s">
        <v>440</v>
      </c>
      <c r="D241" s="107" t="s">
        <v>250</v>
      </c>
      <c r="E241" s="120" t="s">
        <v>250</v>
      </c>
      <c r="F241" s="120" t="s">
        <v>250</v>
      </c>
      <c r="G241" s="120" t="s">
        <v>250</v>
      </c>
      <c r="H241" s="120" t="s">
        <v>250</v>
      </c>
      <c r="I241" s="120" t="s">
        <v>250</v>
      </c>
      <c r="J241" s="120" t="s">
        <v>250</v>
      </c>
      <c r="K241" s="120" t="s">
        <v>250</v>
      </c>
      <c r="L241" s="120" t="s">
        <v>250</v>
      </c>
      <c r="M241" s="120" t="s">
        <v>250</v>
      </c>
      <c r="N241" s="120" t="s">
        <v>250</v>
      </c>
      <c r="O241" s="120" t="s">
        <v>250</v>
      </c>
      <c r="P241" s="120" t="s">
        <v>250</v>
      </c>
      <c r="Q241" s="120" t="s">
        <v>250</v>
      </c>
      <c r="R241" s="120"/>
      <c r="S241" s="121"/>
    </row>
    <row r="242" spans="1:19" ht="15">
      <c r="A242" s="105" t="s">
        <v>250</v>
      </c>
      <c r="B242" s="105"/>
      <c r="C242" s="107" t="s">
        <v>441</v>
      </c>
      <c r="D242" s="107" t="s">
        <v>250</v>
      </c>
      <c r="E242" s="120" t="s">
        <v>250</v>
      </c>
      <c r="F242" s="120" t="s">
        <v>250</v>
      </c>
      <c r="G242" s="120" t="s">
        <v>250</v>
      </c>
      <c r="H242" s="120" t="s">
        <v>250</v>
      </c>
      <c r="I242" s="120" t="s">
        <v>250</v>
      </c>
      <c r="J242" s="120" t="s">
        <v>250</v>
      </c>
      <c r="K242" s="120" t="s">
        <v>250</v>
      </c>
      <c r="L242" s="120" t="s">
        <v>250</v>
      </c>
      <c r="M242" s="120" t="s">
        <v>250</v>
      </c>
      <c r="N242" s="120" t="s">
        <v>250</v>
      </c>
      <c r="O242" s="120" t="s">
        <v>250</v>
      </c>
      <c r="P242" s="120" t="s">
        <v>250</v>
      </c>
      <c r="Q242" s="120" t="s">
        <v>250</v>
      </c>
      <c r="R242" s="120"/>
      <c r="S242" s="121"/>
    </row>
    <row r="243" spans="1:19" ht="15">
      <c r="A243" s="105">
        <v>1</v>
      </c>
      <c r="B243" s="105"/>
      <c r="C243" s="107" t="s">
        <v>442</v>
      </c>
      <c r="D243" s="107" t="s">
        <v>443</v>
      </c>
      <c r="E243" s="120">
        <v>2171785256.7647634</v>
      </c>
      <c r="F243" s="120" t="s">
        <v>250</v>
      </c>
      <c r="G243" s="120">
        <v>2037379956.8821564</v>
      </c>
      <c r="H243" s="120" t="s">
        <v>250</v>
      </c>
      <c r="I243" s="120">
        <v>92268566.231506139</v>
      </c>
      <c r="J243" s="120">
        <v>42136733.651100755</v>
      </c>
      <c r="K243" s="120" t="s">
        <v>250</v>
      </c>
      <c r="L243" s="120" t="s">
        <v>250</v>
      </c>
      <c r="M243" s="120">
        <v>0</v>
      </c>
      <c r="N243" s="120" t="s">
        <v>250</v>
      </c>
      <c r="O243" s="120">
        <v>42136733.651100755</v>
      </c>
      <c r="P243" s="120">
        <v>21374109.113139518</v>
      </c>
      <c r="Q243" s="120">
        <v>20762624.537961233</v>
      </c>
      <c r="R243" s="120"/>
      <c r="S243" s="121"/>
    </row>
    <row r="244" spans="1:19" ht="15">
      <c r="A244" s="105">
        <v>2</v>
      </c>
      <c r="B244" s="105"/>
      <c r="C244" s="107" t="s">
        <v>444</v>
      </c>
      <c r="D244" s="107" t="s">
        <v>311</v>
      </c>
      <c r="E244" s="120">
        <v>9027861.1555186696</v>
      </c>
      <c r="F244" s="120" t="s">
        <v>250</v>
      </c>
      <c r="G244" s="120">
        <v>4643690.8270914797</v>
      </c>
      <c r="H244" s="120" t="s">
        <v>250</v>
      </c>
      <c r="I244" s="120">
        <v>3009711.0059797317</v>
      </c>
      <c r="J244" s="120">
        <v>1374459.322447459</v>
      </c>
      <c r="K244" s="120" t="s">
        <v>250</v>
      </c>
      <c r="L244" s="120" t="s">
        <v>250</v>
      </c>
      <c r="M244" s="120">
        <v>0</v>
      </c>
      <c r="N244" s="120" t="s">
        <v>250</v>
      </c>
      <c r="O244" s="120">
        <v>1374459.322447459</v>
      </c>
      <c r="P244" s="120">
        <v>697202.67766403744</v>
      </c>
      <c r="Q244" s="120">
        <v>677256.64478342154</v>
      </c>
      <c r="R244" s="120"/>
      <c r="S244" s="121"/>
    </row>
    <row r="245" spans="1:19" ht="15">
      <c r="A245" s="105">
        <v>3</v>
      </c>
      <c r="B245" s="105"/>
      <c r="C245" s="107" t="s">
        <v>445</v>
      </c>
      <c r="D245" s="107" t="s">
        <v>313</v>
      </c>
      <c r="E245" s="120">
        <v>1947000.7597288638</v>
      </c>
      <c r="F245" s="120" t="s">
        <v>250</v>
      </c>
      <c r="G245" s="120">
        <v>1502333.6646038541</v>
      </c>
      <c r="H245" s="120" t="s">
        <v>250</v>
      </c>
      <c r="I245" s="120">
        <v>0</v>
      </c>
      <c r="J245" s="120">
        <v>444667.09512500966</v>
      </c>
      <c r="K245" s="120" t="s">
        <v>250</v>
      </c>
      <c r="L245" s="120" t="s">
        <v>250</v>
      </c>
      <c r="M245" s="120">
        <v>0</v>
      </c>
      <c r="N245" s="120" t="s">
        <v>250</v>
      </c>
      <c r="O245" s="120">
        <v>444667.09512500966</v>
      </c>
      <c r="P245" s="120">
        <v>225560.0324629448</v>
      </c>
      <c r="Q245" s="120">
        <v>219107.06266206483</v>
      </c>
      <c r="R245" s="120"/>
      <c r="S245" s="121"/>
    </row>
    <row r="246" spans="1:19" ht="15">
      <c r="A246" s="105">
        <v>4</v>
      </c>
      <c r="B246" s="105"/>
      <c r="C246" s="107" t="s">
        <v>446</v>
      </c>
      <c r="D246" s="107" t="s">
        <v>250</v>
      </c>
      <c r="E246" s="120">
        <v>2182760118.6800108</v>
      </c>
      <c r="F246" s="120" t="s">
        <v>250</v>
      </c>
      <c r="G246" s="120">
        <v>2043525981.3738518</v>
      </c>
      <c r="H246" s="120" t="s">
        <v>250</v>
      </c>
      <c r="I246" s="120">
        <v>95278277.237485871</v>
      </c>
      <c r="J246" s="120">
        <v>43955860.068673223</v>
      </c>
      <c r="K246" s="120" t="s">
        <v>250</v>
      </c>
      <c r="L246" s="120" t="s">
        <v>250</v>
      </c>
      <c r="M246" s="120">
        <v>0</v>
      </c>
      <c r="N246" s="120" t="s">
        <v>250</v>
      </c>
      <c r="O246" s="120">
        <v>43955860.068673223</v>
      </c>
      <c r="P246" s="120">
        <v>22296871.823266499</v>
      </c>
      <c r="Q246" s="120">
        <v>21658988.245406721</v>
      </c>
      <c r="R246" s="120"/>
      <c r="S246" s="121"/>
    </row>
    <row r="247" spans="1:19" ht="15">
      <c r="A247" s="105" t="s">
        <v>250</v>
      </c>
      <c r="B247" s="105"/>
      <c r="C247" s="107" t="s">
        <v>250</v>
      </c>
      <c r="D247" s="107" t="s">
        <v>250</v>
      </c>
      <c r="E247" s="120" t="s">
        <v>250</v>
      </c>
      <c r="F247" s="120" t="s">
        <v>250</v>
      </c>
      <c r="G247" s="120" t="s">
        <v>250</v>
      </c>
      <c r="H247" s="120" t="s">
        <v>250</v>
      </c>
      <c r="I247" s="120" t="s">
        <v>250</v>
      </c>
      <c r="J247" s="120" t="s">
        <v>250</v>
      </c>
      <c r="K247" s="120" t="s">
        <v>250</v>
      </c>
      <c r="L247" s="120" t="s">
        <v>250</v>
      </c>
      <c r="M247" s="120" t="s">
        <v>250</v>
      </c>
      <c r="N247" s="120" t="s">
        <v>250</v>
      </c>
      <c r="O247" s="120" t="s">
        <v>250</v>
      </c>
      <c r="P247" s="120" t="s">
        <v>250</v>
      </c>
      <c r="Q247" s="120" t="s">
        <v>250</v>
      </c>
      <c r="R247" s="120"/>
      <c r="S247" s="121"/>
    </row>
    <row r="248" spans="1:19" ht="15">
      <c r="A248" s="105" t="s">
        <v>250</v>
      </c>
      <c r="B248" s="105"/>
      <c r="C248" s="107" t="s">
        <v>447</v>
      </c>
      <c r="D248" s="107" t="s">
        <v>250</v>
      </c>
      <c r="E248" s="120" t="s">
        <v>250</v>
      </c>
      <c r="F248" s="120" t="s">
        <v>250</v>
      </c>
      <c r="G248" s="120" t="s">
        <v>250</v>
      </c>
      <c r="H248" s="120" t="s">
        <v>250</v>
      </c>
      <c r="I248" s="120" t="s">
        <v>250</v>
      </c>
      <c r="J248" s="120" t="s">
        <v>250</v>
      </c>
      <c r="K248" s="120" t="s">
        <v>250</v>
      </c>
      <c r="L248" s="120" t="s">
        <v>250</v>
      </c>
      <c r="M248" s="120" t="s">
        <v>250</v>
      </c>
      <c r="N248" s="120" t="s">
        <v>250</v>
      </c>
      <c r="O248" s="120" t="s">
        <v>250</v>
      </c>
      <c r="P248" s="120" t="s">
        <v>250</v>
      </c>
      <c r="Q248" s="120" t="s">
        <v>250</v>
      </c>
      <c r="R248" s="120"/>
      <c r="S248" s="121"/>
    </row>
    <row r="249" spans="1:19" ht="15">
      <c r="A249" s="105">
        <v>5</v>
      </c>
      <c r="B249" s="105"/>
      <c r="C249" s="107" t="s">
        <v>442</v>
      </c>
      <c r="D249" s="107" t="s">
        <v>448</v>
      </c>
      <c r="E249" s="120">
        <v>17865613.265044868</v>
      </c>
      <c r="F249" s="120" t="s">
        <v>250</v>
      </c>
      <c r="G249" s="120">
        <v>16759963.845519813</v>
      </c>
      <c r="H249" s="120" t="s">
        <v>250</v>
      </c>
      <c r="I249" s="120">
        <v>759022.79734041775</v>
      </c>
      <c r="J249" s="120">
        <v>346626.62218463881</v>
      </c>
      <c r="K249" s="120" t="s">
        <v>250</v>
      </c>
      <c r="L249" s="120" t="s">
        <v>250</v>
      </c>
      <c r="M249" s="120">
        <v>0</v>
      </c>
      <c r="N249" s="120" t="s">
        <v>250</v>
      </c>
      <c r="O249" s="120">
        <v>346626.62218463881</v>
      </c>
      <c r="P249" s="120">
        <v>175828.41862968923</v>
      </c>
      <c r="Q249" s="120">
        <v>170798.20355494958</v>
      </c>
      <c r="R249" s="120"/>
      <c r="S249" s="121"/>
    </row>
    <row r="250" spans="1:19" ht="15">
      <c r="A250" s="105">
        <v>6</v>
      </c>
      <c r="B250" s="105"/>
      <c r="C250" s="107" t="s">
        <v>444</v>
      </c>
      <c r="D250" s="107" t="s">
        <v>311</v>
      </c>
      <c r="E250" s="120">
        <v>1647.3265399999996</v>
      </c>
      <c r="F250" s="120" t="s">
        <v>250</v>
      </c>
      <c r="G250" s="120">
        <v>847.3408054515935</v>
      </c>
      <c r="H250" s="120" t="s">
        <v>250</v>
      </c>
      <c r="I250" s="120">
        <v>549.18620617572662</v>
      </c>
      <c r="J250" s="120">
        <v>250.79952837267956</v>
      </c>
      <c r="K250" s="120" t="s">
        <v>250</v>
      </c>
      <c r="L250" s="120" t="s">
        <v>250</v>
      </c>
      <c r="M250" s="120">
        <v>0</v>
      </c>
      <c r="N250" s="120" t="s">
        <v>250</v>
      </c>
      <c r="O250" s="120">
        <v>250.79952837267956</v>
      </c>
      <c r="P250" s="120">
        <v>127.21955454232381</v>
      </c>
      <c r="Q250" s="120">
        <v>123.57997383035577</v>
      </c>
      <c r="R250" s="120"/>
      <c r="S250" s="121"/>
    </row>
    <row r="251" spans="1:19" ht="15">
      <c r="A251" s="105">
        <v>7</v>
      </c>
      <c r="B251" s="105"/>
      <c r="C251" s="107" t="s">
        <v>445</v>
      </c>
      <c r="D251" s="107" t="s">
        <v>313</v>
      </c>
      <c r="E251" s="120">
        <v>6391.4432449999986</v>
      </c>
      <c r="F251" s="120" t="s">
        <v>250</v>
      </c>
      <c r="G251" s="120">
        <v>4931.7291245975512</v>
      </c>
      <c r="H251" s="120" t="s">
        <v>250</v>
      </c>
      <c r="I251" s="120">
        <v>0</v>
      </c>
      <c r="J251" s="120">
        <v>1459.7141204024472</v>
      </c>
      <c r="K251" s="120" t="s">
        <v>250</v>
      </c>
      <c r="L251" s="120" t="s">
        <v>250</v>
      </c>
      <c r="M251" s="120">
        <v>0</v>
      </c>
      <c r="N251" s="120" t="s">
        <v>250</v>
      </c>
      <c r="O251" s="120">
        <v>1459.7141204024472</v>
      </c>
      <c r="P251" s="120">
        <v>740.44868170879988</v>
      </c>
      <c r="Q251" s="120">
        <v>719.2654386936473</v>
      </c>
      <c r="R251" s="120"/>
      <c r="S251" s="121"/>
    </row>
    <row r="252" spans="1:19" ht="15">
      <c r="A252" s="105">
        <v>8</v>
      </c>
      <c r="B252" s="105"/>
      <c r="C252" s="107" t="s">
        <v>449</v>
      </c>
      <c r="D252" s="107" t="s">
        <v>250</v>
      </c>
      <c r="E252" s="120">
        <v>17873652.03482987</v>
      </c>
      <c r="F252" s="120" t="s">
        <v>250</v>
      </c>
      <c r="G252" s="120">
        <v>16765742.915449863</v>
      </c>
      <c r="H252" s="120" t="s">
        <v>250</v>
      </c>
      <c r="I252" s="120">
        <v>759571.98354659346</v>
      </c>
      <c r="J252" s="120">
        <v>348337.13583341392</v>
      </c>
      <c r="K252" s="120" t="s">
        <v>250</v>
      </c>
      <c r="L252" s="120" t="s">
        <v>250</v>
      </c>
      <c r="M252" s="120">
        <v>0</v>
      </c>
      <c r="N252" s="120" t="s">
        <v>250</v>
      </c>
      <c r="O252" s="120">
        <v>348337.13583341392</v>
      </c>
      <c r="P252" s="120">
        <v>176696.08686594036</v>
      </c>
      <c r="Q252" s="120">
        <v>171641.04896747356</v>
      </c>
      <c r="R252" s="120"/>
      <c r="S252" s="121"/>
    </row>
    <row r="253" spans="1:19" ht="15">
      <c r="A253" s="105" t="s">
        <v>250</v>
      </c>
      <c r="B253" s="105"/>
      <c r="C253" s="107" t="s">
        <v>250</v>
      </c>
      <c r="D253" s="107" t="s">
        <v>250</v>
      </c>
      <c r="E253" s="120" t="s">
        <v>250</v>
      </c>
      <c r="F253" s="120" t="s">
        <v>250</v>
      </c>
      <c r="G253" s="120" t="s">
        <v>250</v>
      </c>
      <c r="H253" s="120" t="s">
        <v>250</v>
      </c>
      <c r="I253" s="120" t="s">
        <v>250</v>
      </c>
      <c r="J253" s="120" t="s">
        <v>250</v>
      </c>
      <c r="K253" s="120" t="s">
        <v>250</v>
      </c>
      <c r="L253" s="120" t="s">
        <v>250</v>
      </c>
      <c r="M253" s="120" t="s">
        <v>250</v>
      </c>
      <c r="N253" s="120" t="s">
        <v>250</v>
      </c>
      <c r="O253" s="120" t="s">
        <v>250</v>
      </c>
      <c r="P253" s="120" t="s">
        <v>250</v>
      </c>
      <c r="Q253" s="120" t="s">
        <v>250</v>
      </c>
      <c r="R253" s="120"/>
      <c r="S253" s="121"/>
    </row>
    <row r="254" spans="1:19" ht="15">
      <c r="A254" s="105" t="s">
        <v>250</v>
      </c>
      <c r="B254" s="105"/>
      <c r="C254" s="107" t="s">
        <v>450</v>
      </c>
      <c r="D254" s="107" t="s">
        <v>250</v>
      </c>
      <c r="E254" s="120" t="s">
        <v>250</v>
      </c>
      <c r="F254" s="120" t="s">
        <v>250</v>
      </c>
      <c r="G254" s="120" t="s">
        <v>250</v>
      </c>
      <c r="H254" s="120" t="s">
        <v>250</v>
      </c>
      <c r="I254" s="120" t="s">
        <v>250</v>
      </c>
      <c r="J254" s="120" t="s">
        <v>250</v>
      </c>
      <c r="K254" s="120" t="s">
        <v>250</v>
      </c>
      <c r="L254" s="120" t="s">
        <v>250</v>
      </c>
      <c r="M254" s="120" t="s">
        <v>250</v>
      </c>
      <c r="N254" s="120" t="s">
        <v>250</v>
      </c>
      <c r="O254" s="120" t="s">
        <v>250</v>
      </c>
      <c r="P254" s="120" t="s">
        <v>250</v>
      </c>
      <c r="Q254" s="120" t="s">
        <v>250</v>
      </c>
      <c r="R254" s="120"/>
      <c r="S254" s="121"/>
    </row>
    <row r="255" spans="1:19" ht="15">
      <c r="A255" s="105">
        <v>9</v>
      </c>
      <c r="B255" s="105"/>
      <c r="C255" s="107" t="s">
        <v>442</v>
      </c>
      <c r="D255" s="107" t="s">
        <v>451</v>
      </c>
      <c r="E255" s="120">
        <v>453222838.21049476</v>
      </c>
      <c r="F255" s="120" t="s">
        <v>250</v>
      </c>
      <c r="G255" s="120">
        <v>425254873.95000082</v>
      </c>
      <c r="H255" s="120" t="s">
        <v>250</v>
      </c>
      <c r="I255" s="120">
        <v>19199867.601826083</v>
      </c>
      <c r="J255" s="120">
        <v>8768096.6586678699</v>
      </c>
      <c r="K255" s="120" t="s">
        <v>250</v>
      </c>
      <c r="L255" s="120" t="s">
        <v>250</v>
      </c>
      <c r="M255" s="120">
        <v>0</v>
      </c>
      <c r="N255" s="120" t="s">
        <v>250</v>
      </c>
      <c r="O255" s="120">
        <v>8768096.6586678699</v>
      </c>
      <c r="P255" s="120">
        <v>4447669.2533576405</v>
      </c>
      <c r="Q255" s="120">
        <v>4320427.4053102285</v>
      </c>
      <c r="R255" s="120"/>
      <c r="S255" s="121"/>
    </row>
    <row r="256" spans="1:19" ht="15">
      <c r="A256" s="105">
        <v>10</v>
      </c>
      <c r="B256" s="105"/>
      <c r="C256" s="107" t="s">
        <v>444</v>
      </c>
      <c r="D256" s="107" t="s">
        <v>311</v>
      </c>
      <c r="E256" s="120">
        <v>966.07947653333429</v>
      </c>
      <c r="F256" s="120" t="s">
        <v>250</v>
      </c>
      <c r="G256" s="120">
        <v>496.92549831438362</v>
      </c>
      <c r="H256" s="120" t="s">
        <v>250</v>
      </c>
      <c r="I256" s="120">
        <v>322.07185988855241</v>
      </c>
      <c r="J256" s="120">
        <v>147.0821183303982</v>
      </c>
      <c r="K256" s="120" t="s">
        <v>250</v>
      </c>
      <c r="L256" s="120" t="s">
        <v>250</v>
      </c>
      <c r="M256" s="120">
        <v>0</v>
      </c>
      <c r="N256" s="120" t="s">
        <v>250</v>
      </c>
      <c r="O256" s="120">
        <v>147.0821183303982</v>
      </c>
      <c r="P256" s="120">
        <v>74.608280551985871</v>
      </c>
      <c r="Q256" s="120">
        <v>72.473837778412332</v>
      </c>
      <c r="R256" s="120"/>
      <c r="S256" s="121"/>
    </row>
    <row r="257" spans="1:19" ht="15">
      <c r="A257" s="105">
        <v>11</v>
      </c>
      <c r="B257" s="105"/>
      <c r="C257" s="107" t="s">
        <v>445</v>
      </c>
      <c r="D257" s="107" t="s">
        <v>313</v>
      </c>
      <c r="E257" s="120">
        <v>485129.77819853346</v>
      </c>
      <c r="F257" s="120" t="s">
        <v>250</v>
      </c>
      <c r="G257" s="120">
        <v>374333.08325516677</v>
      </c>
      <c r="H257" s="120" t="s">
        <v>250</v>
      </c>
      <c r="I257" s="120">
        <v>0</v>
      </c>
      <c r="J257" s="120">
        <v>110796.69494336669</v>
      </c>
      <c r="K257" s="120" t="s">
        <v>250</v>
      </c>
      <c r="L257" s="120" t="s">
        <v>250</v>
      </c>
      <c r="M257" s="120">
        <v>0</v>
      </c>
      <c r="N257" s="120" t="s">
        <v>250</v>
      </c>
      <c r="O257" s="120">
        <v>110796.69494336669</v>
      </c>
      <c r="P257" s="120">
        <v>56202.283421009502</v>
      </c>
      <c r="Q257" s="120">
        <v>54594.411522357193</v>
      </c>
      <c r="R257" s="120"/>
      <c r="S257" s="121"/>
    </row>
    <row r="258" spans="1:19" ht="15">
      <c r="A258" s="105">
        <v>12</v>
      </c>
      <c r="B258" s="105"/>
      <c r="C258" s="107" t="s">
        <v>452</v>
      </c>
      <c r="D258" s="107" t="s">
        <v>250</v>
      </c>
      <c r="E258" s="120">
        <v>453708934.06816983</v>
      </c>
      <c r="F258" s="120" t="s">
        <v>250</v>
      </c>
      <c r="G258" s="120">
        <v>425629703.9587543</v>
      </c>
      <c r="H258" s="120" t="s">
        <v>250</v>
      </c>
      <c r="I258" s="120">
        <v>19200189.673685972</v>
      </c>
      <c r="J258" s="120">
        <v>8879040.4357295651</v>
      </c>
      <c r="K258" s="120" t="s">
        <v>250</v>
      </c>
      <c r="L258" s="120" t="s">
        <v>250</v>
      </c>
      <c r="M258" s="120">
        <v>0</v>
      </c>
      <c r="N258" s="120" t="s">
        <v>250</v>
      </c>
      <c r="O258" s="120">
        <v>8879040.4357295651</v>
      </c>
      <c r="P258" s="120">
        <v>4503946.1450592019</v>
      </c>
      <c r="Q258" s="120">
        <v>4375094.2906703632</v>
      </c>
      <c r="R258" s="120"/>
      <c r="S258" s="121"/>
    </row>
    <row r="259" spans="1:19" ht="15">
      <c r="A259" s="105" t="s">
        <v>250</v>
      </c>
      <c r="B259" s="105"/>
      <c r="C259" s="107" t="s">
        <v>250</v>
      </c>
      <c r="D259" s="107" t="s">
        <v>250</v>
      </c>
      <c r="E259" s="120" t="s">
        <v>250</v>
      </c>
      <c r="F259" s="120" t="s">
        <v>250</v>
      </c>
      <c r="G259" s="120" t="s">
        <v>250</v>
      </c>
      <c r="H259" s="120" t="s">
        <v>250</v>
      </c>
      <c r="I259" s="120" t="s">
        <v>250</v>
      </c>
      <c r="J259" s="120" t="s">
        <v>250</v>
      </c>
      <c r="K259" s="120" t="s">
        <v>250</v>
      </c>
      <c r="L259" s="120" t="s">
        <v>250</v>
      </c>
      <c r="M259" s="120" t="s">
        <v>250</v>
      </c>
      <c r="N259" s="120" t="s">
        <v>250</v>
      </c>
      <c r="O259" s="120" t="s">
        <v>250</v>
      </c>
      <c r="P259" s="120" t="s">
        <v>250</v>
      </c>
      <c r="Q259" s="120" t="s">
        <v>250</v>
      </c>
      <c r="R259" s="120"/>
      <c r="S259" s="121"/>
    </row>
    <row r="260" spans="1:19" ht="15">
      <c r="A260" s="105">
        <v>13</v>
      </c>
      <c r="B260" s="105"/>
      <c r="C260" s="107" t="s">
        <v>453</v>
      </c>
      <c r="D260" s="107" t="s">
        <v>250</v>
      </c>
      <c r="E260" s="120">
        <v>2654342704.783011</v>
      </c>
      <c r="F260" s="120" t="s">
        <v>250</v>
      </c>
      <c r="G260" s="120">
        <v>2485921428.2480559</v>
      </c>
      <c r="H260" s="120" t="s">
        <v>250</v>
      </c>
      <c r="I260" s="120">
        <v>115238038.89471844</v>
      </c>
      <c r="J260" s="120">
        <v>53183237.640236199</v>
      </c>
      <c r="K260" s="120" t="s">
        <v>250</v>
      </c>
      <c r="L260" s="120" t="s">
        <v>250</v>
      </c>
      <c r="M260" s="120">
        <v>0</v>
      </c>
      <c r="N260" s="120" t="s">
        <v>250</v>
      </c>
      <c r="O260" s="120">
        <v>53183237.640236199</v>
      </c>
      <c r="P260" s="120">
        <v>26977514.05519164</v>
      </c>
      <c r="Q260" s="120">
        <v>26205723.585044555</v>
      </c>
      <c r="R260" s="120"/>
      <c r="S260" s="121"/>
    </row>
    <row r="261" spans="1:19" ht="15">
      <c r="A261" s="105" t="s">
        <v>250</v>
      </c>
      <c r="B261" s="105"/>
      <c r="C261" s="107" t="s">
        <v>250</v>
      </c>
      <c r="D261" s="107" t="s">
        <v>250</v>
      </c>
      <c r="E261" s="120" t="s">
        <v>250</v>
      </c>
      <c r="F261" s="120" t="s">
        <v>250</v>
      </c>
      <c r="G261" s="120" t="s">
        <v>250</v>
      </c>
      <c r="H261" s="120" t="s">
        <v>250</v>
      </c>
      <c r="I261" s="120" t="s">
        <v>250</v>
      </c>
      <c r="J261" s="120" t="s">
        <v>250</v>
      </c>
      <c r="K261" s="120" t="s">
        <v>250</v>
      </c>
      <c r="L261" s="120" t="s">
        <v>250</v>
      </c>
      <c r="M261" s="120" t="s">
        <v>250</v>
      </c>
      <c r="N261" s="120" t="s">
        <v>250</v>
      </c>
      <c r="O261" s="120" t="s">
        <v>250</v>
      </c>
      <c r="P261" s="120" t="s">
        <v>250</v>
      </c>
      <c r="Q261" s="120" t="s">
        <v>250</v>
      </c>
      <c r="R261" s="120"/>
      <c r="S261" s="121"/>
    </row>
    <row r="262" spans="1:19" ht="15">
      <c r="A262" s="105" t="s">
        <v>250</v>
      </c>
      <c r="B262" s="105"/>
      <c r="C262" s="107" t="s">
        <v>454</v>
      </c>
      <c r="D262" s="107" t="s">
        <v>250</v>
      </c>
      <c r="E262" s="120" t="s">
        <v>250</v>
      </c>
      <c r="F262" s="120" t="s">
        <v>250</v>
      </c>
      <c r="G262" s="120" t="s">
        <v>250</v>
      </c>
      <c r="H262" s="120" t="s">
        <v>250</v>
      </c>
      <c r="I262" s="120" t="s">
        <v>250</v>
      </c>
      <c r="J262" s="120" t="s">
        <v>250</v>
      </c>
      <c r="K262" s="120" t="s">
        <v>250</v>
      </c>
      <c r="L262" s="120" t="s">
        <v>250</v>
      </c>
      <c r="M262" s="120" t="s">
        <v>250</v>
      </c>
      <c r="N262" s="120" t="s">
        <v>250</v>
      </c>
      <c r="O262" s="120" t="s">
        <v>250</v>
      </c>
      <c r="P262" s="120" t="s">
        <v>250</v>
      </c>
      <c r="Q262" s="120" t="s">
        <v>250</v>
      </c>
      <c r="R262" s="120"/>
      <c r="S262" s="121"/>
    </row>
    <row r="263" spans="1:19" ht="15">
      <c r="A263" s="105">
        <v>14</v>
      </c>
      <c r="B263" s="105"/>
      <c r="C263" s="107" t="s">
        <v>455</v>
      </c>
      <c r="D263" s="107" t="s">
        <v>456</v>
      </c>
      <c r="E263" s="120">
        <v>355712970.06108773</v>
      </c>
      <c r="F263" s="120" t="s">
        <v>250</v>
      </c>
      <c r="G263" s="120">
        <v>340198667.81309932</v>
      </c>
      <c r="H263" s="120" t="s">
        <v>250</v>
      </c>
      <c r="I263" s="120">
        <v>15514302.247988412</v>
      </c>
      <c r="J263" s="120">
        <v>0</v>
      </c>
      <c r="K263" s="120" t="s">
        <v>250</v>
      </c>
      <c r="L263" s="120" t="s">
        <v>250</v>
      </c>
      <c r="M263" s="120">
        <v>0</v>
      </c>
      <c r="N263" s="120" t="s">
        <v>250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457</v>
      </c>
      <c r="D264" s="107" t="s">
        <v>458</v>
      </c>
      <c r="E264" s="120">
        <v>32034763.706400447</v>
      </c>
      <c r="F264" s="120" t="s">
        <v>250</v>
      </c>
      <c r="G264" s="120">
        <v>2567090.5333183589</v>
      </c>
      <c r="H264" s="120" t="s">
        <v>250</v>
      </c>
      <c r="I264" s="120">
        <v>29467673.173082087</v>
      </c>
      <c r="J264" s="120">
        <v>0</v>
      </c>
      <c r="K264" s="120" t="s">
        <v>250</v>
      </c>
      <c r="L264" s="120" t="s">
        <v>250</v>
      </c>
      <c r="M264" s="120">
        <v>0</v>
      </c>
      <c r="N264" s="120" t="s">
        <v>250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459</v>
      </c>
      <c r="D265" s="107" t="s">
        <v>311</v>
      </c>
      <c r="E265" s="120">
        <v>1330436.9658828003</v>
      </c>
      <c r="F265" s="120" t="s">
        <v>250</v>
      </c>
      <c r="G265" s="120">
        <v>684341.26622746361</v>
      </c>
      <c r="H265" s="120" t="s">
        <v>250</v>
      </c>
      <c r="I265" s="120">
        <v>443541.4667993632</v>
      </c>
      <c r="J265" s="120">
        <v>202554.23285597353</v>
      </c>
      <c r="K265" s="120" t="s">
        <v>250</v>
      </c>
      <c r="L265" s="120" t="s">
        <v>250</v>
      </c>
      <c r="M265" s="120">
        <v>0</v>
      </c>
      <c r="N265" s="120" t="s">
        <v>250</v>
      </c>
      <c r="O265" s="120">
        <v>202554.23285597353</v>
      </c>
      <c r="P265" s="120">
        <v>102746.84103993782</v>
      </c>
      <c r="Q265" s="120">
        <v>99807.391816035713</v>
      </c>
      <c r="R265" s="120"/>
      <c r="S265" s="121"/>
    </row>
    <row r="266" spans="1:19" ht="15">
      <c r="A266" s="105">
        <v>17</v>
      </c>
      <c r="B266" s="105"/>
      <c r="C266" s="107" t="s">
        <v>460</v>
      </c>
      <c r="D266" s="107" t="s">
        <v>313</v>
      </c>
      <c r="E266" s="120">
        <v>92252.617435733482</v>
      </c>
      <c r="F266" s="120" t="s">
        <v>250</v>
      </c>
      <c r="G266" s="120">
        <v>71183.440545150734</v>
      </c>
      <c r="H266" s="120" t="s">
        <v>250</v>
      </c>
      <c r="I266" s="120">
        <v>0</v>
      </c>
      <c r="J266" s="120">
        <v>21069.176890582745</v>
      </c>
      <c r="K266" s="120" t="s">
        <v>250</v>
      </c>
      <c r="L266" s="120" t="s">
        <v>250</v>
      </c>
      <c r="M266" s="120">
        <v>0</v>
      </c>
      <c r="N266" s="120" t="s">
        <v>250</v>
      </c>
      <c r="O266" s="120">
        <v>21069.176890582745</v>
      </c>
      <c r="P266" s="120">
        <v>10687.465466882217</v>
      </c>
      <c r="Q266" s="120">
        <v>10381.711423700528</v>
      </c>
      <c r="R266" s="120"/>
      <c r="S266" s="121"/>
    </row>
    <row r="267" spans="1:19" ht="15">
      <c r="A267" s="105">
        <v>18</v>
      </c>
      <c r="B267" s="105"/>
      <c r="C267" s="107" t="s">
        <v>461</v>
      </c>
      <c r="D267" s="107" t="s">
        <v>250</v>
      </c>
      <c r="E267" s="120">
        <v>389170423.35080671</v>
      </c>
      <c r="F267" s="120" t="s">
        <v>250</v>
      </c>
      <c r="G267" s="120">
        <v>343521283.05319029</v>
      </c>
      <c r="H267" s="120" t="s">
        <v>250</v>
      </c>
      <c r="I267" s="120">
        <v>45425516.887869865</v>
      </c>
      <c r="J267" s="120">
        <v>223623.40974655628</v>
      </c>
      <c r="K267" s="120" t="s">
        <v>250</v>
      </c>
      <c r="L267" s="120" t="s">
        <v>250</v>
      </c>
      <c r="M267" s="120">
        <v>0</v>
      </c>
      <c r="N267" s="120" t="s">
        <v>250</v>
      </c>
      <c r="O267" s="120">
        <v>223623.40974655628</v>
      </c>
      <c r="P267" s="120">
        <v>113434.30650682004</v>
      </c>
      <c r="Q267" s="120">
        <v>110189.10323973624</v>
      </c>
      <c r="R267" s="120"/>
      <c r="S267" s="121"/>
    </row>
    <row r="268" spans="1:19" ht="15">
      <c r="A268" s="105" t="s">
        <v>250</v>
      </c>
      <c r="B268" s="105"/>
      <c r="C268" s="107" t="s">
        <v>250</v>
      </c>
      <c r="D268" s="107" t="s">
        <v>250</v>
      </c>
      <c r="E268" s="120" t="s">
        <v>250</v>
      </c>
      <c r="F268" s="120" t="s">
        <v>250</v>
      </c>
      <c r="G268" s="120" t="s">
        <v>250</v>
      </c>
      <c r="H268" s="120" t="s">
        <v>250</v>
      </c>
      <c r="I268" s="120" t="s">
        <v>250</v>
      </c>
      <c r="J268" s="120" t="s">
        <v>250</v>
      </c>
      <c r="K268" s="120" t="s">
        <v>250</v>
      </c>
      <c r="L268" s="120" t="s">
        <v>250</v>
      </c>
      <c r="M268" s="120" t="s">
        <v>250</v>
      </c>
      <c r="N268" s="120" t="s">
        <v>250</v>
      </c>
      <c r="O268" s="120" t="s">
        <v>250</v>
      </c>
      <c r="P268" s="120" t="s">
        <v>250</v>
      </c>
      <c r="Q268" s="120" t="s">
        <v>250</v>
      </c>
      <c r="R268" s="120"/>
      <c r="S268" s="121"/>
    </row>
    <row r="269" spans="1:19" ht="15">
      <c r="A269" s="105">
        <v>19</v>
      </c>
      <c r="B269" s="105"/>
      <c r="C269" s="107" t="s">
        <v>462</v>
      </c>
      <c r="D269" s="107" t="s">
        <v>463</v>
      </c>
      <c r="E269" s="120">
        <v>43641210.879752144</v>
      </c>
      <c r="F269" s="120" t="s">
        <v>250</v>
      </c>
      <c r="G269" s="120">
        <v>19413.564558608086</v>
      </c>
      <c r="H269" s="120" t="s">
        <v>250</v>
      </c>
      <c r="I269" s="120">
        <v>43621797.315193534</v>
      </c>
      <c r="J269" s="120">
        <v>0</v>
      </c>
      <c r="K269" s="120" t="s">
        <v>250</v>
      </c>
      <c r="L269" s="120" t="s">
        <v>250</v>
      </c>
      <c r="M269" s="120">
        <v>0</v>
      </c>
      <c r="N269" s="120" t="s">
        <v>250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464</v>
      </c>
      <c r="D270" s="107" t="s">
        <v>465</v>
      </c>
      <c r="E270" s="120">
        <v>694577059.11429107</v>
      </c>
      <c r="F270" s="120" t="s">
        <v>250</v>
      </c>
      <c r="G270" s="120">
        <v>693456461.50615847</v>
      </c>
      <c r="H270" s="120" t="s">
        <v>250</v>
      </c>
      <c r="I270" s="120">
        <v>0</v>
      </c>
      <c r="J270" s="120">
        <v>1120597.6081326122</v>
      </c>
      <c r="K270" s="120" t="s">
        <v>250</v>
      </c>
      <c r="L270" s="120" t="s">
        <v>250</v>
      </c>
      <c r="M270" s="120">
        <v>0</v>
      </c>
      <c r="N270" s="120" t="s">
        <v>250</v>
      </c>
      <c r="O270" s="120">
        <v>1120597.6081326122</v>
      </c>
      <c r="P270" s="120">
        <v>1112069.7537238393</v>
      </c>
      <c r="Q270" s="120">
        <v>8527.8544087727805</v>
      </c>
      <c r="R270" s="120"/>
      <c r="S270" s="121"/>
    </row>
    <row r="271" spans="1:19" ht="15">
      <c r="A271" s="105">
        <v>21</v>
      </c>
      <c r="B271" s="105"/>
      <c r="C271" s="107" t="s">
        <v>466</v>
      </c>
      <c r="D271" s="107" t="s">
        <v>250</v>
      </c>
      <c r="E271" s="120">
        <v>738218269.99404323</v>
      </c>
      <c r="F271" s="120" t="s">
        <v>250</v>
      </c>
      <c r="G271" s="120">
        <v>693475875.0707171</v>
      </c>
      <c r="H271" s="120" t="s">
        <v>250</v>
      </c>
      <c r="I271" s="120">
        <v>43621797.315193534</v>
      </c>
      <c r="J271" s="120">
        <v>1120597.6081326122</v>
      </c>
      <c r="K271" s="120" t="s">
        <v>250</v>
      </c>
      <c r="L271" s="120" t="s">
        <v>250</v>
      </c>
      <c r="M271" s="120">
        <v>0</v>
      </c>
      <c r="N271" s="120" t="s">
        <v>250</v>
      </c>
      <c r="O271" s="120">
        <v>1120597.6081326122</v>
      </c>
      <c r="P271" s="120">
        <v>1112069.7537238393</v>
      </c>
      <c r="Q271" s="120">
        <v>8527.8544087727805</v>
      </c>
      <c r="R271" s="120"/>
      <c r="S271" s="121"/>
    </row>
    <row r="272" spans="1:19" ht="15">
      <c r="A272" s="105" t="s">
        <v>250</v>
      </c>
      <c r="B272" s="105"/>
      <c r="C272" s="107" t="s">
        <v>250</v>
      </c>
      <c r="D272" s="107" t="s">
        <v>250</v>
      </c>
      <c r="E272" s="120" t="s">
        <v>250</v>
      </c>
      <c r="F272" s="120" t="s">
        <v>250</v>
      </c>
      <c r="G272" s="120" t="s">
        <v>250</v>
      </c>
      <c r="H272" s="120" t="s">
        <v>250</v>
      </c>
      <c r="I272" s="120" t="s">
        <v>250</v>
      </c>
      <c r="J272" s="120" t="s">
        <v>250</v>
      </c>
      <c r="K272" s="120" t="s">
        <v>250</v>
      </c>
      <c r="L272" s="120" t="s">
        <v>250</v>
      </c>
      <c r="M272" s="120" t="s">
        <v>250</v>
      </c>
      <c r="N272" s="120" t="s">
        <v>250</v>
      </c>
      <c r="O272" s="120" t="s">
        <v>250</v>
      </c>
      <c r="P272" s="120" t="s">
        <v>250</v>
      </c>
      <c r="Q272" s="120" t="s">
        <v>250</v>
      </c>
      <c r="R272" s="120"/>
      <c r="S272" s="121"/>
    </row>
    <row r="273" spans="1:19" ht="15">
      <c r="A273" s="105">
        <v>22</v>
      </c>
      <c r="B273" s="105"/>
      <c r="C273" s="107" t="s">
        <v>416</v>
      </c>
      <c r="D273" s="107" t="s">
        <v>467</v>
      </c>
      <c r="E273" s="120">
        <v>88363481.466486767</v>
      </c>
      <c r="F273" s="120" t="s">
        <v>250</v>
      </c>
      <c r="G273" s="120">
        <v>83296248.469604701</v>
      </c>
      <c r="H273" s="120" t="s">
        <v>250</v>
      </c>
      <c r="I273" s="120">
        <v>4084208.965312392</v>
      </c>
      <c r="J273" s="120">
        <v>983024.03156968043</v>
      </c>
      <c r="K273" s="120" t="s">
        <v>250</v>
      </c>
      <c r="L273" s="120" t="s">
        <v>250</v>
      </c>
      <c r="M273" s="120">
        <v>0</v>
      </c>
      <c r="N273" s="120" t="s">
        <v>250</v>
      </c>
      <c r="O273" s="120">
        <v>983024.03156968043</v>
      </c>
      <c r="P273" s="120">
        <v>512560.2436754246</v>
      </c>
      <c r="Q273" s="120">
        <v>470463.78789425589</v>
      </c>
      <c r="R273" s="120"/>
      <c r="S273" s="121"/>
    </row>
    <row r="274" spans="1:19" ht="15">
      <c r="A274" s="105" t="s">
        <v>250</v>
      </c>
      <c r="B274" s="105"/>
      <c r="C274" s="107" t="s">
        <v>250</v>
      </c>
      <c r="D274" s="107" t="s">
        <v>250</v>
      </c>
      <c r="E274" s="120" t="s">
        <v>250</v>
      </c>
      <c r="F274" s="120" t="s">
        <v>250</v>
      </c>
      <c r="G274" s="120" t="s">
        <v>250</v>
      </c>
      <c r="H274" s="120" t="s">
        <v>250</v>
      </c>
      <c r="I274" s="120" t="s">
        <v>250</v>
      </c>
      <c r="J274" s="120" t="s">
        <v>250</v>
      </c>
      <c r="K274" s="120" t="s">
        <v>250</v>
      </c>
      <c r="L274" s="120" t="s">
        <v>250</v>
      </c>
      <c r="M274" s="120" t="s">
        <v>250</v>
      </c>
      <c r="N274" s="120" t="s">
        <v>250</v>
      </c>
      <c r="O274" s="120" t="s">
        <v>250</v>
      </c>
      <c r="P274" s="120" t="s">
        <v>250</v>
      </c>
      <c r="Q274" s="120" t="s">
        <v>250</v>
      </c>
      <c r="R274" s="120"/>
      <c r="S274" s="121"/>
    </row>
    <row r="275" spans="1:19" ht="15">
      <c r="A275" s="105">
        <v>23</v>
      </c>
      <c r="B275" s="105"/>
      <c r="C275" s="107" t="s">
        <v>468</v>
      </c>
      <c r="D275" s="107" t="s">
        <v>469</v>
      </c>
      <c r="E275" s="120">
        <v>65013.780568999988</v>
      </c>
      <c r="F275" s="120" t="s">
        <v>250</v>
      </c>
      <c r="G275" s="120">
        <v>65013.780568999988</v>
      </c>
      <c r="H275" s="120" t="s">
        <v>250</v>
      </c>
      <c r="I275" s="120">
        <v>0</v>
      </c>
      <c r="J275" s="120">
        <v>0</v>
      </c>
      <c r="K275" s="120" t="s">
        <v>250</v>
      </c>
      <c r="L275" s="120" t="s">
        <v>250</v>
      </c>
      <c r="M275" s="120">
        <v>0</v>
      </c>
      <c r="N275" s="120" t="s">
        <v>250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470</v>
      </c>
      <c r="D276" s="107" t="s">
        <v>471</v>
      </c>
      <c r="E276" s="120">
        <v>52444815.669635519</v>
      </c>
      <c r="F276" s="120" t="s">
        <v>250</v>
      </c>
      <c r="G276" s="120">
        <v>49018864.601791151</v>
      </c>
      <c r="H276" s="120" t="s">
        <v>250</v>
      </c>
      <c r="I276" s="120">
        <v>2734005.0555852889</v>
      </c>
      <c r="J276" s="120">
        <v>691946.0122590838</v>
      </c>
      <c r="K276" s="120" t="s">
        <v>250</v>
      </c>
      <c r="L276" s="120" t="s">
        <v>250</v>
      </c>
      <c r="M276" s="120">
        <v>0</v>
      </c>
      <c r="N276" s="120" t="s">
        <v>250</v>
      </c>
      <c r="O276" s="120">
        <v>691946.0122590838</v>
      </c>
      <c r="P276" s="120">
        <v>362054.51537540084</v>
      </c>
      <c r="Q276" s="120">
        <v>329891.49688368302</v>
      </c>
      <c r="R276" s="120"/>
      <c r="S276" s="121"/>
    </row>
    <row r="277" spans="1:19" ht="15">
      <c r="A277" s="105" t="s">
        <v>250</v>
      </c>
      <c r="B277" s="105"/>
      <c r="C277" s="107" t="s">
        <v>250</v>
      </c>
      <c r="D277" s="107" t="s">
        <v>250</v>
      </c>
      <c r="E277" s="120" t="s">
        <v>250</v>
      </c>
      <c r="F277" s="120" t="s">
        <v>250</v>
      </c>
      <c r="G277" s="120" t="s">
        <v>250</v>
      </c>
      <c r="H277" s="120" t="s">
        <v>250</v>
      </c>
      <c r="I277" s="120" t="s">
        <v>250</v>
      </c>
      <c r="J277" s="120" t="s">
        <v>250</v>
      </c>
      <c r="K277" s="120" t="s">
        <v>250</v>
      </c>
      <c r="L277" s="120" t="s">
        <v>250</v>
      </c>
      <c r="M277" s="120" t="s">
        <v>250</v>
      </c>
      <c r="N277" s="120" t="s">
        <v>250</v>
      </c>
      <c r="O277" s="120" t="s">
        <v>250</v>
      </c>
      <c r="P277" s="120" t="s">
        <v>250</v>
      </c>
      <c r="Q277" s="120" t="s">
        <v>250</v>
      </c>
      <c r="R277" s="120"/>
      <c r="S277" s="121"/>
    </row>
    <row r="278" spans="1:19" ht="15">
      <c r="A278" s="105">
        <v>25</v>
      </c>
      <c r="B278" s="105"/>
      <c r="C278" s="107" t="s">
        <v>472</v>
      </c>
      <c r="D278" s="107" t="s">
        <v>250</v>
      </c>
      <c r="E278" s="120">
        <v>3922604709.0445523</v>
      </c>
      <c r="F278" s="120" t="s">
        <v>250</v>
      </c>
      <c r="G278" s="120">
        <v>3655298713.2239285</v>
      </c>
      <c r="H278" s="120" t="s">
        <v>250</v>
      </c>
      <c r="I278" s="120">
        <v>211103567.11867952</v>
      </c>
      <c r="J278" s="120">
        <v>56202428.701944135</v>
      </c>
      <c r="K278" s="120" t="s">
        <v>250</v>
      </c>
      <c r="L278" s="120" t="s">
        <v>250</v>
      </c>
      <c r="M278" s="120">
        <v>0</v>
      </c>
      <c r="N278" s="120" t="s">
        <v>250</v>
      </c>
      <c r="O278" s="120">
        <v>56202428.701944135</v>
      </c>
      <c r="P278" s="120">
        <v>29077632.874473128</v>
      </c>
      <c r="Q278" s="120">
        <v>27124795.827471007</v>
      </c>
      <c r="R278" s="120"/>
      <c r="S278" s="121"/>
    </row>
    <row r="279" spans="1:19" ht="15">
      <c r="A279" s="105" t="s">
        <v>250</v>
      </c>
      <c r="B279" s="105"/>
      <c r="C279" s="107" t="s">
        <v>250</v>
      </c>
      <c r="D279" s="107" t="s">
        <v>250</v>
      </c>
      <c r="E279" s="120" t="s">
        <v>250</v>
      </c>
      <c r="F279" s="120" t="s">
        <v>250</v>
      </c>
      <c r="G279" s="120" t="s">
        <v>250</v>
      </c>
      <c r="H279" s="120" t="s">
        <v>250</v>
      </c>
      <c r="I279" s="120" t="s">
        <v>250</v>
      </c>
      <c r="J279" s="120" t="s">
        <v>250</v>
      </c>
      <c r="K279" s="120" t="s">
        <v>250</v>
      </c>
      <c r="L279" s="120" t="s">
        <v>250</v>
      </c>
      <c r="M279" s="120" t="s">
        <v>250</v>
      </c>
      <c r="N279" s="120" t="s">
        <v>250</v>
      </c>
      <c r="O279" s="120" t="s">
        <v>250</v>
      </c>
      <c r="P279" s="120" t="s">
        <v>250</v>
      </c>
      <c r="Q279" s="120" t="s">
        <v>250</v>
      </c>
      <c r="R279" s="120"/>
      <c r="S279" s="121"/>
    </row>
    <row r="280" spans="1:19" ht="15">
      <c r="A280" s="105">
        <v>26</v>
      </c>
      <c r="B280" s="105"/>
      <c r="C280" s="107" t="s">
        <v>473</v>
      </c>
      <c r="D280" s="107" t="s">
        <v>250</v>
      </c>
      <c r="E280" s="120">
        <v>6984839358.823</v>
      </c>
      <c r="F280" s="120" t="s">
        <v>250</v>
      </c>
      <c r="G280" s="120">
        <v>6539627356.922184</v>
      </c>
      <c r="H280" s="120" t="s">
        <v>250</v>
      </c>
      <c r="I280" s="120">
        <v>357505782.340487</v>
      </c>
      <c r="J280" s="120">
        <v>87706219.56032984</v>
      </c>
      <c r="K280" s="120" t="s">
        <v>250</v>
      </c>
      <c r="L280" s="120" t="s">
        <v>250</v>
      </c>
      <c r="M280" s="120">
        <v>0</v>
      </c>
      <c r="N280" s="120" t="s">
        <v>250</v>
      </c>
      <c r="O280" s="120">
        <v>87706219.56032984</v>
      </c>
      <c r="P280" s="120">
        <v>46221270.481903017</v>
      </c>
      <c r="Q280" s="120">
        <v>41484949.078426823</v>
      </c>
      <c r="R280" s="120"/>
      <c r="S280" s="121"/>
    </row>
    <row r="281" spans="1:19" ht="15">
      <c r="A281" s="105" t="s">
        <v>250</v>
      </c>
      <c r="B281" s="105"/>
      <c r="C281" s="107" t="s">
        <v>250</v>
      </c>
      <c r="D281" s="107" t="s">
        <v>250</v>
      </c>
      <c r="E281" s="120" t="s">
        <v>250</v>
      </c>
      <c r="F281" s="120" t="s">
        <v>250</v>
      </c>
      <c r="G281" s="120" t="s">
        <v>250</v>
      </c>
      <c r="H281" s="120" t="s">
        <v>250</v>
      </c>
      <c r="I281" s="120" t="s">
        <v>250</v>
      </c>
      <c r="J281" s="120" t="s">
        <v>250</v>
      </c>
      <c r="K281" s="120" t="s">
        <v>250</v>
      </c>
      <c r="L281" s="120" t="s">
        <v>250</v>
      </c>
      <c r="M281" s="120" t="s">
        <v>250</v>
      </c>
      <c r="N281" s="120" t="s">
        <v>250</v>
      </c>
      <c r="O281" s="120" t="s">
        <v>250</v>
      </c>
      <c r="P281" s="120" t="s">
        <v>250</v>
      </c>
      <c r="Q281" s="120" t="s">
        <v>250</v>
      </c>
      <c r="R281" s="120"/>
      <c r="S281" s="121"/>
    </row>
    <row r="282" spans="1:19" ht="15">
      <c r="A282" s="105" t="s">
        <v>250</v>
      </c>
      <c r="B282" s="105"/>
      <c r="C282" s="107" t="s">
        <v>250</v>
      </c>
      <c r="D282" s="107" t="s">
        <v>250</v>
      </c>
      <c r="E282" s="120" t="s">
        <v>250</v>
      </c>
      <c r="F282" s="120" t="s">
        <v>250</v>
      </c>
      <c r="G282" s="120" t="s">
        <v>250</v>
      </c>
      <c r="H282" s="120" t="s">
        <v>250</v>
      </c>
      <c r="I282" s="120" t="s">
        <v>250</v>
      </c>
      <c r="J282" s="120" t="s">
        <v>250</v>
      </c>
      <c r="K282" s="120" t="s">
        <v>250</v>
      </c>
      <c r="L282" s="120" t="s">
        <v>250</v>
      </c>
      <c r="M282" s="120" t="s">
        <v>250</v>
      </c>
      <c r="N282" s="120" t="s">
        <v>250</v>
      </c>
      <c r="O282" s="120" t="s">
        <v>250</v>
      </c>
      <c r="P282" s="120" t="s">
        <v>250</v>
      </c>
      <c r="Q282" s="120" t="s">
        <v>250</v>
      </c>
      <c r="R282" s="120"/>
      <c r="S282" s="121"/>
    </row>
    <row r="283" spans="1:19" ht="15">
      <c r="A283" s="105" t="s">
        <v>250</v>
      </c>
      <c r="B283" s="105"/>
      <c r="C283" s="107" t="s">
        <v>474</v>
      </c>
      <c r="D283" s="107" t="s">
        <v>250</v>
      </c>
      <c r="E283" s="120" t="s">
        <v>250</v>
      </c>
      <c r="F283" s="120" t="s">
        <v>250</v>
      </c>
      <c r="G283" s="120" t="s">
        <v>250</v>
      </c>
      <c r="H283" s="120" t="s">
        <v>250</v>
      </c>
      <c r="I283" s="120" t="s">
        <v>250</v>
      </c>
      <c r="J283" s="120" t="s">
        <v>250</v>
      </c>
      <c r="K283" s="120" t="s">
        <v>250</v>
      </c>
      <c r="L283" s="120" t="s">
        <v>250</v>
      </c>
      <c r="M283" s="120" t="s">
        <v>250</v>
      </c>
      <c r="N283" s="120" t="s">
        <v>250</v>
      </c>
      <c r="O283" s="120" t="s">
        <v>250</v>
      </c>
      <c r="P283" s="120" t="s">
        <v>250</v>
      </c>
      <c r="Q283" s="120" t="s">
        <v>250</v>
      </c>
      <c r="R283" s="120"/>
      <c r="S283" s="121"/>
    </row>
    <row r="284" spans="1:19" ht="15">
      <c r="A284" s="105" t="s">
        <v>250</v>
      </c>
      <c r="B284" s="105"/>
      <c r="C284" s="107" t="s">
        <v>250</v>
      </c>
      <c r="D284" s="107" t="s">
        <v>250</v>
      </c>
      <c r="E284" s="120" t="s">
        <v>250</v>
      </c>
      <c r="F284" s="120" t="s">
        <v>250</v>
      </c>
      <c r="G284" s="120" t="s">
        <v>250</v>
      </c>
      <c r="H284" s="120" t="s">
        <v>250</v>
      </c>
      <c r="I284" s="120" t="s">
        <v>250</v>
      </c>
      <c r="J284" s="120" t="s">
        <v>250</v>
      </c>
      <c r="K284" s="120" t="s">
        <v>250</v>
      </c>
      <c r="L284" s="120" t="s">
        <v>250</v>
      </c>
      <c r="M284" s="120" t="s">
        <v>250</v>
      </c>
      <c r="N284" s="120" t="s">
        <v>250</v>
      </c>
      <c r="O284" s="120" t="s">
        <v>250</v>
      </c>
      <c r="P284" s="120" t="s">
        <v>250</v>
      </c>
      <c r="Q284" s="120" t="s">
        <v>250</v>
      </c>
      <c r="R284" s="120"/>
      <c r="S284" s="121"/>
    </row>
    <row r="285" spans="1:19" ht="15">
      <c r="A285" s="105" t="s">
        <v>250</v>
      </c>
      <c r="B285" s="105"/>
      <c r="C285" s="107" t="s">
        <v>475</v>
      </c>
      <c r="D285" s="107" t="s">
        <v>250</v>
      </c>
      <c r="E285" s="120" t="s">
        <v>250</v>
      </c>
      <c r="F285" s="120" t="s">
        <v>250</v>
      </c>
      <c r="G285" s="120" t="s">
        <v>250</v>
      </c>
      <c r="H285" s="120" t="s">
        <v>250</v>
      </c>
      <c r="I285" s="120" t="s">
        <v>250</v>
      </c>
      <c r="J285" s="120" t="s">
        <v>250</v>
      </c>
      <c r="K285" s="120" t="s">
        <v>250</v>
      </c>
      <c r="L285" s="120" t="s">
        <v>250</v>
      </c>
      <c r="M285" s="120" t="s">
        <v>250</v>
      </c>
      <c r="N285" s="120" t="s">
        <v>250</v>
      </c>
      <c r="O285" s="120" t="s">
        <v>250</v>
      </c>
      <c r="P285" s="120" t="s">
        <v>250</v>
      </c>
      <c r="Q285" s="120" t="s">
        <v>250</v>
      </c>
      <c r="R285" s="120"/>
      <c r="S285" s="121"/>
    </row>
    <row r="286" spans="1:19" ht="15">
      <c r="A286" s="105" t="s">
        <v>250</v>
      </c>
      <c r="B286" s="105"/>
      <c r="C286" s="107" t="s">
        <v>250</v>
      </c>
      <c r="D286" s="107" t="s">
        <v>250</v>
      </c>
      <c r="E286" s="120" t="s">
        <v>250</v>
      </c>
      <c r="F286" s="120" t="s">
        <v>250</v>
      </c>
      <c r="G286" s="120" t="s">
        <v>250</v>
      </c>
      <c r="H286" s="120" t="s">
        <v>250</v>
      </c>
      <c r="I286" s="120" t="s">
        <v>250</v>
      </c>
      <c r="J286" s="120" t="s">
        <v>250</v>
      </c>
      <c r="K286" s="120" t="s">
        <v>250</v>
      </c>
      <c r="L286" s="120" t="s">
        <v>250</v>
      </c>
      <c r="M286" s="120" t="s">
        <v>250</v>
      </c>
      <c r="N286" s="120" t="s">
        <v>250</v>
      </c>
      <c r="O286" s="120" t="s">
        <v>250</v>
      </c>
      <c r="P286" s="120" t="s">
        <v>250</v>
      </c>
      <c r="Q286" s="120" t="s">
        <v>250</v>
      </c>
      <c r="R286" s="120"/>
      <c r="S286" s="121"/>
    </row>
    <row r="287" spans="1:19" ht="15">
      <c r="A287" s="105" t="s">
        <v>250</v>
      </c>
      <c r="B287" s="105"/>
      <c r="C287" s="107" t="s">
        <v>440</v>
      </c>
      <c r="D287" s="107" t="s">
        <v>250</v>
      </c>
      <c r="E287" s="120" t="s">
        <v>250</v>
      </c>
      <c r="F287" s="120" t="s">
        <v>250</v>
      </c>
      <c r="G287" s="120" t="s">
        <v>250</v>
      </c>
      <c r="H287" s="120" t="s">
        <v>250</v>
      </c>
      <c r="I287" s="120" t="s">
        <v>250</v>
      </c>
      <c r="J287" s="120" t="s">
        <v>250</v>
      </c>
      <c r="K287" s="120" t="s">
        <v>250</v>
      </c>
      <c r="L287" s="120" t="s">
        <v>250</v>
      </c>
      <c r="M287" s="120" t="s">
        <v>250</v>
      </c>
      <c r="N287" s="120" t="s">
        <v>250</v>
      </c>
      <c r="O287" s="120" t="s">
        <v>250</v>
      </c>
      <c r="P287" s="120" t="s">
        <v>250</v>
      </c>
      <c r="Q287" s="120" t="s">
        <v>250</v>
      </c>
      <c r="R287" s="120"/>
      <c r="S287" s="121"/>
    </row>
    <row r="288" spans="1:19" ht="15">
      <c r="A288" s="105">
        <v>1</v>
      </c>
      <c r="B288" s="105"/>
      <c r="C288" s="107" t="s">
        <v>476</v>
      </c>
      <c r="D288" s="107" t="s">
        <v>477</v>
      </c>
      <c r="E288" s="120">
        <v>133733622.86892717</v>
      </c>
      <c r="F288" s="120" t="s">
        <v>250</v>
      </c>
      <c r="G288" s="120">
        <v>125461144.90413809</v>
      </c>
      <c r="H288" s="120" t="s">
        <v>250</v>
      </c>
      <c r="I288" s="120">
        <v>5679014.7535810964</v>
      </c>
      <c r="J288" s="120">
        <v>2593463.2112079822</v>
      </c>
      <c r="K288" s="120" t="s">
        <v>250</v>
      </c>
      <c r="L288" s="120" t="s">
        <v>250</v>
      </c>
      <c r="M288" s="120">
        <v>0</v>
      </c>
      <c r="N288" s="120" t="s">
        <v>250</v>
      </c>
      <c r="O288" s="120">
        <v>2593463.2112079822</v>
      </c>
      <c r="P288" s="120">
        <v>1315549.6606895754</v>
      </c>
      <c r="Q288" s="120">
        <v>1277913.5505184066</v>
      </c>
      <c r="R288" s="120"/>
      <c r="S288" s="121"/>
    </row>
    <row r="289" spans="1:19" ht="15">
      <c r="A289" s="105">
        <v>2</v>
      </c>
      <c r="B289" s="105"/>
      <c r="C289" s="107" t="s">
        <v>478</v>
      </c>
      <c r="D289" s="107" t="s">
        <v>311</v>
      </c>
      <c r="E289" s="120">
        <v>0</v>
      </c>
      <c r="F289" s="120" t="s">
        <v>250</v>
      </c>
      <c r="G289" s="120">
        <v>0</v>
      </c>
      <c r="H289" s="120" t="s">
        <v>250</v>
      </c>
      <c r="I289" s="120">
        <v>0</v>
      </c>
      <c r="J289" s="120">
        <v>0</v>
      </c>
      <c r="K289" s="120" t="s">
        <v>250</v>
      </c>
      <c r="L289" s="120" t="s">
        <v>250</v>
      </c>
      <c r="M289" s="120">
        <v>0</v>
      </c>
      <c r="N289" s="120" t="s">
        <v>250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479</v>
      </c>
      <c r="D290" s="107" t="s">
        <v>313</v>
      </c>
      <c r="E290" s="120">
        <v>336337.09</v>
      </c>
      <c r="F290" s="120" t="s">
        <v>250</v>
      </c>
      <c r="G290" s="120">
        <v>259522.51453269197</v>
      </c>
      <c r="H290" s="120" t="s">
        <v>250</v>
      </c>
      <c r="I290" s="120">
        <v>0</v>
      </c>
      <c r="J290" s="120">
        <v>76814.575467308066</v>
      </c>
      <c r="K290" s="120" t="s">
        <v>250</v>
      </c>
      <c r="L290" s="120" t="s">
        <v>250</v>
      </c>
      <c r="M290" s="120">
        <v>0</v>
      </c>
      <c r="N290" s="120" t="s">
        <v>250</v>
      </c>
      <c r="O290" s="120">
        <v>76814.575467308066</v>
      </c>
      <c r="P290" s="120">
        <v>38964.650917474282</v>
      </c>
      <c r="Q290" s="120">
        <v>37849.924549833784</v>
      </c>
      <c r="R290" s="120"/>
      <c r="S290" s="121"/>
    </row>
    <row r="291" spans="1:19" ht="15">
      <c r="A291" s="105">
        <v>4</v>
      </c>
      <c r="B291" s="105"/>
      <c r="C291" s="107" t="s">
        <v>480</v>
      </c>
      <c r="D291" s="107" t="s">
        <v>250</v>
      </c>
      <c r="E291" s="120">
        <v>134069959.95892715</v>
      </c>
      <c r="F291" s="120" t="s">
        <v>250</v>
      </c>
      <c r="G291" s="120">
        <v>125720667.41867077</v>
      </c>
      <c r="H291" s="120" t="s">
        <v>250</v>
      </c>
      <c r="I291" s="120">
        <v>5679014.7535810964</v>
      </c>
      <c r="J291" s="120">
        <v>2670277.7866752902</v>
      </c>
      <c r="K291" s="120" t="s">
        <v>250</v>
      </c>
      <c r="L291" s="120" t="s">
        <v>250</v>
      </c>
      <c r="M291" s="120">
        <v>0</v>
      </c>
      <c r="N291" s="120" t="s">
        <v>250</v>
      </c>
      <c r="O291" s="120">
        <v>2670277.7866752902</v>
      </c>
      <c r="P291" s="120">
        <v>1354514.3116070495</v>
      </c>
      <c r="Q291" s="120">
        <v>1315763.4750682404</v>
      </c>
      <c r="R291" s="120"/>
      <c r="S291" s="121"/>
    </row>
    <row r="292" spans="1:19" ht="15">
      <c r="A292" s="105" t="s">
        <v>250</v>
      </c>
      <c r="B292" s="105"/>
      <c r="C292" s="107" t="s">
        <v>250</v>
      </c>
      <c r="D292" s="107" t="s">
        <v>250</v>
      </c>
      <c r="E292" s="120" t="s">
        <v>250</v>
      </c>
      <c r="F292" s="120" t="s">
        <v>250</v>
      </c>
      <c r="G292" s="120" t="s">
        <v>250</v>
      </c>
      <c r="H292" s="120" t="s">
        <v>250</v>
      </c>
      <c r="I292" s="120" t="s">
        <v>250</v>
      </c>
      <c r="J292" s="120" t="s">
        <v>250</v>
      </c>
      <c r="K292" s="120" t="s">
        <v>250</v>
      </c>
      <c r="L292" s="120" t="s">
        <v>250</v>
      </c>
      <c r="M292" s="120" t="s">
        <v>250</v>
      </c>
      <c r="N292" s="120" t="s">
        <v>250</v>
      </c>
      <c r="O292" s="120" t="s">
        <v>250</v>
      </c>
      <c r="P292" s="120" t="s">
        <v>250</v>
      </c>
      <c r="Q292" s="120" t="s">
        <v>250</v>
      </c>
      <c r="R292" s="120"/>
      <c r="S292" s="121"/>
    </row>
    <row r="293" spans="1:19" ht="15">
      <c r="A293" s="105" t="s">
        <v>250</v>
      </c>
      <c r="B293" s="105"/>
      <c r="C293" s="107" t="s">
        <v>454</v>
      </c>
      <c r="D293" s="107" t="s">
        <v>250</v>
      </c>
      <c r="E293" s="120" t="s">
        <v>250</v>
      </c>
      <c r="F293" s="120" t="s">
        <v>250</v>
      </c>
      <c r="G293" s="120" t="s">
        <v>250</v>
      </c>
      <c r="H293" s="120" t="s">
        <v>250</v>
      </c>
      <c r="I293" s="120" t="s">
        <v>250</v>
      </c>
      <c r="J293" s="120" t="s">
        <v>250</v>
      </c>
      <c r="K293" s="120" t="s">
        <v>250</v>
      </c>
      <c r="L293" s="120" t="s">
        <v>250</v>
      </c>
      <c r="M293" s="120" t="s">
        <v>250</v>
      </c>
      <c r="N293" s="120" t="s">
        <v>250</v>
      </c>
      <c r="O293" s="120" t="s">
        <v>250</v>
      </c>
      <c r="P293" s="120" t="s">
        <v>250</v>
      </c>
      <c r="Q293" s="120" t="s">
        <v>250</v>
      </c>
      <c r="R293" s="120"/>
      <c r="S293" s="121"/>
    </row>
    <row r="294" spans="1:19" ht="15">
      <c r="A294" s="105">
        <v>5</v>
      </c>
      <c r="B294" s="105"/>
      <c r="C294" s="107" t="s">
        <v>476</v>
      </c>
      <c r="D294" s="107" t="s">
        <v>456</v>
      </c>
      <c r="E294" s="120">
        <v>82559459.270769238</v>
      </c>
      <c r="F294" s="120" t="s">
        <v>250</v>
      </c>
      <c r="G294" s="120">
        <v>78958656.060424566</v>
      </c>
      <c r="H294" s="120" t="s">
        <v>250</v>
      </c>
      <c r="I294" s="120">
        <v>3600803.2103446722</v>
      </c>
      <c r="J294" s="120">
        <v>0</v>
      </c>
      <c r="K294" s="120" t="s">
        <v>250</v>
      </c>
      <c r="L294" s="120" t="s">
        <v>250</v>
      </c>
      <c r="M294" s="120">
        <v>0</v>
      </c>
      <c r="N294" s="120" t="s">
        <v>250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481</v>
      </c>
      <c r="D295" s="107" t="s">
        <v>456</v>
      </c>
      <c r="E295" s="120">
        <v>0</v>
      </c>
      <c r="F295" s="120" t="s">
        <v>250</v>
      </c>
      <c r="G295" s="120">
        <v>0</v>
      </c>
      <c r="H295" s="120" t="s">
        <v>250</v>
      </c>
      <c r="I295" s="120">
        <v>0</v>
      </c>
      <c r="J295" s="120">
        <v>0</v>
      </c>
      <c r="K295" s="120" t="s">
        <v>250</v>
      </c>
      <c r="L295" s="120" t="s">
        <v>250</v>
      </c>
      <c r="M295" s="120">
        <v>0</v>
      </c>
      <c r="N295" s="120" t="s">
        <v>250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482</v>
      </c>
      <c r="D296" s="107" t="s">
        <v>483</v>
      </c>
      <c r="E296" s="120">
        <v>11949942.257692307</v>
      </c>
      <c r="F296" s="120" t="s">
        <v>250</v>
      </c>
      <c r="G296" s="120">
        <v>0</v>
      </c>
      <c r="H296" s="120" t="s">
        <v>250</v>
      </c>
      <c r="I296" s="120">
        <v>11949942.257692307</v>
      </c>
      <c r="J296" s="120">
        <v>0</v>
      </c>
      <c r="K296" s="120" t="s">
        <v>250</v>
      </c>
      <c r="L296" s="120" t="s">
        <v>250</v>
      </c>
      <c r="M296" s="120">
        <v>0</v>
      </c>
      <c r="N296" s="120" t="s">
        <v>250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478</v>
      </c>
      <c r="D297" s="107" t="s">
        <v>311</v>
      </c>
      <c r="E297" s="120">
        <v>0</v>
      </c>
      <c r="F297" s="120" t="s">
        <v>250</v>
      </c>
      <c r="G297" s="120">
        <v>0</v>
      </c>
      <c r="H297" s="120" t="s">
        <v>250</v>
      </c>
      <c r="I297" s="120">
        <v>0</v>
      </c>
      <c r="J297" s="120">
        <v>0</v>
      </c>
      <c r="K297" s="120" t="s">
        <v>250</v>
      </c>
      <c r="L297" s="120" t="s">
        <v>250</v>
      </c>
      <c r="M297" s="120">
        <v>0</v>
      </c>
      <c r="N297" s="120" t="s">
        <v>250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479</v>
      </c>
      <c r="D298" s="107" t="s">
        <v>313</v>
      </c>
      <c r="E298" s="120">
        <v>0</v>
      </c>
      <c r="F298" s="120" t="s">
        <v>250</v>
      </c>
      <c r="G298" s="120">
        <v>0</v>
      </c>
      <c r="H298" s="120" t="s">
        <v>250</v>
      </c>
      <c r="I298" s="120">
        <v>0</v>
      </c>
      <c r="J298" s="120">
        <v>0</v>
      </c>
      <c r="K298" s="120" t="s">
        <v>250</v>
      </c>
      <c r="L298" s="120" t="s">
        <v>250</v>
      </c>
      <c r="M298" s="120">
        <v>0</v>
      </c>
      <c r="N298" s="120" t="s">
        <v>250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484</v>
      </c>
      <c r="D299" s="107" t="s">
        <v>250</v>
      </c>
      <c r="E299" s="120">
        <v>94509401.528461546</v>
      </c>
      <c r="F299" s="120" t="s">
        <v>250</v>
      </c>
      <c r="G299" s="120">
        <v>78958656.060424566</v>
      </c>
      <c r="H299" s="120" t="s">
        <v>250</v>
      </c>
      <c r="I299" s="120">
        <v>15550745.468036979</v>
      </c>
      <c r="J299" s="120">
        <v>0</v>
      </c>
      <c r="K299" s="120" t="s">
        <v>250</v>
      </c>
      <c r="L299" s="120" t="s">
        <v>250</v>
      </c>
      <c r="M299" s="120">
        <v>0</v>
      </c>
      <c r="N299" s="120" t="s">
        <v>250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250</v>
      </c>
      <c r="B300" s="105"/>
      <c r="C300" s="107" t="s">
        <v>250</v>
      </c>
      <c r="D300" s="107" t="s">
        <v>250</v>
      </c>
      <c r="E300" s="120" t="s">
        <v>250</v>
      </c>
      <c r="F300" s="120" t="s">
        <v>250</v>
      </c>
      <c r="G300" s="120" t="s">
        <v>250</v>
      </c>
      <c r="H300" s="120" t="s">
        <v>250</v>
      </c>
      <c r="I300" s="120" t="s">
        <v>250</v>
      </c>
      <c r="J300" s="120" t="s">
        <v>250</v>
      </c>
      <c r="K300" s="120" t="s">
        <v>250</v>
      </c>
      <c r="L300" s="120" t="s">
        <v>250</v>
      </c>
      <c r="M300" s="120" t="s">
        <v>250</v>
      </c>
      <c r="N300" s="120" t="s">
        <v>250</v>
      </c>
      <c r="O300" s="120" t="s">
        <v>250</v>
      </c>
      <c r="P300" s="120" t="s">
        <v>250</v>
      </c>
      <c r="Q300" s="120" t="s">
        <v>250</v>
      </c>
      <c r="R300" s="120"/>
      <c r="S300" s="121"/>
    </row>
    <row r="301" spans="1:19" ht="15">
      <c r="A301" s="105">
        <v>11</v>
      </c>
      <c r="B301" s="105"/>
      <c r="C301" s="107" t="s">
        <v>485</v>
      </c>
      <c r="D301" s="107" t="s">
        <v>486</v>
      </c>
      <c r="E301" s="120">
        <v>625805.5384615385</v>
      </c>
      <c r="F301" s="120" t="s">
        <v>250</v>
      </c>
      <c r="G301" s="120">
        <v>0</v>
      </c>
      <c r="H301" s="120" t="s">
        <v>250</v>
      </c>
      <c r="I301" s="120">
        <v>625805.5384615385</v>
      </c>
      <c r="J301" s="120">
        <v>0</v>
      </c>
      <c r="K301" s="120" t="s">
        <v>250</v>
      </c>
      <c r="L301" s="120" t="s">
        <v>250</v>
      </c>
      <c r="M301" s="120">
        <v>0</v>
      </c>
      <c r="N301" s="120" t="s">
        <v>250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487</v>
      </c>
      <c r="D302" s="107" t="s">
        <v>488</v>
      </c>
      <c r="E302" s="120">
        <v>26142700.8699999</v>
      </c>
      <c r="F302" s="120" t="s">
        <v>250</v>
      </c>
      <c r="G302" s="120">
        <v>26142700.8699999</v>
      </c>
      <c r="H302" s="120" t="s">
        <v>250</v>
      </c>
      <c r="I302" s="120">
        <v>0</v>
      </c>
      <c r="J302" s="120">
        <v>0</v>
      </c>
      <c r="K302" s="120" t="s">
        <v>250</v>
      </c>
      <c r="L302" s="120" t="s">
        <v>250</v>
      </c>
      <c r="M302" s="120">
        <v>0</v>
      </c>
      <c r="N302" s="120" t="s">
        <v>250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3722</v>
      </c>
      <c r="D303" s="107" t="s">
        <v>3730</v>
      </c>
      <c r="E303" s="120">
        <v>1748317.9418836462</v>
      </c>
      <c r="F303" s="120" t="s">
        <v>250</v>
      </c>
      <c r="G303" s="120">
        <v>1640393.7971897062</v>
      </c>
      <c r="H303" s="120" t="s">
        <v>250</v>
      </c>
      <c r="I303" s="120">
        <v>87494.234810414782</v>
      </c>
      <c r="J303" s="120">
        <v>20429.90988352523</v>
      </c>
      <c r="K303" s="120" t="s">
        <v>250</v>
      </c>
      <c r="L303" s="120" t="s">
        <v>250</v>
      </c>
      <c r="M303" s="120">
        <v>0</v>
      </c>
      <c r="N303" s="120" t="s">
        <v>250</v>
      </c>
      <c r="O303" s="120">
        <v>20429.90988352523</v>
      </c>
      <c r="P303" s="120">
        <v>20429.90988352523</v>
      </c>
      <c r="Q303" s="120">
        <v>0</v>
      </c>
      <c r="R303" s="120"/>
      <c r="S303" s="121"/>
    </row>
    <row r="304" spans="1:19" ht="15">
      <c r="A304" s="105">
        <v>14</v>
      </c>
      <c r="B304" s="105"/>
      <c r="C304" s="107" t="s">
        <v>3723</v>
      </c>
      <c r="D304" s="107" t="s">
        <v>732</v>
      </c>
      <c r="E304" s="120">
        <v>24594.356729453375</v>
      </c>
      <c r="F304" s="120" t="s">
        <v>250</v>
      </c>
      <c r="G304" s="120">
        <v>23416.632568121975</v>
      </c>
      <c r="H304" s="120" t="s">
        <v>250</v>
      </c>
      <c r="I304" s="120">
        <v>1177.7241613313995</v>
      </c>
      <c r="J304" s="120">
        <v>0</v>
      </c>
      <c r="K304" s="120" t="s">
        <v>250</v>
      </c>
      <c r="L304" s="120" t="s">
        <v>250</v>
      </c>
      <c r="M304" s="120">
        <v>0</v>
      </c>
      <c r="N304" s="120" t="s">
        <v>250</v>
      </c>
      <c r="O304" s="120">
        <v>0</v>
      </c>
      <c r="P304" s="120">
        <v>0</v>
      </c>
      <c r="Q304" s="120" t="s">
        <v>3732</v>
      </c>
      <c r="R304" s="120"/>
      <c r="S304" s="121"/>
    </row>
    <row r="305" spans="1:19" ht="15">
      <c r="A305" s="105">
        <v>15</v>
      </c>
      <c r="B305" s="105"/>
      <c r="C305" s="107" t="s">
        <v>489</v>
      </c>
      <c r="D305" s="107" t="s">
        <v>250</v>
      </c>
      <c r="E305" s="120">
        <v>28541418.707074538</v>
      </c>
      <c r="F305" s="120" t="s">
        <v>250</v>
      </c>
      <c r="G305" s="120">
        <v>27806511.299757726</v>
      </c>
      <c r="H305" s="120" t="s">
        <v>250</v>
      </c>
      <c r="I305" s="120">
        <v>714477.49743328465</v>
      </c>
      <c r="J305" s="120">
        <v>20429.90988352523</v>
      </c>
      <c r="K305" s="120" t="s">
        <v>250</v>
      </c>
      <c r="L305" s="120" t="s">
        <v>250</v>
      </c>
      <c r="M305" s="120">
        <v>0</v>
      </c>
      <c r="N305" s="120" t="s">
        <v>250</v>
      </c>
      <c r="O305" s="120">
        <v>20429.90988352523</v>
      </c>
      <c r="P305" s="120">
        <v>20429.90988352523</v>
      </c>
      <c r="Q305" s="120">
        <v>0</v>
      </c>
      <c r="R305" s="120"/>
      <c r="S305" s="121"/>
    </row>
    <row r="306" spans="1:19" ht="15">
      <c r="A306" s="105" t="s">
        <v>250</v>
      </c>
      <c r="B306" s="105"/>
      <c r="C306" s="107" t="s">
        <v>250</v>
      </c>
      <c r="D306" s="107" t="s">
        <v>250</v>
      </c>
      <c r="E306" s="120" t="s">
        <v>250</v>
      </c>
      <c r="F306" s="120" t="s">
        <v>250</v>
      </c>
      <c r="G306" s="120" t="s">
        <v>250</v>
      </c>
      <c r="H306" s="120" t="s">
        <v>250</v>
      </c>
      <c r="I306" s="120" t="s">
        <v>250</v>
      </c>
      <c r="J306" s="120" t="s">
        <v>250</v>
      </c>
      <c r="K306" s="120" t="s">
        <v>250</v>
      </c>
      <c r="L306" s="120" t="s">
        <v>250</v>
      </c>
      <c r="M306" s="120" t="s">
        <v>250</v>
      </c>
      <c r="N306" s="120" t="s">
        <v>250</v>
      </c>
      <c r="O306" s="120" t="s">
        <v>250</v>
      </c>
      <c r="P306" s="120" t="s">
        <v>250</v>
      </c>
      <c r="Q306" s="120" t="s">
        <v>250</v>
      </c>
      <c r="R306" s="120"/>
      <c r="S306" s="121"/>
    </row>
    <row r="307" spans="1:19" ht="15">
      <c r="A307" s="105">
        <v>16</v>
      </c>
      <c r="B307" s="105"/>
      <c r="C307" s="107" t="s">
        <v>3705</v>
      </c>
      <c r="D307" s="107" t="s">
        <v>3730</v>
      </c>
      <c r="E307" s="120">
        <v>8031794.6605304452</v>
      </c>
      <c r="F307" s="120" t="s">
        <v>250</v>
      </c>
      <c r="G307" s="120">
        <v>7535989.779547995</v>
      </c>
      <c r="H307" s="120" t="s">
        <v>250</v>
      </c>
      <c r="I307" s="120">
        <v>401949.61748225015</v>
      </c>
      <c r="J307" s="120">
        <v>93855.263500199493</v>
      </c>
      <c r="K307" s="120" t="s">
        <v>250</v>
      </c>
      <c r="L307" s="120" t="s">
        <v>250</v>
      </c>
      <c r="M307" s="120">
        <v>0</v>
      </c>
      <c r="N307" s="120" t="s">
        <v>250</v>
      </c>
      <c r="O307" s="120">
        <v>93855.263500199493</v>
      </c>
      <c r="P307" s="120">
        <v>93855.263500199493</v>
      </c>
      <c r="Q307" s="120">
        <v>0</v>
      </c>
      <c r="R307" s="120"/>
      <c r="S307" s="121"/>
    </row>
    <row r="308" spans="1:19" ht="15">
      <c r="A308" s="105">
        <v>17</v>
      </c>
      <c r="B308" s="105"/>
      <c r="C308" s="107" t="s">
        <v>3724</v>
      </c>
      <c r="D308" s="107" t="s">
        <v>732</v>
      </c>
      <c r="E308" s="120">
        <v>143857.26283815998</v>
      </c>
      <c r="F308" s="120" t="s">
        <v>250</v>
      </c>
      <c r="G308" s="120">
        <v>134527.19184340778</v>
      </c>
      <c r="H308" s="120" t="s">
        <v>250</v>
      </c>
      <c r="I308" s="120">
        <v>7276.510826769485</v>
      </c>
      <c r="J308" s="120">
        <v>2053.56016798272</v>
      </c>
      <c r="K308" s="120" t="s">
        <v>250</v>
      </c>
      <c r="L308" s="120" t="s">
        <v>250</v>
      </c>
      <c r="M308" s="120">
        <v>0</v>
      </c>
      <c r="N308" s="120" t="s">
        <v>250</v>
      </c>
      <c r="O308" s="120">
        <v>2053.56016798272</v>
      </c>
      <c r="P308" s="120">
        <v>2053.56016798272</v>
      </c>
      <c r="Q308" s="120" t="s">
        <v>3732</v>
      </c>
      <c r="R308" s="120"/>
      <c r="S308" s="121"/>
    </row>
    <row r="309" spans="1:19" ht="15">
      <c r="A309" s="105">
        <v>18</v>
      </c>
      <c r="B309" s="105"/>
      <c r="C309" s="107" t="s">
        <v>436</v>
      </c>
      <c r="D309" s="107" t="s">
        <v>467</v>
      </c>
      <c r="E309" s="120">
        <v>31538421.46307683</v>
      </c>
      <c r="F309" s="120" t="s">
        <v>250</v>
      </c>
      <c r="G309" s="120">
        <v>29729840.27936817</v>
      </c>
      <c r="H309" s="120" t="s">
        <v>250</v>
      </c>
      <c r="I309" s="120">
        <v>1457723.2761041918</v>
      </c>
      <c r="J309" s="120">
        <v>350857.90760446555</v>
      </c>
      <c r="K309" s="120" t="s">
        <v>250</v>
      </c>
      <c r="L309" s="120" t="s">
        <v>250</v>
      </c>
      <c r="M309" s="120">
        <v>0</v>
      </c>
      <c r="N309" s="120" t="s">
        <v>250</v>
      </c>
      <c r="O309" s="120">
        <v>350857.90760446555</v>
      </c>
      <c r="P309" s="120">
        <v>182941.42242894601</v>
      </c>
      <c r="Q309" s="120">
        <v>167916.48517551954</v>
      </c>
      <c r="R309" s="120"/>
      <c r="S309" s="121"/>
    </row>
    <row r="310" spans="1:19" ht="15">
      <c r="A310" s="105">
        <v>19</v>
      </c>
      <c r="B310" s="105"/>
      <c r="C310" s="107" t="s">
        <v>3706</v>
      </c>
      <c r="D310" s="107" t="s">
        <v>250</v>
      </c>
      <c r="E310" s="120">
        <v>39714073.386445433</v>
      </c>
      <c r="F310" s="120" t="s">
        <v>250</v>
      </c>
      <c r="G310" s="120">
        <v>37400357.250759572</v>
      </c>
      <c r="H310" s="120" t="s">
        <v>250</v>
      </c>
      <c r="I310" s="120">
        <v>1866949.4044132114</v>
      </c>
      <c r="J310" s="120">
        <v>446766.73127264774</v>
      </c>
      <c r="K310" s="120" t="s">
        <v>250</v>
      </c>
      <c r="L310" s="120" t="s">
        <v>250</v>
      </c>
      <c r="M310" s="120">
        <v>0</v>
      </c>
      <c r="N310" s="120" t="s">
        <v>250</v>
      </c>
      <c r="O310" s="120">
        <v>446766.73127264774</v>
      </c>
      <c r="P310" s="120">
        <v>278850.24609712826</v>
      </c>
      <c r="Q310" s="120">
        <v>167916.48517551954</v>
      </c>
      <c r="R310" s="120"/>
      <c r="S310" s="121"/>
    </row>
    <row r="311" spans="1:19" ht="15">
      <c r="A311" s="105" t="s">
        <v>250</v>
      </c>
      <c r="B311" s="105"/>
      <c r="C311" s="107" t="s">
        <v>250</v>
      </c>
      <c r="D311" s="107" t="s">
        <v>250</v>
      </c>
      <c r="E311" s="120" t="s">
        <v>250</v>
      </c>
      <c r="F311" s="120" t="s">
        <v>250</v>
      </c>
      <c r="G311" s="120" t="s">
        <v>250</v>
      </c>
      <c r="H311" s="120" t="s">
        <v>250</v>
      </c>
      <c r="I311" s="120" t="s">
        <v>250</v>
      </c>
      <c r="J311" s="120" t="s">
        <v>250</v>
      </c>
      <c r="K311" s="120" t="s">
        <v>250</v>
      </c>
      <c r="L311" s="120" t="s">
        <v>250</v>
      </c>
      <c r="M311" s="120" t="s">
        <v>250</v>
      </c>
      <c r="N311" s="120" t="s">
        <v>250</v>
      </c>
      <c r="O311" s="120" t="s">
        <v>250</v>
      </c>
      <c r="P311" s="120" t="s">
        <v>250</v>
      </c>
      <c r="Q311" s="120" t="s">
        <v>250</v>
      </c>
      <c r="R311" s="120"/>
      <c r="S311" s="121"/>
    </row>
    <row r="312" spans="1:19" ht="15">
      <c r="A312" s="105">
        <v>20</v>
      </c>
      <c r="B312" s="105"/>
      <c r="C312" s="107" t="s">
        <v>490</v>
      </c>
      <c r="D312" s="107" t="s">
        <v>250</v>
      </c>
      <c r="E312" s="120">
        <v>296834853.58090872</v>
      </c>
      <c r="F312" s="120" t="s">
        <v>250</v>
      </c>
      <c r="G312" s="120">
        <v>269886192.02961266</v>
      </c>
      <c r="H312" s="120" t="s">
        <v>250</v>
      </c>
      <c r="I312" s="120">
        <v>23811187.123464573</v>
      </c>
      <c r="J312" s="120">
        <v>3137474.4278314631</v>
      </c>
      <c r="K312" s="120" t="s">
        <v>250</v>
      </c>
      <c r="L312" s="120" t="s">
        <v>250</v>
      </c>
      <c r="M312" s="120">
        <v>0</v>
      </c>
      <c r="N312" s="120" t="s">
        <v>250</v>
      </c>
      <c r="O312" s="120">
        <v>3137474.4278314631</v>
      </c>
      <c r="P312" s="120">
        <v>1653794.4675877029</v>
      </c>
      <c r="Q312" s="120">
        <v>1483679.9602437599</v>
      </c>
      <c r="R312" s="120"/>
      <c r="S312" s="121"/>
    </row>
    <row r="313" spans="1:19" ht="15">
      <c r="A313" s="105" t="s">
        <v>250</v>
      </c>
      <c r="B313" s="105"/>
      <c r="C313" s="107" t="s">
        <v>250</v>
      </c>
      <c r="D313" s="107" t="s">
        <v>250</v>
      </c>
      <c r="E313" s="120" t="s">
        <v>250</v>
      </c>
      <c r="F313" s="120" t="s">
        <v>250</v>
      </c>
      <c r="G313" s="120" t="s">
        <v>250</v>
      </c>
      <c r="H313" s="120" t="s">
        <v>250</v>
      </c>
      <c r="I313" s="120" t="s">
        <v>250</v>
      </c>
      <c r="J313" s="120" t="s">
        <v>250</v>
      </c>
      <c r="K313" s="120" t="s">
        <v>250</v>
      </c>
      <c r="L313" s="120" t="s">
        <v>250</v>
      </c>
      <c r="M313" s="120" t="s">
        <v>250</v>
      </c>
      <c r="N313" s="120" t="s">
        <v>250</v>
      </c>
      <c r="O313" s="120" t="s">
        <v>250</v>
      </c>
      <c r="P313" s="120" t="s">
        <v>250</v>
      </c>
      <c r="Q313" s="120" t="s">
        <v>250</v>
      </c>
      <c r="R313" s="120"/>
      <c r="S313" s="121"/>
    </row>
    <row r="314" spans="1:19" ht="15">
      <c r="A314" s="105" t="s">
        <v>250</v>
      </c>
      <c r="B314" s="105"/>
      <c r="C314" s="107" t="s">
        <v>491</v>
      </c>
      <c r="D314" s="107" t="s">
        <v>250</v>
      </c>
      <c r="E314" s="120" t="s">
        <v>250</v>
      </c>
      <c r="F314" s="120" t="s">
        <v>250</v>
      </c>
      <c r="G314" s="120" t="s">
        <v>250</v>
      </c>
      <c r="H314" s="120" t="s">
        <v>250</v>
      </c>
      <c r="I314" s="120" t="s">
        <v>250</v>
      </c>
      <c r="J314" s="120" t="s">
        <v>250</v>
      </c>
      <c r="K314" s="120" t="s">
        <v>250</v>
      </c>
      <c r="L314" s="120" t="s">
        <v>250</v>
      </c>
      <c r="M314" s="120" t="s">
        <v>250</v>
      </c>
      <c r="N314" s="120" t="s">
        <v>250</v>
      </c>
      <c r="O314" s="120" t="s">
        <v>250</v>
      </c>
      <c r="P314" s="120" t="s">
        <v>250</v>
      </c>
      <c r="Q314" s="120" t="s">
        <v>250</v>
      </c>
      <c r="R314" s="120"/>
      <c r="S314" s="121"/>
    </row>
    <row r="315" spans="1:19" ht="15">
      <c r="A315" s="105" t="s">
        <v>250</v>
      </c>
      <c r="B315" s="105"/>
      <c r="C315" s="107" t="s">
        <v>492</v>
      </c>
      <c r="D315" s="107" t="s">
        <v>250</v>
      </c>
      <c r="E315" s="120" t="s">
        <v>250</v>
      </c>
      <c r="F315" s="120" t="s">
        <v>250</v>
      </c>
      <c r="G315" s="120" t="s">
        <v>250</v>
      </c>
      <c r="H315" s="120" t="s">
        <v>250</v>
      </c>
      <c r="I315" s="120" t="s">
        <v>250</v>
      </c>
      <c r="J315" s="120" t="s">
        <v>250</v>
      </c>
      <c r="K315" s="120" t="s">
        <v>250</v>
      </c>
      <c r="L315" s="120" t="s">
        <v>250</v>
      </c>
      <c r="M315" s="120" t="s">
        <v>250</v>
      </c>
      <c r="N315" s="120" t="s">
        <v>250</v>
      </c>
      <c r="O315" s="120" t="s">
        <v>250</v>
      </c>
      <c r="P315" s="120" t="s">
        <v>250</v>
      </c>
      <c r="Q315" s="120" t="s">
        <v>250</v>
      </c>
      <c r="R315" s="120"/>
      <c r="S315" s="121"/>
    </row>
    <row r="316" spans="1:19" ht="15">
      <c r="A316" s="105">
        <v>21</v>
      </c>
      <c r="B316" s="105"/>
      <c r="C316" s="107" t="s">
        <v>493</v>
      </c>
      <c r="D316" s="107" t="s">
        <v>494</v>
      </c>
      <c r="E316" s="120">
        <v>66398898</v>
      </c>
      <c r="F316" s="120" t="s">
        <v>250</v>
      </c>
      <c r="G316" s="120">
        <v>62536188.102374434</v>
      </c>
      <c r="H316" s="120" t="s">
        <v>250</v>
      </c>
      <c r="I316" s="120">
        <v>2511431.2994070137</v>
      </c>
      <c r="J316" s="120">
        <v>1351278.5982185514</v>
      </c>
      <c r="K316" s="120" t="s">
        <v>250</v>
      </c>
      <c r="L316" s="120" t="s">
        <v>250</v>
      </c>
      <c r="M316" s="120">
        <v>0</v>
      </c>
      <c r="N316" s="120" t="s">
        <v>250</v>
      </c>
      <c r="O316" s="120">
        <v>1351278.5982185514</v>
      </c>
      <c r="P316" s="120">
        <v>693576.21910850285</v>
      </c>
      <c r="Q316" s="120">
        <v>657702.37911004864</v>
      </c>
      <c r="R316" s="120"/>
      <c r="S316" s="121"/>
    </row>
    <row r="317" spans="1:19" ht="15">
      <c r="A317" s="105" t="s">
        <v>250</v>
      </c>
      <c r="B317" s="105"/>
      <c r="C317" s="107" t="s">
        <v>495</v>
      </c>
      <c r="D317" s="107" t="s">
        <v>250</v>
      </c>
      <c r="E317" s="120" t="s">
        <v>250</v>
      </c>
      <c r="F317" s="120" t="s">
        <v>250</v>
      </c>
      <c r="G317" s="120" t="s">
        <v>250</v>
      </c>
      <c r="H317" s="120" t="s">
        <v>250</v>
      </c>
      <c r="I317" s="120" t="s">
        <v>250</v>
      </c>
      <c r="J317" s="120" t="s">
        <v>250</v>
      </c>
      <c r="K317" s="120" t="s">
        <v>250</v>
      </c>
      <c r="L317" s="120" t="s">
        <v>250</v>
      </c>
      <c r="M317" s="120" t="s">
        <v>250</v>
      </c>
      <c r="N317" s="120" t="s">
        <v>250</v>
      </c>
      <c r="O317" s="120" t="s">
        <v>250</v>
      </c>
      <c r="P317" s="120" t="s">
        <v>250</v>
      </c>
      <c r="Q317" s="120" t="s">
        <v>250</v>
      </c>
      <c r="R317" s="120"/>
      <c r="S317" s="121"/>
    </row>
    <row r="318" spans="1:19" ht="15">
      <c r="A318" s="105">
        <v>22</v>
      </c>
      <c r="B318" s="105"/>
      <c r="C318" s="107" t="s">
        <v>496</v>
      </c>
      <c r="D318" s="107" t="s">
        <v>497</v>
      </c>
      <c r="E318" s="120">
        <v>34928288.971130006</v>
      </c>
      <c r="F318" s="120" t="s">
        <v>250</v>
      </c>
      <c r="G318" s="120">
        <v>32744834.335909266</v>
      </c>
      <c r="H318" s="120" t="s">
        <v>250</v>
      </c>
      <c r="I318" s="120">
        <v>1493302.5025187233</v>
      </c>
      <c r="J318" s="120">
        <v>690152.13270201348</v>
      </c>
      <c r="K318" s="120" t="s">
        <v>250</v>
      </c>
      <c r="L318" s="120" t="s">
        <v>250</v>
      </c>
      <c r="M318" s="120">
        <v>0</v>
      </c>
      <c r="N318" s="120" t="s">
        <v>250</v>
      </c>
      <c r="O318" s="120">
        <v>690152.13270201348</v>
      </c>
      <c r="P318" s="120">
        <v>350083.77989577327</v>
      </c>
      <c r="Q318" s="120">
        <v>340068.3528062402</v>
      </c>
      <c r="R318" s="120"/>
      <c r="S318" s="121"/>
    </row>
    <row r="319" spans="1:19" ht="15">
      <c r="A319" s="105">
        <v>23</v>
      </c>
      <c r="B319" s="105"/>
      <c r="C319" s="107" t="s">
        <v>498</v>
      </c>
      <c r="D319" s="107" t="s">
        <v>499</v>
      </c>
      <c r="E319" s="120">
        <v>15886348.729579998</v>
      </c>
      <c r="F319" s="120" t="s">
        <v>250</v>
      </c>
      <c r="G319" s="120">
        <v>14185824.396266157</v>
      </c>
      <c r="H319" s="120" t="s">
        <v>250</v>
      </c>
      <c r="I319" s="120">
        <v>1700524.3333138421</v>
      </c>
      <c r="J319" s="120">
        <v>0</v>
      </c>
      <c r="K319" s="120" t="s">
        <v>250</v>
      </c>
      <c r="L319" s="120" t="s">
        <v>250</v>
      </c>
      <c r="M319" s="120">
        <v>0</v>
      </c>
      <c r="N319" s="120" t="s">
        <v>250</v>
      </c>
      <c r="O319" s="120">
        <v>0</v>
      </c>
      <c r="P319" s="120">
        <v>0</v>
      </c>
      <c r="Q319" s="120">
        <v>0</v>
      </c>
      <c r="R319" s="120"/>
      <c r="S319" s="121"/>
    </row>
    <row r="320" spans="1:19" ht="15">
      <c r="A320" s="105">
        <v>24</v>
      </c>
      <c r="B320" s="105"/>
      <c r="C320" s="107" t="s">
        <v>500</v>
      </c>
      <c r="D320" s="107" t="s">
        <v>501</v>
      </c>
      <c r="E320" s="120">
        <v>10423311.29929</v>
      </c>
      <c r="F320" s="120" t="s">
        <v>250</v>
      </c>
      <c r="G320" s="120">
        <v>9922421.5929088388</v>
      </c>
      <c r="H320" s="120" t="s">
        <v>250</v>
      </c>
      <c r="I320" s="120">
        <v>484856.26382489078</v>
      </c>
      <c r="J320" s="120">
        <v>16033.442556270356</v>
      </c>
      <c r="K320" s="120" t="s">
        <v>250</v>
      </c>
      <c r="L320" s="120" t="s">
        <v>250</v>
      </c>
      <c r="M320" s="120">
        <v>0</v>
      </c>
      <c r="N320" s="120" t="s">
        <v>250</v>
      </c>
      <c r="O320" s="120">
        <v>16033.442556270356</v>
      </c>
      <c r="P320" s="120">
        <v>15911.426533035088</v>
      </c>
      <c r="Q320" s="120">
        <v>122.01602323526866</v>
      </c>
      <c r="R320" s="120"/>
      <c r="S320" s="121"/>
    </row>
    <row r="321" spans="1:19" ht="15">
      <c r="A321" s="105">
        <v>25</v>
      </c>
      <c r="B321" s="105"/>
      <c r="C321" s="107" t="s">
        <v>502</v>
      </c>
      <c r="D321" s="107" t="s">
        <v>467</v>
      </c>
      <c r="E321" s="120">
        <v>0</v>
      </c>
      <c r="F321" s="120" t="s">
        <v>250</v>
      </c>
      <c r="G321" s="120">
        <v>0</v>
      </c>
      <c r="H321" s="120" t="s">
        <v>250</v>
      </c>
      <c r="I321" s="120">
        <v>0</v>
      </c>
      <c r="J321" s="120">
        <v>0</v>
      </c>
      <c r="K321" s="120" t="s">
        <v>250</v>
      </c>
      <c r="L321" s="120" t="s">
        <v>250</v>
      </c>
      <c r="M321" s="120">
        <v>0</v>
      </c>
      <c r="N321" s="120" t="s">
        <v>250</v>
      </c>
      <c r="O321" s="120">
        <v>0</v>
      </c>
      <c r="P321" s="120">
        <v>0</v>
      </c>
      <c r="Q321" s="120">
        <v>0</v>
      </c>
      <c r="R321" s="120"/>
      <c r="S321" s="121"/>
    </row>
    <row r="322" spans="1:19" ht="15">
      <c r="A322" s="105">
        <v>26</v>
      </c>
      <c r="B322" s="105"/>
      <c r="C322" s="107" t="s">
        <v>503</v>
      </c>
      <c r="D322" s="107" t="s">
        <v>504</v>
      </c>
      <c r="E322" s="120">
        <v>3271987.0000000005</v>
      </c>
      <c r="F322" s="120" t="s">
        <v>250</v>
      </c>
      <c r="G322" s="120">
        <v>3037700.3601742359</v>
      </c>
      <c r="H322" s="120" t="s">
        <v>250</v>
      </c>
      <c r="I322" s="120">
        <v>196554.64423210677</v>
      </c>
      <c r="J322" s="120">
        <v>37731.995593657557</v>
      </c>
      <c r="K322" s="120" t="s">
        <v>250</v>
      </c>
      <c r="L322" s="120" t="s">
        <v>250</v>
      </c>
      <c r="M322" s="120">
        <v>0</v>
      </c>
      <c r="N322" s="120" t="s">
        <v>250</v>
      </c>
      <c r="O322" s="120">
        <v>37731.995593657557</v>
      </c>
      <c r="P322" s="120">
        <v>19555.383174204238</v>
      </c>
      <c r="Q322" s="120">
        <v>18176.612419453319</v>
      </c>
      <c r="R322" s="120"/>
      <c r="S322" s="121"/>
    </row>
    <row r="323" spans="1:19" ht="15">
      <c r="A323" s="105">
        <v>27</v>
      </c>
      <c r="B323" s="105"/>
      <c r="C323" s="107" t="s">
        <v>505</v>
      </c>
      <c r="D323" s="107" t="s">
        <v>250</v>
      </c>
      <c r="E323" s="120">
        <v>64509936.000000007</v>
      </c>
      <c r="F323" s="120" t="s">
        <v>250</v>
      </c>
      <c r="G323" s="120">
        <v>59890780.6852585</v>
      </c>
      <c r="H323" s="120" t="s">
        <v>250</v>
      </c>
      <c r="I323" s="120">
        <v>3875237.7438895628</v>
      </c>
      <c r="J323" s="120">
        <v>743917.57085194136</v>
      </c>
      <c r="K323" s="120" t="s">
        <v>250</v>
      </c>
      <c r="L323" s="120" t="s">
        <v>250</v>
      </c>
      <c r="M323" s="120">
        <v>0</v>
      </c>
      <c r="N323" s="120" t="s">
        <v>250</v>
      </c>
      <c r="O323" s="120">
        <v>743917.57085194136</v>
      </c>
      <c r="P323" s="120">
        <v>385550.58960301254</v>
      </c>
      <c r="Q323" s="120">
        <v>358366.98124892882</v>
      </c>
      <c r="R323" s="120"/>
      <c r="S323" s="121"/>
    </row>
    <row r="324" spans="1:19" ht="15">
      <c r="A324" s="105">
        <v>28</v>
      </c>
      <c r="B324" s="105"/>
      <c r="C324" s="107" t="s">
        <v>506</v>
      </c>
      <c r="D324" s="107" t="s">
        <v>250</v>
      </c>
      <c r="E324" s="120">
        <v>130908834.00000001</v>
      </c>
      <c r="F324" s="120" t="s">
        <v>250</v>
      </c>
      <c r="G324" s="120">
        <v>122426968.78763294</v>
      </c>
      <c r="H324" s="120" t="s">
        <v>250</v>
      </c>
      <c r="I324" s="120">
        <v>6386669.0432965765</v>
      </c>
      <c r="J324" s="120">
        <v>2095196.1690704927</v>
      </c>
      <c r="K324" s="120" t="s">
        <v>250</v>
      </c>
      <c r="L324" s="120" t="s">
        <v>250</v>
      </c>
      <c r="M324" s="120">
        <v>0</v>
      </c>
      <c r="N324" s="120" t="s">
        <v>250</v>
      </c>
      <c r="O324" s="120">
        <v>2095196.1690704927</v>
      </c>
      <c r="P324" s="120">
        <v>1079126.8087115153</v>
      </c>
      <c r="Q324" s="120">
        <v>1016069.3603589775</v>
      </c>
      <c r="R324" s="120"/>
      <c r="S324" s="121"/>
    </row>
    <row r="325" spans="1:19" ht="15">
      <c r="A325" s="105" t="s">
        <v>250</v>
      </c>
      <c r="B325" s="105"/>
      <c r="C325" s="107" t="s">
        <v>250</v>
      </c>
      <c r="D325" s="107" t="s">
        <v>250</v>
      </c>
      <c r="E325" s="120" t="s">
        <v>250</v>
      </c>
      <c r="F325" s="120" t="s">
        <v>250</v>
      </c>
      <c r="G325" s="120" t="s">
        <v>250</v>
      </c>
      <c r="H325" s="120" t="s">
        <v>250</v>
      </c>
      <c r="I325" s="120" t="s">
        <v>250</v>
      </c>
      <c r="J325" s="120" t="s">
        <v>250</v>
      </c>
      <c r="K325" s="120" t="s">
        <v>250</v>
      </c>
      <c r="L325" s="120" t="s">
        <v>250</v>
      </c>
      <c r="M325" s="120" t="s">
        <v>250</v>
      </c>
      <c r="N325" s="120" t="s">
        <v>250</v>
      </c>
      <c r="O325" s="120" t="s">
        <v>250</v>
      </c>
      <c r="P325" s="120" t="s">
        <v>250</v>
      </c>
      <c r="Q325" s="120" t="s">
        <v>250</v>
      </c>
      <c r="R325" s="120"/>
      <c r="S325" s="121"/>
    </row>
    <row r="326" spans="1:19" ht="15">
      <c r="A326" s="105" t="s">
        <v>250</v>
      </c>
      <c r="B326" s="105"/>
      <c r="C326" s="107" t="s">
        <v>507</v>
      </c>
      <c r="D326" s="107" t="s">
        <v>250</v>
      </c>
      <c r="E326" s="120" t="s">
        <v>250</v>
      </c>
      <c r="F326" s="120" t="s">
        <v>250</v>
      </c>
      <c r="G326" s="120" t="s">
        <v>250</v>
      </c>
      <c r="H326" s="120" t="s">
        <v>250</v>
      </c>
      <c r="I326" s="120" t="s">
        <v>250</v>
      </c>
      <c r="J326" s="120" t="s">
        <v>250</v>
      </c>
      <c r="K326" s="120" t="s">
        <v>250</v>
      </c>
      <c r="L326" s="120" t="s">
        <v>250</v>
      </c>
      <c r="M326" s="120" t="s">
        <v>250</v>
      </c>
      <c r="N326" s="120" t="s">
        <v>250</v>
      </c>
      <c r="O326" s="120" t="s">
        <v>250</v>
      </c>
      <c r="P326" s="120" t="s">
        <v>250</v>
      </c>
      <c r="Q326" s="120" t="s">
        <v>250</v>
      </c>
      <c r="R326" s="120"/>
      <c r="S326" s="121"/>
    </row>
    <row r="327" spans="1:19" ht="15">
      <c r="A327" s="105">
        <v>29</v>
      </c>
      <c r="B327" s="105"/>
      <c r="C327" s="107" t="s">
        <v>508</v>
      </c>
      <c r="D327" s="107" t="s">
        <v>509</v>
      </c>
      <c r="E327" s="120">
        <v>19279556.74023141</v>
      </c>
      <c r="F327" s="120" t="s">
        <v>250</v>
      </c>
      <c r="G327" s="120">
        <v>19024116.4808103</v>
      </c>
      <c r="H327" s="120" t="s">
        <v>250</v>
      </c>
      <c r="I327" s="120">
        <v>0</v>
      </c>
      <c r="J327" s="120">
        <v>255440.25942111167</v>
      </c>
      <c r="K327" s="120" t="s">
        <v>250</v>
      </c>
      <c r="L327" s="120" t="s">
        <v>250</v>
      </c>
      <c r="M327" s="120">
        <v>0</v>
      </c>
      <c r="N327" s="120" t="s">
        <v>250</v>
      </c>
      <c r="O327" s="120">
        <v>255440.25942111167</v>
      </c>
      <c r="P327" s="120">
        <v>133506.97973973415</v>
      </c>
      <c r="Q327" s="120">
        <v>121933.27968137751</v>
      </c>
      <c r="R327" s="120"/>
      <c r="S327" s="121"/>
    </row>
    <row r="328" spans="1:19" ht="15">
      <c r="A328" s="105">
        <v>30</v>
      </c>
      <c r="B328" s="105"/>
      <c r="C328" s="107" t="s">
        <v>510</v>
      </c>
      <c r="D328" s="107" t="s">
        <v>511</v>
      </c>
      <c r="E328" s="120">
        <v>0</v>
      </c>
      <c r="F328" s="120" t="s">
        <v>250</v>
      </c>
      <c r="G328" s="120">
        <v>0</v>
      </c>
      <c r="H328" s="120" t="s">
        <v>250</v>
      </c>
      <c r="I328" s="120">
        <v>0</v>
      </c>
      <c r="J328" s="120">
        <v>0</v>
      </c>
      <c r="K328" s="120" t="s">
        <v>250</v>
      </c>
      <c r="L328" s="120" t="s">
        <v>250</v>
      </c>
      <c r="M328" s="120">
        <v>0</v>
      </c>
      <c r="N328" s="120" t="s">
        <v>250</v>
      </c>
      <c r="O328" s="120">
        <v>0</v>
      </c>
      <c r="P328" s="120">
        <v>0</v>
      </c>
      <c r="Q328" s="120">
        <v>0</v>
      </c>
      <c r="R328" s="120"/>
      <c r="S328" s="121"/>
    </row>
    <row r="329" spans="1:19" ht="15">
      <c r="A329" s="105">
        <v>31</v>
      </c>
      <c r="B329" s="105"/>
      <c r="C329" s="107" t="s">
        <v>512</v>
      </c>
      <c r="D329" s="107" t="s">
        <v>250</v>
      </c>
      <c r="E329" s="120">
        <v>19279556.74023141</v>
      </c>
      <c r="F329" s="120" t="s">
        <v>250</v>
      </c>
      <c r="G329" s="120">
        <v>19024116.4808103</v>
      </c>
      <c r="H329" s="120" t="s">
        <v>250</v>
      </c>
      <c r="I329" s="120">
        <v>0</v>
      </c>
      <c r="J329" s="120">
        <v>255440.25942111167</v>
      </c>
      <c r="K329" s="120" t="s">
        <v>250</v>
      </c>
      <c r="L329" s="120" t="s">
        <v>250</v>
      </c>
      <c r="M329" s="120">
        <v>0</v>
      </c>
      <c r="N329" s="120" t="s">
        <v>250</v>
      </c>
      <c r="O329" s="120">
        <v>255440.25942111167</v>
      </c>
      <c r="P329" s="120">
        <v>133506.97973973415</v>
      </c>
      <c r="Q329" s="120">
        <v>121933.27968137751</v>
      </c>
      <c r="R329" s="120"/>
      <c r="S329" s="121"/>
    </row>
    <row r="330" spans="1:19" ht="15">
      <c r="A330" s="105" t="s">
        <v>250</v>
      </c>
      <c r="B330" s="105"/>
      <c r="C330" s="107" t="s">
        <v>250</v>
      </c>
      <c r="D330" s="107" t="s">
        <v>250</v>
      </c>
      <c r="E330" s="120" t="s">
        <v>250</v>
      </c>
      <c r="F330" s="120" t="s">
        <v>250</v>
      </c>
      <c r="G330" s="120" t="s">
        <v>250</v>
      </c>
      <c r="H330" s="120" t="s">
        <v>250</v>
      </c>
      <c r="I330" s="120" t="s">
        <v>250</v>
      </c>
      <c r="J330" s="120" t="s">
        <v>250</v>
      </c>
      <c r="K330" s="120" t="s">
        <v>250</v>
      </c>
      <c r="L330" s="120" t="s">
        <v>250</v>
      </c>
      <c r="M330" s="120" t="s">
        <v>250</v>
      </c>
      <c r="N330" s="120" t="s">
        <v>250</v>
      </c>
      <c r="O330" s="120" t="s">
        <v>250</v>
      </c>
      <c r="P330" s="120" t="s">
        <v>250</v>
      </c>
      <c r="Q330" s="120" t="s">
        <v>250</v>
      </c>
      <c r="R330" s="120"/>
      <c r="S330" s="121"/>
    </row>
    <row r="331" spans="1:19" ht="15">
      <c r="A331" s="105">
        <v>32</v>
      </c>
      <c r="B331" s="105"/>
      <c r="C331" s="107" t="s">
        <v>513</v>
      </c>
      <c r="D331" s="107" t="s">
        <v>250</v>
      </c>
      <c r="E331" s="120">
        <v>141138202.09120801</v>
      </c>
      <c r="F331" s="120" t="s">
        <v>250</v>
      </c>
      <c r="G331" s="120">
        <v>129933874.99042901</v>
      </c>
      <c r="H331" s="120" t="s">
        <v>250</v>
      </c>
      <c r="I331" s="120">
        <v>9535669.2656360883</v>
      </c>
      <c r="J331" s="120">
        <v>1668657.8351429114</v>
      </c>
      <c r="K331" s="120" t="s">
        <v>250</v>
      </c>
      <c r="L331" s="120" t="s">
        <v>250</v>
      </c>
      <c r="M331" s="120">
        <v>0</v>
      </c>
      <c r="N331" s="120" t="s">
        <v>250</v>
      </c>
      <c r="O331" s="120">
        <v>1668657.8351429114</v>
      </c>
      <c r="P331" s="120">
        <v>859437.38609817624</v>
      </c>
      <c r="Q331" s="120">
        <v>809220.44904473529</v>
      </c>
      <c r="R331" s="120"/>
      <c r="S331" s="121"/>
    </row>
    <row r="332" spans="1:19" ht="15">
      <c r="A332" s="105" t="s">
        <v>250</v>
      </c>
      <c r="B332" s="105"/>
      <c r="C332" s="107" t="s">
        <v>250</v>
      </c>
      <c r="D332" s="107" t="s">
        <v>250</v>
      </c>
      <c r="E332" s="120" t="s">
        <v>250</v>
      </c>
      <c r="F332" s="120" t="s">
        <v>250</v>
      </c>
      <c r="G332" s="120" t="s">
        <v>250</v>
      </c>
      <c r="H332" s="120" t="s">
        <v>250</v>
      </c>
      <c r="I332" s="120" t="s">
        <v>250</v>
      </c>
      <c r="J332" s="120" t="s">
        <v>250</v>
      </c>
      <c r="K332" s="120" t="s">
        <v>250</v>
      </c>
      <c r="L332" s="120" t="s">
        <v>250</v>
      </c>
      <c r="M332" s="120" t="s">
        <v>250</v>
      </c>
      <c r="N332" s="120" t="s">
        <v>250</v>
      </c>
      <c r="O332" s="120" t="s">
        <v>250</v>
      </c>
      <c r="P332" s="120" t="s">
        <v>250</v>
      </c>
      <c r="Q332" s="120" t="s">
        <v>250</v>
      </c>
      <c r="R332" s="120"/>
      <c r="S332" s="121"/>
    </row>
    <row r="333" spans="1:19" ht="15">
      <c r="A333" s="105">
        <v>33</v>
      </c>
      <c r="B333" s="105"/>
      <c r="C333" s="107" t="s">
        <v>514</v>
      </c>
      <c r="D333" s="107" t="s">
        <v>250</v>
      </c>
      <c r="E333" s="120">
        <v>291326592.83143944</v>
      </c>
      <c r="F333" s="120" t="s">
        <v>250</v>
      </c>
      <c r="G333" s="120">
        <v>271384960.25887227</v>
      </c>
      <c r="H333" s="120" t="s">
        <v>250</v>
      </c>
      <c r="I333" s="120">
        <v>15922338.308932666</v>
      </c>
      <c r="J333" s="120">
        <v>4019294.2636345159</v>
      </c>
      <c r="K333" s="120" t="s">
        <v>250</v>
      </c>
      <c r="L333" s="120" t="s">
        <v>250</v>
      </c>
      <c r="M333" s="120">
        <v>0</v>
      </c>
      <c r="N333" s="120" t="s">
        <v>250</v>
      </c>
      <c r="O333" s="120">
        <v>4019294.2636345159</v>
      </c>
      <c r="P333" s="120">
        <v>2072071.1745494257</v>
      </c>
      <c r="Q333" s="120">
        <v>1947223.0890850902</v>
      </c>
      <c r="R333" s="120"/>
      <c r="S333" s="121"/>
    </row>
    <row r="334" spans="1:19" ht="15">
      <c r="A334" s="105" t="s">
        <v>250</v>
      </c>
      <c r="B334" s="105"/>
      <c r="C334" s="107" t="s">
        <v>250</v>
      </c>
      <c r="D334" s="107" t="s">
        <v>250</v>
      </c>
      <c r="E334" s="120" t="s">
        <v>250</v>
      </c>
      <c r="F334" s="120" t="s">
        <v>250</v>
      </c>
      <c r="G334" s="120" t="s">
        <v>250</v>
      </c>
      <c r="H334" s="120" t="s">
        <v>250</v>
      </c>
      <c r="I334" s="120" t="s">
        <v>250</v>
      </c>
      <c r="J334" s="120" t="s">
        <v>250</v>
      </c>
      <c r="K334" s="120" t="s">
        <v>250</v>
      </c>
      <c r="L334" s="120" t="s">
        <v>250</v>
      </c>
      <c r="M334" s="120" t="s">
        <v>250</v>
      </c>
      <c r="N334" s="120" t="s">
        <v>250</v>
      </c>
      <c r="O334" s="120" t="s">
        <v>250</v>
      </c>
      <c r="P334" s="120" t="s">
        <v>250</v>
      </c>
      <c r="Q334" s="120" t="s">
        <v>250</v>
      </c>
      <c r="R334" s="120"/>
      <c r="S334" s="121"/>
    </row>
    <row r="335" spans="1:19" ht="15">
      <c r="A335" s="105">
        <v>34</v>
      </c>
      <c r="B335" s="105"/>
      <c r="C335" s="107" t="s">
        <v>515</v>
      </c>
      <c r="D335" s="107" t="s">
        <v>303</v>
      </c>
      <c r="E335" s="120">
        <v>124309.99999999999</v>
      </c>
      <c r="F335" s="120" t="s">
        <v>250</v>
      </c>
      <c r="G335" s="120">
        <v>116616.82555912728</v>
      </c>
      <c r="H335" s="120" t="s">
        <v>250</v>
      </c>
      <c r="I335" s="120">
        <v>5281.3257814103008</v>
      </c>
      <c r="J335" s="120">
        <v>2411.8486594624173</v>
      </c>
      <c r="K335" s="120" t="s">
        <v>250</v>
      </c>
      <c r="L335" s="120" t="s">
        <v>250</v>
      </c>
      <c r="M335" s="120">
        <v>0</v>
      </c>
      <c r="N335" s="120" t="s">
        <v>250</v>
      </c>
      <c r="O335" s="120">
        <v>2411.8486594624173</v>
      </c>
      <c r="P335" s="120">
        <v>1223.4245976107427</v>
      </c>
      <c r="Q335" s="120">
        <v>1188.4240618516744</v>
      </c>
      <c r="R335" s="120"/>
      <c r="S335" s="121"/>
    </row>
    <row r="336" spans="1:19" ht="15">
      <c r="A336" s="105" t="s">
        <v>250</v>
      </c>
      <c r="B336" s="105"/>
      <c r="C336" s="107" t="s">
        <v>250</v>
      </c>
      <c r="D336" s="107" t="s">
        <v>250</v>
      </c>
      <c r="E336" s="120" t="s">
        <v>250</v>
      </c>
      <c r="F336" s="120" t="s">
        <v>250</v>
      </c>
      <c r="G336" s="120" t="s">
        <v>250</v>
      </c>
      <c r="H336" s="120" t="s">
        <v>250</v>
      </c>
      <c r="I336" s="120" t="s">
        <v>250</v>
      </c>
      <c r="J336" s="120" t="s">
        <v>250</v>
      </c>
      <c r="K336" s="120" t="s">
        <v>250</v>
      </c>
      <c r="L336" s="120" t="s">
        <v>250</v>
      </c>
      <c r="M336" s="120" t="s">
        <v>250</v>
      </c>
      <c r="N336" s="120" t="s">
        <v>250</v>
      </c>
      <c r="O336" s="120" t="s">
        <v>250</v>
      </c>
      <c r="P336" s="120" t="s">
        <v>250</v>
      </c>
      <c r="Q336" s="120" t="s">
        <v>250</v>
      </c>
      <c r="R336" s="120"/>
      <c r="S336" s="121"/>
    </row>
    <row r="337" spans="1:19" ht="15">
      <c r="A337" s="105">
        <v>35</v>
      </c>
      <c r="B337" s="105"/>
      <c r="C337" s="107" t="s">
        <v>2390</v>
      </c>
      <c r="D337" s="107" t="s">
        <v>303</v>
      </c>
      <c r="E337" s="120">
        <v>183002470.17830518</v>
      </c>
      <c r="F337" s="120" t="s">
        <v>250</v>
      </c>
      <c r="G337" s="120">
        <v>174570689</v>
      </c>
      <c r="H337" s="120" t="s">
        <v>250</v>
      </c>
      <c r="I337" s="120">
        <v>6196953.0122768618</v>
      </c>
      <c r="J337" s="120">
        <v>2234828.1660283152</v>
      </c>
      <c r="K337" s="120" t="s">
        <v>250</v>
      </c>
      <c r="L337" s="120" t="s">
        <v>250</v>
      </c>
      <c r="M337" s="120">
        <v>0</v>
      </c>
      <c r="N337" s="120" t="s">
        <v>250</v>
      </c>
      <c r="O337" s="120">
        <v>2234828.1660283152</v>
      </c>
      <c r="P337" s="120">
        <v>1133629.8979728546</v>
      </c>
      <c r="Q337" s="120">
        <v>1101198.2680554606</v>
      </c>
      <c r="R337" s="120"/>
      <c r="S337" s="121"/>
    </row>
    <row r="338" spans="1:19" ht="15">
      <c r="A338" s="105" t="s">
        <v>250</v>
      </c>
      <c r="B338" s="105"/>
      <c r="C338" s="107" t="s">
        <v>250</v>
      </c>
      <c r="D338" s="107" t="s">
        <v>250</v>
      </c>
      <c r="E338" s="120" t="s">
        <v>250</v>
      </c>
      <c r="F338" s="120" t="s">
        <v>250</v>
      </c>
      <c r="G338" s="120" t="s">
        <v>250</v>
      </c>
      <c r="H338" s="120" t="s">
        <v>250</v>
      </c>
      <c r="I338" s="120" t="s">
        <v>250</v>
      </c>
      <c r="J338" s="120" t="s">
        <v>250</v>
      </c>
      <c r="K338" s="120" t="s">
        <v>250</v>
      </c>
      <c r="L338" s="120" t="s">
        <v>250</v>
      </c>
      <c r="M338" s="120" t="s">
        <v>250</v>
      </c>
      <c r="N338" s="120" t="s">
        <v>250</v>
      </c>
      <c r="O338" s="120" t="s">
        <v>250</v>
      </c>
      <c r="P338" s="120" t="s">
        <v>250</v>
      </c>
      <c r="Q338" s="120" t="s">
        <v>250</v>
      </c>
      <c r="R338" s="120"/>
      <c r="S338" s="121"/>
    </row>
    <row r="339" spans="1:19" ht="15">
      <c r="A339" s="105">
        <v>36</v>
      </c>
      <c r="B339" s="105"/>
      <c r="C339" s="107" t="s">
        <v>516</v>
      </c>
      <c r="D339" s="107" t="s">
        <v>250</v>
      </c>
      <c r="E339" s="120">
        <v>771288226.5906533</v>
      </c>
      <c r="F339" s="120" t="s">
        <v>250</v>
      </c>
      <c r="G339" s="120">
        <v>715958458.11404407</v>
      </c>
      <c r="H339" s="120" t="s">
        <v>250</v>
      </c>
      <c r="I339" s="120">
        <v>45935759.770455509</v>
      </c>
      <c r="J339" s="120">
        <v>9394008.7061537579</v>
      </c>
      <c r="K339" s="120" t="s">
        <v>250</v>
      </c>
      <c r="L339" s="120" t="s">
        <v>250</v>
      </c>
      <c r="M339" s="120">
        <v>0</v>
      </c>
      <c r="N339" s="120" t="s">
        <v>250</v>
      </c>
      <c r="O339" s="120">
        <v>9394008.7061537579</v>
      </c>
      <c r="P339" s="120">
        <v>4860718.9647075944</v>
      </c>
      <c r="Q339" s="120">
        <v>4533289.7414461626</v>
      </c>
      <c r="R339" s="120"/>
      <c r="S339" s="121"/>
    </row>
    <row r="340" spans="1:19" ht="15">
      <c r="A340" s="105" t="s">
        <v>250</v>
      </c>
      <c r="B340" s="105"/>
      <c r="C340" s="107" t="s">
        <v>250</v>
      </c>
      <c r="D340" s="107" t="s">
        <v>250</v>
      </c>
      <c r="E340" s="120" t="s">
        <v>250</v>
      </c>
      <c r="F340" s="120" t="s">
        <v>250</v>
      </c>
      <c r="G340" s="120" t="s">
        <v>250</v>
      </c>
      <c r="H340" s="120" t="s">
        <v>250</v>
      </c>
      <c r="I340" s="120" t="s">
        <v>250</v>
      </c>
      <c r="J340" s="120" t="s">
        <v>250</v>
      </c>
      <c r="K340" s="120" t="s">
        <v>250</v>
      </c>
      <c r="L340" s="120" t="s">
        <v>250</v>
      </c>
      <c r="M340" s="120" t="s">
        <v>250</v>
      </c>
      <c r="N340" s="120" t="s">
        <v>250</v>
      </c>
      <c r="O340" s="120" t="s">
        <v>250</v>
      </c>
      <c r="P340" s="120" t="s">
        <v>250</v>
      </c>
      <c r="Q340" s="120" t="s">
        <v>250</v>
      </c>
      <c r="R340" s="120"/>
      <c r="S340" s="121"/>
    </row>
    <row r="341" spans="1:19" ht="15">
      <c r="A341" s="105" t="s">
        <v>250</v>
      </c>
      <c r="B341" s="105"/>
      <c r="C341" s="107" t="s">
        <v>250</v>
      </c>
      <c r="D341" s="107" t="s">
        <v>250</v>
      </c>
      <c r="E341" s="120" t="s">
        <v>250</v>
      </c>
      <c r="F341" s="120" t="s">
        <v>250</v>
      </c>
      <c r="G341" s="120" t="s">
        <v>250</v>
      </c>
      <c r="H341" s="120" t="s">
        <v>250</v>
      </c>
      <c r="I341" s="120" t="s">
        <v>250</v>
      </c>
      <c r="J341" s="120" t="s">
        <v>250</v>
      </c>
      <c r="K341" s="120" t="s">
        <v>250</v>
      </c>
      <c r="L341" s="120" t="s">
        <v>250</v>
      </c>
      <c r="M341" s="120" t="s">
        <v>250</v>
      </c>
      <c r="N341" s="120" t="s">
        <v>250</v>
      </c>
      <c r="O341" s="120" t="s">
        <v>250</v>
      </c>
      <c r="P341" s="120" t="s">
        <v>250</v>
      </c>
      <c r="Q341" s="120" t="s">
        <v>250</v>
      </c>
      <c r="R341" s="120"/>
      <c r="S341" s="121"/>
    </row>
    <row r="342" spans="1:19" ht="15">
      <c r="A342" s="105" t="s">
        <v>250</v>
      </c>
      <c r="B342" s="105"/>
      <c r="C342" s="107" t="s">
        <v>517</v>
      </c>
      <c r="D342" s="107" t="s">
        <v>250</v>
      </c>
      <c r="E342" s="120" t="s">
        <v>250</v>
      </c>
      <c r="F342" s="120" t="s">
        <v>250</v>
      </c>
      <c r="G342" s="120" t="s">
        <v>250</v>
      </c>
      <c r="H342" s="120" t="s">
        <v>250</v>
      </c>
      <c r="I342" s="120" t="s">
        <v>250</v>
      </c>
      <c r="J342" s="120" t="s">
        <v>250</v>
      </c>
      <c r="K342" s="120" t="s">
        <v>250</v>
      </c>
      <c r="L342" s="120" t="s">
        <v>250</v>
      </c>
      <c r="M342" s="120" t="s">
        <v>250</v>
      </c>
      <c r="N342" s="120" t="s">
        <v>250</v>
      </c>
      <c r="O342" s="120" t="s">
        <v>250</v>
      </c>
      <c r="P342" s="120" t="s">
        <v>250</v>
      </c>
      <c r="Q342" s="120" t="s">
        <v>250</v>
      </c>
      <c r="R342" s="120"/>
      <c r="S342" s="121"/>
    </row>
    <row r="343" spans="1:19" ht="15">
      <c r="A343" s="105" t="s">
        <v>250</v>
      </c>
      <c r="B343" s="105"/>
      <c r="C343" s="107" t="s">
        <v>250</v>
      </c>
      <c r="D343" s="107" t="s">
        <v>250</v>
      </c>
      <c r="E343" s="120" t="s">
        <v>250</v>
      </c>
      <c r="F343" s="120" t="s">
        <v>250</v>
      </c>
      <c r="G343" s="120" t="s">
        <v>250</v>
      </c>
      <c r="H343" s="120" t="s">
        <v>250</v>
      </c>
      <c r="I343" s="120" t="s">
        <v>250</v>
      </c>
      <c r="J343" s="120" t="s">
        <v>250</v>
      </c>
      <c r="K343" s="120" t="s">
        <v>250</v>
      </c>
      <c r="L343" s="120" t="s">
        <v>250</v>
      </c>
      <c r="M343" s="120" t="s">
        <v>250</v>
      </c>
      <c r="N343" s="120" t="s">
        <v>250</v>
      </c>
      <c r="O343" s="120" t="s">
        <v>250</v>
      </c>
      <c r="P343" s="120" t="s">
        <v>250</v>
      </c>
      <c r="Q343" s="120" t="s">
        <v>250</v>
      </c>
      <c r="R343" s="120"/>
      <c r="S343" s="121"/>
    </row>
    <row r="344" spans="1:19" ht="15">
      <c r="A344" s="105" t="s">
        <v>250</v>
      </c>
      <c r="B344" s="105"/>
      <c r="C344" s="107" t="s">
        <v>518</v>
      </c>
      <c r="D344" s="107" t="s">
        <v>250</v>
      </c>
      <c r="E344" s="120" t="s">
        <v>250</v>
      </c>
      <c r="F344" s="120" t="s">
        <v>250</v>
      </c>
      <c r="G344" s="120" t="s">
        <v>250</v>
      </c>
      <c r="H344" s="120" t="s">
        <v>250</v>
      </c>
      <c r="I344" s="120" t="s">
        <v>250</v>
      </c>
      <c r="J344" s="120" t="s">
        <v>250</v>
      </c>
      <c r="K344" s="120" t="s">
        <v>250</v>
      </c>
      <c r="L344" s="120" t="s">
        <v>250</v>
      </c>
      <c r="M344" s="120" t="s">
        <v>250</v>
      </c>
      <c r="N344" s="120" t="s">
        <v>250</v>
      </c>
      <c r="O344" s="120" t="s">
        <v>250</v>
      </c>
      <c r="P344" s="120" t="s">
        <v>250</v>
      </c>
      <c r="Q344" s="120" t="s">
        <v>250</v>
      </c>
      <c r="R344" s="120"/>
      <c r="S344" s="121"/>
    </row>
    <row r="345" spans="1:19" ht="15">
      <c r="A345" s="105" t="s">
        <v>250</v>
      </c>
      <c r="B345" s="105"/>
      <c r="C345" s="107" t="s">
        <v>250</v>
      </c>
      <c r="D345" s="107" t="s">
        <v>250</v>
      </c>
      <c r="E345" s="120" t="s">
        <v>250</v>
      </c>
      <c r="F345" s="120" t="s">
        <v>250</v>
      </c>
      <c r="G345" s="120" t="s">
        <v>250</v>
      </c>
      <c r="H345" s="120" t="s">
        <v>250</v>
      </c>
      <c r="I345" s="120" t="s">
        <v>250</v>
      </c>
      <c r="J345" s="120" t="s">
        <v>250</v>
      </c>
      <c r="K345" s="120" t="s">
        <v>250</v>
      </c>
      <c r="L345" s="120" t="s">
        <v>250</v>
      </c>
      <c r="M345" s="120" t="s">
        <v>250</v>
      </c>
      <c r="N345" s="120" t="s">
        <v>250</v>
      </c>
      <c r="O345" s="120" t="s">
        <v>250</v>
      </c>
      <c r="P345" s="120" t="s">
        <v>250</v>
      </c>
      <c r="Q345" s="120" t="s">
        <v>250</v>
      </c>
      <c r="R345" s="120"/>
      <c r="S345" s="121"/>
    </row>
    <row r="346" spans="1:19" ht="15">
      <c r="A346" s="105" t="s">
        <v>250</v>
      </c>
      <c r="B346" s="105"/>
      <c r="C346" s="107" t="s">
        <v>440</v>
      </c>
      <c r="D346" s="107" t="s">
        <v>250</v>
      </c>
      <c r="E346" s="120" t="s">
        <v>250</v>
      </c>
      <c r="F346" s="120" t="s">
        <v>250</v>
      </c>
      <c r="G346" s="120" t="s">
        <v>250</v>
      </c>
      <c r="H346" s="120" t="s">
        <v>250</v>
      </c>
      <c r="I346" s="120" t="s">
        <v>250</v>
      </c>
      <c r="J346" s="120" t="s">
        <v>250</v>
      </c>
      <c r="K346" s="120" t="s">
        <v>250</v>
      </c>
      <c r="L346" s="120" t="s">
        <v>250</v>
      </c>
      <c r="M346" s="120" t="s">
        <v>250</v>
      </c>
      <c r="N346" s="120" t="s">
        <v>250</v>
      </c>
      <c r="O346" s="120" t="s">
        <v>250</v>
      </c>
      <c r="P346" s="120" t="s">
        <v>250</v>
      </c>
      <c r="Q346" s="120" t="s">
        <v>250</v>
      </c>
      <c r="R346" s="120"/>
      <c r="S346" s="121"/>
    </row>
    <row r="347" spans="1:19" ht="15">
      <c r="A347" s="105">
        <v>1</v>
      </c>
      <c r="B347" s="105"/>
      <c r="C347" s="107" t="s">
        <v>476</v>
      </c>
      <c r="D347" s="107" t="s">
        <v>477</v>
      </c>
      <c r="E347" s="120">
        <v>843246489.5191505</v>
      </c>
      <c r="F347" s="120" t="s">
        <v>250</v>
      </c>
      <c r="G347" s="120">
        <v>791085052.07518125</v>
      </c>
      <c r="H347" s="120" t="s">
        <v>250</v>
      </c>
      <c r="I347" s="120">
        <v>35808565.954862773</v>
      </c>
      <c r="J347" s="120">
        <v>16352871.489106454</v>
      </c>
      <c r="K347" s="120" t="s">
        <v>250</v>
      </c>
      <c r="L347" s="120" t="s">
        <v>250</v>
      </c>
      <c r="M347" s="120">
        <v>0</v>
      </c>
      <c r="N347" s="120" t="s">
        <v>250</v>
      </c>
      <c r="O347" s="120">
        <v>16352871.489106454</v>
      </c>
      <c r="P347" s="120">
        <v>8295091.4614184583</v>
      </c>
      <c r="Q347" s="120">
        <v>8057780.0276879957</v>
      </c>
      <c r="R347" s="120"/>
      <c r="S347" s="121"/>
    </row>
    <row r="348" spans="1:19" ht="15">
      <c r="A348" s="105">
        <v>2</v>
      </c>
      <c r="B348" s="105"/>
      <c r="C348" s="107" t="s">
        <v>478</v>
      </c>
      <c r="D348" s="107" t="s">
        <v>311</v>
      </c>
      <c r="E348" s="120">
        <v>9720.6309078574031</v>
      </c>
      <c r="F348" s="120" t="s">
        <v>250</v>
      </c>
      <c r="G348" s="120">
        <v>5000.0330978468592</v>
      </c>
      <c r="H348" s="120" t="s">
        <v>250</v>
      </c>
      <c r="I348" s="120">
        <v>3240.6667896704425</v>
      </c>
      <c r="J348" s="120">
        <v>1479.9310203401019</v>
      </c>
      <c r="K348" s="120" t="s">
        <v>250</v>
      </c>
      <c r="L348" s="120" t="s">
        <v>250</v>
      </c>
      <c r="M348" s="120">
        <v>0</v>
      </c>
      <c r="N348" s="120" t="s">
        <v>250</v>
      </c>
      <c r="O348" s="120">
        <v>1479.9310203401019</v>
      </c>
      <c r="P348" s="120">
        <v>750.70382461510269</v>
      </c>
      <c r="Q348" s="120">
        <v>729.22719572499909</v>
      </c>
      <c r="R348" s="120"/>
      <c r="S348" s="121"/>
    </row>
    <row r="349" spans="1:19" ht="15">
      <c r="A349" s="105">
        <v>3</v>
      </c>
      <c r="B349" s="105"/>
      <c r="C349" s="107" t="s">
        <v>479</v>
      </c>
      <c r="D349" s="107" t="s">
        <v>313</v>
      </c>
      <c r="E349" s="120">
        <v>256864.53933731702</v>
      </c>
      <c r="F349" s="120" t="s">
        <v>250</v>
      </c>
      <c r="G349" s="120">
        <v>198200.35650276358</v>
      </c>
      <c r="H349" s="120" t="s">
        <v>250</v>
      </c>
      <c r="I349" s="120">
        <v>0</v>
      </c>
      <c r="J349" s="120">
        <v>58664.182834553452</v>
      </c>
      <c r="K349" s="120" t="s">
        <v>250</v>
      </c>
      <c r="L349" s="120" t="s">
        <v>250</v>
      </c>
      <c r="M349" s="120">
        <v>0</v>
      </c>
      <c r="N349" s="120" t="s">
        <v>250</v>
      </c>
      <c r="O349" s="120">
        <v>58664.182834553452</v>
      </c>
      <c r="P349" s="120">
        <v>29757.756149809105</v>
      </c>
      <c r="Q349" s="120">
        <v>28906.426684744347</v>
      </c>
      <c r="R349" s="120"/>
      <c r="S349" s="121"/>
    </row>
    <row r="350" spans="1:19" ht="15">
      <c r="A350" s="105">
        <v>4</v>
      </c>
      <c r="B350" s="105"/>
      <c r="C350" s="107" t="s">
        <v>480</v>
      </c>
      <c r="D350" s="107" t="s">
        <v>250</v>
      </c>
      <c r="E350" s="120">
        <v>843513074.68939567</v>
      </c>
      <c r="F350" s="120" t="s">
        <v>250</v>
      </c>
      <c r="G350" s="120">
        <v>791288252.46478188</v>
      </c>
      <c r="H350" s="120" t="s">
        <v>250</v>
      </c>
      <c r="I350" s="120">
        <v>35811806.621652447</v>
      </c>
      <c r="J350" s="120">
        <v>16413015.602961347</v>
      </c>
      <c r="K350" s="120" t="s">
        <v>250</v>
      </c>
      <c r="L350" s="120" t="s">
        <v>250</v>
      </c>
      <c r="M350" s="120">
        <v>0</v>
      </c>
      <c r="N350" s="120" t="s">
        <v>250</v>
      </c>
      <c r="O350" s="120">
        <v>16413015.602961347</v>
      </c>
      <c r="P350" s="120">
        <v>8325599.9213928822</v>
      </c>
      <c r="Q350" s="120">
        <v>8087415.6815684652</v>
      </c>
      <c r="R350" s="120"/>
      <c r="S350" s="121"/>
    </row>
    <row r="351" spans="1:19" ht="15">
      <c r="A351" s="105" t="s">
        <v>250</v>
      </c>
      <c r="B351" s="105"/>
      <c r="C351" s="107" t="s">
        <v>250</v>
      </c>
      <c r="D351" s="107" t="s">
        <v>250</v>
      </c>
      <c r="E351" s="120" t="s">
        <v>250</v>
      </c>
      <c r="F351" s="120" t="s">
        <v>250</v>
      </c>
      <c r="G351" s="120" t="s">
        <v>250</v>
      </c>
      <c r="H351" s="120" t="s">
        <v>250</v>
      </c>
      <c r="I351" s="120" t="s">
        <v>250</v>
      </c>
      <c r="J351" s="120" t="s">
        <v>250</v>
      </c>
      <c r="K351" s="120" t="s">
        <v>250</v>
      </c>
      <c r="L351" s="120" t="s">
        <v>250</v>
      </c>
      <c r="M351" s="120" t="s">
        <v>250</v>
      </c>
      <c r="N351" s="120" t="s">
        <v>250</v>
      </c>
      <c r="O351" s="120" t="s">
        <v>250</v>
      </c>
      <c r="P351" s="120" t="s">
        <v>250</v>
      </c>
      <c r="Q351" s="120" t="s">
        <v>250</v>
      </c>
      <c r="R351" s="120"/>
      <c r="S351" s="121"/>
    </row>
    <row r="352" spans="1:19" ht="15">
      <c r="A352" s="105" t="s">
        <v>250</v>
      </c>
      <c r="B352" s="105"/>
      <c r="C352" s="107" t="s">
        <v>454</v>
      </c>
      <c r="D352" s="107" t="s">
        <v>250</v>
      </c>
      <c r="E352" s="120" t="s">
        <v>250</v>
      </c>
      <c r="F352" s="120" t="s">
        <v>250</v>
      </c>
      <c r="G352" s="120" t="s">
        <v>250</v>
      </c>
      <c r="H352" s="120" t="s">
        <v>250</v>
      </c>
      <c r="I352" s="120" t="s">
        <v>250</v>
      </c>
      <c r="J352" s="120" t="s">
        <v>250</v>
      </c>
      <c r="K352" s="120" t="s">
        <v>250</v>
      </c>
      <c r="L352" s="120" t="s">
        <v>250</v>
      </c>
      <c r="M352" s="120" t="s">
        <v>250</v>
      </c>
      <c r="N352" s="120" t="s">
        <v>250</v>
      </c>
      <c r="O352" s="120" t="s">
        <v>250</v>
      </c>
      <c r="P352" s="120" t="s">
        <v>250</v>
      </c>
      <c r="Q352" s="120" t="s">
        <v>250</v>
      </c>
      <c r="R352" s="120"/>
      <c r="S352" s="121"/>
    </row>
    <row r="353" spans="1:19" ht="15">
      <c r="A353" s="105">
        <v>5</v>
      </c>
      <c r="B353" s="105"/>
      <c r="C353" s="107" t="s">
        <v>455</v>
      </c>
      <c r="D353" s="107" t="s">
        <v>456</v>
      </c>
      <c r="E353" s="120">
        <v>207645635.89405656</v>
      </c>
      <c r="F353" s="120" t="s">
        <v>250</v>
      </c>
      <c r="G353" s="120">
        <v>198589240.91587257</v>
      </c>
      <c r="H353" s="120" t="s">
        <v>250</v>
      </c>
      <c r="I353" s="120">
        <v>9056394.9781839848</v>
      </c>
      <c r="J353" s="120">
        <v>0</v>
      </c>
      <c r="K353" s="120" t="s">
        <v>250</v>
      </c>
      <c r="L353" s="120" t="s">
        <v>250</v>
      </c>
      <c r="M353" s="120">
        <v>0</v>
      </c>
      <c r="N353" s="120" t="s">
        <v>250</v>
      </c>
      <c r="O353" s="120">
        <v>0</v>
      </c>
      <c r="P353" s="120">
        <v>0</v>
      </c>
      <c r="Q353" s="120">
        <v>0</v>
      </c>
      <c r="R353" s="120"/>
      <c r="S353" s="121"/>
    </row>
    <row r="354" spans="1:19" ht="15">
      <c r="A354" s="105">
        <v>6</v>
      </c>
      <c r="B354" s="105"/>
      <c r="C354" s="107" t="s">
        <v>519</v>
      </c>
      <c r="D354" s="107" t="s">
        <v>354</v>
      </c>
      <c r="E354" s="120">
        <v>0</v>
      </c>
      <c r="F354" s="120" t="s">
        <v>250</v>
      </c>
      <c r="G354" s="120">
        <v>0</v>
      </c>
      <c r="H354" s="120" t="s">
        <v>250</v>
      </c>
      <c r="I354" s="120">
        <v>0</v>
      </c>
      <c r="J354" s="120">
        <v>0</v>
      </c>
      <c r="K354" s="120" t="s">
        <v>250</v>
      </c>
      <c r="L354" s="120" t="s">
        <v>250</v>
      </c>
      <c r="M354" s="120">
        <v>0</v>
      </c>
      <c r="N354" s="120" t="s">
        <v>250</v>
      </c>
      <c r="O354" s="120">
        <v>0</v>
      </c>
      <c r="P354" s="120">
        <v>0</v>
      </c>
      <c r="Q354" s="120">
        <v>0</v>
      </c>
      <c r="R354" s="120"/>
      <c r="S354" s="121"/>
    </row>
    <row r="355" spans="1:19" ht="15">
      <c r="A355" s="105">
        <v>7</v>
      </c>
      <c r="B355" s="105"/>
      <c r="C355" s="107" t="s">
        <v>520</v>
      </c>
      <c r="D355" s="107" t="s">
        <v>483</v>
      </c>
      <c r="E355" s="120">
        <v>19080232.917366691</v>
      </c>
      <c r="F355" s="120" t="s">
        <v>250</v>
      </c>
      <c r="G355" s="120">
        <v>0</v>
      </c>
      <c r="H355" s="120" t="s">
        <v>250</v>
      </c>
      <c r="I355" s="120">
        <v>19080232.917366691</v>
      </c>
      <c r="J355" s="120">
        <v>0</v>
      </c>
      <c r="K355" s="120" t="s">
        <v>250</v>
      </c>
      <c r="L355" s="120" t="s">
        <v>250</v>
      </c>
      <c r="M355" s="120">
        <v>0</v>
      </c>
      <c r="N355" s="120" t="s">
        <v>250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8</v>
      </c>
      <c r="B356" s="105"/>
      <c r="C356" s="107" t="s">
        <v>459</v>
      </c>
      <c r="D356" s="107" t="s">
        <v>311</v>
      </c>
      <c r="E356" s="120">
        <v>1715.4054543277673</v>
      </c>
      <c r="F356" s="120" t="s">
        <v>250</v>
      </c>
      <c r="G356" s="120">
        <v>882.35878197297018</v>
      </c>
      <c r="H356" s="120" t="s">
        <v>250</v>
      </c>
      <c r="I356" s="120">
        <v>571.88237464772192</v>
      </c>
      <c r="J356" s="120">
        <v>261.16429770707532</v>
      </c>
      <c r="K356" s="120" t="s">
        <v>250</v>
      </c>
      <c r="L356" s="120" t="s">
        <v>250</v>
      </c>
      <c r="M356" s="120">
        <v>0</v>
      </c>
      <c r="N356" s="120" t="s">
        <v>250</v>
      </c>
      <c r="O356" s="120">
        <v>261.16429770707532</v>
      </c>
      <c r="P356" s="120">
        <v>132.47714552031147</v>
      </c>
      <c r="Q356" s="120">
        <v>128.68715218676383</v>
      </c>
      <c r="R356" s="120"/>
      <c r="S356" s="121"/>
    </row>
    <row r="357" spans="1:19" ht="15">
      <c r="A357" s="105">
        <v>9</v>
      </c>
      <c r="B357" s="105"/>
      <c r="C357" s="107" t="s">
        <v>460</v>
      </c>
      <c r="D357" s="107" t="s">
        <v>313</v>
      </c>
      <c r="E357" s="120">
        <v>45329.0363536441</v>
      </c>
      <c r="F357" s="120" t="s">
        <v>250</v>
      </c>
      <c r="G357" s="120">
        <v>34976.533500487625</v>
      </c>
      <c r="H357" s="120" t="s">
        <v>250</v>
      </c>
      <c r="I357" s="120">
        <v>0</v>
      </c>
      <c r="J357" s="120">
        <v>10352.502853156473</v>
      </c>
      <c r="K357" s="120" t="s">
        <v>250</v>
      </c>
      <c r="L357" s="120" t="s">
        <v>250</v>
      </c>
      <c r="M357" s="120">
        <v>0</v>
      </c>
      <c r="N357" s="120" t="s">
        <v>250</v>
      </c>
      <c r="O357" s="120">
        <v>10352.502853156473</v>
      </c>
      <c r="P357" s="120">
        <v>5251.3687323192444</v>
      </c>
      <c r="Q357" s="120">
        <v>5101.1341208372287</v>
      </c>
      <c r="R357" s="120"/>
      <c r="S357" s="121"/>
    </row>
    <row r="358" spans="1:19" ht="15">
      <c r="A358" s="105">
        <v>10</v>
      </c>
      <c r="B358" s="105"/>
      <c r="C358" s="107" t="s">
        <v>461</v>
      </c>
      <c r="D358" s="107" t="s">
        <v>250</v>
      </c>
      <c r="E358" s="120">
        <v>226772913.2532312</v>
      </c>
      <c r="F358" s="120" t="s">
        <v>250</v>
      </c>
      <c r="G358" s="120">
        <v>198625099.80815503</v>
      </c>
      <c r="H358" s="120" t="s">
        <v>250</v>
      </c>
      <c r="I358" s="120">
        <v>28137199.777925324</v>
      </c>
      <c r="J358" s="120">
        <v>10613.667150863548</v>
      </c>
      <c r="K358" s="120" t="s">
        <v>250</v>
      </c>
      <c r="L358" s="120" t="s">
        <v>250</v>
      </c>
      <c r="M358" s="120">
        <v>0</v>
      </c>
      <c r="N358" s="120" t="s">
        <v>250</v>
      </c>
      <c r="O358" s="120">
        <v>10613.667150863548</v>
      </c>
      <c r="P358" s="120">
        <v>5383.8458778395561</v>
      </c>
      <c r="Q358" s="120">
        <v>5229.8212730239929</v>
      </c>
      <c r="R358" s="120"/>
      <c r="S358" s="121"/>
    </row>
    <row r="359" spans="1:19" ht="15">
      <c r="A359" s="105" t="s">
        <v>250</v>
      </c>
      <c r="B359" s="105"/>
      <c r="C359" s="107" t="s">
        <v>250</v>
      </c>
      <c r="D359" s="107" t="s">
        <v>250</v>
      </c>
      <c r="E359" s="120" t="s">
        <v>250</v>
      </c>
      <c r="F359" s="120" t="s">
        <v>250</v>
      </c>
      <c r="G359" s="120" t="s">
        <v>250</v>
      </c>
      <c r="H359" s="120" t="s">
        <v>250</v>
      </c>
      <c r="I359" s="120" t="s">
        <v>250</v>
      </c>
      <c r="J359" s="120" t="s">
        <v>250</v>
      </c>
      <c r="K359" s="120" t="s">
        <v>250</v>
      </c>
      <c r="L359" s="120" t="s">
        <v>250</v>
      </c>
      <c r="M359" s="120" t="s">
        <v>250</v>
      </c>
      <c r="N359" s="120" t="s">
        <v>250</v>
      </c>
      <c r="O359" s="120" t="s">
        <v>250</v>
      </c>
      <c r="P359" s="120" t="s">
        <v>250</v>
      </c>
      <c r="Q359" s="120" t="s">
        <v>250</v>
      </c>
      <c r="R359" s="120"/>
      <c r="S359" s="121"/>
    </row>
    <row r="360" spans="1:19" ht="15">
      <c r="A360" s="105">
        <v>11</v>
      </c>
      <c r="B360" s="105"/>
      <c r="C360" s="107" t="s">
        <v>521</v>
      </c>
      <c r="D360" s="107" t="s">
        <v>522</v>
      </c>
      <c r="E360" s="120">
        <v>13190046.258276366</v>
      </c>
      <c r="F360" s="120" t="s">
        <v>250</v>
      </c>
      <c r="G360" s="120">
        <v>0</v>
      </c>
      <c r="H360" s="120" t="s">
        <v>250</v>
      </c>
      <c r="I360" s="120">
        <v>13190046.258276366</v>
      </c>
      <c r="J360" s="120">
        <v>0</v>
      </c>
      <c r="K360" s="120" t="s">
        <v>250</v>
      </c>
      <c r="L360" s="120" t="s">
        <v>250</v>
      </c>
      <c r="M360" s="120">
        <v>0</v>
      </c>
      <c r="N360" s="120" t="s">
        <v>250</v>
      </c>
      <c r="O360" s="120">
        <v>0</v>
      </c>
      <c r="P360" s="120">
        <v>0</v>
      </c>
      <c r="Q360" s="120">
        <v>0</v>
      </c>
      <c r="R360" s="120"/>
      <c r="S360" s="121"/>
    </row>
    <row r="361" spans="1:19" ht="15">
      <c r="A361" s="105">
        <v>12</v>
      </c>
      <c r="B361" s="105"/>
      <c r="C361" s="107" t="s">
        <v>523</v>
      </c>
      <c r="D361" s="107" t="s">
        <v>524</v>
      </c>
      <c r="E361" s="120">
        <v>316962058.90151334</v>
      </c>
      <c r="F361" s="120" t="s">
        <v>250</v>
      </c>
      <c r="G361" s="120">
        <v>316450712.52566522</v>
      </c>
      <c r="H361" s="120" t="s">
        <v>250</v>
      </c>
      <c r="I361" s="120">
        <v>0</v>
      </c>
      <c r="J361" s="120">
        <v>511346.3758481213</v>
      </c>
      <c r="K361" s="120" t="s">
        <v>250</v>
      </c>
      <c r="L361" s="120" t="s">
        <v>250</v>
      </c>
      <c r="M361" s="120">
        <v>0</v>
      </c>
      <c r="N361" s="120" t="s">
        <v>250</v>
      </c>
      <c r="O361" s="120">
        <v>511346.3758481213</v>
      </c>
      <c r="P361" s="120">
        <v>507454.98127968819</v>
      </c>
      <c r="Q361" s="120">
        <v>3891.3945684331125</v>
      </c>
      <c r="R361" s="120"/>
      <c r="S361" s="121"/>
    </row>
    <row r="362" spans="1:19" ht="15">
      <c r="A362" s="105">
        <v>13</v>
      </c>
      <c r="B362" s="105"/>
      <c r="C362" s="107" t="s">
        <v>3725</v>
      </c>
      <c r="D362" s="107" t="s">
        <v>3730</v>
      </c>
      <c r="E362" s="120">
        <v>6681.9560908076764</v>
      </c>
      <c r="F362" s="120" t="s">
        <v>250</v>
      </c>
      <c r="G362" s="120">
        <v>6269.4771138969227</v>
      </c>
      <c r="H362" s="120" t="s">
        <v>250</v>
      </c>
      <c r="I362" s="120">
        <v>334.39720613524224</v>
      </c>
      <c r="J362" s="120">
        <v>78.081770775511757</v>
      </c>
      <c r="K362" s="120" t="s">
        <v>250</v>
      </c>
      <c r="L362" s="120" t="s">
        <v>250</v>
      </c>
      <c r="M362" s="120">
        <v>0</v>
      </c>
      <c r="N362" s="120" t="s">
        <v>250</v>
      </c>
      <c r="O362" s="120">
        <v>78.081770775511757</v>
      </c>
      <c r="P362" s="120">
        <v>78.081770775511757</v>
      </c>
      <c r="Q362" s="120">
        <v>0</v>
      </c>
      <c r="R362" s="120"/>
      <c r="S362" s="121"/>
    </row>
    <row r="363" spans="1:19" ht="15">
      <c r="A363" s="105">
        <v>14</v>
      </c>
      <c r="B363" s="105"/>
      <c r="C363" s="107" t="s">
        <v>466</v>
      </c>
      <c r="D363" s="107" t="s">
        <v>250</v>
      </c>
      <c r="E363" s="120">
        <v>330158787.11588055</v>
      </c>
      <c r="F363" s="120" t="s">
        <v>250</v>
      </c>
      <c r="G363" s="120">
        <v>316456982.00277913</v>
      </c>
      <c r="H363" s="120" t="s">
        <v>250</v>
      </c>
      <c r="I363" s="120">
        <v>13190380.655482501</v>
      </c>
      <c r="J363" s="120">
        <v>511424.45761889679</v>
      </c>
      <c r="K363" s="120" t="s">
        <v>250</v>
      </c>
      <c r="L363" s="120" t="s">
        <v>250</v>
      </c>
      <c r="M363" s="120">
        <v>0</v>
      </c>
      <c r="N363" s="120" t="s">
        <v>250</v>
      </c>
      <c r="O363" s="120">
        <v>511424.45761889679</v>
      </c>
      <c r="P363" s="120">
        <v>507533.06305046368</v>
      </c>
      <c r="Q363" s="120">
        <v>3891.3945684331125</v>
      </c>
      <c r="R363" s="120"/>
      <c r="S363" s="121"/>
    </row>
    <row r="364" spans="1:19" ht="15">
      <c r="A364" s="105" t="s">
        <v>250</v>
      </c>
      <c r="B364" s="105"/>
      <c r="C364" s="107" t="s">
        <v>250</v>
      </c>
      <c r="D364" s="107" t="s">
        <v>250</v>
      </c>
      <c r="E364" s="120" t="s">
        <v>250</v>
      </c>
      <c r="F364" s="120" t="s">
        <v>250</v>
      </c>
      <c r="G364" s="120" t="s">
        <v>250</v>
      </c>
      <c r="H364" s="120" t="s">
        <v>250</v>
      </c>
      <c r="I364" s="120" t="s">
        <v>250</v>
      </c>
      <c r="J364" s="120" t="s">
        <v>250</v>
      </c>
      <c r="K364" s="120" t="s">
        <v>250</v>
      </c>
      <c r="L364" s="120" t="s">
        <v>250</v>
      </c>
      <c r="M364" s="120" t="s">
        <v>250</v>
      </c>
      <c r="N364" s="120" t="s">
        <v>250</v>
      </c>
      <c r="O364" s="120" t="s">
        <v>250</v>
      </c>
      <c r="P364" s="120" t="s">
        <v>250</v>
      </c>
      <c r="Q364" s="120" t="s">
        <v>250</v>
      </c>
      <c r="R364" s="120"/>
      <c r="S364" s="121"/>
    </row>
    <row r="365" spans="1:19" ht="15">
      <c r="A365" s="105">
        <v>15</v>
      </c>
      <c r="B365" s="105"/>
      <c r="C365" s="107" t="s">
        <v>436</v>
      </c>
      <c r="D365" s="107" t="s">
        <v>467</v>
      </c>
      <c r="E365" s="120">
        <v>38034530.373109296</v>
      </c>
      <c r="F365" s="120" t="s">
        <v>250</v>
      </c>
      <c r="G365" s="120">
        <v>35853427.680809557</v>
      </c>
      <c r="H365" s="120" t="s">
        <v>250</v>
      </c>
      <c r="I365" s="120">
        <v>1757977.0213129839</v>
      </c>
      <c r="J365" s="120">
        <v>423125.67098676029</v>
      </c>
      <c r="K365" s="120" t="s">
        <v>250</v>
      </c>
      <c r="L365" s="120" t="s">
        <v>250</v>
      </c>
      <c r="M365" s="120">
        <v>0</v>
      </c>
      <c r="N365" s="120" t="s">
        <v>250</v>
      </c>
      <c r="O365" s="120">
        <v>423125.67098676029</v>
      </c>
      <c r="P365" s="120">
        <v>220622.68068868495</v>
      </c>
      <c r="Q365" s="120">
        <v>202502.99029807531</v>
      </c>
      <c r="R365" s="120"/>
      <c r="S365" s="121"/>
    </row>
    <row r="366" spans="1:19" ht="15">
      <c r="A366" s="105">
        <v>16</v>
      </c>
      <c r="B366" s="105"/>
      <c r="C366" s="107" t="s">
        <v>3726</v>
      </c>
      <c r="D366" s="107" t="s">
        <v>3730</v>
      </c>
      <c r="E366" s="120">
        <v>39084.078409192334</v>
      </c>
      <c r="F366" s="120" t="s">
        <v>250</v>
      </c>
      <c r="G366" s="120">
        <v>36671.407560022672</v>
      </c>
      <c r="H366" s="120" t="s">
        <v>250</v>
      </c>
      <c r="I366" s="120">
        <v>1955.9551794098786</v>
      </c>
      <c r="J366" s="120">
        <v>456.7156697597822</v>
      </c>
      <c r="K366" s="120" t="s">
        <v>250</v>
      </c>
      <c r="L366" s="120" t="s">
        <v>250</v>
      </c>
      <c r="M366" s="120">
        <v>0</v>
      </c>
      <c r="N366" s="120" t="s">
        <v>250</v>
      </c>
      <c r="O366" s="120">
        <v>456.7156697597822</v>
      </c>
      <c r="P366" s="120">
        <v>456.7156697597822</v>
      </c>
      <c r="Q366" s="120">
        <v>0</v>
      </c>
      <c r="R366" s="120"/>
      <c r="S366" s="121"/>
    </row>
    <row r="367" spans="1:19" ht="15">
      <c r="A367" s="105" t="s">
        <v>250</v>
      </c>
      <c r="B367" s="105"/>
      <c r="C367" s="107" t="s">
        <v>1008</v>
      </c>
      <c r="D367" s="107" t="s">
        <v>250</v>
      </c>
      <c r="E367" s="120">
        <v>38073614.451518491</v>
      </c>
      <c r="F367" s="120" t="s">
        <v>250</v>
      </c>
      <c r="G367" s="120">
        <v>35890099.088369578</v>
      </c>
      <c r="H367" s="120" t="s">
        <v>250</v>
      </c>
      <c r="I367" s="120">
        <v>1759932.9764923938</v>
      </c>
      <c r="J367" s="120">
        <v>423582.38665652007</v>
      </c>
      <c r="K367" s="120" t="s">
        <v>250</v>
      </c>
      <c r="L367" s="120" t="s">
        <v>250</v>
      </c>
      <c r="M367" s="120" t="s">
        <v>250</v>
      </c>
      <c r="N367" s="120" t="s">
        <v>250</v>
      </c>
      <c r="O367" s="120">
        <v>423582.38665652007</v>
      </c>
      <c r="P367" s="120">
        <v>221079.39635844473</v>
      </c>
      <c r="Q367" s="120">
        <v>202502.99029807531</v>
      </c>
      <c r="R367" s="120"/>
      <c r="S367" s="121"/>
    </row>
    <row r="368" spans="1:19" ht="15">
      <c r="A368" s="105" t="s">
        <v>250</v>
      </c>
      <c r="B368" s="105"/>
      <c r="C368" s="107" t="s">
        <v>250</v>
      </c>
      <c r="D368" s="107" t="s">
        <v>250</v>
      </c>
      <c r="E368" s="120" t="s">
        <v>250</v>
      </c>
      <c r="F368" s="120" t="s">
        <v>250</v>
      </c>
      <c r="G368" s="120" t="s">
        <v>250</v>
      </c>
      <c r="H368" s="120" t="s">
        <v>250</v>
      </c>
      <c r="I368" s="120" t="s">
        <v>250</v>
      </c>
      <c r="J368" s="120" t="s">
        <v>250</v>
      </c>
      <c r="K368" s="120" t="s">
        <v>250</v>
      </c>
      <c r="L368" s="120" t="s">
        <v>250</v>
      </c>
      <c r="M368" s="120" t="s">
        <v>250</v>
      </c>
      <c r="N368" s="120" t="s">
        <v>250</v>
      </c>
      <c r="O368" s="120" t="s">
        <v>250</v>
      </c>
      <c r="P368" s="120" t="s">
        <v>250</v>
      </c>
      <c r="Q368" s="120" t="s">
        <v>250</v>
      </c>
      <c r="R368" s="120"/>
      <c r="S368" s="121"/>
    </row>
    <row r="369" spans="1:19" ht="15">
      <c r="A369" s="105">
        <v>17</v>
      </c>
      <c r="B369" s="105"/>
      <c r="C369" s="107" t="s">
        <v>525</v>
      </c>
      <c r="D369" s="107" t="s">
        <v>250</v>
      </c>
      <c r="E369" s="120">
        <v>1438518389.5100257</v>
      </c>
      <c r="F369" s="120" t="s">
        <v>250</v>
      </c>
      <c r="G369" s="120">
        <v>1342260433.3640857</v>
      </c>
      <c r="H369" s="120" t="s">
        <v>250</v>
      </c>
      <c r="I369" s="120">
        <v>78899320.031552657</v>
      </c>
      <c r="J369" s="120">
        <v>17358636.114387628</v>
      </c>
      <c r="K369" s="120" t="s">
        <v>250</v>
      </c>
      <c r="L369" s="120" t="s">
        <v>250</v>
      </c>
      <c r="M369" s="120">
        <v>0</v>
      </c>
      <c r="N369" s="120" t="s">
        <v>250</v>
      </c>
      <c r="O369" s="120">
        <v>17358636.114387628</v>
      </c>
      <c r="P369" s="120">
        <v>9059596.2266796306</v>
      </c>
      <c r="Q369" s="120">
        <v>8299039.887707998</v>
      </c>
      <c r="R369" s="120"/>
      <c r="S369" s="121"/>
    </row>
    <row r="370" spans="1:19" ht="15">
      <c r="A370" s="105" t="s">
        <v>250</v>
      </c>
      <c r="B370" s="105"/>
      <c r="C370" s="107" t="s">
        <v>250</v>
      </c>
      <c r="D370" s="107" t="s">
        <v>250</v>
      </c>
      <c r="E370" s="120" t="s">
        <v>250</v>
      </c>
      <c r="F370" s="120" t="s">
        <v>250</v>
      </c>
      <c r="G370" s="120" t="s">
        <v>250</v>
      </c>
      <c r="H370" s="120" t="s">
        <v>250</v>
      </c>
      <c r="I370" s="120" t="s">
        <v>250</v>
      </c>
      <c r="J370" s="120" t="s">
        <v>250</v>
      </c>
      <c r="K370" s="120" t="s">
        <v>250</v>
      </c>
      <c r="L370" s="120" t="s">
        <v>250</v>
      </c>
      <c r="M370" s="120" t="s">
        <v>250</v>
      </c>
      <c r="N370" s="120" t="s">
        <v>250</v>
      </c>
      <c r="O370" s="120" t="s">
        <v>250</v>
      </c>
      <c r="P370" s="120" t="s">
        <v>250</v>
      </c>
      <c r="Q370" s="120" t="s">
        <v>250</v>
      </c>
      <c r="R370" s="120"/>
      <c r="S370" s="121"/>
    </row>
    <row r="371" spans="1:19" ht="15">
      <c r="A371" s="105" t="s">
        <v>250</v>
      </c>
      <c r="B371" s="105"/>
      <c r="C371" s="107" t="s">
        <v>526</v>
      </c>
      <c r="D371" s="107" t="s">
        <v>250</v>
      </c>
      <c r="E371" s="120" t="s">
        <v>250</v>
      </c>
      <c r="F371" s="120" t="s">
        <v>250</v>
      </c>
      <c r="G371" s="120" t="s">
        <v>250</v>
      </c>
      <c r="H371" s="120" t="s">
        <v>250</v>
      </c>
      <c r="I371" s="120" t="s">
        <v>250</v>
      </c>
      <c r="J371" s="120" t="s">
        <v>250</v>
      </c>
      <c r="K371" s="120" t="s">
        <v>250</v>
      </c>
      <c r="L371" s="120" t="s">
        <v>250</v>
      </c>
      <c r="M371" s="120" t="s">
        <v>250</v>
      </c>
      <c r="N371" s="120" t="s">
        <v>250</v>
      </c>
      <c r="O371" s="120" t="s">
        <v>250</v>
      </c>
      <c r="P371" s="120" t="s">
        <v>250</v>
      </c>
      <c r="Q371" s="120" t="s">
        <v>250</v>
      </c>
      <c r="R371" s="120"/>
      <c r="S371" s="121"/>
    </row>
    <row r="372" spans="1:19" ht="15">
      <c r="A372" s="105">
        <v>18</v>
      </c>
      <c r="B372" s="105"/>
      <c r="C372" s="107" t="s">
        <v>527</v>
      </c>
      <c r="D372" s="107" t="s">
        <v>497</v>
      </c>
      <c r="E372" s="120">
        <v>86323268.203333288</v>
      </c>
      <c r="F372" s="120" t="s">
        <v>250</v>
      </c>
      <c r="G372" s="120">
        <v>80926984.971659347</v>
      </c>
      <c r="H372" s="120" t="s">
        <v>250</v>
      </c>
      <c r="I372" s="120">
        <v>3690611.7141947746</v>
      </c>
      <c r="J372" s="120">
        <v>1705671.5174791734</v>
      </c>
      <c r="K372" s="120" t="s">
        <v>250</v>
      </c>
      <c r="L372" s="120" t="s">
        <v>250</v>
      </c>
      <c r="M372" s="120">
        <v>0</v>
      </c>
      <c r="N372" s="120" t="s">
        <v>250</v>
      </c>
      <c r="O372" s="120">
        <v>1705671.5174791734</v>
      </c>
      <c r="P372" s="120">
        <v>865212.03631126077</v>
      </c>
      <c r="Q372" s="120">
        <v>840459.4811679126</v>
      </c>
      <c r="R372" s="120"/>
      <c r="S372" s="121"/>
    </row>
    <row r="373" spans="1:19" ht="15">
      <c r="A373" s="105">
        <v>19</v>
      </c>
      <c r="B373" s="105"/>
      <c r="C373" s="107" t="s">
        <v>528</v>
      </c>
      <c r="D373" s="107" t="s">
        <v>499</v>
      </c>
      <c r="E373" s="120">
        <v>0</v>
      </c>
      <c r="F373" s="120" t="s">
        <v>250</v>
      </c>
      <c r="G373" s="120">
        <v>0</v>
      </c>
      <c r="H373" s="120" t="s">
        <v>250</v>
      </c>
      <c r="I373" s="120">
        <v>0</v>
      </c>
      <c r="J373" s="120">
        <v>0</v>
      </c>
      <c r="K373" s="120" t="s">
        <v>250</v>
      </c>
      <c r="L373" s="120" t="s">
        <v>250</v>
      </c>
      <c r="M373" s="120">
        <v>0</v>
      </c>
      <c r="N373" s="120" t="s">
        <v>250</v>
      </c>
      <c r="O373" s="120">
        <v>0</v>
      </c>
      <c r="P373" s="120">
        <v>0</v>
      </c>
      <c r="Q373" s="120">
        <v>0</v>
      </c>
      <c r="R373" s="120"/>
      <c r="S373" s="121"/>
    </row>
    <row r="374" spans="1:19" ht="15">
      <c r="A374" s="105">
        <v>20</v>
      </c>
      <c r="B374" s="105"/>
      <c r="C374" s="107" t="s">
        <v>529</v>
      </c>
      <c r="D374" s="107" t="s">
        <v>458</v>
      </c>
      <c r="E374" s="120">
        <v>0</v>
      </c>
      <c r="F374" s="120" t="s">
        <v>250</v>
      </c>
      <c r="G374" s="120">
        <v>0</v>
      </c>
      <c r="H374" s="120" t="s">
        <v>250</v>
      </c>
      <c r="I374" s="120">
        <v>0</v>
      </c>
      <c r="J374" s="120">
        <v>0</v>
      </c>
      <c r="K374" s="120" t="s">
        <v>250</v>
      </c>
      <c r="L374" s="120" t="s">
        <v>250</v>
      </c>
      <c r="M374" s="120">
        <v>0</v>
      </c>
      <c r="N374" s="120" t="s">
        <v>250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21</v>
      </c>
      <c r="B375" s="105"/>
      <c r="C375" s="107" t="s">
        <v>530</v>
      </c>
      <c r="D375" s="107" t="s">
        <v>531</v>
      </c>
      <c r="E375" s="120">
        <v>0</v>
      </c>
      <c r="F375" s="120" t="s">
        <v>250</v>
      </c>
      <c r="G375" s="120">
        <v>0</v>
      </c>
      <c r="H375" s="120" t="s">
        <v>250</v>
      </c>
      <c r="I375" s="120">
        <v>0</v>
      </c>
      <c r="J375" s="120">
        <v>0</v>
      </c>
      <c r="K375" s="120" t="s">
        <v>250</v>
      </c>
      <c r="L375" s="120" t="s">
        <v>250</v>
      </c>
      <c r="M375" s="120">
        <v>0</v>
      </c>
      <c r="N375" s="120" t="s">
        <v>250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22</v>
      </c>
      <c r="B376" s="105"/>
      <c r="C376" s="107" t="s">
        <v>532</v>
      </c>
      <c r="D376" s="107" t="s">
        <v>524</v>
      </c>
      <c r="E376" s="120">
        <v>0</v>
      </c>
      <c r="F376" s="120" t="s">
        <v>250</v>
      </c>
      <c r="G376" s="120">
        <v>0</v>
      </c>
      <c r="H376" s="120" t="s">
        <v>250</v>
      </c>
      <c r="I376" s="120">
        <v>0</v>
      </c>
      <c r="J376" s="120">
        <v>0</v>
      </c>
      <c r="K376" s="120" t="s">
        <v>250</v>
      </c>
      <c r="L376" s="120" t="s">
        <v>250</v>
      </c>
      <c r="M376" s="120">
        <v>0</v>
      </c>
      <c r="N376" s="120" t="s">
        <v>250</v>
      </c>
      <c r="O376" s="120">
        <v>0</v>
      </c>
      <c r="P376" s="120">
        <v>0</v>
      </c>
      <c r="Q376" s="120">
        <v>0</v>
      </c>
      <c r="R376" s="120"/>
      <c r="S376" s="121"/>
    </row>
    <row r="377" spans="1:19" ht="15">
      <c r="A377" s="105">
        <v>23</v>
      </c>
      <c r="B377" s="105"/>
      <c r="C377" s="107" t="s">
        <v>533</v>
      </c>
      <c r="D377" s="107" t="s">
        <v>467</v>
      </c>
      <c r="E377" s="120">
        <v>0</v>
      </c>
      <c r="F377" s="120" t="s">
        <v>250</v>
      </c>
      <c r="G377" s="120">
        <v>0</v>
      </c>
      <c r="H377" s="120" t="s">
        <v>250</v>
      </c>
      <c r="I377" s="120">
        <v>0</v>
      </c>
      <c r="J377" s="120">
        <v>0</v>
      </c>
      <c r="K377" s="120" t="s">
        <v>250</v>
      </c>
      <c r="L377" s="120" t="s">
        <v>250</v>
      </c>
      <c r="M377" s="120">
        <v>0</v>
      </c>
      <c r="N377" s="120" t="s">
        <v>250</v>
      </c>
      <c r="O377" s="120" t="s">
        <v>2391</v>
      </c>
      <c r="P377" s="120">
        <v>0</v>
      </c>
      <c r="Q377" s="120">
        <v>0</v>
      </c>
      <c r="R377" s="120"/>
      <c r="S377" s="121"/>
    </row>
    <row r="378" spans="1:19" ht="15">
      <c r="A378" s="105">
        <v>24</v>
      </c>
      <c r="B378" s="105"/>
      <c r="C378" s="107" t="s">
        <v>534</v>
      </c>
      <c r="D378" s="107" t="s">
        <v>250</v>
      </c>
      <c r="E378" s="120">
        <v>86323268.203333288</v>
      </c>
      <c r="F378" s="120" t="s">
        <v>250</v>
      </c>
      <c r="G378" s="120">
        <v>80926984.971659347</v>
      </c>
      <c r="H378" s="120" t="s">
        <v>250</v>
      </c>
      <c r="I378" s="120">
        <v>3690611.7141947746</v>
      </c>
      <c r="J378" s="120">
        <v>1705671.5174791734</v>
      </c>
      <c r="K378" s="120" t="s">
        <v>250</v>
      </c>
      <c r="L378" s="120" t="s">
        <v>250</v>
      </c>
      <c r="M378" s="120">
        <v>0</v>
      </c>
      <c r="N378" s="120" t="s">
        <v>250</v>
      </c>
      <c r="O378" s="120">
        <v>1705671.5174791734</v>
      </c>
      <c r="P378" s="120">
        <v>865212.03631126077</v>
      </c>
      <c r="Q378" s="120">
        <v>840459.4811679126</v>
      </c>
      <c r="R378" s="120"/>
      <c r="S378" s="121"/>
    </row>
    <row r="379" spans="1:19" ht="15">
      <c r="A379" s="105" t="s">
        <v>250</v>
      </c>
      <c r="B379" s="105"/>
      <c r="C379" s="107" t="s">
        <v>250</v>
      </c>
      <c r="D379" s="107" t="s">
        <v>250</v>
      </c>
      <c r="E379" s="120" t="s">
        <v>250</v>
      </c>
      <c r="F379" s="120" t="s">
        <v>250</v>
      </c>
      <c r="G379" s="120" t="s">
        <v>250</v>
      </c>
      <c r="H379" s="120" t="s">
        <v>250</v>
      </c>
      <c r="I379" s="120" t="s">
        <v>250</v>
      </c>
      <c r="J379" s="120" t="s">
        <v>250</v>
      </c>
      <c r="K379" s="120" t="s">
        <v>250</v>
      </c>
      <c r="L379" s="120" t="s">
        <v>250</v>
      </c>
      <c r="M379" s="120" t="s">
        <v>250</v>
      </c>
      <c r="N379" s="120" t="s">
        <v>250</v>
      </c>
      <c r="O379" s="120" t="s">
        <v>250</v>
      </c>
      <c r="P379" s="120" t="s">
        <v>250</v>
      </c>
      <c r="Q379" s="120" t="s">
        <v>250</v>
      </c>
      <c r="R379" s="120"/>
      <c r="S379" s="121"/>
    </row>
    <row r="380" spans="1:19" ht="15">
      <c r="A380" s="105">
        <v>25</v>
      </c>
      <c r="B380" s="105"/>
      <c r="C380" s="107" t="s">
        <v>535</v>
      </c>
      <c r="D380" s="107" t="s">
        <v>536</v>
      </c>
      <c r="E380" s="120">
        <v>1719771.59</v>
      </c>
      <c r="F380" s="120" t="s">
        <v>250</v>
      </c>
      <c r="G380" s="120">
        <v>1712215.5636785864</v>
      </c>
      <c r="H380" s="120" t="s">
        <v>250</v>
      </c>
      <c r="I380" s="120">
        <v>7556.026321413593</v>
      </c>
      <c r="J380" s="120">
        <v>0</v>
      </c>
      <c r="K380" s="120" t="s">
        <v>250</v>
      </c>
      <c r="L380" s="120" t="s">
        <v>250</v>
      </c>
      <c r="M380" s="120">
        <v>0</v>
      </c>
      <c r="N380" s="120" t="s">
        <v>250</v>
      </c>
      <c r="O380" s="120">
        <v>0</v>
      </c>
      <c r="P380" s="120">
        <v>0</v>
      </c>
      <c r="Q380" s="120">
        <v>0</v>
      </c>
      <c r="R380" s="120"/>
      <c r="S380" s="121"/>
    </row>
    <row r="381" spans="1:19" ht="15">
      <c r="A381" s="105">
        <v>26</v>
      </c>
      <c r="B381" s="105"/>
      <c r="C381" s="107" t="s">
        <v>537</v>
      </c>
      <c r="D381" s="107" t="s">
        <v>538</v>
      </c>
      <c r="E381" s="120">
        <v>31620707.210000005</v>
      </c>
      <c r="F381" s="120" t="s">
        <v>250</v>
      </c>
      <c r="G381" s="120">
        <v>0</v>
      </c>
      <c r="H381" s="120" t="s">
        <v>250</v>
      </c>
      <c r="I381" s="120">
        <v>1227529.9764477331</v>
      </c>
      <c r="J381" s="120">
        <v>0</v>
      </c>
      <c r="K381" s="120" t="s">
        <v>250</v>
      </c>
      <c r="L381" s="120" t="s">
        <v>250</v>
      </c>
      <c r="M381" s="120">
        <v>0</v>
      </c>
      <c r="N381" s="120" t="s">
        <v>250</v>
      </c>
      <c r="O381" s="120">
        <v>0</v>
      </c>
      <c r="P381" s="120">
        <v>0</v>
      </c>
      <c r="Q381" s="120">
        <v>0</v>
      </c>
      <c r="R381" s="120"/>
      <c r="S381" s="121"/>
    </row>
    <row r="382" spans="1:19" ht="15">
      <c r="A382" s="105">
        <v>27</v>
      </c>
      <c r="B382" s="105"/>
      <c r="C382" s="107" t="s">
        <v>539</v>
      </c>
      <c r="D382" s="107" t="s">
        <v>540</v>
      </c>
      <c r="E382" s="120">
        <v>237184.29288461525</v>
      </c>
      <c r="F382" s="120" t="s">
        <v>250</v>
      </c>
      <c r="G382" s="120">
        <v>0</v>
      </c>
      <c r="H382" s="120" t="s">
        <v>250</v>
      </c>
      <c r="I382" s="120">
        <v>237184.29288461525</v>
      </c>
      <c r="J382" s="120">
        <v>0</v>
      </c>
      <c r="K382" s="120" t="s">
        <v>250</v>
      </c>
      <c r="L382" s="120" t="s">
        <v>250</v>
      </c>
      <c r="M382" s="120">
        <v>0</v>
      </c>
      <c r="N382" s="120" t="s">
        <v>250</v>
      </c>
      <c r="O382" s="120">
        <v>0</v>
      </c>
      <c r="P382" s="120">
        <v>0</v>
      </c>
      <c r="Q382" s="120">
        <v>0</v>
      </c>
      <c r="R382" s="120"/>
      <c r="S382" s="121"/>
    </row>
    <row r="383" spans="1:19" ht="15">
      <c r="A383" s="105">
        <v>28</v>
      </c>
      <c r="B383" s="105"/>
      <c r="C383" s="107" t="s">
        <v>541</v>
      </c>
      <c r="D383" s="107" t="s">
        <v>418</v>
      </c>
      <c r="E383" s="120">
        <v>15691506.648250578</v>
      </c>
      <c r="F383" s="120" t="s">
        <v>250</v>
      </c>
      <c r="G383" s="120">
        <v>0</v>
      </c>
      <c r="H383" s="120" t="s">
        <v>250</v>
      </c>
      <c r="I383" s="120">
        <v>746553.06848298851</v>
      </c>
      <c r="J383" s="120">
        <v>0</v>
      </c>
      <c r="K383" s="120" t="s">
        <v>250</v>
      </c>
      <c r="L383" s="120" t="s">
        <v>250</v>
      </c>
      <c r="M383" s="120">
        <v>0</v>
      </c>
      <c r="N383" s="120" t="s">
        <v>250</v>
      </c>
      <c r="O383" s="120">
        <v>0</v>
      </c>
      <c r="P383" s="120">
        <v>0</v>
      </c>
      <c r="Q383" s="120">
        <v>0</v>
      </c>
      <c r="R383" s="120"/>
      <c r="S383" s="121"/>
    </row>
    <row r="384" spans="1:19" ht="15">
      <c r="A384" s="105">
        <v>29</v>
      </c>
      <c r="B384" s="105"/>
      <c r="C384" s="107" t="s">
        <v>542</v>
      </c>
      <c r="D384" s="107" t="s">
        <v>418</v>
      </c>
      <c r="E384" s="120">
        <v>4697652.9999999907</v>
      </c>
      <c r="F384" s="120" t="s">
        <v>250</v>
      </c>
      <c r="G384" s="120">
        <v>0</v>
      </c>
      <c r="H384" s="120" t="s">
        <v>250</v>
      </c>
      <c r="I384" s="120">
        <v>0</v>
      </c>
      <c r="J384" s="120">
        <v>53793.915207454214</v>
      </c>
      <c r="K384" s="120" t="s">
        <v>250</v>
      </c>
      <c r="L384" s="120" t="s">
        <v>250</v>
      </c>
      <c r="M384" s="120">
        <v>0</v>
      </c>
      <c r="N384" s="120" t="s">
        <v>250</v>
      </c>
      <c r="O384" s="120">
        <v>53793.915207454214</v>
      </c>
      <c r="P384" s="120">
        <v>28048.777447444743</v>
      </c>
      <c r="Q384" s="120">
        <v>25745.137760009471</v>
      </c>
      <c r="R384" s="120"/>
      <c r="S384" s="121"/>
    </row>
    <row r="385" spans="1:19" ht="15">
      <c r="A385" s="105">
        <v>30</v>
      </c>
      <c r="B385" s="105"/>
      <c r="C385" s="107" t="s">
        <v>543</v>
      </c>
      <c r="D385" s="107" t="s">
        <v>418</v>
      </c>
      <c r="E385" s="120">
        <v>6765971.8600000003</v>
      </c>
      <c r="F385" s="120" t="s">
        <v>250</v>
      </c>
      <c r="G385" s="120">
        <v>0</v>
      </c>
      <c r="H385" s="120" t="s">
        <v>250</v>
      </c>
      <c r="I385" s="120">
        <v>0</v>
      </c>
      <c r="J385" s="120">
        <v>77478.714697075746</v>
      </c>
      <c r="K385" s="120" t="s">
        <v>250</v>
      </c>
      <c r="L385" s="120" t="s">
        <v>250</v>
      </c>
      <c r="M385" s="120">
        <v>0</v>
      </c>
      <c r="N385" s="120" t="s">
        <v>250</v>
      </c>
      <c r="O385" s="120">
        <v>77478.714697075746</v>
      </c>
      <c r="P385" s="120">
        <v>40398.309308246935</v>
      </c>
      <c r="Q385" s="120">
        <v>37080.405388828818</v>
      </c>
      <c r="R385" s="120"/>
      <c r="S385" s="121"/>
    </row>
    <row r="386" spans="1:19" ht="15">
      <c r="A386" s="105">
        <v>31</v>
      </c>
      <c r="B386" s="105"/>
      <c r="C386" s="107" t="s">
        <v>544</v>
      </c>
      <c r="D386" s="107" t="s">
        <v>418</v>
      </c>
      <c r="E386" s="120">
        <v>1236415.0000000005</v>
      </c>
      <c r="F386" s="120" t="s">
        <v>250</v>
      </c>
      <c r="G386" s="120">
        <v>0</v>
      </c>
      <c r="H386" s="120" t="s">
        <v>250</v>
      </c>
      <c r="I386" s="120">
        <v>0</v>
      </c>
      <c r="J386" s="120">
        <v>14158.475236724522</v>
      </c>
      <c r="K386" s="120" t="s">
        <v>250</v>
      </c>
      <c r="L386" s="120" t="s">
        <v>250</v>
      </c>
      <c r="M386" s="120">
        <v>0</v>
      </c>
      <c r="N386" s="120" t="s">
        <v>250</v>
      </c>
      <c r="O386" s="120">
        <v>14158.475236724522</v>
      </c>
      <c r="P386" s="120">
        <v>7382.3948187919532</v>
      </c>
      <c r="Q386" s="120">
        <v>6776.0804179325687</v>
      </c>
      <c r="R386" s="120"/>
      <c r="S386" s="121"/>
    </row>
    <row r="387" spans="1:19" ht="15">
      <c r="A387" s="105">
        <v>32</v>
      </c>
      <c r="B387" s="105"/>
      <c r="C387" s="107" t="s">
        <v>545</v>
      </c>
      <c r="D387" s="107" t="s">
        <v>250</v>
      </c>
      <c r="E387" s="120">
        <v>1586810867.3144941</v>
      </c>
      <c r="F387" s="120" t="s">
        <v>250</v>
      </c>
      <c r="G387" s="120">
        <v>1424899633.8994236</v>
      </c>
      <c r="H387" s="120" t="s">
        <v>250</v>
      </c>
      <c r="I387" s="120">
        <v>84808755.109884188</v>
      </c>
      <c r="J387" s="120">
        <v>19209738.737008058</v>
      </c>
      <c r="K387" s="120" t="s">
        <v>250</v>
      </c>
      <c r="L387" s="120" t="s">
        <v>250</v>
      </c>
      <c r="M387" s="120">
        <v>0</v>
      </c>
      <c r="N387" s="120" t="s">
        <v>250</v>
      </c>
      <c r="O387" s="120">
        <v>19209738.737008058</v>
      </c>
      <c r="P387" s="120">
        <v>10000637.744565377</v>
      </c>
      <c r="Q387" s="120">
        <v>9209100.9924426824</v>
      </c>
      <c r="R387" s="120"/>
      <c r="S387" s="121"/>
    </row>
    <row r="388" spans="1:19" ht="15">
      <c r="A388" s="105" t="s">
        <v>250</v>
      </c>
      <c r="B388" s="105"/>
      <c r="C388" s="107" t="s">
        <v>250</v>
      </c>
      <c r="D388" s="107" t="s">
        <v>250</v>
      </c>
      <c r="E388" s="120" t="s">
        <v>250</v>
      </c>
      <c r="F388" s="120" t="s">
        <v>250</v>
      </c>
      <c r="G388" s="120" t="s">
        <v>250</v>
      </c>
      <c r="H388" s="120" t="s">
        <v>250</v>
      </c>
      <c r="I388" s="120" t="s">
        <v>250</v>
      </c>
      <c r="J388" s="120" t="s">
        <v>250</v>
      </c>
      <c r="K388" s="120" t="s">
        <v>250</v>
      </c>
      <c r="L388" s="120" t="s">
        <v>250</v>
      </c>
      <c r="M388" s="120" t="s">
        <v>250</v>
      </c>
      <c r="N388" s="120" t="s">
        <v>250</v>
      </c>
      <c r="O388" s="120" t="s">
        <v>250</v>
      </c>
      <c r="P388" s="120" t="s">
        <v>250</v>
      </c>
      <c r="Q388" s="120" t="s">
        <v>250</v>
      </c>
      <c r="R388" s="120"/>
      <c r="S388" s="121"/>
    </row>
    <row r="389" spans="1:19" ht="15">
      <c r="A389" s="105">
        <v>33</v>
      </c>
      <c r="B389" s="105"/>
      <c r="C389" s="107" t="s">
        <v>546</v>
      </c>
      <c r="D389" s="107" t="s">
        <v>250</v>
      </c>
      <c r="E389" s="120">
        <v>6169316718.0991592</v>
      </c>
      <c r="F389" s="120" t="s">
        <v>250</v>
      </c>
      <c r="G389" s="120">
        <v>5830686181.1368046</v>
      </c>
      <c r="H389" s="120" t="s">
        <v>250</v>
      </c>
      <c r="I389" s="120">
        <v>318632787.00105828</v>
      </c>
      <c r="J389" s="120">
        <v>77890489.52947554</v>
      </c>
      <c r="K389" s="120" t="s">
        <v>250</v>
      </c>
      <c r="L389" s="120" t="s">
        <v>250</v>
      </c>
      <c r="M389" s="120">
        <v>0</v>
      </c>
      <c r="N389" s="120" t="s">
        <v>250</v>
      </c>
      <c r="O389" s="120">
        <v>77890489.52947554</v>
      </c>
      <c r="P389" s="120">
        <v>41081351.70204524</v>
      </c>
      <c r="Q389" s="120">
        <v>36809137.8274303</v>
      </c>
      <c r="R389" s="120"/>
      <c r="S389" s="121"/>
    </row>
    <row r="390" spans="1:19" ht="15">
      <c r="A390" s="105" t="s">
        <v>250</v>
      </c>
      <c r="B390" s="105"/>
      <c r="C390" s="107" t="s">
        <v>250</v>
      </c>
      <c r="D390" s="107" t="s">
        <v>250</v>
      </c>
      <c r="E390" s="120" t="s">
        <v>250</v>
      </c>
      <c r="F390" s="120" t="s">
        <v>250</v>
      </c>
      <c r="G390" s="120" t="s">
        <v>250</v>
      </c>
      <c r="H390" s="120" t="s">
        <v>250</v>
      </c>
      <c r="I390" s="120" t="s">
        <v>250</v>
      </c>
      <c r="J390" s="120" t="s">
        <v>250</v>
      </c>
      <c r="K390" s="120" t="s">
        <v>250</v>
      </c>
      <c r="L390" s="120" t="s">
        <v>250</v>
      </c>
      <c r="M390" s="120" t="s">
        <v>250</v>
      </c>
      <c r="N390" s="120" t="s">
        <v>250</v>
      </c>
      <c r="O390" s="120" t="s">
        <v>250</v>
      </c>
      <c r="P390" s="120" t="s">
        <v>250</v>
      </c>
      <c r="Q390" s="120" t="s">
        <v>250</v>
      </c>
      <c r="R390" s="120"/>
      <c r="S390" s="121"/>
    </row>
    <row r="391" spans="1:19" ht="15">
      <c r="A391" s="105" t="s">
        <v>250</v>
      </c>
      <c r="B391" s="105"/>
      <c r="C391" s="107" t="s">
        <v>250</v>
      </c>
      <c r="D391" s="107" t="s">
        <v>250</v>
      </c>
      <c r="E391" s="120" t="s">
        <v>250</v>
      </c>
      <c r="F391" s="120" t="s">
        <v>250</v>
      </c>
      <c r="G391" s="120" t="s">
        <v>250</v>
      </c>
      <c r="H391" s="120" t="s">
        <v>250</v>
      </c>
      <c r="I391" s="120" t="s">
        <v>250</v>
      </c>
      <c r="J391" s="120" t="s">
        <v>250</v>
      </c>
      <c r="K391" s="120" t="s">
        <v>250</v>
      </c>
      <c r="L391" s="120" t="s">
        <v>250</v>
      </c>
      <c r="M391" s="120" t="s">
        <v>250</v>
      </c>
      <c r="N391" s="120" t="s">
        <v>250</v>
      </c>
      <c r="O391" s="120" t="s">
        <v>250</v>
      </c>
      <c r="P391" s="120" t="s">
        <v>250</v>
      </c>
      <c r="Q391" s="120" t="s">
        <v>250</v>
      </c>
      <c r="R391" s="120"/>
      <c r="S391" s="121"/>
    </row>
    <row r="392" spans="1:19" ht="15">
      <c r="A392" s="105" t="s">
        <v>250</v>
      </c>
      <c r="B392" s="129"/>
      <c r="C392" s="107" t="s">
        <v>278</v>
      </c>
      <c r="D392" s="107" t="s">
        <v>250</v>
      </c>
      <c r="E392" s="120" t="s">
        <v>250</v>
      </c>
      <c r="F392" s="120" t="s">
        <v>250</v>
      </c>
      <c r="G392" s="120" t="s">
        <v>250</v>
      </c>
      <c r="H392" s="120" t="s">
        <v>250</v>
      </c>
      <c r="I392" s="120" t="s">
        <v>250</v>
      </c>
      <c r="J392" s="120" t="s">
        <v>250</v>
      </c>
      <c r="K392" s="120" t="s">
        <v>250</v>
      </c>
      <c r="L392" s="120" t="s">
        <v>250</v>
      </c>
      <c r="M392" s="120" t="s">
        <v>250</v>
      </c>
      <c r="N392" s="120" t="s">
        <v>250</v>
      </c>
      <c r="O392" s="120" t="s">
        <v>250</v>
      </c>
      <c r="P392" s="120" t="s">
        <v>250</v>
      </c>
      <c r="Q392" s="120" t="s">
        <v>250</v>
      </c>
      <c r="R392" s="120"/>
      <c r="S392" s="121"/>
    </row>
    <row r="393" spans="1:19" ht="15">
      <c r="A393" s="105" t="s">
        <v>250</v>
      </c>
      <c r="B393" s="129" t="str">
        <f t="shared" ref="B393:B457" si="15">MID(C393,3,3)</f>
        <v/>
      </c>
      <c r="C393" s="107" t="s">
        <v>250</v>
      </c>
      <c r="D393" s="107" t="s">
        <v>250</v>
      </c>
      <c r="E393" s="120" t="s">
        <v>250</v>
      </c>
      <c r="F393" s="120" t="s">
        <v>250</v>
      </c>
      <c r="G393" s="120" t="s">
        <v>250</v>
      </c>
      <c r="H393" s="120" t="s">
        <v>250</v>
      </c>
      <c r="I393" s="120" t="s">
        <v>250</v>
      </c>
      <c r="J393" s="120" t="s">
        <v>250</v>
      </c>
      <c r="K393" s="120" t="s">
        <v>250</v>
      </c>
      <c r="L393" s="120" t="s">
        <v>250</v>
      </c>
      <c r="M393" s="120" t="s">
        <v>250</v>
      </c>
      <c r="N393" s="120" t="s">
        <v>250</v>
      </c>
      <c r="O393" s="120" t="s">
        <v>250</v>
      </c>
      <c r="P393" s="120" t="s">
        <v>250</v>
      </c>
      <c r="Q393" s="120" t="s">
        <v>250</v>
      </c>
      <c r="R393" s="120"/>
      <c r="S393" s="121"/>
    </row>
    <row r="394" spans="1:19" ht="15">
      <c r="A394" s="105" t="s">
        <v>250</v>
      </c>
      <c r="B394" s="129"/>
      <c r="C394" s="107" t="s">
        <v>547</v>
      </c>
      <c r="D394" s="107" t="s">
        <v>250</v>
      </c>
      <c r="E394" s="120" t="s">
        <v>250</v>
      </c>
      <c r="F394" s="120" t="s">
        <v>250</v>
      </c>
      <c r="G394" s="120" t="s">
        <v>250</v>
      </c>
      <c r="H394" s="120" t="s">
        <v>250</v>
      </c>
      <c r="I394" s="120" t="s">
        <v>250</v>
      </c>
      <c r="J394" s="120" t="s">
        <v>250</v>
      </c>
      <c r="K394" s="120" t="s">
        <v>250</v>
      </c>
      <c r="L394" s="120" t="s">
        <v>250</v>
      </c>
      <c r="M394" s="120" t="s">
        <v>250</v>
      </c>
      <c r="N394" s="120" t="s">
        <v>250</v>
      </c>
      <c r="O394" s="120" t="s">
        <v>250</v>
      </c>
      <c r="P394" s="120" t="s">
        <v>250</v>
      </c>
      <c r="Q394" s="120" t="s">
        <v>250</v>
      </c>
      <c r="R394" s="120"/>
      <c r="S394" s="121"/>
    </row>
    <row r="395" spans="1:19" ht="15">
      <c r="A395" s="105">
        <v>1</v>
      </c>
      <c r="B395" s="129" t="str">
        <f t="shared" si="15"/>
        <v>440</v>
      </c>
      <c r="C395" s="107" t="s">
        <v>548</v>
      </c>
      <c r="D395" s="107" t="s">
        <v>250</v>
      </c>
      <c r="E395" s="120">
        <v>681840251.84286797</v>
      </c>
      <c r="F395" s="120" t="s">
        <v>250</v>
      </c>
      <c r="G395" s="120">
        <v>640474467.41011655</v>
      </c>
      <c r="H395" s="120" t="s">
        <v>250</v>
      </c>
      <c r="I395" s="120">
        <v>41365784.432751417</v>
      </c>
      <c r="J395" s="120">
        <v>0</v>
      </c>
      <c r="K395" s="120" t="s">
        <v>250</v>
      </c>
      <c r="L395" s="120" t="s">
        <v>250</v>
      </c>
      <c r="M395" s="120">
        <v>0</v>
      </c>
      <c r="N395" s="120" t="s">
        <v>250</v>
      </c>
      <c r="O395" s="120">
        <v>0</v>
      </c>
      <c r="P395" s="120">
        <v>0</v>
      </c>
      <c r="Q395" s="120">
        <v>0</v>
      </c>
      <c r="R395" s="120"/>
      <c r="S395" s="121"/>
    </row>
    <row r="396" spans="1:19" ht="15">
      <c r="A396" s="105">
        <v>2</v>
      </c>
      <c r="B396" s="129" t="str">
        <f t="shared" si="15"/>
        <v>442</v>
      </c>
      <c r="C396" s="107" t="s">
        <v>549</v>
      </c>
      <c r="D396" s="107" t="s">
        <v>250</v>
      </c>
      <c r="E396" s="120">
        <v>445420511.89337808</v>
      </c>
      <c r="F396" s="120" t="s">
        <v>250</v>
      </c>
      <c r="G396" s="120">
        <v>426915075.51164377</v>
      </c>
      <c r="H396" s="120" t="s">
        <v>250</v>
      </c>
      <c r="I396" s="120">
        <v>18505436.381734289</v>
      </c>
      <c r="J396" s="120">
        <v>0</v>
      </c>
      <c r="K396" s="120" t="s">
        <v>250</v>
      </c>
      <c r="L396" s="120" t="s">
        <v>250</v>
      </c>
      <c r="M396" s="120">
        <v>0</v>
      </c>
      <c r="N396" s="120" t="s">
        <v>250</v>
      </c>
      <c r="O396" s="120">
        <v>0</v>
      </c>
      <c r="P396" s="120">
        <v>0</v>
      </c>
      <c r="Q396" s="120">
        <v>0</v>
      </c>
      <c r="R396" s="120"/>
      <c r="S396" s="121"/>
    </row>
    <row r="397" spans="1:19" ht="15">
      <c r="A397" s="105">
        <v>3</v>
      </c>
      <c r="B397" s="129" t="str">
        <f t="shared" si="15"/>
        <v>442</v>
      </c>
      <c r="C397" s="107" t="s">
        <v>550</v>
      </c>
      <c r="D397" s="107" t="s">
        <v>250</v>
      </c>
      <c r="E397" s="120">
        <v>391032442.32335025</v>
      </c>
      <c r="F397" s="120" t="s">
        <v>250</v>
      </c>
      <c r="G397" s="120">
        <v>382727597.79571038</v>
      </c>
      <c r="H397" s="120" t="s">
        <v>250</v>
      </c>
      <c r="I397" s="120">
        <v>8304844.5276398705</v>
      </c>
      <c r="J397" s="120">
        <v>0</v>
      </c>
      <c r="K397" s="120" t="s">
        <v>250</v>
      </c>
      <c r="L397" s="120" t="s">
        <v>250</v>
      </c>
      <c r="M397" s="120">
        <v>0</v>
      </c>
      <c r="N397" s="120" t="s">
        <v>250</v>
      </c>
      <c r="O397" s="120">
        <v>0</v>
      </c>
      <c r="P397" s="120">
        <v>0</v>
      </c>
      <c r="Q397" s="120">
        <v>0</v>
      </c>
      <c r="R397" s="120"/>
      <c r="S397" s="121"/>
    </row>
    <row r="398" spans="1:19" ht="15">
      <c r="A398" s="105">
        <v>4</v>
      </c>
      <c r="B398" s="129" t="str">
        <f t="shared" si="15"/>
        <v>444</v>
      </c>
      <c r="C398" s="107" t="s">
        <v>551</v>
      </c>
      <c r="D398" s="107" t="s">
        <v>250</v>
      </c>
      <c r="E398" s="120">
        <v>13155301.828238031</v>
      </c>
      <c r="F398" s="120" t="s">
        <v>250</v>
      </c>
      <c r="G398" s="120">
        <v>12736464.978514884</v>
      </c>
      <c r="H398" s="120" t="s">
        <v>250</v>
      </c>
      <c r="I398" s="120">
        <v>418836.84972314665</v>
      </c>
      <c r="J398" s="120">
        <v>0</v>
      </c>
      <c r="K398" s="120" t="s">
        <v>250</v>
      </c>
      <c r="L398" s="120" t="s">
        <v>250</v>
      </c>
      <c r="M398" s="120">
        <v>0</v>
      </c>
      <c r="N398" s="120" t="s">
        <v>250</v>
      </c>
      <c r="O398" s="120">
        <v>0</v>
      </c>
      <c r="P398" s="120">
        <v>0</v>
      </c>
      <c r="Q398" s="120">
        <v>0</v>
      </c>
      <c r="R398" s="120"/>
      <c r="S398" s="121"/>
    </row>
    <row r="399" spans="1:19" ht="15">
      <c r="A399" s="105">
        <v>5</v>
      </c>
      <c r="B399" s="129" t="str">
        <f t="shared" si="15"/>
        <v>445</v>
      </c>
      <c r="C399" s="107" t="s">
        <v>552</v>
      </c>
      <c r="D399" s="107" t="s">
        <v>250</v>
      </c>
      <c r="E399" s="120">
        <v>138862828.72465</v>
      </c>
      <c r="F399" s="120" t="s">
        <v>250</v>
      </c>
      <c r="G399" s="120">
        <v>131716194.28406973</v>
      </c>
      <c r="H399" s="120" t="s">
        <v>250</v>
      </c>
      <c r="I399" s="120">
        <v>7146634.4405802647</v>
      </c>
      <c r="J399" s="120">
        <v>0</v>
      </c>
      <c r="K399" s="120" t="s">
        <v>250</v>
      </c>
      <c r="L399" s="120" t="s">
        <v>250</v>
      </c>
      <c r="M399" s="120">
        <v>0</v>
      </c>
      <c r="N399" s="120" t="s">
        <v>250</v>
      </c>
      <c r="O399" s="120">
        <v>0</v>
      </c>
      <c r="P399" s="120">
        <v>0</v>
      </c>
      <c r="Q399" s="120">
        <v>0</v>
      </c>
      <c r="R399" s="120"/>
      <c r="S399" s="121"/>
    </row>
    <row r="400" spans="1:19" ht="15">
      <c r="A400" s="105">
        <v>6</v>
      </c>
      <c r="B400" s="129" t="str">
        <f t="shared" si="15"/>
        <v>447</v>
      </c>
      <c r="C400" s="107" t="s">
        <v>553</v>
      </c>
      <c r="D400" s="107" t="s">
        <v>250</v>
      </c>
      <c r="E400" s="120">
        <v>23936453.890344642</v>
      </c>
      <c r="F400" s="120" t="s">
        <v>250</v>
      </c>
      <c r="G400" s="120">
        <v>0</v>
      </c>
      <c r="H400" s="120" t="s">
        <v>250</v>
      </c>
      <c r="I400" s="120">
        <v>0</v>
      </c>
      <c r="J400" s="120">
        <v>23936453.890344642</v>
      </c>
      <c r="K400" s="120" t="s">
        <v>250</v>
      </c>
      <c r="L400" s="120" t="s">
        <v>250</v>
      </c>
      <c r="M400" s="120">
        <v>0</v>
      </c>
      <c r="N400" s="120" t="s">
        <v>250</v>
      </c>
      <c r="O400" s="120">
        <v>23936453.890344642</v>
      </c>
      <c r="P400" s="120">
        <v>12216380.95181122</v>
      </c>
      <c r="Q400" s="120">
        <v>11720072.93853342</v>
      </c>
      <c r="R400" s="120"/>
      <c r="S400" s="121"/>
    </row>
    <row r="401" spans="1:19" ht="15">
      <c r="A401" s="105">
        <v>7</v>
      </c>
      <c r="B401" s="129" t="str">
        <f t="shared" si="15"/>
        <v>447</v>
      </c>
      <c r="C401" s="107" t="s">
        <v>2217</v>
      </c>
      <c r="D401" s="107" t="s">
        <v>250</v>
      </c>
      <c r="E401" s="120">
        <v>2017.4881561073762</v>
      </c>
      <c r="F401" s="120" t="s">
        <v>250</v>
      </c>
      <c r="G401" s="120">
        <v>0</v>
      </c>
      <c r="H401" s="120" t="s">
        <v>250</v>
      </c>
      <c r="I401" s="120">
        <v>2017.4881561073762</v>
      </c>
      <c r="J401" s="120">
        <v>0</v>
      </c>
      <c r="K401" s="120" t="s">
        <v>250</v>
      </c>
      <c r="L401" s="120" t="s">
        <v>250</v>
      </c>
      <c r="M401" s="120">
        <v>0</v>
      </c>
      <c r="N401" s="120" t="s">
        <v>250</v>
      </c>
      <c r="O401" s="120">
        <v>0</v>
      </c>
      <c r="P401" s="120">
        <v>0</v>
      </c>
      <c r="Q401" s="120">
        <v>0</v>
      </c>
      <c r="R401" s="120"/>
      <c r="S401" s="121"/>
    </row>
    <row r="402" spans="1:19" ht="15">
      <c r="A402" s="105">
        <v>8</v>
      </c>
      <c r="B402" s="129"/>
      <c r="C402" s="107" t="s">
        <v>554</v>
      </c>
      <c r="D402" s="107" t="s">
        <v>250</v>
      </c>
      <c r="E402" s="120" t="s">
        <v>250</v>
      </c>
      <c r="F402" s="120" t="s">
        <v>250</v>
      </c>
      <c r="G402" s="120" t="s">
        <v>250</v>
      </c>
      <c r="H402" s="120" t="s">
        <v>250</v>
      </c>
      <c r="I402" s="120" t="s">
        <v>250</v>
      </c>
      <c r="J402" s="120" t="s">
        <v>250</v>
      </c>
      <c r="K402" s="120" t="s">
        <v>250</v>
      </c>
      <c r="L402" s="120" t="s">
        <v>250</v>
      </c>
      <c r="M402" s="120" t="s">
        <v>250</v>
      </c>
      <c r="N402" s="120" t="s">
        <v>250</v>
      </c>
      <c r="O402" s="120" t="s">
        <v>250</v>
      </c>
      <c r="P402" s="120" t="s">
        <v>250</v>
      </c>
      <c r="Q402" s="120" t="s">
        <v>250</v>
      </c>
      <c r="R402" s="120"/>
      <c r="S402" s="121"/>
    </row>
    <row r="403" spans="1:19" ht="15">
      <c r="A403" s="105">
        <v>9</v>
      </c>
      <c r="B403" s="129" t="str">
        <f t="shared" si="15"/>
        <v xml:space="preserve">   </v>
      </c>
      <c r="C403" s="107" t="s">
        <v>555</v>
      </c>
      <c r="D403" s="107" t="s">
        <v>303</v>
      </c>
      <c r="E403" s="120">
        <v>0</v>
      </c>
      <c r="F403" s="120" t="s">
        <v>250</v>
      </c>
      <c r="G403" s="120">
        <v>0</v>
      </c>
      <c r="H403" s="120" t="s">
        <v>250</v>
      </c>
      <c r="I403" s="120">
        <v>0</v>
      </c>
      <c r="J403" s="120">
        <v>0</v>
      </c>
      <c r="K403" s="120" t="s">
        <v>250</v>
      </c>
      <c r="L403" s="120" t="s">
        <v>250</v>
      </c>
      <c r="M403" s="120">
        <v>0</v>
      </c>
      <c r="N403" s="120" t="s">
        <v>250</v>
      </c>
      <c r="O403" s="120">
        <v>0</v>
      </c>
      <c r="P403" s="120">
        <v>0</v>
      </c>
      <c r="Q403" s="120">
        <v>0</v>
      </c>
      <c r="R403" s="120"/>
      <c r="S403" s="121"/>
    </row>
    <row r="404" spans="1:19" ht="15">
      <c r="A404" s="105">
        <v>10</v>
      </c>
      <c r="B404" s="129" t="str">
        <f t="shared" si="15"/>
        <v xml:space="preserve">   </v>
      </c>
      <c r="C404" s="107" t="s">
        <v>556</v>
      </c>
      <c r="D404" s="107" t="s">
        <v>494</v>
      </c>
      <c r="E404" s="120">
        <v>12810236.070064751</v>
      </c>
      <c r="F404" s="120" t="s">
        <v>250</v>
      </c>
      <c r="G404" s="120">
        <v>12065009.460147835</v>
      </c>
      <c r="H404" s="120" t="s">
        <v>250</v>
      </c>
      <c r="I404" s="120">
        <v>484526.53264145018</v>
      </c>
      <c r="J404" s="120">
        <v>260700.07727546658</v>
      </c>
      <c r="K404" s="120" t="s">
        <v>250</v>
      </c>
      <c r="L404" s="120" t="s">
        <v>250</v>
      </c>
      <c r="M404" s="120">
        <v>0</v>
      </c>
      <c r="N404" s="120" t="s">
        <v>250</v>
      </c>
      <c r="O404" s="120">
        <v>260700.07727546658</v>
      </c>
      <c r="P404" s="120">
        <v>133810.58070215076</v>
      </c>
      <c r="Q404" s="120">
        <v>126889.49657331583</v>
      </c>
      <c r="R404" s="120"/>
      <c r="S404" s="121"/>
    </row>
    <row r="405" spans="1:19" ht="15">
      <c r="A405" s="105">
        <v>11</v>
      </c>
      <c r="B405" s="129">
        <v>447</v>
      </c>
      <c r="C405" s="107" t="s">
        <v>557</v>
      </c>
      <c r="D405" s="107" t="s">
        <v>250</v>
      </c>
      <c r="E405" s="120">
        <v>12810236.070064751</v>
      </c>
      <c r="F405" s="120" t="s">
        <v>250</v>
      </c>
      <c r="G405" s="120">
        <v>12065009.460147835</v>
      </c>
      <c r="H405" s="120" t="s">
        <v>250</v>
      </c>
      <c r="I405" s="120">
        <v>484526.53264145018</v>
      </c>
      <c r="J405" s="120">
        <v>260700.07727546658</v>
      </c>
      <c r="K405" s="120" t="s">
        <v>250</v>
      </c>
      <c r="L405" s="120" t="s">
        <v>250</v>
      </c>
      <c r="M405" s="120">
        <v>0</v>
      </c>
      <c r="N405" s="120" t="s">
        <v>250</v>
      </c>
      <c r="O405" s="120">
        <v>260700.07727546658</v>
      </c>
      <c r="P405" s="120">
        <v>133810.58070215076</v>
      </c>
      <c r="Q405" s="120">
        <v>126889.49657331583</v>
      </c>
      <c r="R405" s="120"/>
      <c r="S405" s="121"/>
    </row>
    <row r="406" spans="1:19" ht="15">
      <c r="A406" s="105" t="s">
        <v>250</v>
      </c>
      <c r="B406" s="129" t="str">
        <f t="shared" si="15"/>
        <v/>
      </c>
      <c r="C406" s="107" t="s">
        <v>250</v>
      </c>
      <c r="D406" s="107" t="s">
        <v>250</v>
      </c>
      <c r="E406" s="120" t="s">
        <v>250</v>
      </c>
      <c r="F406" s="120" t="s">
        <v>250</v>
      </c>
      <c r="G406" s="120" t="s">
        <v>250</v>
      </c>
      <c r="H406" s="120" t="s">
        <v>250</v>
      </c>
      <c r="I406" s="120" t="s">
        <v>250</v>
      </c>
      <c r="J406" s="120" t="s">
        <v>250</v>
      </c>
      <c r="K406" s="120" t="s">
        <v>250</v>
      </c>
      <c r="L406" s="120" t="s">
        <v>250</v>
      </c>
      <c r="M406" s="120" t="s">
        <v>250</v>
      </c>
      <c r="N406" s="120" t="s">
        <v>250</v>
      </c>
      <c r="O406" s="120" t="s">
        <v>250</v>
      </c>
      <c r="P406" s="120" t="s">
        <v>250</v>
      </c>
      <c r="Q406" s="120" t="s">
        <v>250</v>
      </c>
      <c r="R406" s="120"/>
      <c r="S406" s="121"/>
    </row>
    <row r="407" spans="1:19" ht="15">
      <c r="A407" s="105">
        <v>12</v>
      </c>
      <c r="B407" s="129" t="str">
        <f t="shared" si="15"/>
        <v>449</v>
      </c>
      <c r="C407" s="107" t="s">
        <v>558</v>
      </c>
      <c r="D407" s="107" t="s">
        <v>250</v>
      </c>
      <c r="E407" s="120">
        <v>0</v>
      </c>
      <c r="F407" s="120" t="s">
        <v>250</v>
      </c>
      <c r="G407" s="120">
        <v>0</v>
      </c>
      <c r="H407" s="120" t="s">
        <v>250</v>
      </c>
      <c r="I407" s="120">
        <v>0</v>
      </c>
      <c r="J407" s="120">
        <v>0</v>
      </c>
      <c r="K407" s="120" t="s">
        <v>250</v>
      </c>
      <c r="L407" s="120" t="s">
        <v>250</v>
      </c>
      <c r="M407" s="120">
        <v>0</v>
      </c>
      <c r="N407" s="120" t="s">
        <v>250</v>
      </c>
      <c r="O407" s="120">
        <v>0</v>
      </c>
      <c r="P407" s="120">
        <v>0</v>
      </c>
      <c r="Q407" s="120">
        <v>0</v>
      </c>
      <c r="R407" s="120"/>
      <c r="S407" s="121"/>
    </row>
    <row r="408" spans="1:19" ht="15">
      <c r="A408" s="105" t="s">
        <v>250</v>
      </c>
      <c r="B408" s="129" t="str">
        <f t="shared" si="15"/>
        <v/>
      </c>
      <c r="C408" s="107" t="s">
        <v>250</v>
      </c>
      <c r="D408" s="107" t="s">
        <v>250</v>
      </c>
      <c r="E408" s="120" t="s">
        <v>250</v>
      </c>
      <c r="F408" s="120" t="s">
        <v>250</v>
      </c>
      <c r="G408" s="120" t="s">
        <v>250</v>
      </c>
      <c r="H408" s="120" t="s">
        <v>250</v>
      </c>
      <c r="I408" s="120" t="s">
        <v>250</v>
      </c>
      <c r="J408" s="120" t="s">
        <v>250</v>
      </c>
      <c r="K408" s="120" t="s">
        <v>250</v>
      </c>
      <c r="L408" s="120" t="s">
        <v>250</v>
      </c>
      <c r="M408" s="120" t="s">
        <v>250</v>
      </c>
      <c r="N408" s="120" t="s">
        <v>250</v>
      </c>
      <c r="O408" s="120" t="s">
        <v>250</v>
      </c>
      <c r="P408" s="120" t="s">
        <v>250</v>
      </c>
      <c r="Q408" s="120" t="s">
        <v>250</v>
      </c>
      <c r="R408" s="120"/>
      <c r="S408" s="121"/>
    </row>
    <row r="409" spans="1:19" ht="15">
      <c r="A409" s="105">
        <v>13</v>
      </c>
      <c r="B409" s="129"/>
      <c r="C409" s="107" t="s">
        <v>559</v>
      </c>
      <c r="D409" s="107" t="s">
        <v>250</v>
      </c>
      <c r="E409" s="120">
        <v>1707060044.0610499</v>
      </c>
      <c r="F409" s="120" t="s">
        <v>250</v>
      </c>
      <c r="G409" s="120">
        <v>1606634809.4402032</v>
      </c>
      <c r="H409" s="120" t="s">
        <v>250</v>
      </c>
      <c r="I409" s="120">
        <v>76228080.653226554</v>
      </c>
      <c r="J409" s="120">
        <v>24197153.967620105</v>
      </c>
      <c r="K409" s="120" t="s">
        <v>250</v>
      </c>
      <c r="L409" s="120" t="s">
        <v>250</v>
      </c>
      <c r="M409" s="120">
        <v>0</v>
      </c>
      <c r="N409" s="120" t="s">
        <v>250</v>
      </c>
      <c r="O409" s="120">
        <v>24197153.967620105</v>
      </c>
      <c r="P409" s="120">
        <v>12350191.532513371</v>
      </c>
      <c r="Q409" s="120">
        <v>11846962.435106736</v>
      </c>
      <c r="R409" s="120"/>
      <c r="S409" s="121"/>
    </row>
    <row r="410" spans="1:19" ht="15">
      <c r="A410" s="105" t="s">
        <v>250</v>
      </c>
      <c r="B410" s="129" t="str">
        <f t="shared" si="15"/>
        <v/>
      </c>
      <c r="C410" s="107" t="s">
        <v>250</v>
      </c>
      <c r="D410" s="107" t="s">
        <v>250</v>
      </c>
      <c r="E410" s="120" t="s">
        <v>250</v>
      </c>
      <c r="F410" s="120" t="s">
        <v>250</v>
      </c>
      <c r="G410" s="120" t="s">
        <v>250</v>
      </c>
      <c r="H410" s="120" t="s">
        <v>250</v>
      </c>
      <c r="I410" s="120" t="s">
        <v>250</v>
      </c>
      <c r="J410" s="120" t="s">
        <v>250</v>
      </c>
      <c r="K410" s="120" t="s">
        <v>250</v>
      </c>
      <c r="L410" s="120" t="s">
        <v>250</v>
      </c>
      <c r="M410" s="120" t="s">
        <v>250</v>
      </c>
      <c r="N410" s="120" t="s">
        <v>250</v>
      </c>
      <c r="O410" s="120" t="s">
        <v>250</v>
      </c>
      <c r="P410" s="120" t="s">
        <v>250</v>
      </c>
      <c r="Q410" s="120" t="s">
        <v>250</v>
      </c>
      <c r="R410" s="120"/>
      <c r="S410" s="121"/>
    </row>
    <row r="411" spans="1:19" ht="15">
      <c r="A411" s="105" t="s">
        <v>250</v>
      </c>
      <c r="B411" s="129"/>
      <c r="C411" s="107" t="s">
        <v>560</v>
      </c>
      <c r="D411" s="107" t="s">
        <v>250</v>
      </c>
      <c r="E411" s="120" t="s">
        <v>250</v>
      </c>
      <c r="F411" s="120" t="s">
        <v>250</v>
      </c>
      <c r="G411" s="120" t="s">
        <v>250</v>
      </c>
      <c r="H411" s="120" t="s">
        <v>250</v>
      </c>
      <c r="I411" s="120" t="s">
        <v>250</v>
      </c>
      <c r="J411" s="120" t="s">
        <v>250</v>
      </c>
      <c r="K411" s="120" t="s">
        <v>250</v>
      </c>
      <c r="L411" s="120" t="s">
        <v>250</v>
      </c>
      <c r="M411" s="120" t="s">
        <v>250</v>
      </c>
      <c r="N411" s="120" t="s">
        <v>250</v>
      </c>
      <c r="O411" s="120" t="s">
        <v>250</v>
      </c>
      <c r="P411" s="120" t="s">
        <v>250</v>
      </c>
      <c r="Q411" s="120" t="s">
        <v>250</v>
      </c>
      <c r="R411" s="120"/>
      <c r="S411" s="121"/>
    </row>
    <row r="412" spans="1:19" ht="15">
      <c r="A412" s="105">
        <v>14</v>
      </c>
      <c r="B412" s="129" t="str">
        <f t="shared" si="15"/>
        <v>450</v>
      </c>
      <c r="C412" s="107" t="s">
        <v>561</v>
      </c>
      <c r="D412" s="107" t="s">
        <v>562</v>
      </c>
      <c r="E412" s="120">
        <v>4034268.7899999996</v>
      </c>
      <c r="F412" s="120" t="s">
        <v>250</v>
      </c>
      <c r="G412" s="120">
        <v>3870653.7689641463</v>
      </c>
      <c r="H412" s="120" t="s">
        <v>250</v>
      </c>
      <c r="I412" s="120">
        <v>163360.60812454234</v>
      </c>
      <c r="J412" s="120">
        <v>254.41291131089034</v>
      </c>
      <c r="K412" s="120" t="s">
        <v>250</v>
      </c>
      <c r="L412" s="120" t="s">
        <v>250</v>
      </c>
      <c r="M412" s="120">
        <v>0</v>
      </c>
      <c r="N412" s="120" t="s">
        <v>250</v>
      </c>
      <c r="O412" s="120">
        <v>254.41291131089034</v>
      </c>
      <c r="P412" s="120">
        <v>254.41291131089034</v>
      </c>
      <c r="Q412" s="120">
        <v>0</v>
      </c>
      <c r="R412" s="120"/>
      <c r="S412" s="121"/>
    </row>
    <row r="413" spans="1:19" ht="15">
      <c r="A413" s="105">
        <v>15</v>
      </c>
      <c r="B413" s="129" t="str">
        <f t="shared" si="15"/>
        <v>451</v>
      </c>
      <c r="C413" s="107" t="s">
        <v>563</v>
      </c>
      <c r="D413" s="107" t="s">
        <v>564</v>
      </c>
      <c r="E413" s="120">
        <v>2174943.6666666651</v>
      </c>
      <c r="F413" s="120" t="s">
        <v>250</v>
      </c>
      <c r="G413" s="120">
        <v>2104203.6666666651</v>
      </c>
      <c r="H413" s="120" t="s">
        <v>250</v>
      </c>
      <c r="I413" s="120">
        <v>70740</v>
      </c>
      <c r="J413" s="120">
        <v>0</v>
      </c>
      <c r="K413" s="120" t="s">
        <v>250</v>
      </c>
      <c r="L413" s="120" t="s">
        <v>250</v>
      </c>
      <c r="M413" s="120">
        <v>0</v>
      </c>
      <c r="N413" s="120" t="s">
        <v>250</v>
      </c>
      <c r="O413" s="120">
        <v>0</v>
      </c>
      <c r="P413" s="120">
        <v>0</v>
      </c>
      <c r="Q413" s="120">
        <v>0</v>
      </c>
      <c r="R413" s="120"/>
      <c r="S413" s="121"/>
    </row>
    <row r="414" spans="1:19" ht="15">
      <c r="A414" s="105">
        <v>16</v>
      </c>
      <c r="B414" s="129" t="str">
        <f t="shared" si="15"/>
        <v>451</v>
      </c>
      <c r="C414" s="107" t="s">
        <v>565</v>
      </c>
      <c r="D414" s="107" t="s">
        <v>566</v>
      </c>
      <c r="E414" s="120">
        <v>94079.309999999896</v>
      </c>
      <c r="F414" s="120" t="s">
        <v>250</v>
      </c>
      <c r="G414" s="120">
        <v>93979.309999999896</v>
      </c>
      <c r="H414" s="120" t="s">
        <v>250</v>
      </c>
      <c r="I414" s="120">
        <v>100.00000000000001</v>
      </c>
      <c r="J414" s="120">
        <v>0</v>
      </c>
      <c r="K414" s="120" t="s">
        <v>250</v>
      </c>
      <c r="L414" s="120" t="s">
        <v>250</v>
      </c>
      <c r="M414" s="120">
        <v>0</v>
      </c>
      <c r="N414" s="120" t="s">
        <v>250</v>
      </c>
      <c r="O414" s="120">
        <v>0</v>
      </c>
      <c r="P414" s="120">
        <v>0</v>
      </c>
      <c r="Q414" s="120">
        <v>0</v>
      </c>
      <c r="R414" s="120"/>
      <c r="S414" s="121"/>
    </row>
    <row r="415" spans="1:19" ht="15">
      <c r="A415" s="105">
        <v>17</v>
      </c>
      <c r="B415" s="129" t="str">
        <f t="shared" si="15"/>
        <v>454</v>
      </c>
      <c r="C415" s="107" t="s">
        <v>567</v>
      </c>
      <c r="D415" s="107" t="s">
        <v>568</v>
      </c>
      <c r="E415" s="120">
        <v>3953480.6050000004</v>
      </c>
      <c r="F415" s="120" t="s">
        <v>250</v>
      </c>
      <c r="G415" s="120">
        <v>2942174.8550000004</v>
      </c>
      <c r="H415" s="120" t="s">
        <v>250</v>
      </c>
      <c r="I415" s="120">
        <v>789057.59000000008</v>
      </c>
      <c r="J415" s="120">
        <v>222248.16</v>
      </c>
      <c r="K415" s="120" t="s">
        <v>250</v>
      </c>
      <c r="L415" s="120" t="s">
        <v>250</v>
      </c>
      <c r="M415" s="120">
        <v>0</v>
      </c>
      <c r="N415" s="120" t="s">
        <v>250</v>
      </c>
      <c r="O415" s="120">
        <v>222248.16</v>
      </c>
      <c r="P415" s="120">
        <v>222248.16</v>
      </c>
      <c r="Q415" s="120">
        <v>0</v>
      </c>
      <c r="R415" s="120"/>
      <c r="S415" s="121"/>
    </row>
    <row r="416" spans="1:19" ht="15">
      <c r="A416" s="105">
        <v>18</v>
      </c>
      <c r="B416" s="129" t="str">
        <f t="shared" si="15"/>
        <v>454</v>
      </c>
      <c r="C416" s="107" t="s">
        <v>2392</v>
      </c>
      <c r="D416" s="107" t="s">
        <v>511</v>
      </c>
      <c r="E416" s="120">
        <v>5190.5999999999985</v>
      </c>
      <c r="F416" s="120" t="s">
        <v>250</v>
      </c>
      <c r="G416" s="120">
        <v>5190.5999999999985</v>
      </c>
      <c r="H416" s="120" t="s">
        <v>250</v>
      </c>
      <c r="I416" s="120">
        <v>0</v>
      </c>
      <c r="J416" s="120">
        <v>0</v>
      </c>
      <c r="K416" s="120" t="s">
        <v>250</v>
      </c>
      <c r="L416" s="120" t="s">
        <v>250</v>
      </c>
      <c r="M416" s="120">
        <v>0</v>
      </c>
      <c r="N416" s="120" t="s">
        <v>250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19</v>
      </c>
      <c r="B417" s="129" t="str">
        <f t="shared" si="15"/>
        <v>454</v>
      </c>
      <c r="C417" s="107" t="s">
        <v>2393</v>
      </c>
      <c r="D417" s="107" t="s">
        <v>732</v>
      </c>
      <c r="E417" s="120">
        <v>67109.549999999988</v>
      </c>
      <c r="F417" s="120" t="s">
        <v>250</v>
      </c>
      <c r="G417" s="120">
        <v>0</v>
      </c>
      <c r="H417" s="120" t="s">
        <v>250</v>
      </c>
      <c r="I417" s="120">
        <v>45233.53</v>
      </c>
      <c r="J417" s="120">
        <v>21876.019999999997</v>
      </c>
      <c r="K417" s="120" t="s">
        <v>250</v>
      </c>
      <c r="L417" s="120" t="s">
        <v>250</v>
      </c>
      <c r="M417" s="120">
        <v>0</v>
      </c>
      <c r="N417" s="120" t="s">
        <v>250</v>
      </c>
      <c r="O417" s="120">
        <v>21876.019999999997</v>
      </c>
      <c r="P417" s="120">
        <v>11164.803076250215</v>
      </c>
      <c r="Q417" s="120">
        <v>10711.216923749784</v>
      </c>
      <c r="R417" s="120"/>
      <c r="S417" s="121"/>
    </row>
    <row r="418" spans="1:19" ht="15">
      <c r="A418" s="105">
        <v>20</v>
      </c>
      <c r="B418" s="129" t="str">
        <f t="shared" si="15"/>
        <v>456</v>
      </c>
      <c r="C418" s="107" t="s">
        <v>569</v>
      </c>
      <c r="D418" s="107" t="s">
        <v>340</v>
      </c>
      <c r="E418" s="120">
        <v>27763848.066864248</v>
      </c>
      <c r="F418" s="120" t="s">
        <v>250</v>
      </c>
      <c r="G418" s="120">
        <v>26560959.220936965</v>
      </c>
      <c r="H418" s="120" t="s">
        <v>250</v>
      </c>
      <c r="I418" s="120">
        <v>1202888.8459272841</v>
      </c>
      <c r="J418" s="120">
        <v>0</v>
      </c>
      <c r="K418" s="120" t="s">
        <v>250</v>
      </c>
      <c r="L418" s="120" t="s">
        <v>250</v>
      </c>
      <c r="M418" s="120">
        <v>0</v>
      </c>
      <c r="N418" s="120" t="s">
        <v>250</v>
      </c>
      <c r="O418" s="120">
        <v>0</v>
      </c>
      <c r="P418" s="120">
        <v>0</v>
      </c>
      <c r="Q418" s="120">
        <v>0</v>
      </c>
      <c r="R418" s="120"/>
      <c r="S418" s="121"/>
    </row>
    <row r="419" spans="1:19" ht="15">
      <c r="A419" s="105">
        <v>21</v>
      </c>
      <c r="B419" s="129" t="str">
        <f t="shared" si="15"/>
        <v>456</v>
      </c>
      <c r="C419" s="107" t="s">
        <v>570</v>
      </c>
      <c r="D419" s="107" t="s">
        <v>571</v>
      </c>
      <c r="E419" s="120">
        <v>1515173.0907216251</v>
      </c>
      <c r="F419" s="120" t="s">
        <v>250</v>
      </c>
      <c r="G419" s="120">
        <v>1421403.5557281594</v>
      </c>
      <c r="H419" s="120" t="s">
        <v>250</v>
      </c>
      <c r="I419" s="120">
        <v>64372.316847616821</v>
      </c>
      <c r="J419" s="120">
        <v>29397.218145848918</v>
      </c>
      <c r="K419" s="120" t="s">
        <v>250</v>
      </c>
      <c r="L419" s="120" t="s">
        <v>250</v>
      </c>
      <c r="M419" s="120">
        <v>0</v>
      </c>
      <c r="N419" s="120" t="s">
        <v>250</v>
      </c>
      <c r="O419" s="120">
        <v>29397.218145848918</v>
      </c>
      <c r="P419" s="120">
        <v>14911.913995871044</v>
      </c>
      <c r="Q419" s="120">
        <v>14485.304149977874</v>
      </c>
      <c r="R419" s="120"/>
      <c r="S419" s="121"/>
    </row>
    <row r="420" spans="1:19" ht="15">
      <c r="A420" s="105">
        <v>22</v>
      </c>
      <c r="B420" s="129" t="str">
        <f t="shared" si="15"/>
        <v>456</v>
      </c>
      <c r="C420" s="107" t="s">
        <v>572</v>
      </c>
      <c r="D420" s="107" t="s">
        <v>511</v>
      </c>
      <c r="E420" s="120">
        <v>600</v>
      </c>
      <c r="F420" s="120" t="s">
        <v>250</v>
      </c>
      <c r="G420" s="120">
        <v>600</v>
      </c>
      <c r="H420" s="120" t="s">
        <v>250</v>
      </c>
      <c r="I420" s="120">
        <v>0</v>
      </c>
      <c r="J420" s="120">
        <v>0</v>
      </c>
      <c r="K420" s="120" t="s">
        <v>250</v>
      </c>
      <c r="L420" s="120" t="s">
        <v>250</v>
      </c>
      <c r="M420" s="120">
        <v>0</v>
      </c>
      <c r="N420" s="120" t="s">
        <v>250</v>
      </c>
      <c r="O420" s="120">
        <v>0</v>
      </c>
      <c r="P420" s="120">
        <v>0</v>
      </c>
      <c r="Q420" s="120">
        <v>0</v>
      </c>
      <c r="R420" s="120"/>
      <c r="S420" s="121"/>
    </row>
    <row r="421" spans="1:19" ht="15">
      <c r="A421" s="105">
        <v>23</v>
      </c>
      <c r="B421" s="129" t="str">
        <f t="shared" si="15"/>
        <v>456</v>
      </c>
      <c r="C421" s="107" t="s">
        <v>3691</v>
      </c>
      <c r="D421" s="107" t="s">
        <v>494</v>
      </c>
      <c r="E421" s="120">
        <v>96075.000000000015</v>
      </c>
      <c r="F421" s="120" t="s">
        <v>250</v>
      </c>
      <c r="G421" s="120">
        <v>90485.903424716846</v>
      </c>
      <c r="H421" s="120" t="s">
        <v>250</v>
      </c>
      <c r="I421" s="120">
        <v>3633.8820275380008</v>
      </c>
      <c r="J421" s="120">
        <v>1955.214547745165</v>
      </c>
      <c r="K421" s="120" t="s">
        <v>250</v>
      </c>
      <c r="L421" s="120" t="s">
        <v>250</v>
      </c>
      <c r="M421" s="120">
        <v>0</v>
      </c>
      <c r="N421" s="120" t="s">
        <v>250</v>
      </c>
      <c r="O421" s="120">
        <v>1955.214547745165</v>
      </c>
      <c r="P421" s="120">
        <v>1003.560861068047</v>
      </c>
      <c r="Q421" s="120">
        <v>951.65368667711812</v>
      </c>
      <c r="R421" s="120"/>
      <c r="S421" s="121"/>
    </row>
    <row r="422" spans="1:19" ht="15">
      <c r="A422" s="105">
        <v>24</v>
      </c>
      <c r="B422" s="129" t="str">
        <f t="shared" si="15"/>
        <v>456</v>
      </c>
      <c r="C422" s="107" t="s">
        <v>573</v>
      </c>
      <c r="D422" s="107" t="s">
        <v>574</v>
      </c>
      <c r="E422" s="120">
        <v>68898.000000000015</v>
      </c>
      <c r="F422" s="120" t="s">
        <v>250</v>
      </c>
      <c r="G422" s="120">
        <v>61024.000000000015</v>
      </c>
      <c r="H422" s="120" t="s">
        <v>250</v>
      </c>
      <c r="I422" s="120">
        <v>7874</v>
      </c>
      <c r="J422" s="120">
        <v>0</v>
      </c>
      <c r="K422" s="120" t="s">
        <v>250</v>
      </c>
      <c r="L422" s="120" t="s">
        <v>250</v>
      </c>
      <c r="M422" s="120">
        <v>0</v>
      </c>
      <c r="N422" s="120" t="s">
        <v>250</v>
      </c>
      <c r="O422" s="120">
        <v>0</v>
      </c>
      <c r="P422" s="120">
        <v>0</v>
      </c>
      <c r="Q422" s="120">
        <v>0</v>
      </c>
      <c r="R422" s="120"/>
      <c r="S422" s="121"/>
    </row>
    <row r="423" spans="1:19" ht="15">
      <c r="A423" s="105">
        <v>25</v>
      </c>
      <c r="B423" s="129" t="str">
        <f t="shared" si="15"/>
        <v>456</v>
      </c>
      <c r="C423" s="107" t="s">
        <v>575</v>
      </c>
      <c r="D423" s="107" t="s">
        <v>576</v>
      </c>
      <c r="E423" s="120">
        <v>166698.69000000003</v>
      </c>
      <c r="F423" s="120" t="s">
        <v>250</v>
      </c>
      <c r="G423" s="120">
        <v>166698.69000000003</v>
      </c>
      <c r="H423" s="120" t="s">
        <v>250</v>
      </c>
      <c r="I423" s="120">
        <v>0</v>
      </c>
      <c r="J423" s="120">
        <v>0</v>
      </c>
      <c r="K423" s="120" t="s">
        <v>250</v>
      </c>
      <c r="L423" s="120" t="s">
        <v>250</v>
      </c>
      <c r="M423" s="120">
        <v>0</v>
      </c>
      <c r="N423" s="120" t="s">
        <v>250</v>
      </c>
      <c r="O423" s="120">
        <v>0</v>
      </c>
      <c r="P423" s="120">
        <v>0</v>
      </c>
      <c r="Q423" s="120">
        <v>0</v>
      </c>
      <c r="R423" s="120"/>
      <c r="S423" s="121"/>
    </row>
    <row r="424" spans="1:19" ht="15">
      <c r="A424" s="105">
        <v>26</v>
      </c>
      <c r="B424" s="129" t="str">
        <f t="shared" si="15"/>
        <v>456</v>
      </c>
      <c r="C424" s="107" t="s">
        <v>577</v>
      </c>
      <c r="D424" s="107" t="s">
        <v>578</v>
      </c>
      <c r="E424" s="120">
        <v>32025.913333333316</v>
      </c>
      <c r="F424" s="120" t="s">
        <v>250</v>
      </c>
      <c r="G424" s="120">
        <v>30873.913333333316</v>
      </c>
      <c r="H424" s="120" t="s">
        <v>250</v>
      </c>
      <c r="I424" s="120">
        <v>1152</v>
      </c>
      <c r="J424" s="120">
        <v>0</v>
      </c>
      <c r="K424" s="120" t="s">
        <v>250</v>
      </c>
      <c r="L424" s="120" t="s">
        <v>250</v>
      </c>
      <c r="M424" s="120">
        <v>0</v>
      </c>
      <c r="N424" s="120" t="s">
        <v>250</v>
      </c>
      <c r="O424" s="120">
        <v>0</v>
      </c>
      <c r="P424" s="120">
        <v>0</v>
      </c>
      <c r="Q424" s="120">
        <v>0</v>
      </c>
      <c r="R424" s="120"/>
      <c r="S424" s="121"/>
    </row>
    <row r="425" spans="1:19" ht="15">
      <c r="A425" s="105">
        <v>27</v>
      </c>
      <c r="B425" s="129" t="str">
        <f t="shared" si="15"/>
        <v>456</v>
      </c>
      <c r="C425" s="107" t="s">
        <v>2394</v>
      </c>
      <c r="D425" s="107" t="s">
        <v>732</v>
      </c>
      <c r="E425" s="120">
        <v>735.07999999999993</v>
      </c>
      <c r="F425" s="120" t="s">
        <v>250</v>
      </c>
      <c r="G425" s="120">
        <v>0</v>
      </c>
      <c r="H425" s="120" t="s">
        <v>250</v>
      </c>
      <c r="I425" s="120">
        <v>735.07999999999993</v>
      </c>
      <c r="J425" s="120">
        <v>0</v>
      </c>
      <c r="K425" s="120" t="s">
        <v>250</v>
      </c>
      <c r="L425" s="120" t="s">
        <v>250</v>
      </c>
      <c r="M425" s="120">
        <v>0</v>
      </c>
      <c r="N425" s="120" t="s">
        <v>250</v>
      </c>
      <c r="O425" s="120">
        <v>0</v>
      </c>
      <c r="P425" s="120">
        <v>0</v>
      </c>
      <c r="Q425" s="120">
        <v>0</v>
      </c>
      <c r="R425" s="120"/>
      <c r="S425" s="121"/>
    </row>
    <row r="426" spans="1:19" ht="15">
      <c r="A426" s="105">
        <v>28</v>
      </c>
      <c r="B426" s="129" t="str">
        <f t="shared" si="15"/>
        <v>TAL</v>
      </c>
      <c r="C426" s="107" t="s">
        <v>579</v>
      </c>
      <c r="D426" s="107" t="s">
        <v>250</v>
      </c>
      <c r="E426" s="120">
        <v>39973126.362585872</v>
      </c>
      <c r="F426" s="120" t="s">
        <v>250</v>
      </c>
      <c r="G426" s="120">
        <v>37348247.484053984</v>
      </c>
      <c r="H426" s="120" t="s">
        <v>250</v>
      </c>
      <c r="I426" s="120">
        <v>2349147.8529269812</v>
      </c>
      <c r="J426" s="120">
        <v>275731.02560490498</v>
      </c>
      <c r="K426" s="120" t="s">
        <v>250</v>
      </c>
      <c r="L426" s="120" t="s">
        <v>250</v>
      </c>
      <c r="M426" s="120">
        <v>0</v>
      </c>
      <c r="N426" s="120" t="s">
        <v>250</v>
      </c>
      <c r="O426" s="120">
        <v>275731.02560490498</v>
      </c>
      <c r="P426" s="120">
        <v>249582.85084450021</v>
      </c>
      <c r="Q426" s="120">
        <v>26148.174760404774</v>
      </c>
      <c r="R426" s="120"/>
      <c r="S426" s="121"/>
    </row>
    <row r="427" spans="1:19" ht="15">
      <c r="A427" s="105" t="s">
        <v>250</v>
      </c>
      <c r="B427" s="129"/>
      <c r="C427" s="107" t="s">
        <v>250</v>
      </c>
      <c r="D427" s="107" t="s">
        <v>250</v>
      </c>
      <c r="E427" s="120" t="s">
        <v>250</v>
      </c>
      <c r="F427" s="120" t="s">
        <v>250</v>
      </c>
      <c r="G427" s="120" t="s">
        <v>250</v>
      </c>
      <c r="H427" s="120" t="s">
        <v>250</v>
      </c>
      <c r="I427" s="120" t="s">
        <v>250</v>
      </c>
      <c r="J427" s="120" t="s">
        <v>250</v>
      </c>
      <c r="K427" s="120" t="s">
        <v>250</v>
      </c>
      <c r="L427" s="120" t="s">
        <v>250</v>
      </c>
      <c r="M427" s="120" t="s">
        <v>250</v>
      </c>
      <c r="N427" s="120" t="s">
        <v>250</v>
      </c>
      <c r="O427" s="120" t="s">
        <v>250</v>
      </c>
      <c r="P427" s="120" t="s">
        <v>250</v>
      </c>
      <c r="Q427" s="120" t="s">
        <v>250</v>
      </c>
      <c r="R427" s="120"/>
      <c r="S427" s="121"/>
    </row>
    <row r="428" spans="1:19" ht="15">
      <c r="A428" s="105">
        <v>29</v>
      </c>
      <c r="B428" s="129" t="str">
        <f t="shared" si="15"/>
        <v>TAL</v>
      </c>
      <c r="C428" s="107" t="s">
        <v>580</v>
      </c>
      <c r="D428" s="107" t="s">
        <v>250</v>
      </c>
      <c r="E428" s="120">
        <v>1747033170.423636</v>
      </c>
      <c r="F428" s="120" t="s">
        <v>250</v>
      </c>
      <c r="G428" s="120">
        <v>1643983056.9242573</v>
      </c>
      <c r="H428" s="120" t="s">
        <v>250</v>
      </c>
      <c r="I428" s="120">
        <v>78577228.506153539</v>
      </c>
      <c r="J428" s="120">
        <v>24472884.993225012</v>
      </c>
      <c r="K428" s="120" t="s">
        <v>250</v>
      </c>
      <c r="L428" s="120" t="s">
        <v>250</v>
      </c>
      <c r="M428" s="120">
        <v>0</v>
      </c>
      <c r="N428" s="120" t="s">
        <v>250</v>
      </c>
      <c r="O428" s="120">
        <v>24472884.993225012</v>
      </c>
      <c r="P428" s="120">
        <v>12599774.383357871</v>
      </c>
      <c r="Q428" s="120">
        <v>11873110.609867141</v>
      </c>
      <c r="R428" s="120"/>
      <c r="S428" s="121"/>
    </row>
    <row r="429" spans="1:19" ht="15">
      <c r="A429" s="105" t="s">
        <v>250</v>
      </c>
      <c r="B429" s="129" t="str">
        <f t="shared" si="15"/>
        <v/>
      </c>
      <c r="C429" s="107" t="s">
        <v>250</v>
      </c>
      <c r="D429" s="107" t="s">
        <v>250</v>
      </c>
      <c r="E429" s="120" t="s">
        <v>250</v>
      </c>
      <c r="F429" s="120" t="s">
        <v>250</v>
      </c>
      <c r="G429" s="120" t="s">
        <v>250</v>
      </c>
      <c r="H429" s="120" t="s">
        <v>250</v>
      </c>
      <c r="I429" s="120" t="s">
        <v>250</v>
      </c>
      <c r="J429" s="120" t="s">
        <v>250</v>
      </c>
      <c r="K429" s="120" t="s">
        <v>250</v>
      </c>
      <c r="L429" s="120" t="s">
        <v>250</v>
      </c>
      <c r="M429" s="120" t="s">
        <v>250</v>
      </c>
      <c r="N429" s="120" t="s">
        <v>250</v>
      </c>
      <c r="O429" s="120" t="s">
        <v>250</v>
      </c>
      <c r="P429" s="120" t="s">
        <v>250</v>
      </c>
      <c r="Q429" s="120" t="s">
        <v>250</v>
      </c>
      <c r="R429" s="120"/>
      <c r="S429" s="121"/>
    </row>
    <row r="430" spans="1:19" ht="15">
      <c r="A430" s="105" t="s">
        <v>250</v>
      </c>
      <c r="B430" s="129" t="str">
        <f t="shared" si="15"/>
        <v/>
      </c>
      <c r="C430" s="107" t="s">
        <v>250</v>
      </c>
      <c r="D430" s="107" t="s">
        <v>250</v>
      </c>
      <c r="E430" s="120" t="s">
        <v>250</v>
      </c>
      <c r="F430" s="120" t="s">
        <v>250</v>
      </c>
      <c r="G430" s="120" t="s">
        <v>250</v>
      </c>
      <c r="H430" s="120" t="s">
        <v>250</v>
      </c>
      <c r="I430" s="120" t="s">
        <v>250</v>
      </c>
      <c r="J430" s="120" t="s">
        <v>250</v>
      </c>
      <c r="K430" s="120" t="s">
        <v>250</v>
      </c>
      <c r="L430" s="120" t="s">
        <v>250</v>
      </c>
      <c r="M430" s="120" t="s">
        <v>250</v>
      </c>
      <c r="N430" s="120" t="s">
        <v>250</v>
      </c>
      <c r="O430" s="120" t="s">
        <v>250</v>
      </c>
      <c r="P430" s="120" t="s">
        <v>250</v>
      </c>
      <c r="Q430" s="120" t="s">
        <v>250</v>
      </c>
      <c r="R430" s="120"/>
      <c r="S430" s="121"/>
    </row>
    <row r="431" spans="1:19" ht="15">
      <c r="A431" s="105" t="s">
        <v>250</v>
      </c>
      <c r="B431" s="129" t="str">
        <f t="shared" si="15"/>
        <v>ERA</v>
      </c>
      <c r="C431" s="107" t="s">
        <v>581</v>
      </c>
      <c r="D431" s="107" t="s">
        <v>250</v>
      </c>
      <c r="E431" s="120" t="s">
        <v>250</v>
      </c>
      <c r="F431" s="120" t="s">
        <v>250</v>
      </c>
      <c r="G431" s="120" t="s">
        <v>250</v>
      </c>
      <c r="H431" s="120" t="s">
        <v>250</v>
      </c>
      <c r="I431" s="120" t="s">
        <v>250</v>
      </c>
      <c r="J431" s="120" t="s">
        <v>250</v>
      </c>
      <c r="K431" s="120" t="s">
        <v>250</v>
      </c>
      <c r="L431" s="120" t="s">
        <v>250</v>
      </c>
      <c r="M431" s="120" t="s">
        <v>250</v>
      </c>
      <c r="N431" s="120" t="s">
        <v>250</v>
      </c>
      <c r="O431" s="120" t="s">
        <v>250</v>
      </c>
      <c r="P431" s="120" t="s">
        <v>250</v>
      </c>
      <c r="Q431" s="120" t="s">
        <v>250</v>
      </c>
      <c r="R431" s="120"/>
      <c r="S431" s="121"/>
    </row>
    <row r="432" spans="1:19" ht="15">
      <c r="A432" s="105" t="s">
        <v>250</v>
      </c>
      <c r="B432" s="129" t="str">
        <f t="shared" si="15"/>
        <v/>
      </c>
      <c r="C432" s="107" t="s">
        <v>250</v>
      </c>
      <c r="D432" s="107" t="s">
        <v>250</v>
      </c>
      <c r="E432" s="120" t="s">
        <v>250</v>
      </c>
      <c r="F432" s="120" t="s">
        <v>250</v>
      </c>
      <c r="G432" s="120" t="s">
        <v>250</v>
      </c>
      <c r="H432" s="120" t="s">
        <v>250</v>
      </c>
      <c r="I432" s="120" t="s">
        <v>250</v>
      </c>
      <c r="J432" s="120" t="s">
        <v>250</v>
      </c>
      <c r="K432" s="120" t="s">
        <v>250</v>
      </c>
      <c r="L432" s="120" t="s">
        <v>250</v>
      </c>
      <c r="M432" s="120" t="s">
        <v>250</v>
      </c>
      <c r="N432" s="120" t="s">
        <v>250</v>
      </c>
      <c r="O432" s="120" t="s">
        <v>250</v>
      </c>
      <c r="P432" s="120" t="s">
        <v>250</v>
      </c>
      <c r="Q432" s="120" t="s">
        <v>250</v>
      </c>
      <c r="R432" s="120"/>
      <c r="S432" s="121"/>
    </row>
    <row r="433" spans="1:19" ht="15">
      <c r="A433" s="105" t="s">
        <v>250</v>
      </c>
      <c r="B433" s="129" t="str">
        <f t="shared" si="15"/>
        <v>ODU</v>
      </c>
      <c r="C433" s="107" t="s">
        <v>582</v>
      </c>
      <c r="D433" s="107" t="s">
        <v>250</v>
      </c>
      <c r="E433" s="120" t="s">
        <v>250</v>
      </c>
      <c r="F433" s="120" t="s">
        <v>250</v>
      </c>
      <c r="G433" s="120" t="s">
        <v>250</v>
      </c>
      <c r="H433" s="120" t="s">
        <v>250</v>
      </c>
      <c r="I433" s="120" t="s">
        <v>250</v>
      </c>
      <c r="J433" s="120" t="s">
        <v>250</v>
      </c>
      <c r="K433" s="120" t="s">
        <v>250</v>
      </c>
      <c r="L433" s="120" t="s">
        <v>250</v>
      </c>
      <c r="M433" s="120" t="s">
        <v>250</v>
      </c>
      <c r="N433" s="120" t="s">
        <v>250</v>
      </c>
      <c r="O433" s="120" t="s">
        <v>250</v>
      </c>
      <c r="P433" s="120" t="s">
        <v>250</v>
      </c>
      <c r="Q433" s="120" t="s">
        <v>250</v>
      </c>
      <c r="R433" s="120"/>
      <c r="S433" s="121"/>
    </row>
    <row r="434" spans="1:19" ht="15">
      <c r="A434" s="105">
        <v>1</v>
      </c>
      <c r="B434" s="129" t="str">
        <f t="shared" si="15"/>
        <v>500</v>
      </c>
      <c r="C434" s="107" t="s">
        <v>583</v>
      </c>
      <c r="D434" s="107" t="s">
        <v>584</v>
      </c>
      <c r="E434" s="120">
        <v>5781070</v>
      </c>
      <c r="F434" s="120" t="s">
        <v>250</v>
      </c>
      <c r="G434" s="120">
        <v>5418923.1581502724</v>
      </c>
      <c r="H434" s="120" t="s">
        <v>250</v>
      </c>
      <c r="I434" s="120">
        <v>247666.9143529876</v>
      </c>
      <c r="J434" s="120">
        <v>114479.9274967399</v>
      </c>
      <c r="K434" s="120" t="s">
        <v>250</v>
      </c>
      <c r="L434" s="120" t="s">
        <v>250</v>
      </c>
      <c r="M434" s="120">
        <v>0</v>
      </c>
      <c r="N434" s="120" t="s">
        <v>250</v>
      </c>
      <c r="O434" s="120">
        <v>114479.9274967399</v>
      </c>
      <c r="P434" s="120">
        <v>58070.62507123634</v>
      </c>
      <c r="Q434" s="120">
        <v>56409.302425503549</v>
      </c>
      <c r="R434" s="120"/>
      <c r="S434" s="121"/>
    </row>
    <row r="435" spans="1:19" ht="15">
      <c r="A435" s="105">
        <v>2</v>
      </c>
      <c r="B435" s="129" t="str">
        <f t="shared" si="15"/>
        <v>501</v>
      </c>
      <c r="C435" s="107" t="s">
        <v>585</v>
      </c>
      <c r="D435" s="107" t="s">
        <v>494</v>
      </c>
      <c r="E435" s="120">
        <v>291334052.77607697</v>
      </c>
      <c r="F435" s="120" t="s">
        <v>250</v>
      </c>
      <c r="G435" s="120">
        <v>274405486.57924032</v>
      </c>
      <c r="H435" s="120" t="s">
        <v>250</v>
      </c>
      <c r="I435" s="120">
        <v>11008719.331312699</v>
      </c>
      <c r="J435" s="120">
        <v>5919846.8655239213</v>
      </c>
      <c r="K435" s="120" t="s">
        <v>250</v>
      </c>
      <c r="L435" s="120" t="s">
        <v>250</v>
      </c>
      <c r="M435" s="120">
        <v>0</v>
      </c>
      <c r="N435" s="120" t="s">
        <v>250</v>
      </c>
      <c r="O435" s="120">
        <v>5919846.8655239213</v>
      </c>
      <c r="P435" s="120">
        <v>3038531.2820172571</v>
      </c>
      <c r="Q435" s="120">
        <v>2881315.5835066647</v>
      </c>
      <c r="R435" s="120"/>
      <c r="S435" s="121"/>
    </row>
    <row r="436" spans="1:19" ht="15">
      <c r="A436" s="105">
        <v>3</v>
      </c>
      <c r="B436" s="129" t="str">
        <f t="shared" si="15"/>
        <v>502</v>
      </c>
      <c r="C436" s="107" t="s">
        <v>2218</v>
      </c>
      <c r="D436" s="107" t="s">
        <v>584</v>
      </c>
      <c r="E436" s="120">
        <v>23067669.000000011</v>
      </c>
      <c r="F436" s="120" t="s">
        <v>250</v>
      </c>
      <c r="G436" s="120">
        <v>21622627.947533105</v>
      </c>
      <c r="H436" s="120" t="s">
        <v>250</v>
      </c>
      <c r="I436" s="120">
        <v>988242.38463572832</v>
      </c>
      <c r="J436" s="120">
        <v>456798.66783117934</v>
      </c>
      <c r="K436" s="120" t="s">
        <v>250</v>
      </c>
      <c r="L436" s="120" t="s">
        <v>250</v>
      </c>
      <c r="M436" s="120">
        <v>0</v>
      </c>
      <c r="N436" s="120" t="s">
        <v>250</v>
      </c>
      <c r="O436" s="120">
        <v>456798.66783117934</v>
      </c>
      <c r="P436" s="120">
        <v>231713.84497443933</v>
      </c>
      <c r="Q436" s="120">
        <v>225084.82285673998</v>
      </c>
      <c r="R436" s="120"/>
      <c r="S436" s="121"/>
    </row>
    <row r="437" spans="1:19" ht="15">
      <c r="A437" s="105">
        <v>4</v>
      </c>
      <c r="B437" s="129" t="str">
        <f t="shared" si="15"/>
        <v>504</v>
      </c>
      <c r="C437" s="107" t="s">
        <v>2219</v>
      </c>
      <c r="D437" s="107" t="s">
        <v>584</v>
      </c>
      <c r="E437" s="120">
        <v>0</v>
      </c>
      <c r="F437" s="120" t="s">
        <v>250</v>
      </c>
      <c r="G437" s="120">
        <v>0</v>
      </c>
      <c r="H437" s="120" t="s">
        <v>250</v>
      </c>
      <c r="I437" s="120">
        <v>0</v>
      </c>
      <c r="J437" s="120">
        <v>0</v>
      </c>
      <c r="K437" s="120" t="s">
        <v>250</v>
      </c>
      <c r="L437" s="120" t="s">
        <v>250</v>
      </c>
      <c r="M437" s="120">
        <v>0</v>
      </c>
      <c r="N437" s="120" t="s">
        <v>250</v>
      </c>
      <c r="O437" s="120">
        <v>0</v>
      </c>
      <c r="P437" s="120">
        <v>0</v>
      </c>
      <c r="Q437" s="120">
        <v>0</v>
      </c>
      <c r="R437" s="120"/>
      <c r="S437" s="121"/>
    </row>
    <row r="438" spans="1:19" ht="15">
      <c r="A438" s="105">
        <v>5</v>
      </c>
      <c r="B438" s="129" t="str">
        <f t="shared" si="15"/>
        <v>505</v>
      </c>
      <c r="C438" s="107" t="s">
        <v>587</v>
      </c>
      <c r="D438" s="107" t="s">
        <v>584</v>
      </c>
      <c r="E438" s="120">
        <v>8674239</v>
      </c>
      <c r="F438" s="120" t="s">
        <v>250</v>
      </c>
      <c r="G438" s="120">
        <v>8130853.734071766</v>
      </c>
      <c r="H438" s="120" t="s">
        <v>250</v>
      </c>
      <c r="I438" s="120">
        <v>371613.2147665302</v>
      </c>
      <c r="J438" s="120">
        <v>171772.05116170424</v>
      </c>
      <c r="K438" s="120" t="s">
        <v>250</v>
      </c>
      <c r="L438" s="120" t="s">
        <v>250</v>
      </c>
      <c r="M438" s="120">
        <v>0</v>
      </c>
      <c r="N438" s="120" t="s">
        <v>250</v>
      </c>
      <c r="O438" s="120">
        <v>171772.05116170424</v>
      </c>
      <c r="P438" s="120">
        <v>87132.396035214246</v>
      </c>
      <c r="Q438" s="120">
        <v>84639.65512648999</v>
      </c>
      <c r="R438" s="120"/>
      <c r="S438" s="121"/>
    </row>
    <row r="439" spans="1:19" ht="15">
      <c r="A439" s="105">
        <v>6</v>
      </c>
      <c r="B439" s="129" t="str">
        <f t="shared" si="15"/>
        <v>506</v>
      </c>
      <c r="C439" s="107" t="s">
        <v>588</v>
      </c>
      <c r="D439" s="107" t="s">
        <v>584</v>
      </c>
      <c r="E439" s="120">
        <v>27100465.999999803</v>
      </c>
      <c r="F439" s="120" t="s">
        <v>250</v>
      </c>
      <c r="G439" s="120">
        <v>25402796.161275163</v>
      </c>
      <c r="H439" s="120" t="s">
        <v>250</v>
      </c>
      <c r="I439" s="120">
        <v>1161011.5068227858</v>
      </c>
      <c r="J439" s="120">
        <v>536658.33190185227</v>
      </c>
      <c r="K439" s="120" t="s">
        <v>250</v>
      </c>
      <c r="L439" s="120" t="s">
        <v>250</v>
      </c>
      <c r="M439" s="120">
        <v>0</v>
      </c>
      <c r="N439" s="120" t="s">
        <v>250</v>
      </c>
      <c r="O439" s="120">
        <v>536658.33190185227</v>
      </c>
      <c r="P439" s="120">
        <v>272223.13522267959</v>
      </c>
      <c r="Q439" s="120">
        <v>264435.19667917275</v>
      </c>
      <c r="R439" s="120"/>
      <c r="S439" s="121"/>
    </row>
    <row r="440" spans="1:19" ht="15">
      <c r="A440" s="105">
        <v>7</v>
      </c>
      <c r="B440" s="129" t="str">
        <f t="shared" si="15"/>
        <v>507</v>
      </c>
      <c r="C440" s="107" t="s">
        <v>2220</v>
      </c>
      <c r="D440" s="107" t="s">
        <v>584</v>
      </c>
      <c r="E440" s="120">
        <v>0</v>
      </c>
      <c r="F440" s="120" t="s">
        <v>250</v>
      </c>
      <c r="G440" s="120">
        <v>0</v>
      </c>
      <c r="H440" s="120" t="s">
        <v>250</v>
      </c>
      <c r="I440" s="120">
        <v>0</v>
      </c>
      <c r="J440" s="120">
        <v>0</v>
      </c>
      <c r="K440" s="120" t="s">
        <v>250</v>
      </c>
      <c r="L440" s="120" t="s">
        <v>250</v>
      </c>
      <c r="M440" s="120">
        <v>0</v>
      </c>
      <c r="N440" s="120" t="s">
        <v>250</v>
      </c>
      <c r="O440" s="120">
        <v>0</v>
      </c>
      <c r="P440" s="120">
        <v>0</v>
      </c>
      <c r="Q440" s="120">
        <v>0</v>
      </c>
      <c r="R440" s="120"/>
      <c r="S440" s="121"/>
    </row>
    <row r="441" spans="1:19" ht="15">
      <c r="A441" s="105">
        <v>8</v>
      </c>
      <c r="B441" s="129" t="str">
        <f t="shared" si="15"/>
        <v>509</v>
      </c>
      <c r="C441" s="107" t="s">
        <v>2221</v>
      </c>
      <c r="D441" s="107" t="s">
        <v>584</v>
      </c>
      <c r="E441" s="120">
        <v>0</v>
      </c>
      <c r="F441" s="120" t="s">
        <v>250</v>
      </c>
      <c r="G441" s="120">
        <v>0</v>
      </c>
      <c r="H441" s="120" t="s">
        <v>250</v>
      </c>
      <c r="I441" s="120">
        <v>0</v>
      </c>
      <c r="J441" s="120">
        <v>0</v>
      </c>
      <c r="K441" s="120" t="s">
        <v>250</v>
      </c>
      <c r="L441" s="120" t="s">
        <v>250</v>
      </c>
      <c r="M441" s="120">
        <v>0</v>
      </c>
      <c r="N441" s="120" t="s">
        <v>250</v>
      </c>
      <c r="O441" s="120">
        <v>0</v>
      </c>
      <c r="P441" s="120">
        <v>0</v>
      </c>
      <c r="Q441" s="120">
        <v>0</v>
      </c>
      <c r="R441" s="120"/>
      <c r="S441" s="121"/>
    </row>
    <row r="442" spans="1:19" ht="15">
      <c r="A442" s="105">
        <v>9</v>
      </c>
      <c r="B442" s="129" t="str">
        <f t="shared" si="15"/>
        <v xml:space="preserve">  T</v>
      </c>
      <c r="C442" s="107" t="s">
        <v>589</v>
      </c>
      <c r="D442" s="107" t="s">
        <v>250</v>
      </c>
      <c r="E442" s="120">
        <v>355957496.77607679</v>
      </c>
      <c r="F442" s="120" t="s">
        <v>250</v>
      </c>
      <c r="G442" s="120">
        <v>334980687.58027065</v>
      </c>
      <c r="H442" s="120" t="s">
        <v>250</v>
      </c>
      <c r="I442" s="120">
        <v>13777253.35189073</v>
      </c>
      <c r="J442" s="120">
        <v>7199555.8439153973</v>
      </c>
      <c r="K442" s="120" t="s">
        <v>250</v>
      </c>
      <c r="L442" s="120" t="s">
        <v>250</v>
      </c>
      <c r="M442" s="120">
        <v>0</v>
      </c>
      <c r="N442" s="120" t="s">
        <v>250</v>
      </c>
      <c r="O442" s="120">
        <v>7199555.8439153973</v>
      </c>
      <c r="P442" s="120">
        <v>3687671.2833208265</v>
      </c>
      <c r="Q442" s="120">
        <v>3511884.5605945713</v>
      </c>
      <c r="R442" s="120"/>
      <c r="S442" s="121"/>
    </row>
    <row r="443" spans="1:19" ht="15">
      <c r="A443" s="105">
        <v>10</v>
      </c>
      <c r="B443" s="129" t="str">
        <f t="shared" si="15"/>
        <v>510</v>
      </c>
      <c r="C443" s="107" t="s">
        <v>590</v>
      </c>
      <c r="D443" s="107" t="s">
        <v>584</v>
      </c>
      <c r="E443" s="120">
        <v>13384626.999999998</v>
      </c>
      <c r="F443" s="120" t="s">
        <v>250</v>
      </c>
      <c r="G443" s="120">
        <v>12501303.631067429</v>
      </c>
      <c r="H443" s="120" t="s">
        <v>250</v>
      </c>
      <c r="I443" s="120">
        <v>603271.88858183194</v>
      </c>
      <c r="J443" s="120">
        <v>280051.48035073781</v>
      </c>
      <c r="K443" s="120" t="s">
        <v>250</v>
      </c>
      <c r="L443" s="120" t="s">
        <v>250</v>
      </c>
      <c r="M443" s="120">
        <v>0</v>
      </c>
      <c r="N443" s="120" t="s">
        <v>250</v>
      </c>
      <c r="O443" s="120">
        <v>280051.48035073781</v>
      </c>
      <c r="P443" s="120">
        <v>142057.78140937004</v>
      </c>
      <c r="Q443" s="120">
        <v>137993.69894136777</v>
      </c>
      <c r="R443" s="120"/>
      <c r="S443" s="121"/>
    </row>
    <row r="444" spans="1:19" ht="15">
      <c r="A444" s="105">
        <v>11</v>
      </c>
      <c r="B444" s="129" t="str">
        <f t="shared" si="15"/>
        <v>511</v>
      </c>
      <c r="C444" s="107" t="s">
        <v>591</v>
      </c>
      <c r="D444" s="107" t="s">
        <v>584</v>
      </c>
      <c r="E444" s="120">
        <v>10694670.999999899</v>
      </c>
      <c r="F444" s="120" t="s">
        <v>250</v>
      </c>
      <c r="G444" s="120">
        <v>10051561.599622231</v>
      </c>
      <c r="H444" s="120" t="s">
        <v>250</v>
      </c>
      <c r="I444" s="120">
        <v>439813.08788833569</v>
      </c>
      <c r="J444" s="120">
        <v>203296.3124893335</v>
      </c>
      <c r="K444" s="120" t="s">
        <v>250</v>
      </c>
      <c r="L444" s="120" t="s">
        <v>250</v>
      </c>
      <c r="M444" s="120">
        <v>0</v>
      </c>
      <c r="N444" s="120" t="s">
        <v>250</v>
      </c>
      <c r="O444" s="120">
        <v>203296.3124893335</v>
      </c>
      <c r="P444" s="120">
        <v>103123.26535382528</v>
      </c>
      <c r="Q444" s="120">
        <v>100173.04713550821</v>
      </c>
      <c r="R444" s="120"/>
      <c r="S444" s="121"/>
    </row>
    <row r="445" spans="1:19" ht="15">
      <c r="A445" s="105">
        <v>12</v>
      </c>
      <c r="B445" s="129" t="str">
        <f t="shared" si="15"/>
        <v>512</v>
      </c>
      <c r="C445" s="107" t="s">
        <v>592</v>
      </c>
      <c r="D445" s="107" t="s">
        <v>494</v>
      </c>
      <c r="E445" s="120">
        <v>52235847</v>
      </c>
      <c r="F445" s="120" t="s">
        <v>250</v>
      </c>
      <c r="G445" s="120">
        <v>49269205.311209396</v>
      </c>
      <c r="H445" s="120" t="s">
        <v>250</v>
      </c>
      <c r="I445" s="120">
        <v>1928831.880515117</v>
      </c>
      <c r="J445" s="120">
        <v>1037809.8082754913</v>
      </c>
      <c r="K445" s="120" t="s">
        <v>250</v>
      </c>
      <c r="L445" s="120" t="s">
        <v>250</v>
      </c>
      <c r="M445" s="120">
        <v>0</v>
      </c>
      <c r="N445" s="120" t="s">
        <v>250</v>
      </c>
      <c r="O445" s="120">
        <v>1037809.8082754913</v>
      </c>
      <c r="P445" s="120">
        <v>532680.95523770957</v>
      </c>
      <c r="Q445" s="120">
        <v>505128.85303778178</v>
      </c>
      <c r="R445" s="120"/>
      <c r="S445" s="121"/>
    </row>
    <row r="446" spans="1:19" ht="15">
      <c r="A446" s="105">
        <v>13</v>
      </c>
      <c r="B446" s="129" t="str">
        <f t="shared" si="15"/>
        <v>513</v>
      </c>
      <c r="C446" s="107" t="s">
        <v>593</v>
      </c>
      <c r="D446" s="107" t="s">
        <v>494</v>
      </c>
      <c r="E446" s="120">
        <v>12661453.000000002</v>
      </c>
      <c r="F446" s="120" t="s">
        <v>250</v>
      </c>
      <c r="G446" s="120">
        <v>12209687.021997135</v>
      </c>
      <c r="H446" s="120" t="s">
        <v>250</v>
      </c>
      <c r="I446" s="120">
        <v>293726.30304806243</v>
      </c>
      <c r="J446" s="120">
        <v>158039.67495480331</v>
      </c>
      <c r="K446" s="120" t="s">
        <v>250</v>
      </c>
      <c r="L446" s="120" t="s">
        <v>250</v>
      </c>
      <c r="M446" s="120">
        <v>0</v>
      </c>
      <c r="N446" s="120" t="s">
        <v>250</v>
      </c>
      <c r="O446" s="120">
        <v>158039.67495480331</v>
      </c>
      <c r="P446" s="120">
        <v>81117.69131797523</v>
      </c>
      <c r="Q446" s="120">
        <v>76921.983636828081</v>
      </c>
      <c r="R446" s="120"/>
      <c r="S446" s="121"/>
    </row>
    <row r="447" spans="1:19" ht="15">
      <c r="A447" s="105">
        <v>14</v>
      </c>
      <c r="B447" s="129" t="str">
        <f t="shared" si="15"/>
        <v>514</v>
      </c>
      <c r="C447" s="107" t="s">
        <v>594</v>
      </c>
      <c r="D447" s="107" t="s">
        <v>584</v>
      </c>
      <c r="E447" s="120">
        <v>3723988</v>
      </c>
      <c r="F447" s="120" t="s">
        <v>250</v>
      </c>
      <c r="G447" s="120">
        <v>3446376.2425383469</v>
      </c>
      <c r="H447" s="120" t="s">
        <v>250</v>
      </c>
      <c r="I447" s="120">
        <v>189034.73286158071</v>
      </c>
      <c r="J447" s="120">
        <v>88577.024600072473</v>
      </c>
      <c r="K447" s="120" t="s">
        <v>250</v>
      </c>
      <c r="L447" s="120" t="s">
        <v>250</v>
      </c>
      <c r="M447" s="120">
        <v>0</v>
      </c>
      <c r="N447" s="120" t="s">
        <v>250</v>
      </c>
      <c r="O447" s="120">
        <v>88577.024600072473</v>
      </c>
      <c r="P447" s="120">
        <v>44931.223297839417</v>
      </c>
      <c r="Q447" s="120">
        <v>43645.801302233063</v>
      </c>
      <c r="R447" s="120"/>
      <c r="S447" s="121"/>
    </row>
    <row r="448" spans="1:19" ht="15">
      <c r="A448" s="105">
        <v>15</v>
      </c>
      <c r="B448" s="129" t="str">
        <f t="shared" si="15"/>
        <v xml:space="preserve">  T</v>
      </c>
      <c r="C448" s="107" t="s">
        <v>595</v>
      </c>
      <c r="D448" s="107" t="s">
        <v>250</v>
      </c>
      <c r="E448" s="120">
        <v>92700585.999999911</v>
      </c>
      <c r="F448" s="120" t="s">
        <v>250</v>
      </c>
      <c r="G448" s="120">
        <v>87478133.806434542</v>
      </c>
      <c r="H448" s="120" t="s">
        <v>250</v>
      </c>
      <c r="I448" s="120">
        <v>3454677.8928949279</v>
      </c>
      <c r="J448" s="120">
        <v>1767774.3006704384</v>
      </c>
      <c r="K448" s="120" t="s">
        <v>250</v>
      </c>
      <c r="L448" s="120" t="s">
        <v>250</v>
      </c>
      <c r="M448" s="120">
        <v>0</v>
      </c>
      <c r="N448" s="120" t="s">
        <v>250</v>
      </c>
      <c r="O448" s="120">
        <v>1767774.3006704384</v>
      </c>
      <c r="P448" s="120">
        <v>903910.91661671957</v>
      </c>
      <c r="Q448" s="120">
        <v>863863.38405371876</v>
      </c>
      <c r="R448" s="120"/>
      <c r="S448" s="121"/>
    </row>
    <row r="449" spans="1:19" ht="15">
      <c r="A449" s="105" t="s">
        <v>250</v>
      </c>
      <c r="B449" s="129" t="str">
        <f t="shared" si="15"/>
        <v/>
      </c>
      <c r="C449" s="107" t="s">
        <v>250</v>
      </c>
      <c r="D449" s="107" t="s">
        <v>250</v>
      </c>
      <c r="E449" s="120" t="s">
        <v>250</v>
      </c>
      <c r="F449" s="120" t="s">
        <v>250</v>
      </c>
      <c r="G449" s="120" t="s">
        <v>250</v>
      </c>
      <c r="H449" s="120" t="s">
        <v>250</v>
      </c>
      <c r="I449" s="120" t="s">
        <v>250</v>
      </c>
      <c r="J449" s="120" t="s">
        <v>250</v>
      </c>
      <c r="K449" s="120" t="s">
        <v>250</v>
      </c>
      <c r="L449" s="120" t="s">
        <v>250</v>
      </c>
      <c r="M449" s="120" t="s">
        <v>250</v>
      </c>
      <c r="N449" s="120" t="s">
        <v>250</v>
      </c>
      <c r="O449" s="120" t="s">
        <v>250</v>
      </c>
      <c r="P449" s="120" t="s">
        <v>250</v>
      </c>
      <c r="Q449" s="120" t="s">
        <v>250</v>
      </c>
      <c r="R449" s="120"/>
      <c r="S449" s="121"/>
    </row>
    <row r="450" spans="1:19" ht="15">
      <c r="A450" s="105">
        <v>16</v>
      </c>
      <c r="B450" s="129" t="str">
        <f t="shared" si="15"/>
        <v>TAL</v>
      </c>
      <c r="C450" s="107" t="s">
        <v>596</v>
      </c>
      <c r="D450" s="107" t="s">
        <v>250</v>
      </c>
      <c r="E450" s="120">
        <v>448658082.77607667</v>
      </c>
      <c r="F450" s="120" t="s">
        <v>250</v>
      </c>
      <c r="G450" s="120">
        <v>422458821.38670516</v>
      </c>
      <c r="H450" s="120" t="s">
        <v>250</v>
      </c>
      <c r="I450" s="120">
        <v>17231931.244785659</v>
      </c>
      <c r="J450" s="120">
        <v>8967330.1445858367</v>
      </c>
      <c r="K450" s="120" t="s">
        <v>250</v>
      </c>
      <c r="L450" s="120" t="s">
        <v>250</v>
      </c>
      <c r="M450" s="120">
        <v>0</v>
      </c>
      <c r="N450" s="120" t="s">
        <v>250</v>
      </c>
      <c r="O450" s="120">
        <v>8967330.1445858367</v>
      </c>
      <c r="P450" s="120">
        <v>4591582.1999375457</v>
      </c>
      <c r="Q450" s="120">
        <v>4375747.9446482901</v>
      </c>
      <c r="R450" s="120"/>
      <c r="S450" s="121"/>
    </row>
    <row r="451" spans="1:19" ht="15">
      <c r="A451" s="105" t="s">
        <v>250</v>
      </c>
      <c r="B451" s="129" t="str">
        <f t="shared" si="15"/>
        <v/>
      </c>
      <c r="C451" s="107" t="s">
        <v>250</v>
      </c>
      <c r="D451" s="107" t="s">
        <v>250</v>
      </c>
      <c r="E451" s="120" t="s">
        <v>250</v>
      </c>
      <c r="F451" s="120" t="s">
        <v>250</v>
      </c>
      <c r="G451" s="120" t="s">
        <v>250</v>
      </c>
      <c r="H451" s="120" t="s">
        <v>250</v>
      </c>
      <c r="I451" s="120" t="s">
        <v>250</v>
      </c>
      <c r="J451" s="120" t="s">
        <v>250</v>
      </c>
      <c r="K451" s="120" t="s">
        <v>250</v>
      </c>
      <c r="L451" s="120" t="s">
        <v>250</v>
      </c>
      <c r="M451" s="120" t="s">
        <v>250</v>
      </c>
      <c r="N451" s="120" t="s">
        <v>250</v>
      </c>
      <c r="O451" s="120" t="s">
        <v>250</v>
      </c>
      <c r="P451" s="120" t="s">
        <v>250</v>
      </c>
      <c r="Q451" s="120" t="s">
        <v>250</v>
      </c>
      <c r="R451" s="120"/>
      <c r="S451" s="121"/>
    </row>
    <row r="452" spans="1:19" ht="15">
      <c r="A452" s="105" t="s">
        <v>250</v>
      </c>
      <c r="B452" s="129" t="str">
        <f t="shared" si="15"/>
        <v>ODU</v>
      </c>
      <c r="C452" s="107" t="s">
        <v>597</v>
      </c>
      <c r="D452" s="107" t="s">
        <v>250</v>
      </c>
      <c r="E452" s="120" t="s">
        <v>250</v>
      </c>
      <c r="F452" s="120" t="s">
        <v>250</v>
      </c>
      <c r="G452" s="120" t="s">
        <v>250</v>
      </c>
      <c r="H452" s="120" t="s">
        <v>250</v>
      </c>
      <c r="I452" s="120" t="s">
        <v>250</v>
      </c>
      <c r="J452" s="120" t="s">
        <v>250</v>
      </c>
      <c r="K452" s="120" t="s">
        <v>250</v>
      </c>
      <c r="L452" s="120" t="s">
        <v>250</v>
      </c>
      <c r="M452" s="120" t="s">
        <v>250</v>
      </c>
      <c r="N452" s="120" t="s">
        <v>250</v>
      </c>
      <c r="O452" s="120" t="s">
        <v>250</v>
      </c>
      <c r="P452" s="120" t="s">
        <v>250</v>
      </c>
      <c r="Q452" s="120" t="s">
        <v>250</v>
      </c>
      <c r="R452" s="120"/>
      <c r="S452" s="121"/>
    </row>
    <row r="453" spans="1:19" ht="15">
      <c r="A453" s="105">
        <v>17</v>
      </c>
      <c r="B453" s="129" t="str">
        <f t="shared" si="15"/>
        <v>535</v>
      </c>
      <c r="C453" s="107" t="s">
        <v>598</v>
      </c>
      <c r="D453" s="107" t="s">
        <v>599</v>
      </c>
      <c r="E453" s="120">
        <v>0</v>
      </c>
      <c r="F453" s="120" t="s">
        <v>250</v>
      </c>
      <c r="G453" s="120">
        <v>0</v>
      </c>
      <c r="H453" s="120" t="s">
        <v>250</v>
      </c>
      <c r="I453" s="120">
        <v>0</v>
      </c>
      <c r="J453" s="120">
        <v>0</v>
      </c>
      <c r="K453" s="120" t="s">
        <v>250</v>
      </c>
      <c r="L453" s="120" t="s">
        <v>250</v>
      </c>
      <c r="M453" s="120">
        <v>0</v>
      </c>
      <c r="N453" s="120" t="s">
        <v>250</v>
      </c>
      <c r="O453" s="120">
        <v>0</v>
      </c>
      <c r="P453" s="120">
        <v>0</v>
      </c>
      <c r="Q453" s="120">
        <v>0</v>
      </c>
      <c r="R453" s="120"/>
      <c r="S453" s="121"/>
    </row>
    <row r="454" spans="1:19" ht="15">
      <c r="A454" s="105">
        <v>18</v>
      </c>
      <c r="B454" s="129" t="str">
        <f t="shared" si="15"/>
        <v>536</v>
      </c>
      <c r="C454" s="107" t="s">
        <v>600</v>
      </c>
      <c r="D454" s="107" t="s">
        <v>599</v>
      </c>
      <c r="E454" s="120">
        <v>0</v>
      </c>
      <c r="F454" s="120" t="s">
        <v>250</v>
      </c>
      <c r="G454" s="120">
        <v>0</v>
      </c>
      <c r="H454" s="120" t="s">
        <v>250</v>
      </c>
      <c r="I454" s="120">
        <v>0</v>
      </c>
      <c r="J454" s="120">
        <v>0</v>
      </c>
      <c r="K454" s="120" t="s">
        <v>250</v>
      </c>
      <c r="L454" s="120" t="s">
        <v>250</v>
      </c>
      <c r="M454" s="120">
        <v>0</v>
      </c>
      <c r="N454" s="120" t="s">
        <v>250</v>
      </c>
      <c r="O454" s="120">
        <v>0</v>
      </c>
      <c r="P454" s="120">
        <v>0</v>
      </c>
      <c r="Q454" s="120">
        <v>0</v>
      </c>
      <c r="R454" s="120"/>
      <c r="S454" s="121"/>
    </row>
    <row r="455" spans="1:19" ht="15">
      <c r="A455" s="105">
        <v>19</v>
      </c>
      <c r="B455" s="129" t="str">
        <f t="shared" si="15"/>
        <v>537</v>
      </c>
      <c r="C455" s="107" t="s">
        <v>601</v>
      </c>
      <c r="D455" s="107" t="s">
        <v>599</v>
      </c>
      <c r="E455" s="120">
        <v>0</v>
      </c>
      <c r="F455" s="120" t="s">
        <v>250</v>
      </c>
      <c r="G455" s="120">
        <v>0</v>
      </c>
      <c r="H455" s="120" t="s">
        <v>250</v>
      </c>
      <c r="I455" s="120">
        <v>0</v>
      </c>
      <c r="J455" s="120">
        <v>0</v>
      </c>
      <c r="K455" s="120" t="s">
        <v>250</v>
      </c>
      <c r="L455" s="120" t="s">
        <v>250</v>
      </c>
      <c r="M455" s="120">
        <v>0</v>
      </c>
      <c r="N455" s="120" t="s">
        <v>250</v>
      </c>
      <c r="O455" s="120">
        <v>0</v>
      </c>
      <c r="P455" s="120">
        <v>0</v>
      </c>
      <c r="Q455" s="120">
        <v>0</v>
      </c>
      <c r="R455" s="120"/>
      <c r="S455" s="121"/>
    </row>
    <row r="456" spans="1:19" ht="15">
      <c r="A456" s="105">
        <v>20</v>
      </c>
      <c r="B456" s="129" t="str">
        <f t="shared" si="15"/>
        <v>538</v>
      </c>
      <c r="C456" s="107" t="s">
        <v>602</v>
      </c>
      <c r="D456" s="107" t="s">
        <v>599</v>
      </c>
      <c r="E456" s="120">
        <v>0</v>
      </c>
      <c r="F456" s="120" t="s">
        <v>250</v>
      </c>
      <c r="G456" s="120">
        <v>0</v>
      </c>
      <c r="H456" s="120" t="s">
        <v>250</v>
      </c>
      <c r="I456" s="120">
        <v>0</v>
      </c>
      <c r="J456" s="120">
        <v>0</v>
      </c>
      <c r="K456" s="120" t="s">
        <v>250</v>
      </c>
      <c r="L456" s="120" t="s">
        <v>250</v>
      </c>
      <c r="M456" s="120">
        <v>0</v>
      </c>
      <c r="N456" s="120" t="s">
        <v>250</v>
      </c>
      <c r="O456" s="120">
        <v>0</v>
      </c>
      <c r="P456" s="120">
        <v>0</v>
      </c>
      <c r="Q456" s="120">
        <v>0</v>
      </c>
      <c r="R456" s="120"/>
      <c r="S456" s="121"/>
    </row>
    <row r="457" spans="1:19" ht="15">
      <c r="A457" s="105">
        <v>21</v>
      </c>
      <c r="B457" s="129" t="str">
        <f t="shared" si="15"/>
        <v>539</v>
      </c>
      <c r="C457" s="107" t="s">
        <v>2222</v>
      </c>
      <c r="D457" s="107" t="s">
        <v>599</v>
      </c>
      <c r="E457" s="120">
        <v>11310</v>
      </c>
      <c r="F457" s="120" t="s">
        <v>250</v>
      </c>
      <c r="G457" s="120">
        <v>10609.099428330737</v>
      </c>
      <c r="H457" s="120" t="s">
        <v>250</v>
      </c>
      <c r="I457" s="120">
        <v>480.2977582912726</v>
      </c>
      <c r="J457" s="120">
        <v>220.60281337799009</v>
      </c>
      <c r="K457" s="120" t="s">
        <v>250</v>
      </c>
      <c r="L457" s="120" t="s">
        <v>250</v>
      </c>
      <c r="M457" s="120">
        <v>0</v>
      </c>
      <c r="N457" s="120" t="s">
        <v>250</v>
      </c>
      <c r="O457" s="120">
        <v>220.60281337799009</v>
      </c>
      <c r="P457" s="120">
        <v>111.90209100803278</v>
      </c>
      <c r="Q457" s="120">
        <v>108.7007223699573</v>
      </c>
      <c r="R457" s="120"/>
      <c r="S457" s="121"/>
    </row>
    <row r="458" spans="1:19" ht="15">
      <c r="A458" s="105">
        <v>22</v>
      </c>
      <c r="B458" s="129" t="str">
        <f t="shared" ref="B458:B521" si="16">MID(C458,3,3)</f>
        <v>540</v>
      </c>
      <c r="C458" s="107" t="s">
        <v>603</v>
      </c>
      <c r="D458" s="107" t="s">
        <v>599</v>
      </c>
      <c r="E458" s="120">
        <v>0</v>
      </c>
      <c r="F458" s="120" t="s">
        <v>250</v>
      </c>
      <c r="G458" s="120">
        <v>0</v>
      </c>
      <c r="H458" s="120" t="s">
        <v>250</v>
      </c>
      <c r="I458" s="120">
        <v>0</v>
      </c>
      <c r="J458" s="120">
        <v>0</v>
      </c>
      <c r="K458" s="120" t="s">
        <v>250</v>
      </c>
      <c r="L458" s="120" t="s">
        <v>250</v>
      </c>
      <c r="M458" s="120">
        <v>0</v>
      </c>
      <c r="N458" s="120" t="s">
        <v>250</v>
      </c>
      <c r="O458" s="120">
        <v>0</v>
      </c>
      <c r="P458" s="120">
        <v>0</v>
      </c>
      <c r="Q458" s="120">
        <v>0</v>
      </c>
      <c r="R458" s="120"/>
      <c r="S458" s="121"/>
    </row>
    <row r="459" spans="1:19" ht="15">
      <c r="A459" s="105">
        <v>23</v>
      </c>
      <c r="B459" s="129" t="str">
        <f t="shared" si="16"/>
        <v xml:space="preserve">  T</v>
      </c>
      <c r="C459" s="107" t="s">
        <v>604</v>
      </c>
      <c r="D459" s="107" t="s">
        <v>250</v>
      </c>
      <c r="E459" s="120">
        <v>11310</v>
      </c>
      <c r="F459" s="120" t="s">
        <v>250</v>
      </c>
      <c r="G459" s="120">
        <v>10609.099428330737</v>
      </c>
      <c r="H459" s="120" t="s">
        <v>250</v>
      </c>
      <c r="I459" s="120">
        <v>480.2977582912726</v>
      </c>
      <c r="J459" s="120">
        <v>220.60281337799009</v>
      </c>
      <c r="K459" s="120" t="s">
        <v>250</v>
      </c>
      <c r="L459" s="120" t="s">
        <v>250</v>
      </c>
      <c r="M459" s="120">
        <v>0</v>
      </c>
      <c r="N459" s="120" t="s">
        <v>250</v>
      </c>
      <c r="O459" s="120">
        <v>220.60281337799009</v>
      </c>
      <c r="P459" s="120">
        <v>111.90209100803278</v>
      </c>
      <c r="Q459" s="120">
        <v>108.7007223699573</v>
      </c>
      <c r="R459" s="120"/>
      <c r="S459" s="121"/>
    </row>
    <row r="460" spans="1:19" ht="15">
      <c r="A460" s="105">
        <v>24</v>
      </c>
      <c r="B460" s="129" t="str">
        <f t="shared" si="16"/>
        <v>541</v>
      </c>
      <c r="C460" s="107" t="s">
        <v>605</v>
      </c>
      <c r="D460" s="107" t="s">
        <v>599</v>
      </c>
      <c r="E460" s="120">
        <v>194762</v>
      </c>
      <c r="F460" s="120" t="s">
        <v>250</v>
      </c>
      <c r="G460" s="120">
        <v>182692.25666317868</v>
      </c>
      <c r="H460" s="120" t="s">
        <v>250</v>
      </c>
      <c r="I460" s="120">
        <v>8270.8887710278377</v>
      </c>
      <c r="J460" s="120">
        <v>3798.8545657934665</v>
      </c>
      <c r="K460" s="120" t="s">
        <v>250</v>
      </c>
      <c r="L460" s="120" t="s">
        <v>250</v>
      </c>
      <c r="M460" s="120">
        <v>0</v>
      </c>
      <c r="N460" s="120" t="s">
        <v>250</v>
      </c>
      <c r="O460" s="120">
        <v>3798.8545657934665</v>
      </c>
      <c r="P460" s="120">
        <v>1926.9916046778499</v>
      </c>
      <c r="Q460" s="120">
        <v>1871.8629611156166</v>
      </c>
      <c r="R460" s="120"/>
      <c r="S460" s="121"/>
    </row>
    <row r="461" spans="1:19" ht="15">
      <c r="A461" s="105">
        <v>25</v>
      </c>
      <c r="B461" s="129" t="str">
        <f t="shared" si="16"/>
        <v>542</v>
      </c>
      <c r="C461" s="107" t="s">
        <v>606</v>
      </c>
      <c r="D461" s="107" t="s">
        <v>599</v>
      </c>
      <c r="E461" s="120">
        <v>174224.99999999997</v>
      </c>
      <c r="F461" s="120" t="s">
        <v>250</v>
      </c>
      <c r="G461" s="120">
        <v>163427.97063668634</v>
      </c>
      <c r="H461" s="120" t="s">
        <v>250</v>
      </c>
      <c r="I461" s="120">
        <v>7398.7512765956653</v>
      </c>
      <c r="J461" s="120">
        <v>3398.2780867179772</v>
      </c>
      <c r="K461" s="120" t="s">
        <v>250</v>
      </c>
      <c r="L461" s="120" t="s">
        <v>250</v>
      </c>
      <c r="M461" s="120">
        <v>0</v>
      </c>
      <c r="N461" s="120" t="s">
        <v>250</v>
      </c>
      <c r="O461" s="120">
        <v>3398.2780867179772</v>
      </c>
      <c r="P461" s="120">
        <v>1723.79679981207</v>
      </c>
      <c r="Q461" s="120">
        <v>1674.4812869059072</v>
      </c>
      <c r="R461" s="120"/>
      <c r="S461" s="121"/>
    </row>
    <row r="462" spans="1:19" ht="15">
      <c r="A462" s="105">
        <v>26</v>
      </c>
      <c r="B462" s="129" t="str">
        <f t="shared" si="16"/>
        <v>543</v>
      </c>
      <c r="C462" s="107" t="s">
        <v>607</v>
      </c>
      <c r="D462" s="107" t="s">
        <v>599</v>
      </c>
      <c r="E462" s="120">
        <v>27401.999999999996</v>
      </c>
      <c r="F462" s="120" t="s">
        <v>250</v>
      </c>
      <c r="G462" s="120">
        <v>25703.849914687784</v>
      </c>
      <c r="H462" s="120" t="s">
        <v>250</v>
      </c>
      <c r="I462" s="120">
        <v>1163.6710143852742</v>
      </c>
      <c r="J462" s="120">
        <v>534.47907092693936</v>
      </c>
      <c r="K462" s="120" t="s">
        <v>250</v>
      </c>
      <c r="L462" s="120" t="s">
        <v>250</v>
      </c>
      <c r="M462" s="120">
        <v>0</v>
      </c>
      <c r="N462" s="120" t="s">
        <v>250</v>
      </c>
      <c r="O462" s="120">
        <v>534.47907092693936</v>
      </c>
      <c r="P462" s="120">
        <v>271.1176921133611</v>
      </c>
      <c r="Q462" s="120">
        <v>263.36137881357826</v>
      </c>
      <c r="R462" s="120"/>
      <c r="S462" s="121"/>
    </row>
    <row r="463" spans="1:19" ht="15">
      <c r="A463" s="105">
        <v>27</v>
      </c>
      <c r="B463" s="129" t="str">
        <f t="shared" si="16"/>
        <v>544</v>
      </c>
      <c r="C463" s="107" t="s">
        <v>608</v>
      </c>
      <c r="D463" s="107" t="s">
        <v>494</v>
      </c>
      <c r="E463" s="120">
        <v>80157.999999999985</v>
      </c>
      <c r="F463" s="120" t="s">
        <v>250</v>
      </c>
      <c r="G463" s="120">
        <v>75494.863874248782</v>
      </c>
      <c r="H463" s="120" t="s">
        <v>250</v>
      </c>
      <c r="I463" s="120">
        <v>3031.8471565276191</v>
      </c>
      <c r="J463" s="120">
        <v>1631.2889692235954</v>
      </c>
      <c r="K463" s="120" t="s">
        <v>250</v>
      </c>
      <c r="L463" s="120" t="s">
        <v>250</v>
      </c>
      <c r="M463" s="120">
        <v>0</v>
      </c>
      <c r="N463" s="120" t="s">
        <v>250</v>
      </c>
      <c r="O463" s="120">
        <v>1631.2889692235954</v>
      </c>
      <c r="P463" s="120">
        <v>837.29827219872493</v>
      </c>
      <c r="Q463" s="120">
        <v>793.99069702487043</v>
      </c>
      <c r="R463" s="120"/>
      <c r="S463" s="121"/>
    </row>
    <row r="464" spans="1:19" ht="15">
      <c r="A464" s="105">
        <v>28</v>
      </c>
      <c r="B464" s="129" t="str">
        <f t="shared" si="16"/>
        <v>545</v>
      </c>
      <c r="C464" s="107" t="s">
        <v>609</v>
      </c>
      <c r="D464" s="107" t="s">
        <v>599</v>
      </c>
      <c r="E464" s="120">
        <v>140220</v>
      </c>
      <c r="F464" s="120" t="s">
        <v>250</v>
      </c>
      <c r="G464" s="120">
        <v>131530.32023346913</v>
      </c>
      <c r="H464" s="120" t="s">
        <v>250</v>
      </c>
      <c r="I464" s="120">
        <v>5954.6730033246904</v>
      </c>
      <c r="J464" s="120">
        <v>2735.0067632061691</v>
      </c>
      <c r="K464" s="120" t="s">
        <v>250</v>
      </c>
      <c r="L464" s="120" t="s">
        <v>250</v>
      </c>
      <c r="M464" s="120">
        <v>0</v>
      </c>
      <c r="N464" s="120" t="s">
        <v>250</v>
      </c>
      <c r="O464" s="120">
        <v>2735.0067632061691</v>
      </c>
      <c r="P464" s="120">
        <v>1387.3484704815523</v>
      </c>
      <c r="Q464" s="120">
        <v>1347.6582927246166</v>
      </c>
      <c r="R464" s="120"/>
      <c r="S464" s="121"/>
    </row>
    <row r="465" spans="1:19" ht="15">
      <c r="A465" s="105">
        <v>29</v>
      </c>
      <c r="B465" s="129" t="str">
        <f t="shared" si="16"/>
        <v xml:space="preserve">  T</v>
      </c>
      <c r="C465" s="107" t="s">
        <v>610</v>
      </c>
      <c r="D465" s="107" t="s">
        <v>250</v>
      </c>
      <c r="E465" s="120">
        <v>616767</v>
      </c>
      <c r="F465" s="120" t="s">
        <v>250</v>
      </c>
      <c r="G465" s="120">
        <v>578849.26132227073</v>
      </c>
      <c r="H465" s="120" t="s">
        <v>250</v>
      </c>
      <c r="I465" s="120">
        <v>25819.831221861084</v>
      </c>
      <c r="J465" s="120">
        <v>12097.907455868146</v>
      </c>
      <c r="K465" s="120" t="s">
        <v>250</v>
      </c>
      <c r="L465" s="120" t="s">
        <v>250</v>
      </c>
      <c r="M465" s="120">
        <v>0</v>
      </c>
      <c r="N465" s="120" t="s">
        <v>250</v>
      </c>
      <c r="O465" s="120">
        <v>12097.907455868146</v>
      </c>
      <c r="P465" s="120">
        <v>6146.5528392835586</v>
      </c>
      <c r="Q465" s="120">
        <v>5951.3546165845883</v>
      </c>
      <c r="R465" s="120"/>
      <c r="S465" s="121"/>
    </row>
    <row r="466" spans="1:19" ht="15">
      <c r="A466" s="105" t="s">
        <v>250</v>
      </c>
      <c r="B466" s="129" t="str">
        <f t="shared" si="16"/>
        <v/>
      </c>
      <c r="C466" s="107" t="s">
        <v>250</v>
      </c>
      <c r="D466" s="107" t="s">
        <v>250</v>
      </c>
      <c r="E466" s="120" t="s">
        <v>250</v>
      </c>
      <c r="F466" s="120" t="s">
        <v>250</v>
      </c>
      <c r="G466" s="120" t="s">
        <v>250</v>
      </c>
      <c r="H466" s="120" t="s">
        <v>250</v>
      </c>
      <c r="I466" s="120" t="s">
        <v>250</v>
      </c>
      <c r="J466" s="120" t="s">
        <v>250</v>
      </c>
      <c r="K466" s="120" t="s">
        <v>250</v>
      </c>
      <c r="L466" s="120" t="s">
        <v>250</v>
      </c>
      <c r="M466" s="120" t="s">
        <v>250</v>
      </c>
      <c r="N466" s="120" t="s">
        <v>250</v>
      </c>
      <c r="O466" s="120" t="s">
        <v>250</v>
      </c>
      <c r="P466" s="120" t="s">
        <v>250</v>
      </c>
      <c r="Q466" s="120" t="s">
        <v>250</v>
      </c>
      <c r="R466" s="120"/>
      <c r="S466" s="121"/>
    </row>
    <row r="467" spans="1:19" ht="15">
      <c r="A467" s="105">
        <v>30</v>
      </c>
      <c r="B467" s="129" t="str">
        <f t="shared" si="16"/>
        <v>TAL</v>
      </c>
      <c r="C467" s="107" t="s">
        <v>611</v>
      </c>
      <c r="D467" s="107" t="s">
        <v>250</v>
      </c>
      <c r="E467" s="120">
        <v>628077</v>
      </c>
      <c r="F467" s="120" t="s">
        <v>250</v>
      </c>
      <c r="G467" s="120">
        <v>589458.36075060151</v>
      </c>
      <c r="H467" s="120" t="s">
        <v>250</v>
      </c>
      <c r="I467" s="120">
        <v>26300.128980152356</v>
      </c>
      <c r="J467" s="120">
        <v>12318.510269246137</v>
      </c>
      <c r="K467" s="120" t="s">
        <v>250</v>
      </c>
      <c r="L467" s="120" t="s">
        <v>250</v>
      </c>
      <c r="M467" s="120">
        <v>0</v>
      </c>
      <c r="N467" s="120" t="s">
        <v>250</v>
      </c>
      <c r="O467" s="120">
        <v>12318.510269246137</v>
      </c>
      <c r="P467" s="120">
        <v>6258.4549302915912</v>
      </c>
      <c r="Q467" s="120">
        <v>6060.0553389545457</v>
      </c>
      <c r="R467" s="120"/>
      <c r="S467" s="121"/>
    </row>
    <row r="468" spans="1:19" ht="15">
      <c r="A468" s="105" t="s">
        <v>250</v>
      </c>
      <c r="B468" s="129" t="str">
        <f t="shared" si="16"/>
        <v/>
      </c>
      <c r="C468" s="107" t="s">
        <v>250</v>
      </c>
      <c r="D468" s="107" t="s">
        <v>250</v>
      </c>
      <c r="E468" s="120" t="s">
        <v>250</v>
      </c>
      <c r="F468" s="120" t="s">
        <v>250</v>
      </c>
      <c r="G468" s="120" t="s">
        <v>250</v>
      </c>
      <c r="H468" s="120" t="s">
        <v>250</v>
      </c>
      <c r="I468" s="120" t="s">
        <v>250</v>
      </c>
      <c r="J468" s="120" t="s">
        <v>250</v>
      </c>
      <c r="K468" s="120" t="s">
        <v>250</v>
      </c>
      <c r="L468" s="120" t="s">
        <v>250</v>
      </c>
      <c r="M468" s="120" t="s">
        <v>250</v>
      </c>
      <c r="N468" s="120" t="s">
        <v>250</v>
      </c>
      <c r="O468" s="120" t="s">
        <v>250</v>
      </c>
      <c r="P468" s="120" t="s">
        <v>250</v>
      </c>
      <c r="Q468" s="120" t="s">
        <v>250</v>
      </c>
      <c r="R468" s="120"/>
      <c r="S468" s="121"/>
    </row>
    <row r="469" spans="1:19" ht="15">
      <c r="A469" s="105" t="s">
        <v>250</v>
      </c>
      <c r="B469" s="129" t="str">
        <f t="shared" si="16"/>
        <v>ODU</v>
      </c>
      <c r="C469" s="107" t="s">
        <v>612</v>
      </c>
      <c r="D469" s="107" t="s">
        <v>250</v>
      </c>
      <c r="E469" s="120" t="s">
        <v>250</v>
      </c>
      <c r="F469" s="120" t="s">
        <v>250</v>
      </c>
      <c r="G469" s="120" t="s">
        <v>250</v>
      </c>
      <c r="H469" s="120" t="s">
        <v>250</v>
      </c>
      <c r="I469" s="120" t="s">
        <v>250</v>
      </c>
      <c r="J469" s="120" t="s">
        <v>250</v>
      </c>
      <c r="K469" s="120" t="s">
        <v>250</v>
      </c>
      <c r="L469" s="120" t="s">
        <v>250</v>
      </c>
      <c r="M469" s="120" t="s">
        <v>250</v>
      </c>
      <c r="N469" s="120" t="s">
        <v>250</v>
      </c>
      <c r="O469" s="120" t="s">
        <v>250</v>
      </c>
      <c r="P469" s="120" t="s">
        <v>250</v>
      </c>
      <c r="Q469" s="120" t="s">
        <v>250</v>
      </c>
      <c r="R469" s="120"/>
      <c r="S469" s="121"/>
    </row>
    <row r="470" spans="1:19" ht="15">
      <c r="A470" s="105">
        <v>31</v>
      </c>
      <c r="B470" s="129" t="str">
        <f t="shared" si="16"/>
        <v>546</v>
      </c>
      <c r="C470" s="107" t="s">
        <v>613</v>
      </c>
      <c r="D470" s="107" t="s">
        <v>614</v>
      </c>
      <c r="E470" s="120">
        <v>689949</v>
      </c>
      <c r="F470" s="120" t="s">
        <v>250</v>
      </c>
      <c r="G470" s="120">
        <v>647260.38649867557</v>
      </c>
      <c r="H470" s="120" t="s">
        <v>250</v>
      </c>
      <c r="I470" s="120">
        <v>29199.925632254104</v>
      </c>
      <c r="J470" s="120">
        <v>13488.687869070305</v>
      </c>
      <c r="K470" s="120" t="s">
        <v>250</v>
      </c>
      <c r="L470" s="120" t="s">
        <v>250</v>
      </c>
      <c r="M470" s="120">
        <v>0</v>
      </c>
      <c r="N470" s="120" t="s">
        <v>250</v>
      </c>
      <c r="O470" s="120">
        <v>13488.687869070305</v>
      </c>
      <c r="P470" s="120">
        <v>6842.2172609256922</v>
      </c>
      <c r="Q470" s="120">
        <v>6646.4706081446129</v>
      </c>
      <c r="R470" s="120"/>
      <c r="S470" s="121"/>
    </row>
    <row r="471" spans="1:19" ht="15">
      <c r="A471" s="105">
        <v>32</v>
      </c>
      <c r="B471" s="129" t="str">
        <f t="shared" si="16"/>
        <v>547</v>
      </c>
      <c r="C471" s="107" t="s">
        <v>615</v>
      </c>
      <c r="D471" s="107" t="s">
        <v>494</v>
      </c>
      <c r="E471" s="120">
        <v>113730395.32184</v>
      </c>
      <c r="F471" s="120" t="s">
        <v>250</v>
      </c>
      <c r="G471" s="120">
        <v>107114208.3533373</v>
      </c>
      <c r="H471" s="120" t="s">
        <v>250</v>
      </c>
      <c r="I471" s="120">
        <v>4301668.8997639995</v>
      </c>
      <c r="J471" s="120">
        <v>2314518.0687386962</v>
      </c>
      <c r="K471" s="120" t="s">
        <v>250</v>
      </c>
      <c r="L471" s="120" t="s">
        <v>250</v>
      </c>
      <c r="M471" s="120">
        <v>0</v>
      </c>
      <c r="N471" s="120" t="s">
        <v>250</v>
      </c>
      <c r="O471" s="120">
        <v>2314518.0687386962</v>
      </c>
      <c r="P471" s="120">
        <v>1187982.0292354422</v>
      </c>
      <c r="Q471" s="120">
        <v>1126536.0395032538</v>
      </c>
      <c r="R471" s="120"/>
      <c r="S471" s="121"/>
    </row>
    <row r="472" spans="1:19" ht="15">
      <c r="A472" s="105">
        <v>33</v>
      </c>
      <c r="B472" s="129" t="str">
        <f t="shared" si="16"/>
        <v>548</v>
      </c>
      <c r="C472" s="107" t="s">
        <v>616</v>
      </c>
      <c r="D472" s="107" t="s">
        <v>614</v>
      </c>
      <c r="E472" s="120">
        <v>727043</v>
      </c>
      <c r="F472" s="120" t="s">
        <v>250</v>
      </c>
      <c r="G472" s="120">
        <v>682059.3017471676</v>
      </c>
      <c r="H472" s="120" t="s">
        <v>250</v>
      </c>
      <c r="I472" s="120">
        <v>30769.812741885155</v>
      </c>
      <c r="J472" s="120">
        <v>14213.885510947159</v>
      </c>
      <c r="K472" s="120" t="s">
        <v>250</v>
      </c>
      <c r="L472" s="120" t="s">
        <v>250</v>
      </c>
      <c r="M472" s="120">
        <v>0</v>
      </c>
      <c r="N472" s="120" t="s">
        <v>250</v>
      </c>
      <c r="O472" s="120">
        <v>14213.885510947159</v>
      </c>
      <c r="P472" s="120">
        <v>7210.078084083314</v>
      </c>
      <c r="Q472" s="120">
        <v>7003.8074268638456</v>
      </c>
      <c r="R472" s="120"/>
      <c r="S472" s="121"/>
    </row>
    <row r="473" spans="1:19" ht="15">
      <c r="A473" s="105">
        <v>34</v>
      </c>
      <c r="B473" s="129" t="str">
        <f t="shared" si="16"/>
        <v>549</v>
      </c>
      <c r="C473" s="107" t="s">
        <v>2223</v>
      </c>
      <c r="D473" s="107" t="s">
        <v>614</v>
      </c>
      <c r="E473" s="120">
        <v>5729432.9999999991</v>
      </c>
      <c r="F473" s="120" t="s">
        <v>250</v>
      </c>
      <c r="G473" s="120">
        <v>5376587.4823748665</v>
      </c>
      <c r="H473" s="120" t="s">
        <v>250</v>
      </c>
      <c r="I473" s="120">
        <v>241353.88876025288</v>
      </c>
      <c r="J473" s="120">
        <v>111491.62886487987</v>
      </c>
      <c r="K473" s="120" t="s">
        <v>250</v>
      </c>
      <c r="L473" s="120" t="s">
        <v>250</v>
      </c>
      <c r="M473" s="120">
        <v>0</v>
      </c>
      <c r="N473" s="120" t="s">
        <v>250</v>
      </c>
      <c r="O473" s="120">
        <v>111491.62886487987</v>
      </c>
      <c r="P473" s="120">
        <v>56554.792791760323</v>
      </c>
      <c r="Q473" s="120">
        <v>54936.836073119543</v>
      </c>
      <c r="R473" s="120"/>
      <c r="S473" s="121"/>
    </row>
    <row r="474" spans="1:19" ht="15">
      <c r="A474" s="105">
        <v>35</v>
      </c>
      <c r="B474" s="129" t="str">
        <f t="shared" si="16"/>
        <v>550</v>
      </c>
      <c r="C474" s="107" t="s">
        <v>2224</v>
      </c>
      <c r="D474" s="107" t="s">
        <v>614</v>
      </c>
      <c r="E474" s="120">
        <v>10331.999999999998</v>
      </c>
      <c r="F474" s="120" t="s">
        <v>250</v>
      </c>
      <c r="G474" s="120">
        <v>9692.7371636226962</v>
      </c>
      <c r="H474" s="120" t="s">
        <v>250</v>
      </c>
      <c r="I474" s="120">
        <v>437.26946721054657</v>
      </c>
      <c r="J474" s="120">
        <v>201.99336916675639</v>
      </c>
      <c r="K474" s="120" t="s">
        <v>250</v>
      </c>
      <c r="L474" s="120" t="s">
        <v>250</v>
      </c>
      <c r="M474" s="120">
        <v>0</v>
      </c>
      <c r="N474" s="120" t="s">
        <v>250</v>
      </c>
      <c r="O474" s="120">
        <v>201.99336916675639</v>
      </c>
      <c r="P474" s="120">
        <v>102.46233959304855</v>
      </c>
      <c r="Q474" s="120">
        <v>99.531029573707826</v>
      </c>
      <c r="R474" s="120"/>
      <c r="S474" s="121"/>
    </row>
    <row r="475" spans="1:19" ht="15">
      <c r="A475" s="105">
        <v>36</v>
      </c>
      <c r="B475" s="129" t="str">
        <f t="shared" si="16"/>
        <v xml:space="preserve">  T</v>
      </c>
      <c r="C475" s="107" t="s">
        <v>617</v>
      </c>
      <c r="D475" s="107" t="s">
        <v>250</v>
      </c>
      <c r="E475" s="120">
        <v>120887152.32183999</v>
      </c>
      <c r="F475" s="120" t="s">
        <v>250</v>
      </c>
      <c r="G475" s="120">
        <v>113829808.26112163</v>
      </c>
      <c r="H475" s="120" t="s">
        <v>250</v>
      </c>
      <c r="I475" s="120">
        <v>4603429.7963656019</v>
      </c>
      <c r="J475" s="120">
        <v>2453914.2643527598</v>
      </c>
      <c r="K475" s="120" t="s">
        <v>250</v>
      </c>
      <c r="L475" s="120" t="s">
        <v>250</v>
      </c>
      <c r="M475" s="120">
        <v>0</v>
      </c>
      <c r="N475" s="120" t="s">
        <v>250</v>
      </c>
      <c r="O475" s="120">
        <v>2453914.2643527598</v>
      </c>
      <c r="P475" s="120">
        <v>1258691.5797118046</v>
      </c>
      <c r="Q475" s="120">
        <v>1195222.6846409552</v>
      </c>
      <c r="R475" s="120"/>
      <c r="S475" s="121"/>
    </row>
    <row r="476" spans="1:19" ht="15">
      <c r="A476" s="105">
        <v>37</v>
      </c>
      <c r="B476" s="129" t="str">
        <f t="shared" si="16"/>
        <v>551</v>
      </c>
      <c r="C476" s="107" t="s">
        <v>618</v>
      </c>
      <c r="D476" s="107" t="s">
        <v>614</v>
      </c>
      <c r="E476" s="120">
        <v>965135</v>
      </c>
      <c r="F476" s="120" t="s">
        <v>250</v>
      </c>
      <c r="G476" s="120">
        <v>911491.71338150545</v>
      </c>
      <c r="H476" s="120" t="s">
        <v>250</v>
      </c>
      <c r="I476" s="120">
        <v>36693.156592709078</v>
      </c>
      <c r="J476" s="120">
        <v>16950.130025785438</v>
      </c>
      <c r="K476" s="120" t="s">
        <v>250</v>
      </c>
      <c r="L476" s="120" t="s">
        <v>250</v>
      </c>
      <c r="M476" s="120">
        <v>0</v>
      </c>
      <c r="N476" s="120" t="s">
        <v>250</v>
      </c>
      <c r="O476" s="120">
        <v>16950.130025785438</v>
      </c>
      <c r="P476" s="120">
        <v>8598.0544114523673</v>
      </c>
      <c r="Q476" s="120">
        <v>8352.0756143330691</v>
      </c>
      <c r="R476" s="120"/>
      <c r="S476" s="121"/>
    </row>
    <row r="477" spans="1:19" ht="15">
      <c r="A477" s="105">
        <v>38</v>
      </c>
      <c r="B477" s="129" t="str">
        <f t="shared" si="16"/>
        <v>552</v>
      </c>
      <c r="C477" s="107" t="s">
        <v>619</v>
      </c>
      <c r="D477" s="107" t="s">
        <v>614</v>
      </c>
      <c r="E477" s="120">
        <v>933351.99999999884</v>
      </c>
      <c r="F477" s="120" t="s">
        <v>250</v>
      </c>
      <c r="G477" s="120">
        <v>876396.29050379945</v>
      </c>
      <c r="H477" s="120" t="s">
        <v>250</v>
      </c>
      <c r="I477" s="120">
        <v>38958.924762681578</v>
      </c>
      <c r="J477" s="120">
        <v>17996.784733517798</v>
      </c>
      <c r="K477" s="120" t="s">
        <v>250</v>
      </c>
      <c r="L477" s="120" t="s">
        <v>250</v>
      </c>
      <c r="M477" s="120">
        <v>0</v>
      </c>
      <c r="N477" s="120" t="s">
        <v>250</v>
      </c>
      <c r="O477" s="120">
        <v>17996.784733517798</v>
      </c>
      <c r="P477" s="120">
        <v>9128.9762458805144</v>
      </c>
      <c r="Q477" s="120">
        <v>8867.8084876372832</v>
      </c>
      <c r="R477" s="120"/>
      <c r="S477" s="121"/>
    </row>
    <row r="478" spans="1:19" ht="15">
      <c r="A478" s="105">
        <v>39</v>
      </c>
      <c r="B478" s="129" t="str">
        <f t="shared" si="16"/>
        <v>553</v>
      </c>
      <c r="C478" s="107" t="s">
        <v>620</v>
      </c>
      <c r="D478" s="107" t="s">
        <v>614</v>
      </c>
      <c r="E478" s="120">
        <v>7699998.9999999991</v>
      </c>
      <c r="F478" s="120" t="s">
        <v>250</v>
      </c>
      <c r="G478" s="120">
        <v>7236966.3694671672</v>
      </c>
      <c r="H478" s="120" t="s">
        <v>250</v>
      </c>
      <c r="I478" s="120">
        <v>314751.55796103482</v>
      </c>
      <c r="J478" s="120">
        <v>148281.07257179724</v>
      </c>
      <c r="K478" s="120" t="s">
        <v>250</v>
      </c>
      <c r="L478" s="120" t="s">
        <v>250</v>
      </c>
      <c r="M478" s="120">
        <v>0</v>
      </c>
      <c r="N478" s="120" t="s">
        <v>250</v>
      </c>
      <c r="O478" s="120">
        <v>148281.07257179724</v>
      </c>
      <c r="P478" s="120">
        <v>75216.457231970533</v>
      </c>
      <c r="Q478" s="120">
        <v>73064.615339826705</v>
      </c>
      <c r="R478" s="120"/>
      <c r="S478" s="121"/>
    </row>
    <row r="479" spans="1:19" ht="15">
      <c r="A479" s="105">
        <v>40</v>
      </c>
      <c r="B479" s="129" t="str">
        <f t="shared" si="16"/>
        <v>554</v>
      </c>
      <c r="C479" s="107" t="s">
        <v>621</v>
      </c>
      <c r="D479" s="107" t="s">
        <v>614</v>
      </c>
      <c r="E479" s="120">
        <v>6524617.9999999981</v>
      </c>
      <c r="F479" s="120" t="s">
        <v>250</v>
      </c>
      <c r="G479" s="120">
        <v>5979785.945702685</v>
      </c>
      <c r="H479" s="120" t="s">
        <v>250</v>
      </c>
      <c r="I479" s="120">
        <v>370460.58375997673</v>
      </c>
      <c r="J479" s="120">
        <v>174371.47053733611</v>
      </c>
      <c r="K479" s="120" t="s">
        <v>250</v>
      </c>
      <c r="L479" s="120" t="s">
        <v>250</v>
      </c>
      <c r="M479" s="120">
        <v>0</v>
      </c>
      <c r="N479" s="120" t="s">
        <v>250</v>
      </c>
      <c r="O479" s="120">
        <v>174371.47053733611</v>
      </c>
      <c r="P479" s="120">
        <v>88450.966995783063</v>
      </c>
      <c r="Q479" s="120">
        <v>85920.503541553044</v>
      </c>
      <c r="R479" s="120"/>
      <c r="S479" s="121"/>
    </row>
    <row r="480" spans="1:19" ht="15">
      <c r="A480" s="105">
        <v>41</v>
      </c>
      <c r="B480" s="129" t="str">
        <f t="shared" si="16"/>
        <v xml:space="preserve">  T</v>
      </c>
      <c r="C480" s="107" t="s">
        <v>622</v>
      </c>
      <c r="D480" s="107" t="s">
        <v>250</v>
      </c>
      <c r="E480" s="120">
        <v>16123103.999999994</v>
      </c>
      <c r="F480" s="120" t="s">
        <v>250</v>
      </c>
      <c r="G480" s="120">
        <v>15004640.319055157</v>
      </c>
      <c r="H480" s="120" t="s">
        <v>250</v>
      </c>
      <c r="I480" s="120">
        <v>760864.22307640221</v>
      </c>
      <c r="J480" s="120">
        <v>357599.45786843658</v>
      </c>
      <c r="K480" s="120" t="s">
        <v>250</v>
      </c>
      <c r="L480" s="120" t="s">
        <v>250</v>
      </c>
      <c r="M480" s="120">
        <v>0</v>
      </c>
      <c r="N480" s="120" t="s">
        <v>250</v>
      </c>
      <c r="O480" s="120">
        <v>357599.45786843658</v>
      </c>
      <c r="P480" s="120">
        <v>181394.45488508648</v>
      </c>
      <c r="Q480" s="120">
        <v>176205.0029833501</v>
      </c>
      <c r="R480" s="120"/>
      <c r="S480" s="121"/>
    </row>
    <row r="481" spans="1:19" ht="15">
      <c r="A481" s="105" t="s">
        <v>250</v>
      </c>
      <c r="B481" s="129" t="str">
        <f t="shared" si="16"/>
        <v/>
      </c>
      <c r="C481" s="107" t="s">
        <v>250</v>
      </c>
      <c r="D481" s="107" t="s">
        <v>250</v>
      </c>
      <c r="E481" s="120" t="s">
        <v>250</v>
      </c>
      <c r="F481" s="120" t="s">
        <v>250</v>
      </c>
      <c r="G481" s="120" t="s">
        <v>250</v>
      </c>
      <c r="H481" s="120" t="s">
        <v>250</v>
      </c>
      <c r="I481" s="120" t="s">
        <v>250</v>
      </c>
      <c r="J481" s="120" t="s">
        <v>250</v>
      </c>
      <c r="K481" s="120" t="s">
        <v>250</v>
      </c>
      <c r="L481" s="120" t="s">
        <v>250</v>
      </c>
      <c r="M481" s="120" t="s">
        <v>250</v>
      </c>
      <c r="N481" s="120" t="s">
        <v>250</v>
      </c>
      <c r="O481" s="120" t="s">
        <v>250</v>
      </c>
      <c r="P481" s="120" t="s">
        <v>250</v>
      </c>
      <c r="Q481" s="120" t="s">
        <v>250</v>
      </c>
      <c r="R481" s="120"/>
      <c r="S481" s="121"/>
    </row>
    <row r="482" spans="1:19" ht="15">
      <c r="A482" s="105">
        <v>42</v>
      </c>
      <c r="B482" s="129" t="str">
        <f t="shared" si="16"/>
        <v>TAL</v>
      </c>
      <c r="C482" s="107" t="s">
        <v>623</v>
      </c>
      <c r="D482" s="107" t="s">
        <v>250</v>
      </c>
      <c r="E482" s="120">
        <v>137010256.32183999</v>
      </c>
      <c r="F482" s="120" t="s">
        <v>250</v>
      </c>
      <c r="G482" s="120">
        <v>128834448.58017679</v>
      </c>
      <c r="H482" s="120" t="s">
        <v>250</v>
      </c>
      <c r="I482" s="120">
        <v>5364294.0194420042</v>
      </c>
      <c r="J482" s="120">
        <v>2811513.7222211966</v>
      </c>
      <c r="K482" s="120" t="s">
        <v>250</v>
      </c>
      <c r="L482" s="120" t="s">
        <v>250</v>
      </c>
      <c r="M482" s="120">
        <v>0</v>
      </c>
      <c r="N482" s="120" t="s">
        <v>250</v>
      </c>
      <c r="O482" s="120">
        <v>2811513.7222211966</v>
      </c>
      <c r="P482" s="120">
        <v>1440086.0345968911</v>
      </c>
      <c r="Q482" s="120">
        <v>1371427.6876243053</v>
      </c>
      <c r="R482" s="120"/>
      <c r="S482" s="121"/>
    </row>
    <row r="483" spans="1:19" ht="15">
      <c r="A483" s="105" t="s">
        <v>250</v>
      </c>
      <c r="B483" s="129" t="str">
        <f t="shared" si="16"/>
        <v/>
      </c>
      <c r="C483" s="107" t="s">
        <v>250</v>
      </c>
      <c r="D483" s="107" t="s">
        <v>250</v>
      </c>
      <c r="E483" s="120" t="s">
        <v>250</v>
      </c>
      <c r="F483" s="120" t="s">
        <v>250</v>
      </c>
      <c r="G483" s="120" t="s">
        <v>250</v>
      </c>
      <c r="H483" s="120" t="s">
        <v>250</v>
      </c>
      <c r="I483" s="120" t="s">
        <v>250</v>
      </c>
      <c r="J483" s="120" t="s">
        <v>250</v>
      </c>
      <c r="K483" s="120" t="s">
        <v>250</v>
      </c>
      <c r="L483" s="120" t="s">
        <v>250</v>
      </c>
      <c r="M483" s="120" t="s">
        <v>250</v>
      </c>
      <c r="N483" s="120" t="s">
        <v>250</v>
      </c>
      <c r="O483" s="120" t="s">
        <v>250</v>
      </c>
      <c r="P483" s="120" t="s">
        <v>250</v>
      </c>
      <c r="Q483" s="120" t="s">
        <v>250</v>
      </c>
      <c r="R483" s="120"/>
      <c r="S483" s="121"/>
    </row>
    <row r="484" spans="1:19" ht="15">
      <c r="A484" s="105" t="s">
        <v>250</v>
      </c>
      <c r="B484" s="129" t="str">
        <f t="shared" si="16"/>
        <v>ERA</v>
      </c>
      <c r="C484" s="107" t="s">
        <v>631</v>
      </c>
      <c r="D484" s="107" t="s">
        <v>250</v>
      </c>
      <c r="E484" s="120" t="s">
        <v>250</v>
      </c>
      <c r="F484" s="120" t="s">
        <v>250</v>
      </c>
      <c r="G484" s="120" t="s">
        <v>250</v>
      </c>
      <c r="H484" s="120" t="s">
        <v>250</v>
      </c>
      <c r="I484" s="120" t="s">
        <v>250</v>
      </c>
      <c r="J484" s="120" t="s">
        <v>250</v>
      </c>
      <c r="K484" s="120" t="s">
        <v>250</v>
      </c>
      <c r="L484" s="120" t="s">
        <v>250</v>
      </c>
      <c r="M484" s="120" t="s">
        <v>250</v>
      </c>
      <c r="N484" s="120" t="s">
        <v>250</v>
      </c>
      <c r="O484" s="120" t="s">
        <v>250</v>
      </c>
      <c r="P484" s="120" t="s">
        <v>250</v>
      </c>
      <c r="Q484" s="120" t="s">
        <v>250</v>
      </c>
      <c r="R484" s="120"/>
      <c r="S484" s="121"/>
    </row>
    <row r="485" spans="1:19" ht="15">
      <c r="A485" s="105" t="s">
        <v>250</v>
      </c>
      <c r="B485" s="129" t="str">
        <f t="shared" si="16"/>
        <v/>
      </c>
      <c r="C485" s="107" t="s">
        <v>250</v>
      </c>
      <c r="D485" s="107" t="s">
        <v>250</v>
      </c>
      <c r="E485" s="120" t="s">
        <v>250</v>
      </c>
      <c r="F485" s="120" t="s">
        <v>250</v>
      </c>
      <c r="G485" s="120" t="s">
        <v>250</v>
      </c>
      <c r="H485" s="120" t="s">
        <v>250</v>
      </c>
      <c r="I485" s="120" t="s">
        <v>250</v>
      </c>
      <c r="J485" s="120" t="s">
        <v>250</v>
      </c>
      <c r="K485" s="120" t="s">
        <v>250</v>
      </c>
      <c r="L485" s="120" t="s">
        <v>250</v>
      </c>
      <c r="M485" s="120" t="s">
        <v>250</v>
      </c>
      <c r="N485" s="120" t="s">
        <v>250</v>
      </c>
      <c r="O485" s="120" t="s">
        <v>250</v>
      </c>
      <c r="P485" s="120" t="s">
        <v>250</v>
      </c>
      <c r="Q485" s="120" t="s">
        <v>250</v>
      </c>
      <c r="R485" s="120"/>
      <c r="S485" s="121"/>
    </row>
    <row r="486" spans="1:19" ht="15">
      <c r="A486" s="105" t="s">
        <v>250</v>
      </c>
      <c r="B486" s="129" t="str">
        <f t="shared" si="16"/>
        <v>5-P</v>
      </c>
      <c r="C486" s="107" t="s">
        <v>624</v>
      </c>
      <c r="D486" s="107" t="s">
        <v>250</v>
      </c>
      <c r="E486" s="120" t="s">
        <v>250</v>
      </c>
      <c r="F486" s="120" t="s">
        <v>250</v>
      </c>
      <c r="G486" s="120" t="s">
        <v>250</v>
      </c>
      <c r="H486" s="120" t="s">
        <v>250</v>
      </c>
      <c r="I486" s="120" t="s">
        <v>250</v>
      </c>
      <c r="J486" s="120" t="s">
        <v>250</v>
      </c>
      <c r="K486" s="120" t="s">
        <v>250</v>
      </c>
      <c r="L486" s="120" t="s">
        <v>250</v>
      </c>
      <c r="M486" s="120" t="s">
        <v>250</v>
      </c>
      <c r="N486" s="120" t="s">
        <v>250</v>
      </c>
      <c r="O486" s="120" t="s">
        <v>250</v>
      </c>
      <c r="P486" s="120" t="s">
        <v>250</v>
      </c>
      <c r="Q486" s="120" t="s">
        <v>250</v>
      </c>
      <c r="R486" s="120"/>
      <c r="S486" s="121"/>
    </row>
    <row r="487" spans="1:19" ht="15">
      <c r="A487" s="105">
        <v>43</v>
      </c>
      <c r="B487" s="129" t="str">
        <f t="shared" si="16"/>
        <v>CAP</v>
      </c>
      <c r="C487" s="107" t="s">
        <v>625</v>
      </c>
      <c r="D487" s="107" t="s">
        <v>303</v>
      </c>
      <c r="E487" s="120">
        <v>10238539.604362903</v>
      </c>
      <c r="F487" s="120" t="s">
        <v>250</v>
      </c>
      <c r="G487" s="120">
        <v>9604906.9827222656</v>
      </c>
      <c r="H487" s="120" t="s">
        <v>250</v>
      </c>
      <c r="I487" s="120">
        <v>434985.62606799311</v>
      </c>
      <c r="J487" s="120">
        <v>198646.9955726453</v>
      </c>
      <c r="K487" s="120" t="s">
        <v>250</v>
      </c>
      <c r="L487" s="120" t="s">
        <v>250</v>
      </c>
      <c r="M487" s="120">
        <v>0</v>
      </c>
      <c r="N487" s="120" t="s">
        <v>250</v>
      </c>
      <c r="O487" s="120">
        <v>198646.9955726453</v>
      </c>
      <c r="P487" s="120">
        <v>100764.87165625725</v>
      </c>
      <c r="Q487" s="120">
        <v>97882.123916388053</v>
      </c>
      <c r="R487" s="120"/>
      <c r="S487" s="121"/>
    </row>
    <row r="488" spans="1:19" ht="15">
      <c r="A488" s="105">
        <v>44</v>
      </c>
      <c r="B488" s="129" t="str">
        <f t="shared" si="16"/>
        <v>ENE</v>
      </c>
      <c r="C488" s="107" t="s">
        <v>626</v>
      </c>
      <c r="D488" s="107" t="s">
        <v>494</v>
      </c>
      <c r="E488" s="120">
        <v>41518161.046159662</v>
      </c>
      <c r="F488" s="120" t="s">
        <v>250</v>
      </c>
      <c r="G488" s="120">
        <v>39102870.786309071</v>
      </c>
      <c r="H488" s="120" t="s">
        <v>250</v>
      </c>
      <c r="I488" s="120">
        <v>1570357.5252882426</v>
      </c>
      <c r="J488" s="120">
        <v>844932.7345623523</v>
      </c>
      <c r="K488" s="120" t="s">
        <v>250</v>
      </c>
      <c r="L488" s="120" t="s">
        <v>250</v>
      </c>
      <c r="M488" s="120">
        <v>0</v>
      </c>
      <c r="N488" s="120" t="s">
        <v>250</v>
      </c>
      <c r="O488" s="120">
        <v>844932.7345623523</v>
      </c>
      <c r="P488" s="120">
        <v>433682.03434239747</v>
      </c>
      <c r="Q488" s="120">
        <v>411250.70021995483</v>
      </c>
      <c r="R488" s="120"/>
      <c r="S488" s="121"/>
    </row>
    <row r="489" spans="1:19" ht="15">
      <c r="A489" s="105">
        <v>45</v>
      </c>
      <c r="B489" s="129" t="str">
        <f t="shared" si="16"/>
        <v xml:space="preserve">  T</v>
      </c>
      <c r="C489" s="107" t="s">
        <v>627</v>
      </c>
      <c r="D489" s="107" t="s">
        <v>250</v>
      </c>
      <c r="E489" s="120">
        <v>51756700.650522575</v>
      </c>
      <c r="F489" s="120" t="s">
        <v>250</v>
      </c>
      <c r="G489" s="120">
        <v>48707777.769031338</v>
      </c>
      <c r="H489" s="120" t="s">
        <v>250</v>
      </c>
      <c r="I489" s="120">
        <v>2005343.1513562356</v>
      </c>
      <c r="J489" s="120">
        <v>1043579.7301349975</v>
      </c>
      <c r="K489" s="120" t="s">
        <v>250</v>
      </c>
      <c r="L489" s="120" t="s">
        <v>250</v>
      </c>
      <c r="M489" s="120">
        <v>0</v>
      </c>
      <c r="N489" s="120" t="s">
        <v>250</v>
      </c>
      <c r="O489" s="120">
        <v>1043579.7301349975</v>
      </c>
      <c r="P489" s="120">
        <v>534446.90599865466</v>
      </c>
      <c r="Q489" s="120">
        <v>509132.82413634285</v>
      </c>
      <c r="R489" s="120"/>
      <c r="S489" s="121"/>
    </row>
    <row r="490" spans="1:19" ht="15">
      <c r="A490" s="105" t="s">
        <v>250</v>
      </c>
      <c r="B490" s="129">
        <v>555</v>
      </c>
      <c r="C490" s="107" t="s">
        <v>250</v>
      </c>
      <c r="D490" s="107" t="s">
        <v>250</v>
      </c>
      <c r="E490" s="120" t="s">
        <v>250</v>
      </c>
      <c r="F490" s="120" t="s">
        <v>250</v>
      </c>
      <c r="G490" s="120" t="s">
        <v>250</v>
      </c>
      <c r="H490" s="120" t="s">
        <v>250</v>
      </c>
      <c r="I490" s="120" t="s">
        <v>250</v>
      </c>
      <c r="J490" s="120" t="s">
        <v>250</v>
      </c>
      <c r="K490" s="120" t="s">
        <v>250</v>
      </c>
      <c r="L490" s="120" t="s">
        <v>250</v>
      </c>
      <c r="M490" s="120" t="s">
        <v>250</v>
      </c>
      <c r="N490" s="120" t="s">
        <v>250</v>
      </c>
      <c r="O490" s="120" t="s">
        <v>250</v>
      </c>
      <c r="P490" s="120" t="s">
        <v>250</v>
      </c>
      <c r="Q490" s="120" t="s">
        <v>250</v>
      </c>
      <c r="R490" s="120"/>
      <c r="S490" s="121"/>
    </row>
    <row r="491" spans="1:19" ht="15">
      <c r="A491" s="105">
        <v>46</v>
      </c>
      <c r="B491" s="129" t="str">
        <f t="shared" si="16"/>
        <v>6-S</v>
      </c>
      <c r="C491" s="107" t="s">
        <v>628</v>
      </c>
      <c r="D491" s="107" t="s">
        <v>303</v>
      </c>
      <c r="E491" s="120">
        <v>2452013.9999999995</v>
      </c>
      <c r="F491" s="120" t="s">
        <v>250</v>
      </c>
      <c r="G491" s="120">
        <v>2300266.1805690443</v>
      </c>
      <c r="H491" s="120" t="s">
        <v>250</v>
      </c>
      <c r="I491" s="120">
        <v>104174.11917447507</v>
      </c>
      <c r="J491" s="120">
        <v>47573.700256480406</v>
      </c>
      <c r="K491" s="120" t="s">
        <v>250</v>
      </c>
      <c r="L491" s="120" t="s">
        <v>250</v>
      </c>
      <c r="M491" s="120">
        <v>0</v>
      </c>
      <c r="N491" s="120" t="s">
        <v>250</v>
      </c>
      <c r="O491" s="120">
        <v>47573.700256480406</v>
      </c>
      <c r="P491" s="120">
        <v>24132.042806579579</v>
      </c>
      <c r="Q491" s="120">
        <v>23441.657449900827</v>
      </c>
      <c r="R491" s="120"/>
      <c r="S491" s="121"/>
    </row>
    <row r="492" spans="1:19" ht="15">
      <c r="A492" s="105">
        <v>47</v>
      </c>
      <c r="B492" s="129" t="str">
        <f t="shared" si="16"/>
        <v>7-O</v>
      </c>
      <c r="C492" s="107" t="s">
        <v>629</v>
      </c>
      <c r="D492" s="107" t="s">
        <v>497</v>
      </c>
      <c r="E492" s="120">
        <v>182814</v>
      </c>
      <c r="F492" s="120" t="s">
        <v>250</v>
      </c>
      <c r="G492" s="120">
        <v>171385.83997724095</v>
      </c>
      <c r="H492" s="120" t="s">
        <v>250</v>
      </c>
      <c r="I492" s="120">
        <v>7815.9168896335959</v>
      </c>
      <c r="J492" s="120">
        <v>3612.2431331254538</v>
      </c>
      <c r="K492" s="120" t="s">
        <v>250</v>
      </c>
      <c r="L492" s="120" t="s">
        <v>250</v>
      </c>
      <c r="M492" s="120">
        <v>0</v>
      </c>
      <c r="N492" s="120" t="s">
        <v>250</v>
      </c>
      <c r="O492" s="120">
        <v>3612.2431331254538</v>
      </c>
      <c r="P492" s="120">
        <v>1832.3318439894181</v>
      </c>
      <c r="Q492" s="120">
        <v>1779.911289136036</v>
      </c>
      <c r="R492" s="120"/>
      <c r="S492" s="121"/>
    </row>
    <row r="493" spans="1:19" ht="15">
      <c r="A493" s="105" t="s">
        <v>250</v>
      </c>
      <c r="B493" s="129" t="str">
        <f t="shared" si="16"/>
        <v/>
      </c>
      <c r="C493" s="107" t="s">
        <v>250</v>
      </c>
      <c r="D493" s="107" t="s">
        <v>250</v>
      </c>
      <c r="E493" s="120" t="s">
        <v>250</v>
      </c>
      <c r="F493" s="120" t="s">
        <v>250</v>
      </c>
      <c r="G493" s="120" t="s">
        <v>250</v>
      </c>
      <c r="H493" s="120" t="s">
        <v>250</v>
      </c>
      <c r="I493" s="120" t="s">
        <v>250</v>
      </c>
      <c r="J493" s="120" t="s">
        <v>250</v>
      </c>
      <c r="K493" s="120" t="s">
        <v>250</v>
      </c>
      <c r="L493" s="120" t="s">
        <v>250</v>
      </c>
      <c r="M493" s="120" t="s">
        <v>250</v>
      </c>
      <c r="N493" s="120" t="s">
        <v>250</v>
      </c>
      <c r="O493" s="120" t="s">
        <v>250</v>
      </c>
      <c r="P493" s="120" t="s">
        <v>250</v>
      </c>
      <c r="Q493" s="120" t="s">
        <v>250</v>
      </c>
      <c r="R493" s="120"/>
      <c r="S493" s="121"/>
    </row>
    <row r="494" spans="1:19" ht="15">
      <c r="A494" s="105">
        <v>48</v>
      </c>
      <c r="B494" s="129" t="str">
        <f t="shared" si="16"/>
        <v>TAL</v>
      </c>
      <c r="C494" s="107" t="s">
        <v>630</v>
      </c>
      <c r="D494" s="107" t="s">
        <v>250</v>
      </c>
      <c r="E494" s="120">
        <v>640687944.74843919</v>
      </c>
      <c r="F494" s="120" t="s">
        <v>250</v>
      </c>
      <c r="G494" s="120">
        <v>603062158.11721015</v>
      </c>
      <c r="H494" s="120" t="s">
        <v>250</v>
      </c>
      <c r="I494" s="120">
        <v>24739858.58062816</v>
      </c>
      <c r="J494" s="120">
        <v>12885928.050600883</v>
      </c>
      <c r="K494" s="120" t="s">
        <v>250</v>
      </c>
      <c r="L494" s="120" t="s">
        <v>250</v>
      </c>
      <c r="M494" s="120">
        <v>0</v>
      </c>
      <c r="N494" s="120" t="s">
        <v>250</v>
      </c>
      <c r="O494" s="120">
        <v>12885928.050600883</v>
      </c>
      <c r="P494" s="120">
        <v>6598337.9701139517</v>
      </c>
      <c r="Q494" s="120">
        <v>6287590.08048693</v>
      </c>
      <c r="R494" s="120"/>
      <c r="S494" s="121"/>
    </row>
    <row r="495" spans="1:19" ht="15">
      <c r="A495" s="105" t="s">
        <v>250</v>
      </c>
      <c r="B495" s="129" t="str">
        <f t="shared" si="16"/>
        <v/>
      </c>
      <c r="C495" s="107" t="s">
        <v>250</v>
      </c>
      <c r="D495" s="107" t="s">
        <v>250</v>
      </c>
      <c r="E495" s="120" t="s">
        <v>250</v>
      </c>
      <c r="F495" s="120" t="s">
        <v>250</v>
      </c>
      <c r="G495" s="120" t="s">
        <v>250</v>
      </c>
      <c r="H495" s="120" t="s">
        <v>250</v>
      </c>
      <c r="I495" s="120" t="s">
        <v>250</v>
      </c>
      <c r="J495" s="120" t="s">
        <v>250</v>
      </c>
      <c r="K495" s="120" t="s">
        <v>250</v>
      </c>
      <c r="L495" s="120" t="s">
        <v>250</v>
      </c>
      <c r="M495" s="120" t="s">
        <v>250</v>
      </c>
      <c r="N495" s="120" t="s">
        <v>250</v>
      </c>
      <c r="O495" s="120" t="s">
        <v>250</v>
      </c>
      <c r="P495" s="120" t="s">
        <v>250</v>
      </c>
      <c r="Q495" s="120" t="s">
        <v>250</v>
      </c>
      <c r="R495" s="120"/>
      <c r="S495" s="121"/>
    </row>
    <row r="496" spans="1:19" ht="15">
      <c r="A496" s="105" t="s">
        <v>250</v>
      </c>
      <c r="B496" s="129" t="str">
        <f t="shared" si="16"/>
        <v>ERA</v>
      </c>
      <c r="C496" s="107" t="s">
        <v>631</v>
      </c>
      <c r="D496" s="107" t="s">
        <v>250</v>
      </c>
      <c r="E496" s="120" t="s">
        <v>250</v>
      </c>
      <c r="F496" s="120" t="s">
        <v>250</v>
      </c>
      <c r="G496" s="120" t="s">
        <v>250</v>
      </c>
      <c r="H496" s="120" t="s">
        <v>250</v>
      </c>
      <c r="I496" s="120" t="s">
        <v>250</v>
      </c>
      <c r="J496" s="120" t="s">
        <v>250</v>
      </c>
      <c r="K496" s="120" t="s">
        <v>250</v>
      </c>
      <c r="L496" s="120" t="s">
        <v>250</v>
      </c>
      <c r="M496" s="120" t="s">
        <v>250</v>
      </c>
      <c r="N496" s="120" t="s">
        <v>250</v>
      </c>
      <c r="O496" s="120" t="s">
        <v>250</v>
      </c>
      <c r="P496" s="120" t="s">
        <v>250</v>
      </c>
      <c r="Q496" s="120" t="s">
        <v>250</v>
      </c>
      <c r="R496" s="120"/>
      <c r="S496" s="121"/>
    </row>
    <row r="497" spans="1:19" ht="15">
      <c r="A497" s="105" t="s">
        <v>250</v>
      </c>
      <c r="B497" s="129" t="str">
        <f t="shared" si="16"/>
        <v/>
      </c>
      <c r="C497" s="107" t="s">
        <v>250</v>
      </c>
      <c r="D497" s="107" t="s">
        <v>250</v>
      </c>
      <c r="E497" s="120" t="s">
        <v>250</v>
      </c>
      <c r="F497" s="120" t="s">
        <v>250</v>
      </c>
      <c r="G497" s="120" t="s">
        <v>250</v>
      </c>
      <c r="H497" s="120" t="s">
        <v>250</v>
      </c>
      <c r="I497" s="120" t="s">
        <v>250</v>
      </c>
      <c r="J497" s="120" t="s">
        <v>250</v>
      </c>
      <c r="K497" s="120" t="s">
        <v>250</v>
      </c>
      <c r="L497" s="120" t="s">
        <v>250</v>
      </c>
      <c r="M497" s="120" t="s">
        <v>250</v>
      </c>
      <c r="N497" s="120" t="s">
        <v>250</v>
      </c>
      <c r="O497" s="120" t="s">
        <v>250</v>
      </c>
      <c r="P497" s="120" t="s">
        <v>250</v>
      </c>
      <c r="Q497" s="120" t="s">
        <v>250</v>
      </c>
      <c r="R497" s="120"/>
      <c r="S497" s="121"/>
    </row>
    <row r="498" spans="1:19" ht="15">
      <c r="A498" s="105" t="s">
        <v>250</v>
      </c>
      <c r="B498" s="129" t="str">
        <f t="shared" si="16"/>
        <v>ANS</v>
      </c>
      <c r="C498" s="107" t="s">
        <v>632</v>
      </c>
      <c r="D498" s="107" t="s">
        <v>250</v>
      </c>
      <c r="E498" s="120" t="s">
        <v>250</v>
      </c>
      <c r="F498" s="120" t="s">
        <v>250</v>
      </c>
      <c r="G498" s="120" t="s">
        <v>250</v>
      </c>
      <c r="H498" s="120" t="s">
        <v>250</v>
      </c>
      <c r="I498" s="120" t="s">
        <v>250</v>
      </c>
      <c r="J498" s="120" t="s">
        <v>250</v>
      </c>
      <c r="K498" s="120" t="s">
        <v>250</v>
      </c>
      <c r="L498" s="120" t="s">
        <v>250</v>
      </c>
      <c r="M498" s="120" t="s">
        <v>250</v>
      </c>
      <c r="N498" s="120" t="s">
        <v>250</v>
      </c>
      <c r="O498" s="120" t="s">
        <v>250</v>
      </c>
      <c r="P498" s="120" t="s">
        <v>250</v>
      </c>
      <c r="Q498" s="120" t="s">
        <v>250</v>
      </c>
      <c r="R498" s="120"/>
      <c r="S498" s="121"/>
    </row>
    <row r="499" spans="1:19" ht="15">
      <c r="A499" s="105">
        <v>1</v>
      </c>
      <c r="B499" s="129" t="str">
        <f t="shared" si="16"/>
        <v>560</v>
      </c>
      <c r="C499" s="107" t="s">
        <v>633</v>
      </c>
      <c r="D499" s="107" t="s">
        <v>634</v>
      </c>
      <c r="E499" s="120">
        <v>2076855.0000000005</v>
      </c>
      <c r="F499" s="120" t="s">
        <v>250</v>
      </c>
      <c r="G499" s="120">
        <v>1854541.9610265766</v>
      </c>
      <c r="H499" s="120" t="s">
        <v>250</v>
      </c>
      <c r="I499" s="120">
        <v>222313.03897342377</v>
      </c>
      <c r="J499" s="120">
        <v>0</v>
      </c>
      <c r="K499" s="120" t="s">
        <v>250</v>
      </c>
      <c r="L499" s="120" t="s">
        <v>250</v>
      </c>
      <c r="M499" s="120">
        <v>0</v>
      </c>
      <c r="N499" s="120" t="s">
        <v>250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2</v>
      </c>
      <c r="B500" s="129" t="str">
        <f t="shared" si="16"/>
        <v>561</v>
      </c>
      <c r="C500" s="107" t="s">
        <v>635</v>
      </c>
      <c r="D500" s="107" t="s">
        <v>499</v>
      </c>
      <c r="E500" s="120">
        <v>5050903</v>
      </c>
      <c r="F500" s="120" t="s">
        <v>250</v>
      </c>
      <c r="G500" s="120">
        <v>4510238.5840971163</v>
      </c>
      <c r="H500" s="120" t="s">
        <v>250</v>
      </c>
      <c r="I500" s="120">
        <v>540664.41590288351</v>
      </c>
      <c r="J500" s="120">
        <v>0</v>
      </c>
      <c r="K500" s="120" t="s">
        <v>250</v>
      </c>
      <c r="L500" s="120" t="s">
        <v>250</v>
      </c>
      <c r="M500" s="120">
        <v>0</v>
      </c>
      <c r="N500" s="120" t="s">
        <v>250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3</v>
      </c>
      <c r="B501" s="129" t="str">
        <f t="shared" si="16"/>
        <v>562</v>
      </c>
      <c r="C501" s="107" t="s">
        <v>636</v>
      </c>
      <c r="D501" s="107" t="s">
        <v>499</v>
      </c>
      <c r="E501" s="120">
        <v>1310412.99999999</v>
      </c>
      <c r="F501" s="120" t="s">
        <v>250</v>
      </c>
      <c r="G501" s="120">
        <v>1170142.3040003758</v>
      </c>
      <c r="H501" s="120" t="s">
        <v>250</v>
      </c>
      <c r="I501" s="120">
        <v>140270.69599961428</v>
      </c>
      <c r="J501" s="120">
        <v>0</v>
      </c>
      <c r="K501" s="120" t="s">
        <v>250</v>
      </c>
      <c r="L501" s="120" t="s">
        <v>250</v>
      </c>
      <c r="M501" s="120">
        <v>0</v>
      </c>
      <c r="N501" s="120" t="s">
        <v>250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4</v>
      </c>
      <c r="B502" s="129" t="str">
        <f t="shared" si="16"/>
        <v>563</v>
      </c>
      <c r="C502" s="107" t="s">
        <v>637</v>
      </c>
      <c r="D502" s="107" t="s">
        <v>499</v>
      </c>
      <c r="E502" s="120">
        <v>1238414</v>
      </c>
      <c r="F502" s="120" t="s">
        <v>250</v>
      </c>
      <c r="G502" s="120">
        <v>1105850.3015967731</v>
      </c>
      <c r="H502" s="120" t="s">
        <v>250</v>
      </c>
      <c r="I502" s="120">
        <v>132563.69840322682</v>
      </c>
      <c r="J502" s="120">
        <v>0</v>
      </c>
      <c r="K502" s="120" t="s">
        <v>250</v>
      </c>
      <c r="L502" s="120" t="s">
        <v>250</v>
      </c>
      <c r="M502" s="120">
        <v>0</v>
      </c>
      <c r="N502" s="120" t="s">
        <v>250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5</v>
      </c>
      <c r="B503" s="129" t="str">
        <f t="shared" si="16"/>
        <v>564</v>
      </c>
      <c r="C503" s="107" t="s">
        <v>638</v>
      </c>
      <c r="D503" s="107" t="s">
        <v>499</v>
      </c>
      <c r="E503" s="120">
        <v>0</v>
      </c>
      <c r="F503" s="120" t="s">
        <v>250</v>
      </c>
      <c r="G503" s="120">
        <v>0</v>
      </c>
      <c r="H503" s="120" t="s">
        <v>250</v>
      </c>
      <c r="I503" s="120">
        <v>0</v>
      </c>
      <c r="J503" s="120">
        <v>0</v>
      </c>
      <c r="K503" s="120" t="s">
        <v>250</v>
      </c>
      <c r="L503" s="120" t="s">
        <v>250</v>
      </c>
      <c r="M503" s="120">
        <v>0</v>
      </c>
      <c r="N503" s="120" t="s">
        <v>250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6</v>
      </c>
      <c r="B504" s="129" t="str">
        <f t="shared" si="16"/>
        <v>565</v>
      </c>
      <c r="C504" s="107" t="s">
        <v>639</v>
      </c>
      <c r="D504" s="107" t="s">
        <v>499</v>
      </c>
      <c r="E504" s="120">
        <v>3329838</v>
      </c>
      <c r="F504" s="120" t="s">
        <v>250</v>
      </c>
      <c r="G504" s="120">
        <v>2973401.751408169</v>
      </c>
      <c r="H504" s="120" t="s">
        <v>250</v>
      </c>
      <c r="I504" s="120">
        <v>356436.24859183113</v>
      </c>
      <c r="J504" s="120">
        <v>0</v>
      </c>
      <c r="K504" s="120" t="s">
        <v>250</v>
      </c>
      <c r="L504" s="120" t="s">
        <v>250</v>
      </c>
      <c r="M504" s="120">
        <v>0</v>
      </c>
      <c r="N504" s="120" t="s">
        <v>250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7</v>
      </c>
      <c r="B505" s="129" t="str">
        <f t="shared" si="16"/>
        <v>566</v>
      </c>
      <c r="C505" s="107" t="s">
        <v>640</v>
      </c>
      <c r="D505" s="107" t="s">
        <v>499</v>
      </c>
      <c r="E505" s="120">
        <v>27152785</v>
      </c>
      <c r="F505" s="120" t="s">
        <v>250</v>
      </c>
      <c r="G505" s="120">
        <v>24246266.17709614</v>
      </c>
      <c r="H505" s="120" t="s">
        <v>250</v>
      </c>
      <c r="I505" s="120">
        <v>2906518.8229038604</v>
      </c>
      <c r="J505" s="120">
        <v>0</v>
      </c>
      <c r="K505" s="120" t="s">
        <v>250</v>
      </c>
      <c r="L505" s="120" t="s">
        <v>250</v>
      </c>
      <c r="M505" s="120">
        <v>0</v>
      </c>
      <c r="N505" s="120" t="s">
        <v>250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8</v>
      </c>
      <c r="B506" s="129" t="str">
        <f t="shared" si="16"/>
        <v>567</v>
      </c>
      <c r="C506" s="107" t="s">
        <v>641</v>
      </c>
      <c r="D506" s="107" t="s">
        <v>499</v>
      </c>
      <c r="E506" s="120">
        <v>189602</v>
      </c>
      <c r="F506" s="120" t="s">
        <v>250</v>
      </c>
      <c r="G506" s="120">
        <v>169306.41036305419</v>
      </c>
      <c r="H506" s="120" t="s">
        <v>250</v>
      </c>
      <c r="I506" s="120">
        <v>20295.589636945813</v>
      </c>
      <c r="J506" s="120">
        <v>0</v>
      </c>
      <c r="K506" s="120" t="s">
        <v>250</v>
      </c>
      <c r="L506" s="120" t="s">
        <v>250</v>
      </c>
      <c r="M506" s="120">
        <v>0</v>
      </c>
      <c r="N506" s="120" t="s">
        <v>250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9</v>
      </c>
      <c r="B507" s="129" t="str">
        <f t="shared" si="16"/>
        <v>575</v>
      </c>
      <c r="C507" s="107" t="s">
        <v>642</v>
      </c>
      <c r="D507" s="107" t="s">
        <v>499</v>
      </c>
      <c r="E507" s="120">
        <v>0</v>
      </c>
      <c r="F507" s="120" t="s">
        <v>250</v>
      </c>
      <c r="G507" s="120">
        <v>0</v>
      </c>
      <c r="H507" s="120" t="s">
        <v>250</v>
      </c>
      <c r="I507" s="120">
        <v>0</v>
      </c>
      <c r="J507" s="120">
        <v>0</v>
      </c>
      <c r="K507" s="120" t="s">
        <v>250</v>
      </c>
      <c r="L507" s="120" t="s">
        <v>250</v>
      </c>
      <c r="M507" s="120">
        <v>0</v>
      </c>
      <c r="N507" s="120" t="s">
        <v>250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>
        <v>10</v>
      </c>
      <c r="B508" s="129" t="str">
        <f t="shared" si="16"/>
        <v xml:space="preserve">  T</v>
      </c>
      <c r="C508" s="107" t="s">
        <v>643</v>
      </c>
      <c r="D508" s="107" t="s">
        <v>250</v>
      </c>
      <c r="E508" s="120">
        <v>40348809.999999993</v>
      </c>
      <c r="F508" s="120" t="s">
        <v>250</v>
      </c>
      <c r="G508" s="120">
        <v>36029747.489588208</v>
      </c>
      <c r="H508" s="120" t="s">
        <v>250</v>
      </c>
      <c r="I508" s="120">
        <v>4319062.5104117859</v>
      </c>
      <c r="J508" s="120">
        <v>0</v>
      </c>
      <c r="K508" s="120" t="s">
        <v>250</v>
      </c>
      <c r="L508" s="120" t="s">
        <v>250</v>
      </c>
      <c r="M508" s="120">
        <v>0</v>
      </c>
      <c r="N508" s="120" t="s">
        <v>250</v>
      </c>
      <c r="O508" s="120">
        <v>0</v>
      </c>
      <c r="P508" s="120">
        <v>0</v>
      </c>
      <c r="Q508" s="120">
        <v>0</v>
      </c>
      <c r="R508" s="120"/>
      <c r="S508" s="121"/>
    </row>
    <row r="509" spans="1:19" ht="15">
      <c r="A509" s="105">
        <v>11</v>
      </c>
      <c r="B509" s="129" t="str">
        <f t="shared" si="16"/>
        <v>568</v>
      </c>
      <c r="C509" s="107" t="s">
        <v>644</v>
      </c>
      <c r="D509" s="107" t="s">
        <v>499</v>
      </c>
      <c r="E509" s="120">
        <v>0</v>
      </c>
      <c r="F509" s="120" t="s">
        <v>250</v>
      </c>
      <c r="G509" s="120">
        <v>0</v>
      </c>
      <c r="H509" s="120" t="s">
        <v>250</v>
      </c>
      <c r="I509" s="120">
        <v>0</v>
      </c>
      <c r="J509" s="120">
        <v>0</v>
      </c>
      <c r="K509" s="120" t="s">
        <v>250</v>
      </c>
      <c r="L509" s="120" t="s">
        <v>250</v>
      </c>
      <c r="M509" s="120">
        <v>0</v>
      </c>
      <c r="N509" s="120" t="s">
        <v>250</v>
      </c>
      <c r="O509" s="120">
        <v>0</v>
      </c>
      <c r="P509" s="120">
        <v>0</v>
      </c>
      <c r="Q509" s="120">
        <v>0</v>
      </c>
      <c r="R509" s="120"/>
      <c r="S509" s="121"/>
    </row>
    <row r="510" spans="1:19" ht="15">
      <c r="A510" s="105">
        <v>12</v>
      </c>
      <c r="B510" s="129" t="str">
        <f t="shared" si="16"/>
        <v>569</v>
      </c>
      <c r="C510" s="107" t="s">
        <v>645</v>
      </c>
      <c r="D510" s="107" t="s">
        <v>499</v>
      </c>
      <c r="E510" s="120">
        <v>0</v>
      </c>
      <c r="F510" s="120" t="s">
        <v>250</v>
      </c>
      <c r="G510" s="120">
        <v>0</v>
      </c>
      <c r="H510" s="120" t="s">
        <v>250</v>
      </c>
      <c r="I510" s="120">
        <v>0</v>
      </c>
      <c r="J510" s="120">
        <v>0</v>
      </c>
      <c r="K510" s="120" t="s">
        <v>250</v>
      </c>
      <c r="L510" s="120" t="s">
        <v>250</v>
      </c>
      <c r="M510" s="120">
        <v>0</v>
      </c>
      <c r="N510" s="120" t="s">
        <v>250</v>
      </c>
      <c r="O510" s="120">
        <v>0</v>
      </c>
      <c r="P510" s="120">
        <v>0</v>
      </c>
      <c r="Q510" s="120">
        <v>0</v>
      </c>
      <c r="R510" s="120"/>
      <c r="S510" s="121"/>
    </row>
    <row r="511" spans="1:19" ht="15">
      <c r="A511" s="105">
        <v>13</v>
      </c>
      <c r="B511" s="129" t="str">
        <f t="shared" si="16"/>
        <v>570</v>
      </c>
      <c r="C511" s="107" t="s">
        <v>646</v>
      </c>
      <c r="D511" s="107" t="s">
        <v>499</v>
      </c>
      <c r="E511" s="120">
        <v>2205693</v>
      </c>
      <c r="F511" s="120" t="s">
        <v>250</v>
      </c>
      <c r="G511" s="120">
        <v>1969588.7395328956</v>
      </c>
      <c r="H511" s="120" t="s">
        <v>250</v>
      </c>
      <c r="I511" s="120">
        <v>236104.26046710435</v>
      </c>
      <c r="J511" s="120">
        <v>0</v>
      </c>
      <c r="K511" s="120" t="s">
        <v>250</v>
      </c>
      <c r="L511" s="120" t="s">
        <v>250</v>
      </c>
      <c r="M511" s="120">
        <v>0</v>
      </c>
      <c r="N511" s="120" t="s">
        <v>250</v>
      </c>
      <c r="O511" s="120">
        <v>0</v>
      </c>
      <c r="P511" s="120">
        <v>0</v>
      </c>
      <c r="Q511" s="120">
        <v>0</v>
      </c>
      <c r="R511" s="120"/>
      <c r="S511" s="121"/>
    </row>
    <row r="512" spans="1:19" ht="15">
      <c r="A512" s="105">
        <v>14</v>
      </c>
      <c r="B512" s="129" t="str">
        <f t="shared" si="16"/>
        <v>571</v>
      </c>
      <c r="C512" s="107" t="s">
        <v>647</v>
      </c>
      <c r="D512" s="107" t="s">
        <v>499</v>
      </c>
      <c r="E512" s="120">
        <v>11991205.999999899</v>
      </c>
      <c r="F512" s="120" t="s">
        <v>250</v>
      </c>
      <c r="G512" s="120">
        <v>10707629.897279041</v>
      </c>
      <c r="H512" s="120" t="s">
        <v>250</v>
      </c>
      <c r="I512" s="120">
        <v>1283576.1027208595</v>
      </c>
      <c r="J512" s="120">
        <v>0</v>
      </c>
      <c r="K512" s="120" t="s">
        <v>250</v>
      </c>
      <c r="L512" s="120" t="s">
        <v>250</v>
      </c>
      <c r="M512" s="120">
        <v>0</v>
      </c>
      <c r="N512" s="120" t="s">
        <v>250</v>
      </c>
      <c r="O512" s="120">
        <v>0</v>
      </c>
      <c r="P512" s="120">
        <v>0</v>
      </c>
      <c r="Q512" s="120">
        <v>0</v>
      </c>
      <c r="R512" s="120"/>
      <c r="S512" s="121"/>
    </row>
    <row r="513" spans="1:19" ht="15">
      <c r="A513" s="105">
        <v>15</v>
      </c>
      <c r="B513" s="129" t="str">
        <f t="shared" si="16"/>
        <v>572</v>
      </c>
      <c r="C513" s="107" t="s">
        <v>648</v>
      </c>
      <c r="D513" s="107" t="s">
        <v>499</v>
      </c>
      <c r="E513" s="120">
        <v>0</v>
      </c>
      <c r="F513" s="120" t="s">
        <v>250</v>
      </c>
      <c r="G513" s="120">
        <v>0</v>
      </c>
      <c r="H513" s="120" t="s">
        <v>250</v>
      </c>
      <c r="I513" s="120">
        <v>0</v>
      </c>
      <c r="J513" s="120">
        <v>0</v>
      </c>
      <c r="K513" s="120" t="s">
        <v>250</v>
      </c>
      <c r="L513" s="120" t="s">
        <v>250</v>
      </c>
      <c r="M513" s="120">
        <v>0</v>
      </c>
      <c r="N513" s="120" t="s">
        <v>250</v>
      </c>
      <c r="O513" s="120">
        <v>0</v>
      </c>
      <c r="P513" s="120">
        <v>0</v>
      </c>
      <c r="Q513" s="120">
        <v>0</v>
      </c>
      <c r="R513" s="120"/>
      <c r="S513" s="121"/>
    </row>
    <row r="514" spans="1:19" ht="15">
      <c r="A514" s="105">
        <v>16</v>
      </c>
      <c r="B514" s="129" t="str">
        <f t="shared" si="16"/>
        <v>573</v>
      </c>
      <c r="C514" s="107" t="s">
        <v>649</v>
      </c>
      <c r="D514" s="107" t="s">
        <v>499</v>
      </c>
      <c r="E514" s="120">
        <v>243450</v>
      </c>
      <c r="F514" s="120" t="s">
        <v>250</v>
      </c>
      <c r="G514" s="120">
        <v>217390.35243766176</v>
      </c>
      <c r="H514" s="120" t="s">
        <v>250</v>
      </c>
      <c r="I514" s="120">
        <v>26059.647562338258</v>
      </c>
      <c r="J514" s="120">
        <v>0</v>
      </c>
      <c r="K514" s="120" t="s">
        <v>250</v>
      </c>
      <c r="L514" s="120" t="s">
        <v>250</v>
      </c>
      <c r="M514" s="120">
        <v>0</v>
      </c>
      <c r="N514" s="120" t="s">
        <v>250</v>
      </c>
      <c r="O514" s="120">
        <v>0</v>
      </c>
      <c r="P514" s="120">
        <v>0</v>
      </c>
      <c r="Q514" s="120">
        <v>0</v>
      </c>
      <c r="R514" s="120"/>
      <c r="S514" s="121"/>
    </row>
    <row r="515" spans="1:19" ht="15">
      <c r="A515" s="105">
        <v>17</v>
      </c>
      <c r="B515" s="129" t="str">
        <f t="shared" si="16"/>
        <v xml:space="preserve">  T</v>
      </c>
      <c r="C515" s="107" t="s">
        <v>650</v>
      </c>
      <c r="D515" s="107" t="s">
        <v>250</v>
      </c>
      <c r="E515" s="120">
        <v>14440348.999999899</v>
      </c>
      <c r="F515" s="120" t="s">
        <v>250</v>
      </c>
      <c r="G515" s="120">
        <v>12894608.989249598</v>
      </c>
      <c r="H515" s="120" t="s">
        <v>250</v>
      </c>
      <c r="I515" s="120">
        <v>1545740.0107503021</v>
      </c>
      <c r="J515" s="120">
        <v>0</v>
      </c>
      <c r="K515" s="120" t="s">
        <v>250</v>
      </c>
      <c r="L515" s="120" t="s">
        <v>250</v>
      </c>
      <c r="M515" s="120">
        <v>0</v>
      </c>
      <c r="N515" s="120" t="s">
        <v>250</v>
      </c>
      <c r="O515" s="120">
        <v>0</v>
      </c>
      <c r="P515" s="120">
        <v>0</v>
      </c>
      <c r="Q515" s="120">
        <v>0</v>
      </c>
      <c r="R515" s="120"/>
      <c r="S515" s="121"/>
    </row>
    <row r="516" spans="1:19" ht="15">
      <c r="A516" s="105" t="s">
        <v>250</v>
      </c>
      <c r="B516" s="129" t="str">
        <f t="shared" si="16"/>
        <v/>
      </c>
      <c r="C516" s="107" t="s">
        <v>250</v>
      </c>
      <c r="D516" s="107" t="s">
        <v>250</v>
      </c>
      <c r="E516" s="120" t="s">
        <v>250</v>
      </c>
      <c r="F516" s="120" t="s">
        <v>250</v>
      </c>
      <c r="G516" s="120" t="s">
        <v>250</v>
      </c>
      <c r="H516" s="120" t="s">
        <v>250</v>
      </c>
      <c r="I516" s="120" t="s">
        <v>250</v>
      </c>
      <c r="J516" s="120" t="s">
        <v>250</v>
      </c>
      <c r="K516" s="120" t="s">
        <v>250</v>
      </c>
      <c r="L516" s="120" t="s">
        <v>250</v>
      </c>
      <c r="M516" s="120" t="s">
        <v>250</v>
      </c>
      <c r="N516" s="120" t="s">
        <v>250</v>
      </c>
      <c r="O516" s="120" t="s">
        <v>250</v>
      </c>
      <c r="P516" s="120" t="s">
        <v>250</v>
      </c>
      <c r="Q516" s="120" t="s">
        <v>250</v>
      </c>
      <c r="R516" s="120"/>
      <c r="S516" s="121"/>
    </row>
    <row r="517" spans="1:19" ht="15">
      <c r="A517" s="105">
        <v>18</v>
      </c>
      <c r="B517" s="129" t="str">
        <f t="shared" si="16"/>
        <v>TAL</v>
      </c>
      <c r="C517" s="107" t="s">
        <v>651</v>
      </c>
      <c r="D517" s="107" t="s">
        <v>250</v>
      </c>
      <c r="E517" s="120">
        <v>54789158.999999888</v>
      </c>
      <c r="F517" s="120" t="s">
        <v>250</v>
      </c>
      <c r="G517" s="120">
        <v>48924356.478837803</v>
      </c>
      <c r="H517" s="120" t="s">
        <v>250</v>
      </c>
      <c r="I517" s="120">
        <v>5864802.521162088</v>
      </c>
      <c r="J517" s="120">
        <v>0</v>
      </c>
      <c r="K517" s="120" t="s">
        <v>250</v>
      </c>
      <c r="L517" s="120" t="s">
        <v>250</v>
      </c>
      <c r="M517" s="120">
        <v>0</v>
      </c>
      <c r="N517" s="120" t="s">
        <v>250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 t="s">
        <v>250</v>
      </c>
      <c r="B518" s="129" t="str">
        <f t="shared" si="16"/>
        <v/>
      </c>
      <c r="C518" s="107" t="s">
        <v>250</v>
      </c>
      <c r="D518" s="107" t="s">
        <v>250</v>
      </c>
      <c r="E518" s="120" t="s">
        <v>250</v>
      </c>
      <c r="F518" s="120" t="s">
        <v>250</v>
      </c>
      <c r="G518" s="120" t="s">
        <v>250</v>
      </c>
      <c r="H518" s="120" t="s">
        <v>250</v>
      </c>
      <c r="I518" s="120" t="s">
        <v>250</v>
      </c>
      <c r="J518" s="120" t="s">
        <v>250</v>
      </c>
      <c r="K518" s="120" t="s">
        <v>250</v>
      </c>
      <c r="L518" s="120" t="s">
        <v>250</v>
      </c>
      <c r="M518" s="120" t="s">
        <v>250</v>
      </c>
      <c r="N518" s="120" t="s">
        <v>250</v>
      </c>
      <c r="O518" s="120" t="s">
        <v>250</v>
      </c>
      <c r="P518" s="120" t="s">
        <v>250</v>
      </c>
      <c r="Q518" s="120" t="s">
        <v>250</v>
      </c>
      <c r="R518" s="120"/>
      <c r="S518" s="121"/>
    </row>
    <row r="519" spans="1:19" ht="15">
      <c r="A519" s="105" t="s">
        <v>250</v>
      </c>
      <c r="B519" s="129" t="str">
        <f t="shared" si="16"/>
        <v>STR</v>
      </c>
      <c r="C519" s="107" t="s">
        <v>652</v>
      </c>
      <c r="D519" s="107" t="s">
        <v>250</v>
      </c>
      <c r="E519" s="120" t="s">
        <v>250</v>
      </c>
      <c r="F519" s="120" t="s">
        <v>250</v>
      </c>
      <c r="G519" s="120" t="s">
        <v>250</v>
      </c>
      <c r="H519" s="120" t="s">
        <v>250</v>
      </c>
      <c r="I519" s="120" t="s">
        <v>250</v>
      </c>
      <c r="J519" s="120" t="s">
        <v>250</v>
      </c>
      <c r="K519" s="120" t="s">
        <v>250</v>
      </c>
      <c r="L519" s="120" t="s">
        <v>250</v>
      </c>
      <c r="M519" s="120" t="s">
        <v>250</v>
      </c>
      <c r="N519" s="120" t="s">
        <v>250</v>
      </c>
      <c r="O519" s="120" t="s">
        <v>250</v>
      </c>
      <c r="P519" s="120" t="s">
        <v>250</v>
      </c>
      <c r="Q519" s="120" t="s">
        <v>250</v>
      </c>
      <c r="R519" s="120"/>
      <c r="S519" s="121"/>
    </row>
    <row r="520" spans="1:19" ht="15">
      <c r="A520" s="105">
        <v>19</v>
      </c>
      <c r="B520" s="129" t="str">
        <f t="shared" si="16"/>
        <v>580</v>
      </c>
      <c r="C520" s="107" t="s">
        <v>653</v>
      </c>
      <c r="D520" s="107" t="s">
        <v>501</v>
      </c>
      <c r="E520" s="120">
        <v>2007736.0000000002</v>
      </c>
      <c r="F520" s="120" t="s">
        <v>250</v>
      </c>
      <c r="G520" s="120">
        <v>1911254.7315570833</v>
      </c>
      <c r="H520" s="120" t="s">
        <v>250</v>
      </c>
      <c r="I520" s="120">
        <v>93392.910156395301</v>
      </c>
      <c r="J520" s="120">
        <v>3088.3582865215549</v>
      </c>
      <c r="K520" s="120" t="s">
        <v>250</v>
      </c>
      <c r="L520" s="120" t="s">
        <v>250</v>
      </c>
      <c r="M520" s="120">
        <v>0</v>
      </c>
      <c r="N520" s="120" t="s">
        <v>250</v>
      </c>
      <c r="O520" s="120">
        <v>3088.3582865215549</v>
      </c>
      <c r="P520" s="120">
        <v>3064.8555861423602</v>
      </c>
      <c r="Q520" s="120">
        <v>23.502700379194497</v>
      </c>
      <c r="R520" s="120"/>
      <c r="S520" s="121"/>
    </row>
    <row r="521" spans="1:19" ht="15">
      <c r="A521" s="105">
        <v>20</v>
      </c>
      <c r="B521" s="129" t="str">
        <f t="shared" si="16"/>
        <v>581</v>
      </c>
      <c r="C521" s="107" t="s">
        <v>654</v>
      </c>
      <c r="D521" s="107" t="s">
        <v>655</v>
      </c>
      <c r="E521" s="120">
        <v>455770.99999999994</v>
      </c>
      <c r="F521" s="120" t="s">
        <v>250</v>
      </c>
      <c r="G521" s="120">
        <v>438255.70375831396</v>
      </c>
      <c r="H521" s="120" t="s">
        <v>250</v>
      </c>
      <c r="I521" s="120">
        <v>13050.851771881902</v>
      </c>
      <c r="J521" s="120">
        <v>4464.444469804087</v>
      </c>
      <c r="K521" s="120" t="s">
        <v>250</v>
      </c>
      <c r="L521" s="120" t="s">
        <v>250</v>
      </c>
      <c r="M521" s="120">
        <v>0</v>
      </c>
      <c r="N521" s="120" t="s">
        <v>250</v>
      </c>
      <c r="O521" s="120">
        <v>4464.444469804087</v>
      </c>
      <c r="P521" s="120">
        <v>4464.444469804087</v>
      </c>
      <c r="Q521" s="120">
        <v>0</v>
      </c>
      <c r="R521" s="120"/>
      <c r="S521" s="121"/>
    </row>
    <row r="522" spans="1:19" ht="15">
      <c r="A522" s="105">
        <v>21</v>
      </c>
      <c r="B522" s="129" t="str">
        <f t="shared" ref="B522:B586" si="17">MID(C522,3,3)</f>
        <v>582</v>
      </c>
      <c r="C522" s="107" t="s">
        <v>656</v>
      </c>
      <c r="D522" s="107" t="s">
        <v>655</v>
      </c>
      <c r="E522" s="120">
        <v>2320250.9999999902</v>
      </c>
      <c r="F522" s="120" t="s">
        <v>250</v>
      </c>
      <c r="G522" s="120">
        <v>2231083.6689936998</v>
      </c>
      <c r="H522" s="120" t="s">
        <v>250</v>
      </c>
      <c r="I522" s="120">
        <v>66439.6196216096</v>
      </c>
      <c r="J522" s="120">
        <v>22727.711384680813</v>
      </c>
      <c r="K522" s="120" t="s">
        <v>250</v>
      </c>
      <c r="L522" s="120" t="s">
        <v>250</v>
      </c>
      <c r="M522" s="120">
        <v>0</v>
      </c>
      <c r="N522" s="120" t="s">
        <v>250</v>
      </c>
      <c r="O522" s="120">
        <v>22727.711384680813</v>
      </c>
      <c r="P522" s="120">
        <v>22727.711384680813</v>
      </c>
      <c r="Q522" s="120">
        <v>0</v>
      </c>
      <c r="R522" s="120"/>
      <c r="S522" s="121"/>
    </row>
    <row r="523" spans="1:19" ht="15">
      <c r="A523" s="105">
        <v>22</v>
      </c>
      <c r="B523" s="129" t="str">
        <f t="shared" si="17"/>
        <v>583</v>
      </c>
      <c r="C523" s="107" t="s">
        <v>657</v>
      </c>
      <c r="D523" s="107" t="s">
        <v>658</v>
      </c>
      <c r="E523" s="120">
        <v>7066135</v>
      </c>
      <c r="F523" s="120" t="s">
        <v>250</v>
      </c>
      <c r="G523" s="120">
        <v>6598429.1331268298</v>
      </c>
      <c r="H523" s="120" t="s">
        <v>250</v>
      </c>
      <c r="I523" s="120">
        <v>467705.86687317048</v>
      </c>
      <c r="J523" s="120">
        <v>0</v>
      </c>
      <c r="K523" s="120" t="s">
        <v>250</v>
      </c>
      <c r="L523" s="120" t="s">
        <v>250</v>
      </c>
      <c r="M523" s="120">
        <v>0</v>
      </c>
      <c r="N523" s="120" t="s">
        <v>250</v>
      </c>
      <c r="O523" s="120">
        <v>0</v>
      </c>
      <c r="P523" s="120">
        <v>0</v>
      </c>
      <c r="Q523" s="120">
        <v>0</v>
      </c>
      <c r="R523" s="120"/>
      <c r="S523" s="121"/>
    </row>
    <row r="524" spans="1:19" ht="15">
      <c r="A524" s="105">
        <v>23</v>
      </c>
      <c r="B524" s="129" t="str">
        <f t="shared" si="17"/>
        <v>584</v>
      </c>
      <c r="C524" s="107" t="s">
        <v>659</v>
      </c>
      <c r="D524" s="107" t="s">
        <v>660</v>
      </c>
      <c r="E524" s="120">
        <v>42632</v>
      </c>
      <c r="F524" s="120" t="s">
        <v>250</v>
      </c>
      <c r="G524" s="120">
        <v>41724.314132966036</v>
      </c>
      <c r="H524" s="120" t="s">
        <v>250</v>
      </c>
      <c r="I524" s="120">
        <v>907.68586703396329</v>
      </c>
      <c r="J524" s="120">
        <v>0</v>
      </c>
      <c r="K524" s="120" t="s">
        <v>250</v>
      </c>
      <c r="L524" s="120" t="s">
        <v>250</v>
      </c>
      <c r="M524" s="120">
        <v>0</v>
      </c>
      <c r="N524" s="120" t="s">
        <v>250</v>
      </c>
      <c r="O524" s="120">
        <v>0</v>
      </c>
      <c r="P524" s="120">
        <v>0</v>
      </c>
      <c r="Q524" s="120">
        <v>0</v>
      </c>
      <c r="R524" s="120"/>
      <c r="S524" s="121"/>
    </row>
    <row r="525" spans="1:19" ht="15">
      <c r="A525" s="105">
        <v>24</v>
      </c>
      <c r="B525" s="129" t="str">
        <f t="shared" si="17"/>
        <v>585</v>
      </c>
      <c r="C525" s="107" t="s">
        <v>661</v>
      </c>
      <c r="D525" s="107" t="s">
        <v>662</v>
      </c>
      <c r="E525" s="120">
        <v>0</v>
      </c>
      <c r="F525" s="120" t="s">
        <v>250</v>
      </c>
      <c r="G525" s="120">
        <v>0</v>
      </c>
      <c r="H525" s="120" t="s">
        <v>250</v>
      </c>
      <c r="I525" s="120">
        <v>0</v>
      </c>
      <c r="J525" s="120">
        <v>0</v>
      </c>
      <c r="K525" s="120" t="s">
        <v>250</v>
      </c>
      <c r="L525" s="120" t="s">
        <v>250</v>
      </c>
      <c r="M525" s="120">
        <v>0</v>
      </c>
      <c r="N525" s="120" t="s">
        <v>250</v>
      </c>
      <c r="O525" s="120">
        <v>0</v>
      </c>
      <c r="P525" s="120">
        <v>0</v>
      </c>
      <c r="Q525" s="120">
        <v>0</v>
      </c>
      <c r="R525" s="120"/>
      <c r="S525" s="121"/>
    </row>
    <row r="526" spans="1:19" ht="15">
      <c r="A526" s="105">
        <v>25</v>
      </c>
      <c r="B526" s="129" t="str">
        <f t="shared" si="17"/>
        <v>586</v>
      </c>
      <c r="C526" s="107" t="s">
        <v>663</v>
      </c>
      <c r="D526" s="107" t="s">
        <v>664</v>
      </c>
      <c r="E526" s="120">
        <v>10233445.999999899</v>
      </c>
      <c r="F526" s="120" t="s">
        <v>250</v>
      </c>
      <c r="G526" s="120">
        <v>9700979.7252715714</v>
      </c>
      <c r="H526" s="120" t="s">
        <v>250</v>
      </c>
      <c r="I526" s="120">
        <v>526517.94638963277</v>
      </c>
      <c r="J526" s="120">
        <v>5948.3283386957446</v>
      </c>
      <c r="K526" s="120" t="s">
        <v>250</v>
      </c>
      <c r="L526" s="120" t="s">
        <v>250</v>
      </c>
      <c r="M526" s="120">
        <v>0</v>
      </c>
      <c r="N526" s="120" t="s">
        <v>250</v>
      </c>
      <c r="O526" s="120">
        <v>5948.3283386957446</v>
      </c>
      <c r="P526" s="120">
        <v>2572.059788965083</v>
      </c>
      <c r="Q526" s="120">
        <v>3376.2685497306616</v>
      </c>
      <c r="R526" s="120"/>
      <c r="S526" s="121"/>
    </row>
    <row r="527" spans="1:19" ht="15">
      <c r="A527" s="105">
        <v>26</v>
      </c>
      <c r="B527" s="129" t="str">
        <f t="shared" si="17"/>
        <v>587</v>
      </c>
      <c r="C527" s="107" t="s">
        <v>665</v>
      </c>
      <c r="D527" s="107" t="s">
        <v>662</v>
      </c>
      <c r="E527" s="120">
        <v>0</v>
      </c>
      <c r="F527" s="120" t="s">
        <v>250</v>
      </c>
      <c r="G527" s="120">
        <v>0</v>
      </c>
      <c r="H527" s="120" t="s">
        <v>250</v>
      </c>
      <c r="I527" s="120">
        <v>0</v>
      </c>
      <c r="J527" s="120">
        <v>0</v>
      </c>
      <c r="K527" s="120" t="s">
        <v>250</v>
      </c>
      <c r="L527" s="120" t="s">
        <v>250</v>
      </c>
      <c r="M527" s="120">
        <v>0</v>
      </c>
      <c r="N527" s="120" t="s">
        <v>250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27</v>
      </c>
      <c r="B528" s="129" t="str">
        <f t="shared" si="17"/>
        <v>588</v>
      </c>
      <c r="C528" s="107" t="s">
        <v>667</v>
      </c>
      <c r="D528" s="107" t="s">
        <v>501</v>
      </c>
      <c r="E528" s="120">
        <v>8920239</v>
      </c>
      <c r="F528" s="120" t="s">
        <v>250</v>
      </c>
      <c r="G528" s="120">
        <v>8491579.0698428601</v>
      </c>
      <c r="H528" s="120" t="s">
        <v>250</v>
      </c>
      <c r="I528" s="120">
        <v>414938.55741022399</v>
      </c>
      <c r="J528" s="120">
        <v>13721.372746916302</v>
      </c>
      <c r="K528" s="120" t="s">
        <v>250</v>
      </c>
      <c r="L528" s="120" t="s">
        <v>250</v>
      </c>
      <c r="M528" s="120">
        <v>0</v>
      </c>
      <c r="N528" s="120" t="s">
        <v>250</v>
      </c>
      <c r="O528" s="120">
        <v>13721.372746916302</v>
      </c>
      <c r="P528" s="120">
        <v>13616.951794894818</v>
      </c>
      <c r="Q528" s="120">
        <v>104.42095202148367</v>
      </c>
      <c r="R528" s="120"/>
      <c r="S528" s="121"/>
    </row>
    <row r="529" spans="1:19" ht="15">
      <c r="A529" s="105">
        <v>28</v>
      </c>
      <c r="B529" s="129" t="str">
        <f t="shared" si="17"/>
        <v>589</v>
      </c>
      <c r="C529" s="107" t="s">
        <v>668</v>
      </c>
      <c r="D529" s="107" t="s">
        <v>501</v>
      </c>
      <c r="E529" s="120">
        <v>0</v>
      </c>
      <c r="F529" s="120" t="s">
        <v>250</v>
      </c>
      <c r="G529" s="120">
        <v>0</v>
      </c>
      <c r="H529" s="120" t="s">
        <v>250</v>
      </c>
      <c r="I529" s="120">
        <v>0</v>
      </c>
      <c r="J529" s="120">
        <v>0</v>
      </c>
      <c r="K529" s="120" t="s">
        <v>250</v>
      </c>
      <c r="L529" s="120" t="s">
        <v>250</v>
      </c>
      <c r="M529" s="120">
        <v>0</v>
      </c>
      <c r="N529" s="120" t="s">
        <v>250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29</v>
      </c>
      <c r="B530" s="129" t="str">
        <f t="shared" si="17"/>
        <v xml:space="preserve">  T</v>
      </c>
      <c r="C530" s="107" t="s">
        <v>669</v>
      </c>
      <c r="D530" s="107" t="s">
        <v>250</v>
      </c>
      <c r="E530" s="120">
        <v>31046209.999999888</v>
      </c>
      <c r="F530" s="120" t="s">
        <v>250</v>
      </c>
      <c r="G530" s="120">
        <v>29413306.346683323</v>
      </c>
      <c r="H530" s="120" t="s">
        <v>250</v>
      </c>
      <c r="I530" s="120">
        <v>1582953.4380899481</v>
      </c>
      <c r="J530" s="120">
        <v>49950.2152266185</v>
      </c>
      <c r="K530" s="120" t="s">
        <v>250</v>
      </c>
      <c r="L530" s="120" t="s">
        <v>250</v>
      </c>
      <c r="M530" s="120">
        <v>0</v>
      </c>
      <c r="N530" s="120" t="s">
        <v>250</v>
      </c>
      <c r="O530" s="120">
        <v>49950.2152266185</v>
      </c>
      <c r="P530" s="120">
        <v>46446.023024487164</v>
      </c>
      <c r="Q530" s="120">
        <v>3504.1922021313399</v>
      </c>
      <c r="R530" s="120"/>
      <c r="S530" s="121"/>
    </row>
    <row r="531" spans="1:19" ht="15">
      <c r="A531" s="105">
        <v>30</v>
      </c>
      <c r="B531" s="129" t="str">
        <f t="shared" si="17"/>
        <v>590</v>
      </c>
      <c r="C531" s="107" t="s">
        <v>670</v>
      </c>
      <c r="D531" s="107" t="s">
        <v>501</v>
      </c>
      <c r="E531" s="120">
        <v>53484.999999999898</v>
      </c>
      <c r="F531" s="120" t="s">
        <v>250</v>
      </c>
      <c r="G531" s="120">
        <v>50914.791246125191</v>
      </c>
      <c r="H531" s="120" t="s">
        <v>250</v>
      </c>
      <c r="I531" s="120">
        <v>2487.9365612385259</v>
      </c>
      <c r="J531" s="120">
        <v>82.272192636185764</v>
      </c>
      <c r="K531" s="120" t="s">
        <v>250</v>
      </c>
      <c r="L531" s="120" t="s">
        <v>250</v>
      </c>
      <c r="M531" s="120">
        <v>0</v>
      </c>
      <c r="N531" s="120" t="s">
        <v>250</v>
      </c>
      <c r="O531" s="120">
        <v>82.272192636185764</v>
      </c>
      <c r="P531" s="120">
        <v>81.646093423051553</v>
      </c>
      <c r="Q531" s="120">
        <v>0.62609921313420458</v>
      </c>
      <c r="R531" s="120"/>
      <c r="S531" s="121"/>
    </row>
    <row r="532" spans="1:19" ht="15">
      <c r="A532" s="105">
        <v>31</v>
      </c>
      <c r="B532" s="129" t="str">
        <f t="shared" si="17"/>
        <v>591</v>
      </c>
      <c r="C532" s="107" t="s">
        <v>671</v>
      </c>
      <c r="D532" s="107" t="s">
        <v>655</v>
      </c>
      <c r="E532" s="120">
        <v>0</v>
      </c>
      <c r="F532" s="120" t="s">
        <v>250</v>
      </c>
      <c r="G532" s="120">
        <v>0</v>
      </c>
      <c r="H532" s="120" t="s">
        <v>250</v>
      </c>
      <c r="I532" s="120">
        <v>0</v>
      </c>
      <c r="J532" s="120">
        <v>0</v>
      </c>
      <c r="K532" s="120" t="s">
        <v>250</v>
      </c>
      <c r="L532" s="120" t="s">
        <v>250</v>
      </c>
      <c r="M532" s="120">
        <v>0</v>
      </c>
      <c r="N532" s="120" t="s">
        <v>250</v>
      </c>
      <c r="O532" s="120">
        <v>0</v>
      </c>
      <c r="P532" s="120">
        <v>0</v>
      </c>
      <c r="Q532" s="120">
        <v>0</v>
      </c>
      <c r="R532" s="120"/>
      <c r="S532" s="121"/>
    </row>
    <row r="533" spans="1:19" ht="15">
      <c r="A533" s="105">
        <v>32</v>
      </c>
      <c r="B533" s="129" t="str">
        <f t="shared" si="17"/>
        <v>592</v>
      </c>
      <c r="C533" s="107" t="s">
        <v>672</v>
      </c>
      <c r="D533" s="107" t="s">
        <v>655</v>
      </c>
      <c r="E533" s="120">
        <v>1478011.9999999998</v>
      </c>
      <c r="F533" s="120" t="s">
        <v>250</v>
      </c>
      <c r="G533" s="120">
        <v>1421211.9446459585</v>
      </c>
      <c r="H533" s="120" t="s">
        <v>250</v>
      </c>
      <c r="I533" s="120">
        <v>42322.384550712341</v>
      </c>
      <c r="J533" s="120">
        <v>14477.670803329036</v>
      </c>
      <c r="K533" s="120" t="s">
        <v>250</v>
      </c>
      <c r="L533" s="120" t="s">
        <v>250</v>
      </c>
      <c r="M533" s="120">
        <v>0</v>
      </c>
      <c r="N533" s="120" t="s">
        <v>250</v>
      </c>
      <c r="O533" s="120">
        <v>14477.670803329036</v>
      </c>
      <c r="P533" s="120">
        <v>14477.670803329036</v>
      </c>
      <c r="Q533" s="120">
        <v>0</v>
      </c>
      <c r="R533" s="120"/>
      <c r="S533" s="121"/>
    </row>
    <row r="534" spans="1:19" ht="15">
      <c r="A534" s="105">
        <v>33</v>
      </c>
      <c r="B534" s="129" t="str">
        <f t="shared" si="17"/>
        <v>593</v>
      </c>
      <c r="C534" s="107" t="s">
        <v>673</v>
      </c>
      <c r="D534" s="107" t="s">
        <v>658</v>
      </c>
      <c r="E534" s="120">
        <v>30027297.000000004</v>
      </c>
      <c r="F534" s="120" t="s">
        <v>250</v>
      </c>
      <c r="G534" s="120">
        <v>28071514.874494445</v>
      </c>
      <c r="H534" s="120" t="s">
        <v>250</v>
      </c>
      <c r="I534" s="120">
        <v>1955782.1255055584</v>
      </c>
      <c r="J534" s="120">
        <v>0</v>
      </c>
      <c r="K534" s="120" t="s">
        <v>250</v>
      </c>
      <c r="L534" s="120" t="s">
        <v>250</v>
      </c>
      <c r="M534" s="120">
        <v>0</v>
      </c>
      <c r="N534" s="120" t="s">
        <v>250</v>
      </c>
      <c r="O534" s="120">
        <v>0</v>
      </c>
      <c r="P534" s="120">
        <v>0</v>
      </c>
      <c r="Q534" s="120">
        <v>0</v>
      </c>
      <c r="R534" s="120"/>
      <c r="S534" s="121"/>
    </row>
    <row r="535" spans="1:19" ht="15">
      <c r="A535" s="105">
        <v>34</v>
      </c>
      <c r="B535" s="129" t="str">
        <f t="shared" si="17"/>
        <v>594</v>
      </c>
      <c r="C535" s="107" t="s">
        <v>674</v>
      </c>
      <c r="D535" s="107" t="s">
        <v>660</v>
      </c>
      <c r="E535" s="120">
        <v>493796</v>
      </c>
      <c r="F535" s="120" t="s">
        <v>250</v>
      </c>
      <c r="G535" s="120">
        <v>483282.49722279265</v>
      </c>
      <c r="H535" s="120" t="s">
        <v>250</v>
      </c>
      <c r="I535" s="120">
        <v>10513.502777207332</v>
      </c>
      <c r="J535" s="120">
        <v>0</v>
      </c>
      <c r="K535" s="120" t="s">
        <v>250</v>
      </c>
      <c r="L535" s="120" t="s">
        <v>250</v>
      </c>
      <c r="M535" s="120">
        <v>0</v>
      </c>
      <c r="N535" s="120" t="s">
        <v>250</v>
      </c>
      <c r="O535" s="120">
        <v>0</v>
      </c>
      <c r="P535" s="120">
        <v>0</v>
      </c>
      <c r="Q535" s="120">
        <v>0</v>
      </c>
      <c r="R535" s="120"/>
      <c r="S535" s="121"/>
    </row>
    <row r="536" spans="1:19" ht="15">
      <c r="A536" s="105">
        <v>35</v>
      </c>
      <c r="B536" s="129" t="str">
        <f t="shared" si="17"/>
        <v>595</v>
      </c>
      <c r="C536" s="107" t="s">
        <v>675</v>
      </c>
      <c r="D536" s="107" t="s">
        <v>676</v>
      </c>
      <c r="E536" s="120">
        <v>109676.999999999</v>
      </c>
      <c r="F536" s="120" t="s">
        <v>250</v>
      </c>
      <c r="G536" s="120">
        <v>106083.62989476428</v>
      </c>
      <c r="H536" s="120" t="s">
        <v>250</v>
      </c>
      <c r="I536" s="120">
        <v>3593.3701052347169</v>
      </c>
      <c r="J536" s="120">
        <v>0</v>
      </c>
      <c r="K536" s="120" t="s">
        <v>250</v>
      </c>
      <c r="L536" s="120" t="s">
        <v>250</v>
      </c>
      <c r="M536" s="120">
        <v>0</v>
      </c>
      <c r="N536" s="120" t="s">
        <v>250</v>
      </c>
      <c r="O536" s="120">
        <v>0</v>
      </c>
      <c r="P536" s="120">
        <v>0</v>
      </c>
      <c r="Q536" s="120">
        <v>0</v>
      </c>
      <c r="R536" s="120"/>
      <c r="S536" s="121"/>
    </row>
    <row r="537" spans="1:19" ht="15">
      <c r="A537" s="105">
        <v>36</v>
      </c>
      <c r="B537" s="129" t="str">
        <f t="shared" si="17"/>
        <v>596</v>
      </c>
      <c r="C537" s="107" t="s">
        <v>677</v>
      </c>
      <c r="D537" s="107" t="s">
        <v>662</v>
      </c>
      <c r="E537" s="120">
        <v>0</v>
      </c>
      <c r="F537" s="120" t="s">
        <v>250</v>
      </c>
      <c r="G537" s="120">
        <v>0</v>
      </c>
      <c r="H537" s="120" t="s">
        <v>250</v>
      </c>
      <c r="I537" s="120">
        <v>0</v>
      </c>
      <c r="J537" s="120">
        <v>0</v>
      </c>
      <c r="K537" s="120" t="s">
        <v>250</v>
      </c>
      <c r="L537" s="120" t="s">
        <v>250</v>
      </c>
      <c r="M537" s="120">
        <v>0</v>
      </c>
      <c r="N537" s="120" t="s">
        <v>250</v>
      </c>
      <c r="O537" s="120">
        <v>0</v>
      </c>
      <c r="P537" s="120">
        <v>0</v>
      </c>
      <c r="Q537" s="120">
        <v>0</v>
      </c>
      <c r="R537" s="120"/>
      <c r="S537" s="121"/>
    </row>
    <row r="538" spans="1:19" ht="15">
      <c r="A538" s="105">
        <v>37</v>
      </c>
      <c r="B538" s="129" t="str">
        <f t="shared" si="17"/>
        <v>597</v>
      </c>
      <c r="C538" s="107" t="s">
        <v>678</v>
      </c>
      <c r="D538" s="107" t="s">
        <v>664</v>
      </c>
      <c r="E538" s="120">
        <v>29.999999999999904</v>
      </c>
      <c r="F538" s="120" t="s">
        <v>250</v>
      </c>
      <c r="G538" s="120">
        <v>28.439041136108898</v>
      </c>
      <c r="H538" s="120" t="s">
        <v>250</v>
      </c>
      <c r="I538" s="120">
        <v>1.5435209597714283</v>
      </c>
      <c r="J538" s="120">
        <v>1.7437904119577463E-2</v>
      </c>
      <c r="K538" s="120" t="s">
        <v>250</v>
      </c>
      <c r="L538" s="120" t="s">
        <v>250</v>
      </c>
      <c r="M538" s="120">
        <v>0</v>
      </c>
      <c r="N538" s="120" t="s">
        <v>250</v>
      </c>
      <c r="O538" s="120">
        <v>1.7437904119577463E-2</v>
      </c>
      <c r="P538" s="120">
        <v>7.5401574082623775E-3</v>
      </c>
      <c r="Q538" s="120">
        <v>9.8977467113150856E-3</v>
      </c>
      <c r="R538" s="120"/>
      <c r="S538" s="121"/>
    </row>
    <row r="539" spans="1:19" ht="15">
      <c r="A539" s="105">
        <v>38</v>
      </c>
      <c r="B539" s="129" t="str">
        <f t="shared" si="17"/>
        <v>598</v>
      </c>
      <c r="C539" s="107" t="s">
        <v>679</v>
      </c>
      <c r="D539" s="107" t="s">
        <v>501</v>
      </c>
      <c r="E539" s="120">
        <v>613637.99999999907</v>
      </c>
      <c r="F539" s="120" t="s">
        <v>250</v>
      </c>
      <c r="G539" s="120">
        <v>584149.7741551795</v>
      </c>
      <c r="H539" s="120" t="s">
        <v>250</v>
      </c>
      <c r="I539" s="120">
        <v>28544.309910541029</v>
      </c>
      <c r="J539" s="120">
        <v>943.91593427846624</v>
      </c>
      <c r="K539" s="120" t="s">
        <v>250</v>
      </c>
      <c r="L539" s="120" t="s">
        <v>250</v>
      </c>
      <c r="M539" s="120">
        <v>0</v>
      </c>
      <c r="N539" s="120" t="s">
        <v>250</v>
      </c>
      <c r="O539" s="120">
        <v>943.91593427846624</v>
      </c>
      <c r="P539" s="120">
        <v>936.73264421678073</v>
      </c>
      <c r="Q539" s="120">
        <v>7.1832900616854642</v>
      </c>
      <c r="R539" s="120"/>
      <c r="S539" s="121"/>
    </row>
    <row r="540" spans="1:19" ht="15">
      <c r="A540" s="105">
        <v>39</v>
      </c>
      <c r="B540" s="129" t="str">
        <f t="shared" si="17"/>
        <v xml:space="preserve">  T</v>
      </c>
      <c r="C540" s="107" t="s">
        <v>680</v>
      </c>
      <c r="D540" s="107" t="s">
        <v>250</v>
      </c>
      <c r="E540" s="120">
        <v>32775935</v>
      </c>
      <c r="F540" s="120" t="s">
        <v>250</v>
      </c>
      <c r="G540" s="120">
        <v>30717185.950700402</v>
      </c>
      <c r="H540" s="120" t="s">
        <v>250</v>
      </c>
      <c r="I540" s="120">
        <v>2043245.172931452</v>
      </c>
      <c r="J540" s="120">
        <v>15503.876368147809</v>
      </c>
      <c r="K540" s="120" t="s">
        <v>250</v>
      </c>
      <c r="L540" s="120" t="s">
        <v>250</v>
      </c>
      <c r="M540" s="120">
        <v>0</v>
      </c>
      <c r="N540" s="120" t="s">
        <v>250</v>
      </c>
      <c r="O540" s="120">
        <v>15503.876368147809</v>
      </c>
      <c r="P540" s="120">
        <v>15496.057081126277</v>
      </c>
      <c r="Q540" s="120">
        <v>7.8192870215309842</v>
      </c>
      <c r="R540" s="120"/>
      <c r="S540" s="121"/>
    </row>
    <row r="541" spans="1:19" ht="15">
      <c r="A541" s="105" t="s">
        <v>250</v>
      </c>
      <c r="B541" s="129" t="str">
        <f t="shared" si="17"/>
        <v/>
      </c>
      <c r="C541" s="107" t="s">
        <v>250</v>
      </c>
      <c r="D541" s="107" t="s">
        <v>250</v>
      </c>
      <c r="E541" s="120" t="s">
        <v>250</v>
      </c>
      <c r="F541" s="120" t="s">
        <v>250</v>
      </c>
      <c r="G541" s="120" t="s">
        <v>250</v>
      </c>
      <c r="H541" s="120" t="s">
        <v>250</v>
      </c>
      <c r="I541" s="120" t="s">
        <v>250</v>
      </c>
      <c r="J541" s="120" t="s">
        <v>250</v>
      </c>
      <c r="K541" s="120" t="s">
        <v>250</v>
      </c>
      <c r="L541" s="120" t="s">
        <v>250</v>
      </c>
      <c r="M541" s="120" t="s">
        <v>250</v>
      </c>
      <c r="N541" s="120" t="s">
        <v>250</v>
      </c>
      <c r="O541" s="120" t="s">
        <v>250</v>
      </c>
      <c r="P541" s="120" t="s">
        <v>250</v>
      </c>
      <c r="Q541" s="120" t="s">
        <v>250</v>
      </c>
      <c r="R541" s="120"/>
      <c r="S541" s="121"/>
    </row>
    <row r="542" spans="1:19" ht="15">
      <c r="A542" s="105">
        <v>40</v>
      </c>
      <c r="B542" s="129" t="str">
        <f t="shared" si="17"/>
        <v>TAL</v>
      </c>
      <c r="C542" s="107" t="s">
        <v>681</v>
      </c>
      <c r="D542" s="107" t="s">
        <v>250</v>
      </c>
      <c r="E542" s="120">
        <v>63822144.999999888</v>
      </c>
      <c r="F542" s="120" t="s">
        <v>250</v>
      </c>
      <c r="G542" s="120">
        <v>60130492.297383726</v>
      </c>
      <c r="H542" s="120" t="s">
        <v>250</v>
      </c>
      <c r="I542" s="120">
        <v>3626198.6110214004</v>
      </c>
      <c r="J542" s="120">
        <v>65454.091594766309</v>
      </c>
      <c r="K542" s="120" t="s">
        <v>250</v>
      </c>
      <c r="L542" s="120" t="s">
        <v>250</v>
      </c>
      <c r="M542" s="120">
        <v>0</v>
      </c>
      <c r="N542" s="120" t="s">
        <v>250</v>
      </c>
      <c r="O542" s="120">
        <v>65454.091594766309</v>
      </c>
      <c r="P542" s="120">
        <v>61942.080105613437</v>
      </c>
      <c r="Q542" s="120">
        <v>3512.011489152871</v>
      </c>
      <c r="R542" s="120"/>
      <c r="S542" s="121"/>
    </row>
    <row r="543" spans="1:19" ht="15">
      <c r="A543" s="105" t="s">
        <v>250</v>
      </c>
      <c r="B543" s="129" t="str">
        <f t="shared" si="17"/>
        <v/>
      </c>
      <c r="C543" s="107" t="s">
        <v>250</v>
      </c>
      <c r="D543" s="107" t="s">
        <v>250</v>
      </c>
      <c r="E543" s="120" t="s">
        <v>250</v>
      </c>
      <c r="F543" s="120" t="s">
        <v>250</v>
      </c>
      <c r="G543" s="120" t="s">
        <v>250</v>
      </c>
      <c r="H543" s="120" t="s">
        <v>250</v>
      </c>
      <c r="I543" s="120" t="s">
        <v>250</v>
      </c>
      <c r="J543" s="120" t="s">
        <v>250</v>
      </c>
      <c r="K543" s="120" t="s">
        <v>250</v>
      </c>
      <c r="L543" s="120" t="s">
        <v>250</v>
      </c>
      <c r="M543" s="120" t="s">
        <v>250</v>
      </c>
      <c r="N543" s="120" t="s">
        <v>250</v>
      </c>
      <c r="O543" s="120" t="s">
        <v>250</v>
      </c>
      <c r="P543" s="120" t="s">
        <v>250</v>
      </c>
      <c r="Q543" s="120" t="s">
        <v>250</v>
      </c>
      <c r="R543" s="120"/>
      <c r="S543" s="121"/>
    </row>
    <row r="544" spans="1:19" ht="15">
      <c r="A544" s="105" t="s">
        <v>250</v>
      </c>
      <c r="B544" s="129" t="str">
        <f t="shared" si="17"/>
        <v/>
      </c>
      <c r="C544" s="107" t="s">
        <v>250</v>
      </c>
      <c r="D544" s="107" t="s">
        <v>250</v>
      </c>
      <c r="E544" s="120" t="s">
        <v>250</v>
      </c>
      <c r="F544" s="120" t="s">
        <v>250</v>
      </c>
      <c r="G544" s="120" t="s">
        <v>250</v>
      </c>
      <c r="H544" s="120" t="s">
        <v>250</v>
      </c>
      <c r="I544" s="120" t="s">
        <v>250</v>
      </c>
      <c r="J544" s="120" t="s">
        <v>250</v>
      </c>
      <c r="K544" s="120" t="s">
        <v>250</v>
      </c>
      <c r="L544" s="120" t="s">
        <v>250</v>
      </c>
      <c r="M544" s="120" t="s">
        <v>250</v>
      </c>
      <c r="N544" s="120" t="s">
        <v>250</v>
      </c>
      <c r="O544" s="120" t="s">
        <v>250</v>
      </c>
      <c r="P544" s="120" t="s">
        <v>250</v>
      </c>
      <c r="Q544" s="120" t="s">
        <v>250</v>
      </c>
      <c r="R544" s="120"/>
      <c r="S544" s="121"/>
    </row>
    <row r="545" spans="1:19" ht="15">
      <c r="A545" s="105" t="s">
        <v>250</v>
      </c>
      <c r="B545" s="129" t="str">
        <f t="shared" si="17"/>
        <v>ERA</v>
      </c>
      <c r="C545" s="107" t="s">
        <v>631</v>
      </c>
      <c r="D545" s="107" t="s">
        <v>250</v>
      </c>
      <c r="E545" s="120" t="s">
        <v>250</v>
      </c>
      <c r="F545" s="120" t="s">
        <v>250</v>
      </c>
      <c r="G545" s="120" t="s">
        <v>250</v>
      </c>
      <c r="H545" s="120" t="s">
        <v>250</v>
      </c>
      <c r="I545" s="120" t="s">
        <v>250</v>
      </c>
      <c r="J545" s="120" t="s">
        <v>250</v>
      </c>
      <c r="K545" s="120" t="s">
        <v>250</v>
      </c>
      <c r="L545" s="120" t="s">
        <v>250</v>
      </c>
      <c r="M545" s="120" t="s">
        <v>250</v>
      </c>
      <c r="N545" s="120" t="s">
        <v>250</v>
      </c>
      <c r="O545" s="120" t="s">
        <v>250</v>
      </c>
      <c r="P545" s="120" t="s">
        <v>250</v>
      </c>
      <c r="Q545" s="120" t="s">
        <v>250</v>
      </c>
      <c r="R545" s="120"/>
      <c r="S545" s="121"/>
    </row>
    <row r="546" spans="1:19" ht="15">
      <c r="A546" s="105" t="s">
        <v>250</v>
      </c>
      <c r="B546" s="129" t="str">
        <f t="shared" si="17"/>
        <v/>
      </c>
      <c r="C546" s="107" t="s">
        <v>250</v>
      </c>
      <c r="D546" s="107" t="s">
        <v>250</v>
      </c>
      <c r="E546" s="120" t="s">
        <v>250</v>
      </c>
      <c r="F546" s="120" t="s">
        <v>250</v>
      </c>
      <c r="G546" s="120" t="s">
        <v>250</v>
      </c>
      <c r="H546" s="120" t="s">
        <v>250</v>
      </c>
      <c r="I546" s="120" t="s">
        <v>250</v>
      </c>
      <c r="J546" s="120" t="s">
        <v>250</v>
      </c>
      <c r="K546" s="120" t="s">
        <v>250</v>
      </c>
      <c r="L546" s="120" t="s">
        <v>250</v>
      </c>
      <c r="M546" s="120" t="s">
        <v>250</v>
      </c>
      <c r="N546" s="120" t="s">
        <v>250</v>
      </c>
      <c r="O546" s="120" t="s">
        <v>250</v>
      </c>
      <c r="P546" s="120" t="s">
        <v>250</v>
      </c>
      <c r="Q546" s="120" t="s">
        <v>250</v>
      </c>
      <c r="R546" s="120"/>
      <c r="S546" s="121"/>
    </row>
    <row r="547" spans="1:19" ht="15">
      <c r="A547" s="105" t="s">
        <v>250</v>
      </c>
      <c r="B547" s="129" t="str">
        <f t="shared" si="17"/>
        <v>STO</v>
      </c>
      <c r="C547" s="107" t="s">
        <v>682</v>
      </c>
      <c r="D547" s="107" t="s">
        <v>250</v>
      </c>
      <c r="E547" s="120" t="s">
        <v>250</v>
      </c>
      <c r="F547" s="120" t="s">
        <v>250</v>
      </c>
      <c r="G547" s="120" t="s">
        <v>250</v>
      </c>
      <c r="H547" s="120" t="s">
        <v>250</v>
      </c>
      <c r="I547" s="120" t="s">
        <v>250</v>
      </c>
      <c r="J547" s="120" t="s">
        <v>250</v>
      </c>
      <c r="K547" s="120" t="s">
        <v>250</v>
      </c>
      <c r="L547" s="120" t="s">
        <v>250</v>
      </c>
      <c r="M547" s="120" t="s">
        <v>250</v>
      </c>
      <c r="N547" s="120" t="s">
        <v>250</v>
      </c>
      <c r="O547" s="120" t="s">
        <v>250</v>
      </c>
      <c r="P547" s="120" t="s">
        <v>250</v>
      </c>
      <c r="Q547" s="120" t="s">
        <v>250</v>
      </c>
      <c r="R547" s="120"/>
      <c r="S547" s="121"/>
    </row>
    <row r="548" spans="1:19" ht="15">
      <c r="A548" s="105">
        <v>1</v>
      </c>
      <c r="B548" s="129" t="str">
        <f t="shared" si="17"/>
        <v>901</v>
      </c>
      <c r="C548" s="107" t="s">
        <v>683</v>
      </c>
      <c r="D548" s="107" t="s">
        <v>684</v>
      </c>
      <c r="E548" s="120">
        <v>4454050.9999999991</v>
      </c>
      <c r="F548" s="120" t="s">
        <v>250</v>
      </c>
      <c r="G548" s="120">
        <v>4235756.5470156129</v>
      </c>
      <c r="H548" s="120" t="s">
        <v>250</v>
      </c>
      <c r="I548" s="120">
        <v>216499.6016350204</v>
      </c>
      <c r="J548" s="120">
        <v>1794.8513493663609</v>
      </c>
      <c r="K548" s="120" t="s">
        <v>250</v>
      </c>
      <c r="L548" s="120" t="s">
        <v>250</v>
      </c>
      <c r="M548" s="120">
        <v>0</v>
      </c>
      <c r="N548" s="120" t="s">
        <v>250</v>
      </c>
      <c r="O548" s="120">
        <v>1794.8513493663609</v>
      </c>
      <c r="P548" s="120">
        <v>717.94053974654435</v>
      </c>
      <c r="Q548" s="120">
        <v>1076.9108096198165</v>
      </c>
      <c r="R548" s="120"/>
      <c r="S548" s="121"/>
    </row>
    <row r="549" spans="1:19" ht="15">
      <c r="A549" s="105">
        <v>2</v>
      </c>
      <c r="B549" s="129" t="str">
        <f t="shared" si="17"/>
        <v>902</v>
      </c>
      <c r="C549" s="107" t="s">
        <v>685</v>
      </c>
      <c r="D549" s="107" t="s">
        <v>686</v>
      </c>
      <c r="E549" s="120">
        <v>10412449</v>
      </c>
      <c r="F549" s="120" t="s">
        <v>250</v>
      </c>
      <c r="G549" s="120">
        <v>9902131.5701630209</v>
      </c>
      <c r="H549" s="120" t="s">
        <v>250</v>
      </c>
      <c r="I549" s="120">
        <v>506121.51961101644</v>
      </c>
      <c r="J549" s="120">
        <v>4195.9102259624815</v>
      </c>
      <c r="K549" s="120" t="s">
        <v>250</v>
      </c>
      <c r="L549" s="120" t="s">
        <v>250</v>
      </c>
      <c r="M549" s="120">
        <v>0</v>
      </c>
      <c r="N549" s="120" t="s">
        <v>250</v>
      </c>
      <c r="O549" s="120">
        <v>4195.9102259624815</v>
      </c>
      <c r="P549" s="120">
        <v>1678.3640903849928</v>
      </c>
      <c r="Q549" s="120">
        <v>2517.5461355774892</v>
      </c>
      <c r="R549" s="120"/>
      <c r="S549" s="121"/>
    </row>
    <row r="550" spans="1:19" ht="15">
      <c r="A550" s="105">
        <v>3</v>
      </c>
      <c r="B550" s="129" t="str">
        <f t="shared" si="17"/>
        <v>903</v>
      </c>
      <c r="C550" s="107" t="s">
        <v>687</v>
      </c>
      <c r="D550" s="107" t="s">
        <v>688</v>
      </c>
      <c r="E550" s="120">
        <v>22595043.000000004</v>
      </c>
      <c r="F550" s="120" t="s">
        <v>250</v>
      </c>
      <c r="G550" s="120">
        <v>21487652.77212796</v>
      </c>
      <c r="H550" s="120" t="s">
        <v>250</v>
      </c>
      <c r="I550" s="120">
        <v>1098285.0911285384</v>
      </c>
      <c r="J550" s="120">
        <v>9105.1367435040484</v>
      </c>
      <c r="K550" s="120" t="s">
        <v>250</v>
      </c>
      <c r="L550" s="120" t="s">
        <v>250</v>
      </c>
      <c r="M550" s="120">
        <v>0</v>
      </c>
      <c r="N550" s="120" t="s">
        <v>250</v>
      </c>
      <c r="O550" s="120">
        <v>9105.1367435040484</v>
      </c>
      <c r="P550" s="120">
        <v>3642.0546974016197</v>
      </c>
      <c r="Q550" s="120">
        <v>5463.0820461024296</v>
      </c>
      <c r="R550" s="120"/>
      <c r="S550" s="121"/>
    </row>
    <row r="551" spans="1:19" ht="15">
      <c r="A551" s="105">
        <v>4</v>
      </c>
      <c r="B551" s="129" t="str">
        <f t="shared" si="17"/>
        <v>904</v>
      </c>
      <c r="C551" s="107" t="s">
        <v>689</v>
      </c>
      <c r="D551" s="107" t="s">
        <v>690</v>
      </c>
      <c r="E551" s="120">
        <v>4885488</v>
      </c>
      <c r="F551" s="120" t="s">
        <v>250</v>
      </c>
      <c r="G551" s="120">
        <v>4646048.6827308927</v>
      </c>
      <c r="H551" s="120" t="s">
        <v>250</v>
      </c>
      <c r="I551" s="120">
        <v>237470.60951764425</v>
      </c>
      <c r="J551" s="120">
        <v>1968.7077514633679</v>
      </c>
      <c r="K551" s="120" t="s">
        <v>250</v>
      </c>
      <c r="L551" s="120" t="s">
        <v>250</v>
      </c>
      <c r="M551" s="120">
        <v>0</v>
      </c>
      <c r="N551" s="120" t="s">
        <v>250</v>
      </c>
      <c r="O551" s="120">
        <v>1968.7077514633679</v>
      </c>
      <c r="P551" s="120">
        <v>787.48310058534719</v>
      </c>
      <c r="Q551" s="120">
        <v>1181.2246508780208</v>
      </c>
      <c r="R551" s="120"/>
      <c r="S551" s="121"/>
    </row>
    <row r="552" spans="1:19" ht="15">
      <c r="A552" s="105">
        <v>5</v>
      </c>
      <c r="B552" s="129" t="str">
        <f t="shared" si="17"/>
        <v>905</v>
      </c>
      <c r="C552" s="107" t="s">
        <v>691</v>
      </c>
      <c r="D552" s="107" t="s">
        <v>692</v>
      </c>
      <c r="E552" s="120">
        <v>174346</v>
      </c>
      <c r="F552" s="120" t="s">
        <v>250</v>
      </c>
      <c r="G552" s="120">
        <v>165801.2472120288</v>
      </c>
      <c r="H552" s="120" t="s">
        <v>250</v>
      </c>
      <c r="I552" s="120">
        <v>8474.4964857068935</v>
      </c>
      <c r="J552" s="120">
        <v>70.25630226430448</v>
      </c>
      <c r="K552" s="120" t="s">
        <v>250</v>
      </c>
      <c r="L552" s="120" t="s">
        <v>250</v>
      </c>
      <c r="M552" s="120">
        <v>0</v>
      </c>
      <c r="N552" s="120" t="s">
        <v>250</v>
      </c>
      <c r="O552" s="120">
        <v>70.25630226430448</v>
      </c>
      <c r="P552" s="120">
        <v>28.102520905721789</v>
      </c>
      <c r="Q552" s="120">
        <v>42.153781358582684</v>
      </c>
      <c r="R552" s="120"/>
      <c r="S552" s="121"/>
    </row>
    <row r="553" spans="1:19" ht="15">
      <c r="A553" s="105">
        <v>6</v>
      </c>
      <c r="B553" s="129" t="str">
        <f t="shared" si="17"/>
        <v>TAL</v>
      </c>
      <c r="C553" s="107" t="s">
        <v>693</v>
      </c>
      <c r="D553" s="107" t="s">
        <v>250</v>
      </c>
      <c r="E553" s="120">
        <v>42521377</v>
      </c>
      <c r="F553" s="120" t="s">
        <v>250</v>
      </c>
      <c r="G553" s="120">
        <v>40437390.819249511</v>
      </c>
      <c r="H553" s="120" t="s">
        <v>250</v>
      </c>
      <c r="I553" s="120">
        <v>2066851.3183779262</v>
      </c>
      <c r="J553" s="120">
        <v>17134.862372560565</v>
      </c>
      <c r="K553" s="120" t="s">
        <v>250</v>
      </c>
      <c r="L553" s="120" t="s">
        <v>250</v>
      </c>
      <c r="M553" s="120">
        <v>0</v>
      </c>
      <c r="N553" s="120" t="s">
        <v>250</v>
      </c>
      <c r="O553" s="120">
        <v>17134.862372560565</v>
      </c>
      <c r="P553" s="120">
        <v>6853.9449490242259</v>
      </c>
      <c r="Q553" s="120">
        <v>10280.917423536337</v>
      </c>
      <c r="R553" s="120"/>
      <c r="S553" s="121"/>
    </row>
    <row r="554" spans="1:19" ht="15">
      <c r="A554" s="105" t="s">
        <v>250</v>
      </c>
      <c r="B554" s="129" t="str">
        <f t="shared" si="17"/>
        <v/>
      </c>
      <c r="C554" s="107" t="s">
        <v>250</v>
      </c>
      <c r="D554" s="107" t="s">
        <v>250</v>
      </c>
      <c r="E554" s="120" t="s">
        <v>250</v>
      </c>
      <c r="F554" s="120" t="s">
        <v>250</v>
      </c>
      <c r="G554" s="120" t="s">
        <v>250</v>
      </c>
      <c r="H554" s="120" t="s">
        <v>250</v>
      </c>
      <c r="I554" s="120" t="s">
        <v>250</v>
      </c>
      <c r="J554" s="120" t="s">
        <v>250</v>
      </c>
      <c r="K554" s="120" t="s">
        <v>250</v>
      </c>
      <c r="L554" s="120" t="s">
        <v>250</v>
      </c>
      <c r="M554" s="120" t="s">
        <v>250</v>
      </c>
      <c r="N554" s="120" t="s">
        <v>250</v>
      </c>
      <c r="O554" s="120" t="s">
        <v>250</v>
      </c>
      <c r="P554" s="120" t="s">
        <v>250</v>
      </c>
      <c r="Q554" s="120" t="s">
        <v>250</v>
      </c>
      <c r="R554" s="120"/>
      <c r="S554" s="121"/>
    </row>
    <row r="555" spans="1:19" ht="15">
      <c r="A555" s="105" t="s">
        <v>250</v>
      </c>
      <c r="B555" s="129" t="str">
        <f t="shared" si="17"/>
        <v>STO</v>
      </c>
      <c r="C555" s="107" t="s">
        <v>694</v>
      </c>
      <c r="D555" s="107" t="s">
        <v>250</v>
      </c>
      <c r="E555" s="120" t="s">
        <v>250</v>
      </c>
      <c r="F555" s="120" t="s">
        <v>250</v>
      </c>
      <c r="G555" s="120" t="s">
        <v>250</v>
      </c>
      <c r="H555" s="120" t="s">
        <v>250</v>
      </c>
      <c r="I555" s="120" t="s">
        <v>250</v>
      </c>
      <c r="J555" s="120" t="s">
        <v>250</v>
      </c>
      <c r="K555" s="120" t="s">
        <v>250</v>
      </c>
      <c r="L555" s="120" t="s">
        <v>250</v>
      </c>
      <c r="M555" s="120" t="s">
        <v>250</v>
      </c>
      <c r="N555" s="120" t="s">
        <v>250</v>
      </c>
      <c r="O555" s="120" t="s">
        <v>250</v>
      </c>
      <c r="P555" s="120" t="s">
        <v>250</v>
      </c>
      <c r="Q555" s="120" t="s">
        <v>250</v>
      </c>
      <c r="R555" s="120"/>
      <c r="S555" s="121"/>
    </row>
    <row r="556" spans="1:19" ht="15">
      <c r="A556" s="105">
        <v>7</v>
      </c>
      <c r="B556" s="129" t="str">
        <f t="shared" si="17"/>
        <v>907</v>
      </c>
      <c r="C556" s="107" t="s">
        <v>695</v>
      </c>
      <c r="D556" s="107" t="s">
        <v>696</v>
      </c>
      <c r="E556" s="120">
        <v>373399.00000000006</v>
      </c>
      <c r="F556" s="120" t="s">
        <v>250</v>
      </c>
      <c r="G556" s="120">
        <v>368992.71016298229</v>
      </c>
      <c r="H556" s="120" t="s">
        <v>250</v>
      </c>
      <c r="I556" s="120">
        <v>4406.2898370177554</v>
      </c>
      <c r="J556" s="120">
        <v>0</v>
      </c>
      <c r="K556" s="120" t="s">
        <v>250</v>
      </c>
      <c r="L556" s="120" t="s">
        <v>250</v>
      </c>
      <c r="M556" s="120">
        <v>0</v>
      </c>
      <c r="N556" s="120" t="s">
        <v>250</v>
      </c>
      <c r="O556" s="120">
        <v>0</v>
      </c>
      <c r="P556" s="120">
        <v>0</v>
      </c>
      <c r="Q556" s="120">
        <v>0</v>
      </c>
      <c r="R556" s="120"/>
      <c r="S556" s="121"/>
    </row>
    <row r="557" spans="1:19" ht="15">
      <c r="A557" s="105">
        <v>8</v>
      </c>
      <c r="B557" s="129" t="str">
        <f t="shared" si="17"/>
        <v>908</v>
      </c>
      <c r="C557" s="107" t="s">
        <v>697</v>
      </c>
      <c r="D557" s="107" t="s">
        <v>698</v>
      </c>
      <c r="E557" s="120">
        <v>9171811</v>
      </c>
      <c r="F557" s="120" t="s">
        <v>250</v>
      </c>
      <c r="G557" s="120">
        <v>9171811</v>
      </c>
      <c r="H557" s="120" t="s">
        <v>250</v>
      </c>
      <c r="I557" s="120">
        <v>0</v>
      </c>
      <c r="J557" s="120">
        <v>0</v>
      </c>
      <c r="K557" s="120" t="s">
        <v>250</v>
      </c>
      <c r="L557" s="120" t="s">
        <v>250</v>
      </c>
      <c r="M557" s="120">
        <v>0</v>
      </c>
      <c r="N557" s="120" t="s">
        <v>250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9</v>
      </c>
      <c r="B558" s="129" t="str">
        <f t="shared" si="17"/>
        <v>909</v>
      </c>
      <c r="C558" s="107" t="s">
        <v>699</v>
      </c>
      <c r="D558" s="107" t="s">
        <v>700</v>
      </c>
      <c r="E558" s="120">
        <v>1788015</v>
      </c>
      <c r="F558" s="120" t="s">
        <v>250</v>
      </c>
      <c r="G558" s="120">
        <v>1698676.7771117373</v>
      </c>
      <c r="H558" s="120" t="s">
        <v>250</v>
      </c>
      <c r="I558" s="120">
        <v>89338.222888262797</v>
      </c>
      <c r="J558" s="120">
        <v>0</v>
      </c>
      <c r="K558" s="120" t="s">
        <v>250</v>
      </c>
      <c r="L558" s="120" t="s">
        <v>250</v>
      </c>
      <c r="M558" s="120">
        <v>0</v>
      </c>
      <c r="N558" s="120" t="s">
        <v>250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10</v>
      </c>
      <c r="B559" s="129" t="str">
        <f t="shared" si="17"/>
        <v>910</v>
      </c>
      <c r="C559" s="107" t="s">
        <v>701</v>
      </c>
      <c r="D559" s="107" t="s">
        <v>702</v>
      </c>
      <c r="E559" s="120">
        <v>1833884</v>
      </c>
      <c r="F559" s="120" t="s">
        <v>250</v>
      </c>
      <c r="G559" s="120">
        <v>1818935.2282272347</v>
      </c>
      <c r="H559" s="120" t="s">
        <v>250</v>
      </c>
      <c r="I559" s="120">
        <v>14948.771772765274</v>
      </c>
      <c r="J559" s="120">
        <v>0</v>
      </c>
      <c r="K559" s="120" t="s">
        <v>250</v>
      </c>
      <c r="L559" s="120" t="s">
        <v>250</v>
      </c>
      <c r="M559" s="120">
        <v>0</v>
      </c>
      <c r="N559" s="120" t="s">
        <v>250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11</v>
      </c>
      <c r="B560" s="129" t="str">
        <f t="shared" si="17"/>
        <v>TAL</v>
      </c>
      <c r="C560" s="107" t="s">
        <v>703</v>
      </c>
      <c r="D560" s="107" t="s">
        <v>250</v>
      </c>
      <c r="E560" s="120">
        <v>13167109</v>
      </c>
      <c r="F560" s="120" t="s">
        <v>250</v>
      </c>
      <c r="G560" s="120">
        <v>13058415.715501955</v>
      </c>
      <c r="H560" s="120" t="s">
        <v>250</v>
      </c>
      <c r="I560" s="120">
        <v>108693.28449804583</v>
      </c>
      <c r="J560" s="120">
        <v>0</v>
      </c>
      <c r="K560" s="120" t="s">
        <v>250</v>
      </c>
      <c r="L560" s="120" t="s">
        <v>250</v>
      </c>
      <c r="M560" s="120">
        <v>0</v>
      </c>
      <c r="N560" s="120" t="s">
        <v>250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 t="s">
        <v>250</v>
      </c>
      <c r="B561" s="129" t="str">
        <f t="shared" si="17"/>
        <v/>
      </c>
      <c r="C561" s="107" t="s">
        <v>250</v>
      </c>
      <c r="D561" s="107" t="s">
        <v>250</v>
      </c>
      <c r="E561" s="120" t="s">
        <v>250</v>
      </c>
      <c r="F561" s="120" t="s">
        <v>250</v>
      </c>
      <c r="G561" s="120" t="s">
        <v>250</v>
      </c>
      <c r="H561" s="120" t="s">
        <v>250</v>
      </c>
      <c r="I561" s="120" t="s">
        <v>250</v>
      </c>
      <c r="J561" s="120" t="s">
        <v>250</v>
      </c>
      <c r="K561" s="120" t="s">
        <v>250</v>
      </c>
      <c r="L561" s="120" t="s">
        <v>250</v>
      </c>
      <c r="M561" s="120" t="s">
        <v>250</v>
      </c>
      <c r="N561" s="120" t="s">
        <v>250</v>
      </c>
      <c r="O561" s="120" t="s">
        <v>250</v>
      </c>
      <c r="P561" s="120" t="s">
        <v>250</v>
      </c>
      <c r="Q561" s="120" t="s">
        <v>250</v>
      </c>
      <c r="R561" s="120"/>
      <c r="S561" s="121"/>
    </row>
    <row r="562" spans="1:19" ht="15">
      <c r="A562" s="105" t="s">
        <v>250</v>
      </c>
      <c r="B562" s="129" t="str">
        <f t="shared" si="17"/>
        <v>LES</v>
      </c>
      <c r="C562" s="107" t="s">
        <v>704</v>
      </c>
      <c r="D562" s="107" t="s">
        <v>250</v>
      </c>
      <c r="E562" s="120" t="s">
        <v>250</v>
      </c>
      <c r="F562" s="120" t="s">
        <v>250</v>
      </c>
      <c r="G562" s="120" t="s">
        <v>250</v>
      </c>
      <c r="H562" s="120" t="s">
        <v>250</v>
      </c>
      <c r="I562" s="120" t="s">
        <v>250</v>
      </c>
      <c r="J562" s="120" t="s">
        <v>250</v>
      </c>
      <c r="K562" s="120" t="s">
        <v>250</v>
      </c>
      <c r="L562" s="120" t="s">
        <v>250</v>
      </c>
      <c r="M562" s="120" t="s">
        <v>250</v>
      </c>
      <c r="N562" s="120" t="s">
        <v>250</v>
      </c>
      <c r="O562" s="120" t="s">
        <v>250</v>
      </c>
      <c r="P562" s="120" t="s">
        <v>250</v>
      </c>
      <c r="Q562" s="120" t="s">
        <v>250</v>
      </c>
      <c r="R562" s="120"/>
      <c r="S562" s="121"/>
    </row>
    <row r="563" spans="1:19" ht="15">
      <c r="A563" s="105">
        <v>12</v>
      </c>
      <c r="B563" s="129" t="str">
        <f t="shared" si="17"/>
        <v>911</v>
      </c>
      <c r="C563" s="107" t="s">
        <v>705</v>
      </c>
      <c r="D563" s="107" t="s">
        <v>696</v>
      </c>
      <c r="E563" s="120">
        <v>0</v>
      </c>
      <c r="F563" s="120" t="s">
        <v>250</v>
      </c>
      <c r="G563" s="120">
        <v>0</v>
      </c>
      <c r="H563" s="120" t="s">
        <v>250</v>
      </c>
      <c r="I563" s="120">
        <v>0</v>
      </c>
      <c r="J563" s="120">
        <v>0</v>
      </c>
      <c r="K563" s="120" t="s">
        <v>250</v>
      </c>
      <c r="L563" s="120" t="s">
        <v>250</v>
      </c>
      <c r="M563" s="120">
        <v>0</v>
      </c>
      <c r="N563" s="120" t="s">
        <v>250</v>
      </c>
      <c r="O563" s="120">
        <v>0</v>
      </c>
      <c r="P563" s="120">
        <v>0</v>
      </c>
      <c r="Q563" s="120">
        <v>0</v>
      </c>
      <c r="R563" s="120"/>
      <c r="S563" s="121"/>
    </row>
    <row r="564" spans="1:19" ht="15">
      <c r="A564" s="105">
        <v>13</v>
      </c>
      <c r="B564" s="129" t="str">
        <f t="shared" si="17"/>
        <v>912</v>
      </c>
      <c r="C564" s="107" t="s">
        <v>706</v>
      </c>
      <c r="D564" s="107" t="s">
        <v>707</v>
      </c>
      <c r="E564" s="120">
        <v>128000.00000000001</v>
      </c>
      <c r="F564" s="120" t="s">
        <v>250</v>
      </c>
      <c r="G564" s="120">
        <v>121604.47617626384</v>
      </c>
      <c r="H564" s="120" t="s">
        <v>250</v>
      </c>
      <c r="I564" s="120">
        <v>6395.5238237361764</v>
      </c>
      <c r="J564" s="120">
        <v>0</v>
      </c>
      <c r="K564" s="120" t="s">
        <v>250</v>
      </c>
      <c r="L564" s="120" t="s">
        <v>250</v>
      </c>
      <c r="M564" s="120">
        <v>0</v>
      </c>
      <c r="N564" s="120" t="s">
        <v>250</v>
      </c>
      <c r="O564" s="120">
        <v>0</v>
      </c>
      <c r="P564" s="120">
        <v>0</v>
      </c>
      <c r="Q564" s="120">
        <v>0</v>
      </c>
      <c r="R564" s="120"/>
      <c r="S564" s="121"/>
    </row>
    <row r="565" spans="1:19" ht="15">
      <c r="A565" s="105">
        <v>14</v>
      </c>
      <c r="B565" s="129" t="str">
        <f t="shared" si="17"/>
        <v>913</v>
      </c>
      <c r="C565" s="107" t="s">
        <v>708</v>
      </c>
      <c r="D565" s="107" t="s">
        <v>709</v>
      </c>
      <c r="E565" s="120">
        <v>1095256</v>
      </c>
      <c r="F565" s="120" t="s">
        <v>250</v>
      </c>
      <c r="G565" s="120">
        <v>1040531.5012414845</v>
      </c>
      <c r="H565" s="120" t="s">
        <v>250</v>
      </c>
      <c r="I565" s="120">
        <v>54724.49875851554</v>
      </c>
      <c r="J565" s="120">
        <v>0</v>
      </c>
      <c r="K565" s="120" t="s">
        <v>250</v>
      </c>
      <c r="L565" s="120" t="s">
        <v>250</v>
      </c>
      <c r="M565" s="120">
        <v>0</v>
      </c>
      <c r="N565" s="120" t="s">
        <v>250</v>
      </c>
      <c r="O565" s="120">
        <v>0</v>
      </c>
      <c r="P565" s="120">
        <v>0</v>
      </c>
      <c r="Q565" s="120">
        <v>0</v>
      </c>
      <c r="R565" s="120"/>
      <c r="S565" s="121"/>
    </row>
    <row r="566" spans="1:19" ht="15">
      <c r="A566" s="105">
        <v>15</v>
      </c>
      <c r="B566" s="129" t="str">
        <f t="shared" si="17"/>
        <v>916</v>
      </c>
      <c r="C566" s="107" t="s">
        <v>710</v>
      </c>
      <c r="D566" s="107" t="s">
        <v>711</v>
      </c>
      <c r="E566" s="120">
        <v>0</v>
      </c>
      <c r="F566" s="120" t="s">
        <v>250</v>
      </c>
      <c r="G566" s="120">
        <v>0</v>
      </c>
      <c r="H566" s="120" t="s">
        <v>250</v>
      </c>
      <c r="I566" s="120">
        <v>0</v>
      </c>
      <c r="J566" s="120">
        <v>0</v>
      </c>
      <c r="K566" s="120" t="s">
        <v>250</v>
      </c>
      <c r="L566" s="120" t="s">
        <v>250</v>
      </c>
      <c r="M566" s="120">
        <v>0</v>
      </c>
      <c r="N566" s="120" t="s">
        <v>250</v>
      </c>
      <c r="O566" s="120">
        <v>0</v>
      </c>
      <c r="P566" s="120">
        <v>0</v>
      </c>
      <c r="Q566" s="120">
        <v>0</v>
      </c>
      <c r="R566" s="120"/>
      <c r="S566" s="121"/>
    </row>
    <row r="567" spans="1:19" ht="15">
      <c r="A567" s="105">
        <v>16</v>
      </c>
      <c r="B567" s="129" t="str">
        <f t="shared" si="17"/>
        <v>TAL</v>
      </c>
      <c r="C567" s="107" t="s">
        <v>712</v>
      </c>
      <c r="D567" s="107" t="s">
        <v>250</v>
      </c>
      <c r="E567" s="120">
        <v>1223256.0000000002</v>
      </c>
      <c r="F567" s="120" t="s">
        <v>250</v>
      </c>
      <c r="G567" s="120">
        <v>1162135.9774177484</v>
      </c>
      <c r="H567" s="120" t="s">
        <v>250</v>
      </c>
      <c r="I567" s="120">
        <v>61120.022582251717</v>
      </c>
      <c r="J567" s="120">
        <v>0</v>
      </c>
      <c r="K567" s="120" t="s">
        <v>250</v>
      </c>
      <c r="L567" s="120" t="s">
        <v>250</v>
      </c>
      <c r="M567" s="120">
        <v>0</v>
      </c>
      <c r="N567" s="120" t="s">
        <v>250</v>
      </c>
      <c r="O567" s="120">
        <v>0</v>
      </c>
      <c r="P567" s="120">
        <v>0</v>
      </c>
      <c r="Q567" s="120">
        <v>0</v>
      </c>
      <c r="R567" s="120"/>
      <c r="S567" s="121"/>
    </row>
    <row r="568" spans="1:19" ht="15">
      <c r="A568" s="105" t="s">
        <v>250</v>
      </c>
      <c r="B568" s="129" t="str">
        <f t="shared" si="17"/>
        <v/>
      </c>
      <c r="C568" s="107" t="s">
        <v>250</v>
      </c>
      <c r="D568" s="107" t="s">
        <v>250</v>
      </c>
      <c r="E568" s="120" t="s">
        <v>250</v>
      </c>
      <c r="F568" s="120" t="s">
        <v>250</v>
      </c>
      <c r="G568" s="120" t="s">
        <v>250</v>
      </c>
      <c r="H568" s="120" t="s">
        <v>250</v>
      </c>
      <c r="I568" s="120" t="s">
        <v>250</v>
      </c>
      <c r="J568" s="120" t="s">
        <v>250</v>
      </c>
      <c r="K568" s="120" t="s">
        <v>250</v>
      </c>
      <c r="L568" s="120" t="s">
        <v>250</v>
      </c>
      <c r="M568" s="120" t="s">
        <v>250</v>
      </c>
      <c r="N568" s="120" t="s">
        <v>250</v>
      </c>
      <c r="O568" s="120" t="s">
        <v>250</v>
      </c>
      <c r="P568" s="120" t="s">
        <v>250</v>
      </c>
      <c r="Q568" s="120" t="s">
        <v>250</v>
      </c>
      <c r="R568" s="120"/>
      <c r="S568" s="121"/>
    </row>
    <row r="569" spans="1:19" ht="15">
      <c r="A569" s="105" t="s">
        <v>250</v>
      </c>
      <c r="B569" s="129" t="str">
        <f t="shared" si="17"/>
        <v>MIN</v>
      </c>
      <c r="C569" s="107" t="s">
        <v>713</v>
      </c>
      <c r="D569" s="107" t="s">
        <v>250</v>
      </c>
      <c r="E569" s="120" t="s">
        <v>250</v>
      </c>
      <c r="F569" s="120" t="s">
        <v>250</v>
      </c>
      <c r="G569" s="120" t="s">
        <v>250</v>
      </c>
      <c r="H569" s="120" t="s">
        <v>250</v>
      </c>
      <c r="I569" s="120" t="s">
        <v>250</v>
      </c>
      <c r="J569" s="120" t="s">
        <v>250</v>
      </c>
      <c r="K569" s="120" t="s">
        <v>250</v>
      </c>
      <c r="L569" s="120" t="s">
        <v>250</v>
      </c>
      <c r="M569" s="120" t="s">
        <v>250</v>
      </c>
      <c r="N569" s="120" t="s">
        <v>250</v>
      </c>
      <c r="O569" s="120" t="s">
        <v>250</v>
      </c>
      <c r="P569" s="120" t="s">
        <v>250</v>
      </c>
      <c r="Q569" s="120" t="s">
        <v>250</v>
      </c>
      <c r="R569" s="120"/>
      <c r="S569" s="121"/>
    </row>
    <row r="570" spans="1:19" ht="15">
      <c r="A570" s="105" t="s">
        <v>250</v>
      </c>
      <c r="B570" s="129" t="str">
        <f t="shared" si="17"/>
        <v/>
      </c>
      <c r="C570" s="107" t="s">
        <v>250</v>
      </c>
      <c r="D570" s="107" t="s">
        <v>250</v>
      </c>
      <c r="E570" s="120" t="s">
        <v>250</v>
      </c>
      <c r="F570" s="120" t="s">
        <v>250</v>
      </c>
      <c r="G570" s="120" t="s">
        <v>250</v>
      </c>
      <c r="H570" s="120" t="s">
        <v>250</v>
      </c>
      <c r="I570" s="120" t="s">
        <v>250</v>
      </c>
      <c r="J570" s="120" t="s">
        <v>250</v>
      </c>
      <c r="K570" s="120" t="s">
        <v>250</v>
      </c>
      <c r="L570" s="120" t="s">
        <v>250</v>
      </c>
      <c r="M570" s="120" t="s">
        <v>250</v>
      </c>
      <c r="N570" s="120" t="s">
        <v>250</v>
      </c>
      <c r="O570" s="120" t="s">
        <v>250</v>
      </c>
      <c r="P570" s="120" t="s">
        <v>250</v>
      </c>
      <c r="Q570" s="120" t="s">
        <v>250</v>
      </c>
      <c r="R570" s="120"/>
      <c r="S570" s="121"/>
    </row>
    <row r="571" spans="1:19" ht="15">
      <c r="A571" s="105" t="s">
        <v>250</v>
      </c>
      <c r="B571" s="129" t="str">
        <f t="shared" si="17"/>
        <v>LAN</v>
      </c>
      <c r="C571" s="107" t="s">
        <v>714</v>
      </c>
      <c r="D571" s="107" t="s">
        <v>250</v>
      </c>
      <c r="E571" s="120" t="s">
        <v>250</v>
      </c>
      <c r="F571" s="120" t="s">
        <v>250</v>
      </c>
      <c r="G571" s="120" t="s">
        <v>250</v>
      </c>
      <c r="H571" s="120" t="s">
        <v>250</v>
      </c>
      <c r="I571" s="120" t="s">
        <v>250</v>
      </c>
      <c r="J571" s="120" t="s">
        <v>250</v>
      </c>
      <c r="K571" s="120" t="s">
        <v>250</v>
      </c>
      <c r="L571" s="120" t="s">
        <v>250</v>
      </c>
      <c r="M571" s="120" t="s">
        <v>250</v>
      </c>
      <c r="N571" s="120" t="s">
        <v>250</v>
      </c>
      <c r="O571" s="120" t="s">
        <v>250</v>
      </c>
      <c r="P571" s="120" t="s">
        <v>250</v>
      </c>
      <c r="Q571" s="120" t="s">
        <v>250</v>
      </c>
      <c r="R571" s="120"/>
      <c r="S571" s="121"/>
    </row>
    <row r="572" spans="1:19" ht="15">
      <c r="A572" s="105">
        <v>17</v>
      </c>
      <c r="B572" s="129" t="str">
        <f t="shared" si="17"/>
        <v>924</v>
      </c>
      <c r="C572" s="107" t="s">
        <v>715</v>
      </c>
      <c r="D572" s="107" t="s">
        <v>716</v>
      </c>
      <c r="E572" s="120">
        <v>9336253.9999999907</v>
      </c>
      <c r="F572" s="120" t="s">
        <v>250</v>
      </c>
      <c r="G572" s="120">
        <v>8726372.4397639167</v>
      </c>
      <c r="H572" s="120" t="s">
        <v>250</v>
      </c>
      <c r="I572" s="120">
        <v>486702.59322846145</v>
      </c>
      <c r="J572" s="120">
        <v>123178.96700761351</v>
      </c>
      <c r="K572" s="120" t="s">
        <v>250</v>
      </c>
      <c r="L572" s="120" t="s">
        <v>250</v>
      </c>
      <c r="M572" s="120">
        <v>0</v>
      </c>
      <c r="N572" s="120" t="s">
        <v>250</v>
      </c>
      <c r="O572" s="120">
        <v>123178.96700761351</v>
      </c>
      <c r="P572" s="120">
        <v>64452.28444742514</v>
      </c>
      <c r="Q572" s="120">
        <v>58726.682560188376</v>
      </c>
      <c r="R572" s="120"/>
      <c r="S572" s="121"/>
    </row>
    <row r="573" spans="1:19" ht="15">
      <c r="A573" s="105">
        <v>18</v>
      </c>
      <c r="B573" s="129" t="str">
        <f t="shared" si="17"/>
        <v xml:space="preserve">   </v>
      </c>
      <c r="C573" s="107" t="s">
        <v>717</v>
      </c>
      <c r="D573" s="107" t="s">
        <v>250</v>
      </c>
      <c r="E573" s="120">
        <v>9336253.9999999907</v>
      </c>
      <c r="F573" s="120" t="s">
        <v>250</v>
      </c>
      <c r="G573" s="120">
        <v>8726372.4397639167</v>
      </c>
      <c r="H573" s="120" t="s">
        <v>250</v>
      </c>
      <c r="I573" s="120">
        <v>486702.59322846145</v>
      </c>
      <c r="J573" s="120">
        <v>123178.96700761351</v>
      </c>
      <c r="K573" s="120" t="s">
        <v>250</v>
      </c>
      <c r="L573" s="120" t="s">
        <v>250</v>
      </c>
      <c r="M573" s="120">
        <v>0</v>
      </c>
      <c r="N573" s="120" t="s">
        <v>250</v>
      </c>
      <c r="O573" s="120">
        <v>123178.96700761351</v>
      </c>
      <c r="P573" s="120">
        <v>64452.28444742514</v>
      </c>
      <c r="Q573" s="120">
        <v>58726.682560188376</v>
      </c>
      <c r="R573" s="120"/>
      <c r="S573" s="121"/>
    </row>
    <row r="574" spans="1:19" ht="15">
      <c r="A574" s="105" t="s">
        <v>250</v>
      </c>
      <c r="B574" s="129" t="str">
        <f t="shared" si="17"/>
        <v/>
      </c>
      <c r="C574" s="107" t="s">
        <v>250</v>
      </c>
      <c r="D574" s="107" t="s">
        <v>250</v>
      </c>
      <c r="E574" s="120" t="s">
        <v>250</v>
      </c>
      <c r="F574" s="120" t="s">
        <v>250</v>
      </c>
      <c r="G574" s="120" t="s">
        <v>250</v>
      </c>
      <c r="H574" s="120" t="s">
        <v>250</v>
      </c>
      <c r="I574" s="120" t="s">
        <v>250</v>
      </c>
      <c r="J574" s="120" t="s">
        <v>250</v>
      </c>
      <c r="K574" s="120" t="s">
        <v>250</v>
      </c>
      <c r="L574" s="120" t="s">
        <v>250</v>
      </c>
      <c r="M574" s="120" t="s">
        <v>250</v>
      </c>
      <c r="N574" s="120" t="s">
        <v>250</v>
      </c>
      <c r="O574" s="120" t="s">
        <v>250</v>
      </c>
      <c r="P574" s="120" t="s">
        <v>250</v>
      </c>
      <c r="Q574" s="120" t="s">
        <v>250</v>
      </c>
      <c r="R574" s="120"/>
      <c r="S574" s="121"/>
    </row>
    <row r="575" spans="1:19" ht="15">
      <c r="A575" s="105" t="s">
        <v>250</v>
      </c>
      <c r="B575" s="129" t="str">
        <f t="shared" si="17"/>
        <v>ABO</v>
      </c>
      <c r="C575" s="107" t="s">
        <v>718</v>
      </c>
      <c r="D575" s="107" t="s">
        <v>250</v>
      </c>
      <c r="E575" s="120" t="s">
        <v>250</v>
      </c>
      <c r="F575" s="120" t="s">
        <v>250</v>
      </c>
      <c r="G575" s="120" t="s">
        <v>250</v>
      </c>
      <c r="H575" s="120" t="s">
        <v>250</v>
      </c>
      <c r="I575" s="120" t="s">
        <v>250</v>
      </c>
      <c r="J575" s="120" t="s">
        <v>250</v>
      </c>
      <c r="K575" s="120" t="s">
        <v>250</v>
      </c>
      <c r="L575" s="120" t="s">
        <v>250</v>
      </c>
      <c r="M575" s="120" t="s">
        <v>250</v>
      </c>
      <c r="N575" s="120" t="s">
        <v>250</v>
      </c>
      <c r="O575" s="120" t="s">
        <v>250</v>
      </c>
      <c r="P575" s="120" t="s">
        <v>250</v>
      </c>
      <c r="Q575" s="120" t="s">
        <v>250</v>
      </c>
      <c r="R575" s="120"/>
      <c r="S575" s="121"/>
    </row>
    <row r="576" spans="1:19" ht="15">
      <c r="A576" s="105">
        <v>19</v>
      </c>
      <c r="B576" s="129" t="str">
        <f t="shared" si="17"/>
        <v>920</v>
      </c>
      <c r="C576" s="107" t="s">
        <v>719</v>
      </c>
      <c r="D576" s="107" t="s">
        <v>418</v>
      </c>
      <c r="E576" s="120">
        <v>35051943.999999896</v>
      </c>
      <c r="F576" s="120" t="s">
        <v>250</v>
      </c>
      <c r="G576" s="120">
        <v>32982893.605440881</v>
      </c>
      <c r="H576" s="120" t="s">
        <v>250</v>
      </c>
      <c r="I576" s="120">
        <v>1667662.4454294357</v>
      </c>
      <c r="J576" s="120">
        <v>401387.94912958279</v>
      </c>
      <c r="K576" s="120" t="s">
        <v>250</v>
      </c>
      <c r="L576" s="120" t="s">
        <v>250</v>
      </c>
      <c r="M576" s="120">
        <v>0</v>
      </c>
      <c r="N576" s="120" t="s">
        <v>250</v>
      </c>
      <c r="O576" s="120">
        <v>401387.94912958279</v>
      </c>
      <c r="P576" s="120">
        <v>209288.37791047897</v>
      </c>
      <c r="Q576" s="120">
        <v>192099.57121910382</v>
      </c>
      <c r="R576" s="120"/>
      <c r="S576" s="121"/>
    </row>
    <row r="577" spans="1:19" ht="15">
      <c r="A577" s="105">
        <v>20</v>
      </c>
      <c r="B577" s="129" t="str">
        <f t="shared" si="17"/>
        <v>921</v>
      </c>
      <c r="C577" s="107" t="s">
        <v>720</v>
      </c>
      <c r="D577" s="107" t="s">
        <v>418</v>
      </c>
      <c r="E577" s="120">
        <v>10953868</v>
      </c>
      <c r="F577" s="120" t="s">
        <v>250</v>
      </c>
      <c r="G577" s="120">
        <v>10307281.753389899</v>
      </c>
      <c r="H577" s="120" t="s">
        <v>250</v>
      </c>
      <c r="I577" s="120">
        <v>521150.96086514613</v>
      </c>
      <c r="J577" s="120">
        <v>125435.28574495546</v>
      </c>
      <c r="K577" s="120" t="s">
        <v>250</v>
      </c>
      <c r="L577" s="120" t="s">
        <v>250</v>
      </c>
      <c r="M577" s="120">
        <v>0</v>
      </c>
      <c r="N577" s="120" t="s">
        <v>250</v>
      </c>
      <c r="O577" s="120">
        <v>125435.28574495546</v>
      </c>
      <c r="P577" s="120">
        <v>65403.427141316584</v>
      </c>
      <c r="Q577" s="120">
        <v>60031.858603638873</v>
      </c>
      <c r="R577" s="120"/>
      <c r="S577" s="121"/>
    </row>
    <row r="578" spans="1:19" ht="15">
      <c r="A578" s="105">
        <v>21</v>
      </c>
      <c r="B578" s="129" t="str">
        <f t="shared" si="17"/>
        <v>922</v>
      </c>
      <c r="C578" s="107" t="s">
        <v>721</v>
      </c>
      <c r="D578" s="107" t="s">
        <v>418</v>
      </c>
      <c r="E578" s="120">
        <v>-6601177</v>
      </c>
      <c r="F578" s="120" t="s">
        <v>250</v>
      </c>
      <c r="G578" s="120">
        <v>-6211521.924766399</v>
      </c>
      <c r="H578" s="120" t="s">
        <v>250</v>
      </c>
      <c r="I578" s="120">
        <v>-314063.46474057407</v>
      </c>
      <c r="J578" s="120">
        <v>-75591.610493026557</v>
      </c>
      <c r="K578" s="120" t="s">
        <v>250</v>
      </c>
      <c r="L578" s="120" t="s">
        <v>250</v>
      </c>
      <c r="M578" s="120">
        <v>0</v>
      </c>
      <c r="N578" s="120" t="s">
        <v>250</v>
      </c>
      <c r="O578" s="120">
        <v>-75591.610493026557</v>
      </c>
      <c r="P578" s="120">
        <v>-39414.351073651313</v>
      </c>
      <c r="Q578" s="120">
        <v>-36177.259419375245</v>
      </c>
      <c r="R578" s="120"/>
      <c r="S578" s="121"/>
    </row>
    <row r="579" spans="1:19" ht="15">
      <c r="A579" s="105">
        <v>22</v>
      </c>
      <c r="B579" s="129" t="str">
        <f t="shared" si="17"/>
        <v>923</v>
      </c>
      <c r="C579" s="107" t="s">
        <v>722</v>
      </c>
      <c r="D579" s="107" t="s">
        <v>418</v>
      </c>
      <c r="E579" s="120">
        <v>22671063</v>
      </c>
      <c r="F579" s="120" t="s">
        <v>250</v>
      </c>
      <c r="G579" s="120">
        <v>21332832.748199344</v>
      </c>
      <c r="H579" s="120" t="s">
        <v>250</v>
      </c>
      <c r="I579" s="120">
        <v>1078618.6456039329</v>
      </c>
      <c r="J579" s="120">
        <v>259611.60619672312</v>
      </c>
      <c r="K579" s="120" t="s">
        <v>250</v>
      </c>
      <c r="L579" s="120" t="s">
        <v>250</v>
      </c>
      <c r="M579" s="120">
        <v>0</v>
      </c>
      <c r="N579" s="120" t="s">
        <v>250</v>
      </c>
      <c r="O579" s="120">
        <v>259611.60619672312</v>
      </c>
      <c r="P579" s="120">
        <v>135364.53215765409</v>
      </c>
      <c r="Q579" s="120">
        <v>124247.07403906902</v>
      </c>
      <c r="R579" s="120"/>
      <c r="S579" s="121"/>
    </row>
    <row r="580" spans="1:19" ht="15">
      <c r="A580" s="105">
        <v>23</v>
      </c>
      <c r="B580" s="129" t="str">
        <f t="shared" si="17"/>
        <v>925</v>
      </c>
      <c r="C580" s="107" t="s">
        <v>723</v>
      </c>
      <c r="D580" s="107" t="s">
        <v>418</v>
      </c>
      <c r="E580" s="120">
        <v>5077359</v>
      </c>
      <c r="F580" s="120" t="s">
        <v>250</v>
      </c>
      <c r="G580" s="120">
        <v>4777652.0381759191</v>
      </c>
      <c r="H580" s="120" t="s">
        <v>250</v>
      </c>
      <c r="I580" s="120">
        <v>241564.94505021398</v>
      </c>
      <c r="J580" s="120">
        <v>58142.016773866664</v>
      </c>
      <c r="K580" s="120" t="s">
        <v>250</v>
      </c>
      <c r="L580" s="120" t="s">
        <v>250</v>
      </c>
      <c r="M580" s="120">
        <v>0</v>
      </c>
      <c r="N580" s="120" t="s">
        <v>250</v>
      </c>
      <c r="O580" s="120">
        <v>58142.016773866664</v>
      </c>
      <c r="P580" s="120">
        <v>30315.928531073045</v>
      </c>
      <c r="Q580" s="120">
        <v>27826.088242793619</v>
      </c>
      <c r="R580" s="120"/>
      <c r="S580" s="121"/>
    </row>
    <row r="581" spans="1:19" ht="15">
      <c r="A581" s="105">
        <v>24</v>
      </c>
      <c r="B581" s="129" t="str">
        <f t="shared" si="17"/>
        <v>926</v>
      </c>
      <c r="C581" s="107" t="s">
        <v>724</v>
      </c>
      <c r="D581" s="107" t="s">
        <v>418</v>
      </c>
      <c r="E581" s="120">
        <v>33447776.999999996</v>
      </c>
      <c r="F581" s="120" t="s">
        <v>250</v>
      </c>
      <c r="G581" s="120">
        <v>31473417.569351237</v>
      </c>
      <c r="H581" s="120" t="s">
        <v>250</v>
      </c>
      <c r="I581" s="120">
        <v>1591341.1702928257</v>
      </c>
      <c r="J581" s="120">
        <v>383018.26035593532</v>
      </c>
      <c r="K581" s="120" t="s">
        <v>250</v>
      </c>
      <c r="L581" s="120" t="s">
        <v>250</v>
      </c>
      <c r="M581" s="120">
        <v>0</v>
      </c>
      <c r="N581" s="120" t="s">
        <v>250</v>
      </c>
      <c r="O581" s="120">
        <v>383018.26035593532</v>
      </c>
      <c r="P581" s="120">
        <v>199710.2070299281</v>
      </c>
      <c r="Q581" s="120">
        <v>183308.05332600724</v>
      </c>
      <c r="R581" s="120"/>
      <c r="S581" s="121"/>
    </row>
    <row r="582" spans="1:19" ht="15">
      <c r="A582" s="105">
        <v>25</v>
      </c>
      <c r="B582" s="129" t="str">
        <f t="shared" si="17"/>
        <v>926</v>
      </c>
      <c r="C582" s="107" t="s">
        <v>2225</v>
      </c>
      <c r="D582" s="107" t="s">
        <v>732</v>
      </c>
      <c r="E582" s="120">
        <v>0</v>
      </c>
      <c r="F582" s="120" t="s">
        <v>250</v>
      </c>
      <c r="G582" s="120">
        <v>0</v>
      </c>
      <c r="H582" s="120" t="s">
        <v>250</v>
      </c>
      <c r="I582" s="120">
        <v>0</v>
      </c>
      <c r="J582" s="120">
        <v>0</v>
      </c>
      <c r="K582" s="120" t="s">
        <v>250</v>
      </c>
      <c r="L582" s="120" t="s">
        <v>250</v>
      </c>
      <c r="M582" s="120">
        <v>0</v>
      </c>
      <c r="N582" s="120" t="s">
        <v>250</v>
      </c>
      <c r="O582" s="120">
        <v>0</v>
      </c>
      <c r="P582" s="120">
        <v>0</v>
      </c>
      <c r="Q582" s="120">
        <v>0</v>
      </c>
      <c r="R582" s="120"/>
      <c r="S582" s="121"/>
    </row>
    <row r="583" spans="1:19" ht="15">
      <c r="A583" s="105">
        <v>26</v>
      </c>
      <c r="B583" s="129" t="str">
        <f t="shared" si="17"/>
        <v>926</v>
      </c>
      <c r="C583" s="107" t="s">
        <v>2226</v>
      </c>
      <c r="D583" s="107" t="s">
        <v>732</v>
      </c>
      <c r="E583" s="120">
        <v>170006.27363436497</v>
      </c>
      <c r="F583" s="120" t="s">
        <v>250</v>
      </c>
      <c r="G583" s="120">
        <v>0</v>
      </c>
      <c r="H583" s="120" t="s">
        <v>250</v>
      </c>
      <c r="I583" s="120">
        <v>170006.27363436497</v>
      </c>
      <c r="J583" s="120">
        <v>0</v>
      </c>
      <c r="K583" s="120" t="s">
        <v>250</v>
      </c>
      <c r="L583" s="120" t="s">
        <v>250</v>
      </c>
      <c r="M583" s="120">
        <v>0</v>
      </c>
      <c r="N583" s="120" t="s">
        <v>250</v>
      </c>
      <c r="O583" s="120">
        <v>0</v>
      </c>
      <c r="P583" s="120">
        <v>0</v>
      </c>
      <c r="Q583" s="120">
        <v>0</v>
      </c>
      <c r="R583" s="120"/>
      <c r="S583" s="121"/>
    </row>
    <row r="584" spans="1:19" ht="15">
      <c r="A584" s="105">
        <v>27</v>
      </c>
      <c r="B584" s="129" t="str">
        <f t="shared" si="17"/>
        <v>926</v>
      </c>
      <c r="C584" s="107" t="s">
        <v>3692</v>
      </c>
      <c r="D584" s="107" t="s">
        <v>732</v>
      </c>
      <c r="E584" s="120">
        <v>0</v>
      </c>
      <c r="F584" s="120" t="s">
        <v>250</v>
      </c>
      <c r="G584" s="120">
        <v>0</v>
      </c>
      <c r="H584" s="120" t="s">
        <v>250</v>
      </c>
      <c r="I584" s="120">
        <v>0</v>
      </c>
      <c r="J584" s="120">
        <v>0</v>
      </c>
      <c r="K584" s="120" t="s">
        <v>250</v>
      </c>
      <c r="L584" s="120" t="s">
        <v>250</v>
      </c>
      <c r="M584" s="120">
        <v>0</v>
      </c>
      <c r="N584" s="120" t="s">
        <v>250</v>
      </c>
      <c r="O584" s="120">
        <v>0</v>
      </c>
      <c r="P584" s="120">
        <v>0</v>
      </c>
      <c r="Q584" s="120">
        <v>0</v>
      </c>
      <c r="R584" s="120"/>
      <c r="S584" s="121"/>
    </row>
    <row r="585" spans="1:19" ht="15">
      <c r="A585" s="105">
        <v>28</v>
      </c>
      <c r="B585" s="129" t="str">
        <f t="shared" si="17"/>
        <v>926</v>
      </c>
      <c r="C585" s="107" t="s">
        <v>2227</v>
      </c>
      <c r="D585" s="107" t="s">
        <v>732</v>
      </c>
      <c r="E585" s="120">
        <v>41981.726365635055</v>
      </c>
      <c r="F585" s="120" t="s">
        <v>250</v>
      </c>
      <c r="G585" s="120">
        <v>0</v>
      </c>
      <c r="H585" s="120" t="s">
        <v>250</v>
      </c>
      <c r="I585" s="120">
        <v>0</v>
      </c>
      <c r="J585" s="120">
        <v>41981.726365635055</v>
      </c>
      <c r="K585" s="120" t="s">
        <v>250</v>
      </c>
      <c r="L585" s="120" t="s">
        <v>250</v>
      </c>
      <c r="M585" s="120">
        <v>0</v>
      </c>
      <c r="N585" s="120" t="s">
        <v>250</v>
      </c>
      <c r="O585" s="120">
        <v>41981.726365635055</v>
      </c>
      <c r="P585" s="120">
        <v>21889.763835707014</v>
      </c>
      <c r="Q585" s="120">
        <v>20091.962529928038</v>
      </c>
      <c r="R585" s="120"/>
      <c r="S585" s="121"/>
    </row>
    <row r="586" spans="1:19" ht="15">
      <c r="A586" s="105">
        <v>29</v>
      </c>
      <c r="B586" s="129" t="str">
        <f t="shared" si="17"/>
        <v>930</v>
      </c>
      <c r="C586" s="107" t="s">
        <v>2228</v>
      </c>
      <c r="D586" s="107" t="s">
        <v>727</v>
      </c>
      <c r="E586" s="120">
        <v>2965</v>
      </c>
      <c r="F586" s="120" t="s">
        <v>250</v>
      </c>
      <c r="G586" s="120">
        <v>2822.3004386007801</v>
      </c>
      <c r="H586" s="120" t="s">
        <v>250</v>
      </c>
      <c r="I586" s="120">
        <v>142.69956139921985</v>
      </c>
      <c r="J586" s="120">
        <v>0</v>
      </c>
      <c r="K586" s="120" t="s">
        <v>250</v>
      </c>
      <c r="L586" s="120" t="s">
        <v>250</v>
      </c>
      <c r="M586" s="120">
        <v>0</v>
      </c>
      <c r="N586" s="120" t="s">
        <v>250</v>
      </c>
      <c r="O586" s="120">
        <v>0</v>
      </c>
      <c r="P586" s="120">
        <v>0</v>
      </c>
      <c r="Q586" s="120">
        <v>0</v>
      </c>
      <c r="R586" s="120"/>
      <c r="S586" s="121"/>
    </row>
    <row r="587" spans="1:19" ht="15">
      <c r="A587" s="105">
        <v>30</v>
      </c>
      <c r="B587" s="129" t="str">
        <f t="shared" ref="B587:B601" si="18">MID(C587,3,3)</f>
        <v>930</v>
      </c>
      <c r="C587" s="107" t="s">
        <v>2229</v>
      </c>
      <c r="D587" s="107" t="s">
        <v>418</v>
      </c>
      <c r="E587" s="120">
        <v>3522245</v>
      </c>
      <c r="F587" s="120" t="s">
        <v>250</v>
      </c>
      <c r="G587" s="120">
        <v>3314333.4956627926</v>
      </c>
      <c r="H587" s="120" t="s">
        <v>250</v>
      </c>
      <c r="I587" s="120">
        <v>167577.45904482843</v>
      </c>
      <c r="J587" s="120">
        <v>40334.045292378971</v>
      </c>
      <c r="K587" s="120" t="s">
        <v>250</v>
      </c>
      <c r="L587" s="120" t="s">
        <v>250</v>
      </c>
      <c r="M587" s="120">
        <v>0</v>
      </c>
      <c r="N587" s="120" t="s">
        <v>250</v>
      </c>
      <c r="O587" s="120">
        <v>40334.045292378971</v>
      </c>
      <c r="P587" s="120">
        <v>21030.643625737193</v>
      </c>
      <c r="Q587" s="120">
        <v>19303.401666641774</v>
      </c>
      <c r="R587" s="120"/>
      <c r="S587" s="121"/>
    </row>
    <row r="588" spans="1:19" ht="15">
      <c r="A588" s="105">
        <v>31</v>
      </c>
      <c r="B588" s="129" t="str">
        <f t="shared" si="18"/>
        <v>931</v>
      </c>
      <c r="C588" s="107" t="s">
        <v>728</v>
      </c>
      <c r="D588" s="107" t="s">
        <v>418</v>
      </c>
      <c r="E588" s="120">
        <v>3272214.9999999898</v>
      </c>
      <c r="F588" s="120" t="s">
        <v>250</v>
      </c>
      <c r="G588" s="120">
        <v>3079062.2967766835</v>
      </c>
      <c r="H588" s="120" t="s">
        <v>250</v>
      </c>
      <c r="I588" s="120">
        <v>155681.80951307234</v>
      </c>
      <c r="J588" s="120">
        <v>37470.893710233511</v>
      </c>
      <c r="K588" s="120" t="s">
        <v>250</v>
      </c>
      <c r="L588" s="120" t="s">
        <v>250</v>
      </c>
      <c r="M588" s="120">
        <v>0</v>
      </c>
      <c r="N588" s="120" t="s">
        <v>250</v>
      </c>
      <c r="O588" s="120">
        <v>37470.893710233511</v>
      </c>
      <c r="P588" s="120">
        <v>19537.762856300858</v>
      </c>
      <c r="Q588" s="120">
        <v>17933.130853932653</v>
      </c>
      <c r="R588" s="120"/>
      <c r="S588" s="121"/>
    </row>
    <row r="589" spans="1:19" ht="15">
      <c r="A589" s="105">
        <v>32</v>
      </c>
      <c r="B589" s="129" t="str">
        <f t="shared" si="18"/>
        <v>935</v>
      </c>
      <c r="C589" s="107" t="s">
        <v>729</v>
      </c>
      <c r="D589" s="107" t="s">
        <v>418</v>
      </c>
      <c r="E589" s="120">
        <v>1777229.9999999998</v>
      </c>
      <c r="F589" s="120" t="s">
        <v>250</v>
      </c>
      <c r="G589" s="120">
        <v>1672323.4523710827</v>
      </c>
      <c r="H589" s="120" t="s">
        <v>250</v>
      </c>
      <c r="I589" s="120">
        <v>84555.07426037667</v>
      </c>
      <c r="J589" s="120">
        <v>20351.473368540428</v>
      </c>
      <c r="K589" s="120" t="s">
        <v>250</v>
      </c>
      <c r="L589" s="120" t="s">
        <v>250</v>
      </c>
      <c r="M589" s="120">
        <v>0</v>
      </c>
      <c r="N589" s="120" t="s">
        <v>250</v>
      </c>
      <c r="O589" s="120">
        <v>20351.473368540428</v>
      </c>
      <c r="P589" s="120">
        <v>10611.496579871335</v>
      </c>
      <c r="Q589" s="120">
        <v>9739.9767886690915</v>
      </c>
      <c r="R589" s="120"/>
      <c r="S589" s="121"/>
    </row>
    <row r="590" spans="1:19" ht="15">
      <c r="A590" s="105">
        <v>33</v>
      </c>
      <c r="B590" s="129" t="str">
        <f t="shared" si="18"/>
        <v xml:space="preserve">   </v>
      </c>
      <c r="C590" s="107" t="s">
        <v>730</v>
      </c>
      <c r="D590" s="107" t="s">
        <v>250</v>
      </c>
      <c r="E590" s="120">
        <v>109387476.99999988</v>
      </c>
      <c r="F590" s="120" t="s">
        <v>250</v>
      </c>
      <c r="G590" s="120">
        <v>102731097.33504003</v>
      </c>
      <c r="H590" s="120" t="s">
        <v>250</v>
      </c>
      <c r="I590" s="120">
        <v>5364238.0185150225</v>
      </c>
      <c r="J590" s="120">
        <v>1292141.6464448248</v>
      </c>
      <c r="K590" s="120" t="s">
        <v>250</v>
      </c>
      <c r="L590" s="120" t="s">
        <v>250</v>
      </c>
      <c r="M590" s="120">
        <v>0</v>
      </c>
      <c r="N590" s="120" t="s">
        <v>250</v>
      </c>
      <c r="O590" s="120">
        <v>1292141.6464448248</v>
      </c>
      <c r="P590" s="120">
        <v>673737.78859441588</v>
      </c>
      <c r="Q590" s="120">
        <v>618403.85785040888</v>
      </c>
      <c r="R590" s="120"/>
      <c r="S590" s="121"/>
    </row>
    <row r="591" spans="1:19" ht="15">
      <c r="A591" s="105" t="s">
        <v>250</v>
      </c>
      <c r="B591" s="129" t="str">
        <f t="shared" si="18"/>
        <v/>
      </c>
      <c r="C591" s="107" t="s">
        <v>250</v>
      </c>
      <c r="D591" s="107" t="s">
        <v>250</v>
      </c>
      <c r="E591" s="120" t="s">
        <v>250</v>
      </c>
      <c r="F591" s="120" t="s">
        <v>250</v>
      </c>
      <c r="G591" s="120" t="s">
        <v>250</v>
      </c>
      <c r="H591" s="120" t="s">
        <v>250</v>
      </c>
      <c r="I591" s="120" t="s">
        <v>250</v>
      </c>
      <c r="J591" s="120" t="s">
        <v>250</v>
      </c>
      <c r="K591" s="120" t="s">
        <v>250</v>
      </c>
      <c r="L591" s="120" t="s">
        <v>250</v>
      </c>
      <c r="M591" s="120" t="s">
        <v>250</v>
      </c>
      <c r="N591" s="120" t="s">
        <v>250</v>
      </c>
      <c r="O591" s="120" t="s">
        <v>250</v>
      </c>
      <c r="P591" s="120" t="s">
        <v>250</v>
      </c>
      <c r="Q591" s="120" t="s">
        <v>250</v>
      </c>
      <c r="R591" s="120"/>
      <c r="S591" s="121"/>
    </row>
    <row r="592" spans="1:19" ht="15">
      <c r="A592" s="105" t="s">
        <v>250</v>
      </c>
      <c r="B592" s="129" t="str">
        <f t="shared" si="18"/>
        <v>928</v>
      </c>
      <c r="C592" s="107" t="s">
        <v>731</v>
      </c>
      <c r="D592" s="107" t="s">
        <v>250</v>
      </c>
      <c r="E592" s="120" t="s">
        <v>250</v>
      </c>
      <c r="F592" s="120" t="s">
        <v>250</v>
      </c>
      <c r="G592" s="120" t="s">
        <v>250</v>
      </c>
      <c r="H592" s="120" t="s">
        <v>250</v>
      </c>
      <c r="I592" s="120" t="s">
        <v>250</v>
      </c>
      <c r="J592" s="120" t="s">
        <v>250</v>
      </c>
      <c r="K592" s="120" t="s">
        <v>250</v>
      </c>
      <c r="L592" s="120" t="s">
        <v>250</v>
      </c>
      <c r="M592" s="120" t="s">
        <v>250</v>
      </c>
      <c r="N592" s="120" t="s">
        <v>250</v>
      </c>
      <c r="O592" s="120" t="s">
        <v>250</v>
      </c>
      <c r="P592" s="120" t="s">
        <v>250</v>
      </c>
      <c r="Q592" s="120" t="s">
        <v>250</v>
      </c>
      <c r="R592" s="120"/>
      <c r="S592" s="121"/>
    </row>
    <row r="593" spans="1:19" ht="15">
      <c r="A593" s="105">
        <v>34</v>
      </c>
      <c r="B593" s="129"/>
      <c r="C593" s="107" t="s">
        <v>2230</v>
      </c>
      <c r="D593" s="107" t="s">
        <v>732</v>
      </c>
      <c r="E593" s="120">
        <v>434570</v>
      </c>
      <c r="F593" s="120" t="s">
        <v>250</v>
      </c>
      <c r="G593" s="120">
        <v>434570</v>
      </c>
      <c r="H593" s="120" t="s">
        <v>250</v>
      </c>
      <c r="I593" s="120">
        <v>0</v>
      </c>
      <c r="J593" s="120">
        <v>0</v>
      </c>
      <c r="K593" s="120" t="s">
        <v>250</v>
      </c>
      <c r="L593" s="120" t="s">
        <v>250</v>
      </c>
      <c r="M593" s="120">
        <v>0</v>
      </c>
      <c r="N593" s="120" t="s">
        <v>250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>
        <v>35</v>
      </c>
      <c r="B594" s="129" t="str">
        <f t="shared" si="18"/>
        <v xml:space="preserve">  V</v>
      </c>
      <c r="C594" s="107" t="s">
        <v>734</v>
      </c>
      <c r="D594" s="107" t="s">
        <v>732</v>
      </c>
      <c r="E594" s="120">
        <v>30000</v>
      </c>
      <c r="F594" s="120" t="s">
        <v>250</v>
      </c>
      <c r="G594" s="120">
        <v>0</v>
      </c>
      <c r="H594" s="120" t="s">
        <v>250</v>
      </c>
      <c r="I594" s="120">
        <v>30000</v>
      </c>
      <c r="J594" s="120">
        <v>0</v>
      </c>
      <c r="K594" s="120" t="s">
        <v>250</v>
      </c>
      <c r="L594" s="120" t="s">
        <v>250</v>
      </c>
      <c r="M594" s="120">
        <v>0</v>
      </c>
      <c r="N594" s="120" t="s">
        <v>250</v>
      </c>
      <c r="O594" s="120">
        <v>0</v>
      </c>
      <c r="P594" s="120">
        <v>0</v>
      </c>
      <c r="Q594" s="120">
        <v>0</v>
      </c>
      <c r="R594" s="120"/>
      <c r="S594" s="121"/>
    </row>
    <row r="595" spans="1:19" ht="15">
      <c r="A595" s="105">
        <v>36</v>
      </c>
      <c r="B595" s="129" t="str">
        <f t="shared" si="18"/>
        <v xml:space="preserve">  F</v>
      </c>
      <c r="C595" s="107" t="s">
        <v>733</v>
      </c>
      <c r="D595" s="107" t="s">
        <v>1119</v>
      </c>
      <c r="E595" s="120">
        <v>0</v>
      </c>
      <c r="F595" s="120" t="s">
        <v>250</v>
      </c>
      <c r="G595" s="120">
        <v>0</v>
      </c>
      <c r="H595" s="120" t="s">
        <v>250</v>
      </c>
      <c r="I595" s="120">
        <v>0</v>
      </c>
      <c r="J595" s="120">
        <v>0</v>
      </c>
      <c r="K595" s="120" t="s">
        <v>250</v>
      </c>
      <c r="L595" s="120" t="s">
        <v>250</v>
      </c>
      <c r="M595" s="120">
        <v>0</v>
      </c>
      <c r="N595" s="120" t="s">
        <v>250</v>
      </c>
      <c r="O595" s="120">
        <v>0</v>
      </c>
      <c r="P595" s="120">
        <v>0</v>
      </c>
      <c r="Q595" s="120">
        <v>0</v>
      </c>
      <c r="R595" s="120"/>
      <c r="S595" s="121"/>
    </row>
    <row r="596" spans="1:19" ht="15">
      <c r="A596" s="105">
        <v>37</v>
      </c>
      <c r="B596" s="129" t="str">
        <f t="shared" si="18"/>
        <v xml:space="preserve">  9</v>
      </c>
      <c r="C596" s="107" t="s">
        <v>736</v>
      </c>
      <c r="D596" s="107" t="s">
        <v>494</v>
      </c>
      <c r="E596" s="120">
        <v>442475.99999999895</v>
      </c>
      <c r="F596" s="120" t="s">
        <v>250</v>
      </c>
      <c r="G596" s="120">
        <v>416735.26519651222</v>
      </c>
      <c r="H596" s="120" t="s">
        <v>250</v>
      </c>
      <c r="I596" s="120">
        <v>16735.941545843354</v>
      </c>
      <c r="J596" s="120">
        <v>9004.7932576433777</v>
      </c>
      <c r="K596" s="120" t="s">
        <v>250</v>
      </c>
      <c r="L596" s="120" t="s">
        <v>250</v>
      </c>
      <c r="M596" s="120">
        <v>0</v>
      </c>
      <c r="N596" s="120" t="s">
        <v>250</v>
      </c>
      <c r="O596" s="120">
        <v>9004.7932576433777</v>
      </c>
      <c r="P596" s="120">
        <v>4621.9265736345978</v>
      </c>
      <c r="Q596" s="120">
        <v>4382.866684008779</v>
      </c>
      <c r="R596" s="120"/>
      <c r="S596" s="121"/>
    </row>
    <row r="597" spans="1:19" ht="15">
      <c r="A597" s="105">
        <v>38</v>
      </c>
      <c r="B597" s="129" t="str">
        <f t="shared" si="18"/>
        <v xml:space="preserve">   </v>
      </c>
      <c r="C597" s="107" t="s">
        <v>737</v>
      </c>
      <c r="D597" s="107" t="s">
        <v>250</v>
      </c>
      <c r="E597" s="120">
        <v>907045.99999999895</v>
      </c>
      <c r="F597" s="120" t="s">
        <v>250</v>
      </c>
      <c r="G597" s="120">
        <v>851305.26519651222</v>
      </c>
      <c r="H597" s="120" t="s">
        <v>250</v>
      </c>
      <c r="I597" s="120">
        <v>46735.94154584335</v>
      </c>
      <c r="J597" s="120">
        <v>9004.7932576433777</v>
      </c>
      <c r="K597" s="120" t="s">
        <v>250</v>
      </c>
      <c r="L597" s="120" t="s">
        <v>250</v>
      </c>
      <c r="M597" s="120">
        <v>0</v>
      </c>
      <c r="N597" s="120" t="s">
        <v>250</v>
      </c>
      <c r="O597" s="120">
        <v>9004.7932576433777</v>
      </c>
      <c r="P597" s="120">
        <v>4621.9265736345978</v>
      </c>
      <c r="Q597" s="120">
        <v>4382.866684008779</v>
      </c>
      <c r="R597" s="120"/>
      <c r="S597" s="121"/>
    </row>
    <row r="598" spans="1:19" ht="15">
      <c r="A598" s="105" t="s">
        <v>250</v>
      </c>
      <c r="B598" s="129">
        <v>928</v>
      </c>
      <c r="C598" s="107" t="s">
        <v>250</v>
      </c>
      <c r="D598" s="107" t="s">
        <v>250</v>
      </c>
      <c r="E598" s="120" t="s">
        <v>250</v>
      </c>
      <c r="F598" s="120" t="s">
        <v>250</v>
      </c>
      <c r="G598" s="120" t="s">
        <v>250</v>
      </c>
      <c r="H598" s="120" t="s">
        <v>250</v>
      </c>
      <c r="I598" s="120" t="s">
        <v>250</v>
      </c>
      <c r="J598" s="120" t="s">
        <v>250</v>
      </c>
      <c r="K598" s="120" t="s">
        <v>250</v>
      </c>
      <c r="L598" s="120" t="s">
        <v>250</v>
      </c>
      <c r="M598" s="120" t="s">
        <v>250</v>
      </c>
      <c r="N598" s="120" t="s">
        <v>250</v>
      </c>
      <c r="O598" s="120" t="s">
        <v>250</v>
      </c>
      <c r="P598" s="120" t="s">
        <v>250</v>
      </c>
      <c r="Q598" s="120" t="s">
        <v>250</v>
      </c>
      <c r="R598" s="120"/>
      <c r="S598" s="121"/>
    </row>
    <row r="599" spans="1:19" ht="15">
      <c r="A599" s="105">
        <v>39</v>
      </c>
      <c r="B599" s="129" t="str">
        <f t="shared" si="18"/>
        <v>927</v>
      </c>
      <c r="C599" s="107" t="s">
        <v>738</v>
      </c>
      <c r="D599" s="107" t="s">
        <v>726</v>
      </c>
      <c r="E599" s="120">
        <v>0</v>
      </c>
      <c r="F599" s="120" t="s">
        <v>250</v>
      </c>
      <c r="G599" s="120">
        <v>0</v>
      </c>
      <c r="H599" s="120" t="s">
        <v>250</v>
      </c>
      <c r="I599" s="120">
        <v>0</v>
      </c>
      <c r="J599" s="120">
        <v>0</v>
      </c>
      <c r="K599" s="120" t="s">
        <v>250</v>
      </c>
      <c r="L599" s="120" t="s">
        <v>250</v>
      </c>
      <c r="M599" s="120">
        <v>0</v>
      </c>
      <c r="N599" s="120" t="s">
        <v>250</v>
      </c>
      <c r="O599" s="120">
        <v>0</v>
      </c>
      <c r="P599" s="120">
        <v>0</v>
      </c>
      <c r="Q599" s="120">
        <v>0</v>
      </c>
      <c r="R599" s="120"/>
      <c r="S599" s="121"/>
    </row>
    <row r="600" spans="1:19" ht="15">
      <c r="A600" s="105">
        <v>40</v>
      </c>
      <c r="B600" s="129" t="str">
        <f t="shared" si="18"/>
        <v>929</v>
      </c>
      <c r="C600" s="107" t="s">
        <v>725</v>
      </c>
      <c r="D600" s="107" t="s">
        <v>726</v>
      </c>
      <c r="E600" s="120">
        <v>0</v>
      </c>
      <c r="F600" s="120" t="s">
        <v>250</v>
      </c>
      <c r="G600" s="120">
        <v>0</v>
      </c>
      <c r="H600" s="120" t="s">
        <v>250</v>
      </c>
      <c r="I600" s="120">
        <v>0</v>
      </c>
      <c r="J600" s="120">
        <v>0</v>
      </c>
      <c r="K600" s="120" t="s">
        <v>250</v>
      </c>
      <c r="L600" s="120" t="s">
        <v>250</v>
      </c>
      <c r="M600" s="120">
        <v>0</v>
      </c>
      <c r="N600" s="120" t="s">
        <v>250</v>
      </c>
      <c r="O600" s="120">
        <v>0</v>
      </c>
      <c r="P600" s="120">
        <v>0</v>
      </c>
      <c r="Q600" s="120">
        <v>0</v>
      </c>
      <c r="R600" s="120"/>
      <c r="S600" s="121"/>
    </row>
    <row r="601" spans="1:19" ht="15">
      <c r="A601" s="105" t="s">
        <v>250</v>
      </c>
      <c r="B601" s="129" t="str">
        <f t="shared" si="18"/>
        <v/>
      </c>
      <c r="C601" s="107" t="s">
        <v>250</v>
      </c>
      <c r="D601" s="107" t="s">
        <v>250</v>
      </c>
      <c r="E601" s="120" t="s">
        <v>250</v>
      </c>
      <c r="F601" s="120" t="s">
        <v>250</v>
      </c>
      <c r="G601" s="120" t="s">
        <v>250</v>
      </c>
      <c r="H601" s="120" t="s">
        <v>250</v>
      </c>
      <c r="I601" s="120" t="s">
        <v>250</v>
      </c>
      <c r="J601" s="120" t="s">
        <v>250</v>
      </c>
      <c r="K601" s="120" t="s">
        <v>250</v>
      </c>
      <c r="L601" s="120" t="s">
        <v>250</v>
      </c>
      <c r="M601" s="120" t="s">
        <v>250</v>
      </c>
      <c r="N601" s="120" t="s">
        <v>250</v>
      </c>
      <c r="O601" s="120" t="s">
        <v>250</v>
      </c>
      <c r="P601" s="120" t="s">
        <v>250</v>
      </c>
      <c r="Q601" s="120" t="s">
        <v>250</v>
      </c>
      <c r="R601" s="120"/>
      <c r="S601" s="121"/>
    </row>
    <row r="602" spans="1:19" ht="15">
      <c r="A602" s="105">
        <v>41</v>
      </c>
      <c r="B602" s="105"/>
      <c r="C602" s="107" t="s">
        <v>740</v>
      </c>
      <c r="D602" s="107" t="s">
        <v>250</v>
      </c>
      <c r="E602" s="120">
        <v>119630776.99999988</v>
      </c>
      <c r="F602" s="120" t="s">
        <v>250</v>
      </c>
      <c r="G602" s="120">
        <v>112308775.04000047</v>
      </c>
      <c r="H602" s="120" t="s">
        <v>250</v>
      </c>
      <c r="I602" s="120">
        <v>5897676.5532893268</v>
      </c>
      <c r="J602" s="120">
        <v>1424325.4067100817</v>
      </c>
      <c r="K602" s="120" t="s">
        <v>250</v>
      </c>
      <c r="L602" s="120" t="s">
        <v>250</v>
      </c>
      <c r="M602" s="120">
        <v>0</v>
      </c>
      <c r="N602" s="120" t="s">
        <v>250</v>
      </c>
      <c r="O602" s="120">
        <v>1424325.4067100817</v>
      </c>
      <c r="P602" s="120">
        <v>742811.99961547565</v>
      </c>
      <c r="Q602" s="120">
        <v>681513.40709460597</v>
      </c>
      <c r="R602" s="120"/>
      <c r="S602" s="121"/>
    </row>
    <row r="603" spans="1:19" ht="15">
      <c r="A603" s="105" t="s">
        <v>250</v>
      </c>
      <c r="B603" s="105"/>
      <c r="C603" s="107" t="s">
        <v>250</v>
      </c>
      <c r="D603" s="107" t="s">
        <v>250</v>
      </c>
      <c r="E603" s="120" t="s">
        <v>250</v>
      </c>
      <c r="F603" s="120" t="s">
        <v>250</v>
      </c>
      <c r="G603" s="120" t="s">
        <v>250</v>
      </c>
      <c r="H603" s="120" t="s">
        <v>250</v>
      </c>
      <c r="I603" s="120" t="s">
        <v>250</v>
      </c>
      <c r="J603" s="120" t="s">
        <v>250</v>
      </c>
      <c r="K603" s="120" t="s">
        <v>250</v>
      </c>
      <c r="L603" s="120" t="s">
        <v>250</v>
      </c>
      <c r="M603" s="120" t="s">
        <v>250</v>
      </c>
      <c r="N603" s="120" t="s">
        <v>250</v>
      </c>
      <c r="O603" s="120" t="s">
        <v>250</v>
      </c>
      <c r="P603" s="120" t="s">
        <v>250</v>
      </c>
      <c r="Q603" s="120" t="s">
        <v>250</v>
      </c>
      <c r="R603" s="120"/>
      <c r="S603" s="121"/>
    </row>
    <row r="604" spans="1:19" ht="15">
      <c r="A604" s="105">
        <v>42</v>
      </c>
      <c r="B604" s="105"/>
      <c r="C604" s="107" t="s">
        <v>741</v>
      </c>
      <c r="D604" s="107" t="s">
        <v>250</v>
      </c>
      <c r="E604" s="120">
        <v>935841767.74843872</v>
      </c>
      <c r="F604" s="120" t="s">
        <v>250</v>
      </c>
      <c r="G604" s="120">
        <v>879083724.44560122</v>
      </c>
      <c r="H604" s="120" t="s">
        <v>250</v>
      </c>
      <c r="I604" s="120">
        <v>42365200.891559198</v>
      </c>
      <c r="J604" s="120">
        <v>14392842.411278289</v>
      </c>
      <c r="K604" s="120" t="s">
        <v>250</v>
      </c>
      <c r="L604" s="120" t="s">
        <v>250</v>
      </c>
      <c r="M604" s="120">
        <v>0</v>
      </c>
      <c r="N604" s="120" t="s">
        <v>250</v>
      </c>
      <c r="O604" s="120">
        <v>14392842.411278289</v>
      </c>
      <c r="P604" s="120">
        <v>7409945.9947840646</v>
      </c>
      <c r="Q604" s="120">
        <v>6982896.4164942252</v>
      </c>
      <c r="R604" s="120"/>
      <c r="S604" s="121"/>
    </row>
    <row r="605" spans="1:19" ht="15">
      <c r="A605" s="105" t="s">
        <v>250</v>
      </c>
      <c r="B605" s="105"/>
      <c r="C605" s="107" t="s">
        <v>3693</v>
      </c>
      <c r="D605" s="107" t="s">
        <v>250</v>
      </c>
      <c r="E605" s="120">
        <v>777407796.74843907</v>
      </c>
      <c r="F605" s="120" t="s">
        <v>250</v>
      </c>
      <c r="G605" s="120">
        <v>730737982.66646826</v>
      </c>
      <c r="H605" s="120" t="s">
        <v>250</v>
      </c>
      <c r="I605" s="120">
        <v>34450298.686423875</v>
      </c>
      <c r="J605" s="120" t="s">
        <v>250</v>
      </c>
      <c r="K605" s="120" t="s">
        <v>250</v>
      </c>
      <c r="L605" s="120" t="s">
        <v>250</v>
      </c>
      <c r="M605" s="120">
        <v>0</v>
      </c>
      <c r="N605" s="120" t="s">
        <v>250</v>
      </c>
      <c r="O605" s="120">
        <v>12219515.395546857</v>
      </c>
      <c r="P605" s="120" t="s">
        <v>250</v>
      </c>
      <c r="Q605" s="120" t="s">
        <v>250</v>
      </c>
      <c r="R605" s="120"/>
      <c r="S605" s="121"/>
    </row>
    <row r="606" spans="1:19" ht="15">
      <c r="A606" s="105" t="s">
        <v>250</v>
      </c>
      <c r="B606" s="105"/>
      <c r="C606" s="107" t="s">
        <v>3694</v>
      </c>
      <c r="D606" s="107" t="s">
        <v>250</v>
      </c>
      <c r="E606" s="120">
        <v>158433970.99999982</v>
      </c>
      <c r="F606" s="120" t="s">
        <v>250</v>
      </c>
      <c r="G606" s="120">
        <v>148345741.77913305</v>
      </c>
      <c r="H606" s="120" t="s">
        <v>250</v>
      </c>
      <c r="I606" s="120">
        <v>7914902.2051353222</v>
      </c>
      <c r="J606" s="120" t="s">
        <v>250</v>
      </c>
      <c r="K606" s="120" t="s">
        <v>250</v>
      </c>
      <c r="L606" s="120" t="s">
        <v>250</v>
      </c>
      <c r="M606" s="120">
        <v>0</v>
      </c>
      <c r="N606" s="120" t="s">
        <v>250</v>
      </c>
      <c r="O606" s="120">
        <v>2173327.0157314311</v>
      </c>
      <c r="P606" s="120" t="s">
        <v>250</v>
      </c>
      <c r="Q606" s="120" t="s">
        <v>250</v>
      </c>
      <c r="R606" s="120"/>
      <c r="S606" s="121"/>
    </row>
    <row r="607" spans="1:19" ht="15">
      <c r="A607" s="105" t="s">
        <v>250</v>
      </c>
      <c r="B607" s="105"/>
      <c r="C607" s="107" t="s">
        <v>3695</v>
      </c>
      <c r="D607" s="107" t="s">
        <v>250</v>
      </c>
      <c r="E607" s="120">
        <v>320586647.99999946</v>
      </c>
      <c r="F607" s="120" t="s">
        <v>250</v>
      </c>
      <c r="G607" s="120">
        <v>300510509.96485937</v>
      </c>
      <c r="H607" s="120" t="s">
        <v>250</v>
      </c>
      <c r="I607" s="120">
        <v>17134567.303990938</v>
      </c>
      <c r="J607" s="120" t="s">
        <v>250</v>
      </c>
      <c r="K607" s="120" t="s">
        <v>250</v>
      </c>
      <c r="L607" s="120" t="s">
        <v>250</v>
      </c>
      <c r="M607" s="120">
        <v>0</v>
      </c>
      <c r="N607" s="120" t="s">
        <v>250</v>
      </c>
      <c r="O607" s="120">
        <v>2941570.7311492432</v>
      </c>
      <c r="P607" s="120" t="s">
        <v>250</v>
      </c>
      <c r="Q607" s="120" t="s">
        <v>250</v>
      </c>
      <c r="R607" s="120"/>
      <c r="S607" s="121"/>
    </row>
    <row r="608" spans="1:19" ht="15">
      <c r="A608" s="105" t="s">
        <v>250</v>
      </c>
      <c r="B608" s="105"/>
      <c r="C608" s="107" t="s">
        <v>742</v>
      </c>
      <c r="D608" s="107" t="s">
        <v>250</v>
      </c>
      <c r="E608" s="120" t="s">
        <v>250</v>
      </c>
      <c r="F608" s="120" t="s">
        <v>250</v>
      </c>
      <c r="G608" s="120" t="s">
        <v>250</v>
      </c>
      <c r="H608" s="120" t="s">
        <v>250</v>
      </c>
      <c r="I608" s="120" t="s">
        <v>250</v>
      </c>
      <c r="J608" s="120" t="s">
        <v>250</v>
      </c>
      <c r="K608" s="120" t="s">
        <v>250</v>
      </c>
      <c r="L608" s="120" t="s">
        <v>250</v>
      </c>
      <c r="M608" s="120" t="s">
        <v>250</v>
      </c>
      <c r="N608" s="120" t="s">
        <v>250</v>
      </c>
      <c r="O608" s="120" t="s">
        <v>250</v>
      </c>
      <c r="P608" s="120" t="s">
        <v>250</v>
      </c>
      <c r="Q608" s="120" t="s">
        <v>250</v>
      </c>
      <c r="R608" s="120"/>
      <c r="S608" s="121"/>
    </row>
    <row r="609" spans="1:19" ht="15">
      <c r="A609" s="105" t="s">
        <v>250</v>
      </c>
      <c r="B609" s="105"/>
      <c r="C609" s="107" t="s">
        <v>250</v>
      </c>
      <c r="D609" s="107" t="s">
        <v>250</v>
      </c>
      <c r="E609" s="120" t="s">
        <v>250</v>
      </c>
      <c r="F609" s="120" t="s">
        <v>250</v>
      </c>
      <c r="G609" s="120" t="s">
        <v>250</v>
      </c>
      <c r="H609" s="120" t="s">
        <v>250</v>
      </c>
      <c r="I609" s="120" t="s">
        <v>250</v>
      </c>
      <c r="J609" s="120" t="s">
        <v>250</v>
      </c>
      <c r="K609" s="120" t="s">
        <v>250</v>
      </c>
      <c r="L609" s="120" t="s">
        <v>250</v>
      </c>
      <c r="M609" s="120" t="s">
        <v>250</v>
      </c>
      <c r="N609" s="120" t="s">
        <v>250</v>
      </c>
      <c r="O609" s="120" t="s">
        <v>250</v>
      </c>
      <c r="P609" s="120" t="s">
        <v>250</v>
      </c>
      <c r="Q609" s="120" t="s">
        <v>250</v>
      </c>
      <c r="R609" s="120"/>
      <c r="S609" s="121"/>
    </row>
    <row r="610" spans="1:19" ht="15">
      <c r="A610" s="105" t="s">
        <v>250</v>
      </c>
      <c r="B610" s="105"/>
      <c r="C610" s="107" t="s">
        <v>743</v>
      </c>
      <c r="D610" s="107" t="s">
        <v>250</v>
      </c>
      <c r="E610" s="120" t="s">
        <v>250</v>
      </c>
      <c r="F610" s="120" t="s">
        <v>250</v>
      </c>
      <c r="G610" s="120" t="s">
        <v>250</v>
      </c>
      <c r="H610" s="120" t="s">
        <v>250</v>
      </c>
      <c r="I610" s="120" t="s">
        <v>250</v>
      </c>
      <c r="J610" s="120" t="s">
        <v>250</v>
      </c>
      <c r="K610" s="120" t="s">
        <v>250</v>
      </c>
      <c r="L610" s="120" t="s">
        <v>250</v>
      </c>
      <c r="M610" s="120" t="s">
        <v>250</v>
      </c>
      <c r="N610" s="120" t="s">
        <v>250</v>
      </c>
      <c r="O610" s="120" t="s">
        <v>250</v>
      </c>
      <c r="P610" s="120" t="s">
        <v>250</v>
      </c>
      <c r="Q610" s="120" t="s">
        <v>250</v>
      </c>
      <c r="R610" s="120"/>
      <c r="S610" s="121"/>
    </row>
    <row r="611" spans="1:19" ht="15">
      <c r="A611" s="105" t="s">
        <v>250</v>
      </c>
      <c r="B611" s="105"/>
      <c r="C611" s="107" t="s">
        <v>250</v>
      </c>
      <c r="D611" s="107" t="s">
        <v>250</v>
      </c>
      <c r="E611" s="120" t="s">
        <v>250</v>
      </c>
      <c r="F611" s="120" t="s">
        <v>250</v>
      </c>
      <c r="G611" s="120" t="s">
        <v>250</v>
      </c>
      <c r="H611" s="120" t="s">
        <v>250</v>
      </c>
      <c r="I611" s="120" t="s">
        <v>250</v>
      </c>
      <c r="J611" s="120" t="s">
        <v>250</v>
      </c>
      <c r="K611" s="120" t="s">
        <v>250</v>
      </c>
      <c r="L611" s="120" t="s">
        <v>250</v>
      </c>
      <c r="M611" s="120" t="s">
        <v>250</v>
      </c>
      <c r="N611" s="120" t="s">
        <v>250</v>
      </c>
      <c r="O611" s="120" t="s">
        <v>250</v>
      </c>
      <c r="P611" s="120" t="s">
        <v>250</v>
      </c>
      <c r="Q611" s="120" t="s">
        <v>250</v>
      </c>
      <c r="R611" s="120"/>
      <c r="S611" s="121"/>
    </row>
    <row r="612" spans="1:19" ht="15">
      <c r="A612" s="105" t="s">
        <v>250</v>
      </c>
      <c r="B612" s="105"/>
      <c r="C612" s="107" t="s">
        <v>440</v>
      </c>
      <c r="D612" s="107" t="s">
        <v>250</v>
      </c>
      <c r="E612" s="120" t="s">
        <v>250</v>
      </c>
      <c r="F612" s="120" t="s">
        <v>250</v>
      </c>
      <c r="G612" s="120" t="s">
        <v>250</v>
      </c>
      <c r="H612" s="120" t="s">
        <v>250</v>
      </c>
      <c r="I612" s="120" t="s">
        <v>250</v>
      </c>
      <c r="J612" s="120" t="s">
        <v>250</v>
      </c>
      <c r="K612" s="120" t="s">
        <v>250</v>
      </c>
      <c r="L612" s="120" t="s">
        <v>250</v>
      </c>
      <c r="M612" s="120" t="s">
        <v>250</v>
      </c>
      <c r="N612" s="120" t="s">
        <v>250</v>
      </c>
      <c r="O612" s="120" t="s">
        <v>250</v>
      </c>
      <c r="P612" s="120" t="s">
        <v>250</v>
      </c>
      <c r="Q612" s="120" t="s">
        <v>250</v>
      </c>
      <c r="R612" s="120"/>
      <c r="S612" s="121"/>
    </row>
    <row r="613" spans="1:19" ht="15">
      <c r="A613" s="105" t="s">
        <v>250</v>
      </c>
      <c r="B613" s="105"/>
      <c r="C613" s="107" t="s">
        <v>441</v>
      </c>
      <c r="D613" s="107" t="s">
        <v>250</v>
      </c>
      <c r="E613" s="120" t="s">
        <v>250</v>
      </c>
      <c r="F613" s="120" t="s">
        <v>250</v>
      </c>
      <c r="G613" s="120" t="s">
        <v>250</v>
      </c>
      <c r="H613" s="120" t="s">
        <v>250</v>
      </c>
      <c r="I613" s="120" t="s">
        <v>250</v>
      </c>
      <c r="J613" s="120" t="s">
        <v>250</v>
      </c>
      <c r="K613" s="120" t="s">
        <v>250</v>
      </c>
      <c r="L613" s="120" t="s">
        <v>250</v>
      </c>
      <c r="M613" s="120" t="s">
        <v>250</v>
      </c>
      <c r="N613" s="120" t="s">
        <v>250</v>
      </c>
      <c r="O613" s="120" t="s">
        <v>250</v>
      </c>
      <c r="P613" s="120" t="s">
        <v>250</v>
      </c>
      <c r="Q613" s="120" t="s">
        <v>250</v>
      </c>
      <c r="R613" s="120"/>
      <c r="S613" s="121"/>
    </row>
    <row r="614" spans="1:19" ht="15">
      <c r="A614" s="105">
        <v>1</v>
      </c>
      <c r="B614" s="105"/>
      <c r="C614" s="107" t="s">
        <v>442</v>
      </c>
      <c r="D614" s="107" t="s">
        <v>443</v>
      </c>
      <c r="E614" s="120">
        <v>269575373.47185916</v>
      </c>
      <c r="F614" s="120" t="s">
        <v>250</v>
      </c>
      <c r="G614" s="120">
        <v>252892159.14411059</v>
      </c>
      <c r="H614" s="120" t="s">
        <v>250</v>
      </c>
      <c r="I614" s="120">
        <v>11452943.206099585</v>
      </c>
      <c r="J614" s="120">
        <v>5230271.1216489729</v>
      </c>
      <c r="K614" s="120" t="s">
        <v>250</v>
      </c>
      <c r="L614" s="120" t="s">
        <v>250</v>
      </c>
      <c r="M614" s="120">
        <v>0</v>
      </c>
      <c r="N614" s="120" t="s">
        <v>250</v>
      </c>
      <c r="O614" s="120">
        <v>5230271.1216489729</v>
      </c>
      <c r="P614" s="120">
        <v>2653086.1782284202</v>
      </c>
      <c r="Q614" s="120">
        <v>2577184.9434205526</v>
      </c>
      <c r="R614" s="120"/>
      <c r="S614" s="121"/>
    </row>
    <row r="615" spans="1:19" ht="15">
      <c r="A615" s="105">
        <v>2</v>
      </c>
      <c r="B615" s="105"/>
      <c r="C615" s="107" t="s">
        <v>444</v>
      </c>
      <c r="D615" s="107" t="s">
        <v>311</v>
      </c>
      <c r="E615" s="120">
        <v>287079</v>
      </c>
      <c r="F615" s="120" t="s">
        <v>250</v>
      </c>
      <c r="G615" s="120">
        <v>147665.77553484816</v>
      </c>
      <c r="H615" s="120" t="s">
        <v>250</v>
      </c>
      <c r="I615" s="120">
        <v>95706.481413649453</v>
      </c>
      <c r="J615" s="120">
        <v>43706.743051502403</v>
      </c>
      <c r="K615" s="120" t="s">
        <v>250</v>
      </c>
      <c r="L615" s="120" t="s">
        <v>250</v>
      </c>
      <c r="M615" s="120">
        <v>0</v>
      </c>
      <c r="N615" s="120" t="s">
        <v>250</v>
      </c>
      <c r="O615" s="120">
        <v>43706.743051502403</v>
      </c>
      <c r="P615" s="120">
        <v>22170.505732552447</v>
      </c>
      <c r="Q615" s="120">
        <v>21536.237318949959</v>
      </c>
      <c r="R615" s="120"/>
      <c r="S615" s="121"/>
    </row>
    <row r="616" spans="1:19" ht="15">
      <c r="A616" s="105">
        <v>3</v>
      </c>
      <c r="B616" s="105"/>
      <c r="C616" s="107" t="s">
        <v>445</v>
      </c>
      <c r="D616" s="107" t="s">
        <v>313</v>
      </c>
      <c r="E616" s="120">
        <v>188563.00000000052</v>
      </c>
      <c r="F616" s="120" t="s">
        <v>250</v>
      </c>
      <c r="G616" s="120">
        <v>145497.91076514375</v>
      </c>
      <c r="H616" s="120" t="s">
        <v>250</v>
      </c>
      <c r="I616" s="120">
        <v>0</v>
      </c>
      <c r="J616" s="120">
        <v>43065.089234856765</v>
      </c>
      <c r="K616" s="120" t="s">
        <v>250</v>
      </c>
      <c r="L616" s="120" t="s">
        <v>250</v>
      </c>
      <c r="M616" s="120">
        <v>0</v>
      </c>
      <c r="N616" s="120" t="s">
        <v>250</v>
      </c>
      <c r="O616" s="120">
        <v>43065.089234856765</v>
      </c>
      <c r="P616" s="120">
        <v>21845.023012334808</v>
      </c>
      <c r="Q616" s="120">
        <v>21220.066222521957</v>
      </c>
      <c r="R616" s="120"/>
      <c r="S616" s="121"/>
    </row>
    <row r="617" spans="1:19" ht="15">
      <c r="A617" s="105">
        <v>4</v>
      </c>
      <c r="B617" s="105"/>
      <c r="C617" s="107" t="s">
        <v>446</v>
      </c>
      <c r="D617" s="107" t="s">
        <v>250</v>
      </c>
      <c r="E617" s="120">
        <v>270051015.47185916</v>
      </c>
      <c r="F617" s="120" t="s">
        <v>250</v>
      </c>
      <c r="G617" s="120">
        <v>253185322.83041057</v>
      </c>
      <c r="H617" s="120" t="s">
        <v>250</v>
      </c>
      <c r="I617" s="120">
        <v>11548649.687513234</v>
      </c>
      <c r="J617" s="120">
        <v>5317042.9539353326</v>
      </c>
      <c r="K617" s="120" t="s">
        <v>250</v>
      </c>
      <c r="L617" s="120" t="s">
        <v>250</v>
      </c>
      <c r="M617" s="120">
        <v>0</v>
      </c>
      <c r="N617" s="120" t="s">
        <v>250</v>
      </c>
      <c r="O617" s="120">
        <v>5317042.9539353326</v>
      </c>
      <c r="P617" s="120">
        <v>2697101.7069733078</v>
      </c>
      <c r="Q617" s="120">
        <v>2619941.2469620244</v>
      </c>
      <c r="R617" s="120"/>
      <c r="S617" s="121"/>
    </row>
    <row r="618" spans="1:19" ht="15">
      <c r="A618" s="105" t="s">
        <v>250</v>
      </c>
      <c r="B618" s="105"/>
      <c r="C618" s="107" t="s">
        <v>250</v>
      </c>
      <c r="D618" s="107" t="s">
        <v>250</v>
      </c>
      <c r="E618" s="120" t="s">
        <v>250</v>
      </c>
      <c r="F618" s="120" t="s">
        <v>250</v>
      </c>
      <c r="G618" s="120" t="s">
        <v>250</v>
      </c>
      <c r="H618" s="120" t="s">
        <v>250</v>
      </c>
      <c r="I618" s="120" t="s">
        <v>250</v>
      </c>
      <c r="J618" s="120" t="s">
        <v>250</v>
      </c>
      <c r="K618" s="120" t="s">
        <v>250</v>
      </c>
      <c r="L618" s="120" t="s">
        <v>250</v>
      </c>
      <c r="M618" s="120" t="s">
        <v>250</v>
      </c>
      <c r="N618" s="120" t="s">
        <v>250</v>
      </c>
      <c r="O618" s="120" t="s">
        <v>250</v>
      </c>
      <c r="P618" s="120" t="s">
        <v>250</v>
      </c>
      <c r="Q618" s="120" t="s">
        <v>250</v>
      </c>
      <c r="R618" s="120"/>
      <c r="S618" s="121"/>
    </row>
    <row r="619" spans="1:19" ht="15">
      <c r="A619" s="105" t="s">
        <v>250</v>
      </c>
      <c r="B619" s="105"/>
      <c r="C619" s="107" t="s">
        <v>447</v>
      </c>
      <c r="D619" s="107" t="s">
        <v>250</v>
      </c>
      <c r="E619" s="120" t="s">
        <v>250</v>
      </c>
      <c r="F619" s="120" t="s">
        <v>250</v>
      </c>
      <c r="G619" s="120" t="s">
        <v>250</v>
      </c>
      <c r="H619" s="120" t="s">
        <v>250</v>
      </c>
      <c r="I619" s="120" t="s">
        <v>250</v>
      </c>
      <c r="J619" s="120" t="s">
        <v>250</v>
      </c>
      <c r="K619" s="120" t="s">
        <v>250</v>
      </c>
      <c r="L619" s="120" t="s">
        <v>250</v>
      </c>
      <c r="M619" s="120" t="s">
        <v>250</v>
      </c>
      <c r="N619" s="120" t="s">
        <v>250</v>
      </c>
      <c r="O619" s="120" t="s">
        <v>250</v>
      </c>
      <c r="P619" s="120" t="s">
        <v>250</v>
      </c>
      <c r="Q619" s="120" t="s">
        <v>250</v>
      </c>
      <c r="R619" s="120"/>
      <c r="S619" s="121"/>
    </row>
    <row r="620" spans="1:19" ht="15">
      <c r="A620" s="105">
        <v>5</v>
      </c>
      <c r="B620" s="105"/>
      <c r="C620" s="107" t="s">
        <v>442</v>
      </c>
      <c r="D620" s="107" t="s">
        <v>448</v>
      </c>
      <c r="E620" s="120">
        <v>1534882.9329226501</v>
      </c>
      <c r="F620" s="120" t="s">
        <v>250</v>
      </c>
      <c r="G620" s="120">
        <v>1439893.6146916768</v>
      </c>
      <c r="H620" s="120" t="s">
        <v>250</v>
      </c>
      <c r="I620" s="120">
        <v>65209.69194023851</v>
      </c>
      <c r="J620" s="120">
        <v>29779.626290734748</v>
      </c>
      <c r="K620" s="120" t="s">
        <v>250</v>
      </c>
      <c r="L620" s="120" t="s">
        <v>250</v>
      </c>
      <c r="M620" s="120">
        <v>0</v>
      </c>
      <c r="N620" s="120" t="s">
        <v>250</v>
      </c>
      <c r="O620" s="120">
        <v>29779.626290734748</v>
      </c>
      <c r="P620" s="120">
        <v>15105.892805007559</v>
      </c>
      <c r="Q620" s="120">
        <v>14673.733485727191</v>
      </c>
      <c r="R620" s="120"/>
      <c r="S620" s="121"/>
    </row>
    <row r="621" spans="1:19" ht="15">
      <c r="A621" s="105">
        <v>6</v>
      </c>
      <c r="B621" s="105"/>
      <c r="C621" s="107" t="s">
        <v>444</v>
      </c>
      <c r="D621" s="107" t="s">
        <v>311</v>
      </c>
      <c r="E621" s="120">
        <v>12.000000000000004</v>
      </c>
      <c r="F621" s="120" t="s">
        <v>250</v>
      </c>
      <c r="G621" s="120">
        <v>6.1724797230663979</v>
      </c>
      <c r="H621" s="120" t="s">
        <v>250</v>
      </c>
      <c r="I621" s="120">
        <v>4.0005635276832985</v>
      </c>
      <c r="J621" s="120">
        <v>1.8269567492503074</v>
      </c>
      <c r="K621" s="120" t="s">
        <v>250</v>
      </c>
      <c r="L621" s="120" t="s">
        <v>250</v>
      </c>
      <c r="M621" s="120">
        <v>0</v>
      </c>
      <c r="N621" s="120" t="s">
        <v>250</v>
      </c>
      <c r="O621" s="120">
        <v>1.8269567492503074</v>
      </c>
      <c r="P621" s="120">
        <v>0.92673469250843643</v>
      </c>
      <c r="Q621" s="120">
        <v>0.90022205674187095</v>
      </c>
      <c r="R621" s="120"/>
      <c r="S621" s="121"/>
    </row>
    <row r="622" spans="1:19" ht="15">
      <c r="A622" s="105">
        <v>7</v>
      </c>
      <c r="B622" s="105"/>
      <c r="C622" s="107" t="s">
        <v>445</v>
      </c>
      <c r="D622" s="107" t="s">
        <v>313</v>
      </c>
      <c r="E622" s="120">
        <v>735.99999999999977</v>
      </c>
      <c r="F622" s="120" t="s">
        <v>250</v>
      </c>
      <c r="G622" s="120">
        <v>567.90813851681128</v>
      </c>
      <c r="H622" s="120" t="s">
        <v>250</v>
      </c>
      <c r="I622" s="120">
        <v>0</v>
      </c>
      <c r="J622" s="120">
        <v>168.09186148318855</v>
      </c>
      <c r="K622" s="120" t="s">
        <v>250</v>
      </c>
      <c r="L622" s="120" t="s">
        <v>250</v>
      </c>
      <c r="M622" s="120">
        <v>0</v>
      </c>
      <c r="N622" s="120" t="s">
        <v>250</v>
      </c>
      <c r="O622" s="120">
        <v>168.09186148318855</v>
      </c>
      <c r="P622" s="120">
        <v>85.265597901382392</v>
      </c>
      <c r="Q622" s="120">
        <v>82.826263581806145</v>
      </c>
      <c r="R622" s="120"/>
      <c r="S622" s="121"/>
    </row>
    <row r="623" spans="1:19" ht="15">
      <c r="A623" s="105">
        <v>8</v>
      </c>
      <c r="B623" s="105"/>
      <c r="C623" s="107" t="s">
        <v>449</v>
      </c>
      <c r="D623" s="107" t="s">
        <v>250</v>
      </c>
      <c r="E623" s="120">
        <v>1535630.9329226501</v>
      </c>
      <c r="F623" s="120" t="s">
        <v>250</v>
      </c>
      <c r="G623" s="120">
        <v>1440467.6953099167</v>
      </c>
      <c r="H623" s="120" t="s">
        <v>250</v>
      </c>
      <c r="I623" s="120">
        <v>65213.692503766193</v>
      </c>
      <c r="J623" s="120">
        <v>29949.545108967188</v>
      </c>
      <c r="K623" s="120" t="s">
        <v>250</v>
      </c>
      <c r="L623" s="120" t="s">
        <v>250</v>
      </c>
      <c r="M623" s="120">
        <v>0</v>
      </c>
      <c r="N623" s="120" t="s">
        <v>250</v>
      </c>
      <c r="O623" s="120">
        <v>29949.545108967188</v>
      </c>
      <c r="P623" s="120">
        <v>15192.085137601449</v>
      </c>
      <c r="Q623" s="120">
        <v>14757.459971365739</v>
      </c>
      <c r="R623" s="120"/>
      <c r="S623" s="121"/>
    </row>
    <row r="624" spans="1:19" ht="15">
      <c r="A624" s="105" t="s">
        <v>250</v>
      </c>
      <c r="B624" s="105"/>
      <c r="C624" s="107" t="s">
        <v>250</v>
      </c>
      <c r="D624" s="107" t="s">
        <v>250</v>
      </c>
      <c r="E624" s="120" t="s">
        <v>250</v>
      </c>
      <c r="F624" s="120" t="s">
        <v>250</v>
      </c>
      <c r="G624" s="120" t="s">
        <v>250</v>
      </c>
      <c r="H624" s="120" t="s">
        <v>250</v>
      </c>
      <c r="I624" s="120" t="s">
        <v>250</v>
      </c>
      <c r="J624" s="120" t="s">
        <v>250</v>
      </c>
      <c r="K624" s="120" t="s">
        <v>250</v>
      </c>
      <c r="L624" s="120" t="s">
        <v>250</v>
      </c>
      <c r="M624" s="120" t="s">
        <v>250</v>
      </c>
      <c r="N624" s="120" t="s">
        <v>250</v>
      </c>
      <c r="O624" s="120" t="s">
        <v>250</v>
      </c>
      <c r="P624" s="120" t="s">
        <v>250</v>
      </c>
      <c r="Q624" s="120" t="s">
        <v>250</v>
      </c>
      <c r="R624" s="120"/>
      <c r="S624" s="121"/>
    </row>
    <row r="625" spans="1:19" ht="15">
      <c r="A625" s="105" t="s">
        <v>250</v>
      </c>
      <c r="B625" s="105"/>
      <c r="C625" s="107" t="s">
        <v>450</v>
      </c>
      <c r="D625" s="107" t="s">
        <v>250</v>
      </c>
      <c r="E625" s="120" t="s">
        <v>250</v>
      </c>
      <c r="F625" s="120" t="s">
        <v>250</v>
      </c>
      <c r="G625" s="120" t="s">
        <v>250</v>
      </c>
      <c r="H625" s="120" t="s">
        <v>250</v>
      </c>
      <c r="I625" s="120" t="s">
        <v>250</v>
      </c>
      <c r="J625" s="120" t="s">
        <v>250</v>
      </c>
      <c r="K625" s="120" t="s">
        <v>250</v>
      </c>
      <c r="L625" s="120" t="s">
        <v>250</v>
      </c>
      <c r="M625" s="120" t="s">
        <v>250</v>
      </c>
      <c r="N625" s="120" t="s">
        <v>250</v>
      </c>
      <c r="O625" s="120" t="s">
        <v>250</v>
      </c>
      <c r="P625" s="120" t="s">
        <v>250</v>
      </c>
      <c r="Q625" s="120" t="s">
        <v>250</v>
      </c>
      <c r="R625" s="120"/>
      <c r="S625" s="121"/>
    </row>
    <row r="626" spans="1:19" ht="15">
      <c r="A626" s="105">
        <v>9</v>
      </c>
      <c r="B626" s="105"/>
      <c r="C626" s="107" t="s">
        <v>442</v>
      </c>
      <c r="D626" s="107" t="s">
        <v>451</v>
      </c>
      <c r="E626" s="120">
        <v>31558650.066737738</v>
      </c>
      <c r="F626" s="120" t="s">
        <v>250</v>
      </c>
      <c r="G626" s="120">
        <v>29611194.813465558</v>
      </c>
      <c r="H626" s="120" t="s">
        <v>250</v>
      </c>
      <c r="I626" s="120">
        <v>1336918.2924809058</v>
      </c>
      <c r="J626" s="120">
        <v>610536.96079127607</v>
      </c>
      <c r="K626" s="120" t="s">
        <v>250</v>
      </c>
      <c r="L626" s="120" t="s">
        <v>250</v>
      </c>
      <c r="M626" s="120">
        <v>0</v>
      </c>
      <c r="N626" s="120" t="s">
        <v>250</v>
      </c>
      <c r="O626" s="120">
        <v>610536.96079127607</v>
      </c>
      <c r="P626" s="120">
        <v>309698.50975186861</v>
      </c>
      <c r="Q626" s="120">
        <v>300838.4510394074</v>
      </c>
      <c r="R626" s="120"/>
      <c r="S626" s="121"/>
    </row>
    <row r="627" spans="1:19" ht="15">
      <c r="A627" s="105">
        <v>10</v>
      </c>
      <c r="B627" s="105"/>
      <c r="C627" s="107" t="s">
        <v>444</v>
      </c>
      <c r="D627" s="107" t="s">
        <v>311</v>
      </c>
      <c r="E627" s="120">
        <v>44.000000000000043</v>
      </c>
      <c r="F627" s="120" t="s">
        <v>250</v>
      </c>
      <c r="G627" s="120">
        <v>22.632425651243473</v>
      </c>
      <c r="H627" s="120" t="s">
        <v>250</v>
      </c>
      <c r="I627" s="120">
        <v>14.668732934838772</v>
      </c>
      <c r="J627" s="120">
        <v>6.6988414139177985</v>
      </c>
      <c r="K627" s="120" t="s">
        <v>250</v>
      </c>
      <c r="L627" s="120" t="s">
        <v>250</v>
      </c>
      <c r="M627" s="120">
        <v>0</v>
      </c>
      <c r="N627" s="120" t="s">
        <v>250</v>
      </c>
      <c r="O627" s="120">
        <v>6.6988414139177985</v>
      </c>
      <c r="P627" s="120">
        <v>3.3980272058642695</v>
      </c>
      <c r="Q627" s="120">
        <v>3.300814208053529</v>
      </c>
      <c r="R627" s="120"/>
      <c r="S627" s="121"/>
    </row>
    <row r="628" spans="1:19" ht="15">
      <c r="A628" s="105">
        <v>11</v>
      </c>
      <c r="B628" s="105"/>
      <c r="C628" s="107" t="s">
        <v>445</v>
      </c>
      <c r="D628" s="107" t="s">
        <v>313</v>
      </c>
      <c r="E628" s="120">
        <v>40386.999999999956</v>
      </c>
      <c r="F628" s="120" t="s">
        <v>250</v>
      </c>
      <c r="G628" s="120">
        <v>31163.187486791358</v>
      </c>
      <c r="H628" s="120" t="s">
        <v>250</v>
      </c>
      <c r="I628" s="120">
        <v>0</v>
      </c>
      <c r="J628" s="120">
        <v>9223.8125132086025</v>
      </c>
      <c r="K628" s="120" t="s">
        <v>250</v>
      </c>
      <c r="L628" s="120" t="s">
        <v>250</v>
      </c>
      <c r="M628" s="120">
        <v>0</v>
      </c>
      <c r="N628" s="120" t="s">
        <v>250</v>
      </c>
      <c r="O628" s="120">
        <v>9223.8125132086025</v>
      </c>
      <c r="P628" s="120">
        <v>4678.8338348412071</v>
      </c>
      <c r="Q628" s="120">
        <v>4544.9786783673944</v>
      </c>
      <c r="R628" s="120"/>
      <c r="S628" s="121"/>
    </row>
    <row r="629" spans="1:19" ht="15">
      <c r="A629" s="105">
        <v>12</v>
      </c>
      <c r="B629" s="105"/>
      <c r="C629" s="107" t="s">
        <v>452</v>
      </c>
      <c r="D629" s="107" t="s">
        <v>250</v>
      </c>
      <c r="E629" s="120">
        <v>31599081.066737741</v>
      </c>
      <c r="F629" s="120" t="s">
        <v>250</v>
      </c>
      <c r="G629" s="120">
        <v>29642380.633377999</v>
      </c>
      <c r="H629" s="120" t="s">
        <v>250</v>
      </c>
      <c r="I629" s="120">
        <v>1336932.9612138406</v>
      </c>
      <c r="J629" s="120">
        <v>619767.4721458985</v>
      </c>
      <c r="K629" s="120" t="s">
        <v>250</v>
      </c>
      <c r="L629" s="120" t="s">
        <v>250</v>
      </c>
      <c r="M629" s="120">
        <v>0</v>
      </c>
      <c r="N629" s="120" t="s">
        <v>250</v>
      </c>
      <c r="O629" s="120">
        <v>619767.4721458985</v>
      </c>
      <c r="P629" s="120">
        <v>314380.74161391566</v>
      </c>
      <c r="Q629" s="120">
        <v>305386.73053198284</v>
      </c>
      <c r="R629" s="120"/>
      <c r="S629" s="121"/>
    </row>
    <row r="630" spans="1:19" ht="15">
      <c r="A630" s="105" t="s">
        <v>250</v>
      </c>
      <c r="B630" s="105"/>
      <c r="C630" s="107" t="s">
        <v>250</v>
      </c>
      <c r="D630" s="107" t="s">
        <v>250</v>
      </c>
      <c r="E630" s="120" t="s">
        <v>250</v>
      </c>
      <c r="F630" s="120" t="s">
        <v>250</v>
      </c>
      <c r="G630" s="120" t="s">
        <v>250</v>
      </c>
      <c r="H630" s="120" t="s">
        <v>250</v>
      </c>
      <c r="I630" s="120" t="s">
        <v>250</v>
      </c>
      <c r="J630" s="120" t="s">
        <v>250</v>
      </c>
      <c r="K630" s="120" t="s">
        <v>250</v>
      </c>
      <c r="L630" s="120" t="s">
        <v>250</v>
      </c>
      <c r="M630" s="120" t="s">
        <v>250</v>
      </c>
      <c r="N630" s="120" t="s">
        <v>250</v>
      </c>
      <c r="O630" s="120" t="s">
        <v>250</v>
      </c>
      <c r="P630" s="120" t="s">
        <v>250</v>
      </c>
      <c r="Q630" s="120" t="s">
        <v>250</v>
      </c>
      <c r="R630" s="120"/>
      <c r="S630" s="121"/>
    </row>
    <row r="631" spans="1:19" ht="15">
      <c r="A631" s="105">
        <v>13</v>
      </c>
      <c r="B631" s="105"/>
      <c r="C631" s="107" t="s">
        <v>453</v>
      </c>
      <c r="D631" s="107" t="s">
        <v>250</v>
      </c>
      <c r="E631" s="120">
        <v>303185727.47151959</v>
      </c>
      <c r="F631" s="120" t="s">
        <v>250</v>
      </c>
      <c r="G631" s="120">
        <v>284268171.15909851</v>
      </c>
      <c r="H631" s="120" t="s">
        <v>250</v>
      </c>
      <c r="I631" s="120">
        <v>12950796.341230841</v>
      </c>
      <c r="J631" s="120">
        <v>5966759.9711901974</v>
      </c>
      <c r="K631" s="120" t="s">
        <v>250</v>
      </c>
      <c r="L631" s="120" t="s">
        <v>250</v>
      </c>
      <c r="M631" s="120">
        <v>0</v>
      </c>
      <c r="N631" s="120" t="s">
        <v>250</v>
      </c>
      <c r="O631" s="120">
        <v>5966759.9711901974</v>
      </c>
      <c r="P631" s="120">
        <v>3026674.5337248249</v>
      </c>
      <c r="Q631" s="120">
        <v>2940085.4374653725</v>
      </c>
      <c r="R631" s="120"/>
      <c r="S631" s="121"/>
    </row>
    <row r="632" spans="1:19" ht="15">
      <c r="A632" s="105" t="s">
        <v>250</v>
      </c>
      <c r="B632" s="105"/>
      <c r="C632" s="107" t="s">
        <v>250</v>
      </c>
      <c r="D632" s="107" t="s">
        <v>250</v>
      </c>
      <c r="E632" s="120" t="s">
        <v>250</v>
      </c>
      <c r="F632" s="120" t="s">
        <v>250</v>
      </c>
      <c r="G632" s="120" t="s">
        <v>250</v>
      </c>
      <c r="H632" s="120" t="s">
        <v>250</v>
      </c>
      <c r="I632" s="120" t="s">
        <v>250</v>
      </c>
      <c r="J632" s="120" t="s">
        <v>250</v>
      </c>
      <c r="K632" s="120" t="s">
        <v>250</v>
      </c>
      <c r="L632" s="120" t="s">
        <v>250</v>
      </c>
      <c r="M632" s="120" t="s">
        <v>250</v>
      </c>
      <c r="N632" s="120" t="s">
        <v>250</v>
      </c>
      <c r="O632" s="120" t="s">
        <v>250</v>
      </c>
      <c r="P632" s="120" t="s">
        <v>250</v>
      </c>
      <c r="Q632" s="120" t="s">
        <v>250</v>
      </c>
      <c r="R632" s="120"/>
      <c r="S632" s="121"/>
    </row>
    <row r="633" spans="1:19" ht="15">
      <c r="A633" s="105" t="s">
        <v>250</v>
      </c>
      <c r="B633" s="105"/>
      <c r="C633" s="107" t="s">
        <v>454</v>
      </c>
      <c r="D633" s="107" t="s">
        <v>250</v>
      </c>
      <c r="E633" s="120" t="s">
        <v>250</v>
      </c>
      <c r="F633" s="120" t="s">
        <v>250</v>
      </c>
      <c r="G633" s="120" t="s">
        <v>250</v>
      </c>
      <c r="H633" s="120" t="s">
        <v>250</v>
      </c>
      <c r="I633" s="120" t="s">
        <v>250</v>
      </c>
      <c r="J633" s="120" t="s">
        <v>250</v>
      </c>
      <c r="K633" s="120" t="s">
        <v>250</v>
      </c>
      <c r="L633" s="120" t="s">
        <v>250</v>
      </c>
      <c r="M633" s="120" t="s">
        <v>250</v>
      </c>
      <c r="N633" s="120" t="s">
        <v>250</v>
      </c>
      <c r="O633" s="120" t="s">
        <v>250</v>
      </c>
      <c r="P633" s="120" t="s">
        <v>250</v>
      </c>
      <c r="Q633" s="120" t="s">
        <v>250</v>
      </c>
      <c r="R633" s="120"/>
      <c r="S633" s="121"/>
    </row>
    <row r="634" spans="1:19" ht="15">
      <c r="A634" s="105">
        <v>14</v>
      </c>
      <c r="B634" s="105"/>
      <c r="C634" s="107" t="s">
        <v>455</v>
      </c>
      <c r="D634" s="107" t="s">
        <v>456</v>
      </c>
      <c r="E634" s="120">
        <v>31568609.396611322</v>
      </c>
      <c r="F634" s="120" t="s">
        <v>250</v>
      </c>
      <c r="G634" s="120">
        <v>30191755.053505402</v>
      </c>
      <c r="H634" s="120" t="s">
        <v>250</v>
      </c>
      <c r="I634" s="120">
        <v>1376854.3431059211</v>
      </c>
      <c r="J634" s="120">
        <v>0</v>
      </c>
      <c r="K634" s="120" t="s">
        <v>250</v>
      </c>
      <c r="L634" s="120" t="s">
        <v>250</v>
      </c>
      <c r="M634" s="120">
        <v>0</v>
      </c>
      <c r="N634" s="120" t="s">
        <v>250</v>
      </c>
      <c r="O634" s="120">
        <v>0</v>
      </c>
      <c r="P634" s="120">
        <v>0</v>
      </c>
      <c r="Q634" s="120">
        <v>0</v>
      </c>
      <c r="R634" s="120"/>
      <c r="S634" s="121"/>
    </row>
    <row r="635" spans="1:19" ht="15">
      <c r="A635" s="105">
        <v>15</v>
      </c>
      <c r="B635" s="105"/>
      <c r="C635" s="107" t="s">
        <v>457</v>
      </c>
      <c r="D635" s="107" t="s">
        <v>458</v>
      </c>
      <c r="E635" s="120">
        <v>2398815.533403995</v>
      </c>
      <c r="F635" s="120" t="s">
        <v>250</v>
      </c>
      <c r="G635" s="120">
        <v>192227.94035306343</v>
      </c>
      <c r="H635" s="120" t="s">
        <v>250</v>
      </c>
      <c r="I635" s="120">
        <v>2206587.5930509316</v>
      </c>
      <c r="J635" s="120">
        <v>0</v>
      </c>
      <c r="K635" s="120" t="s">
        <v>250</v>
      </c>
      <c r="L635" s="120" t="s">
        <v>250</v>
      </c>
      <c r="M635" s="120">
        <v>0</v>
      </c>
      <c r="N635" s="120" t="s">
        <v>250</v>
      </c>
      <c r="O635" s="120">
        <v>0</v>
      </c>
      <c r="P635" s="120">
        <v>0</v>
      </c>
      <c r="Q635" s="120">
        <v>0</v>
      </c>
      <c r="R635" s="120"/>
      <c r="S635" s="121"/>
    </row>
    <row r="636" spans="1:19" ht="15">
      <c r="A636" s="105">
        <v>17</v>
      </c>
      <c r="B636" s="105"/>
      <c r="C636" s="107" t="s">
        <v>459</v>
      </c>
      <c r="D636" s="107" t="s">
        <v>311</v>
      </c>
      <c r="E636" s="120">
        <v>29637.000000000004</v>
      </c>
      <c r="F636" s="120" t="s">
        <v>250</v>
      </c>
      <c r="G636" s="120">
        <v>15244.481796043234</v>
      </c>
      <c r="H636" s="120" t="s">
        <v>250</v>
      </c>
      <c r="I636" s="120">
        <v>9880.3917724958246</v>
      </c>
      <c r="J636" s="120">
        <v>4512.1264314609462</v>
      </c>
      <c r="K636" s="120" t="s">
        <v>250</v>
      </c>
      <c r="L636" s="120" t="s">
        <v>250</v>
      </c>
      <c r="M636" s="120">
        <v>0</v>
      </c>
      <c r="N636" s="120" t="s">
        <v>250</v>
      </c>
      <c r="O636" s="120">
        <v>4512.1264314609462</v>
      </c>
      <c r="P636" s="120">
        <v>2288.8030068227108</v>
      </c>
      <c r="Q636" s="120">
        <v>2223.3234246382353</v>
      </c>
      <c r="R636" s="120"/>
      <c r="S636" s="121"/>
    </row>
    <row r="637" spans="1:19" ht="15">
      <c r="A637" s="105">
        <v>18</v>
      </c>
      <c r="B637" s="105"/>
      <c r="C637" s="107" t="s">
        <v>460</v>
      </c>
      <c r="D637" s="107" t="s">
        <v>313</v>
      </c>
      <c r="E637" s="120">
        <v>7034.9999999999991</v>
      </c>
      <c r="F637" s="120" t="s">
        <v>250</v>
      </c>
      <c r="G637" s="120">
        <v>5428.3067316110973</v>
      </c>
      <c r="H637" s="120" t="s">
        <v>250</v>
      </c>
      <c r="I637" s="120">
        <v>0</v>
      </c>
      <c r="J637" s="120">
        <v>1606.6932683889017</v>
      </c>
      <c r="K637" s="120" t="s">
        <v>250</v>
      </c>
      <c r="L637" s="120" t="s">
        <v>250</v>
      </c>
      <c r="M637" s="120">
        <v>0</v>
      </c>
      <c r="N637" s="120" t="s">
        <v>250</v>
      </c>
      <c r="O637" s="120">
        <v>1606.6932683889017</v>
      </c>
      <c r="P637" s="120">
        <v>815.00472994052348</v>
      </c>
      <c r="Q637" s="120">
        <v>791.68853844837815</v>
      </c>
      <c r="R637" s="120"/>
      <c r="S637" s="121"/>
    </row>
    <row r="638" spans="1:19" ht="15">
      <c r="A638" s="105">
        <v>19</v>
      </c>
      <c r="B638" s="105"/>
      <c r="C638" s="107" t="s">
        <v>461</v>
      </c>
      <c r="D638" s="107" t="s">
        <v>250</v>
      </c>
      <c r="E638" s="120">
        <v>34004096.930015318</v>
      </c>
      <c r="F638" s="120" t="s">
        <v>250</v>
      </c>
      <c r="G638" s="120">
        <v>30404655.78238612</v>
      </c>
      <c r="H638" s="120" t="s">
        <v>250</v>
      </c>
      <c r="I638" s="120">
        <v>3593322.3279293487</v>
      </c>
      <c r="J638" s="120">
        <v>6118.8196998498479</v>
      </c>
      <c r="K638" s="120" t="s">
        <v>250</v>
      </c>
      <c r="L638" s="120" t="s">
        <v>250</v>
      </c>
      <c r="M638" s="120">
        <v>0</v>
      </c>
      <c r="N638" s="120" t="s">
        <v>250</v>
      </c>
      <c r="O638" s="120">
        <v>6118.8196998498479</v>
      </c>
      <c r="P638" s="120">
        <v>3103.8077367632341</v>
      </c>
      <c r="Q638" s="120">
        <v>3015.0119630866134</v>
      </c>
      <c r="R638" s="120"/>
      <c r="S638" s="121"/>
    </row>
    <row r="639" spans="1:19" ht="15">
      <c r="A639" s="105" t="s">
        <v>250</v>
      </c>
      <c r="B639" s="105"/>
      <c r="C639" s="107" t="s">
        <v>250</v>
      </c>
      <c r="D639" s="107" t="s">
        <v>250</v>
      </c>
      <c r="E639" s="120" t="s">
        <v>250</v>
      </c>
      <c r="F639" s="120" t="s">
        <v>250</v>
      </c>
      <c r="G639" s="120" t="s">
        <v>250</v>
      </c>
      <c r="H639" s="120" t="s">
        <v>250</v>
      </c>
      <c r="I639" s="120" t="s">
        <v>250</v>
      </c>
      <c r="J639" s="120" t="s">
        <v>250</v>
      </c>
      <c r="K639" s="120" t="s">
        <v>250</v>
      </c>
      <c r="L639" s="120" t="s">
        <v>250</v>
      </c>
      <c r="M639" s="120" t="s">
        <v>250</v>
      </c>
      <c r="N639" s="120" t="s">
        <v>250</v>
      </c>
      <c r="O639" s="120" t="s">
        <v>250</v>
      </c>
      <c r="P639" s="120" t="s">
        <v>250</v>
      </c>
      <c r="Q639" s="120" t="s">
        <v>250</v>
      </c>
      <c r="R639" s="120"/>
      <c r="S639" s="121"/>
    </row>
    <row r="640" spans="1:19" ht="15">
      <c r="A640" s="105" t="s">
        <v>250</v>
      </c>
      <c r="B640" s="105"/>
      <c r="C640" s="107" t="s">
        <v>744</v>
      </c>
      <c r="D640" s="107" t="s">
        <v>250</v>
      </c>
      <c r="E640" s="120" t="s">
        <v>250</v>
      </c>
      <c r="F640" s="120" t="s">
        <v>250</v>
      </c>
      <c r="G640" s="120" t="s">
        <v>250</v>
      </c>
      <c r="H640" s="120" t="s">
        <v>250</v>
      </c>
      <c r="I640" s="120" t="s">
        <v>250</v>
      </c>
      <c r="J640" s="120" t="s">
        <v>250</v>
      </c>
      <c r="K640" s="120" t="s">
        <v>250</v>
      </c>
      <c r="L640" s="120" t="s">
        <v>250</v>
      </c>
      <c r="M640" s="120" t="s">
        <v>250</v>
      </c>
      <c r="N640" s="120" t="s">
        <v>250</v>
      </c>
      <c r="O640" s="120" t="s">
        <v>250</v>
      </c>
      <c r="P640" s="120" t="s">
        <v>250</v>
      </c>
      <c r="Q640" s="120" t="s">
        <v>250</v>
      </c>
      <c r="R640" s="120"/>
      <c r="S640" s="121"/>
    </row>
    <row r="641" spans="1:19" ht="15">
      <c r="A641" s="105">
        <v>20</v>
      </c>
      <c r="B641" s="105"/>
      <c r="C641" s="107" t="s">
        <v>745</v>
      </c>
      <c r="D641" s="107" t="s">
        <v>746</v>
      </c>
      <c r="E641" s="120">
        <v>40214485.129911974</v>
      </c>
      <c r="F641" s="120" t="s">
        <v>250</v>
      </c>
      <c r="G641" s="120">
        <v>40149604.991333358</v>
      </c>
      <c r="H641" s="120" t="s">
        <v>250</v>
      </c>
      <c r="I641" s="120">
        <v>0</v>
      </c>
      <c r="J641" s="120">
        <v>64880.138578617574</v>
      </c>
      <c r="K641" s="120" t="s">
        <v>250</v>
      </c>
      <c r="L641" s="120" t="s">
        <v>250</v>
      </c>
      <c r="M641" s="120">
        <v>0</v>
      </c>
      <c r="N641" s="120" t="s">
        <v>250</v>
      </c>
      <c r="O641" s="120">
        <v>64880.138578617574</v>
      </c>
      <c r="P641" s="120">
        <v>64386.394551498452</v>
      </c>
      <c r="Q641" s="120">
        <v>493.74402711912302</v>
      </c>
      <c r="R641" s="120"/>
      <c r="S641" s="121"/>
    </row>
    <row r="642" spans="1:19" ht="15">
      <c r="A642" s="105">
        <v>21</v>
      </c>
      <c r="B642" s="105"/>
      <c r="C642" s="107" t="s">
        <v>747</v>
      </c>
      <c r="D642" s="107" t="s">
        <v>748</v>
      </c>
      <c r="E642" s="120">
        <v>1886418.2785480998</v>
      </c>
      <c r="F642" s="120" t="s">
        <v>250</v>
      </c>
      <c r="G642" s="120">
        <v>0</v>
      </c>
      <c r="H642" s="120" t="s">
        <v>250</v>
      </c>
      <c r="I642" s="120">
        <v>1886418.2785480998</v>
      </c>
      <c r="J642" s="120">
        <v>0</v>
      </c>
      <c r="K642" s="120" t="s">
        <v>250</v>
      </c>
      <c r="L642" s="120" t="s">
        <v>250</v>
      </c>
      <c r="M642" s="120">
        <v>0</v>
      </c>
      <c r="N642" s="120" t="s">
        <v>250</v>
      </c>
      <c r="O642" s="120">
        <v>0</v>
      </c>
      <c r="P642" s="120">
        <v>0</v>
      </c>
      <c r="Q642" s="120">
        <v>0</v>
      </c>
      <c r="R642" s="120"/>
      <c r="S642" s="121"/>
    </row>
    <row r="643" spans="1:19" ht="15">
      <c r="A643" s="105">
        <v>22</v>
      </c>
      <c r="B643" s="105"/>
      <c r="C643" s="107" t="s">
        <v>749</v>
      </c>
      <c r="D643" s="107" t="s">
        <v>750</v>
      </c>
      <c r="E643" s="120">
        <v>1630.7284189559998</v>
      </c>
      <c r="F643" s="120" t="s">
        <v>250</v>
      </c>
      <c r="G643" s="120">
        <v>1630.7284189559998</v>
      </c>
      <c r="H643" s="120" t="s">
        <v>250</v>
      </c>
      <c r="I643" s="120">
        <v>0</v>
      </c>
      <c r="J643" s="120">
        <v>0</v>
      </c>
      <c r="K643" s="120" t="s">
        <v>250</v>
      </c>
      <c r="L643" s="120" t="s">
        <v>250</v>
      </c>
      <c r="M643" s="120">
        <v>0</v>
      </c>
      <c r="N643" s="120" t="s">
        <v>250</v>
      </c>
      <c r="O643" s="120">
        <v>0</v>
      </c>
      <c r="P643" s="120">
        <v>0</v>
      </c>
      <c r="Q643" s="120">
        <v>0</v>
      </c>
      <c r="R643" s="120"/>
      <c r="S643" s="121"/>
    </row>
    <row r="644" spans="1:19" ht="15">
      <c r="A644" s="105">
        <v>23</v>
      </c>
      <c r="B644" s="105"/>
      <c r="C644" s="107" t="s">
        <v>466</v>
      </c>
      <c r="D644" s="107" t="s">
        <v>250</v>
      </c>
      <c r="E644" s="120">
        <v>42102534.136879027</v>
      </c>
      <c r="F644" s="120" t="s">
        <v>250</v>
      </c>
      <c r="G644" s="120">
        <v>40151235.719752312</v>
      </c>
      <c r="H644" s="120" t="s">
        <v>250</v>
      </c>
      <c r="I644" s="120">
        <v>1886418.2785480998</v>
      </c>
      <c r="J644" s="120">
        <v>64880.138578617574</v>
      </c>
      <c r="K644" s="120" t="s">
        <v>250</v>
      </c>
      <c r="L644" s="120" t="s">
        <v>250</v>
      </c>
      <c r="M644" s="120">
        <v>0</v>
      </c>
      <c r="N644" s="120" t="s">
        <v>250</v>
      </c>
      <c r="O644" s="120">
        <v>64880.138578617574</v>
      </c>
      <c r="P644" s="120">
        <v>64386.394551498452</v>
      </c>
      <c r="Q644" s="120">
        <v>493.74402711912302</v>
      </c>
      <c r="R644" s="120"/>
      <c r="S644" s="121"/>
    </row>
    <row r="645" spans="1:19" ht="15">
      <c r="A645" s="105" t="s">
        <v>250</v>
      </c>
      <c r="B645" s="105"/>
      <c r="C645" s="107" t="s">
        <v>250</v>
      </c>
      <c r="D645" s="107" t="s">
        <v>250</v>
      </c>
      <c r="E645" s="120" t="s">
        <v>250</v>
      </c>
      <c r="F645" s="120" t="s">
        <v>250</v>
      </c>
      <c r="G645" s="120" t="s">
        <v>250</v>
      </c>
      <c r="H645" s="120" t="s">
        <v>250</v>
      </c>
      <c r="I645" s="120" t="s">
        <v>250</v>
      </c>
      <c r="J645" s="120" t="s">
        <v>250</v>
      </c>
      <c r="K645" s="120" t="s">
        <v>250</v>
      </c>
      <c r="L645" s="120" t="s">
        <v>250</v>
      </c>
      <c r="M645" s="120" t="s">
        <v>250</v>
      </c>
      <c r="N645" s="120" t="s">
        <v>250</v>
      </c>
      <c r="O645" s="120" t="s">
        <v>250</v>
      </c>
      <c r="P645" s="120" t="s">
        <v>250</v>
      </c>
      <c r="Q645" s="120" t="s">
        <v>250</v>
      </c>
      <c r="R645" s="120"/>
      <c r="S645" s="121"/>
    </row>
    <row r="646" spans="1:19" ht="15">
      <c r="A646" s="105">
        <v>24</v>
      </c>
      <c r="B646" s="105"/>
      <c r="C646" s="107" t="s">
        <v>416</v>
      </c>
      <c r="D646" s="107" t="s">
        <v>467</v>
      </c>
      <c r="E646" s="120">
        <v>14649925.796733944</v>
      </c>
      <c r="F646" s="120" t="s">
        <v>250</v>
      </c>
      <c r="G646" s="120">
        <v>13809820.968731679</v>
      </c>
      <c r="H646" s="120" t="s">
        <v>250</v>
      </c>
      <c r="I646" s="120">
        <v>677127.66956646892</v>
      </c>
      <c r="J646" s="120">
        <v>162977.15843579517</v>
      </c>
      <c r="K646" s="120" t="s">
        <v>250</v>
      </c>
      <c r="L646" s="120" t="s">
        <v>250</v>
      </c>
      <c r="M646" s="120">
        <v>0</v>
      </c>
      <c r="N646" s="120" t="s">
        <v>250</v>
      </c>
      <c r="O646" s="120">
        <v>162977.15843579517</v>
      </c>
      <c r="P646" s="120">
        <v>84978.199269442906</v>
      </c>
      <c r="Q646" s="120">
        <v>77998.959166352244</v>
      </c>
      <c r="R646" s="120"/>
      <c r="S646" s="121"/>
    </row>
    <row r="647" spans="1:19" ht="15">
      <c r="A647" s="105" t="s">
        <v>250</v>
      </c>
      <c r="B647" s="105"/>
      <c r="C647" s="107" t="s">
        <v>250</v>
      </c>
      <c r="D647" s="107" t="s">
        <v>250</v>
      </c>
      <c r="E647" s="120" t="s">
        <v>250</v>
      </c>
      <c r="F647" s="120" t="s">
        <v>250</v>
      </c>
      <c r="G647" s="120" t="s">
        <v>250</v>
      </c>
      <c r="H647" s="120" t="s">
        <v>250</v>
      </c>
      <c r="I647" s="120" t="s">
        <v>250</v>
      </c>
      <c r="J647" s="120" t="s">
        <v>250</v>
      </c>
      <c r="K647" s="120" t="s">
        <v>250</v>
      </c>
      <c r="L647" s="120" t="s">
        <v>250</v>
      </c>
      <c r="M647" s="120" t="s">
        <v>250</v>
      </c>
      <c r="N647" s="120" t="s">
        <v>250</v>
      </c>
      <c r="O647" s="120" t="s">
        <v>250</v>
      </c>
      <c r="P647" s="120" t="s">
        <v>250</v>
      </c>
      <c r="Q647" s="120" t="s">
        <v>250</v>
      </c>
      <c r="R647" s="120"/>
      <c r="S647" s="121"/>
    </row>
    <row r="648" spans="1:19" ht="15">
      <c r="A648" s="105">
        <v>25</v>
      </c>
      <c r="B648" s="105"/>
      <c r="C648" s="107" t="s">
        <v>470</v>
      </c>
      <c r="D648" s="107" t="s">
        <v>471</v>
      </c>
      <c r="E648" s="120">
        <v>21922140.443639979</v>
      </c>
      <c r="F648" s="120" t="s">
        <v>250</v>
      </c>
      <c r="G648" s="120">
        <v>20490079.342778746</v>
      </c>
      <c r="H648" s="120" t="s">
        <v>250</v>
      </c>
      <c r="I648" s="120">
        <v>1142824.9301076999</v>
      </c>
      <c r="J648" s="120">
        <v>289236.17075353302</v>
      </c>
      <c r="K648" s="120" t="s">
        <v>250</v>
      </c>
      <c r="L648" s="120" t="s">
        <v>250</v>
      </c>
      <c r="M648" s="120">
        <v>0</v>
      </c>
      <c r="N648" s="120" t="s">
        <v>250</v>
      </c>
      <c r="O648" s="120">
        <v>289236.17075353302</v>
      </c>
      <c r="P648" s="120">
        <v>151340.21986674488</v>
      </c>
      <c r="Q648" s="120">
        <v>137895.95088678817</v>
      </c>
      <c r="R648" s="120"/>
      <c r="S648" s="121"/>
    </row>
    <row r="649" spans="1:19" ht="15">
      <c r="A649" s="105" t="s">
        <v>250</v>
      </c>
      <c r="B649" s="105"/>
      <c r="C649" s="107" t="s">
        <v>250</v>
      </c>
      <c r="D649" s="107" t="s">
        <v>250</v>
      </c>
      <c r="E649" s="120" t="s">
        <v>250</v>
      </c>
      <c r="F649" s="120" t="s">
        <v>250</v>
      </c>
      <c r="G649" s="120" t="s">
        <v>250</v>
      </c>
      <c r="H649" s="120" t="s">
        <v>250</v>
      </c>
      <c r="I649" s="120" t="s">
        <v>250</v>
      </c>
      <c r="J649" s="120" t="s">
        <v>250</v>
      </c>
      <c r="K649" s="120" t="s">
        <v>250</v>
      </c>
      <c r="L649" s="120" t="s">
        <v>250</v>
      </c>
      <c r="M649" s="120" t="s">
        <v>250</v>
      </c>
      <c r="N649" s="120" t="s">
        <v>250</v>
      </c>
      <c r="O649" s="120" t="s">
        <v>250</v>
      </c>
      <c r="P649" s="120" t="s">
        <v>250</v>
      </c>
      <c r="Q649" s="120" t="s">
        <v>250</v>
      </c>
      <c r="R649" s="120"/>
      <c r="S649" s="121"/>
    </row>
    <row r="650" spans="1:19" ht="15">
      <c r="A650" s="105">
        <v>26</v>
      </c>
      <c r="B650" s="105"/>
      <c r="C650" s="107" t="s">
        <v>468</v>
      </c>
      <c r="D650" s="107" t="s">
        <v>469</v>
      </c>
      <c r="E650" s="120">
        <v>5240.5823579999987</v>
      </c>
      <c r="F650" s="120" t="s">
        <v>250</v>
      </c>
      <c r="G650" s="120">
        <v>5240.5823579999987</v>
      </c>
      <c r="H650" s="120" t="s">
        <v>250</v>
      </c>
      <c r="I650" s="120">
        <v>0</v>
      </c>
      <c r="J650" s="120">
        <v>0</v>
      </c>
      <c r="K650" s="120" t="s">
        <v>250</v>
      </c>
      <c r="L650" s="120" t="s">
        <v>250</v>
      </c>
      <c r="M650" s="120">
        <v>0</v>
      </c>
      <c r="N650" s="120" t="s">
        <v>250</v>
      </c>
      <c r="O650" s="120">
        <v>0</v>
      </c>
      <c r="P650" s="120">
        <v>0</v>
      </c>
      <c r="Q650" s="120">
        <v>0</v>
      </c>
      <c r="R650" s="120"/>
      <c r="S650" s="121"/>
    </row>
    <row r="651" spans="1:19" ht="15">
      <c r="A651" s="105" t="s">
        <v>250</v>
      </c>
      <c r="B651" s="105"/>
      <c r="C651" s="107" t="s">
        <v>250</v>
      </c>
      <c r="D651" s="107" t="s">
        <v>250</v>
      </c>
      <c r="E651" s="120" t="s">
        <v>250</v>
      </c>
      <c r="F651" s="120" t="s">
        <v>250</v>
      </c>
      <c r="G651" s="120" t="s">
        <v>250</v>
      </c>
      <c r="H651" s="120" t="s">
        <v>250</v>
      </c>
      <c r="I651" s="120" t="s">
        <v>250</v>
      </c>
      <c r="J651" s="120" t="s">
        <v>250</v>
      </c>
      <c r="K651" s="120" t="s">
        <v>250</v>
      </c>
      <c r="L651" s="120" t="s">
        <v>250</v>
      </c>
      <c r="M651" s="120" t="s">
        <v>250</v>
      </c>
      <c r="N651" s="120" t="s">
        <v>250</v>
      </c>
      <c r="O651" s="120" t="s">
        <v>250</v>
      </c>
      <c r="P651" s="120" t="s">
        <v>250</v>
      </c>
      <c r="Q651" s="120" t="s">
        <v>250</v>
      </c>
      <c r="R651" s="120"/>
      <c r="S651" s="121"/>
    </row>
    <row r="652" spans="1:19" ht="15">
      <c r="A652" s="105">
        <v>27</v>
      </c>
      <c r="B652" s="105"/>
      <c r="C652" s="107" t="s">
        <v>751</v>
      </c>
      <c r="D652" s="107" t="s">
        <v>250</v>
      </c>
      <c r="E652" s="120">
        <v>415869665.36114585</v>
      </c>
      <c r="F652" s="120" t="s">
        <v>250</v>
      </c>
      <c r="G652" s="120">
        <v>389129203.55510539</v>
      </c>
      <c r="H652" s="120" t="s">
        <v>250</v>
      </c>
      <c r="I652" s="120">
        <v>20250489.547382459</v>
      </c>
      <c r="J652" s="120">
        <v>6489972.2586579928</v>
      </c>
      <c r="K652" s="120" t="s">
        <v>250</v>
      </c>
      <c r="L652" s="120" t="s">
        <v>250</v>
      </c>
      <c r="M652" s="120">
        <v>0</v>
      </c>
      <c r="N652" s="120" t="s">
        <v>250</v>
      </c>
      <c r="O652" s="120">
        <v>6489972.2586579928</v>
      </c>
      <c r="P652" s="120">
        <v>3330483.155149274</v>
      </c>
      <c r="Q652" s="120">
        <v>3159489.1035087188</v>
      </c>
      <c r="R652" s="120"/>
      <c r="S652" s="121"/>
    </row>
    <row r="653" spans="1:19" ht="15">
      <c r="A653" s="105" t="s">
        <v>250</v>
      </c>
      <c r="B653" s="105"/>
      <c r="C653" s="107" t="s">
        <v>250</v>
      </c>
      <c r="D653" s="107" t="s">
        <v>250</v>
      </c>
      <c r="E653" s="120" t="s">
        <v>250</v>
      </c>
      <c r="F653" s="120" t="s">
        <v>250</v>
      </c>
      <c r="G653" s="120" t="s">
        <v>250</v>
      </c>
      <c r="H653" s="120" t="s">
        <v>250</v>
      </c>
      <c r="I653" s="120" t="s">
        <v>250</v>
      </c>
      <c r="J653" s="120" t="s">
        <v>250</v>
      </c>
      <c r="K653" s="120" t="s">
        <v>250</v>
      </c>
      <c r="L653" s="120" t="s">
        <v>250</v>
      </c>
      <c r="M653" s="120" t="s">
        <v>250</v>
      </c>
      <c r="N653" s="120" t="s">
        <v>250</v>
      </c>
      <c r="O653" s="120" t="s">
        <v>250</v>
      </c>
      <c r="P653" s="120" t="s">
        <v>250</v>
      </c>
      <c r="Q653" s="120" t="s">
        <v>250</v>
      </c>
      <c r="R653" s="120"/>
      <c r="S653" s="121"/>
    </row>
    <row r="654" spans="1:19" ht="15">
      <c r="A654" s="105" t="s">
        <v>250</v>
      </c>
      <c r="B654" s="105"/>
      <c r="C654" s="107" t="s">
        <v>250</v>
      </c>
      <c r="D654" s="107" t="s">
        <v>250</v>
      </c>
      <c r="E654" s="120" t="s">
        <v>250</v>
      </c>
      <c r="F654" s="120" t="s">
        <v>250</v>
      </c>
      <c r="G654" s="120" t="s">
        <v>250</v>
      </c>
      <c r="H654" s="120" t="s">
        <v>250</v>
      </c>
      <c r="I654" s="120" t="s">
        <v>250</v>
      </c>
      <c r="J654" s="120" t="s">
        <v>250</v>
      </c>
      <c r="K654" s="120" t="s">
        <v>250</v>
      </c>
      <c r="L654" s="120" t="s">
        <v>250</v>
      </c>
      <c r="M654" s="120" t="s">
        <v>250</v>
      </c>
      <c r="N654" s="120" t="s">
        <v>250</v>
      </c>
      <c r="O654" s="120" t="s">
        <v>250</v>
      </c>
      <c r="P654" s="120" t="s">
        <v>250</v>
      </c>
      <c r="Q654" s="120" t="s">
        <v>250</v>
      </c>
      <c r="R654" s="120"/>
      <c r="S654" s="121"/>
    </row>
    <row r="655" spans="1:19" ht="15">
      <c r="A655" s="105" t="s">
        <v>250</v>
      </c>
      <c r="B655" s="105"/>
      <c r="C655" s="107" t="s">
        <v>2231</v>
      </c>
      <c r="D655" s="107" t="s">
        <v>250</v>
      </c>
      <c r="E655" s="120" t="s">
        <v>250</v>
      </c>
      <c r="F655" s="120" t="s">
        <v>250</v>
      </c>
      <c r="G655" s="120" t="s">
        <v>250</v>
      </c>
      <c r="H655" s="120" t="s">
        <v>250</v>
      </c>
      <c r="I655" s="120" t="s">
        <v>250</v>
      </c>
      <c r="J655" s="120" t="s">
        <v>250</v>
      </c>
      <c r="K655" s="120" t="s">
        <v>250</v>
      </c>
      <c r="L655" s="120" t="s">
        <v>250</v>
      </c>
      <c r="M655" s="120" t="s">
        <v>250</v>
      </c>
      <c r="N655" s="120" t="s">
        <v>250</v>
      </c>
      <c r="O655" s="120" t="s">
        <v>250</v>
      </c>
      <c r="P655" s="120" t="s">
        <v>250</v>
      </c>
      <c r="Q655" s="120" t="s">
        <v>250</v>
      </c>
      <c r="R655" s="120"/>
      <c r="S655" s="121"/>
    </row>
    <row r="656" spans="1:19" ht="15">
      <c r="A656" s="105" t="s">
        <v>250</v>
      </c>
      <c r="B656" s="105"/>
      <c r="C656" s="107" t="s">
        <v>250</v>
      </c>
      <c r="D656" s="107" t="s">
        <v>250</v>
      </c>
      <c r="E656" s="120" t="s">
        <v>250</v>
      </c>
      <c r="F656" s="120" t="s">
        <v>250</v>
      </c>
      <c r="G656" s="120" t="s">
        <v>250</v>
      </c>
      <c r="H656" s="120" t="s">
        <v>250</v>
      </c>
      <c r="I656" s="120" t="s">
        <v>250</v>
      </c>
      <c r="J656" s="120" t="s">
        <v>250</v>
      </c>
      <c r="K656" s="120" t="s">
        <v>250</v>
      </c>
      <c r="L656" s="120" t="s">
        <v>250</v>
      </c>
      <c r="M656" s="120" t="s">
        <v>250</v>
      </c>
      <c r="N656" s="120" t="s">
        <v>250</v>
      </c>
      <c r="O656" s="120" t="s">
        <v>250</v>
      </c>
      <c r="P656" s="120" t="s">
        <v>250</v>
      </c>
      <c r="Q656" s="120" t="s">
        <v>250</v>
      </c>
      <c r="R656" s="120"/>
      <c r="S656" s="121"/>
    </row>
    <row r="657" spans="1:19" ht="15">
      <c r="A657" s="105" t="s">
        <v>250</v>
      </c>
      <c r="B657" s="105"/>
      <c r="C657" s="107" t="s">
        <v>2232</v>
      </c>
      <c r="D657" s="107" t="s">
        <v>250</v>
      </c>
      <c r="E657" s="120" t="s">
        <v>250</v>
      </c>
      <c r="F657" s="120" t="s">
        <v>250</v>
      </c>
      <c r="G657" s="120" t="s">
        <v>250</v>
      </c>
      <c r="H657" s="120" t="s">
        <v>250</v>
      </c>
      <c r="I657" s="120" t="s">
        <v>250</v>
      </c>
      <c r="J657" s="120" t="s">
        <v>250</v>
      </c>
      <c r="K657" s="120" t="s">
        <v>250</v>
      </c>
      <c r="L657" s="120" t="s">
        <v>250</v>
      </c>
      <c r="M657" s="120" t="s">
        <v>250</v>
      </c>
      <c r="N657" s="120" t="s">
        <v>250</v>
      </c>
      <c r="O657" s="120" t="s">
        <v>250</v>
      </c>
      <c r="P657" s="120" t="s">
        <v>250</v>
      </c>
      <c r="Q657" s="120" t="s">
        <v>250</v>
      </c>
      <c r="R657" s="120"/>
      <c r="S657" s="121"/>
    </row>
    <row r="658" spans="1:19" ht="15">
      <c r="A658" s="105" t="s">
        <v>250</v>
      </c>
      <c r="B658" s="105"/>
      <c r="C658" s="107" t="s">
        <v>250</v>
      </c>
      <c r="D658" s="107" t="s">
        <v>250</v>
      </c>
      <c r="E658" s="120" t="s">
        <v>250</v>
      </c>
      <c r="F658" s="120" t="s">
        <v>250</v>
      </c>
      <c r="G658" s="120" t="s">
        <v>250</v>
      </c>
      <c r="H658" s="120" t="s">
        <v>250</v>
      </c>
      <c r="I658" s="120" t="s">
        <v>250</v>
      </c>
      <c r="J658" s="120" t="s">
        <v>250</v>
      </c>
      <c r="K658" s="120" t="s">
        <v>250</v>
      </c>
      <c r="L658" s="120" t="s">
        <v>250</v>
      </c>
      <c r="M658" s="120" t="s">
        <v>250</v>
      </c>
      <c r="N658" s="120" t="s">
        <v>250</v>
      </c>
      <c r="O658" s="120" t="s">
        <v>250</v>
      </c>
      <c r="P658" s="120" t="s">
        <v>250</v>
      </c>
      <c r="Q658" s="120" t="s">
        <v>250</v>
      </c>
      <c r="R658" s="120"/>
      <c r="S658" s="121"/>
    </row>
    <row r="659" spans="1:19" ht="15">
      <c r="A659" s="105" t="s">
        <v>250</v>
      </c>
      <c r="B659" s="105"/>
      <c r="C659" s="107" t="s">
        <v>440</v>
      </c>
      <c r="D659" s="107" t="s">
        <v>250</v>
      </c>
      <c r="E659" s="120" t="s">
        <v>250</v>
      </c>
      <c r="F659" s="120" t="s">
        <v>250</v>
      </c>
      <c r="G659" s="120" t="s">
        <v>250</v>
      </c>
      <c r="H659" s="120" t="s">
        <v>250</v>
      </c>
      <c r="I659" s="120" t="s">
        <v>250</v>
      </c>
      <c r="J659" s="120" t="s">
        <v>250</v>
      </c>
      <c r="K659" s="120" t="s">
        <v>250</v>
      </c>
      <c r="L659" s="120" t="s">
        <v>250</v>
      </c>
      <c r="M659" s="120" t="s">
        <v>250</v>
      </c>
      <c r="N659" s="120" t="s">
        <v>250</v>
      </c>
      <c r="O659" s="120" t="s">
        <v>250</v>
      </c>
      <c r="P659" s="120" t="s">
        <v>250</v>
      </c>
      <c r="Q659" s="120" t="s">
        <v>250</v>
      </c>
      <c r="R659" s="120"/>
      <c r="S659" s="121"/>
    </row>
    <row r="660" spans="1:19" ht="15">
      <c r="A660" s="105">
        <v>1</v>
      </c>
      <c r="B660" s="105"/>
      <c r="C660" s="107" t="s">
        <v>441</v>
      </c>
      <c r="D660" s="107" t="s">
        <v>732</v>
      </c>
      <c r="E660" s="120">
        <v>15097734.217080034</v>
      </c>
      <c r="F660" s="120" t="s">
        <v>250</v>
      </c>
      <c r="G660" s="120">
        <v>14409913.723276298</v>
      </c>
      <c r="H660" s="120" t="s">
        <v>250</v>
      </c>
      <c r="I660" s="120">
        <v>573176.75</v>
      </c>
      <c r="J660" s="120">
        <v>114643.74380373658</v>
      </c>
      <c r="K660" s="120" t="s">
        <v>250</v>
      </c>
      <c r="L660" s="120" t="s">
        <v>250</v>
      </c>
      <c r="M660" s="120">
        <v>0</v>
      </c>
      <c r="N660" s="120" t="s">
        <v>250</v>
      </c>
      <c r="O660" s="120">
        <v>114643.74380373658</v>
      </c>
      <c r="P660" s="120">
        <v>58510.406531572</v>
      </c>
      <c r="Q660" s="120">
        <v>56133.337272164572</v>
      </c>
      <c r="R660" s="120"/>
      <c r="S660" s="121"/>
    </row>
    <row r="661" spans="1:19" ht="15">
      <c r="A661" s="105">
        <v>2</v>
      </c>
      <c r="B661" s="105"/>
      <c r="C661" s="107" t="s">
        <v>447</v>
      </c>
      <c r="D661" s="107" t="s">
        <v>448</v>
      </c>
      <c r="E661" s="120">
        <v>0</v>
      </c>
      <c r="F661" s="120" t="s">
        <v>250</v>
      </c>
      <c r="G661" s="120">
        <v>0</v>
      </c>
      <c r="H661" s="120" t="s">
        <v>250</v>
      </c>
      <c r="I661" s="120">
        <v>0</v>
      </c>
      <c r="J661" s="120">
        <v>0</v>
      </c>
      <c r="K661" s="120" t="s">
        <v>250</v>
      </c>
      <c r="L661" s="120" t="s">
        <v>250</v>
      </c>
      <c r="M661" s="120">
        <v>0</v>
      </c>
      <c r="N661" s="120" t="s">
        <v>250</v>
      </c>
      <c r="O661" s="120">
        <v>0</v>
      </c>
      <c r="P661" s="120">
        <v>0</v>
      </c>
      <c r="Q661" s="120">
        <v>0</v>
      </c>
      <c r="R661" s="120"/>
      <c r="S661" s="121"/>
    </row>
    <row r="662" spans="1:19" ht="15">
      <c r="A662" s="105">
        <v>3</v>
      </c>
      <c r="B662" s="105"/>
      <c r="C662" s="107" t="s">
        <v>450</v>
      </c>
      <c r="D662" s="107" t="s">
        <v>451</v>
      </c>
      <c r="E662" s="120">
        <v>0</v>
      </c>
      <c r="F662" s="120" t="s">
        <v>250</v>
      </c>
      <c r="G662" s="120">
        <v>0</v>
      </c>
      <c r="H662" s="120" t="s">
        <v>250</v>
      </c>
      <c r="I662" s="120">
        <v>0</v>
      </c>
      <c r="J662" s="120">
        <v>0</v>
      </c>
      <c r="K662" s="120" t="s">
        <v>250</v>
      </c>
      <c r="L662" s="120" t="s">
        <v>250</v>
      </c>
      <c r="M662" s="120">
        <v>0</v>
      </c>
      <c r="N662" s="120" t="s">
        <v>250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 t="s">
        <v>250</v>
      </c>
      <c r="B663" s="105"/>
      <c r="C663" s="107" t="s">
        <v>250</v>
      </c>
      <c r="D663" s="107" t="s">
        <v>250</v>
      </c>
      <c r="E663" s="120" t="s">
        <v>250</v>
      </c>
      <c r="F663" s="120" t="s">
        <v>250</v>
      </c>
      <c r="G663" s="120" t="s">
        <v>250</v>
      </c>
      <c r="H663" s="120" t="s">
        <v>250</v>
      </c>
      <c r="I663" s="120" t="s">
        <v>250</v>
      </c>
      <c r="J663" s="120" t="s">
        <v>250</v>
      </c>
      <c r="K663" s="120" t="s">
        <v>250</v>
      </c>
      <c r="L663" s="120" t="s">
        <v>250</v>
      </c>
      <c r="M663" s="120" t="s">
        <v>250</v>
      </c>
      <c r="N663" s="120" t="s">
        <v>250</v>
      </c>
      <c r="O663" s="120" t="s">
        <v>250</v>
      </c>
      <c r="P663" s="120" t="s">
        <v>250</v>
      </c>
      <c r="Q663" s="120" t="s">
        <v>250</v>
      </c>
      <c r="R663" s="120"/>
      <c r="S663" s="121"/>
    </row>
    <row r="664" spans="1:19" ht="15">
      <c r="A664" s="105">
        <v>4</v>
      </c>
      <c r="B664" s="105"/>
      <c r="C664" s="107" t="s">
        <v>453</v>
      </c>
      <c r="D664" s="107" t="s">
        <v>250</v>
      </c>
      <c r="E664" s="120">
        <v>15097734.217080034</v>
      </c>
      <c r="F664" s="120" t="s">
        <v>250</v>
      </c>
      <c r="G664" s="120">
        <v>14409913.723276298</v>
      </c>
      <c r="H664" s="120" t="s">
        <v>250</v>
      </c>
      <c r="I664" s="120">
        <v>573176.75</v>
      </c>
      <c r="J664" s="120">
        <v>114643.74380373658</v>
      </c>
      <c r="K664" s="120" t="s">
        <v>250</v>
      </c>
      <c r="L664" s="120" t="s">
        <v>250</v>
      </c>
      <c r="M664" s="120">
        <v>0</v>
      </c>
      <c r="N664" s="120" t="s">
        <v>250</v>
      </c>
      <c r="O664" s="120">
        <v>114643.74380373658</v>
      </c>
      <c r="P664" s="120">
        <v>58510.406531572</v>
      </c>
      <c r="Q664" s="120">
        <v>56133.337272164572</v>
      </c>
      <c r="R664" s="120"/>
      <c r="S664" s="121"/>
    </row>
    <row r="665" spans="1:19" ht="15">
      <c r="A665" s="105" t="s">
        <v>250</v>
      </c>
      <c r="B665" s="105"/>
      <c r="C665" s="107" t="s">
        <v>250</v>
      </c>
      <c r="D665" s="107" t="s">
        <v>250</v>
      </c>
      <c r="E665" s="120" t="s">
        <v>250</v>
      </c>
      <c r="F665" s="120" t="s">
        <v>250</v>
      </c>
      <c r="G665" s="120" t="s">
        <v>250</v>
      </c>
      <c r="H665" s="120" t="s">
        <v>250</v>
      </c>
      <c r="I665" s="120" t="s">
        <v>250</v>
      </c>
      <c r="J665" s="120" t="s">
        <v>250</v>
      </c>
      <c r="K665" s="120" t="s">
        <v>250</v>
      </c>
      <c r="L665" s="120" t="s">
        <v>250</v>
      </c>
      <c r="M665" s="120" t="s">
        <v>250</v>
      </c>
      <c r="N665" s="120" t="s">
        <v>250</v>
      </c>
      <c r="O665" s="120" t="s">
        <v>250</v>
      </c>
      <c r="P665" s="120" t="s">
        <v>250</v>
      </c>
      <c r="Q665" s="120" t="s">
        <v>250</v>
      </c>
      <c r="R665" s="120"/>
      <c r="S665" s="121"/>
    </row>
    <row r="666" spans="1:19" ht="15">
      <c r="A666" s="105" t="s">
        <v>250</v>
      </c>
      <c r="B666" s="105"/>
      <c r="C666" s="107" t="s">
        <v>454</v>
      </c>
      <c r="D666" s="107" t="s">
        <v>250</v>
      </c>
      <c r="E666" s="120" t="s">
        <v>250</v>
      </c>
      <c r="F666" s="120" t="s">
        <v>250</v>
      </c>
      <c r="G666" s="120" t="s">
        <v>250</v>
      </c>
      <c r="H666" s="120" t="s">
        <v>250</v>
      </c>
      <c r="I666" s="120" t="s">
        <v>250</v>
      </c>
      <c r="J666" s="120" t="s">
        <v>250</v>
      </c>
      <c r="K666" s="120" t="s">
        <v>250</v>
      </c>
      <c r="L666" s="120" t="s">
        <v>250</v>
      </c>
      <c r="M666" s="120" t="s">
        <v>250</v>
      </c>
      <c r="N666" s="120" t="s">
        <v>250</v>
      </c>
      <c r="O666" s="120" t="s">
        <v>250</v>
      </c>
      <c r="P666" s="120" t="s">
        <v>250</v>
      </c>
      <c r="Q666" s="120" t="s">
        <v>250</v>
      </c>
      <c r="R666" s="120"/>
      <c r="S666" s="121"/>
    </row>
    <row r="667" spans="1:19" ht="15">
      <c r="A667" s="105">
        <v>5</v>
      </c>
      <c r="B667" s="105"/>
      <c r="C667" s="107" t="s">
        <v>455</v>
      </c>
      <c r="D667" s="107" t="s">
        <v>456</v>
      </c>
      <c r="E667" s="120">
        <v>0</v>
      </c>
      <c r="F667" s="120" t="s">
        <v>250</v>
      </c>
      <c r="G667" s="120">
        <v>0</v>
      </c>
      <c r="H667" s="120" t="s">
        <v>250</v>
      </c>
      <c r="I667" s="120">
        <v>0</v>
      </c>
      <c r="J667" s="120">
        <v>0</v>
      </c>
      <c r="K667" s="120" t="s">
        <v>250</v>
      </c>
      <c r="L667" s="120" t="s">
        <v>250</v>
      </c>
      <c r="M667" s="120">
        <v>0</v>
      </c>
      <c r="N667" s="120" t="s">
        <v>250</v>
      </c>
      <c r="O667" s="120">
        <v>0</v>
      </c>
      <c r="P667" s="120">
        <v>0</v>
      </c>
      <c r="Q667" s="120">
        <v>0</v>
      </c>
      <c r="R667" s="120"/>
      <c r="S667" s="121"/>
    </row>
    <row r="668" spans="1:19" ht="15">
      <c r="A668" s="105">
        <v>6</v>
      </c>
      <c r="B668" s="105"/>
      <c r="C668" s="107" t="s">
        <v>457</v>
      </c>
      <c r="D668" s="107" t="s">
        <v>458</v>
      </c>
      <c r="E668" s="120">
        <v>0</v>
      </c>
      <c r="F668" s="120" t="s">
        <v>250</v>
      </c>
      <c r="G668" s="120">
        <v>0</v>
      </c>
      <c r="H668" s="120" t="s">
        <v>250</v>
      </c>
      <c r="I668" s="120">
        <v>0</v>
      </c>
      <c r="J668" s="120">
        <v>0</v>
      </c>
      <c r="K668" s="120" t="s">
        <v>250</v>
      </c>
      <c r="L668" s="120" t="s">
        <v>250</v>
      </c>
      <c r="M668" s="120">
        <v>0</v>
      </c>
      <c r="N668" s="120" t="s">
        <v>250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 t="s">
        <v>250</v>
      </c>
      <c r="B669" s="105"/>
      <c r="C669" s="107" t="s">
        <v>250</v>
      </c>
      <c r="D669" s="107" t="s">
        <v>250</v>
      </c>
      <c r="E669" s="120" t="s">
        <v>250</v>
      </c>
      <c r="F669" s="120" t="s">
        <v>250</v>
      </c>
      <c r="G669" s="120" t="s">
        <v>250</v>
      </c>
      <c r="H669" s="120" t="s">
        <v>250</v>
      </c>
      <c r="I669" s="120" t="s">
        <v>250</v>
      </c>
      <c r="J669" s="120" t="s">
        <v>250</v>
      </c>
      <c r="K669" s="120" t="s">
        <v>250</v>
      </c>
      <c r="L669" s="120" t="s">
        <v>250</v>
      </c>
      <c r="M669" s="120" t="s">
        <v>250</v>
      </c>
      <c r="N669" s="120" t="s">
        <v>250</v>
      </c>
      <c r="O669" s="120" t="s">
        <v>250</v>
      </c>
      <c r="P669" s="120" t="s">
        <v>250</v>
      </c>
      <c r="Q669" s="120" t="s">
        <v>250</v>
      </c>
      <c r="R669" s="120"/>
      <c r="S669" s="121"/>
    </row>
    <row r="670" spans="1:19" ht="15">
      <c r="A670" s="105">
        <v>7</v>
      </c>
      <c r="B670" s="105"/>
      <c r="C670" s="107" t="s">
        <v>461</v>
      </c>
      <c r="D670" s="107" t="s">
        <v>250</v>
      </c>
      <c r="E670" s="120">
        <v>0</v>
      </c>
      <c r="F670" s="120" t="s">
        <v>250</v>
      </c>
      <c r="G670" s="120">
        <v>0</v>
      </c>
      <c r="H670" s="120" t="s">
        <v>250</v>
      </c>
      <c r="I670" s="120">
        <v>0</v>
      </c>
      <c r="J670" s="120">
        <v>0</v>
      </c>
      <c r="K670" s="120" t="s">
        <v>250</v>
      </c>
      <c r="L670" s="120" t="s">
        <v>250</v>
      </c>
      <c r="M670" s="120">
        <v>0</v>
      </c>
      <c r="N670" s="120" t="s">
        <v>250</v>
      </c>
      <c r="O670" s="120">
        <v>0</v>
      </c>
      <c r="P670" s="120">
        <v>0</v>
      </c>
      <c r="Q670" s="120">
        <v>0</v>
      </c>
      <c r="R670" s="120"/>
      <c r="S670" s="121"/>
    </row>
    <row r="671" spans="1:19" ht="15">
      <c r="A671" s="105" t="s">
        <v>250</v>
      </c>
      <c r="B671" s="105"/>
      <c r="C671" s="107" t="s">
        <v>250</v>
      </c>
      <c r="D671" s="107" t="s">
        <v>250</v>
      </c>
      <c r="E671" s="120" t="s">
        <v>250</v>
      </c>
      <c r="F671" s="120" t="s">
        <v>250</v>
      </c>
      <c r="G671" s="120" t="s">
        <v>250</v>
      </c>
      <c r="H671" s="120" t="s">
        <v>250</v>
      </c>
      <c r="I671" s="120" t="s">
        <v>250</v>
      </c>
      <c r="J671" s="120" t="s">
        <v>250</v>
      </c>
      <c r="K671" s="120" t="s">
        <v>250</v>
      </c>
      <c r="L671" s="120" t="s">
        <v>250</v>
      </c>
      <c r="M671" s="120" t="s">
        <v>250</v>
      </c>
      <c r="N671" s="120" t="s">
        <v>250</v>
      </c>
      <c r="O671" s="120" t="s">
        <v>250</v>
      </c>
      <c r="P671" s="120" t="s">
        <v>250</v>
      </c>
      <c r="Q671" s="120" t="s">
        <v>250</v>
      </c>
      <c r="R671" s="120"/>
      <c r="S671" s="121"/>
    </row>
    <row r="672" spans="1:19" ht="15">
      <c r="A672" s="105" t="s">
        <v>250</v>
      </c>
      <c r="B672" s="105"/>
      <c r="C672" s="107" t="s">
        <v>744</v>
      </c>
      <c r="D672" s="107" t="s">
        <v>250</v>
      </c>
      <c r="E672" s="120" t="s">
        <v>250</v>
      </c>
      <c r="F672" s="120" t="s">
        <v>250</v>
      </c>
      <c r="G672" s="120" t="s">
        <v>250</v>
      </c>
      <c r="H672" s="120" t="s">
        <v>250</v>
      </c>
      <c r="I672" s="120" t="s">
        <v>250</v>
      </c>
      <c r="J672" s="120" t="s">
        <v>250</v>
      </c>
      <c r="K672" s="120" t="s">
        <v>250</v>
      </c>
      <c r="L672" s="120" t="s">
        <v>250</v>
      </c>
      <c r="M672" s="120" t="s">
        <v>250</v>
      </c>
      <c r="N672" s="120" t="s">
        <v>250</v>
      </c>
      <c r="O672" s="120" t="s">
        <v>250</v>
      </c>
      <c r="P672" s="120" t="s">
        <v>250</v>
      </c>
      <c r="Q672" s="120" t="s">
        <v>250</v>
      </c>
      <c r="R672" s="120"/>
      <c r="S672" s="121"/>
    </row>
    <row r="673" spans="1:19" ht="15">
      <c r="A673" s="105">
        <v>8</v>
      </c>
      <c r="B673" s="105"/>
      <c r="C673" s="107" t="s">
        <v>752</v>
      </c>
      <c r="D673" s="107" t="s">
        <v>746</v>
      </c>
      <c r="E673" s="120">
        <v>0</v>
      </c>
      <c r="F673" s="120" t="s">
        <v>250</v>
      </c>
      <c r="G673" s="120">
        <v>0</v>
      </c>
      <c r="H673" s="120" t="s">
        <v>250</v>
      </c>
      <c r="I673" s="120">
        <v>0</v>
      </c>
      <c r="J673" s="120">
        <v>0</v>
      </c>
      <c r="K673" s="120" t="s">
        <v>250</v>
      </c>
      <c r="L673" s="120" t="s">
        <v>250</v>
      </c>
      <c r="M673" s="120">
        <v>0</v>
      </c>
      <c r="N673" s="120" t="s">
        <v>250</v>
      </c>
      <c r="O673" s="120">
        <v>0</v>
      </c>
      <c r="P673" s="120">
        <v>0</v>
      </c>
      <c r="Q673" s="120">
        <v>0</v>
      </c>
      <c r="R673" s="120"/>
      <c r="S673" s="121"/>
    </row>
    <row r="674" spans="1:19" ht="15">
      <c r="A674" s="105">
        <v>9</v>
      </c>
      <c r="B674" s="105"/>
      <c r="C674" s="107" t="s">
        <v>753</v>
      </c>
      <c r="D674" s="107" t="s">
        <v>748</v>
      </c>
      <c r="E674" s="120">
        <v>0</v>
      </c>
      <c r="F674" s="120" t="s">
        <v>250</v>
      </c>
      <c r="G674" s="120">
        <v>0</v>
      </c>
      <c r="H674" s="120" t="s">
        <v>250</v>
      </c>
      <c r="I674" s="120">
        <v>0</v>
      </c>
      <c r="J674" s="120">
        <v>0</v>
      </c>
      <c r="K674" s="120" t="s">
        <v>250</v>
      </c>
      <c r="L674" s="120" t="s">
        <v>250</v>
      </c>
      <c r="M674" s="120">
        <v>0</v>
      </c>
      <c r="N674" s="120" t="s">
        <v>250</v>
      </c>
      <c r="O674" s="120">
        <v>0</v>
      </c>
      <c r="P674" s="120">
        <v>0</v>
      </c>
      <c r="Q674" s="120">
        <v>0</v>
      </c>
      <c r="R674" s="120"/>
      <c r="S674" s="121"/>
    </row>
    <row r="675" spans="1:19" ht="15">
      <c r="A675" s="105" t="s">
        <v>250</v>
      </c>
      <c r="B675" s="105"/>
      <c r="C675" s="107" t="s">
        <v>250</v>
      </c>
      <c r="D675" s="107" t="s">
        <v>250</v>
      </c>
      <c r="E675" s="120" t="s">
        <v>250</v>
      </c>
      <c r="F675" s="120" t="s">
        <v>250</v>
      </c>
      <c r="G675" s="120" t="s">
        <v>250</v>
      </c>
      <c r="H675" s="120" t="s">
        <v>250</v>
      </c>
      <c r="I675" s="120" t="s">
        <v>250</v>
      </c>
      <c r="J675" s="120" t="s">
        <v>250</v>
      </c>
      <c r="K675" s="120" t="s">
        <v>250</v>
      </c>
      <c r="L675" s="120" t="s">
        <v>250</v>
      </c>
      <c r="M675" s="120" t="s">
        <v>250</v>
      </c>
      <c r="N675" s="120" t="s">
        <v>250</v>
      </c>
      <c r="O675" s="120" t="s">
        <v>250</v>
      </c>
      <c r="P675" s="120" t="s">
        <v>250</v>
      </c>
      <c r="Q675" s="120" t="s">
        <v>250</v>
      </c>
      <c r="R675" s="120"/>
      <c r="S675" s="121"/>
    </row>
    <row r="676" spans="1:19" ht="15">
      <c r="A676" s="105">
        <v>10</v>
      </c>
      <c r="B676" s="105"/>
      <c r="C676" s="107" t="s">
        <v>466</v>
      </c>
      <c r="D676" s="107" t="s">
        <v>250</v>
      </c>
      <c r="E676" s="120">
        <v>0</v>
      </c>
      <c r="F676" s="120" t="s">
        <v>250</v>
      </c>
      <c r="G676" s="120">
        <v>0</v>
      </c>
      <c r="H676" s="120" t="s">
        <v>250</v>
      </c>
      <c r="I676" s="120">
        <v>0</v>
      </c>
      <c r="J676" s="120">
        <v>0</v>
      </c>
      <c r="K676" s="120" t="s">
        <v>250</v>
      </c>
      <c r="L676" s="120" t="s">
        <v>250</v>
      </c>
      <c r="M676" s="120">
        <v>0</v>
      </c>
      <c r="N676" s="120" t="s">
        <v>250</v>
      </c>
      <c r="O676" s="120">
        <v>0</v>
      </c>
      <c r="P676" s="120">
        <v>0</v>
      </c>
      <c r="Q676" s="120">
        <v>0</v>
      </c>
      <c r="R676" s="120"/>
      <c r="S676" s="121"/>
    </row>
    <row r="677" spans="1:19" ht="15">
      <c r="A677" s="105" t="s">
        <v>250</v>
      </c>
      <c r="B677" s="105"/>
      <c r="C677" s="107" t="s">
        <v>250</v>
      </c>
      <c r="D677" s="107" t="s">
        <v>250</v>
      </c>
      <c r="E677" s="120" t="s">
        <v>250</v>
      </c>
      <c r="F677" s="120" t="s">
        <v>250</v>
      </c>
      <c r="G677" s="120" t="s">
        <v>250</v>
      </c>
      <c r="H677" s="120" t="s">
        <v>250</v>
      </c>
      <c r="I677" s="120" t="s">
        <v>250</v>
      </c>
      <c r="J677" s="120" t="s">
        <v>250</v>
      </c>
      <c r="K677" s="120" t="s">
        <v>250</v>
      </c>
      <c r="L677" s="120" t="s">
        <v>250</v>
      </c>
      <c r="M677" s="120" t="s">
        <v>250</v>
      </c>
      <c r="N677" s="120" t="s">
        <v>250</v>
      </c>
      <c r="O677" s="120" t="s">
        <v>250</v>
      </c>
      <c r="P677" s="120" t="s">
        <v>250</v>
      </c>
      <c r="Q677" s="120" t="s">
        <v>250</v>
      </c>
      <c r="R677" s="120"/>
      <c r="S677" s="121"/>
    </row>
    <row r="678" spans="1:19" ht="15">
      <c r="A678" s="105">
        <v>11</v>
      </c>
      <c r="B678" s="105"/>
      <c r="C678" s="107" t="s">
        <v>2233</v>
      </c>
      <c r="D678" s="107" t="s">
        <v>250</v>
      </c>
      <c r="E678" s="120">
        <v>15097734.217080034</v>
      </c>
      <c r="F678" s="120" t="s">
        <v>250</v>
      </c>
      <c r="G678" s="120">
        <v>14409913.723276298</v>
      </c>
      <c r="H678" s="120" t="s">
        <v>250</v>
      </c>
      <c r="I678" s="120">
        <v>573176.75</v>
      </c>
      <c r="J678" s="120">
        <v>114643.74380373658</v>
      </c>
      <c r="K678" s="120" t="s">
        <v>250</v>
      </c>
      <c r="L678" s="120" t="s">
        <v>250</v>
      </c>
      <c r="M678" s="120">
        <v>0</v>
      </c>
      <c r="N678" s="120" t="s">
        <v>250</v>
      </c>
      <c r="O678" s="120">
        <v>114643.74380373658</v>
      </c>
      <c r="P678" s="120">
        <v>58510.406531572</v>
      </c>
      <c r="Q678" s="120">
        <v>56133.337272164572</v>
      </c>
      <c r="R678" s="120"/>
      <c r="S678" s="121"/>
    </row>
    <row r="679" spans="1:19" ht="15">
      <c r="A679" s="105" t="s">
        <v>250</v>
      </c>
      <c r="B679" s="105"/>
      <c r="C679" s="107" t="s">
        <v>250</v>
      </c>
      <c r="D679" s="107" t="s">
        <v>250</v>
      </c>
      <c r="E679" s="120" t="s">
        <v>250</v>
      </c>
      <c r="F679" s="120" t="s">
        <v>250</v>
      </c>
      <c r="G679" s="120" t="s">
        <v>250</v>
      </c>
      <c r="H679" s="120" t="s">
        <v>250</v>
      </c>
      <c r="I679" s="120" t="s">
        <v>250</v>
      </c>
      <c r="J679" s="120" t="s">
        <v>250</v>
      </c>
      <c r="K679" s="120" t="s">
        <v>250</v>
      </c>
      <c r="L679" s="120" t="s">
        <v>250</v>
      </c>
      <c r="M679" s="120" t="s">
        <v>250</v>
      </c>
      <c r="N679" s="120" t="s">
        <v>250</v>
      </c>
      <c r="O679" s="120" t="s">
        <v>250</v>
      </c>
      <c r="P679" s="120" t="s">
        <v>250</v>
      </c>
      <c r="Q679" s="120" t="s">
        <v>250</v>
      </c>
      <c r="R679" s="120"/>
      <c r="S679" s="121"/>
    </row>
    <row r="680" spans="1:19" ht="15">
      <c r="A680" s="105" t="s">
        <v>250</v>
      </c>
      <c r="B680" s="105"/>
      <c r="C680" s="107" t="s">
        <v>754</v>
      </c>
      <c r="D680" s="107" t="s">
        <v>250</v>
      </c>
      <c r="E680" s="120" t="s">
        <v>250</v>
      </c>
      <c r="F680" s="120" t="s">
        <v>250</v>
      </c>
      <c r="G680" s="120" t="s">
        <v>250</v>
      </c>
      <c r="H680" s="120" t="s">
        <v>250</v>
      </c>
      <c r="I680" s="120" t="s">
        <v>250</v>
      </c>
      <c r="J680" s="120" t="s">
        <v>250</v>
      </c>
      <c r="K680" s="120" t="s">
        <v>250</v>
      </c>
      <c r="L680" s="120" t="s">
        <v>250</v>
      </c>
      <c r="M680" s="120" t="s">
        <v>250</v>
      </c>
      <c r="N680" s="120" t="s">
        <v>250</v>
      </c>
      <c r="O680" s="120" t="s">
        <v>250</v>
      </c>
      <c r="P680" s="120" t="s">
        <v>250</v>
      </c>
      <c r="Q680" s="120" t="s">
        <v>250</v>
      </c>
      <c r="R680" s="120"/>
      <c r="S680" s="121"/>
    </row>
    <row r="681" spans="1:19" ht="15">
      <c r="A681" s="105" t="s">
        <v>250</v>
      </c>
      <c r="B681" s="105"/>
      <c r="C681" s="107" t="s">
        <v>250</v>
      </c>
      <c r="D681" s="107" t="s">
        <v>250</v>
      </c>
      <c r="E681" s="120" t="s">
        <v>250</v>
      </c>
      <c r="F681" s="120" t="s">
        <v>250</v>
      </c>
      <c r="G681" s="120" t="s">
        <v>250</v>
      </c>
      <c r="H681" s="120" t="s">
        <v>250</v>
      </c>
      <c r="I681" s="120" t="s">
        <v>250</v>
      </c>
      <c r="J681" s="120" t="s">
        <v>250</v>
      </c>
      <c r="K681" s="120" t="s">
        <v>250</v>
      </c>
      <c r="L681" s="120" t="s">
        <v>250</v>
      </c>
      <c r="M681" s="120" t="s">
        <v>250</v>
      </c>
      <c r="N681" s="120" t="s">
        <v>250</v>
      </c>
      <c r="O681" s="120" t="s">
        <v>250</v>
      </c>
      <c r="P681" s="120" t="s">
        <v>250</v>
      </c>
      <c r="Q681" s="120" t="s">
        <v>250</v>
      </c>
      <c r="R681" s="120"/>
      <c r="S681" s="121"/>
    </row>
    <row r="682" spans="1:19" ht="15">
      <c r="A682" s="105" t="s">
        <v>250</v>
      </c>
      <c r="B682" s="105"/>
      <c r="C682" s="107" t="s">
        <v>440</v>
      </c>
      <c r="D682" s="107" t="s">
        <v>250</v>
      </c>
      <c r="E682" s="120" t="s">
        <v>250</v>
      </c>
      <c r="F682" s="120" t="s">
        <v>250</v>
      </c>
      <c r="G682" s="120" t="s">
        <v>250</v>
      </c>
      <c r="H682" s="120" t="s">
        <v>250</v>
      </c>
      <c r="I682" s="120" t="s">
        <v>250</v>
      </c>
      <c r="J682" s="120" t="s">
        <v>250</v>
      </c>
      <c r="K682" s="120" t="s">
        <v>250</v>
      </c>
      <c r="L682" s="120" t="s">
        <v>250</v>
      </c>
      <c r="M682" s="120" t="s">
        <v>250</v>
      </c>
      <c r="N682" s="120" t="s">
        <v>250</v>
      </c>
      <c r="O682" s="120" t="s">
        <v>250</v>
      </c>
      <c r="P682" s="120" t="s">
        <v>250</v>
      </c>
      <c r="Q682" s="120" t="s">
        <v>250</v>
      </c>
      <c r="R682" s="120"/>
      <c r="S682" s="121"/>
    </row>
    <row r="683" spans="1:19" ht="15">
      <c r="A683" s="105">
        <v>12</v>
      </c>
      <c r="B683" s="105"/>
      <c r="C683" s="107" t="s">
        <v>441</v>
      </c>
      <c r="D683" s="107" t="s">
        <v>443</v>
      </c>
      <c r="E683" s="120">
        <v>0</v>
      </c>
      <c r="F683" s="120" t="s">
        <v>250</v>
      </c>
      <c r="G683" s="120">
        <v>0</v>
      </c>
      <c r="H683" s="120" t="s">
        <v>250</v>
      </c>
      <c r="I683" s="120">
        <v>0</v>
      </c>
      <c r="J683" s="120">
        <v>0</v>
      </c>
      <c r="K683" s="120" t="s">
        <v>250</v>
      </c>
      <c r="L683" s="120" t="s">
        <v>250</v>
      </c>
      <c r="M683" s="120">
        <v>0</v>
      </c>
      <c r="N683" s="120" t="s">
        <v>250</v>
      </c>
      <c r="O683" s="120">
        <v>0</v>
      </c>
      <c r="P683" s="120">
        <v>0</v>
      </c>
      <c r="Q683" s="120">
        <v>0</v>
      </c>
      <c r="R683" s="120"/>
      <c r="S683" s="121"/>
    </row>
    <row r="684" spans="1:19" ht="15">
      <c r="A684" s="105">
        <v>13</v>
      </c>
      <c r="B684" s="105"/>
      <c r="C684" s="107" t="s">
        <v>447</v>
      </c>
      <c r="D684" s="107" t="s">
        <v>448</v>
      </c>
      <c r="E684" s="120">
        <v>0</v>
      </c>
      <c r="F684" s="120" t="s">
        <v>250</v>
      </c>
      <c r="G684" s="120">
        <v>0</v>
      </c>
      <c r="H684" s="120" t="s">
        <v>250</v>
      </c>
      <c r="I684" s="120">
        <v>0</v>
      </c>
      <c r="J684" s="120">
        <v>0</v>
      </c>
      <c r="K684" s="120" t="s">
        <v>250</v>
      </c>
      <c r="L684" s="120" t="s">
        <v>250</v>
      </c>
      <c r="M684" s="120">
        <v>0</v>
      </c>
      <c r="N684" s="120" t="s">
        <v>250</v>
      </c>
      <c r="O684" s="120">
        <v>0</v>
      </c>
      <c r="P684" s="120">
        <v>0</v>
      </c>
      <c r="Q684" s="120">
        <v>0</v>
      </c>
      <c r="R684" s="120"/>
      <c r="S684" s="121"/>
    </row>
    <row r="685" spans="1:19" ht="15">
      <c r="A685" s="105">
        <v>14</v>
      </c>
      <c r="B685" s="105"/>
      <c r="C685" s="107" t="s">
        <v>450</v>
      </c>
      <c r="D685" s="107" t="s">
        <v>451</v>
      </c>
      <c r="E685" s="120">
        <v>0</v>
      </c>
      <c r="F685" s="120" t="s">
        <v>250</v>
      </c>
      <c r="G685" s="120">
        <v>0</v>
      </c>
      <c r="H685" s="120" t="s">
        <v>250</v>
      </c>
      <c r="I685" s="120">
        <v>0</v>
      </c>
      <c r="J685" s="120">
        <v>0</v>
      </c>
      <c r="K685" s="120" t="s">
        <v>250</v>
      </c>
      <c r="L685" s="120" t="s">
        <v>250</v>
      </c>
      <c r="M685" s="120">
        <v>0</v>
      </c>
      <c r="N685" s="120" t="s">
        <v>250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 t="s">
        <v>250</v>
      </c>
      <c r="B686" s="105"/>
      <c r="C686" s="107" t="s">
        <v>250</v>
      </c>
      <c r="D686" s="107" t="s">
        <v>250</v>
      </c>
      <c r="E686" s="120" t="s">
        <v>250</v>
      </c>
      <c r="F686" s="120" t="s">
        <v>250</v>
      </c>
      <c r="G686" s="120" t="s">
        <v>250</v>
      </c>
      <c r="H686" s="120" t="s">
        <v>250</v>
      </c>
      <c r="I686" s="120" t="s">
        <v>250</v>
      </c>
      <c r="J686" s="120" t="s">
        <v>250</v>
      </c>
      <c r="K686" s="120" t="s">
        <v>250</v>
      </c>
      <c r="L686" s="120" t="s">
        <v>250</v>
      </c>
      <c r="M686" s="120" t="s">
        <v>250</v>
      </c>
      <c r="N686" s="120" t="s">
        <v>250</v>
      </c>
      <c r="O686" s="120" t="s">
        <v>250</v>
      </c>
      <c r="P686" s="120" t="s">
        <v>250</v>
      </c>
      <c r="Q686" s="120" t="s">
        <v>250</v>
      </c>
      <c r="R686" s="120"/>
      <c r="S686" s="121"/>
    </row>
    <row r="687" spans="1:19" ht="15">
      <c r="A687" s="105">
        <v>15</v>
      </c>
      <c r="B687" s="105"/>
      <c r="C687" s="107" t="s">
        <v>453</v>
      </c>
      <c r="D687" s="107" t="s">
        <v>250</v>
      </c>
      <c r="E687" s="120">
        <v>0</v>
      </c>
      <c r="F687" s="120" t="s">
        <v>250</v>
      </c>
      <c r="G687" s="120">
        <v>0</v>
      </c>
      <c r="H687" s="120" t="s">
        <v>250</v>
      </c>
      <c r="I687" s="120">
        <v>0</v>
      </c>
      <c r="J687" s="120">
        <v>0</v>
      </c>
      <c r="K687" s="120" t="s">
        <v>250</v>
      </c>
      <c r="L687" s="120" t="s">
        <v>250</v>
      </c>
      <c r="M687" s="120">
        <v>0</v>
      </c>
      <c r="N687" s="120" t="s">
        <v>250</v>
      </c>
      <c r="O687" s="120">
        <v>0</v>
      </c>
      <c r="P687" s="120">
        <v>0</v>
      </c>
      <c r="Q687" s="120">
        <v>0</v>
      </c>
      <c r="R687" s="120"/>
      <c r="S687" s="121"/>
    </row>
    <row r="688" spans="1:19" ht="15">
      <c r="A688" s="105" t="s">
        <v>250</v>
      </c>
      <c r="B688" s="105"/>
      <c r="C688" s="107" t="s">
        <v>250</v>
      </c>
      <c r="D688" s="107" t="s">
        <v>250</v>
      </c>
      <c r="E688" s="120" t="s">
        <v>250</v>
      </c>
      <c r="F688" s="120" t="s">
        <v>250</v>
      </c>
      <c r="G688" s="120" t="s">
        <v>250</v>
      </c>
      <c r="H688" s="120" t="s">
        <v>250</v>
      </c>
      <c r="I688" s="120" t="s">
        <v>250</v>
      </c>
      <c r="J688" s="120" t="s">
        <v>250</v>
      </c>
      <c r="K688" s="120" t="s">
        <v>250</v>
      </c>
      <c r="L688" s="120" t="s">
        <v>250</v>
      </c>
      <c r="M688" s="120" t="s">
        <v>250</v>
      </c>
      <c r="N688" s="120" t="s">
        <v>250</v>
      </c>
      <c r="O688" s="120" t="s">
        <v>250</v>
      </c>
      <c r="P688" s="120" t="s">
        <v>250</v>
      </c>
      <c r="Q688" s="120" t="s">
        <v>250</v>
      </c>
      <c r="R688" s="120"/>
      <c r="S688" s="121"/>
    </row>
    <row r="689" spans="1:19" ht="15">
      <c r="A689" s="105" t="s">
        <v>250</v>
      </c>
      <c r="B689" s="105"/>
      <c r="C689" s="107" t="s">
        <v>454</v>
      </c>
      <c r="D689" s="107" t="s">
        <v>250</v>
      </c>
      <c r="E689" s="120" t="s">
        <v>250</v>
      </c>
      <c r="F689" s="120" t="s">
        <v>250</v>
      </c>
      <c r="G689" s="120" t="s">
        <v>250</v>
      </c>
      <c r="H689" s="120" t="s">
        <v>250</v>
      </c>
      <c r="I689" s="120" t="s">
        <v>250</v>
      </c>
      <c r="J689" s="120" t="s">
        <v>250</v>
      </c>
      <c r="K689" s="120" t="s">
        <v>250</v>
      </c>
      <c r="L689" s="120" t="s">
        <v>250</v>
      </c>
      <c r="M689" s="120" t="s">
        <v>250</v>
      </c>
      <c r="N689" s="120" t="s">
        <v>250</v>
      </c>
      <c r="O689" s="120" t="s">
        <v>250</v>
      </c>
      <c r="P689" s="120" t="s">
        <v>250</v>
      </c>
      <c r="Q689" s="120" t="s">
        <v>250</v>
      </c>
      <c r="R689" s="120"/>
      <c r="S689" s="121"/>
    </row>
    <row r="690" spans="1:19" ht="15">
      <c r="A690" s="105">
        <v>16</v>
      </c>
      <c r="B690" s="105"/>
      <c r="C690" s="107" t="s">
        <v>455</v>
      </c>
      <c r="D690" s="107" t="s">
        <v>456</v>
      </c>
      <c r="E690" s="120">
        <v>0</v>
      </c>
      <c r="F690" s="120" t="s">
        <v>250</v>
      </c>
      <c r="G690" s="120">
        <v>0</v>
      </c>
      <c r="H690" s="120" t="s">
        <v>250</v>
      </c>
      <c r="I690" s="120">
        <v>0</v>
      </c>
      <c r="J690" s="120">
        <v>0</v>
      </c>
      <c r="K690" s="120" t="s">
        <v>250</v>
      </c>
      <c r="L690" s="120" t="s">
        <v>250</v>
      </c>
      <c r="M690" s="120">
        <v>0</v>
      </c>
      <c r="N690" s="120" t="s">
        <v>250</v>
      </c>
      <c r="O690" s="120">
        <v>0</v>
      </c>
      <c r="P690" s="120">
        <v>0</v>
      </c>
      <c r="Q690" s="120">
        <v>0</v>
      </c>
      <c r="R690" s="120"/>
      <c r="S690" s="121"/>
    </row>
    <row r="691" spans="1:19" ht="15">
      <c r="A691" s="105">
        <v>17</v>
      </c>
      <c r="B691" s="105"/>
      <c r="C691" s="107" t="s">
        <v>457</v>
      </c>
      <c r="D691" s="107" t="s">
        <v>458</v>
      </c>
      <c r="E691" s="120">
        <v>0</v>
      </c>
      <c r="F691" s="120" t="s">
        <v>250</v>
      </c>
      <c r="G691" s="120">
        <v>0</v>
      </c>
      <c r="H691" s="120" t="s">
        <v>250</v>
      </c>
      <c r="I691" s="120">
        <v>0</v>
      </c>
      <c r="J691" s="120">
        <v>0</v>
      </c>
      <c r="K691" s="120" t="s">
        <v>250</v>
      </c>
      <c r="L691" s="120" t="s">
        <v>250</v>
      </c>
      <c r="M691" s="120">
        <v>0</v>
      </c>
      <c r="N691" s="120" t="s">
        <v>250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 t="s">
        <v>250</v>
      </c>
      <c r="B692" s="105"/>
      <c r="C692" s="107" t="s">
        <v>250</v>
      </c>
      <c r="D692" s="107" t="s">
        <v>250</v>
      </c>
      <c r="E692" s="120" t="s">
        <v>250</v>
      </c>
      <c r="F692" s="120" t="s">
        <v>250</v>
      </c>
      <c r="G692" s="120" t="s">
        <v>250</v>
      </c>
      <c r="H692" s="120" t="s">
        <v>250</v>
      </c>
      <c r="I692" s="120" t="s">
        <v>250</v>
      </c>
      <c r="J692" s="120" t="s">
        <v>250</v>
      </c>
      <c r="K692" s="120" t="s">
        <v>250</v>
      </c>
      <c r="L692" s="120" t="s">
        <v>250</v>
      </c>
      <c r="M692" s="120" t="s">
        <v>250</v>
      </c>
      <c r="N692" s="120" t="s">
        <v>250</v>
      </c>
      <c r="O692" s="120" t="s">
        <v>250</v>
      </c>
      <c r="P692" s="120" t="s">
        <v>250</v>
      </c>
      <c r="Q692" s="120" t="s">
        <v>250</v>
      </c>
      <c r="R692" s="120"/>
      <c r="S692" s="121"/>
    </row>
    <row r="693" spans="1:19" ht="15">
      <c r="A693" s="105">
        <v>18</v>
      </c>
      <c r="B693" s="105"/>
      <c r="C693" s="107" t="s">
        <v>461</v>
      </c>
      <c r="D693" s="107" t="s">
        <v>250</v>
      </c>
      <c r="E693" s="120">
        <v>0</v>
      </c>
      <c r="F693" s="120" t="s">
        <v>250</v>
      </c>
      <c r="G693" s="120">
        <v>0</v>
      </c>
      <c r="H693" s="120" t="s">
        <v>250</v>
      </c>
      <c r="I693" s="120">
        <v>0</v>
      </c>
      <c r="J693" s="120">
        <v>0</v>
      </c>
      <c r="K693" s="120" t="s">
        <v>250</v>
      </c>
      <c r="L693" s="120" t="s">
        <v>250</v>
      </c>
      <c r="M693" s="120">
        <v>0</v>
      </c>
      <c r="N693" s="120" t="s">
        <v>250</v>
      </c>
      <c r="O693" s="120">
        <v>0</v>
      </c>
      <c r="P693" s="120">
        <v>0</v>
      </c>
      <c r="Q693" s="120">
        <v>0</v>
      </c>
      <c r="R693" s="120"/>
      <c r="S693" s="121"/>
    </row>
    <row r="694" spans="1:19" ht="15">
      <c r="A694" s="105" t="s">
        <v>250</v>
      </c>
      <c r="B694" s="105"/>
      <c r="C694" s="107" t="s">
        <v>250</v>
      </c>
      <c r="D694" s="107" t="s">
        <v>250</v>
      </c>
      <c r="E694" s="120" t="s">
        <v>250</v>
      </c>
      <c r="F694" s="120" t="s">
        <v>250</v>
      </c>
      <c r="G694" s="120" t="s">
        <v>250</v>
      </c>
      <c r="H694" s="120" t="s">
        <v>250</v>
      </c>
      <c r="I694" s="120" t="s">
        <v>250</v>
      </c>
      <c r="J694" s="120" t="s">
        <v>250</v>
      </c>
      <c r="K694" s="120" t="s">
        <v>250</v>
      </c>
      <c r="L694" s="120" t="s">
        <v>250</v>
      </c>
      <c r="M694" s="120" t="s">
        <v>250</v>
      </c>
      <c r="N694" s="120" t="s">
        <v>250</v>
      </c>
      <c r="O694" s="120" t="s">
        <v>250</v>
      </c>
      <c r="P694" s="120" t="s">
        <v>250</v>
      </c>
      <c r="Q694" s="120" t="s">
        <v>250</v>
      </c>
      <c r="R694" s="120"/>
      <c r="S694" s="121"/>
    </row>
    <row r="695" spans="1:19" ht="15">
      <c r="A695" s="105" t="s">
        <v>250</v>
      </c>
      <c r="B695" s="105"/>
      <c r="C695" s="107" t="s">
        <v>357</v>
      </c>
      <c r="D695" s="107" t="s">
        <v>250</v>
      </c>
      <c r="E695" s="120" t="s">
        <v>250</v>
      </c>
      <c r="F695" s="120" t="s">
        <v>250</v>
      </c>
      <c r="G695" s="120" t="s">
        <v>250</v>
      </c>
      <c r="H695" s="120" t="s">
        <v>250</v>
      </c>
      <c r="I695" s="120" t="s">
        <v>250</v>
      </c>
      <c r="J695" s="120" t="s">
        <v>250</v>
      </c>
      <c r="K695" s="120" t="s">
        <v>250</v>
      </c>
      <c r="L695" s="120" t="s">
        <v>250</v>
      </c>
      <c r="M695" s="120" t="s">
        <v>250</v>
      </c>
      <c r="N695" s="120" t="s">
        <v>250</v>
      </c>
      <c r="O695" s="120" t="s">
        <v>250</v>
      </c>
      <c r="P695" s="120" t="s">
        <v>250</v>
      </c>
      <c r="Q695" s="120" t="s">
        <v>250</v>
      </c>
      <c r="R695" s="120"/>
      <c r="S695" s="121"/>
    </row>
    <row r="696" spans="1:19" ht="15">
      <c r="A696" s="105">
        <v>19</v>
      </c>
      <c r="B696" s="105"/>
      <c r="C696" s="107" t="s">
        <v>455</v>
      </c>
      <c r="D696" s="107" t="s">
        <v>746</v>
      </c>
      <c r="E696" s="120">
        <v>0</v>
      </c>
      <c r="F696" s="120" t="s">
        <v>250</v>
      </c>
      <c r="G696" s="120">
        <v>0</v>
      </c>
      <c r="H696" s="120" t="s">
        <v>250</v>
      </c>
      <c r="I696" s="120">
        <v>0</v>
      </c>
      <c r="J696" s="120">
        <v>0</v>
      </c>
      <c r="K696" s="120" t="s">
        <v>250</v>
      </c>
      <c r="L696" s="120" t="s">
        <v>250</v>
      </c>
      <c r="M696" s="120">
        <v>0</v>
      </c>
      <c r="N696" s="120" t="s">
        <v>250</v>
      </c>
      <c r="O696" s="120">
        <v>0</v>
      </c>
      <c r="P696" s="120">
        <v>0</v>
      </c>
      <c r="Q696" s="120">
        <v>0</v>
      </c>
      <c r="R696" s="120"/>
      <c r="S696" s="121"/>
    </row>
    <row r="697" spans="1:19" ht="15">
      <c r="A697" s="105">
        <v>20</v>
      </c>
      <c r="B697" s="105"/>
      <c r="C697" s="107" t="s">
        <v>457</v>
      </c>
      <c r="D697" s="107" t="s">
        <v>524</v>
      </c>
      <c r="E697" s="120">
        <v>0</v>
      </c>
      <c r="F697" s="120" t="s">
        <v>250</v>
      </c>
      <c r="G697" s="120">
        <v>0</v>
      </c>
      <c r="H697" s="120" t="s">
        <v>250</v>
      </c>
      <c r="I697" s="120">
        <v>0</v>
      </c>
      <c r="J697" s="120">
        <v>0</v>
      </c>
      <c r="K697" s="120" t="s">
        <v>250</v>
      </c>
      <c r="L697" s="120" t="s">
        <v>250</v>
      </c>
      <c r="M697" s="120">
        <v>0</v>
      </c>
      <c r="N697" s="120" t="s">
        <v>250</v>
      </c>
      <c r="O697" s="120">
        <v>0</v>
      </c>
      <c r="P697" s="120">
        <v>0</v>
      </c>
      <c r="Q697" s="120">
        <v>0</v>
      </c>
      <c r="R697" s="120"/>
      <c r="S697" s="121"/>
    </row>
    <row r="698" spans="1:19" ht="15">
      <c r="A698" s="105" t="s">
        <v>250</v>
      </c>
      <c r="B698" s="105"/>
      <c r="C698" s="107" t="s">
        <v>250</v>
      </c>
      <c r="D698" s="107" t="s">
        <v>250</v>
      </c>
      <c r="E698" s="120" t="s">
        <v>250</v>
      </c>
      <c r="F698" s="120" t="s">
        <v>250</v>
      </c>
      <c r="G698" s="120" t="s">
        <v>250</v>
      </c>
      <c r="H698" s="120" t="s">
        <v>250</v>
      </c>
      <c r="I698" s="120" t="s">
        <v>250</v>
      </c>
      <c r="J698" s="120" t="s">
        <v>250</v>
      </c>
      <c r="K698" s="120" t="s">
        <v>250</v>
      </c>
      <c r="L698" s="120" t="s">
        <v>250</v>
      </c>
      <c r="M698" s="120" t="s">
        <v>250</v>
      </c>
      <c r="N698" s="120" t="s">
        <v>250</v>
      </c>
      <c r="O698" s="120" t="s">
        <v>250</v>
      </c>
      <c r="P698" s="120" t="s">
        <v>250</v>
      </c>
      <c r="Q698" s="120" t="s">
        <v>250</v>
      </c>
      <c r="R698" s="120"/>
      <c r="S698" s="121"/>
    </row>
    <row r="699" spans="1:19" ht="15">
      <c r="A699" s="105">
        <v>21</v>
      </c>
      <c r="B699" s="105"/>
      <c r="C699" s="107" t="s">
        <v>466</v>
      </c>
      <c r="D699" s="107" t="s">
        <v>250</v>
      </c>
      <c r="E699" s="120">
        <v>0</v>
      </c>
      <c r="F699" s="120" t="s">
        <v>250</v>
      </c>
      <c r="G699" s="120">
        <v>0</v>
      </c>
      <c r="H699" s="120" t="s">
        <v>250</v>
      </c>
      <c r="I699" s="120">
        <v>0</v>
      </c>
      <c r="J699" s="120">
        <v>0</v>
      </c>
      <c r="K699" s="120" t="s">
        <v>250</v>
      </c>
      <c r="L699" s="120" t="s">
        <v>250</v>
      </c>
      <c r="M699" s="120">
        <v>0</v>
      </c>
      <c r="N699" s="120" t="s">
        <v>250</v>
      </c>
      <c r="O699" s="120">
        <v>0</v>
      </c>
      <c r="P699" s="120">
        <v>0</v>
      </c>
      <c r="Q699" s="120">
        <v>0</v>
      </c>
      <c r="R699" s="120"/>
      <c r="S699" s="121"/>
    </row>
    <row r="700" spans="1:19" ht="15">
      <c r="A700" s="105" t="s">
        <v>250</v>
      </c>
      <c r="B700" s="105"/>
      <c r="C700" s="107" t="s">
        <v>250</v>
      </c>
      <c r="D700" s="107" t="s">
        <v>250</v>
      </c>
      <c r="E700" s="120" t="s">
        <v>250</v>
      </c>
      <c r="F700" s="120" t="s">
        <v>250</v>
      </c>
      <c r="G700" s="120" t="s">
        <v>250</v>
      </c>
      <c r="H700" s="120" t="s">
        <v>250</v>
      </c>
      <c r="I700" s="120" t="s">
        <v>250</v>
      </c>
      <c r="J700" s="120" t="s">
        <v>250</v>
      </c>
      <c r="K700" s="120" t="s">
        <v>250</v>
      </c>
      <c r="L700" s="120" t="s">
        <v>250</v>
      </c>
      <c r="M700" s="120" t="s">
        <v>250</v>
      </c>
      <c r="N700" s="120" t="s">
        <v>250</v>
      </c>
      <c r="O700" s="120" t="s">
        <v>250</v>
      </c>
      <c r="P700" s="120" t="s">
        <v>250</v>
      </c>
      <c r="Q700" s="120" t="s">
        <v>250</v>
      </c>
      <c r="R700" s="120"/>
      <c r="S700" s="121"/>
    </row>
    <row r="701" spans="1:19" ht="15">
      <c r="A701" s="105">
        <v>22</v>
      </c>
      <c r="B701" s="105"/>
      <c r="C701" s="107" t="s">
        <v>755</v>
      </c>
      <c r="D701" s="107" t="s">
        <v>250</v>
      </c>
      <c r="E701" s="120">
        <v>0</v>
      </c>
      <c r="F701" s="120" t="s">
        <v>250</v>
      </c>
      <c r="G701" s="120">
        <v>0</v>
      </c>
      <c r="H701" s="120" t="s">
        <v>250</v>
      </c>
      <c r="I701" s="120">
        <v>0</v>
      </c>
      <c r="J701" s="120">
        <v>0</v>
      </c>
      <c r="K701" s="120" t="s">
        <v>250</v>
      </c>
      <c r="L701" s="120" t="s">
        <v>250</v>
      </c>
      <c r="M701" s="120">
        <v>0</v>
      </c>
      <c r="N701" s="120" t="s">
        <v>250</v>
      </c>
      <c r="O701" s="120">
        <v>0</v>
      </c>
      <c r="P701" s="120">
        <v>0</v>
      </c>
      <c r="Q701" s="120">
        <v>0</v>
      </c>
      <c r="R701" s="120"/>
      <c r="S701" s="121"/>
    </row>
    <row r="702" spans="1:19" ht="15">
      <c r="A702" s="105" t="s">
        <v>250</v>
      </c>
      <c r="B702" s="105"/>
      <c r="C702" s="107" t="s">
        <v>250</v>
      </c>
      <c r="D702" s="107" t="s">
        <v>250</v>
      </c>
      <c r="E702" s="120" t="s">
        <v>250</v>
      </c>
      <c r="F702" s="120" t="s">
        <v>250</v>
      </c>
      <c r="G702" s="120" t="s">
        <v>250</v>
      </c>
      <c r="H702" s="120" t="s">
        <v>250</v>
      </c>
      <c r="I702" s="120" t="s">
        <v>250</v>
      </c>
      <c r="J702" s="120" t="s">
        <v>250</v>
      </c>
      <c r="K702" s="120" t="s">
        <v>250</v>
      </c>
      <c r="L702" s="120" t="s">
        <v>250</v>
      </c>
      <c r="M702" s="120" t="s">
        <v>250</v>
      </c>
      <c r="N702" s="120" t="s">
        <v>250</v>
      </c>
      <c r="O702" s="120" t="s">
        <v>250</v>
      </c>
      <c r="P702" s="120" t="s">
        <v>250</v>
      </c>
      <c r="Q702" s="120" t="s">
        <v>250</v>
      </c>
      <c r="R702" s="120"/>
      <c r="S702" s="121"/>
    </row>
    <row r="703" spans="1:19" ht="15">
      <c r="A703" s="105" t="s">
        <v>250</v>
      </c>
      <c r="B703" s="105"/>
      <c r="C703" s="107" t="s">
        <v>756</v>
      </c>
      <c r="D703" s="107" t="s">
        <v>250</v>
      </c>
      <c r="E703" s="120" t="s">
        <v>250</v>
      </c>
      <c r="F703" s="120" t="s">
        <v>250</v>
      </c>
      <c r="G703" s="120" t="s">
        <v>250</v>
      </c>
      <c r="H703" s="120" t="s">
        <v>250</v>
      </c>
      <c r="I703" s="120" t="s">
        <v>250</v>
      </c>
      <c r="J703" s="120" t="s">
        <v>250</v>
      </c>
      <c r="K703" s="120" t="s">
        <v>250</v>
      </c>
      <c r="L703" s="120" t="s">
        <v>250</v>
      </c>
      <c r="M703" s="120" t="s">
        <v>250</v>
      </c>
      <c r="N703" s="120" t="s">
        <v>250</v>
      </c>
      <c r="O703" s="120" t="s">
        <v>250</v>
      </c>
      <c r="P703" s="120" t="s">
        <v>250</v>
      </c>
      <c r="Q703" s="120" t="s">
        <v>250</v>
      </c>
      <c r="R703" s="120"/>
      <c r="S703" s="121"/>
    </row>
    <row r="704" spans="1:19" ht="15">
      <c r="A704" s="105" t="s">
        <v>250</v>
      </c>
      <c r="B704" s="105"/>
      <c r="C704" s="107" t="s">
        <v>250</v>
      </c>
      <c r="D704" s="107" t="s">
        <v>250</v>
      </c>
      <c r="E704" s="120" t="s">
        <v>250</v>
      </c>
      <c r="F704" s="120" t="s">
        <v>250</v>
      </c>
      <c r="G704" s="120" t="s">
        <v>250</v>
      </c>
      <c r="H704" s="120" t="s">
        <v>250</v>
      </c>
      <c r="I704" s="120" t="s">
        <v>250</v>
      </c>
      <c r="J704" s="120" t="s">
        <v>250</v>
      </c>
      <c r="K704" s="120" t="s">
        <v>250</v>
      </c>
      <c r="L704" s="120" t="s">
        <v>250</v>
      </c>
      <c r="M704" s="120" t="s">
        <v>250</v>
      </c>
      <c r="N704" s="120" t="s">
        <v>250</v>
      </c>
      <c r="O704" s="120" t="s">
        <v>250</v>
      </c>
      <c r="P704" s="120" t="s">
        <v>250</v>
      </c>
      <c r="Q704" s="120" t="s">
        <v>250</v>
      </c>
      <c r="R704" s="120"/>
      <c r="S704" s="121"/>
    </row>
    <row r="705" spans="1:19" ht="15">
      <c r="A705" s="105" t="s">
        <v>250</v>
      </c>
      <c r="B705" s="105"/>
      <c r="C705" s="107" t="s">
        <v>757</v>
      </c>
      <c r="D705" s="107" t="s">
        <v>250</v>
      </c>
      <c r="E705" s="120" t="s">
        <v>250</v>
      </c>
      <c r="F705" s="120" t="s">
        <v>250</v>
      </c>
      <c r="G705" s="120" t="s">
        <v>250</v>
      </c>
      <c r="H705" s="120" t="s">
        <v>250</v>
      </c>
      <c r="I705" s="120" t="s">
        <v>250</v>
      </c>
      <c r="J705" s="120" t="s">
        <v>250</v>
      </c>
      <c r="K705" s="120" t="s">
        <v>250</v>
      </c>
      <c r="L705" s="120" t="s">
        <v>250</v>
      </c>
      <c r="M705" s="120" t="s">
        <v>250</v>
      </c>
      <c r="N705" s="120" t="s">
        <v>250</v>
      </c>
      <c r="O705" s="120" t="s">
        <v>250</v>
      </c>
      <c r="P705" s="120" t="s">
        <v>250</v>
      </c>
      <c r="Q705" s="120" t="s">
        <v>250</v>
      </c>
      <c r="R705" s="120"/>
      <c r="S705" s="121"/>
    </row>
    <row r="706" spans="1:19" ht="15">
      <c r="A706" s="105">
        <v>1</v>
      </c>
      <c r="B706" s="105"/>
      <c r="C706" s="107" t="s">
        <v>758</v>
      </c>
      <c r="D706" s="107" t="s">
        <v>759</v>
      </c>
      <c r="E706" s="120">
        <v>38987960.675990246</v>
      </c>
      <c r="F706" s="120" t="s">
        <v>250</v>
      </c>
      <c r="G706" s="120">
        <v>36502877.321759336</v>
      </c>
      <c r="H706" s="120" t="s">
        <v>250</v>
      </c>
      <c r="I706" s="120">
        <v>1995524.9744897163</v>
      </c>
      <c r="J706" s="120">
        <v>489558.37974119367</v>
      </c>
      <c r="K706" s="120" t="s">
        <v>250</v>
      </c>
      <c r="L706" s="120" t="s">
        <v>250</v>
      </c>
      <c r="M706" s="120">
        <v>0</v>
      </c>
      <c r="N706" s="120" t="s">
        <v>250</v>
      </c>
      <c r="O706" s="120">
        <v>489558.37974119367</v>
      </c>
      <c r="P706" s="120">
        <v>257997.78396713288</v>
      </c>
      <c r="Q706" s="120">
        <v>231560.59577406078</v>
      </c>
      <c r="R706" s="120"/>
      <c r="S706" s="121"/>
    </row>
    <row r="707" spans="1:19" ht="15">
      <c r="A707" s="105">
        <v>2</v>
      </c>
      <c r="B707" s="105"/>
      <c r="C707" s="107" t="s">
        <v>760</v>
      </c>
      <c r="D707" s="107" t="s">
        <v>511</v>
      </c>
      <c r="E707" s="120">
        <v>3334056</v>
      </c>
      <c r="F707" s="120" t="s">
        <v>250</v>
      </c>
      <c r="G707" s="120">
        <v>3334056</v>
      </c>
      <c r="H707" s="120" t="s">
        <v>250</v>
      </c>
      <c r="I707" s="120">
        <v>0</v>
      </c>
      <c r="J707" s="120">
        <v>0</v>
      </c>
      <c r="K707" s="120" t="s">
        <v>250</v>
      </c>
      <c r="L707" s="120" t="s">
        <v>250</v>
      </c>
      <c r="M707" s="120">
        <v>0</v>
      </c>
      <c r="N707" s="120" t="s">
        <v>250</v>
      </c>
      <c r="O707" s="120">
        <v>0</v>
      </c>
      <c r="P707" s="120">
        <v>0</v>
      </c>
      <c r="Q707" s="120">
        <v>0</v>
      </c>
      <c r="R707" s="120"/>
      <c r="S707" s="121"/>
    </row>
    <row r="708" spans="1:19" ht="15">
      <c r="A708" s="105">
        <v>3</v>
      </c>
      <c r="B708" s="105"/>
      <c r="C708" s="107" t="s">
        <v>761</v>
      </c>
      <c r="D708" s="107" t="s">
        <v>735</v>
      </c>
      <c r="E708" s="120">
        <v>0</v>
      </c>
      <c r="F708" s="120" t="s">
        <v>250</v>
      </c>
      <c r="G708" s="120">
        <v>0</v>
      </c>
      <c r="H708" s="120" t="s">
        <v>250</v>
      </c>
      <c r="I708" s="120">
        <v>0</v>
      </c>
      <c r="J708" s="120">
        <v>0</v>
      </c>
      <c r="K708" s="120" t="s">
        <v>250</v>
      </c>
      <c r="L708" s="120" t="s">
        <v>250</v>
      </c>
      <c r="M708" s="120">
        <v>0</v>
      </c>
      <c r="N708" s="120" t="s">
        <v>250</v>
      </c>
      <c r="O708" s="120">
        <v>0</v>
      </c>
      <c r="P708" s="120">
        <v>0</v>
      </c>
      <c r="Q708" s="120">
        <v>0</v>
      </c>
      <c r="R708" s="120"/>
      <c r="S708" s="121"/>
    </row>
    <row r="709" spans="1:19" ht="15">
      <c r="A709" s="105">
        <v>4</v>
      </c>
      <c r="B709" s="105"/>
      <c r="C709" s="107" t="s">
        <v>2395</v>
      </c>
      <c r="D709" s="107" t="s">
        <v>418</v>
      </c>
      <c r="E709" s="120">
        <v>0</v>
      </c>
      <c r="F709" s="120" t="s">
        <v>250</v>
      </c>
      <c r="G709" s="120">
        <v>0</v>
      </c>
      <c r="H709" s="120" t="s">
        <v>250</v>
      </c>
      <c r="I709" s="120">
        <v>0</v>
      </c>
      <c r="J709" s="120">
        <v>0</v>
      </c>
      <c r="K709" s="120" t="s">
        <v>250</v>
      </c>
      <c r="L709" s="120" t="s">
        <v>250</v>
      </c>
      <c r="M709" s="120">
        <v>0</v>
      </c>
      <c r="N709" s="120" t="s">
        <v>250</v>
      </c>
      <c r="O709" s="120">
        <v>0</v>
      </c>
      <c r="P709" s="120">
        <v>0</v>
      </c>
      <c r="Q709" s="120">
        <v>0</v>
      </c>
      <c r="R709" s="120"/>
      <c r="S709" s="121"/>
    </row>
    <row r="710" spans="1:19" ht="15">
      <c r="A710" s="105">
        <v>5</v>
      </c>
      <c r="B710" s="105"/>
      <c r="C710" s="107" t="s">
        <v>2396</v>
      </c>
      <c r="D710" s="107" t="s">
        <v>418</v>
      </c>
      <c r="E710" s="120">
        <v>10962201</v>
      </c>
      <c r="F710" s="120" t="s">
        <v>250</v>
      </c>
      <c r="G710" s="120">
        <v>10315122.872056929</v>
      </c>
      <c r="H710" s="120" t="s">
        <v>250</v>
      </c>
      <c r="I710" s="120">
        <v>521547.41908035276</v>
      </c>
      <c r="J710" s="120">
        <v>125530.70886271738</v>
      </c>
      <c r="K710" s="120" t="s">
        <v>250</v>
      </c>
      <c r="L710" s="120" t="s">
        <v>250</v>
      </c>
      <c r="M710" s="120">
        <v>0</v>
      </c>
      <c r="N710" s="120" t="s">
        <v>250</v>
      </c>
      <c r="O710" s="120">
        <v>125530.70886271738</v>
      </c>
      <c r="P710" s="120">
        <v>65453.18187255568</v>
      </c>
      <c r="Q710" s="120">
        <v>60077.526990161707</v>
      </c>
      <c r="R710" s="120"/>
      <c r="S710" s="121"/>
    </row>
    <row r="711" spans="1:19" ht="15">
      <c r="A711" s="105">
        <v>6</v>
      </c>
      <c r="B711" s="105"/>
      <c r="C711" s="107" t="s">
        <v>762</v>
      </c>
      <c r="D711" s="107" t="s">
        <v>716</v>
      </c>
      <c r="E711" s="120">
        <v>0</v>
      </c>
      <c r="F711" s="120" t="s">
        <v>250</v>
      </c>
      <c r="G711" s="120">
        <v>0</v>
      </c>
      <c r="H711" s="120" t="s">
        <v>250</v>
      </c>
      <c r="I711" s="120">
        <v>0</v>
      </c>
      <c r="J711" s="120">
        <v>0</v>
      </c>
      <c r="K711" s="120" t="s">
        <v>250</v>
      </c>
      <c r="L711" s="120" t="s">
        <v>250</v>
      </c>
      <c r="M711" s="120">
        <v>0</v>
      </c>
      <c r="N711" s="120" t="s">
        <v>250</v>
      </c>
      <c r="O711" s="120">
        <v>0</v>
      </c>
      <c r="P711" s="120">
        <v>0</v>
      </c>
      <c r="Q711" s="120">
        <v>0</v>
      </c>
      <c r="R711" s="120"/>
      <c r="S711" s="121"/>
    </row>
    <row r="712" spans="1:19" ht="15">
      <c r="A712" s="105">
        <v>7</v>
      </c>
      <c r="B712" s="105"/>
      <c r="C712" s="107" t="s">
        <v>763</v>
      </c>
      <c r="D712" s="107" t="s">
        <v>250</v>
      </c>
      <c r="E712" s="120">
        <v>53284217.675990254</v>
      </c>
      <c r="F712" s="120" t="s">
        <v>250</v>
      </c>
      <c r="G712" s="120">
        <v>50152056.193816267</v>
      </c>
      <c r="H712" s="120" t="s">
        <v>250</v>
      </c>
      <c r="I712" s="120">
        <v>2517072.3935700692</v>
      </c>
      <c r="J712" s="120">
        <v>615089.08860391099</v>
      </c>
      <c r="K712" s="120" t="s">
        <v>250</v>
      </c>
      <c r="L712" s="120" t="s">
        <v>250</v>
      </c>
      <c r="M712" s="120">
        <v>0</v>
      </c>
      <c r="N712" s="120" t="s">
        <v>250</v>
      </c>
      <c r="O712" s="120">
        <v>615089.08860391099</v>
      </c>
      <c r="P712" s="120">
        <v>323450.96583968855</v>
      </c>
      <c r="Q712" s="120">
        <v>291638.1227642225</v>
      </c>
      <c r="R712" s="120"/>
      <c r="S712" s="121"/>
    </row>
    <row r="713" spans="1:19" ht="15">
      <c r="A713" s="105" t="s">
        <v>250</v>
      </c>
      <c r="B713" s="105"/>
      <c r="C713" s="107" t="s">
        <v>250</v>
      </c>
      <c r="D713" s="107" t="s">
        <v>250</v>
      </c>
      <c r="E713" s="120" t="s">
        <v>250</v>
      </c>
      <c r="F713" s="120" t="s">
        <v>250</v>
      </c>
      <c r="G713" s="120" t="s">
        <v>250</v>
      </c>
      <c r="H713" s="120" t="s">
        <v>250</v>
      </c>
      <c r="I713" s="120" t="s">
        <v>250</v>
      </c>
      <c r="J713" s="120" t="s">
        <v>250</v>
      </c>
      <c r="K713" s="120" t="s">
        <v>250</v>
      </c>
      <c r="L713" s="120" t="s">
        <v>250</v>
      </c>
      <c r="M713" s="120" t="s">
        <v>250</v>
      </c>
      <c r="N713" s="120" t="s">
        <v>250</v>
      </c>
      <c r="O713" s="120" t="s">
        <v>250</v>
      </c>
      <c r="P713" s="120" t="s">
        <v>250</v>
      </c>
      <c r="Q713" s="120" t="s">
        <v>250</v>
      </c>
      <c r="R713" s="120"/>
      <c r="S713" s="121"/>
    </row>
    <row r="714" spans="1:19" ht="15">
      <c r="A714" s="105">
        <v>8</v>
      </c>
      <c r="B714" s="105"/>
      <c r="C714" s="107" t="s">
        <v>764</v>
      </c>
      <c r="D714" s="107" t="s">
        <v>303</v>
      </c>
      <c r="E714" s="120">
        <v>0</v>
      </c>
      <c r="F714" s="120" t="s">
        <v>250</v>
      </c>
      <c r="G714" s="120">
        <v>0</v>
      </c>
      <c r="H714" s="120" t="s">
        <v>250</v>
      </c>
      <c r="I714" s="120">
        <v>0</v>
      </c>
      <c r="J714" s="120">
        <v>0</v>
      </c>
      <c r="K714" s="120" t="s">
        <v>250</v>
      </c>
      <c r="L714" s="120" t="s">
        <v>250</v>
      </c>
      <c r="M714" s="120">
        <v>0</v>
      </c>
      <c r="N714" s="120" t="s">
        <v>250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9</v>
      </c>
      <c r="B715" s="105"/>
      <c r="C715" s="107" t="s">
        <v>765</v>
      </c>
      <c r="D715" s="107" t="s">
        <v>716</v>
      </c>
      <c r="E715" s="120">
        <v>0</v>
      </c>
      <c r="F715" s="120" t="s">
        <v>250</v>
      </c>
      <c r="G715" s="120">
        <v>0</v>
      </c>
      <c r="H715" s="120" t="s">
        <v>250</v>
      </c>
      <c r="I715" s="120">
        <v>0</v>
      </c>
      <c r="J715" s="120">
        <v>0</v>
      </c>
      <c r="K715" s="120" t="s">
        <v>250</v>
      </c>
      <c r="L715" s="120" t="s">
        <v>250</v>
      </c>
      <c r="M715" s="120">
        <v>0</v>
      </c>
      <c r="N715" s="120" t="s">
        <v>250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10</v>
      </c>
      <c r="B716" s="105"/>
      <c r="C716" s="107" t="s">
        <v>766</v>
      </c>
      <c r="D716" s="107" t="s">
        <v>418</v>
      </c>
      <c r="E716" s="120">
        <v>194933.9852</v>
      </c>
      <c r="F716" s="120" t="s">
        <v>250</v>
      </c>
      <c r="G716" s="120">
        <v>0</v>
      </c>
      <c r="H716" s="120" t="s">
        <v>250</v>
      </c>
      <c r="I716" s="120">
        <v>4637.176278381854</v>
      </c>
      <c r="J716" s="120">
        <v>0</v>
      </c>
      <c r="K716" s="120" t="s">
        <v>250</v>
      </c>
      <c r="L716" s="120" t="s">
        <v>250</v>
      </c>
      <c r="M716" s="120">
        <v>0</v>
      </c>
      <c r="N716" s="120" t="s">
        <v>250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 t="s">
        <v>250</v>
      </c>
      <c r="B717" s="105"/>
      <c r="C717" s="107" t="s">
        <v>250</v>
      </c>
      <c r="D717" s="107" t="s">
        <v>250</v>
      </c>
      <c r="E717" s="120" t="s">
        <v>250</v>
      </c>
      <c r="F717" s="120" t="s">
        <v>250</v>
      </c>
      <c r="G717" s="120" t="s">
        <v>250</v>
      </c>
      <c r="H717" s="120" t="s">
        <v>250</v>
      </c>
      <c r="I717" s="120" t="s">
        <v>250</v>
      </c>
      <c r="J717" s="120" t="s">
        <v>250</v>
      </c>
      <c r="K717" s="120" t="s">
        <v>250</v>
      </c>
      <c r="L717" s="120" t="s">
        <v>250</v>
      </c>
      <c r="M717" s="120" t="s">
        <v>250</v>
      </c>
      <c r="N717" s="120" t="s">
        <v>250</v>
      </c>
      <c r="O717" s="120" t="s">
        <v>250</v>
      </c>
      <c r="P717" s="120" t="s">
        <v>250</v>
      </c>
      <c r="Q717" s="120" t="s">
        <v>250</v>
      </c>
      <c r="R717" s="120"/>
      <c r="S717" s="121"/>
    </row>
    <row r="718" spans="1:19" ht="15">
      <c r="A718" s="105" t="s">
        <v>250</v>
      </c>
      <c r="B718" s="105"/>
      <c r="C718" s="107" t="s">
        <v>767</v>
      </c>
      <c r="D718" s="107" t="s">
        <v>250</v>
      </c>
      <c r="E718" s="120" t="s">
        <v>250</v>
      </c>
      <c r="F718" s="120" t="s">
        <v>250</v>
      </c>
      <c r="G718" s="120" t="s">
        <v>250</v>
      </c>
      <c r="H718" s="120" t="s">
        <v>250</v>
      </c>
      <c r="I718" s="120" t="s">
        <v>250</v>
      </c>
      <c r="J718" s="120" t="s">
        <v>250</v>
      </c>
      <c r="K718" s="120" t="s">
        <v>250</v>
      </c>
      <c r="L718" s="120" t="s">
        <v>250</v>
      </c>
      <c r="M718" s="120" t="s">
        <v>250</v>
      </c>
      <c r="N718" s="120" t="s">
        <v>250</v>
      </c>
      <c r="O718" s="120" t="s">
        <v>250</v>
      </c>
      <c r="P718" s="120" t="s">
        <v>250</v>
      </c>
      <c r="Q718" s="120" t="s">
        <v>250</v>
      </c>
      <c r="R718" s="120"/>
      <c r="S718" s="121"/>
    </row>
    <row r="719" spans="1:19" ht="15">
      <c r="A719" s="105">
        <v>11</v>
      </c>
      <c r="B719" s="105"/>
      <c r="C719" s="107" t="s">
        <v>527</v>
      </c>
      <c r="D719" s="107" t="s">
        <v>497</v>
      </c>
      <c r="E719" s="120">
        <v>0</v>
      </c>
      <c r="F719" s="120" t="s">
        <v>250</v>
      </c>
      <c r="G719" s="120">
        <v>0</v>
      </c>
      <c r="H719" s="120" t="s">
        <v>250</v>
      </c>
      <c r="I719" s="120">
        <v>0</v>
      </c>
      <c r="J719" s="120">
        <v>0</v>
      </c>
      <c r="K719" s="120" t="s">
        <v>250</v>
      </c>
      <c r="L719" s="120" t="s">
        <v>250</v>
      </c>
      <c r="M719" s="120">
        <v>0</v>
      </c>
      <c r="N719" s="120" t="s">
        <v>250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>
        <v>12</v>
      </c>
      <c r="B720" s="105"/>
      <c r="C720" s="107" t="s">
        <v>528</v>
      </c>
      <c r="D720" s="107" t="s">
        <v>499</v>
      </c>
      <c r="E720" s="120">
        <v>0</v>
      </c>
      <c r="F720" s="120" t="s">
        <v>250</v>
      </c>
      <c r="G720" s="120">
        <v>0</v>
      </c>
      <c r="H720" s="120" t="s">
        <v>250</v>
      </c>
      <c r="I720" s="120">
        <v>0</v>
      </c>
      <c r="J720" s="120">
        <v>0</v>
      </c>
      <c r="K720" s="120" t="s">
        <v>250</v>
      </c>
      <c r="L720" s="120" t="s">
        <v>250</v>
      </c>
      <c r="M720" s="120">
        <v>0</v>
      </c>
      <c r="N720" s="120" t="s">
        <v>250</v>
      </c>
      <c r="O720" s="120">
        <v>0</v>
      </c>
      <c r="P720" s="120">
        <v>0</v>
      </c>
      <c r="Q720" s="120">
        <v>0</v>
      </c>
      <c r="R720" s="120"/>
      <c r="S720" s="121"/>
    </row>
    <row r="721" spans="1:19" ht="15">
      <c r="A721" s="105">
        <v>13</v>
      </c>
      <c r="B721" s="105"/>
      <c r="C721" s="107" t="s">
        <v>768</v>
      </c>
      <c r="D721" s="107" t="s">
        <v>458</v>
      </c>
      <c r="E721" s="120">
        <v>0</v>
      </c>
      <c r="F721" s="120" t="s">
        <v>250</v>
      </c>
      <c r="G721" s="120">
        <v>0</v>
      </c>
      <c r="H721" s="120" t="s">
        <v>250</v>
      </c>
      <c r="I721" s="120">
        <v>0</v>
      </c>
      <c r="J721" s="120">
        <v>0</v>
      </c>
      <c r="K721" s="120" t="s">
        <v>250</v>
      </c>
      <c r="L721" s="120" t="s">
        <v>250</v>
      </c>
      <c r="M721" s="120">
        <v>0</v>
      </c>
      <c r="N721" s="120" t="s">
        <v>250</v>
      </c>
      <c r="O721" s="120">
        <v>0</v>
      </c>
      <c r="P721" s="120">
        <v>0</v>
      </c>
      <c r="Q721" s="120">
        <v>0</v>
      </c>
      <c r="R721" s="120"/>
      <c r="S721" s="121"/>
    </row>
    <row r="722" spans="1:19" ht="15">
      <c r="A722" s="105">
        <v>14</v>
      </c>
      <c r="B722" s="105"/>
      <c r="C722" s="107" t="s">
        <v>769</v>
      </c>
      <c r="D722" s="107" t="s">
        <v>770</v>
      </c>
      <c r="E722" s="120">
        <v>0</v>
      </c>
      <c r="F722" s="120" t="s">
        <v>250</v>
      </c>
      <c r="G722" s="120">
        <v>0</v>
      </c>
      <c r="H722" s="120" t="s">
        <v>250</v>
      </c>
      <c r="I722" s="120">
        <v>0</v>
      </c>
      <c r="J722" s="120">
        <v>0</v>
      </c>
      <c r="K722" s="120" t="s">
        <v>250</v>
      </c>
      <c r="L722" s="120" t="s">
        <v>250</v>
      </c>
      <c r="M722" s="120">
        <v>0</v>
      </c>
      <c r="N722" s="120" t="s">
        <v>250</v>
      </c>
      <c r="O722" s="120">
        <v>0</v>
      </c>
      <c r="P722" s="120">
        <v>0</v>
      </c>
      <c r="Q722" s="120">
        <v>0</v>
      </c>
      <c r="R722" s="120"/>
      <c r="S722" s="121"/>
    </row>
    <row r="723" spans="1:19" ht="15">
      <c r="A723" s="105">
        <v>15</v>
      </c>
      <c r="B723" s="105"/>
      <c r="C723" s="107" t="s">
        <v>532</v>
      </c>
      <c r="D723" s="107" t="s">
        <v>524</v>
      </c>
      <c r="E723" s="120">
        <v>0</v>
      </c>
      <c r="F723" s="120" t="s">
        <v>250</v>
      </c>
      <c r="G723" s="120">
        <v>0</v>
      </c>
      <c r="H723" s="120" t="s">
        <v>250</v>
      </c>
      <c r="I723" s="120">
        <v>0</v>
      </c>
      <c r="J723" s="120">
        <v>0</v>
      </c>
      <c r="K723" s="120" t="s">
        <v>250</v>
      </c>
      <c r="L723" s="120" t="s">
        <v>250</v>
      </c>
      <c r="M723" s="120">
        <v>0</v>
      </c>
      <c r="N723" s="120" t="s">
        <v>250</v>
      </c>
      <c r="O723" s="120">
        <v>0</v>
      </c>
      <c r="P723" s="120">
        <v>0</v>
      </c>
      <c r="Q723" s="120">
        <v>0</v>
      </c>
      <c r="R723" s="120"/>
      <c r="S723" s="121"/>
    </row>
    <row r="724" spans="1:19" ht="15">
      <c r="A724" s="105">
        <v>16</v>
      </c>
      <c r="B724" s="105"/>
      <c r="C724" s="107" t="s">
        <v>533</v>
      </c>
      <c r="D724" s="107" t="s">
        <v>467</v>
      </c>
      <c r="E724" s="120">
        <v>0</v>
      </c>
      <c r="F724" s="120" t="s">
        <v>250</v>
      </c>
      <c r="G724" s="120">
        <v>0</v>
      </c>
      <c r="H724" s="120" t="s">
        <v>250</v>
      </c>
      <c r="I724" s="120">
        <v>0</v>
      </c>
      <c r="J724" s="120">
        <v>0</v>
      </c>
      <c r="K724" s="120" t="s">
        <v>250</v>
      </c>
      <c r="L724" s="120" t="s">
        <v>250</v>
      </c>
      <c r="M724" s="120">
        <v>0</v>
      </c>
      <c r="N724" s="120" t="s">
        <v>250</v>
      </c>
      <c r="O724" s="120">
        <v>0</v>
      </c>
      <c r="P724" s="120">
        <v>0</v>
      </c>
      <c r="Q724" s="120">
        <v>0</v>
      </c>
      <c r="R724" s="120"/>
      <c r="S724" s="121"/>
    </row>
    <row r="725" spans="1:19" ht="15">
      <c r="A725" s="105">
        <v>17</v>
      </c>
      <c r="B725" s="105"/>
      <c r="C725" s="107" t="s">
        <v>771</v>
      </c>
      <c r="D725" s="107" t="s">
        <v>250</v>
      </c>
      <c r="E725" s="120">
        <v>0</v>
      </c>
      <c r="F725" s="120" t="s">
        <v>250</v>
      </c>
      <c r="G725" s="120">
        <v>0</v>
      </c>
      <c r="H725" s="120" t="s">
        <v>250</v>
      </c>
      <c r="I725" s="120">
        <v>0</v>
      </c>
      <c r="J725" s="120">
        <v>0</v>
      </c>
      <c r="K725" s="120" t="s">
        <v>250</v>
      </c>
      <c r="L725" s="120" t="s">
        <v>250</v>
      </c>
      <c r="M725" s="120">
        <v>0</v>
      </c>
      <c r="N725" s="120" t="s">
        <v>250</v>
      </c>
      <c r="O725" s="120">
        <v>0</v>
      </c>
      <c r="P725" s="120">
        <v>0</v>
      </c>
      <c r="Q725" s="120">
        <v>0</v>
      </c>
      <c r="R725" s="120"/>
      <c r="S725" s="121"/>
    </row>
    <row r="726" spans="1:19" ht="15">
      <c r="A726" s="105" t="s">
        <v>250</v>
      </c>
      <c r="B726" s="105"/>
      <c r="C726" s="107" t="s">
        <v>250</v>
      </c>
      <c r="D726" s="107" t="s">
        <v>250</v>
      </c>
      <c r="E726" s="120" t="s">
        <v>250</v>
      </c>
      <c r="F726" s="120" t="s">
        <v>250</v>
      </c>
      <c r="G726" s="120" t="s">
        <v>250</v>
      </c>
      <c r="H726" s="120" t="s">
        <v>250</v>
      </c>
      <c r="I726" s="120" t="s">
        <v>250</v>
      </c>
      <c r="J726" s="120" t="s">
        <v>250</v>
      </c>
      <c r="K726" s="120" t="s">
        <v>250</v>
      </c>
      <c r="L726" s="120" t="s">
        <v>250</v>
      </c>
      <c r="M726" s="120" t="s">
        <v>250</v>
      </c>
      <c r="N726" s="120" t="s">
        <v>250</v>
      </c>
      <c r="O726" s="120" t="s">
        <v>250</v>
      </c>
      <c r="P726" s="120" t="s">
        <v>250</v>
      </c>
      <c r="Q726" s="120" t="s">
        <v>250</v>
      </c>
      <c r="R726" s="120"/>
      <c r="S726" s="121"/>
    </row>
    <row r="727" spans="1:19" ht="15">
      <c r="A727" s="105">
        <v>18</v>
      </c>
      <c r="B727" s="105"/>
      <c r="C727" s="107" t="s">
        <v>772</v>
      </c>
      <c r="D727" s="107" t="s">
        <v>250</v>
      </c>
      <c r="E727" s="120">
        <v>1420093385.0026548</v>
      </c>
      <c r="F727" s="120" t="s">
        <v>250</v>
      </c>
      <c r="G727" s="120">
        <v>1332774897.9177992</v>
      </c>
      <c r="H727" s="120" t="s">
        <v>250</v>
      </c>
      <c r="I727" s="120">
        <v>65705939.582511723</v>
      </c>
      <c r="J727" s="120">
        <v>21612547.50234393</v>
      </c>
      <c r="K727" s="120" t="s">
        <v>250</v>
      </c>
      <c r="L727" s="120" t="s">
        <v>250</v>
      </c>
      <c r="M727" s="120">
        <v>0</v>
      </c>
      <c r="N727" s="120" t="s">
        <v>250</v>
      </c>
      <c r="O727" s="120">
        <v>21612547.50234393</v>
      </c>
      <c r="P727" s="120">
        <v>11122390.522304598</v>
      </c>
      <c r="Q727" s="120">
        <v>10490156.980039332</v>
      </c>
      <c r="R727" s="120"/>
      <c r="S727" s="121"/>
    </row>
    <row r="728" spans="1:19" ht="15">
      <c r="A728" s="105" t="s">
        <v>250</v>
      </c>
      <c r="B728" s="105"/>
      <c r="C728" s="107" t="s">
        <v>250</v>
      </c>
      <c r="D728" s="107" t="s">
        <v>250</v>
      </c>
      <c r="E728" s="120" t="s">
        <v>250</v>
      </c>
      <c r="F728" s="120" t="s">
        <v>250</v>
      </c>
      <c r="G728" s="120" t="s">
        <v>250</v>
      </c>
      <c r="H728" s="120" t="s">
        <v>250</v>
      </c>
      <c r="I728" s="120" t="s">
        <v>250</v>
      </c>
      <c r="J728" s="120" t="s">
        <v>250</v>
      </c>
      <c r="K728" s="120" t="s">
        <v>250</v>
      </c>
      <c r="L728" s="120" t="s">
        <v>250</v>
      </c>
      <c r="M728" s="120" t="s">
        <v>250</v>
      </c>
      <c r="N728" s="120" t="s">
        <v>250</v>
      </c>
      <c r="O728" s="120" t="s">
        <v>250</v>
      </c>
      <c r="P728" s="120" t="s">
        <v>250</v>
      </c>
      <c r="Q728" s="120" t="s">
        <v>250</v>
      </c>
      <c r="R728" s="120"/>
      <c r="S728" s="121"/>
    </row>
    <row r="729" spans="1:19" ht="15">
      <c r="A729" s="105" t="s">
        <v>250</v>
      </c>
      <c r="B729" s="105"/>
      <c r="C729" s="107" t="s">
        <v>250</v>
      </c>
      <c r="D729" s="107" t="s">
        <v>250</v>
      </c>
      <c r="E729" s="120" t="s">
        <v>250</v>
      </c>
      <c r="F729" s="120" t="s">
        <v>250</v>
      </c>
      <c r="G729" s="120" t="s">
        <v>250</v>
      </c>
      <c r="H729" s="120" t="s">
        <v>250</v>
      </c>
      <c r="I729" s="120" t="s">
        <v>250</v>
      </c>
      <c r="J729" s="120" t="s">
        <v>250</v>
      </c>
      <c r="K729" s="120" t="s">
        <v>250</v>
      </c>
      <c r="L729" s="120" t="s">
        <v>250</v>
      </c>
      <c r="M729" s="120" t="s">
        <v>250</v>
      </c>
      <c r="N729" s="120" t="s">
        <v>250</v>
      </c>
      <c r="O729" s="120" t="s">
        <v>250</v>
      </c>
      <c r="P729" s="120" t="s">
        <v>250</v>
      </c>
      <c r="Q729" s="120" t="s">
        <v>250</v>
      </c>
      <c r="R729" s="120"/>
      <c r="S729" s="121"/>
    </row>
    <row r="730" spans="1:19" ht="15">
      <c r="A730" s="105" t="s">
        <v>250</v>
      </c>
      <c r="B730" s="105"/>
      <c r="C730" s="107" t="s">
        <v>250</v>
      </c>
      <c r="D730" s="107" t="s">
        <v>250</v>
      </c>
      <c r="E730" s="120" t="s">
        <v>250</v>
      </c>
      <c r="F730" s="120" t="s">
        <v>250</v>
      </c>
      <c r="G730" s="120" t="s">
        <v>250</v>
      </c>
      <c r="H730" s="120" t="s">
        <v>250</v>
      </c>
      <c r="I730" s="120" t="s">
        <v>250</v>
      </c>
      <c r="J730" s="120" t="s">
        <v>250</v>
      </c>
      <c r="K730" s="120" t="s">
        <v>250</v>
      </c>
      <c r="L730" s="120" t="s">
        <v>250</v>
      </c>
      <c r="M730" s="120" t="s">
        <v>250</v>
      </c>
      <c r="N730" s="120" t="s">
        <v>250</v>
      </c>
      <c r="O730" s="120" t="s">
        <v>250</v>
      </c>
      <c r="P730" s="120" t="s">
        <v>250</v>
      </c>
      <c r="Q730" s="120" t="s">
        <v>250</v>
      </c>
      <c r="R730" s="120"/>
      <c r="S730" s="121"/>
    </row>
    <row r="731" spans="1:19" ht="15">
      <c r="A731" s="105" t="s">
        <v>250</v>
      </c>
      <c r="B731" s="105"/>
      <c r="C731" s="107" t="s">
        <v>250</v>
      </c>
      <c r="D731" s="107" t="s">
        <v>250</v>
      </c>
      <c r="E731" s="120" t="s">
        <v>250</v>
      </c>
      <c r="F731" s="120" t="s">
        <v>250</v>
      </c>
      <c r="G731" s="120" t="s">
        <v>250</v>
      </c>
      <c r="H731" s="120" t="s">
        <v>250</v>
      </c>
      <c r="I731" s="120" t="s">
        <v>250</v>
      </c>
      <c r="J731" s="120" t="s">
        <v>250</v>
      </c>
      <c r="K731" s="120" t="s">
        <v>250</v>
      </c>
      <c r="L731" s="120" t="s">
        <v>250</v>
      </c>
      <c r="M731" s="120" t="s">
        <v>250</v>
      </c>
      <c r="N731" s="120" t="s">
        <v>250</v>
      </c>
      <c r="O731" s="120" t="s">
        <v>250</v>
      </c>
      <c r="P731" s="120" t="s">
        <v>250</v>
      </c>
      <c r="Q731" s="120" t="s">
        <v>250</v>
      </c>
      <c r="R731" s="120"/>
      <c r="S731" s="121"/>
    </row>
    <row r="732" spans="1:19" ht="15">
      <c r="A732" s="105" t="s">
        <v>250</v>
      </c>
      <c r="B732" s="105"/>
      <c r="C732" s="107" t="s">
        <v>250</v>
      </c>
      <c r="D732" s="107" t="s">
        <v>250</v>
      </c>
      <c r="E732" s="120" t="s">
        <v>250</v>
      </c>
      <c r="F732" s="120" t="s">
        <v>250</v>
      </c>
      <c r="G732" s="120" t="s">
        <v>250</v>
      </c>
      <c r="H732" s="120" t="s">
        <v>250</v>
      </c>
      <c r="I732" s="120" t="s">
        <v>250</v>
      </c>
      <c r="J732" s="120" t="s">
        <v>250</v>
      </c>
      <c r="K732" s="120" t="s">
        <v>250</v>
      </c>
      <c r="L732" s="120" t="s">
        <v>250</v>
      </c>
      <c r="M732" s="120" t="s">
        <v>250</v>
      </c>
      <c r="N732" s="120" t="s">
        <v>250</v>
      </c>
      <c r="O732" s="120" t="s">
        <v>250</v>
      </c>
      <c r="P732" s="120" t="s">
        <v>250</v>
      </c>
      <c r="Q732" s="120" t="s">
        <v>250</v>
      </c>
      <c r="R732" s="120"/>
      <c r="S732" s="121"/>
    </row>
    <row r="733" spans="1:19" ht="15">
      <c r="A733" s="105" t="s">
        <v>250</v>
      </c>
      <c r="B733" s="105"/>
      <c r="C733" s="107" t="s">
        <v>250</v>
      </c>
      <c r="D733" s="107" t="s">
        <v>250</v>
      </c>
      <c r="E733" s="120" t="s">
        <v>250</v>
      </c>
      <c r="F733" s="120" t="s">
        <v>250</v>
      </c>
      <c r="G733" s="120" t="s">
        <v>250</v>
      </c>
      <c r="H733" s="120" t="s">
        <v>250</v>
      </c>
      <c r="I733" s="120" t="s">
        <v>250</v>
      </c>
      <c r="J733" s="120" t="s">
        <v>250</v>
      </c>
      <c r="K733" s="120" t="s">
        <v>250</v>
      </c>
      <c r="L733" s="120" t="s">
        <v>250</v>
      </c>
      <c r="M733" s="120" t="s">
        <v>250</v>
      </c>
      <c r="N733" s="120" t="s">
        <v>250</v>
      </c>
      <c r="O733" s="120" t="s">
        <v>250</v>
      </c>
      <c r="P733" s="120" t="s">
        <v>250</v>
      </c>
      <c r="Q733" s="120" t="s">
        <v>250</v>
      </c>
      <c r="R733" s="120"/>
      <c r="S733" s="121"/>
    </row>
    <row r="734" spans="1:19" ht="15">
      <c r="A734" s="105" t="s">
        <v>250</v>
      </c>
      <c r="B734" s="105"/>
      <c r="C734" s="107" t="s">
        <v>250</v>
      </c>
      <c r="D734" s="107" t="s">
        <v>250</v>
      </c>
      <c r="E734" s="120" t="s">
        <v>250</v>
      </c>
      <c r="F734" s="120" t="s">
        <v>250</v>
      </c>
      <c r="G734" s="120" t="s">
        <v>250</v>
      </c>
      <c r="H734" s="120" t="s">
        <v>250</v>
      </c>
      <c r="I734" s="120" t="s">
        <v>250</v>
      </c>
      <c r="J734" s="120" t="s">
        <v>250</v>
      </c>
      <c r="K734" s="120" t="s">
        <v>250</v>
      </c>
      <c r="L734" s="120" t="s">
        <v>250</v>
      </c>
      <c r="M734" s="120" t="s">
        <v>250</v>
      </c>
      <c r="N734" s="120" t="s">
        <v>250</v>
      </c>
      <c r="O734" s="120" t="s">
        <v>250</v>
      </c>
      <c r="P734" s="120" t="s">
        <v>250</v>
      </c>
      <c r="Q734" s="120" t="s">
        <v>250</v>
      </c>
      <c r="R734" s="120"/>
      <c r="S734" s="121"/>
    </row>
    <row r="735" spans="1:19" ht="15">
      <c r="A735" s="105" t="s">
        <v>250</v>
      </c>
      <c r="B735" s="105"/>
      <c r="C735" s="107" t="s">
        <v>250</v>
      </c>
      <c r="D735" s="107" t="s">
        <v>250</v>
      </c>
      <c r="E735" s="120" t="s">
        <v>250</v>
      </c>
      <c r="F735" s="120" t="s">
        <v>250</v>
      </c>
      <c r="G735" s="120" t="s">
        <v>250</v>
      </c>
      <c r="H735" s="120" t="s">
        <v>250</v>
      </c>
      <c r="I735" s="120" t="s">
        <v>250</v>
      </c>
      <c r="J735" s="120" t="s">
        <v>250</v>
      </c>
      <c r="K735" s="120" t="s">
        <v>250</v>
      </c>
      <c r="L735" s="120" t="s">
        <v>250</v>
      </c>
      <c r="M735" s="120" t="s">
        <v>250</v>
      </c>
      <c r="N735" s="120" t="s">
        <v>250</v>
      </c>
      <c r="O735" s="120" t="s">
        <v>250</v>
      </c>
      <c r="P735" s="120" t="s">
        <v>250</v>
      </c>
      <c r="Q735" s="120" t="s">
        <v>250</v>
      </c>
      <c r="R735" s="120"/>
      <c r="S735" s="121"/>
    </row>
    <row r="736" spans="1:19" ht="15">
      <c r="A736" s="105" t="s">
        <v>250</v>
      </c>
      <c r="B736" s="105"/>
      <c r="C736" s="107" t="s">
        <v>773</v>
      </c>
      <c r="D736" s="107" t="s">
        <v>250</v>
      </c>
      <c r="E736" s="120" t="s">
        <v>250</v>
      </c>
      <c r="F736" s="120" t="s">
        <v>250</v>
      </c>
      <c r="G736" s="120" t="s">
        <v>250</v>
      </c>
      <c r="H736" s="120" t="s">
        <v>250</v>
      </c>
      <c r="I736" s="120" t="s">
        <v>250</v>
      </c>
      <c r="J736" s="120" t="s">
        <v>250</v>
      </c>
      <c r="K736" s="120" t="s">
        <v>250</v>
      </c>
      <c r="L736" s="120" t="s">
        <v>250</v>
      </c>
      <c r="M736" s="120" t="s">
        <v>250</v>
      </c>
      <c r="N736" s="120" t="s">
        <v>250</v>
      </c>
      <c r="O736" s="120" t="s">
        <v>250</v>
      </c>
      <c r="P736" s="120" t="s">
        <v>250</v>
      </c>
      <c r="Q736" s="120" t="s">
        <v>250</v>
      </c>
      <c r="R736" s="120"/>
      <c r="S736" s="121"/>
    </row>
    <row r="737" spans="1:19" ht="15">
      <c r="A737" s="105" t="s">
        <v>250</v>
      </c>
      <c r="B737" s="105"/>
      <c r="C737" s="107" t="s">
        <v>250</v>
      </c>
      <c r="D737" s="107" t="s">
        <v>250</v>
      </c>
      <c r="E737" s="120" t="s">
        <v>250</v>
      </c>
      <c r="F737" s="120" t="s">
        <v>250</v>
      </c>
      <c r="G737" s="120" t="s">
        <v>250</v>
      </c>
      <c r="H737" s="120" t="s">
        <v>250</v>
      </c>
      <c r="I737" s="120" t="s">
        <v>250</v>
      </c>
      <c r="J737" s="120" t="s">
        <v>250</v>
      </c>
      <c r="K737" s="120" t="s">
        <v>250</v>
      </c>
      <c r="L737" s="120" t="s">
        <v>250</v>
      </c>
      <c r="M737" s="120" t="s">
        <v>250</v>
      </c>
      <c r="N737" s="120" t="s">
        <v>250</v>
      </c>
      <c r="O737" s="120" t="s">
        <v>250</v>
      </c>
      <c r="P737" s="120" t="s">
        <v>250</v>
      </c>
      <c r="Q737" s="120" t="s">
        <v>250</v>
      </c>
      <c r="R737" s="120"/>
      <c r="S737" s="121"/>
    </row>
    <row r="738" spans="1:19" ht="15">
      <c r="A738" s="105">
        <v>1</v>
      </c>
      <c r="B738" s="105"/>
      <c r="C738" s="107" t="s">
        <v>774</v>
      </c>
      <c r="D738" s="107" t="s">
        <v>250</v>
      </c>
      <c r="E738" s="120">
        <v>326939785</v>
      </c>
      <c r="F738" s="120" t="s">
        <v>250</v>
      </c>
      <c r="G738" s="120">
        <v>311208159.00645804</v>
      </c>
      <c r="H738" s="120" t="s">
        <v>250</v>
      </c>
      <c r="I738" s="120">
        <v>12871288.923641816</v>
      </c>
      <c r="J738" s="120">
        <v>2860337.4908810817</v>
      </c>
      <c r="K738" s="120" t="s">
        <v>250</v>
      </c>
      <c r="L738" s="120" t="s">
        <v>250</v>
      </c>
      <c r="M738" s="120">
        <v>0</v>
      </c>
      <c r="N738" s="120" t="s">
        <v>250</v>
      </c>
      <c r="O738" s="120">
        <v>2860337.4908810817</v>
      </c>
      <c r="P738" s="120">
        <v>1477383.8610532731</v>
      </c>
      <c r="Q738" s="120">
        <v>1382953.6298278086</v>
      </c>
      <c r="R738" s="120"/>
      <c r="S738" s="121"/>
    </row>
    <row r="739" spans="1:19" ht="15">
      <c r="A739" s="105" t="s">
        <v>250</v>
      </c>
      <c r="B739" s="105"/>
      <c r="C739" s="107" t="s">
        <v>250</v>
      </c>
      <c r="D739" s="107" t="s">
        <v>250</v>
      </c>
      <c r="E739" s="120" t="s">
        <v>250</v>
      </c>
      <c r="F739" s="120" t="s">
        <v>250</v>
      </c>
      <c r="G739" s="120" t="s">
        <v>250</v>
      </c>
      <c r="H739" s="120" t="s">
        <v>250</v>
      </c>
      <c r="I739" s="120" t="s">
        <v>250</v>
      </c>
      <c r="J739" s="120" t="s">
        <v>250</v>
      </c>
      <c r="K739" s="120" t="s">
        <v>250</v>
      </c>
      <c r="L739" s="120" t="s">
        <v>250</v>
      </c>
      <c r="M739" s="120" t="s">
        <v>250</v>
      </c>
      <c r="N739" s="120" t="s">
        <v>250</v>
      </c>
      <c r="O739" s="120" t="s">
        <v>250</v>
      </c>
      <c r="P739" s="120" t="s">
        <v>250</v>
      </c>
      <c r="Q739" s="120" t="s">
        <v>250</v>
      </c>
      <c r="R739" s="120"/>
      <c r="S739" s="121"/>
    </row>
    <row r="740" spans="1:19" ht="15">
      <c r="A740" s="105" t="s">
        <v>250</v>
      </c>
      <c r="B740" s="105"/>
      <c r="C740" s="107" t="s">
        <v>775</v>
      </c>
      <c r="D740" s="107" t="s">
        <v>250</v>
      </c>
      <c r="E740" s="120" t="s">
        <v>250</v>
      </c>
      <c r="F740" s="120" t="s">
        <v>250</v>
      </c>
      <c r="G740" s="120" t="s">
        <v>250</v>
      </c>
      <c r="H740" s="120" t="s">
        <v>250</v>
      </c>
      <c r="I740" s="120" t="s">
        <v>250</v>
      </c>
      <c r="J740" s="120" t="s">
        <v>250</v>
      </c>
      <c r="K740" s="120" t="s">
        <v>250</v>
      </c>
      <c r="L740" s="120" t="s">
        <v>250</v>
      </c>
      <c r="M740" s="120" t="s">
        <v>250</v>
      </c>
      <c r="N740" s="120" t="s">
        <v>250</v>
      </c>
      <c r="O740" s="120" t="s">
        <v>250</v>
      </c>
      <c r="P740" s="120" t="s">
        <v>250</v>
      </c>
      <c r="Q740" s="120" t="s">
        <v>250</v>
      </c>
      <c r="R740" s="120"/>
      <c r="S740" s="121"/>
    </row>
    <row r="741" spans="1:19" ht="15">
      <c r="A741" s="105" t="s">
        <v>250</v>
      </c>
      <c r="B741" s="105"/>
      <c r="C741" s="107" t="s">
        <v>776</v>
      </c>
      <c r="D741" s="107" t="s">
        <v>250</v>
      </c>
      <c r="E741" s="120" t="s">
        <v>250</v>
      </c>
      <c r="F741" s="120" t="s">
        <v>250</v>
      </c>
      <c r="G741" s="120" t="s">
        <v>250</v>
      </c>
      <c r="H741" s="120" t="s">
        <v>250</v>
      </c>
      <c r="I741" s="120" t="s">
        <v>250</v>
      </c>
      <c r="J741" s="120" t="s">
        <v>250</v>
      </c>
      <c r="K741" s="120" t="s">
        <v>250</v>
      </c>
      <c r="L741" s="120" t="s">
        <v>250</v>
      </c>
      <c r="M741" s="120" t="s">
        <v>250</v>
      </c>
      <c r="N741" s="120" t="s">
        <v>250</v>
      </c>
      <c r="O741" s="120" t="s">
        <v>250</v>
      </c>
      <c r="P741" s="120" t="s">
        <v>250</v>
      </c>
      <c r="Q741" s="120" t="s">
        <v>250</v>
      </c>
      <c r="R741" s="120"/>
      <c r="S741" s="121"/>
    </row>
    <row r="742" spans="1:19" ht="15">
      <c r="A742" s="105">
        <v>2</v>
      </c>
      <c r="B742" s="105"/>
      <c r="C742" s="107" t="s">
        <v>250</v>
      </c>
      <c r="D742" s="107" t="s">
        <v>250</v>
      </c>
      <c r="E742" s="120" t="s">
        <v>250</v>
      </c>
      <c r="F742" s="120" t="s">
        <v>250</v>
      </c>
      <c r="G742" s="120" t="s">
        <v>250</v>
      </c>
      <c r="H742" s="120" t="s">
        <v>250</v>
      </c>
      <c r="I742" s="120" t="s">
        <v>250</v>
      </c>
      <c r="J742" s="120" t="s">
        <v>250</v>
      </c>
      <c r="K742" s="120" t="s">
        <v>250</v>
      </c>
      <c r="L742" s="120" t="s">
        <v>250</v>
      </c>
      <c r="M742" s="120" t="s">
        <v>250</v>
      </c>
      <c r="N742" s="120" t="s">
        <v>250</v>
      </c>
      <c r="O742" s="120" t="s">
        <v>250</v>
      </c>
      <c r="P742" s="120" t="s">
        <v>250</v>
      </c>
      <c r="Q742" s="120" t="s">
        <v>250</v>
      </c>
      <c r="R742" s="120"/>
      <c r="S742" s="121"/>
    </row>
    <row r="743" spans="1:19" ht="15">
      <c r="A743" s="105">
        <v>3</v>
      </c>
      <c r="B743" s="105"/>
      <c r="C743" s="107" t="s">
        <v>250</v>
      </c>
      <c r="D743" s="107" t="s">
        <v>250</v>
      </c>
      <c r="E743" s="120" t="s">
        <v>250</v>
      </c>
      <c r="F743" s="120" t="s">
        <v>250</v>
      </c>
      <c r="G743" s="120" t="s">
        <v>250</v>
      </c>
      <c r="H743" s="120" t="s">
        <v>250</v>
      </c>
      <c r="I743" s="120" t="s">
        <v>250</v>
      </c>
      <c r="J743" s="120" t="s">
        <v>250</v>
      </c>
      <c r="K743" s="120" t="s">
        <v>250</v>
      </c>
      <c r="L743" s="120" t="s">
        <v>250</v>
      </c>
      <c r="M743" s="120" t="s">
        <v>250</v>
      </c>
      <c r="N743" s="120" t="s">
        <v>250</v>
      </c>
      <c r="O743" s="120" t="s">
        <v>250</v>
      </c>
      <c r="P743" s="120" t="s">
        <v>250</v>
      </c>
      <c r="Q743" s="120" t="s">
        <v>250</v>
      </c>
      <c r="R743" s="120"/>
      <c r="S743" s="121"/>
    </row>
    <row r="744" spans="1:19" ht="15">
      <c r="A744" s="105">
        <v>4</v>
      </c>
      <c r="B744" s="105"/>
      <c r="C744" s="107" t="s">
        <v>777</v>
      </c>
      <c r="D744" s="107" t="s">
        <v>250</v>
      </c>
      <c r="E744" s="120">
        <v>0</v>
      </c>
      <c r="F744" s="120" t="s">
        <v>250</v>
      </c>
      <c r="G744" s="120">
        <v>0</v>
      </c>
      <c r="H744" s="120" t="s">
        <v>250</v>
      </c>
      <c r="I744" s="120">
        <v>0</v>
      </c>
      <c r="J744" s="120">
        <v>0</v>
      </c>
      <c r="K744" s="120" t="s">
        <v>250</v>
      </c>
      <c r="L744" s="120" t="s">
        <v>250</v>
      </c>
      <c r="M744" s="120">
        <v>0</v>
      </c>
      <c r="N744" s="120" t="s">
        <v>250</v>
      </c>
      <c r="O744" s="120">
        <v>0</v>
      </c>
      <c r="P744" s="120">
        <v>0</v>
      </c>
      <c r="Q744" s="120">
        <v>0</v>
      </c>
      <c r="R744" s="120"/>
      <c r="S744" s="121"/>
    </row>
    <row r="745" spans="1:19" ht="15">
      <c r="A745" s="105" t="s">
        <v>250</v>
      </c>
      <c r="B745" s="105"/>
      <c r="C745" s="107" t="s">
        <v>250</v>
      </c>
      <c r="D745" s="107" t="s">
        <v>250</v>
      </c>
      <c r="E745" s="120" t="s">
        <v>250</v>
      </c>
      <c r="F745" s="120" t="s">
        <v>250</v>
      </c>
      <c r="G745" s="120" t="s">
        <v>250</v>
      </c>
      <c r="H745" s="120" t="s">
        <v>250</v>
      </c>
      <c r="I745" s="120" t="s">
        <v>250</v>
      </c>
      <c r="J745" s="120" t="s">
        <v>250</v>
      </c>
      <c r="K745" s="120" t="s">
        <v>250</v>
      </c>
      <c r="L745" s="120" t="s">
        <v>250</v>
      </c>
      <c r="M745" s="120" t="s">
        <v>250</v>
      </c>
      <c r="N745" s="120" t="s">
        <v>250</v>
      </c>
      <c r="O745" s="120" t="s">
        <v>250</v>
      </c>
      <c r="P745" s="120" t="s">
        <v>250</v>
      </c>
      <c r="Q745" s="120" t="s">
        <v>250</v>
      </c>
      <c r="R745" s="120"/>
      <c r="S745" s="121"/>
    </row>
    <row r="746" spans="1:19" ht="15">
      <c r="A746" s="105" t="s">
        <v>250</v>
      </c>
      <c r="B746" s="105"/>
      <c r="C746" s="107" t="s">
        <v>778</v>
      </c>
      <c r="D746" s="107" t="s">
        <v>250</v>
      </c>
      <c r="E746" s="120" t="s">
        <v>250</v>
      </c>
      <c r="F746" s="120" t="s">
        <v>250</v>
      </c>
      <c r="G746" s="120" t="s">
        <v>250</v>
      </c>
      <c r="H746" s="120" t="s">
        <v>250</v>
      </c>
      <c r="I746" s="120" t="s">
        <v>250</v>
      </c>
      <c r="J746" s="120" t="s">
        <v>250</v>
      </c>
      <c r="K746" s="120" t="s">
        <v>250</v>
      </c>
      <c r="L746" s="120" t="s">
        <v>250</v>
      </c>
      <c r="M746" s="120" t="s">
        <v>250</v>
      </c>
      <c r="N746" s="120" t="s">
        <v>250</v>
      </c>
      <c r="O746" s="120" t="s">
        <v>250</v>
      </c>
      <c r="P746" s="120" t="s">
        <v>250</v>
      </c>
      <c r="Q746" s="120" t="s">
        <v>250</v>
      </c>
      <c r="R746" s="120"/>
      <c r="S746" s="121"/>
    </row>
    <row r="747" spans="1:19" ht="15">
      <c r="A747" s="105" t="s">
        <v>250</v>
      </c>
      <c r="B747" s="105"/>
      <c r="C747" s="107" t="s">
        <v>779</v>
      </c>
      <c r="D747" s="107" t="s">
        <v>250</v>
      </c>
      <c r="E747" s="120" t="s">
        <v>250</v>
      </c>
      <c r="F747" s="120" t="s">
        <v>250</v>
      </c>
      <c r="G747" s="120" t="s">
        <v>250</v>
      </c>
      <c r="H747" s="120" t="s">
        <v>250</v>
      </c>
      <c r="I747" s="120" t="s">
        <v>250</v>
      </c>
      <c r="J747" s="120" t="s">
        <v>250</v>
      </c>
      <c r="K747" s="120" t="s">
        <v>250</v>
      </c>
      <c r="L747" s="120" t="s">
        <v>250</v>
      </c>
      <c r="M747" s="120" t="s">
        <v>250</v>
      </c>
      <c r="N747" s="120" t="s">
        <v>250</v>
      </c>
      <c r="O747" s="120" t="s">
        <v>250</v>
      </c>
      <c r="P747" s="120" t="s">
        <v>250</v>
      </c>
      <c r="Q747" s="120" t="s">
        <v>250</v>
      </c>
      <c r="R747" s="120"/>
      <c r="S747" s="121"/>
    </row>
    <row r="748" spans="1:19" ht="15">
      <c r="A748" s="105">
        <v>5</v>
      </c>
      <c r="B748" s="105"/>
      <c r="C748" s="107" t="s">
        <v>780</v>
      </c>
      <c r="D748" s="107" t="s">
        <v>781</v>
      </c>
      <c r="E748" s="120">
        <v>117281038</v>
      </c>
      <c r="F748" s="120" t="s">
        <v>250</v>
      </c>
      <c r="G748" s="120">
        <v>109813060.28400996</v>
      </c>
      <c r="H748" s="120" t="s">
        <v>250</v>
      </c>
      <c r="I748" s="120">
        <v>6001016.0657604346</v>
      </c>
      <c r="J748" s="120">
        <v>1466961.6502295956</v>
      </c>
      <c r="K748" s="120" t="s">
        <v>250</v>
      </c>
      <c r="L748" s="120" t="s">
        <v>250</v>
      </c>
      <c r="M748" s="120">
        <v>0</v>
      </c>
      <c r="N748" s="120" t="s">
        <v>250</v>
      </c>
      <c r="O748" s="120">
        <v>1466961.6502295956</v>
      </c>
      <c r="P748" s="120">
        <v>773711.49996032729</v>
      </c>
      <c r="Q748" s="120">
        <v>693250.1502692682</v>
      </c>
      <c r="R748" s="120"/>
      <c r="S748" s="121"/>
    </row>
    <row r="749" spans="1:19" ht="15">
      <c r="A749" s="105">
        <v>6</v>
      </c>
      <c r="B749" s="105"/>
      <c r="C749" s="107" t="s">
        <v>782</v>
      </c>
      <c r="D749" s="107" t="s">
        <v>783</v>
      </c>
      <c r="E749" s="120">
        <v>0</v>
      </c>
      <c r="F749" s="120" t="s">
        <v>250</v>
      </c>
      <c r="G749" s="120">
        <v>0</v>
      </c>
      <c r="H749" s="120" t="s">
        <v>250</v>
      </c>
      <c r="I749" s="120">
        <v>18854.152757470201</v>
      </c>
      <c r="J749" s="120">
        <v>0</v>
      </c>
      <c r="K749" s="120" t="s">
        <v>250</v>
      </c>
      <c r="L749" s="120" t="s">
        <v>250</v>
      </c>
      <c r="M749" s="120">
        <v>0</v>
      </c>
      <c r="N749" s="120" t="s">
        <v>250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7</v>
      </c>
      <c r="B750" s="105"/>
      <c r="C750" s="107" t="s">
        <v>3727</v>
      </c>
      <c r="D750" s="107" t="s">
        <v>3707</v>
      </c>
      <c r="E750" s="120">
        <v>-183431</v>
      </c>
      <c r="F750" s="120" t="s">
        <v>250</v>
      </c>
      <c r="G750" s="120">
        <v>-172631.66076675968</v>
      </c>
      <c r="H750" s="120" t="s">
        <v>250</v>
      </c>
      <c r="I750" s="120">
        <v>-9210.2322263167862</v>
      </c>
      <c r="J750" s="120">
        <v>-1589.1070069235282</v>
      </c>
      <c r="K750" s="120" t="s">
        <v>250</v>
      </c>
      <c r="L750" s="120" t="s">
        <v>250</v>
      </c>
      <c r="M750" s="120">
        <v>0</v>
      </c>
      <c r="N750" s="120" t="s">
        <v>250</v>
      </c>
      <c r="O750" s="120">
        <v>-1589.1070069235282</v>
      </c>
      <c r="P750" s="120">
        <v>-1589.1070069235282</v>
      </c>
      <c r="Q750" s="120">
        <v>0</v>
      </c>
      <c r="R750" s="120"/>
      <c r="S750" s="121"/>
    </row>
    <row r="751" spans="1:19" ht="15">
      <c r="A751" s="105">
        <v>8</v>
      </c>
      <c r="B751" s="105"/>
      <c r="C751" s="107" t="s">
        <v>784</v>
      </c>
      <c r="D751" s="107" t="s">
        <v>2534</v>
      </c>
      <c r="E751" s="120">
        <v>-9450</v>
      </c>
      <c r="F751" s="120" t="s">
        <v>250</v>
      </c>
      <c r="G751" s="120">
        <v>0</v>
      </c>
      <c r="H751" s="120" t="s">
        <v>250</v>
      </c>
      <c r="I751" s="120">
        <v>0</v>
      </c>
      <c r="J751" s="120">
        <v>-9450</v>
      </c>
      <c r="K751" s="120" t="s">
        <v>250</v>
      </c>
      <c r="L751" s="120" t="s">
        <v>250</v>
      </c>
      <c r="M751" s="120">
        <v>0</v>
      </c>
      <c r="N751" s="120" t="s">
        <v>250</v>
      </c>
      <c r="O751" s="120">
        <v>-9450</v>
      </c>
      <c r="P751" s="120">
        <v>-4793.568784700803</v>
      </c>
      <c r="Q751" s="120">
        <v>-4656.431215299197</v>
      </c>
      <c r="R751" s="120"/>
      <c r="S751" s="121"/>
    </row>
    <row r="752" spans="1:19" ht="15">
      <c r="A752" s="105">
        <v>9</v>
      </c>
      <c r="B752" s="105"/>
      <c r="C752" s="107" t="s">
        <v>786</v>
      </c>
      <c r="D752" s="107" t="s">
        <v>250</v>
      </c>
      <c r="E752" s="120">
        <v>117088157</v>
      </c>
      <c r="F752" s="120" t="s">
        <v>250</v>
      </c>
      <c r="G752" s="120">
        <v>109640428.6232432</v>
      </c>
      <c r="H752" s="120" t="s">
        <v>250</v>
      </c>
      <c r="I752" s="120">
        <v>6010659.9862915883</v>
      </c>
      <c r="J752" s="120">
        <v>1455922.5432226718</v>
      </c>
      <c r="K752" s="120" t="s">
        <v>250</v>
      </c>
      <c r="L752" s="120" t="s">
        <v>250</v>
      </c>
      <c r="M752" s="120">
        <v>0</v>
      </c>
      <c r="N752" s="120" t="s">
        <v>250</v>
      </c>
      <c r="O752" s="120">
        <v>1455922.5432226718</v>
      </c>
      <c r="P752" s="120">
        <v>767328.82416870294</v>
      </c>
      <c r="Q752" s="120">
        <v>688593.71905396902</v>
      </c>
      <c r="R752" s="120"/>
      <c r="S752" s="121"/>
    </row>
    <row r="753" spans="1:19" ht="15">
      <c r="A753" s="105" t="s">
        <v>250</v>
      </c>
      <c r="B753" s="105"/>
      <c r="C753" s="107" t="s">
        <v>250</v>
      </c>
      <c r="D753" s="107" t="s">
        <v>250</v>
      </c>
      <c r="E753" s="120" t="s">
        <v>250</v>
      </c>
      <c r="F753" s="120" t="s">
        <v>250</v>
      </c>
      <c r="G753" s="120" t="s">
        <v>250</v>
      </c>
      <c r="H753" s="120" t="s">
        <v>250</v>
      </c>
      <c r="I753" s="120" t="s">
        <v>250</v>
      </c>
      <c r="J753" s="120" t="s">
        <v>250</v>
      </c>
      <c r="K753" s="120" t="s">
        <v>250</v>
      </c>
      <c r="L753" s="120" t="s">
        <v>250</v>
      </c>
      <c r="M753" s="120" t="s">
        <v>250</v>
      </c>
      <c r="N753" s="120" t="s">
        <v>250</v>
      </c>
      <c r="O753" s="120" t="s">
        <v>250</v>
      </c>
      <c r="P753" s="120" t="s">
        <v>250</v>
      </c>
      <c r="Q753" s="120" t="s">
        <v>250</v>
      </c>
      <c r="R753" s="120"/>
      <c r="S753" s="121"/>
    </row>
    <row r="754" spans="1:19" ht="15">
      <c r="A754" s="105" t="s">
        <v>250</v>
      </c>
      <c r="B754" s="105"/>
      <c r="C754" s="107" t="s">
        <v>787</v>
      </c>
      <c r="D754" s="107" t="s">
        <v>250</v>
      </c>
      <c r="E754" s="120" t="s">
        <v>250</v>
      </c>
      <c r="F754" s="120" t="s">
        <v>250</v>
      </c>
      <c r="G754" s="120" t="s">
        <v>250</v>
      </c>
      <c r="H754" s="120" t="s">
        <v>250</v>
      </c>
      <c r="I754" s="120" t="s">
        <v>250</v>
      </c>
      <c r="J754" s="120" t="s">
        <v>250</v>
      </c>
      <c r="K754" s="120" t="s">
        <v>250</v>
      </c>
      <c r="L754" s="120" t="s">
        <v>250</v>
      </c>
      <c r="M754" s="120" t="s">
        <v>250</v>
      </c>
      <c r="N754" s="120" t="s">
        <v>250</v>
      </c>
      <c r="O754" s="120" t="s">
        <v>250</v>
      </c>
      <c r="P754" s="120" t="s">
        <v>250</v>
      </c>
      <c r="Q754" s="120" t="s">
        <v>250</v>
      </c>
      <c r="R754" s="120"/>
      <c r="S754" s="121"/>
    </row>
    <row r="755" spans="1:19" ht="15">
      <c r="A755" s="105">
        <v>10</v>
      </c>
      <c r="B755" s="105"/>
      <c r="C755" s="107" t="s">
        <v>788</v>
      </c>
      <c r="D755" s="107" t="s">
        <v>925</v>
      </c>
      <c r="E755" s="120">
        <v>0</v>
      </c>
      <c r="F755" s="120" t="s">
        <v>250</v>
      </c>
      <c r="G755" s="120">
        <v>0</v>
      </c>
      <c r="H755" s="120" t="s">
        <v>250</v>
      </c>
      <c r="I755" s="120">
        <v>0</v>
      </c>
      <c r="J755" s="120">
        <v>0</v>
      </c>
      <c r="K755" s="120" t="s">
        <v>250</v>
      </c>
      <c r="L755" s="120" t="s">
        <v>250</v>
      </c>
      <c r="M755" s="120">
        <v>0</v>
      </c>
      <c r="N755" s="120" t="s">
        <v>250</v>
      </c>
      <c r="O755" s="120">
        <v>0</v>
      </c>
      <c r="P755" s="120">
        <v>0</v>
      </c>
      <c r="Q755" s="120">
        <v>0</v>
      </c>
      <c r="R755" s="120"/>
      <c r="S755" s="121"/>
    </row>
    <row r="756" spans="1:19" ht="15">
      <c r="A756" s="105">
        <v>11</v>
      </c>
      <c r="B756" s="105"/>
      <c r="C756" s="107" t="s">
        <v>2234</v>
      </c>
      <c r="D756" s="107" t="s">
        <v>443</v>
      </c>
      <c r="E756" s="120">
        <v>0</v>
      </c>
      <c r="F756" s="120" t="s">
        <v>250</v>
      </c>
      <c r="G756" s="120">
        <v>0</v>
      </c>
      <c r="H756" s="120" t="s">
        <v>250</v>
      </c>
      <c r="I756" s="120">
        <v>0</v>
      </c>
      <c r="J756" s="120">
        <v>0</v>
      </c>
      <c r="K756" s="120" t="s">
        <v>250</v>
      </c>
      <c r="L756" s="120" t="s">
        <v>250</v>
      </c>
      <c r="M756" s="120">
        <v>0</v>
      </c>
      <c r="N756" s="120" t="s">
        <v>250</v>
      </c>
      <c r="O756" s="120">
        <v>0</v>
      </c>
      <c r="P756" s="120">
        <v>0</v>
      </c>
      <c r="Q756" s="120">
        <v>0</v>
      </c>
      <c r="R756" s="120"/>
      <c r="S756" s="121"/>
    </row>
    <row r="757" spans="1:19" ht="15">
      <c r="A757" s="105">
        <v>12</v>
      </c>
      <c r="B757" s="105"/>
      <c r="C757" s="107" t="s">
        <v>789</v>
      </c>
      <c r="D757" s="107" t="s">
        <v>311</v>
      </c>
      <c r="E757" s="120">
        <v>256371.91653446999</v>
      </c>
      <c r="F757" s="120" t="s">
        <v>250</v>
      </c>
      <c r="G757" s="120">
        <v>131870.87136439054</v>
      </c>
      <c r="H757" s="120" t="s">
        <v>250</v>
      </c>
      <c r="I757" s="120">
        <v>85469.344900838929</v>
      </c>
      <c r="J757" s="120">
        <v>39031.700269240522</v>
      </c>
      <c r="K757" s="120" t="s">
        <v>250</v>
      </c>
      <c r="L757" s="120" t="s">
        <v>250</v>
      </c>
      <c r="M757" s="120">
        <v>0</v>
      </c>
      <c r="N757" s="120" t="s">
        <v>250</v>
      </c>
      <c r="O757" s="120">
        <v>39031.700269240522</v>
      </c>
      <c r="P757" s="120">
        <v>19799.062436447544</v>
      </c>
      <c r="Q757" s="120">
        <v>19232.637832792981</v>
      </c>
      <c r="R757" s="120"/>
      <c r="S757" s="121"/>
    </row>
    <row r="758" spans="1:19" ht="15">
      <c r="A758" s="105">
        <v>13</v>
      </c>
      <c r="B758" s="105"/>
      <c r="C758" s="107" t="s">
        <v>790</v>
      </c>
      <c r="D758" s="107" t="s">
        <v>313</v>
      </c>
      <c r="E758" s="120">
        <v>743628.08346553007</v>
      </c>
      <c r="F758" s="120" t="s">
        <v>250</v>
      </c>
      <c r="G758" s="120">
        <v>573794.07694257237</v>
      </c>
      <c r="H758" s="120" t="s">
        <v>250</v>
      </c>
      <c r="I758" s="120">
        <v>0</v>
      </c>
      <c r="J758" s="120">
        <v>169834.00652295773</v>
      </c>
      <c r="K758" s="120" t="s">
        <v>250</v>
      </c>
      <c r="L758" s="120" t="s">
        <v>250</v>
      </c>
      <c r="M758" s="120">
        <v>0</v>
      </c>
      <c r="N758" s="120" t="s">
        <v>250</v>
      </c>
      <c r="O758" s="120">
        <v>169834.00652295773</v>
      </c>
      <c r="P758" s="120">
        <v>86149.311349113501</v>
      </c>
      <c r="Q758" s="120">
        <v>83684.695173844229</v>
      </c>
      <c r="R758" s="120"/>
      <c r="S758" s="121"/>
    </row>
    <row r="759" spans="1:19" ht="15">
      <c r="A759" s="105">
        <v>14</v>
      </c>
      <c r="B759" s="105"/>
      <c r="C759" s="107" t="s">
        <v>791</v>
      </c>
      <c r="D759" s="107" t="s">
        <v>781</v>
      </c>
      <c r="E759" s="120">
        <v>1919999.9999999998</v>
      </c>
      <c r="F759" s="120" t="s">
        <v>250</v>
      </c>
      <c r="G759" s="120">
        <v>1797742.2381382668</v>
      </c>
      <c r="H759" s="120" t="s">
        <v>250</v>
      </c>
      <c r="I759" s="120">
        <v>-415547.61607929575</v>
      </c>
      <c r="J759" s="120">
        <v>24015.530698498962</v>
      </c>
      <c r="K759" s="120" t="s">
        <v>250</v>
      </c>
      <c r="L759" s="120" t="s">
        <v>250</v>
      </c>
      <c r="M759" s="120">
        <v>0</v>
      </c>
      <c r="N759" s="120" t="s">
        <v>250</v>
      </c>
      <c r="O759" s="120">
        <v>24015.530698498962</v>
      </c>
      <c r="P759" s="120">
        <v>12666.379026452923</v>
      </c>
      <c r="Q759" s="120">
        <v>11349.151672046039</v>
      </c>
      <c r="R759" s="120"/>
      <c r="S759" s="121"/>
    </row>
    <row r="760" spans="1:19" ht="15">
      <c r="A760" s="105" t="s">
        <v>250</v>
      </c>
      <c r="B760" s="105"/>
      <c r="C760" s="107" t="s">
        <v>250</v>
      </c>
      <c r="D760" s="107" t="s">
        <v>250</v>
      </c>
      <c r="E760" s="120" t="s">
        <v>250</v>
      </c>
      <c r="F760" s="120" t="s">
        <v>250</v>
      </c>
      <c r="G760" s="120" t="s">
        <v>250</v>
      </c>
      <c r="H760" s="120" t="s">
        <v>250</v>
      </c>
      <c r="I760" s="120" t="s">
        <v>250</v>
      </c>
      <c r="J760" s="120" t="s">
        <v>250</v>
      </c>
      <c r="K760" s="120" t="s">
        <v>250</v>
      </c>
      <c r="L760" s="120" t="s">
        <v>250</v>
      </c>
      <c r="M760" s="120" t="s">
        <v>250</v>
      </c>
      <c r="N760" s="120" t="s">
        <v>250</v>
      </c>
      <c r="O760" s="120" t="s">
        <v>250</v>
      </c>
      <c r="P760" s="120" t="s">
        <v>250</v>
      </c>
      <c r="Q760" s="120" t="s">
        <v>250</v>
      </c>
      <c r="R760" s="120"/>
      <c r="S760" s="121"/>
    </row>
    <row r="761" spans="1:19" ht="15">
      <c r="A761" s="105">
        <v>15</v>
      </c>
      <c r="B761" s="105"/>
      <c r="C761" s="107" t="s">
        <v>792</v>
      </c>
      <c r="D761" s="107" t="s">
        <v>250</v>
      </c>
      <c r="E761" s="120">
        <v>212771628</v>
      </c>
      <c r="F761" s="120" t="s">
        <v>250</v>
      </c>
      <c r="G761" s="120">
        <v>204071138</v>
      </c>
      <c r="H761" s="120" t="s">
        <v>250</v>
      </c>
      <c r="I761" s="120">
        <v>6530551</v>
      </c>
      <c r="J761" s="120">
        <v>1637296</v>
      </c>
      <c r="K761" s="120" t="s">
        <v>250</v>
      </c>
      <c r="L761" s="120" t="s">
        <v>250</v>
      </c>
      <c r="M761" s="120">
        <v>0</v>
      </c>
      <c r="N761" s="120" t="s">
        <v>250</v>
      </c>
      <c r="O761" s="120">
        <v>1637296</v>
      </c>
      <c r="P761" s="120">
        <v>828670</v>
      </c>
      <c r="Q761" s="120">
        <v>808626</v>
      </c>
      <c r="R761" s="120"/>
      <c r="S761" s="121"/>
    </row>
    <row r="762" spans="1:19" ht="15">
      <c r="A762" s="105">
        <v>16</v>
      </c>
      <c r="B762" s="105"/>
      <c r="C762" s="107" t="s">
        <v>2235</v>
      </c>
      <c r="D762" s="107" t="s">
        <v>250</v>
      </c>
      <c r="E762" s="120">
        <v>212771628</v>
      </c>
      <c r="F762" s="120" t="s">
        <v>250</v>
      </c>
      <c r="G762" s="120">
        <v>204071138</v>
      </c>
      <c r="H762" s="120" t="s">
        <v>250</v>
      </c>
      <c r="I762" s="120">
        <v>7311145.3262873208</v>
      </c>
      <c r="J762" s="120">
        <v>1637296</v>
      </c>
      <c r="K762" s="120" t="s">
        <v>250</v>
      </c>
      <c r="L762" s="120" t="s">
        <v>250</v>
      </c>
      <c r="M762" s="120">
        <v>0</v>
      </c>
      <c r="N762" s="120" t="s">
        <v>250</v>
      </c>
      <c r="O762" s="120">
        <v>1637296</v>
      </c>
      <c r="P762" s="120">
        <v>828670</v>
      </c>
      <c r="Q762" s="120">
        <v>808626</v>
      </c>
      <c r="R762" s="120"/>
      <c r="S762" s="121"/>
    </row>
    <row r="763" spans="1:19" ht="15">
      <c r="A763" s="105" t="s">
        <v>250</v>
      </c>
      <c r="B763" s="105"/>
      <c r="C763" s="107" t="s">
        <v>250</v>
      </c>
      <c r="D763" s="107" t="s">
        <v>250</v>
      </c>
      <c r="E763" s="120" t="s">
        <v>250</v>
      </c>
      <c r="F763" s="120" t="s">
        <v>250</v>
      </c>
      <c r="G763" s="120" t="s">
        <v>250</v>
      </c>
      <c r="H763" s="120" t="s">
        <v>250</v>
      </c>
      <c r="I763" s="120" t="s">
        <v>250</v>
      </c>
      <c r="J763" s="120" t="s">
        <v>250</v>
      </c>
      <c r="K763" s="120" t="s">
        <v>250</v>
      </c>
      <c r="L763" s="120" t="s">
        <v>250</v>
      </c>
      <c r="M763" s="120" t="s">
        <v>250</v>
      </c>
      <c r="N763" s="120" t="s">
        <v>250</v>
      </c>
      <c r="O763" s="120" t="s">
        <v>250</v>
      </c>
      <c r="P763" s="120" t="s">
        <v>250</v>
      </c>
      <c r="Q763" s="120" t="s">
        <v>250</v>
      </c>
      <c r="R763" s="120"/>
      <c r="S763" s="121"/>
    </row>
    <row r="764" spans="1:19" ht="15">
      <c r="A764" s="105">
        <v>17</v>
      </c>
      <c r="B764" s="105"/>
      <c r="C764" s="107" t="s">
        <v>793</v>
      </c>
      <c r="D764" s="107" t="s">
        <v>250</v>
      </c>
      <c r="E764" s="120">
        <v>10638581.4</v>
      </c>
      <c r="F764" s="120" t="s">
        <v>250</v>
      </c>
      <c r="G764" s="120">
        <v>10203556.9</v>
      </c>
      <c r="H764" s="120" t="s">
        <v>250</v>
      </c>
      <c r="I764" s="120">
        <v>438668.71957723924</v>
      </c>
      <c r="J764" s="120">
        <v>81864.800000000003</v>
      </c>
      <c r="K764" s="120" t="s">
        <v>250</v>
      </c>
      <c r="L764" s="120" t="s">
        <v>250</v>
      </c>
      <c r="M764" s="120">
        <v>0</v>
      </c>
      <c r="N764" s="120" t="s">
        <v>250</v>
      </c>
      <c r="O764" s="120">
        <v>81864.800000000003</v>
      </c>
      <c r="P764" s="120">
        <v>41433.5</v>
      </c>
      <c r="Q764" s="120">
        <v>40431.300000000003</v>
      </c>
      <c r="R764" s="120"/>
      <c r="S764" s="121"/>
    </row>
    <row r="765" spans="1:19" ht="15">
      <c r="A765" s="105">
        <v>18</v>
      </c>
      <c r="B765" s="105"/>
      <c r="C765" s="107" t="s">
        <v>794</v>
      </c>
      <c r="D765" s="107" t="s">
        <v>781</v>
      </c>
      <c r="E765" s="120">
        <v>82208</v>
      </c>
      <c r="F765" s="120" t="s">
        <v>250</v>
      </c>
      <c r="G765" s="120">
        <v>76974</v>
      </c>
      <c r="H765" s="120" t="s">
        <v>250</v>
      </c>
      <c r="I765" s="120">
        <v>4206</v>
      </c>
      <c r="J765" s="120">
        <v>1028</v>
      </c>
      <c r="K765" s="120" t="s">
        <v>250</v>
      </c>
      <c r="L765" s="120" t="s">
        <v>250</v>
      </c>
      <c r="M765" s="120">
        <v>0</v>
      </c>
      <c r="N765" s="120" t="s">
        <v>250</v>
      </c>
      <c r="O765" s="120">
        <v>1028</v>
      </c>
      <c r="P765" s="120">
        <v>542</v>
      </c>
      <c r="Q765" s="120">
        <v>486</v>
      </c>
      <c r="R765" s="120"/>
      <c r="S765" s="121"/>
    </row>
    <row r="766" spans="1:19" ht="15">
      <c r="A766" s="105">
        <v>19</v>
      </c>
      <c r="B766" s="105"/>
      <c r="C766" s="107" t="s">
        <v>795</v>
      </c>
      <c r="D766" s="107" t="s">
        <v>375</v>
      </c>
      <c r="E766" s="120">
        <v>-1245001</v>
      </c>
      <c r="F766" s="120" t="s">
        <v>250</v>
      </c>
      <c r="G766" s="120">
        <v>-1219773</v>
      </c>
      <c r="H766" s="120" t="s">
        <v>250</v>
      </c>
      <c r="I766" s="120">
        <v>0</v>
      </c>
      <c r="J766" s="120">
        <v>-25228</v>
      </c>
      <c r="K766" s="120" t="s">
        <v>250</v>
      </c>
      <c r="L766" s="120" t="s">
        <v>250</v>
      </c>
      <c r="M766" s="120">
        <v>0</v>
      </c>
      <c r="N766" s="120" t="s">
        <v>250</v>
      </c>
      <c r="O766" s="120">
        <v>-25228</v>
      </c>
      <c r="P766" s="120">
        <v>-12797</v>
      </c>
      <c r="Q766" s="120">
        <v>-12431</v>
      </c>
      <c r="R766" s="120"/>
      <c r="S766" s="121"/>
    </row>
    <row r="767" spans="1:19" ht="15">
      <c r="A767" s="105">
        <v>20</v>
      </c>
      <c r="B767" s="105"/>
      <c r="C767" s="107" t="s">
        <v>3696</v>
      </c>
      <c r="D767" s="107" t="s">
        <v>732</v>
      </c>
      <c r="E767" s="120">
        <v>-559577</v>
      </c>
      <c r="F767" s="120" t="s">
        <v>250</v>
      </c>
      <c r="G767" s="120">
        <v>-559577</v>
      </c>
      <c r="H767" s="120" t="s">
        <v>250</v>
      </c>
      <c r="I767" s="120">
        <v>0</v>
      </c>
      <c r="J767" s="120">
        <v>0</v>
      </c>
      <c r="K767" s="120" t="s">
        <v>250</v>
      </c>
      <c r="L767" s="120" t="s">
        <v>250</v>
      </c>
      <c r="M767" s="120">
        <v>0</v>
      </c>
      <c r="N767" s="120" t="s">
        <v>250</v>
      </c>
      <c r="O767" s="120">
        <v>0</v>
      </c>
      <c r="P767" s="120">
        <v>0</v>
      </c>
      <c r="Q767" s="120">
        <v>0</v>
      </c>
      <c r="R767" s="120"/>
      <c r="S767" s="121"/>
    </row>
    <row r="768" spans="1:19" ht="15">
      <c r="A768" s="105">
        <v>21</v>
      </c>
      <c r="B768" s="105"/>
      <c r="C768" s="107" t="s">
        <v>3697</v>
      </c>
      <c r="D768" s="107" t="s">
        <v>796</v>
      </c>
      <c r="E768" s="120">
        <v>-1568547</v>
      </c>
      <c r="F768" s="120" t="s">
        <v>250</v>
      </c>
      <c r="G768" s="120">
        <v>-1546714</v>
      </c>
      <c r="H768" s="120" t="s">
        <v>250</v>
      </c>
      <c r="I768" s="120">
        <v>0</v>
      </c>
      <c r="J768" s="120">
        <v>-21833</v>
      </c>
      <c r="K768" s="120" t="s">
        <v>250</v>
      </c>
      <c r="L768" s="120" t="s">
        <v>250</v>
      </c>
      <c r="M768" s="120">
        <v>0</v>
      </c>
      <c r="N768" s="120" t="s">
        <v>250</v>
      </c>
      <c r="O768" s="120">
        <v>-21833</v>
      </c>
      <c r="P768" s="120">
        <v>-11424</v>
      </c>
      <c r="Q768" s="120">
        <v>-10409</v>
      </c>
      <c r="R768" s="120"/>
      <c r="S768" s="121"/>
    </row>
    <row r="769" spans="1:19" ht="15">
      <c r="A769" s="105">
        <v>22</v>
      </c>
      <c r="B769" s="105"/>
      <c r="C769" s="107" t="s">
        <v>797</v>
      </c>
      <c r="D769" s="107" t="s">
        <v>250</v>
      </c>
      <c r="E769" s="120">
        <v>7347664.4000000004</v>
      </c>
      <c r="F769" s="120" t="s">
        <v>250</v>
      </c>
      <c r="G769" s="120">
        <v>6954466.9000000004</v>
      </c>
      <c r="H769" s="120" t="s">
        <v>250</v>
      </c>
      <c r="I769" s="120">
        <v>442874.71957723924</v>
      </c>
      <c r="J769" s="120">
        <v>35831.800000000003</v>
      </c>
      <c r="K769" s="120" t="s">
        <v>250</v>
      </c>
      <c r="L769" s="120" t="s">
        <v>250</v>
      </c>
      <c r="M769" s="120">
        <v>0</v>
      </c>
      <c r="N769" s="120" t="s">
        <v>250</v>
      </c>
      <c r="O769" s="120">
        <v>35831.800000000003</v>
      </c>
      <c r="P769" s="120">
        <v>17754.5</v>
      </c>
      <c r="Q769" s="120">
        <v>18077.300000000003</v>
      </c>
      <c r="R769" s="120"/>
      <c r="S769" s="121"/>
    </row>
    <row r="770" spans="1:19" ht="15">
      <c r="A770" s="105">
        <v>23</v>
      </c>
      <c r="B770" s="105"/>
      <c r="C770" s="107" t="s">
        <v>798</v>
      </c>
      <c r="D770" s="107" t="s">
        <v>925</v>
      </c>
      <c r="E770" s="120">
        <v>0</v>
      </c>
      <c r="F770" s="120" t="s">
        <v>250</v>
      </c>
      <c r="G770" s="120">
        <v>0</v>
      </c>
      <c r="H770" s="120" t="s">
        <v>250</v>
      </c>
      <c r="I770" s="120">
        <v>0</v>
      </c>
      <c r="J770" s="120">
        <v>0</v>
      </c>
      <c r="K770" s="120" t="s">
        <v>250</v>
      </c>
      <c r="L770" s="120" t="s">
        <v>250</v>
      </c>
      <c r="M770" s="120">
        <v>0</v>
      </c>
      <c r="N770" s="120" t="s">
        <v>250</v>
      </c>
      <c r="O770" s="120">
        <v>0</v>
      </c>
      <c r="P770" s="120">
        <v>0</v>
      </c>
      <c r="Q770" s="120">
        <v>0</v>
      </c>
      <c r="R770" s="120"/>
      <c r="S770" s="121"/>
    </row>
    <row r="771" spans="1:19" ht="15">
      <c r="A771" s="105">
        <v>24</v>
      </c>
      <c r="B771" s="105"/>
      <c r="C771" s="107" t="s">
        <v>799</v>
      </c>
      <c r="D771" s="107" t="s">
        <v>781</v>
      </c>
      <c r="E771" s="120">
        <v>0</v>
      </c>
      <c r="F771" s="120" t="s">
        <v>250</v>
      </c>
      <c r="G771" s="120">
        <v>0</v>
      </c>
      <c r="H771" s="120" t="s">
        <v>250</v>
      </c>
      <c r="I771" s="120">
        <v>513789.8472425298</v>
      </c>
      <c r="J771" s="120">
        <v>0</v>
      </c>
      <c r="K771" s="120" t="s">
        <v>250</v>
      </c>
      <c r="L771" s="120" t="s">
        <v>250</v>
      </c>
      <c r="M771" s="120">
        <v>0</v>
      </c>
      <c r="N771" s="120" t="s">
        <v>250</v>
      </c>
      <c r="O771" s="120">
        <v>0</v>
      </c>
      <c r="P771" s="120">
        <v>0</v>
      </c>
      <c r="Q771" s="120">
        <v>0</v>
      </c>
      <c r="R771" s="120"/>
      <c r="S771" s="121"/>
    </row>
    <row r="772" spans="1:19" ht="15">
      <c r="A772" s="105">
        <v>25</v>
      </c>
      <c r="B772" s="105"/>
      <c r="C772" s="107" t="s">
        <v>2236</v>
      </c>
      <c r="D772" s="107" t="s">
        <v>250</v>
      </c>
      <c r="E772" s="120">
        <v>205423963.59999999</v>
      </c>
      <c r="F772" s="120" t="s">
        <v>250</v>
      </c>
      <c r="G772" s="120">
        <v>197116671.09999999</v>
      </c>
      <c r="H772" s="120" t="s">
        <v>250</v>
      </c>
      <c r="I772" s="120">
        <v>6601466.1276652906</v>
      </c>
      <c r="J772" s="120">
        <v>1601464.2</v>
      </c>
      <c r="K772" s="120" t="s">
        <v>250</v>
      </c>
      <c r="L772" s="120" t="s">
        <v>250</v>
      </c>
      <c r="M772" s="120">
        <v>0</v>
      </c>
      <c r="N772" s="120" t="s">
        <v>250</v>
      </c>
      <c r="O772" s="120">
        <v>1601464.2</v>
      </c>
      <c r="P772" s="120">
        <v>810915.5</v>
      </c>
      <c r="Q772" s="120">
        <v>790548.7</v>
      </c>
      <c r="R772" s="123"/>
      <c r="S772" s="121"/>
    </row>
    <row r="773" spans="1:19" ht="15">
      <c r="A773" s="105" t="s">
        <v>250</v>
      </c>
      <c r="B773" s="105"/>
      <c r="C773" s="107" t="s">
        <v>250</v>
      </c>
      <c r="D773" s="107" t="s">
        <v>250</v>
      </c>
      <c r="E773" s="120" t="s">
        <v>250</v>
      </c>
      <c r="F773" s="120" t="s">
        <v>250</v>
      </c>
      <c r="G773" s="120" t="s">
        <v>250</v>
      </c>
      <c r="H773" s="120" t="s">
        <v>250</v>
      </c>
      <c r="I773" s="120" t="s">
        <v>250</v>
      </c>
      <c r="J773" s="120" t="s">
        <v>250</v>
      </c>
      <c r="K773" s="120" t="s">
        <v>250</v>
      </c>
      <c r="L773" s="120" t="s">
        <v>250</v>
      </c>
      <c r="M773" s="120" t="s">
        <v>250</v>
      </c>
      <c r="N773" s="120" t="s">
        <v>250</v>
      </c>
      <c r="O773" s="120" t="s">
        <v>250</v>
      </c>
      <c r="P773" s="120" t="s">
        <v>250</v>
      </c>
      <c r="Q773" s="120" t="s">
        <v>250</v>
      </c>
      <c r="R773" s="120"/>
      <c r="S773" s="121"/>
    </row>
    <row r="774" spans="1:19" ht="15">
      <c r="A774" s="105">
        <v>26</v>
      </c>
      <c r="B774" s="105"/>
      <c r="C774" s="107" t="s">
        <v>2533</v>
      </c>
      <c r="D774" s="107" t="s">
        <v>250</v>
      </c>
      <c r="E774" s="120">
        <v>43139032</v>
      </c>
      <c r="F774" s="120" t="s">
        <v>250</v>
      </c>
      <c r="G774" s="120">
        <v>41394501</v>
      </c>
      <c r="H774" s="120" t="s">
        <v>250</v>
      </c>
      <c r="I774" s="120">
        <v>1386308</v>
      </c>
      <c r="J774" s="120">
        <v>336307</v>
      </c>
      <c r="K774" s="120" t="s">
        <v>250</v>
      </c>
      <c r="L774" s="120" t="s">
        <v>250</v>
      </c>
      <c r="M774" s="120">
        <v>0</v>
      </c>
      <c r="N774" s="120" t="s">
        <v>250</v>
      </c>
      <c r="O774" s="120">
        <v>336307</v>
      </c>
      <c r="P774" s="120">
        <v>170292</v>
      </c>
      <c r="Q774" s="120">
        <v>166015</v>
      </c>
      <c r="R774" s="120"/>
      <c r="S774" s="121"/>
    </row>
    <row r="775" spans="1:19" ht="15">
      <c r="A775" s="105">
        <v>27</v>
      </c>
      <c r="B775" s="105"/>
      <c r="C775" s="107" t="s">
        <v>3696</v>
      </c>
      <c r="D775" s="107" t="s">
        <v>732</v>
      </c>
      <c r="E775" s="120">
        <v>-7515032</v>
      </c>
      <c r="F775" s="120" t="s">
        <v>250</v>
      </c>
      <c r="G775" s="120">
        <v>-7411506</v>
      </c>
      <c r="H775" s="120" t="s">
        <v>250</v>
      </c>
      <c r="I775" s="120">
        <v>-103526</v>
      </c>
      <c r="J775" s="120" t="s">
        <v>250</v>
      </c>
      <c r="K775" s="120" t="s">
        <v>250</v>
      </c>
      <c r="L775" s="120" t="s">
        <v>250</v>
      </c>
      <c r="M775" s="120" t="s">
        <v>250</v>
      </c>
      <c r="N775" s="120" t="s">
        <v>250</v>
      </c>
      <c r="O775" s="120">
        <v>0</v>
      </c>
      <c r="P775" s="120">
        <v>0</v>
      </c>
      <c r="Q775" s="120">
        <v>0</v>
      </c>
      <c r="R775" s="120"/>
      <c r="S775" s="121"/>
    </row>
    <row r="776" spans="1:19" ht="15">
      <c r="A776" s="105">
        <v>28</v>
      </c>
      <c r="B776" s="105"/>
      <c r="C776" s="107" t="s">
        <v>3698</v>
      </c>
      <c r="D776" s="107" t="s">
        <v>781</v>
      </c>
      <c r="E776" s="120">
        <v>164862.95218589006</v>
      </c>
      <c r="F776" s="120" t="s">
        <v>250</v>
      </c>
      <c r="G776" s="120">
        <v>154365.15242122088</v>
      </c>
      <c r="H776" s="120" t="s">
        <v>250</v>
      </c>
      <c r="I776" s="120">
        <v>8435.6793015101102</v>
      </c>
      <c r="J776" s="120">
        <v>2062.1204631590672</v>
      </c>
      <c r="K776" s="120" t="s">
        <v>250</v>
      </c>
      <c r="L776" s="120" t="s">
        <v>250</v>
      </c>
      <c r="M776" s="120">
        <v>0</v>
      </c>
      <c r="N776" s="120" t="s">
        <v>250</v>
      </c>
      <c r="O776" s="120">
        <v>2062.1204631590672</v>
      </c>
      <c r="P776" s="120">
        <v>1087.6128332325359</v>
      </c>
      <c r="Q776" s="120">
        <v>974.50762992653131</v>
      </c>
      <c r="R776" s="124"/>
      <c r="S776" s="121"/>
    </row>
    <row r="777" spans="1:19" ht="15">
      <c r="A777" s="105">
        <v>29</v>
      </c>
      <c r="B777" s="105"/>
      <c r="C777" s="107" t="s">
        <v>3697</v>
      </c>
      <c r="D777" s="107" t="s">
        <v>716</v>
      </c>
      <c r="E777" s="120">
        <v>-20288646</v>
      </c>
      <c r="F777" s="120" t="s">
        <v>250</v>
      </c>
      <c r="G777" s="120">
        <v>-18963311</v>
      </c>
      <c r="H777" s="120" t="s">
        <v>250</v>
      </c>
      <c r="I777" s="120">
        <v>-1057655</v>
      </c>
      <c r="J777" s="120">
        <v>-267680</v>
      </c>
      <c r="K777" s="120" t="s">
        <v>250</v>
      </c>
      <c r="L777" s="120" t="s">
        <v>250</v>
      </c>
      <c r="M777" s="120">
        <v>0</v>
      </c>
      <c r="N777" s="120" t="s">
        <v>250</v>
      </c>
      <c r="O777" s="120">
        <v>-267680</v>
      </c>
      <c r="P777" s="120">
        <v>-140061</v>
      </c>
      <c r="Q777" s="120">
        <v>-127619</v>
      </c>
      <c r="R777" s="124"/>
      <c r="S777" s="121"/>
    </row>
    <row r="778" spans="1:19" ht="15">
      <c r="A778" s="105">
        <v>30</v>
      </c>
      <c r="B778" s="105"/>
      <c r="C778" s="107" t="s">
        <v>767</v>
      </c>
      <c r="D778" s="107" t="s">
        <v>250</v>
      </c>
      <c r="E778" s="120">
        <v>0</v>
      </c>
      <c r="F778" s="120" t="s">
        <v>250</v>
      </c>
      <c r="G778" s="120">
        <v>0</v>
      </c>
      <c r="H778" s="120" t="s">
        <v>250</v>
      </c>
      <c r="I778" s="120">
        <v>0</v>
      </c>
      <c r="J778" s="120">
        <v>0</v>
      </c>
      <c r="K778" s="120" t="s">
        <v>250</v>
      </c>
      <c r="L778" s="120" t="s">
        <v>250</v>
      </c>
      <c r="M778" s="120">
        <v>0</v>
      </c>
      <c r="N778" s="120" t="s">
        <v>250</v>
      </c>
      <c r="O778" s="120">
        <v>0</v>
      </c>
      <c r="P778" s="120">
        <v>0</v>
      </c>
      <c r="Q778" s="120">
        <v>0</v>
      </c>
      <c r="R778" s="124"/>
      <c r="S778" s="121"/>
    </row>
    <row r="779" spans="1:19" ht="15">
      <c r="A779" s="105">
        <v>31</v>
      </c>
      <c r="B779" s="105"/>
      <c r="C779" s="107" t="s">
        <v>800</v>
      </c>
      <c r="D779" s="107" t="s">
        <v>781</v>
      </c>
      <c r="E779" s="120">
        <v>30590</v>
      </c>
      <c r="F779" s="120" t="s">
        <v>250</v>
      </c>
      <c r="G779" s="120">
        <v>28642</v>
      </c>
      <c r="H779" s="120" t="s">
        <v>250</v>
      </c>
      <c r="I779" s="120">
        <v>1565</v>
      </c>
      <c r="J779" s="120">
        <v>383</v>
      </c>
      <c r="K779" s="120" t="s">
        <v>250</v>
      </c>
      <c r="L779" s="120" t="s">
        <v>250</v>
      </c>
      <c r="M779" s="120">
        <v>0</v>
      </c>
      <c r="N779" s="120" t="s">
        <v>250</v>
      </c>
      <c r="O779" s="120">
        <v>383</v>
      </c>
      <c r="P779" s="120">
        <v>202</v>
      </c>
      <c r="Q779" s="120">
        <v>181</v>
      </c>
      <c r="R779" s="124"/>
      <c r="S779" s="121"/>
    </row>
    <row r="780" spans="1:19" ht="15">
      <c r="A780" s="105">
        <v>32</v>
      </c>
      <c r="B780" s="105"/>
      <c r="C780" s="107" t="s">
        <v>801</v>
      </c>
      <c r="D780" s="107" t="s">
        <v>250</v>
      </c>
      <c r="E780" s="120">
        <v>15530806.952185892</v>
      </c>
      <c r="F780" s="120" t="s">
        <v>250</v>
      </c>
      <c r="G780" s="120">
        <v>15202691.152421221</v>
      </c>
      <c r="H780" s="120" t="s">
        <v>250</v>
      </c>
      <c r="I780" s="120">
        <v>235127.6793015101</v>
      </c>
      <c r="J780" s="120">
        <v>71072.120463159052</v>
      </c>
      <c r="K780" s="120" t="s">
        <v>250</v>
      </c>
      <c r="L780" s="120" t="s">
        <v>250</v>
      </c>
      <c r="M780" s="120">
        <v>0</v>
      </c>
      <c r="N780" s="120" t="s">
        <v>250</v>
      </c>
      <c r="O780" s="120">
        <v>71072.120463159052</v>
      </c>
      <c r="P780" s="120">
        <v>31520.612833232532</v>
      </c>
      <c r="Q780" s="120">
        <v>39551.50762992652</v>
      </c>
      <c r="R780" s="124"/>
      <c r="S780" s="121"/>
    </row>
    <row r="781" spans="1:19" ht="15">
      <c r="A781" s="105" t="s">
        <v>250</v>
      </c>
      <c r="B781" s="105"/>
      <c r="C781" s="107" t="s">
        <v>250</v>
      </c>
      <c r="D781" s="107" t="s">
        <v>250</v>
      </c>
      <c r="E781" s="120" t="s">
        <v>250</v>
      </c>
      <c r="F781" s="120" t="s">
        <v>250</v>
      </c>
      <c r="G781" s="120" t="s">
        <v>250</v>
      </c>
      <c r="H781" s="120" t="s">
        <v>250</v>
      </c>
      <c r="I781" s="120" t="s">
        <v>250</v>
      </c>
      <c r="J781" s="120" t="s">
        <v>250</v>
      </c>
      <c r="K781" s="120" t="s">
        <v>250</v>
      </c>
      <c r="L781" s="120" t="s">
        <v>250</v>
      </c>
      <c r="M781" s="120" t="s">
        <v>250</v>
      </c>
      <c r="N781" s="120" t="s">
        <v>250</v>
      </c>
      <c r="O781" s="120" t="s">
        <v>250</v>
      </c>
      <c r="P781" s="120" t="s">
        <v>250</v>
      </c>
      <c r="Q781" s="120" t="s">
        <v>250</v>
      </c>
      <c r="R781" s="120"/>
      <c r="S781" s="121"/>
    </row>
    <row r="782" spans="1:19" ht="15">
      <c r="A782" s="105">
        <v>33</v>
      </c>
      <c r="B782" s="105"/>
      <c r="C782" s="107" t="s">
        <v>290</v>
      </c>
      <c r="D782" s="107" t="s">
        <v>250</v>
      </c>
      <c r="E782" s="120">
        <v>304061314.06879532</v>
      </c>
      <c r="F782" s="120" t="s">
        <v>250</v>
      </c>
      <c r="G782" s="120">
        <v>289051000.95403683</v>
      </c>
      <c r="H782" s="120" t="s">
        <v>250</v>
      </c>
      <c r="I782" s="120">
        <v>12193286.524763066</v>
      </c>
      <c r="J782" s="120">
        <v>2753433.5704179225</v>
      </c>
      <c r="K782" s="120" t="s">
        <v>250</v>
      </c>
      <c r="L782" s="120" t="s">
        <v>250</v>
      </c>
      <c r="M782" s="120">
        <v>0</v>
      </c>
      <c r="N782" s="120" t="s">
        <v>250</v>
      </c>
      <c r="O782" s="120">
        <v>2753433.5704179225</v>
      </c>
      <c r="P782" s="120">
        <v>1428108.7482200405</v>
      </c>
      <c r="Q782" s="120">
        <v>1325324.822197882</v>
      </c>
      <c r="R782" s="120"/>
      <c r="S782" s="121"/>
    </row>
    <row r="783" spans="1:19" ht="15">
      <c r="A783" s="105">
        <v>34</v>
      </c>
      <c r="B783" s="105"/>
      <c r="C783" s="107" t="s">
        <v>291</v>
      </c>
      <c r="D783" s="107" t="s">
        <v>250</v>
      </c>
      <c r="E783" s="120">
        <v>4.928606002294534E-2</v>
      </c>
      <c r="F783" s="120" t="s">
        <v>250</v>
      </c>
      <c r="G783" s="120">
        <v>4.9574096765688178E-2</v>
      </c>
      <c r="H783" s="120" t="s">
        <v>250</v>
      </c>
      <c r="I783" s="120">
        <v>3.8267519923248103E-2</v>
      </c>
      <c r="J783" s="120">
        <v>3.5350061182706526E-2</v>
      </c>
      <c r="K783" s="120" t="s">
        <v>250</v>
      </c>
      <c r="L783" s="120" t="s">
        <v>250</v>
      </c>
      <c r="M783" s="120">
        <v>0</v>
      </c>
      <c r="N783" s="120" t="s">
        <v>250</v>
      </c>
      <c r="O783" s="120">
        <v>3.5350061182706526E-2</v>
      </c>
      <c r="P783" s="120">
        <v>3.4762944476068494E-2</v>
      </c>
      <c r="Q783" s="120">
        <v>3.6005320972507138E-2</v>
      </c>
      <c r="R783" s="120"/>
      <c r="S783" s="121"/>
    </row>
    <row r="784" spans="1:19" ht="15">
      <c r="A784" s="105" t="s">
        <v>250</v>
      </c>
      <c r="B784" s="105"/>
      <c r="C784" s="107" t="s">
        <v>250</v>
      </c>
      <c r="D784" s="107" t="s">
        <v>250</v>
      </c>
      <c r="E784" s="516" t="s">
        <v>250</v>
      </c>
      <c r="F784" s="516" t="s">
        <v>250</v>
      </c>
      <c r="G784" s="516" t="s">
        <v>250</v>
      </c>
      <c r="H784" s="516" t="s">
        <v>250</v>
      </c>
      <c r="I784" s="516" t="s">
        <v>250</v>
      </c>
      <c r="J784" s="516" t="s">
        <v>250</v>
      </c>
      <c r="K784" s="516" t="s">
        <v>250</v>
      </c>
      <c r="L784" s="516" t="s">
        <v>250</v>
      </c>
      <c r="M784" s="516" t="s">
        <v>250</v>
      </c>
      <c r="N784" s="516" t="s">
        <v>250</v>
      </c>
      <c r="O784" s="516" t="s">
        <v>250</v>
      </c>
      <c r="P784" s="516" t="s">
        <v>250</v>
      </c>
      <c r="Q784" s="516" t="s">
        <v>250</v>
      </c>
      <c r="R784" s="120"/>
      <c r="S784" s="121"/>
    </row>
    <row r="785" spans="1:19" ht="15">
      <c r="A785" s="105" t="s">
        <v>250</v>
      </c>
      <c r="B785" s="105"/>
      <c r="C785" s="107" t="s">
        <v>250</v>
      </c>
      <c r="D785" s="107" t="s">
        <v>250</v>
      </c>
      <c r="E785" s="120" t="s">
        <v>250</v>
      </c>
      <c r="F785" s="120" t="s">
        <v>250</v>
      </c>
      <c r="G785" s="120" t="s">
        <v>250</v>
      </c>
      <c r="H785" s="120" t="s">
        <v>250</v>
      </c>
      <c r="I785" s="120" t="s">
        <v>250</v>
      </c>
      <c r="J785" s="120" t="s">
        <v>250</v>
      </c>
      <c r="K785" s="120" t="s">
        <v>250</v>
      </c>
      <c r="L785" s="120" t="s">
        <v>250</v>
      </c>
      <c r="M785" s="120" t="s">
        <v>250</v>
      </c>
      <c r="N785" s="120" t="s">
        <v>250</v>
      </c>
      <c r="O785" s="120" t="s">
        <v>250</v>
      </c>
      <c r="P785" s="120" t="s">
        <v>250</v>
      </c>
      <c r="Q785" s="120" t="s">
        <v>250</v>
      </c>
      <c r="R785" s="120"/>
      <c r="S785" s="121"/>
    </row>
    <row r="786" spans="1:19" ht="15">
      <c r="A786" s="105" t="s">
        <v>250</v>
      </c>
      <c r="B786" s="105"/>
      <c r="C786" s="107" t="s">
        <v>802</v>
      </c>
      <c r="D786" s="107" t="s">
        <v>250</v>
      </c>
      <c r="E786" s="124">
        <v>0.05</v>
      </c>
      <c r="F786" s="124" t="s">
        <v>250</v>
      </c>
      <c r="G786" s="124">
        <v>0.05</v>
      </c>
      <c r="H786" s="124" t="s">
        <v>250</v>
      </c>
      <c r="I786" s="124">
        <v>0.06</v>
      </c>
      <c r="J786" s="124">
        <v>0.05</v>
      </c>
      <c r="K786" s="124" t="s">
        <v>250</v>
      </c>
      <c r="L786" s="124" t="s">
        <v>250</v>
      </c>
      <c r="M786" s="124">
        <v>0</v>
      </c>
      <c r="N786" s="124" t="s">
        <v>250</v>
      </c>
      <c r="O786" s="124">
        <v>0.05</v>
      </c>
      <c r="P786" s="124">
        <v>0.05</v>
      </c>
      <c r="Q786" s="124">
        <v>0.05</v>
      </c>
      <c r="R786" s="120"/>
      <c r="S786" s="121"/>
    </row>
    <row r="787" spans="1:19" ht="15">
      <c r="A787" s="105" t="s">
        <v>250</v>
      </c>
      <c r="B787" s="105"/>
      <c r="C787" s="107" t="s">
        <v>803</v>
      </c>
      <c r="D787" s="107" t="s">
        <v>250</v>
      </c>
      <c r="E787" s="124">
        <v>0.21</v>
      </c>
      <c r="F787" s="124" t="s">
        <v>250</v>
      </c>
      <c r="G787" s="124">
        <v>0.21</v>
      </c>
      <c r="H787" s="124" t="s">
        <v>250</v>
      </c>
      <c r="I787" s="124">
        <v>0.21</v>
      </c>
      <c r="J787" s="124">
        <v>0.21</v>
      </c>
      <c r="K787" s="124" t="s">
        <v>250</v>
      </c>
      <c r="L787" s="124" t="s">
        <v>250</v>
      </c>
      <c r="M787" s="124">
        <v>0</v>
      </c>
      <c r="N787" s="124" t="s">
        <v>250</v>
      </c>
      <c r="O787" s="124">
        <v>0.21</v>
      </c>
      <c r="P787" s="124">
        <v>0.21</v>
      </c>
      <c r="Q787" s="124">
        <v>0.21</v>
      </c>
      <c r="R787" s="120"/>
      <c r="S787" s="121"/>
    </row>
    <row r="788" spans="1:19" ht="15">
      <c r="A788" s="105" t="s">
        <v>250</v>
      </c>
      <c r="B788" s="105"/>
      <c r="C788" s="107" t="s">
        <v>804</v>
      </c>
      <c r="D788" s="107" t="s">
        <v>250</v>
      </c>
      <c r="E788" s="124">
        <v>0.75049999999999994</v>
      </c>
      <c r="F788" s="124" t="s">
        <v>250</v>
      </c>
      <c r="G788" s="124">
        <v>0.75049999999999994</v>
      </c>
      <c r="H788" s="124" t="s">
        <v>250</v>
      </c>
      <c r="I788" s="124">
        <v>0.74259999999999993</v>
      </c>
      <c r="J788" s="124">
        <v>0.75049999999999994</v>
      </c>
      <c r="K788" s="124" t="s">
        <v>250</v>
      </c>
      <c r="L788" s="124" t="s">
        <v>250</v>
      </c>
      <c r="M788" s="124">
        <v>1</v>
      </c>
      <c r="N788" s="124" t="s">
        <v>250</v>
      </c>
      <c r="O788" s="124">
        <v>0.75049999999999994</v>
      </c>
      <c r="P788" s="124">
        <v>0.75049999999999994</v>
      </c>
      <c r="Q788" s="124">
        <v>0.75049999999999994</v>
      </c>
      <c r="R788" s="120"/>
      <c r="S788" s="121"/>
    </row>
    <row r="789" spans="1:19" ht="15">
      <c r="A789" s="105" t="s">
        <v>250</v>
      </c>
      <c r="B789" s="105"/>
      <c r="C789" s="107" t="s">
        <v>805</v>
      </c>
      <c r="D789" s="107" t="s">
        <v>250</v>
      </c>
      <c r="E789" s="124">
        <v>0.2495</v>
      </c>
      <c r="F789" s="124" t="s">
        <v>250</v>
      </c>
      <c r="G789" s="124">
        <v>0.2495</v>
      </c>
      <c r="H789" s="124" t="s">
        <v>250</v>
      </c>
      <c r="I789" s="124">
        <v>0.25740000000000002</v>
      </c>
      <c r="J789" s="124">
        <v>0.2495</v>
      </c>
      <c r="K789" s="124" t="s">
        <v>250</v>
      </c>
      <c r="L789" s="124" t="s">
        <v>250</v>
      </c>
      <c r="M789" s="124">
        <v>0</v>
      </c>
      <c r="N789" s="124" t="s">
        <v>250</v>
      </c>
      <c r="O789" s="124">
        <v>0.2495</v>
      </c>
      <c r="P789" s="124">
        <v>0.2495</v>
      </c>
      <c r="Q789" s="124">
        <v>0.2495</v>
      </c>
      <c r="R789" s="120"/>
      <c r="S789" s="121"/>
    </row>
    <row r="790" spans="1:19" ht="15">
      <c r="A790" s="105" t="s">
        <v>250</v>
      </c>
      <c r="B790" s="105"/>
      <c r="C790" s="107" t="s">
        <v>806</v>
      </c>
      <c r="D790" s="107" t="s">
        <v>250</v>
      </c>
      <c r="E790" s="124">
        <v>1.3324450366422385</v>
      </c>
      <c r="F790" s="124" t="s">
        <v>250</v>
      </c>
      <c r="G790" s="124">
        <v>1.3324450366422385</v>
      </c>
      <c r="H790" s="124" t="s">
        <v>250</v>
      </c>
      <c r="I790" s="124">
        <v>1.3466199838405601</v>
      </c>
      <c r="J790" s="124">
        <v>1.3324450366422385</v>
      </c>
      <c r="K790" s="124" t="s">
        <v>250</v>
      </c>
      <c r="L790" s="124" t="s">
        <v>250</v>
      </c>
      <c r="M790" s="124">
        <v>1</v>
      </c>
      <c r="N790" s="124" t="s">
        <v>250</v>
      </c>
      <c r="O790" s="124">
        <v>1.3324450366422385</v>
      </c>
      <c r="P790" s="124">
        <v>1.3324450366422385</v>
      </c>
      <c r="Q790" s="124">
        <v>1.3324450366422385</v>
      </c>
      <c r="R790" s="120"/>
      <c r="S790" s="121"/>
    </row>
    <row r="791" spans="1:19" ht="15">
      <c r="A791" s="105" t="s">
        <v>250</v>
      </c>
      <c r="B791" s="105"/>
      <c r="C791" s="107" t="s">
        <v>250</v>
      </c>
      <c r="D791" s="107" t="s">
        <v>250</v>
      </c>
      <c r="E791" s="124" t="s">
        <v>250</v>
      </c>
      <c r="F791" s="124" t="s">
        <v>250</v>
      </c>
      <c r="G791" s="124" t="s">
        <v>250</v>
      </c>
      <c r="H791" s="124" t="s">
        <v>250</v>
      </c>
      <c r="I791" s="124" t="s">
        <v>250</v>
      </c>
      <c r="J791" s="124" t="s">
        <v>250</v>
      </c>
      <c r="K791" s="124" t="s">
        <v>250</v>
      </c>
      <c r="L791" s="124" t="s">
        <v>250</v>
      </c>
      <c r="M791" s="124" t="s">
        <v>250</v>
      </c>
      <c r="N791" s="124" t="s">
        <v>250</v>
      </c>
      <c r="O791" s="124" t="s">
        <v>250</v>
      </c>
      <c r="P791" s="124" t="s">
        <v>250</v>
      </c>
      <c r="Q791" s="124" t="s">
        <v>250</v>
      </c>
      <c r="R791" s="120"/>
      <c r="S791" s="121"/>
    </row>
    <row r="792" spans="1:19" ht="15">
      <c r="A792" s="105" t="s">
        <v>250</v>
      </c>
      <c r="B792" s="105"/>
      <c r="C792" s="107" t="s">
        <v>807</v>
      </c>
      <c r="D792" s="107" t="s">
        <v>250</v>
      </c>
      <c r="E792" s="120" t="s">
        <v>250</v>
      </c>
      <c r="F792" s="120" t="s">
        <v>250</v>
      </c>
      <c r="G792" s="120" t="s">
        <v>250</v>
      </c>
      <c r="H792" s="120" t="s">
        <v>250</v>
      </c>
      <c r="I792" s="120" t="s">
        <v>250</v>
      </c>
      <c r="J792" s="120" t="s">
        <v>250</v>
      </c>
      <c r="K792" s="120" t="s">
        <v>250</v>
      </c>
      <c r="L792" s="120" t="s">
        <v>250</v>
      </c>
      <c r="M792" s="120" t="s">
        <v>250</v>
      </c>
      <c r="N792" s="120" t="s">
        <v>250</v>
      </c>
      <c r="O792" s="120" t="s">
        <v>250</v>
      </c>
      <c r="P792" s="120" t="s">
        <v>250</v>
      </c>
      <c r="Q792" s="120" t="s">
        <v>250</v>
      </c>
      <c r="R792" s="120"/>
      <c r="S792" s="121"/>
    </row>
    <row r="793" spans="1:19" ht="15">
      <c r="A793" s="105" t="s">
        <v>250</v>
      </c>
      <c r="B793" s="105"/>
      <c r="C793" s="107" t="s">
        <v>250</v>
      </c>
      <c r="D793" s="107" t="s">
        <v>250</v>
      </c>
      <c r="E793" s="120" t="s">
        <v>250</v>
      </c>
      <c r="F793" s="120" t="s">
        <v>250</v>
      </c>
      <c r="G793" s="120" t="s">
        <v>250</v>
      </c>
      <c r="H793" s="120" t="s">
        <v>250</v>
      </c>
      <c r="I793" s="120" t="s">
        <v>250</v>
      </c>
      <c r="J793" s="120" t="s">
        <v>250</v>
      </c>
      <c r="K793" s="120" t="s">
        <v>250</v>
      </c>
      <c r="L793" s="120" t="s">
        <v>250</v>
      </c>
      <c r="M793" s="120" t="s">
        <v>250</v>
      </c>
      <c r="N793" s="120" t="s">
        <v>250</v>
      </c>
      <c r="O793" s="120" t="s">
        <v>250</v>
      </c>
      <c r="P793" s="120" t="s">
        <v>250</v>
      </c>
      <c r="Q793" s="120" t="s">
        <v>250</v>
      </c>
      <c r="R793" s="120"/>
      <c r="S793" s="121"/>
    </row>
    <row r="794" spans="1:19" ht="15">
      <c r="A794" s="105" t="s">
        <v>250</v>
      </c>
      <c r="B794" s="105"/>
      <c r="C794" s="107" t="s">
        <v>808</v>
      </c>
      <c r="D794" s="107" t="s">
        <v>250</v>
      </c>
      <c r="E794" s="120" t="s">
        <v>250</v>
      </c>
      <c r="F794" s="120" t="s">
        <v>250</v>
      </c>
      <c r="G794" s="120" t="s">
        <v>250</v>
      </c>
      <c r="H794" s="120" t="s">
        <v>250</v>
      </c>
      <c r="I794" s="120" t="s">
        <v>250</v>
      </c>
      <c r="J794" s="120" t="s">
        <v>250</v>
      </c>
      <c r="K794" s="120" t="s">
        <v>250</v>
      </c>
      <c r="L794" s="120" t="s">
        <v>250</v>
      </c>
      <c r="M794" s="120" t="s">
        <v>250</v>
      </c>
      <c r="N794" s="120" t="s">
        <v>250</v>
      </c>
      <c r="O794" s="120" t="s">
        <v>250</v>
      </c>
      <c r="P794" s="120" t="s">
        <v>250</v>
      </c>
      <c r="Q794" s="120" t="s">
        <v>250</v>
      </c>
      <c r="R794" s="120"/>
      <c r="S794" s="121"/>
    </row>
    <row r="795" spans="1:19" ht="15">
      <c r="A795" s="105" t="s">
        <v>250</v>
      </c>
      <c r="B795" s="105"/>
      <c r="C795" s="107" t="s">
        <v>809</v>
      </c>
      <c r="D795" s="107" t="s">
        <v>250</v>
      </c>
      <c r="E795" s="120" t="s">
        <v>250</v>
      </c>
      <c r="F795" s="120" t="s">
        <v>250</v>
      </c>
      <c r="G795" s="120" t="s">
        <v>250</v>
      </c>
      <c r="H795" s="120" t="s">
        <v>250</v>
      </c>
      <c r="I795" s="120" t="s">
        <v>250</v>
      </c>
      <c r="J795" s="120" t="s">
        <v>250</v>
      </c>
      <c r="K795" s="120" t="s">
        <v>250</v>
      </c>
      <c r="L795" s="120" t="s">
        <v>250</v>
      </c>
      <c r="M795" s="120" t="s">
        <v>250</v>
      </c>
      <c r="N795" s="120" t="s">
        <v>250</v>
      </c>
      <c r="O795" s="120" t="s">
        <v>250</v>
      </c>
      <c r="P795" s="120" t="s">
        <v>250</v>
      </c>
      <c r="Q795" s="120" t="s">
        <v>250</v>
      </c>
      <c r="R795" s="120"/>
      <c r="S795" s="121"/>
    </row>
    <row r="796" spans="1:19" ht="15">
      <c r="A796" s="105" t="s">
        <v>250</v>
      </c>
      <c r="B796" s="105"/>
      <c r="C796" s="107" t="s">
        <v>810</v>
      </c>
      <c r="D796" s="107" t="s">
        <v>250</v>
      </c>
      <c r="E796" s="120" t="s">
        <v>250</v>
      </c>
      <c r="F796" s="120" t="s">
        <v>250</v>
      </c>
      <c r="G796" s="120" t="s">
        <v>250</v>
      </c>
      <c r="H796" s="120" t="s">
        <v>250</v>
      </c>
      <c r="I796" s="120" t="s">
        <v>250</v>
      </c>
      <c r="J796" s="120" t="s">
        <v>250</v>
      </c>
      <c r="K796" s="120" t="s">
        <v>250</v>
      </c>
      <c r="L796" s="120" t="s">
        <v>250</v>
      </c>
      <c r="M796" s="120" t="s">
        <v>250</v>
      </c>
      <c r="N796" s="120" t="s">
        <v>250</v>
      </c>
      <c r="O796" s="120" t="s">
        <v>250</v>
      </c>
      <c r="P796" s="120" t="s">
        <v>250</v>
      </c>
      <c r="Q796" s="120" t="s">
        <v>250</v>
      </c>
      <c r="R796" s="120"/>
      <c r="S796" s="121"/>
    </row>
    <row r="797" spans="1:19" ht="15">
      <c r="A797" s="105">
        <v>1</v>
      </c>
      <c r="B797" s="105"/>
      <c r="C797" s="107" t="s">
        <v>811</v>
      </c>
      <c r="D797" s="107" t="s">
        <v>494</v>
      </c>
      <c r="E797" s="120">
        <v>2589103</v>
      </c>
      <c r="F797" s="120" t="s">
        <v>250</v>
      </c>
      <c r="G797" s="120">
        <v>2438483.7264079587</v>
      </c>
      <c r="H797" s="120" t="s">
        <v>250</v>
      </c>
      <c r="I797" s="120">
        <v>97928.648026486801</v>
      </c>
      <c r="J797" s="120">
        <v>52690.62556555451</v>
      </c>
      <c r="K797" s="120" t="s">
        <v>250</v>
      </c>
      <c r="L797" s="120" t="s">
        <v>250</v>
      </c>
      <c r="M797" s="120">
        <v>0</v>
      </c>
      <c r="N797" s="120" t="s">
        <v>250</v>
      </c>
      <c r="O797" s="120">
        <v>52690.62556555451</v>
      </c>
      <c r="P797" s="120">
        <v>27044.730013779474</v>
      </c>
      <c r="Q797" s="120">
        <v>25645.895551775033</v>
      </c>
      <c r="R797" s="120"/>
      <c r="S797" s="121"/>
    </row>
    <row r="798" spans="1:19" ht="15">
      <c r="A798" s="105">
        <v>2</v>
      </c>
      <c r="B798" s="105"/>
      <c r="C798" s="107" t="s">
        <v>812</v>
      </c>
      <c r="D798" s="107" t="s">
        <v>494</v>
      </c>
      <c r="E798" s="120">
        <v>11861057</v>
      </c>
      <c r="F798" s="120" t="s">
        <v>250</v>
      </c>
      <c r="G798" s="120">
        <v>11171048.225001942</v>
      </c>
      <c r="H798" s="120" t="s">
        <v>250</v>
      </c>
      <c r="I798" s="120">
        <v>448625.36414159549</v>
      </c>
      <c r="J798" s="120">
        <v>241383.41085646237</v>
      </c>
      <c r="K798" s="120" t="s">
        <v>250</v>
      </c>
      <c r="L798" s="120" t="s">
        <v>250</v>
      </c>
      <c r="M798" s="120">
        <v>0</v>
      </c>
      <c r="N798" s="120" t="s">
        <v>250</v>
      </c>
      <c r="O798" s="120">
        <v>241383.41085646237</v>
      </c>
      <c r="P798" s="120">
        <v>123895.83737806072</v>
      </c>
      <c r="Q798" s="120">
        <v>117487.57347840164</v>
      </c>
      <c r="R798" s="120"/>
      <c r="S798" s="121"/>
    </row>
    <row r="799" spans="1:19" ht="15">
      <c r="A799" s="105">
        <v>3</v>
      </c>
      <c r="B799" s="105"/>
      <c r="C799" s="107" t="s">
        <v>813</v>
      </c>
      <c r="D799" s="107" t="s">
        <v>494</v>
      </c>
      <c r="E799" s="120">
        <v>10291871</v>
      </c>
      <c r="F799" s="120" t="s">
        <v>250</v>
      </c>
      <c r="G799" s="120">
        <v>9693148.5336002484</v>
      </c>
      <c r="H799" s="120" t="s">
        <v>250</v>
      </c>
      <c r="I799" s="120">
        <v>389273.43280395051</v>
      </c>
      <c r="J799" s="120">
        <v>209449.03359580095</v>
      </c>
      <c r="K799" s="120" t="s">
        <v>250</v>
      </c>
      <c r="L799" s="120" t="s">
        <v>250</v>
      </c>
      <c r="M799" s="120">
        <v>0</v>
      </c>
      <c r="N799" s="120" t="s">
        <v>250</v>
      </c>
      <c r="O799" s="120">
        <v>209449.03359580095</v>
      </c>
      <c r="P799" s="120">
        <v>107504.75069228477</v>
      </c>
      <c r="Q799" s="120">
        <v>101944.28290351618</v>
      </c>
      <c r="R799" s="120"/>
      <c r="S799" s="121"/>
    </row>
    <row r="800" spans="1:19" ht="15">
      <c r="A800" s="105">
        <v>4</v>
      </c>
      <c r="B800" s="105"/>
      <c r="C800" s="107" t="s">
        <v>814</v>
      </c>
      <c r="D800" s="107" t="s">
        <v>494</v>
      </c>
      <c r="E800" s="120">
        <v>2113260</v>
      </c>
      <c r="F800" s="120" t="s">
        <v>250</v>
      </c>
      <c r="G800" s="120">
        <v>1990322.563323623</v>
      </c>
      <c r="H800" s="120" t="s">
        <v>250</v>
      </c>
      <c r="I800" s="120">
        <v>79930.653484412745</v>
      </c>
      <c r="J800" s="120">
        <v>43006.783191964059</v>
      </c>
      <c r="K800" s="120" t="s">
        <v>250</v>
      </c>
      <c r="L800" s="120" t="s">
        <v>250</v>
      </c>
      <c r="M800" s="120">
        <v>0</v>
      </c>
      <c r="N800" s="120" t="s">
        <v>250</v>
      </c>
      <c r="O800" s="120">
        <v>43006.783191964059</v>
      </c>
      <c r="P800" s="120">
        <v>22074.265160142186</v>
      </c>
      <c r="Q800" s="120">
        <v>20932.518031821874</v>
      </c>
      <c r="R800" s="120"/>
      <c r="S800" s="121"/>
    </row>
    <row r="801" spans="1:19" ht="15">
      <c r="A801" s="105">
        <v>5</v>
      </c>
      <c r="B801" s="105"/>
      <c r="C801" s="107" t="s">
        <v>815</v>
      </c>
      <c r="D801" s="107" t="s">
        <v>494</v>
      </c>
      <c r="E801" s="120">
        <v>0</v>
      </c>
      <c r="F801" s="120" t="s">
        <v>250</v>
      </c>
      <c r="G801" s="120">
        <v>0</v>
      </c>
      <c r="H801" s="120" t="s">
        <v>250</v>
      </c>
      <c r="I801" s="120">
        <v>0</v>
      </c>
      <c r="J801" s="120">
        <v>0</v>
      </c>
      <c r="K801" s="120" t="s">
        <v>250</v>
      </c>
      <c r="L801" s="120" t="s">
        <v>250</v>
      </c>
      <c r="M801" s="120">
        <v>0</v>
      </c>
      <c r="N801" s="120" t="s">
        <v>250</v>
      </c>
      <c r="O801" s="120">
        <v>0</v>
      </c>
      <c r="P801" s="120">
        <v>0</v>
      </c>
      <c r="Q801" s="120">
        <v>0</v>
      </c>
      <c r="R801" s="120"/>
      <c r="S801" s="121"/>
    </row>
    <row r="802" spans="1:19" ht="15">
      <c r="A802" s="105" t="s">
        <v>250</v>
      </c>
      <c r="B802" s="105"/>
      <c r="C802" s="107" t="s">
        <v>250</v>
      </c>
      <c r="D802" s="107" t="s">
        <v>250</v>
      </c>
      <c r="E802" s="120" t="s">
        <v>250</v>
      </c>
      <c r="F802" s="120" t="s">
        <v>250</v>
      </c>
      <c r="G802" s="120" t="s">
        <v>250</v>
      </c>
      <c r="H802" s="120" t="s">
        <v>250</v>
      </c>
      <c r="I802" s="120" t="s">
        <v>250</v>
      </c>
      <c r="J802" s="120" t="s">
        <v>250</v>
      </c>
      <c r="K802" s="120" t="s">
        <v>250</v>
      </c>
      <c r="L802" s="120" t="s">
        <v>250</v>
      </c>
      <c r="M802" s="120" t="s">
        <v>250</v>
      </c>
      <c r="N802" s="120" t="s">
        <v>250</v>
      </c>
      <c r="O802" s="120" t="s">
        <v>250</v>
      </c>
      <c r="P802" s="120" t="s">
        <v>250</v>
      </c>
      <c r="Q802" s="120" t="s">
        <v>250</v>
      </c>
      <c r="R802" s="120"/>
      <c r="S802" s="121"/>
    </row>
    <row r="803" spans="1:19" ht="15">
      <c r="A803" s="105">
        <v>6</v>
      </c>
      <c r="B803" s="105"/>
      <c r="C803" s="107" t="s">
        <v>816</v>
      </c>
      <c r="D803" s="107" t="s">
        <v>250</v>
      </c>
      <c r="E803" s="120">
        <v>26855291</v>
      </c>
      <c r="F803" s="120" t="s">
        <v>250</v>
      </c>
      <c r="G803" s="120">
        <v>25293003.048333772</v>
      </c>
      <c r="H803" s="120" t="s">
        <v>250</v>
      </c>
      <c r="I803" s="120">
        <v>1015758.0984564455</v>
      </c>
      <c r="J803" s="120">
        <v>546529.85320978193</v>
      </c>
      <c r="K803" s="120" t="s">
        <v>250</v>
      </c>
      <c r="L803" s="120" t="s">
        <v>250</v>
      </c>
      <c r="M803" s="120">
        <v>0</v>
      </c>
      <c r="N803" s="120" t="s">
        <v>250</v>
      </c>
      <c r="O803" s="120">
        <v>546529.85320978193</v>
      </c>
      <c r="P803" s="120">
        <v>280519.58324426715</v>
      </c>
      <c r="Q803" s="120">
        <v>266010.26996551472</v>
      </c>
      <c r="R803" s="120"/>
      <c r="S803" s="121"/>
    </row>
    <row r="804" spans="1:19" ht="15">
      <c r="A804" s="105" t="s">
        <v>250</v>
      </c>
      <c r="B804" s="105"/>
      <c r="C804" s="107" t="s">
        <v>250</v>
      </c>
      <c r="D804" s="107" t="s">
        <v>250</v>
      </c>
      <c r="E804" s="120" t="s">
        <v>250</v>
      </c>
      <c r="F804" s="120" t="s">
        <v>250</v>
      </c>
      <c r="G804" s="120" t="s">
        <v>250</v>
      </c>
      <c r="H804" s="120" t="s">
        <v>250</v>
      </c>
      <c r="I804" s="120" t="s">
        <v>250</v>
      </c>
      <c r="J804" s="120" t="s">
        <v>250</v>
      </c>
      <c r="K804" s="120" t="s">
        <v>250</v>
      </c>
      <c r="L804" s="120" t="s">
        <v>250</v>
      </c>
      <c r="M804" s="120" t="s">
        <v>250</v>
      </c>
      <c r="N804" s="120" t="s">
        <v>250</v>
      </c>
      <c r="O804" s="120" t="s">
        <v>250</v>
      </c>
      <c r="P804" s="120" t="s">
        <v>250</v>
      </c>
      <c r="Q804" s="120" t="s">
        <v>250</v>
      </c>
      <c r="R804" s="120"/>
      <c r="S804" s="121"/>
    </row>
    <row r="805" spans="1:19" ht="15">
      <c r="A805" s="105" t="s">
        <v>250</v>
      </c>
      <c r="B805" s="105"/>
      <c r="C805" s="107" t="s">
        <v>817</v>
      </c>
      <c r="D805" s="107" t="s">
        <v>250</v>
      </c>
      <c r="E805" s="120" t="s">
        <v>250</v>
      </c>
      <c r="F805" s="120" t="s">
        <v>250</v>
      </c>
      <c r="G805" s="120" t="s">
        <v>250</v>
      </c>
      <c r="H805" s="120" t="s">
        <v>250</v>
      </c>
      <c r="I805" s="120" t="s">
        <v>250</v>
      </c>
      <c r="J805" s="120" t="s">
        <v>250</v>
      </c>
      <c r="K805" s="120" t="s">
        <v>250</v>
      </c>
      <c r="L805" s="120" t="s">
        <v>250</v>
      </c>
      <c r="M805" s="120" t="s">
        <v>250</v>
      </c>
      <c r="N805" s="120" t="s">
        <v>250</v>
      </c>
      <c r="O805" s="120" t="s">
        <v>250</v>
      </c>
      <c r="P805" s="120" t="s">
        <v>250</v>
      </c>
      <c r="Q805" s="120" t="s">
        <v>250</v>
      </c>
      <c r="R805" s="120"/>
      <c r="S805" s="121"/>
    </row>
    <row r="806" spans="1:19" ht="15">
      <c r="A806" s="105">
        <v>7</v>
      </c>
      <c r="B806" s="105"/>
      <c r="C806" s="107" t="s">
        <v>818</v>
      </c>
      <c r="D806" s="107" t="s">
        <v>497</v>
      </c>
      <c r="E806" s="120">
        <v>4557161.9999999991</v>
      </c>
      <c r="F806" s="120" t="s">
        <v>250</v>
      </c>
      <c r="G806" s="120">
        <v>4272282.4142700406</v>
      </c>
      <c r="H806" s="120" t="s">
        <v>250</v>
      </c>
      <c r="I806" s="120">
        <v>194834.09063089488</v>
      </c>
      <c r="J806" s="120">
        <v>90045.495099063861</v>
      </c>
      <c r="K806" s="120" t="s">
        <v>250</v>
      </c>
      <c r="L806" s="120" t="s">
        <v>250</v>
      </c>
      <c r="M806" s="120">
        <v>0</v>
      </c>
      <c r="N806" s="120" t="s">
        <v>250</v>
      </c>
      <c r="O806" s="120">
        <v>90045.495099063861</v>
      </c>
      <c r="P806" s="120">
        <v>45676.113704740907</v>
      </c>
      <c r="Q806" s="120">
        <v>44369.381394322954</v>
      </c>
      <c r="R806" s="120"/>
      <c r="S806" s="121"/>
    </row>
    <row r="807" spans="1:19" ht="15">
      <c r="A807" s="105">
        <v>8</v>
      </c>
      <c r="B807" s="105"/>
      <c r="C807" s="107" t="s">
        <v>819</v>
      </c>
      <c r="D807" s="107" t="s">
        <v>497</v>
      </c>
      <c r="E807" s="120">
        <v>10292931</v>
      </c>
      <c r="F807" s="120" t="s">
        <v>250</v>
      </c>
      <c r="G807" s="120">
        <v>9649494.1594340838</v>
      </c>
      <c r="H807" s="120" t="s">
        <v>250</v>
      </c>
      <c r="I807" s="120">
        <v>440057.61728715093</v>
      </c>
      <c r="J807" s="120">
        <v>203379.22327876481</v>
      </c>
      <c r="K807" s="120" t="s">
        <v>250</v>
      </c>
      <c r="L807" s="120" t="s">
        <v>250</v>
      </c>
      <c r="M807" s="120">
        <v>0</v>
      </c>
      <c r="N807" s="120" t="s">
        <v>250</v>
      </c>
      <c r="O807" s="120">
        <v>203379.22327876481</v>
      </c>
      <c r="P807" s="120">
        <v>103165.32234558537</v>
      </c>
      <c r="Q807" s="120">
        <v>100213.90093317945</v>
      </c>
      <c r="R807" s="120"/>
      <c r="S807" s="121"/>
    </row>
    <row r="808" spans="1:19" ht="15">
      <c r="A808" s="105">
        <v>9</v>
      </c>
      <c r="B808" s="105"/>
      <c r="C808" s="107" t="s">
        <v>820</v>
      </c>
      <c r="D808" s="107" t="s">
        <v>497</v>
      </c>
      <c r="E808" s="120">
        <v>7117971</v>
      </c>
      <c r="F808" s="120" t="s">
        <v>250</v>
      </c>
      <c r="G808" s="120">
        <v>6673008.8437900906</v>
      </c>
      <c r="H808" s="120" t="s">
        <v>250</v>
      </c>
      <c r="I808" s="120">
        <v>304317.33761540218</v>
      </c>
      <c r="J808" s="120">
        <v>140644.81859450656</v>
      </c>
      <c r="K808" s="120" t="s">
        <v>250</v>
      </c>
      <c r="L808" s="120" t="s">
        <v>250</v>
      </c>
      <c r="M808" s="120">
        <v>0</v>
      </c>
      <c r="N808" s="120" t="s">
        <v>250</v>
      </c>
      <c r="O808" s="120">
        <v>140644.81859450656</v>
      </c>
      <c r="P808" s="120">
        <v>71342.921920056469</v>
      </c>
      <c r="Q808" s="120">
        <v>69301.896674450094</v>
      </c>
      <c r="R808" s="120"/>
      <c r="S808" s="121"/>
    </row>
    <row r="809" spans="1:19" ht="15">
      <c r="A809" s="105">
        <v>10</v>
      </c>
      <c r="B809" s="105"/>
      <c r="C809" s="107" t="s">
        <v>821</v>
      </c>
      <c r="D809" s="107" t="s">
        <v>497</v>
      </c>
      <c r="E809" s="120">
        <v>4273134</v>
      </c>
      <c r="F809" s="120" t="s">
        <v>250</v>
      </c>
      <c r="G809" s="120">
        <v>4006009.7143835127</v>
      </c>
      <c r="H809" s="120" t="s">
        <v>250</v>
      </c>
      <c r="I809" s="120">
        <v>182690.93287312551</v>
      </c>
      <c r="J809" s="120">
        <v>84433.352743361582</v>
      </c>
      <c r="K809" s="120" t="s">
        <v>250</v>
      </c>
      <c r="L809" s="120" t="s">
        <v>250</v>
      </c>
      <c r="M809" s="120">
        <v>0</v>
      </c>
      <c r="N809" s="120" t="s">
        <v>250</v>
      </c>
      <c r="O809" s="120">
        <v>84433.352743361582</v>
      </c>
      <c r="P809" s="120">
        <v>42829.321068593643</v>
      </c>
      <c r="Q809" s="120">
        <v>41604.031674767939</v>
      </c>
      <c r="R809" s="120"/>
      <c r="S809" s="121"/>
    </row>
    <row r="810" spans="1:19" ht="15">
      <c r="A810" s="105">
        <v>11</v>
      </c>
      <c r="B810" s="105"/>
      <c r="C810" s="107" t="s">
        <v>822</v>
      </c>
      <c r="D810" s="107" t="s">
        <v>497</v>
      </c>
      <c r="E810" s="120">
        <v>0</v>
      </c>
      <c r="F810" s="120" t="s">
        <v>250</v>
      </c>
      <c r="G810" s="120">
        <v>0</v>
      </c>
      <c r="H810" s="120" t="s">
        <v>250</v>
      </c>
      <c r="I810" s="120">
        <v>0</v>
      </c>
      <c r="J810" s="120">
        <v>0</v>
      </c>
      <c r="K810" s="120" t="s">
        <v>250</v>
      </c>
      <c r="L810" s="120" t="s">
        <v>250</v>
      </c>
      <c r="M810" s="120">
        <v>0</v>
      </c>
      <c r="N810" s="120" t="s">
        <v>250</v>
      </c>
      <c r="O810" s="120">
        <v>0</v>
      </c>
      <c r="P810" s="120">
        <v>0</v>
      </c>
      <c r="Q810" s="120">
        <v>0</v>
      </c>
      <c r="R810" s="120"/>
      <c r="S810" s="121"/>
    </row>
    <row r="811" spans="1:19" ht="15">
      <c r="A811" s="105">
        <v>12</v>
      </c>
      <c r="B811" s="105"/>
      <c r="C811" s="107" t="s">
        <v>823</v>
      </c>
      <c r="D811" s="107" t="s">
        <v>497</v>
      </c>
      <c r="E811" s="120">
        <v>1575978</v>
      </c>
      <c r="F811" s="120" t="s">
        <v>250</v>
      </c>
      <c r="G811" s="120">
        <v>1477459.676587418</v>
      </c>
      <c r="H811" s="120" t="s">
        <v>250</v>
      </c>
      <c r="I811" s="120">
        <v>67378.390429020612</v>
      </c>
      <c r="J811" s="120">
        <v>31139.932983561361</v>
      </c>
      <c r="K811" s="120" t="s">
        <v>250</v>
      </c>
      <c r="L811" s="120" t="s">
        <v>250</v>
      </c>
      <c r="M811" s="120">
        <v>0</v>
      </c>
      <c r="N811" s="120" t="s">
        <v>250</v>
      </c>
      <c r="O811" s="120">
        <v>31139.932983561361</v>
      </c>
      <c r="P811" s="120">
        <v>15795.916477002611</v>
      </c>
      <c r="Q811" s="120">
        <v>15344.016506558752</v>
      </c>
      <c r="R811" s="120"/>
      <c r="S811" s="121"/>
    </row>
    <row r="812" spans="1:19" ht="15">
      <c r="A812" s="105">
        <v>13</v>
      </c>
      <c r="B812" s="105"/>
      <c r="C812" s="107" t="s">
        <v>824</v>
      </c>
      <c r="D812" s="107" t="s">
        <v>497</v>
      </c>
      <c r="E812" s="120">
        <v>462929.99999999994</v>
      </c>
      <c r="F812" s="120" t="s">
        <v>250</v>
      </c>
      <c r="G812" s="120">
        <v>433991.08876051148</v>
      </c>
      <c r="H812" s="120" t="s">
        <v>250</v>
      </c>
      <c r="I812" s="120">
        <v>19791.823414607636</v>
      </c>
      <c r="J812" s="120">
        <v>9147.087824880844</v>
      </c>
      <c r="K812" s="120" t="s">
        <v>250</v>
      </c>
      <c r="L812" s="120" t="s">
        <v>250</v>
      </c>
      <c r="M812" s="120">
        <v>0</v>
      </c>
      <c r="N812" s="120" t="s">
        <v>250</v>
      </c>
      <c r="O812" s="120">
        <v>9147.087824880844</v>
      </c>
      <c r="P812" s="120">
        <v>4639.9147797106425</v>
      </c>
      <c r="Q812" s="120">
        <v>4507.1730451702015</v>
      </c>
      <c r="R812" s="120"/>
      <c r="S812" s="121"/>
    </row>
    <row r="813" spans="1:19" ht="15">
      <c r="A813" s="105">
        <v>14</v>
      </c>
      <c r="B813" s="105"/>
      <c r="C813" s="107" t="s">
        <v>825</v>
      </c>
      <c r="D813" s="107" t="s">
        <v>497</v>
      </c>
      <c r="E813" s="120">
        <v>0</v>
      </c>
      <c r="F813" s="120" t="s">
        <v>250</v>
      </c>
      <c r="G813" s="120">
        <v>0</v>
      </c>
      <c r="H813" s="120" t="s">
        <v>250</v>
      </c>
      <c r="I813" s="120">
        <v>0</v>
      </c>
      <c r="J813" s="120">
        <v>0</v>
      </c>
      <c r="K813" s="120" t="s">
        <v>250</v>
      </c>
      <c r="L813" s="120" t="s">
        <v>250</v>
      </c>
      <c r="M813" s="120">
        <v>0</v>
      </c>
      <c r="N813" s="120" t="s">
        <v>250</v>
      </c>
      <c r="O813" s="120">
        <v>0</v>
      </c>
      <c r="P813" s="120">
        <v>0</v>
      </c>
      <c r="Q813" s="120">
        <v>0</v>
      </c>
      <c r="R813" s="120"/>
      <c r="S813" s="121"/>
    </row>
    <row r="814" spans="1:19" ht="15">
      <c r="A814" s="105">
        <v>15</v>
      </c>
      <c r="B814" s="105"/>
      <c r="C814" s="107" t="s">
        <v>826</v>
      </c>
      <c r="D814" s="107" t="s">
        <v>497</v>
      </c>
      <c r="E814" s="120">
        <v>0</v>
      </c>
      <c r="F814" s="120" t="s">
        <v>250</v>
      </c>
      <c r="G814" s="120">
        <v>0</v>
      </c>
      <c r="H814" s="120" t="s">
        <v>250</v>
      </c>
      <c r="I814" s="120">
        <v>0</v>
      </c>
      <c r="J814" s="120">
        <v>0</v>
      </c>
      <c r="K814" s="120" t="s">
        <v>250</v>
      </c>
      <c r="L814" s="120" t="s">
        <v>250</v>
      </c>
      <c r="M814" s="120">
        <v>0</v>
      </c>
      <c r="N814" s="120" t="s">
        <v>250</v>
      </c>
      <c r="O814" s="120">
        <v>0</v>
      </c>
      <c r="P814" s="120">
        <v>0</v>
      </c>
      <c r="Q814" s="120">
        <v>0</v>
      </c>
      <c r="R814" s="120"/>
      <c r="S814" s="121"/>
    </row>
    <row r="815" spans="1:19" ht="15">
      <c r="A815" s="105">
        <v>16</v>
      </c>
      <c r="B815" s="105"/>
      <c r="C815" s="107" t="s">
        <v>827</v>
      </c>
      <c r="D815" s="107" t="s">
        <v>497</v>
      </c>
      <c r="E815" s="120">
        <v>0</v>
      </c>
      <c r="F815" s="120" t="s">
        <v>250</v>
      </c>
      <c r="G815" s="120">
        <v>0</v>
      </c>
      <c r="H815" s="120" t="s">
        <v>250</v>
      </c>
      <c r="I815" s="120">
        <v>0</v>
      </c>
      <c r="J815" s="120">
        <v>0</v>
      </c>
      <c r="K815" s="120" t="s">
        <v>250</v>
      </c>
      <c r="L815" s="120" t="s">
        <v>250</v>
      </c>
      <c r="M815" s="120">
        <v>0</v>
      </c>
      <c r="N815" s="120" t="s">
        <v>250</v>
      </c>
      <c r="O815" s="120">
        <v>0</v>
      </c>
      <c r="P815" s="120">
        <v>0</v>
      </c>
      <c r="Q815" s="120">
        <v>0</v>
      </c>
      <c r="R815" s="120"/>
      <c r="S815" s="121"/>
    </row>
    <row r="816" spans="1:19" ht="15">
      <c r="A816" s="105">
        <v>17</v>
      </c>
      <c r="B816" s="105"/>
      <c r="C816" s="107" t="s">
        <v>828</v>
      </c>
      <c r="D816" s="107" t="s">
        <v>497</v>
      </c>
      <c r="E816" s="120">
        <v>171052.99999999997</v>
      </c>
      <c r="F816" s="120" t="s">
        <v>250</v>
      </c>
      <c r="G816" s="120">
        <v>160360.04947994679</v>
      </c>
      <c r="H816" s="120" t="s">
        <v>250</v>
      </c>
      <c r="I816" s="120">
        <v>7313.094356682177</v>
      </c>
      <c r="J816" s="120">
        <v>3379.8561633710124</v>
      </c>
      <c r="K816" s="120" t="s">
        <v>250</v>
      </c>
      <c r="L816" s="120" t="s">
        <v>250</v>
      </c>
      <c r="M816" s="120">
        <v>0</v>
      </c>
      <c r="N816" s="120" t="s">
        <v>250</v>
      </c>
      <c r="O816" s="120">
        <v>3379.8561633710124</v>
      </c>
      <c r="P816" s="120">
        <v>1714.4521694723705</v>
      </c>
      <c r="Q816" s="120">
        <v>1665.4039938986421</v>
      </c>
      <c r="R816" s="120"/>
      <c r="S816" s="121"/>
    </row>
    <row r="817" spans="1:19" ht="15">
      <c r="A817" s="105">
        <v>18</v>
      </c>
      <c r="B817" s="105"/>
      <c r="C817" s="107" t="s">
        <v>829</v>
      </c>
      <c r="D817" s="107" t="s">
        <v>497</v>
      </c>
      <c r="E817" s="120">
        <v>46279</v>
      </c>
      <c r="F817" s="120" t="s">
        <v>250</v>
      </c>
      <c r="G817" s="120">
        <v>43385.984051039493</v>
      </c>
      <c r="H817" s="120" t="s">
        <v>250</v>
      </c>
      <c r="I817" s="120">
        <v>1978.5837941041341</v>
      </c>
      <c r="J817" s="120">
        <v>914.43215485637256</v>
      </c>
      <c r="K817" s="120" t="s">
        <v>250</v>
      </c>
      <c r="L817" s="120" t="s">
        <v>250</v>
      </c>
      <c r="M817" s="120">
        <v>0</v>
      </c>
      <c r="N817" s="120" t="s">
        <v>250</v>
      </c>
      <c r="O817" s="120">
        <v>914.43215485637256</v>
      </c>
      <c r="P817" s="120">
        <v>463.85115695726961</v>
      </c>
      <c r="Q817" s="120">
        <v>450.58099789910295</v>
      </c>
      <c r="R817" s="120"/>
      <c r="S817" s="121"/>
    </row>
    <row r="818" spans="1:19" ht="15">
      <c r="A818" s="105">
        <v>19</v>
      </c>
      <c r="B818" s="105"/>
      <c r="C818" s="107" t="s">
        <v>2237</v>
      </c>
      <c r="D818" s="107" t="s">
        <v>497</v>
      </c>
      <c r="E818" s="120">
        <v>972</v>
      </c>
      <c r="F818" s="120" t="s">
        <v>250</v>
      </c>
      <c r="G818" s="120">
        <v>911.23785080944674</v>
      </c>
      <c r="H818" s="120" t="s">
        <v>250</v>
      </c>
      <c r="I818" s="120">
        <v>41.556287903135726</v>
      </c>
      <c r="J818" s="120">
        <v>19.205861287417491</v>
      </c>
      <c r="K818" s="120" t="s">
        <v>250</v>
      </c>
      <c r="L818" s="120" t="s">
        <v>250</v>
      </c>
      <c r="M818" s="120">
        <v>0</v>
      </c>
      <c r="N818" s="120" t="s">
        <v>250</v>
      </c>
      <c r="O818" s="120">
        <v>19.205861287417491</v>
      </c>
      <c r="P818" s="120">
        <v>9.7422875291701647</v>
      </c>
      <c r="Q818" s="120">
        <v>9.4635737582473283</v>
      </c>
      <c r="R818" s="120"/>
      <c r="S818" s="121"/>
    </row>
    <row r="819" spans="1:19" ht="15">
      <c r="A819" s="105">
        <v>20</v>
      </c>
      <c r="B819" s="105"/>
      <c r="C819" s="107" t="s">
        <v>830</v>
      </c>
      <c r="D819" s="107" t="s">
        <v>497</v>
      </c>
      <c r="E819" s="120">
        <v>24226</v>
      </c>
      <c r="F819" s="120" t="s">
        <v>250</v>
      </c>
      <c r="G819" s="120">
        <v>22711.572195174544</v>
      </c>
      <c r="H819" s="120" t="s">
        <v>250</v>
      </c>
      <c r="I819" s="120">
        <v>1035.7434472647799</v>
      </c>
      <c r="J819" s="120">
        <v>478.68435756067504</v>
      </c>
      <c r="K819" s="120" t="s">
        <v>250</v>
      </c>
      <c r="L819" s="120" t="s">
        <v>250</v>
      </c>
      <c r="M819" s="120">
        <v>0</v>
      </c>
      <c r="N819" s="120" t="s">
        <v>250</v>
      </c>
      <c r="O819" s="120">
        <v>478.68435756067504</v>
      </c>
      <c r="P819" s="120">
        <v>242.81549144205391</v>
      </c>
      <c r="Q819" s="120">
        <v>235.86886611862116</v>
      </c>
      <c r="R819" s="120"/>
      <c r="S819" s="121"/>
    </row>
    <row r="820" spans="1:19" ht="15">
      <c r="A820" s="105">
        <v>21</v>
      </c>
      <c r="B820" s="105"/>
      <c r="C820" s="107" t="s">
        <v>831</v>
      </c>
      <c r="D820" s="107" t="s">
        <v>497</v>
      </c>
      <c r="E820" s="120">
        <v>713.99999999999989</v>
      </c>
      <c r="F820" s="120" t="s">
        <v>250</v>
      </c>
      <c r="G820" s="120">
        <v>669.36607559459355</v>
      </c>
      <c r="H820" s="120" t="s">
        <v>250</v>
      </c>
      <c r="I820" s="120">
        <v>30.525915188105873</v>
      </c>
      <c r="J820" s="120">
        <v>14.108009217300504</v>
      </c>
      <c r="K820" s="120" t="s">
        <v>250</v>
      </c>
      <c r="L820" s="120" t="s">
        <v>250</v>
      </c>
      <c r="M820" s="120">
        <v>0</v>
      </c>
      <c r="N820" s="120" t="s">
        <v>250</v>
      </c>
      <c r="O820" s="120">
        <v>14.108009217300504</v>
      </c>
      <c r="P820" s="120">
        <v>7.156371703526232</v>
      </c>
      <c r="Q820" s="120">
        <v>6.9516375137742719</v>
      </c>
      <c r="R820" s="120"/>
      <c r="S820" s="121"/>
    </row>
    <row r="821" spans="1:19" ht="15">
      <c r="A821" s="105">
        <v>22</v>
      </c>
      <c r="B821" s="105"/>
      <c r="C821" s="107" t="s">
        <v>832</v>
      </c>
      <c r="D821" s="107" t="s">
        <v>497</v>
      </c>
      <c r="E821" s="120">
        <v>562721</v>
      </c>
      <c r="F821" s="120" t="s">
        <v>250</v>
      </c>
      <c r="G821" s="120">
        <v>527543.90395611385</v>
      </c>
      <c r="H821" s="120" t="s">
        <v>250</v>
      </c>
      <c r="I821" s="120">
        <v>24058.226219280288</v>
      </c>
      <c r="J821" s="120">
        <v>11118.869824605821</v>
      </c>
      <c r="K821" s="120" t="s">
        <v>250</v>
      </c>
      <c r="L821" s="120" t="s">
        <v>250</v>
      </c>
      <c r="M821" s="120">
        <v>0</v>
      </c>
      <c r="N821" s="120" t="s">
        <v>250</v>
      </c>
      <c r="O821" s="120">
        <v>11118.869824605821</v>
      </c>
      <c r="P821" s="120">
        <v>5640.1129431092222</v>
      </c>
      <c r="Q821" s="120">
        <v>5478.7568814965989</v>
      </c>
      <c r="R821" s="120"/>
      <c r="S821" s="121"/>
    </row>
    <row r="822" spans="1:19" ht="15">
      <c r="A822" s="105">
        <v>23</v>
      </c>
      <c r="B822" s="105"/>
      <c r="C822" s="107" t="s">
        <v>833</v>
      </c>
      <c r="D822" s="107" t="s">
        <v>497</v>
      </c>
      <c r="E822" s="120">
        <v>409207.99999999994</v>
      </c>
      <c r="F822" s="120" t="s">
        <v>250</v>
      </c>
      <c r="G822" s="120">
        <v>383627.38524077373</v>
      </c>
      <c r="H822" s="120" t="s">
        <v>250</v>
      </c>
      <c r="I822" s="120">
        <v>17495.026193689675</v>
      </c>
      <c r="J822" s="120">
        <v>8085.588565536561</v>
      </c>
      <c r="K822" s="120" t="s">
        <v>250</v>
      </c>
      <c r="L822" s="120" t="s">
        <v>250</v>
      </c>
      <c r="M822" s="120">
        <v>0</v>
      </c>
      <c r="N822" s="120" t="s">
        <v>250</v>
      </c>
      <c r="O822" s="120">
        <v>8085.588565536561</v>
      </c>
      <c r="P822" s="120">
        <v>4101.4629580624123</v>
      </c>
      <c r="Q822" s="120">
        <v>3984.1256074741486</v>
      </c>
      <c r="R822" s="120"/>
      <c r="S822" s="121"/>
    </row>
    <row r="823" spans="1:19" ht="15">
      <c r="A823" s="105">
        <v>24</v>
      </c>
      <c r="B823" s="105"/>
      <c r="C823" s="107" t="s">
        <v>834</v>
      </c>
      <c r="D823" s="107" t="s">
        <v>497</v>
      </c>
      <c r="E823" s="120">
        <v>2941554</v>
      </c>
      <c r="F823" s="120" t="s">
        <v>250</v>
      </c>
      <c r="G823" s="120">
        <v>2757670.1080246205</v>
      </c>
      <c r="H823" s="120" t="s">
        <v>250</v>
      </c>
      <c r="I823" s="120">
        <v>125761.38364878653</v>
      </c>
      <c r="J823" s="120">
        <v>58122.508326592666</v>
      </c>
      <c r="K823" s="120" t="s">
        <v>250</v>
      </c>
      <c r="L823" s="120" t="s">
        <v>250</v>
      </c>
      <c r="M823" s="120">
        <v>0</v>
      </c>
      <c r="N823" s="120" t="s">
        <v>250</v>
      </c>
      <c r="O823" s="120">
        <v>58122.508326592666</v>
      </c>
      <c r="P823" s="120">
        <v>29482.988529403923</v>
      </c>
      <c r="Q823" s="120">
        <v>28639.519797188746</v>
      </c>
      <c r="R823" s="120"/>
      <c r="S823" s="121"/>
    </row>
    <row r="824" spans="1:19" ht="15">
      <c r="A824" s="105">
        <v>25</v>
      </c>
      <c r="B824" s="105"/>
      <c r="C824" s="107" t="s">
        <v>835</v>
      </c>
      <c r="D824" s="107" t="s">
        <v>497</v>
      </c>
      <c r="E824" s="120">
        <v>0</v>
      </c>
      <c r="F824" s="120" t="s">
        <v>250</v>
      </c>
      <c r="G824" s="120">
        <v>0</v>
      </c>
      <c r="H824" s="120" t="s">
        <v>250</v>
      </c>
      <c r="I824" s="120">
        <v>0</v>
      </c>
      <c r="J824" s="120">
        <v>0</v>
      </c>
      <c r="K824" s="120" t="s">
        <v>250</v>
      </c>
      <c r="L824" s="120" t="s">
        <v>250</v>
      </c>
      <c r="M824" s="120">
        <v>0</v>
      </c>
      <c r="N824" s="120" t="s">
        <v>250</v>
      </c>
      <c r="O824" s="120">
        <v>0</v>
      </c>
      <c r="P824" s="120">
        <v>0</v>
      </c>
      <c r="Q824" s="120">
        <v>0</v>
      </c>
      <c r="R824" s="120"/>
      <c r="S824" s="121"/>
    </row>
    <row r="825" spans="1:19" ht="15">
      <c r="A825" s="105">
        <v>26</v>
      </c>
      <c r="B825" s="105"/>
      <c r="C825" s="107" t="s">
        <v>836</v>
      </c>
      <c r="D825" s="107" t="s">
        <v>497</v>
      </c>
      <c r="E825" s="120">
        <v>781276</v>
      </c>
      <c r="F825" s="120" t="s">
        <v>250</v>
      </c>
      <c r="G825" s="120">
        <v>732436.48470061866</v>
      </c>
      <c r="H825" s="120" t="s">
        <v>250</v>
      </c>
      <c r="I825" s="120">
        <v>33402.191757006447</v>
      </c>
      <c r="J825" s="120">
        <v>15437.323542374885</v>
      </c>
      <c r="K825" s="120" t="s">
        <v>250</v>
      </c>
      <c r="L825" s="120" t="s">
        <v>250</v>
      </c>
      <c r="M825" s="120">
        <v>0</v>
      </c>
      <c r="N825" s="120" t="s">
        <v>250</v>
      </c>
      <c r="O825" s="120">
        <v>15437.323542374885</v>
      </c>
      <c r="P825" s="120">
        <v>7830.6743123867791</v>
      </c>
      <c r="Q825" s="120">
        <v>7606.6492299881065</v>
      </c>
      <c r="R825" s="120"/>
      <c r="S825" s="121"/>
    </row>
    <row r="826" spans="1:19" ht="15">
      <c r="A826" s="105">
        <v>27</v>
      </c>
      <c r="B826" s="105"/>
      <c r="C826" s="107" t="s">
        <v>837</v>
      </c>
      <c r="D826" s="107" t="s">
        <v>497</v>
      </c>
      <c r="E826" s="120">
        <v>375394</v>
      </c>
      <c r="F826" s="120" t="s">
        <v>250</v>
      </c>
      <c r="G826" s="120">
        <v>351927.18288761465</v>
      </c>
      <c r="H826" s="120" t="s">
        <v>250</v>
      </c>
      <c r="I826" s="120">
        <v>16049.363313898903</v>
      </c>
      <c r="J826" s="120">
        <v>7417.4537984864219</v>
      </c>
      <c r="K826" s="120" t="s">
        <v>250</v>
      </c>
      <c r="L826" s="120" t="s">
        <v>250</v>
      </c>
      <c r="M826" s="120">
        <v>0</v>
      </c>
      <c r="N826" s="120" t="s">
        <v>250</v>
      </c>
      <c r="O826" s="120">
        <v>7417.4537984864219</v>
      </c>
      <c r="P826" s="120">
        <v>3762.5476180301489</v>
      </c>
      <c r="Q826" s="120">
        <v>3654.906180456273</v>
      </c>
      <c r="R826" s="120"/>
      <c r="S826" s="121"/>
    </row>
    <row r="827" spans="1:19" ht="15">
      <c r="A827" s="105">
        <v>28</v>
      </c>
      <c r="B827" s="105"/>
      <c r="C827" s="107" t="s">
        <v>838</v>
      </c>
      <c r="D827" s="107" t="s">
        <v>497</v>
      </c>
      <c r="E827" s="120">
        <v>1362233.9999999998</v>
      </c>
      <c r="F827" s="120" t="s">
        <v>250</v>
      </c>
      <c r="G827" s="120">
        <v>1277077.3482094195</v>
      </c>
      <c r="H827" s="120" t="s">
        <v>250</v>
      </c>
      <c r="I827" s="120">
        <v>58240.111415061932</v>
      </c>
      <c r="J827" s="120">
        <v>26916.540375518394</v>
      </c>
      <c r="K827" s="120" t="s">
        <v>250</v>
      </c>
      <c r="L827" s="120" t="s">
        <v>250</v>
      </c>
      <c r="M827" s="120">
        <v>0</v>
      </c>
      <c r="N827" s="120" t="s">
        <v>250</v>
      </c>
      <c r="O827" s="120">
        <v>26916.540375518394</v>
      </c>
      <c r="P827" s="120">
        <v>13653.575421822623</v>
      </c>
      <c r="Q827" s="120">
        <v>13262.964953695771</v>
      </c>
      <c r="R827" s="120"/>
      <c r="S827" s="121"/>
    </row>
    <row r="828" spans="1:19" ht="15">
      <c r="A828" s="105">
        <v>29</v>
      </c>
      <c r="B828" s="105"/>
      <c r="C828" s="107" t="s">
        <v>839</v>
      </c>
      <c r="D828" s="107" t="s">
        <v>497</v>
      </c>
      <c r="E828" s="120">
        <v>1372971</v>
      </c>
      <c r="F828" s="120" t="s">
        <v>250</v>
      </c>
      <c r="G828" s="120">
        <v>1287143.151505861</v>
      </c>
      <c r="H828" s="120" t="s">
        <v>250</v>
      </c>
      <c r="I828" s="120">
        <v>58699.154484214159</v>
      </c>
      <c r="J828" s="120">
        <v>27128.694009924773</v>
      </c>
      <c r="K828" s="120" t="s">
        <v>250</v>
      </c>
      <c r="L828" s="120" t="s">
        <v>250</v>
      </c>
      <c r="M828" s="120">
        <v>0</v>
      </c>
      <c r="N828" s="120" t="s">
        <v>250</v>
      </c>
      <c r="O828" s="120">
        <v>27128.694009924773</v>
      </c>
      <c r="P828" s="120">
        <v>13761.191616473548</v>
      </c>
      <c r="Q828" s="120">
        <v>13367.502393451226</v>
      </c>
      <c r="R828" s="120"/>
      <c r="S828" s="121"/>
    </row>
    <row r="829" spans="1:19" ht="15">
      <c r="A829" s="105">
        <v>30</v>
      </c>
      <c r="B829" s="105"/>
      <c r="C829" s="107" t="s">
        <v>840</v>
      </c>
      <c r="D829" s="107" t="s">
        <v>497</v>
      </c>
      <c r="E829" s="120">
        <v>0</v>
      </c>
      <c r="F829" s="120" t="s">
        <v>250</v>
      </c>
      <c r="G829" s="120">
        <v>0</v>
      </c>
      <c r="H829" s="120" t="s">
        <v>250</v>
      </c>
      <c r="I829" s="120">
        <v>0</v>
      </c>
      <c r="J829" s="120">
        <v>0</v>
      </c>
      <c r="K829" s="120" t="s">
        <v>250</v>
      </c>
      <c r="L829" s="120" t="s">
        <v>250</v>
      </c>
      <c r="M829" s="120">
        <v>0</v>
      </c>
      <c r="N829" s="120" t="s">
        <v>250</v>
      </c>
      <c r="O829" s="120">
        <v>0</v>
      </c>
      <c r="P829" s="120">
        <v>0</v>
      </c>
      <c r="Q829" s="120">
        <v>0</v>
      </c>
      <c r="R829" s="120"/>
      <c r="S829" s="121"/>
    </row>
    <row r="830" spans="1:19" ht="15">
      <c r="A830" s="105">
        <v>31</v>
      </c>
      <c r="B830" s="105"/>
      <c r="C830" s="107" t="s">
        <v>841</v>
      </c>
      <c r="D830" s="107" t="s">
        <v>497</v>
      </c>
      <c r="E830" s="120">
        <v>2414872</v>
      </c>
      <c r="F830" s="120" t="s">
        <v>250</v>
      </c>
      <c r="G830" s="120">
        <v>2263912.3161110189</v>
      </c>
      <c r="H830" s="120" t="s">
        <v>250</v>
      </c>
      <c r="I830" s="120">
        <v>103243.9465856185</v>
      </c>
      <c r="J830" s="120">
        <v>47715.737303362606</v>
      </c>
      <c r="K830" s="120" t="s">
        <v>250</v>
      </c>
      <c r="L830" s="120" t="s">
        <v>250</v>
      </c>
      <c r="M830" s="120">
        <v>0</v>
      </c>
      <c r="N830" s="120" t="s">
        <v>250</v>
      </c>
      <c r="O830" s="120">
        <v>47715.737303362606</v>
      </c>
      <c r="P830" s="120">
        <v>24204.091944590753</v>
      </c>
      <c r="Q830" s="120">
        <v>23511.645358771853</v>
      </c>
      <c r="R830" s="120"/>
      <c r="S830" s="121"/>
    </row>
    <row r="831" spans="1:19" ht="15">
      <c r="A831" s="105">
        <v>32</v>
      </c>
      <c r="B831" s="105"/>
      <c r="C831" s="107" t="s">
        <v>842</v>
      </c>
      <c r="D831" s="107" t="s">
        <v>497</v>
      </c>
      <c r="E831" s="120">
        <v>0</v>
      </c>
      <c r="F831" s="120" t="s">
        <v>250</v>
      </c>
      <c r="G831" s="120">
        <v>0</v>
      </c>
      <c r="H831" s="120" t="s">
        <v>250</v>
      </c>
      <c r="I831" s="120">
        <v>0</v>
      </c>
      <c r="J831" s="120">
        <v>0</v>
      </c>
      <c r="K831" s="120" t="s">
        <v>250</v>
      </c>
      <c r="L831" s="120" t="s">
        <v>250</v>
      </c>
      <c r="M831" s="120">
        <v>0</v>
      </c>
      <c r="N831" s="120" t="s">
        <v>250</v>
      </c>
      <c r="O831" s="120">
        <v>0</v>
      </c>
      <c r="P831" s="120">
        <v>0</v>
      </c>
      <c r="Q831" s="120">
        <v>0</v>
      </c>
      <c r="R831" s="120"/>
      <c r="S831" s="121"/>
    </row>
    <row r="832" spans="1:19" ht="15">
      <c r="A832" s="105" t="s">
        <v>250</v>
      </c>
      <c r="B832" s="105"/>
      <c r="C832" s="107" t="s">
        <v>250</v>
      </c>
      <c r="D832" s="107" t="s">
        <v>250</v>
      </c>
      <c r="E832" s="120" t="s">
        <v>250</v>
      </c>
      <c r="F832" s="120" t="s">
        <v>250</v>
      </c>
      <c r="G832" s="120" t="s">
        <v>250</v>
      </c>
      <c r="H832" s="120" t="s">
        <v>250</v>
      </c>
      <c r="I832" s="120" t="s">
        <v>250</v>
      </c>
      <c r="J832" s="120" t="s">
        <v>250</v>
      </c>
      <c r="K832" s="120" t="s">
        <v>250</v>
      </c>
      <c r="L832" s="120" t="s">
        <v>250</v>
      </c>
      <c r="M832" s="120" t="s">
        <v>250</v>
      </c>
      <c r="N832" s="120" t="s">
        <v>250</v>
      </c>
      <c r="O832" s="120" t="s">
        <v>250</v>
      </c>
      <c r="P832" s="120" t="s">
        <v>250</v>
      </c>
      <c r="Q832" s="120" t="s">
        <v>250</v>
      </c>
      <c r="R832" s="120"/>
      <c r="S832" s="121"/>
    </row>
    <row r="833" spans="1:19" ht="15">
      <c r="A833" s="105">
        <v>33</v>
      </c>
      <c r="B833" s="105"/>
      <c r="C833" s="107" t="s">
        <v>843</v>
      </c>
      <c r="D833" s="107" t="s">
        <v>250</v>
      </c>
      <c r="E833" s="120">
        <v>38743580</v>
      </c>
      <c r="F833" s="120" t="s">
        <v>250</v>
      </c>
      <c r="G833" s="120">
        <v>36321621.987514265</v>
      </c>
      <c r="H833" s="120" t="s">
        <v>250</v>
      </c>
      <c r="I833" s="120">
        <v>1656419.0996689005</v>
      </c>
      <c r="J833" s="120">
        <v>765538.91281683382</v>
      </c>
      <c r="K833" s="120" t="s">
        <v>250</v>
      </c>
      <c r="L833" s="120" t="s">
        <v>250</v>
      </c>
      <c r="M833" s="120">
        <v>0</v>
      </c>
      <c r="N833" s="120" t="s">
        <v>250</v>
      </c>
      <c r="O833" s="120">
        <v>765538.91281683394</v>
      </c>
      <c r="P833" s="120">
        <v>388324.17311667342</v>
      </c>
      <c r="Q833" s="120">
        <v>377214.73970016051</v>
      </c>
      <c r="R833" s="120"/>
      <c r="S833" s="121"/>
    </row>
    <row r="834" spans="1:19" ht="15">
      <c r="A834" s="105" t="s">
        <v>250</v>
      </c>
      <c r="B834" s="105"/>
      <c r="C834" s="107" t="s">
        <v>250</v>
      </c>
      <c r="D834" s="107" t="s">
        <v>250</v>
      </c>
      <c r="E834" s="120" t="s">
        <v>250</v>
      </c>
      <c r="F834" s="120" t="s">
        <v>250</v>
      </c>
      <c r="G834" s="120" t="s">
        <v>250</v>
      </c>
      <c r="H834" s="120" t="s">
        <v>250</v>
      </c>
      <c r="I834" s="120" t="s">
        <v>250</v>
      </c>
      <c r="J834" s="120" t="s">
        <v>250</v>
      </c>
      <c r="K834" s="120" t="s">
        <v>250</v>
      </c>
      <c r="L834" s="120" t="s">
        <v>250</v>
      </c>
      <c r="M834" s="120" t="s">
        <v>250</v>
      </c>
      <c r="N834" s="120" t="s">
        <v>250</v>
      </c>
      <c r="O834" s="120" t="s">
        <v>250</v>
      </c>
      <c r="P834" s="120" t="s">
        <v>250</v>
      </c>
      <c r="Q834" s="120" t="s">
        <v>250</v>
      </c>
      <c r="R834" s="120"/>
      <c r="S834" s="121"/>
    </row>
    <row r="835" spans="1:19" ht="15">
      <c r="A835" s="105">
        <v>34</v>
      </c>
      <c r="B835" s="105"/>
      <c r="C835" s="107" t="s">
        <v>844</v>
      </c>
      <c r="D835" s="107" t="s">
        <v>250</v>
      </c>
      <c r="E835" s="120">
        <v>65598871</v>
      </c>
      <c r="F835" s="120" t="s">
        <v>250</v>
      </c>
      <c r="G835" s="120">
        <v>61614625.035848036</v>
      </c>
      <c r="H835" s="120" t="s">
        <v>250</v>
      </c>
      <c r="I835" s="120">
        <v>2672177.1981253461</v>
      </c>
      <c r="J835" s="120">
        <v>1312068.7660266156</v>
      </c>
      <c r="K835" s="120" t="s">
        <v>250</v>
      </c>
      <c r="L835" s="120" t="s">
        <v>250</v>
      </c>
      <c r="M835" s="120">
        <v>0</v>
      </c>
      <c r="N835" s="120" t="s">
        <v>250</v>
      </c>
      <c r="O835" s="120">
        <v>1312068.7660266159</v>
      </c>
      <c r="P835" s="120">
        <v>668843.75636094064</v>
      </c>
      <c r="Q835" s="120">
        <v>643225.00966567523</v>
      </c>
      <c r="R835" s="120"/>
      <c r="S835" s="121"/>
    </row>
    <row r="836" spans="1:19" ht="15">
      <c r="A836" s="105" t="s">
        <v>250</v>
      </c>
      <c r="B836" s="105"/>
      <c r="C836" s="107" t="s">
        <v>250</v>
      </c>
      <c r="D836" s="107" t="s">
        <v>250</v>
      </c>
      <c r="E836" s="120" t="s">
        <v>250</v>
      </c>
      <c r="F836" s="120" t="s">
        <v>250</v>
      </c>
      <c r="G836" s="120" t="s">
        <v>250</v>
      </c>
      <c r="H836" s="120" t="s">
        <v>250</v>
      </c>
      <c r="I836" s="120" t="s">
        <v>250</v>
      </c>
      <c r="J836" s="120" t="s">
        <v>250</v>
      </c>
      <c r="K836" s="120" t="s">
        <v>250</v>
      </c>
      <c r="L836" s="120" t="s">
        <v>250</v>
      </c>
      <c r="M836" s="120" t="s">
        <v>250</v>
      </c>
      <c r="N836" s="120" t="s">
        <v>250</v>
      </c>
      <c r="O836" s="120" t="s">
        <v>250</v>
      </c>
      <c r="P836" s="120" t="s">
        <v>250</v>
      </c>
      <c r="Q836" s="120" t="s">
        <v>250</v>
      </c>
      <c r="R836" s="120"/>
      <c r="S836" s="121"/>
    </row>
    <row r="837" spans="1:19" ht="15">
      <c r="A837" s="105" t="s">
        <v>250</v>
      </c>
      <c r="B837" s="105"/>
      <c r="C837" s="107" t="s">
        <v>250</v>
      </c>
      <c r="D837" s="107" t="s">
        <v>250</v>
      </c>
      <c r="E837" s="120" t="s">
        <v>250</v>
      </c>
      <c r="F837" s="120" t="s">
        <v>250</v>
      </c>
      <c r="G837" s="120" t="s">
        <v>250</v>
      </c>
      <c r="H837" s="120" t="s">
        <v>250</v>
      </c>
      <c r="I837" s="120" t="s">
        <v>250</v>
      </c>
      <c r="J837" s="120" t="s">
        <v>250</v>
      </c>
      <c r="K837" s="120" t="s">
        <v>250</v>
      </c>
      <c r="L837" s="120" t="s">
        <v>250</v>
      </c>
      <c r="M837" s="120" t="s">
        <v>250</v>
      </c>
      <c r="N837" s="120" t="s">
        <v>250</v>
      </c>
      <c r="O837" s="120" t="s">
        <v>250</v>
      </c>
      <c r="P837" s="120" t="s">
        <v>250</v>
      </c>
      <c r="Q837" s="120" t="s">
        <v>250</v>
      </c>
      <c r="R837" s="120"/>
      <c r="S837" s="121"/>
    </row>
    <row r="838" spans="1:19" ht="15">
      <c r="A838" s="105" t="s">
        <v>250</v>
      </c>
      <c r="B838" s="105"/>
      <c r="C838" s="107" t="s">
        <v>250</v>
      </c>
      <c r="D838" s="107" t="s">
        <v>250</v>
      </c>
      <c r="E838" s="120" t="s">
        <v>250</v>
      </c>
      <c r="F838" s="120" t="s">
        <v>250</v>
      </c>
      <c r="G838" s="120" t="s">
        <v>250</v>
      </c>
      <c r="H838" s="120" t="s">
        <v>250</v>
      </c>
      <c r="I838" s="120" t="s">
        <v>250</v>
      </c>
      <c r="J838" s="120" t="s">
        <v>250</v>
      </c>
      <c r="K838" s="120" t="s">
        <v>250</v>
      </c>
      <c r="L838" s="120" t="s">
        <v>250</v>
      </c>
      <c r="M838" s="120" t="s">
        <v>250</v>
      </c>
      <c r="N838" s="120" t="s">
        <v>250</v>
      </c>
      <c r="O838" s="120" t="s">
        <v>250</v>
      </c>
      <c r="P838" s="120" t="s">
        <v>250</v>
      </c>
      <c r="Q838" s="120" t="s">
        <v>250</v>
      </c>
      <c r="R838" s="120"/>
      <c r="S838" s="121"/>
    </row>
    <row r="839" spans="1:19" ht="15">
      <c r="A839" s="105" t="s">
        <v>250</v>
      </c>
      <c r="B839" s="105"/>
      <c r="C839" s="107" t="s">
        <v>250</v>
      </c>
      <c r="D839" s="107" t="s">
        <v>250</v>
      </c>
      <c r="E839" s="120" t="s">
        <v>250</v>
      </c>
      <c r="F839" s="120" t="s">
        <v>250</v>
      </c>
      <c r="G839" s="120" t="s">
        <v>250</v>
      </c>
      <c r="H839" s="120" t="s">
        <v>250</v>
      </c>
      <c r="I839" s="120" t="s">
        <v>250</v>
      </c>
      <c r="J839" s="120" t="s">
        <v>250</v>
      </c>
      <c r="K839" s="120" t="s">
        <v>250</v>
      </c>
      <c r="L839" s="120" t="s">
        <v>250</v>
      </c>
      <c r="M839" s="120" t="s">
        <v>250</v>
      </c>
      <c r="N839" s="120" t="s">
        <v>250</v>
      </c>
      <c r="O839" s="120" t="s">
        <v>250</v>
      </c>
      <c r="P839" s="120" t="s">
        <v>250</v>
      </c>
      <c r="Q839" s="120" t="s">
        <v>250</v>
      </c>
      <c r="R839" s="120"/>
      <c r="S839" s="121"/>
    </row>
    <row r="840" spans="1:19" ht="15">
      <c r="A840" s="105" t="s">
        <v>250</v>
      </c>
      <c r="B840" s="105"/>
      <c r="C840" s="107" t="s">
        <v>845</v>
      </c>
      <c r="D840" s="107" t="s">
        <v>250</v>
      </c>
      <c r="E840" s="120" t="s">
        <v>250</v>
      </c>
      <c r="F840" s="120" t="s">
        <v>250</v>
      </c>
      <c r="G840" s="120" t="s">
        <v>250</v>
      </c>
      <c r="H840" s="120" t="s">
        <v>250</v>
      </c>
      <c r="I840" s="120" t="s">
        <v>250</v>
      </c>
      <c r="J840" s="120" t="s">
        <v>250</v>
      </c>
      <c r="K840" s="120" t="s">
        <v>250</v>
      </c>
      <c r="L840" s="120" t="s">
        <v>250</v>
      </c>
      <c r="M840" s="120" t="s">
        <v>250</v>
      </c>
      <c r="N840" s="120" t="s">
        <v>250</v>
      </c>
      <c r="O840" s="120" t="s">
        <v>250</v>
      </c>
      <c r="P840" s="120" t="s">
        <v>250</v>
      </c>
      <c r="Q840" s="120" t="s">
        <v>250</v>
      </c>
      <c r="R840" s="120"/>
      <c r="S840" s="121"/>
    </row>
    <row r="841" spans="1:19" ht="15">
      <c r="A841" s="105">
        <v>1</v>
      </c>
      <c r="B841" s="105"/>
      <c r="C841" s="107" t="s">
        <v>846</v>
      </c>
      <c r="D841" s="107" t="s">
        <v>499</v>
      </c>
      <c r="E841" s="120">
        <v>1782189</v>
      </c>
      <c r="F841" s="120" t="s">
        <v>250</v>
      </c>
      <c r="G841" s="120">
        <v>1591417.9290224849</v>
      </c>
      <c r="H841" s="120" t="s">
        <v>250</v>
      </c>
      <c r="I841" s="120">
        <v>190771.0709775151</v>
      </c>
      <c r="J841" s="120">
        <v>0</v>
      </c>
      <c r="K841" s="120" t="s">
        <v>250</v>
      </c>
      <c r="L841" s="120" t="s">
        <v>250</v>
      </c>
      <c r="M841" s="120">
        <v>0</v>
      </c>
      <c r="N841" s="120" t="s">
        <v>250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2</v>
      </c>
      <c r="B842" s="105"/>
      <c r="C842" s="107" t="s">
        <v>847</v>
      </c>
      <c r="D842" s="107" t="s">
        <v>499</v>
      </c>
      <c r="E842" s="120">
        <v>4580243</v>
      </c>
      <c r="F842" s="120" t="s">
        <v>250</v>
      </c>
      <c r="G842" s="120">
        <v>4089959.498953104</v>
      </c>
      <c r="H842" s="120" t="s">
        <v>250</v>
      </c>
      <c r="I842" s="120">
        <v>490283.5010468961</v>
      </c>
      <c r="J842" s="120">
        <v>0</v>
      </c>
      <c r="K842" s="120" t="s">
        <v>250</v>
      </c>
      <c r="L842" s="120" t="s">
        <v>250</v>
      </c>
      <c r="M842" s="120">
        <v>0</v>
      </c>
      <c r="N842" s="120" t="s">
        <v>250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3</v>
      </c>
      <c r="B843" s="105"/>
      <c r="C843" s="107" t="s">
        <v>848</v>
      </c>
      <c r="D843" s="107" t="s">
        <v>499</v>
      </c>
      <c r="E843" s="120">
        <v>474856</v>
      </c>
      <c r="F843" s="120" t="s">
        <v>250</v>
      </c>
      <c r="G843" s="120">
        <v>424025.93221252126</v>
      </c>
      <c r="H843" s="120" t="s">
        <v>250</v>
      </c>
      <c r="I843" s="120">
        <v>50830.067787478722</v>
      </c>
      <c r="J843" s="120">
        <v>0</v>
      </c>
      <c r="K843" s="120" t="s">
        <v>250</v>
      </c>
      <c r="L843" s="120" t="s">
        <v>250</v>
      </c>
      <c r="M843" s="120">
        <v>0</v>
      </c>
      <c r="N843" s="120" t="s">
        <v>250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4</v>
      </c>
      <c r="B844" s="105"/>
      <c r="C844" s="107" t="s">
        <v>849</v>
      </c>
      <c r="D844" s="107" t="s">
        <v>499</v>
      </c>
      <c r="E844" s="120">
        <v>51502</v>
      </c>
      <c r="F844" s="120" t="s">
        <v>250</v>
      </c>
      <c r="G844" s="120">
        <v>45989.065234111542</v>
      </c>
      <c r="H844" s="120" t="s">
        <v>250</v>
      </c>
      <c r="I844" s="120">
        <v>5512.9347658884572</v>
      </c>
      <c r="J844" s="120">
        <v>0</v>
      </c>
      <c r="K844" s="120" t="s">
        <v>250</v>
      </c>
      <c r="L844" s="120" t="s">
        <v>250</v>
      </c>
      <c r="M844" s="120">
        <v>0</v>
      </c>
      <c r="N844" s="120" t="s">
        <v>250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5</v>
      </c>
      <c r="B845" s="105"/>
      <c r="C845" s="107" t="s">
        <v>850</v>
      </c>
      <c r="D845" s="107" t="s">
        <v>499</v>
      </c>
      <c r="E845" s="120">
        <v>0</v>
      </c>
      <c r="F845" s="120" t="s">
        <v>250</v>
      </c>
      <c r="G845" s="120">
        <v>0</v>
      </c>
      <c r="H845" s="120" t="s">
        <v>250</v>
      </c>
      <c r="I845" s="120">
        <v>0</v>
      </c>
      <c r="J845" s="120">
        <v>0</v>
      </c>
      <c r="K845" s="120" t="s">
        <v>250</v>
      </c>
      <c r="L845" s="120" t="s">
        <v>250</v>
      </c>
      <c r="M845" s="120">
        <v>0</v>
      </c>
      <c r="N845" s="120" t="s">
        <v>250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>
        <v>6</v>
      </c>
      <c r="B846" s="105"/>
      <c r="C846" s="107" t="s">
        <v>851</v>
      </c>
      <c r="D846" s="107" t="s">
        <v>499</v>
      </c>
      <c r="E846" s="120">
        <v>441175.00000000006</v>
      </c>
      <c r="F846" s="120" t="s">
        <v>250</v>
      </c>
      <c r="G846" s="120">
        <v>393950.25153701141</v>
      </c>
      <c r="H846" s="120" t="s">
        <v>250</v>
      </c>
      <c r="I846" s="120">
        <v>47224.748462988624</v>
      </c>
      <c r="J846" s="120">
        <v>0</v>
      </c>
      <c r="K846" s="120" t="s">
        <v>250</v>
      </c>
      <c r="L846" s="120" t="s">
        <v>250</v>
      </c>
      <c r="M846" s="120">
        <v>0</v>
      </c>
      <c r="N846" s="120" t="s">
        <v>250</v>
      </c>
      <c r="O846" s="120">
        <v>0</v>
      </c>
      <c r="P846" s="120">
        <v>0</v>
      </c>
      <c r="Q846" s="120">
        <v>0</v>
      </c>
      <c r="R846" s="120"/>
      <c r="S846" s="121"/>
    </row>
    <row r="847" spans="1:19" ht="15">
      <c r="A847" s="105">
        <v>7</v>
      </c>
      <c r="B847" s="105"/>
      <c r="C847" s="107" t="s">
        <v>852</v>
      </c>
      <c r="D847" s="107" t="s">
        <v>499</v>
      </c>
      <c r="E847" s="120">
        <v>0</v>
      </c>
      <c r="F847" s="120" t="s">
        <v>250</v>
      </c>
      <c r="G847" s="120">
        <v>0</v>
      </c>
      <c r="H847" s="120" t="s">
        <v>250</v>
      </c>
      <c r="I847" s="120">
        <v>0</v>
      </c>
      <c r="J847" s="120">
        <v>0</v>
      </c>
      <c r="K847" s="120" t="s">
        <v>250</v>
      </c>
      <c r="L847" s="120" t="s">
        <v>250</v>
      </c>
      <c r="M847" s="120">
        <v>0</v>
      </c>
      <c r="N847" s="120" t="s">
        <v>250</v>
      </c>
      <c r="O847" s="120">
        <v>0</v>
      </c>
      <c r="P847" s="120">
        <v>0</v>
      </c>
      <c r="Q847" s="120">
        <v>0</v>
      </c>
      <c r="R847" s="120"/>
      <c r="S847" s="121"/>
    </row>
    <row r="848" spans="1:19" ht="15">
      <c r="A848" s="105">
        <v>8</v>
      </c>
      <c r="B848" s="105"/>
      <c r="C848" s="107" t="s">
        <v>853</v>
      </c>
      <c r="D848" s="107" t="s">
        <v>499</v>
      </c>
      <c r="E848" s="120">
        <v>0</v>
      </c>
      <c r="F848" s="120" t="s">
        <v>250</v>
      </c>
      <c r="G848" s="120">
        <v>0</v>
      </c>
      <c r="H848" s="120" t="s">
        <v>250</v>
      </c>
      <c r="I848" s="120">
        <v>0</v>
      </c>
      <c r="J848" s="120">
        <v>0</v>
      </c>
      <c r="K848" s="120" t="s">
        <v>250</v>
      </c>
      <c r="L848" s="120" t="s">
        <v>250</v>
      </c>
      <c r="M848" s="120">
        <v>0</v>
      </c>
      <c r="N848" s="120" t="s">
        <v>250</v>
      </c>
      <c r="O848" s="120">
        <v>0</v>
      </c>
      <c r="P848" s="120">
        <v>0</v>
      </c>
      <c r="Q848" s="120">
        <v>0</v>
      </c>
      <c r="R848" s="120"/>
      <c r="S848" s="121"/>
    </row>
    <row r="849" spans="1:19" ht="15">
      <c r="A849" s="105">
        <v>9</v>
      </c>
      <c r="B849" s="105"/>
      <c r="C849" s="107" t="s">
        <v>854</v>
      </c>
      <c r="D849" s="107" t="s">
        <v>499</v>
      </c>
      <c r="E849" s="120">
        <v>1261739</v>
      </c>
      <c r="F849" s="120" t="s">
        <v>250</v>
      </c>
      <c r="G849" s="120">
        <v>1126678.5208229325</v>
      </c>
      <c r="H849" s="120" t="s">
        <v>250</v>
      </c>
      <c r="I849" s="120">
        <v>135060.47917706761</v>
      </c>
      <c r="J849" s="120">
        <v>0</v>
      </c>
      <c r="K849" s="120" t="s">
        <v>250</v>
      </c>
      <c r="L849" s="120" t="s">
        <v>250</v>
      </c>
      <c r="M849" s="120">
        <v>0</v>
      </c>
      <c r="N849" s="120" t="s">
        <v>250</v>
      </c>
      <c r="O849" s="120">
        <v>0</v>
      </c>
      <c r="P849" s="120">
        <v>0</v>
      </c>
      <c r="Q849" s="120">
        <v>0</v>
      </c>
      <c r="R849" s="120"/>
      <c r="S849" s="121"/>
    </row>
    <row r="850" spans="1:19" ht="15">
      <c r="A850" s="105">
        <v>10</v>
      </c>
      <c r="B850" s="105"/>
      <c r="C850" s="107" t="s">
        <v>855</v>
      </c>
      <c r="D850" s="107" t="s">
        <v>499</v>
      </c>
      <c r="E850" s="120">
        <v>346156</v>
      </c>
      <c r="F850" s="120" t="s">
        <v>250</v>
      </c>
      <c r="G850" s="120">
        <v>309102.38175564283</v>
      </c>
      <c r="H850" s="120" t="s">
        <v>250</v>
      </c>
      <c r="I850" s="120">
        <v>37053.618244357203</v>
      </c>
      <c r="J850" s="120">
        <v>0</v>
      </c>
      <c r="K850" s="120" t="s">
        <v>250</v>
      </c>
      <c r="L850" s="120" t="s">
        <v>250</v>
      </c>
      <c r="M850" s="120">
        <v>0</v>
      </c>
      <c r="N850" s="120" t="s">
        <v>250</v>
      </c>
      <c r="O850" s="120">
        <v>0</v>
      </c>
      <c r="P850" s="120">
        <v>0</v>
      </c>
      <c r="Q850" s="120">
        <v>0</v>
      </c>
      <c r="R850" s="120"/>
      <c r="S850" s="121"/>
    </row>
    <row r="851" spans="1:19" ht="15">
      <c r="A851" s="105">
        <v>11</v>
      </c>
      <c r="B851" s="105"/>
      <c r="C851" s="107" t="s">
        <v>856</v>
      </c>
      <c r="D851" s="107" t="s">
        <v>499</v>
      </c>
      <c r="E851" s="120">
        <v>0</v>
      </c>
      <c r="F851" s="120" t="s">
        <v>250</v>
      </c>
      <c r="G851" s="120">
        <v>0</v>
      </c>
      <c r="H851" s="120" t="s">
        <v>250</v>
      </c>
      <c r="I851" s="120">
        <v>0</v>
      </c>
      <c r="J851" s="120">
        <v>0</v>
      </c>
      <c r="K851" s="120" t="s">
        <v>250</v>
      </c>
      <c r="L851" s="120" t="s">
        <v>250</v>
      </c>
      <c r="M851" s="120">
        <v>0</v>
      </c>
      <c r="N851" s="120" t="s">
        <v>250</v>
      </c>
      <c r="O851" s="120">
        <v>0</v>
      </c>
      <c r="P851" s="120">
        <v>0</v>
      </c>
      <c r="Q851" s="120">
        <v>0</v>
      </c>
      <c r="R851" s="120"/>
      <c r="S851" s="121"/>
    </row>
    <row r="852" spans="1:19" ht="15">
      <c r="A852" s="105">
        <v>12</v>
      </c>
      <c r="B852" s="105"/>
      <c r="C852" s="107" t="s">
        <v>857</v>
      </c>
      <c r="D852" s="107" t="s">
        <v>499</v>
      </c>
      <c r="E852" s="120">
        <v>0</v>
      </c>
      <c r="F852" s="120" t="s">
        <v>250</v>
      </c>
      <c r="G852" s="120">
        <v>0</v>
      </c>
      <c r="H852" s="120" t="s">
        <v>250</v>
      </c>
      <c r="I852" s="120">
        <v>0</v>
      </c>
      <c r="J852" s="120">
        <v>0</v>
      </c>
      <c r="K852" s="120" t="s">
        <v>250</v>
      </c>
      <c r="L852" s="120" t="s">
        <v>250</v>
      </c>
      <c r="M852" s="120">
        <v>0</v>
      </c>
      <c r="N852" s="120" t="s">
        <v>250</v>
      </c>
      <c r="O852" s="120">
        <v>0</v>
      </c>
      <c r="P852" s="120">
        <v>0</v>
      </c>
      <c r="Q852" s="120">
        <v>0</v>
      </c>
      <c r="R852" s="120"/>
      <c r="S852" s="121"/>
    </row>
    <row r="853" spans="1:19" ht="15">
      <c r="A853" s="105" t="s">
        <v>250</v>
      </c>
      <c r="B853" s="105"/>
      <c r="C853" s="107" t="s">
        <v>250</v>
      </c>
      <c r="D853" s="107" t="s">
        <v>250</v>
      </c>
      <c r="E853" s="120" t="s">
        <v>250</v>
      </c>
      <c r="F853" s="120" t="s">
        <v>250</v>
      </c>
      <c r="G853" s="120" t="s">
        <v>250</v>
      </c>
      <c r="H853" s="120" t="s">
        <v>250</v>
      </c>
      <c r="I853" s="120" t="s">
        <v>250</v>
      </c>
      <c r="J853" s="120" t="s">
        <v>250</v>
      </c>
      <c r="K853" s="120" t="s">
        <v>250</v>
      </c>
      <c r="L853" s="120" t="s">
        <v>250</v>
      </c>
      <c r="M853" s="120" t="s">
        <v>250</v>
      </c>
      <c r="N853" s="120" t="s">
        <v>250</v>
      </c>
      <c r="O853" s="120" t="s">
        <v>250</v>
      </c>
      <c r="P853" s="120" t="s">
        <v>250</v>
      </c>
      <c r="Q853" s="120" t="s">
        <v>250</v>
      </c>
      <c r="R853" s="120"/>
      <c r="S853" s="121"/>
    </row>
    <row r="854" spans="1:19" ht="15">
      <c r="A854" s="105">
        <v>13</v>
      </c>
      <c r="B854" s="105"/>
      <c r="C854" s="107" t="s">
        <v>858</v>
      </c>
      <c r="D854" s="107" t="s">
        <v>499</v>
      </c>
      <c r="E854" s="120">
        <v>8937860</v>
      </c>
      <c r="F854" s="120" t="s">
        <v>250</v>
      </c>
      <c r="G854" s="120">
        <v>7981123.5795378089</v>
      </c>
      <c r="H854" s="120" t="s">
        <v>250</v>
      </c>
      <c r="I854" s="120">
        <v>956736.4204621918</v>
      </c>
      <c r="J854" s="120">
        <v>0</v>
      </c>
      <c r="K854" s="120" t="s">
        <v>250</v>
      </c>
      <c r="L854" s="120" t="s">
        <v>250</v>
      </c>
      <c r="M854" s="120">
        <v>0</v>
      </c>
      <c r="N854" s="120" t="s">
        <v>250</v>
      </c>
      <c r="O854" s="120">
        <v>0</v>
      </c>
      <c r="P854" s="120">
        <v>0</v>
      </c>
      <c r="Q854" s="120">
        <v>0</v>
      </c>
      <c r="R854" s="120"/>
      <c r="S854" s="121"/>
    </row>
    <row r="855" spans="1:19" ht="15">
      <c r="A855" s="105" t="s">
        <v>250</v>
      </c>
      <c r="B855" s="105"/>
      <c r="C855" s="107" t="s">
        <v>250</v>
      </c>
      <c r="D855" s="107" t="s">
        <v>250</v>
      </c>
      <c r="E855" s="120" t="s">
        <v>250</v>
      </c>
      <c r="F855" s="120" t="s">
        <v>250</v>
      </c>
      <c r="G855" s="120" t="s">
        <v>250</v>
      </c>
      <c r="H855" s="120" t="s">
        <v>250</v>
      </c>
      <c r="I855" s="120" t="s">
        <v>250</v>
      </c>
      <c r="J855" s="120" t="s">
        <v>250</v>
      </c>
      <c r="K855" s="120" t="s">
        <v>250</v>
      </c>
      <c r="L855" s="120" t="s">
        <v>250</v>
      </c>
      <c r="M855" s="120" t="s">
        <v>250</v>
      </c>
      <c r="N855" s="120" t="s">
        <v>250</v>
      </c>
      <c r="O855" s="120" t="s">
        <v>250</v>
      </c>
      <c r="P855" s="120" t="s">
        <v>250</v>
      </c>
      <c r="Q855" s="120" t="s">
        <v>250</v>
      </c>
      <c r="R855" s="120"/>
      <c r="S855" s="121"/>
    </row>
    <row r="856" spans="1:19" ht="15">
      <c r="A856" s="105" t="s">
        <v>250</v>
      </c>
      <c r="B856" s="105"/>
      <c r="C856" s="107" t="s">
        <v>859</v>
      </c>
      <c r="D856" s="107" t="s">
        <v>250</v>
      </c>
      <c r="E856" s="120" t="s">
        <v>250</v>
      </c>
      <c r="F856" s="120" t="s">
        <v>250</v>
      </c>
      <c r="G856" s="120" t="s">
        <v>250</v>
      </c>
      <c r="H856" s="120" t="s">
        <v>250</v>
      </c>
      <c r="I856" s="120" t="s">
        <v>250</v>
      </c>
      <c r="J856" s="120" t="s">
        <v>250</v>
      </c>
      <c r="K856" s="120" t="s">
        <v>250</v>
      </c>
      <c r="L856" s="120" t="s">
        <v>250</v>
      </c>
      <c r="M856" s="120" t="s">
        <v>250</v>
      </c>
      <c r="N856" s="120" t="s">
        <v>250</v>
      </c>
      <c r="O856" s="120" t="s">
        <v>250</v>
      </c>
      <c r="P856" s="120" t="s">
        <v>250</v>
      </c>
      <c r="Q856" s="120" t="s">
        <v>250</v>
      </c>
      <c r="R856" s="120"/>
      <c r="S856" s="121"/>
    </row>
    <row r="857" spans="1:19" ht="15">
      <c r="A857" s="105">
        <v>1</v>
      </c>
      <c r="B857" s="105"/>
      <c r="C857" s="107" t="s">
        <v>860</v>
      </c>
      <c r="D857" s="107" t="s">
        <v>501</v>
      </c>
      <c r="E857" s="120">
        <v>1332697</v>
      </c>
      <c r="F857" s="120" t="s">
        <v>250</v>
      </c>
      <c r="G857" s="120">
        <v>1268654.5676233978</v>
      </c>
      <c r="H857" s="120" t="s">
        <v>250</v>
      </c>
      <c r="I857" s="120">
        <v>61992.43883991598</v>
      </c>
      <c r="J857" s="120">
        <v>2049.9935366863056</v>
      </c>
      <c r="K857" s="120" t="s">
        <v>250</v>
      </c>
      <c r="L857" s="120" t="s">
        <v>250</v>
      </c>
      <c r="M857" s="120">
        <v>0</v>
      </c>
      <c r="N857" s="120" t="s">
        <v>250</v>
      </c>
      <c r="O857" s="120">
        <v>2049.9935366863056</v>
      </c>
      <c r="P857" s="120">
        <v>2034.3928908408102</v>
      </c>
      <c r="Q857" s="120">
        <v>15.600645845495308</v>
      </c>
      <c r="R857" s="120"/>
      <c r="S857" s="121"/>
    </row>
    <row r="858" spans="1:19" ht="15">
      <c r="A858" s="105">
        <v>2</v>
      </c>
      <c r="B858" s="105"/>
      <c r="C858" s="107" t="s">
        <v>861</v>
      </c>
      <c r="D858" s="107" t="s">
        <v>501</v>
      </c>
      <c r="E858" s="120">
        <v>352766.99999999994</v>
      </c>
      <c r="F858" s="120" t="s">
        <v>250</v>
      </c>
      <c r="G858" s="120">
        <v>335814.86703789618</v>
      </c>
      <c r="H858" s="120" t="s">
        <v>250</v>
      </c>
      <c r="I858" s="120">
        <v>16409.49643635473</v>
      </c>
      <c r="J858" s="120">
        <v>542.63652574907724</v>
      </c>
      <c r="K858" s="120" t="s">
        <v>250</v>
      </c>
      <c r="L858" s="120" t="s">
        <v>250</v>
      </c>
      <c r="M858" s="120">
        <v>0</v>
      </c>
      <c r="N858" s="120" t="s">
        <v>250</v>
      </c>
      <c r="O858" s="120">
        <v>542.63652574907724</v>
      </c>
      <c r="P858" s="120">
        <v>538.50701016303037</v>
      </c>
      <c r="Q858" s="120">
        <v>4.1295155860468231</v>
      </c>
      <c r="R858" s="120"/>
      <c r="S858" s="121"/>
    </row>
    <row r="859" spans="1:19" ht="15">
      <c r="A859" s="105">
        <v>3</v>
      </c>
      <c r="B859" s="105"/>
      <c r="C859" s="107" t="s">
        <v>862</v>
      </c>
      <c r="D859" s="107" t="s">
        <v>501</v>
      </c>
      <c r="E859" s="120">
        <v>1213331.0000000002</v>
      </c>
      <c r="F859" s="120" t="s">
        <v>250</v>
      </c>
      <c r="G859" s="120">
        <v>1155024.6719164709</v>
      </c>
      <c r="H859" s="120" t="s">
        <v>250</v>
      </c>
      <c r="I859" s="120">
        <v>56439.946822176455</v>
      </c>
      <c r="J859" s="120">
        <v>1866.3812613528294</v>
      </c>
      <c r="K859" s="120" t="s">
        <v>250</v>
      </c>
      <c r="L859" s="120" t="s">
        <v>250</v>
      </c>
      <c r="M859" s="120">
        <v>0</v>
      </c>
      <c r="N859" s="120" t="s">
        <v>250</v>
      </c>
      <c r="O859" s="120">
        <v>1866.3812613528294</v>
      </c>
      <c r="P859" s="120">
        <v>1852.1779223910394</v>
      </c>
      <c r="Q859" s="120">
        <v>14.203338961790015</v>
      </c>
      <c r="R859" s="120"/>
      <c r="S859" s="121"/>
    </row>
    <row r="860" spans="1:19" ht="15">
      <c r="A860" s="105">
        <v>4</v>
      </c>
      <c r="B860" s="105"/>
      <c r="C860" s="107" t="s">
        <v>863</v>
      </c>
      <c r="D860" s="107" t="s">
        <v>501</v>
      </c>
      <c r="E860" s="120">
        <v>3221429</v>
      </c>
      <c r="F860" s="120" t="s">
        <v>250</v>
      </c>
      <c r="G860" s="120">
        <v>3066624.0076510073</v>
      </c>
      <c r="H860" s="120" t="s">
        <v>250</v>
      </c>
      <c r="I860" s="120">
        <v>149849.69596212171</v>
      </c>
      <c r="J860" s="120">
        <v>4955.2963868710049</v>
      </c>
      <c r="K860" s="120" t="s">
        <v>250</v>
      </c>
      <c r="L860" s="120" t="s">
        <v>250</v>
      </c>
      <c r="M860" s="120">
        <v>0</v>
      </c>
      <c r="N860" s="120" t="s">
        <v>250</v>
      </c>
      <c r="O860" s="120">
        <v>4955.2963868710049</v>
      </c>
      <c r="P860" s="120">
        <v>4917.5861099322801</v>
      </c>
      <c r="Q860" s="120">
        <v>37.710276938725087</v>
      </c>
      <c r="R860" s="120"/>
      <c r="S860" s="121"/>
    </row>
    <row r="861" spans="1:19" ht="15">
      <c r="A861" s="105">
        <v>5</v>
      </c>
      <c r="B861" s="105"/>
      <c r="C861" s="107" t="s">
        <v>864</v>
      </c>
      <c r="D861" s="107" t="s">
        <v>501</v>
      </c>
      <c r="E861" s="120">
        <v>30446.000000000004</v>
      </c>
      <c r="F861" s="120" t="s">
        <v>250</v>
      </c>
      <c r="G861" s="120">
        <v>28982.924825269336</v>
      </c>
      <c r="H861" s="120" t="s">
        <v>250</v>
      </c>
      <c r="I861" s="120">
        <v>1416.2422463021092</v>
      </c>
      <c r="J861" s="120">
        <v>46.832928428555974</v>
      </c>
      <c r="K861" s="120" t="s">
        <v>250</v>
      </c>
      <c r="L861" s="120" t="s">
        <v>250</v>
      </c>
      <c r="M861" s="120">
        <v>0</v>
      </c>
      <c r="N861" s="120" t="s">
        <v>250</v>
      </c>
      <c r="O861" s="120">
        <v>46.832928428555974</v>
      </c>
      <c r="P861" s="120">
        <v>46.476525387645736</v>
      </c>
      <c r="Q861" s="120">
        <v>0.356403040910237</v>
      </c>
      <c r="R861" s="120"/>
      <c r="S861" s="121"/>
    </row>
    <row r="862" spans="1:19" ht="15">
      <c r="A862" s="105">
        <v>6</v>
      </c>
      <c r="B862" s="105"/>
      <c r="C862" s="107" t="s">
        <v>865</v>
      </c>
      <c r="D862" s="107" t="s">
        <v>501</v>
      </c>
      <c r="E862" s="120">
        <v>0</v>
      </c>
      <c r="F862" s="120" t="s">
        <v>250</v>
      </c>
      <c r="G862" s="120">
        <v>0</v>
      </c>
      <c r="H862" s="120" t="s">
        <v>250</v>
      </c>
      <c r="I862" s="120">
        <v>0</v>
      </c>
      <c r="J862" s="120">
        <v>0</v>
      </c>
      <c r="K862" s="120" t="s">
        <v>250</v>
      </c>
      <c r="L862" s="120" t="s">
        <v>250</v>
      </c>
      <c r="M862" s="120">
        <v>0</v>
      </c>
      <c r="N862" s="120" t="s">
        <v>250</v>
      </c>
      <c r="O862" s="120">
        <v>0</v>
      </c>
      <c r="P862" s="120">
        <v>0</v>
      </c>
      <c r="Q862" s="120">
        <v>0</v>
      </c>
      <c r="R862" s="120"/>
      <c r="S862" s="121"/>
    </row>
    <row r="863" spans="1:19" ht="15">
      <c r="A863" s="105">
        <v>7</v>
      </c>
      <c r="B863" s="105"/>
      <c r="C863" s="107" t="s">
        <v>866</v>
      </c>
      <c r="D863" s="107" t="s">
        <v>501</v>
      </c>
      <c r="E863" s="120">
        <v>5257660</v>
      </c>
      <c r="F863" s="120" t="s">
        <v>250</v>
      </c>
      <c r="G863" s="120">
        <v>5005004.4188670292</v>
      </c>
      <c r="H863" s="120" t="s">
        <v>250</v>
      </c>
      <c r="I863" s="120">
        <v>244568.09461646021</v>
      </c>
      <c r="J863" s="120">
        <v>8087.4865165105957</v>
      </c>
      <c r="K863" s="120" t="s">
        <v>250</v>
      </c>
      <c r="L863" s="120" t="s">
        <v>250</v>
      </c>
      <c r="M863" s="120">
        <v>0</v>
      </c>
      <c r="N863" s="120" t="s">
        <v>250</v>
      </c>
      <c r="O863" s="120">
        <v>8087.4865165105957</v>
      </c>
      <c r="P863" s="120">
        <v>8025.9399746964946</v>
      </c>
      <c r="Q863" s="120">
        <v>61.546541814100927</v>
      </c>
      <c r="R863" s="120"/>
      <c r="S863" s="121"/>
    </row>
    <row r="864" spans="1:19" ht="15">
      <c r="A864" s="105">
        <v>8</v>
      </c>
      <c r="B864" s="105"/>
      <c r="C864" s="107" t="s">
        <v>867</v>
      </c>
      <c r="D864" s="107" t="s">
        <v>501</v>
      </c>
      <c r="E864" s="120">
        <v>0</v>
      </c>
      <c r="F864" s="120" t="s">
        <v>250</v>
      </c>
      <c r="G864" s="120">
        <v>0</v>
      </c>
      <c r="H864" s="120" t="s">
        <v>250</v>
      </c>
      <c r="I864" s="120">
        <v>0</v>
      </c>
      <c r="J864" s="120">
        <v>0</v>
      </c>
      <c r="K864" s="120" t="s">
        <v>250</v>
      </c>
      <c r="L864" s="120" t="s">
        <v>250</v>
      </c>
      <c r="M864" s="120">
        <v>0</v>
      </c>
      <c r="N864" s="120" t="s">
        <v>250</v>
      </c>
      <c r="O864" s="120">
        <v>0</v>
      </c>
      <c r="P864" s="120">
        <v>0</v>
      </c>
      <c r="Q864" s="120">
        <v>0</v>
      </c>
      <c r="R864" s="120"/>
      <c r="S864" s="121"/>
    </row>
    <row r="865" spans="1:19" ht="15">
      <c r="A865" s="105">
        <v>9</v>
      </c>
      <c r="B865" s="105"/>
      <c r="C865" s="107" t="s">
        <v>868</v>
      </c>
      <c r="D865" s="107" t="s">
        <v>501</v>
      </c>
      <c r="E865" s="120">
        <v>3197096</v>
      </c>
      <c r="F865" s="120" t="s">
        <v>250</v>
      </c>
      <c r="G865" s="120">
        <v>3043460.3240875416</v>
      </c>
      <c r="H865" s="120" t="s">
        <v>250</v>
      </c>
      <c r="I865" s="120">
        <v>148717.80925847363</v>
      </c>
      <c r="J865" s="120">
        <v>4917.8666539848446</v>
      </c>
      <c r="K865" s="120" t="s">
        <v>250</v>
      </c>
      <c r="L865" s="120" t="s">
        <v>250</v>
      </c>
      <c r="M865" s="120">
        <v>0</v>
      </c>
      <c r="N865" s="120" t="s">
        <v>250</v>
      </c>
      <c r="O865" s="120">
        <v>4917.8666539848446</v>
      </c>
      <c r="P865" s="120">
        <v>4880.4412208743552</v>
      </c>
      <c r="Q865" s="120">
        <v>37.42543311048923</v>
      </c>
      <c r="R865" s="120"/>
      <c r="S865" s="121"/>
    </row>
    <row r="866" spans="1:19" ht="15">
      <c r="A866" s="105">
        <v>10</v>
      </c>
      <c r="B866" s="105"/>
      <c r="C866" s="107" t="s">
        <v>869</v>
      </c>
      <c r="D866" s="107" t="s">
        <v>501</v>
      </c>
      <c r="E866" s="120">
        <v>0</v>
      </c>
      <c r="F866" s="120" t="s">
        <v>250</v>
      </c>
      <c r="G866" s="120">
        <v>0</v>
      </c>
      <c r="H866" s="120" t="s">
        <v>250</v>
      </c>
      <c r="I866" s="120">
        <v>0</v>
      </c>
      <c r="J866" s="120">
        <v>0</v>
      </c>
      <c r="K866" s="120" t="s">
        <v>250</v>
      </c>
      <c r="L866" s="120" t="s">
        <v>250</v>
      </c>
      <c r="M866" s="120">
        <v>0</v>
      </c>
      <c r="N866" s="120" t="s">
        <v>250</v>
      </c>
      <c r="O866" s="120">
        <v>0</v>
      </c>
      <c r="P866" s="120">
        <v>0</v>
      </c>
      <c r="Q866" s="120">
        <v>0</v>
      </c>
      <c r="R866" s="120"/>
      <c r="S866" s="121"/>
    </row>
    <row r="867" spans="1:19" ht="15">
      <c r="A867" s="105">
        <v>11</v>
      </c>
      <c r="B867" s="105"/>
      <c r="C867" s="107" t="s">
        <v>870</v>
      </c>
      <c r="D867" s="107" t="s">
        <v>501</v>
      </c>
      <c r="E867" s="120">
        <v>0</v>
      </c>
      <c r="F867" s="120" t="s">
        <v>250</v>
      </c>
      <c r="G867" s="120">
        <v>0</v>
      </c>
      <c r="H867" s="120" t="s">
        <v>250</v>
      </c>
      <c r="I867" s="120">
        <v>0</v>
      </c>
      <c r="J867" s="120">
        <v>0</v>
      </c>
      <c r="K867" s="120" t="s">
        <v>250</v>
      </c>
      <c r="L867" s="120" t="s">
        <v>250</v>
      </c>
      <c r="M867" s="120">
        <v>0</v>
      </c>
      <c r="N867" s="120" t="s">
        <v>250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12</v>
      </c>
      <c r="B868" s="105"/>
      <c r="C868" s="107" t="s">
        <v>3699</v>
      </c>
      <c r="D868" s="107" t="s">
        <v>501</v>
      </c>
      <c r="E868" s="120">
        <v>0</v>
      </c>
      <c r="F868" s="120" t="s">
        <v>250</v>
      </c>
      <c r="G868" s="120">
        <v>0</v>
      </c>
      <c r="H868" s="120" t="s">
        <v>250</v>
      </c>
      <c r="I868" s="120">
        <v>0</v>
      </c>
      <c r="J868" s="120">
        <v>0</v>
      </c>
      <c r="K868" s="120" t="s">
        <v>250</v>
      </c>
      <c r="L868" s="120" t="s">
        <v>250</v>
      </c>
      <c r="M868" s="120">
        <v>0</v>
      </c>
      <c r="N868" s="120" t="s">
        <v>250</v>
      </c>
      <c r="O868" s="120">
        <v>0</v>
      </c>
      <c r="P868" s="120">
        <v>0</v>
      </c>
      <c r="Q868" s="120">
        <v>0</v>
      </c>
      <c r="R868" s="120"/>
      <c r="S868" s="121"/>
    </row>
    <row r="869" spans="1:19" ht="15">
      <c r="A869" s="105">
        <v>13</v>
      </c>
      <c r="B869" s="105"/>
      <c r="C869" s="107" t="s">
        <v>871</v>
      </c>
      <c r="D869" s="107" t="s">
        <v>501</v>
      </c>
      <c r="E869" s="120">
        <v>653756</v>
      </c>
      <c r="F869" s="120" t="s">
        <v>250</v>
      </c>
      <c r="G869" s="120">
        <v>622339.91335705121</v>
      </c>
      <c r="H869" s="120" t="s">
        <v>250</v>
      </c>
      <c r="I869" s="120">
        <v>30410.460026718836</v>
      </c>
      <c r="J869" s="120">
        <v>1005.6266162300151</v>
      </c>
      <c r="K869" s="120" t="s">
        <v>250</v>
      </c>
      <c r="L869" s="120" t="s">
        <v>250</v>
      </c>
      <c r="M869" s="120">
        <v>0</v>
      </c>
      <c r="N869" s="120" t="s">
        <v>250</v>
      </c>
      <c r="O869" s="120">
        <v>1005.6266162300151</v>
      </c>
      <c r="P869" s="120">
        <v>997.97370200767671</v>
      </c>
      <c r="Q869" s="120">
        <v>7.6529142223383344</v>
      </c>
      <c r="R869" s="120"/>
      <c r="S869" s="121"/>
    </row>
    <row r="870" spans="1:19" ht="15">
      <c r="A870" s="105">
        <v>14</v>
      </c>
      <c r="B870" s="105"/>
      <c r="C870" s="107" t="s">
        <v>872</v>
      </c>
      <c r="D870" s="107" t="s">
        <v>501</v>
      </c>
      <c r="E870" s="120">
        <v>6808860.0000000009</v>
      </c>
      <c r="F870" s="120" t="s">
        <v>250</v>
      </c>
      <c r="G870" s="120">
        <v>6481661.8776122769</v>
      </c>
      <c r="H870" s="120" t="s">
        <v>250</v>
      </c>
      <c r="I870" s="120">
        <v>316724.53462381195</v>
      </c>
      <c r="J870" s="120">
        <v>10473.587763911766</v>
      </c>
      <c r="K870" s="120" t="s">
        <v>250</v>
      </c>
      <c r="L870" s="120" t="s">
        <v>250</v>
      </c>
      <c r="M870" s="120">
        <v>0</v>
      </c>
      <c r="N870" s="120" t="s">
        <v>250</v>
      </c>
      <c r="O870" s="120">
        <v>10473.587763911766</v>
      </c>
      <c r="P870" s="120">
        <v>10393.882764597174</v>
      </c>
      <c r="Q870" s="120">
        <v>79.704999314592271</v>
      </c>
      <c r="R870" s="120"/>
      <c r="S870" s="121"/>
    </row>
    <row r="871" spans="1:19" ht="15">
      <c r="A871" s="105">
        <v>15</v>
      </c>
      <c r="B871" s="105"/>
      <c r="C871" s="107" t="s">
        <v>873</v>
      </c>
      <c r="D871" s="107" t="s">
        <v>501</v>
      </c>
      <c r="E871" s="120">
        <v>261456</v>
      </c>
      <c r="F871" s="120" t="s">
        <v>250</v>
      </c>
      <c r="G871" s="120">
        <v>248891.79508361095</v>
      </c>
      <c r="H871" s="120" t="s">
        <v>250</v>
      </c>
      <c r="I871" s="120">
        <v>12162.025643735278</v>
      </c>
      <c r="J871" s="120">
        <v>402.179272653765</v>
      </c>
      <c r="K871" s="120" t="s">
        <v>250</v>
      </c>
      <c r="L871" s="120" t="s">
        <v>250</v>
      </c>
      <c r="M871" s="120">
        <v>0</v>
      </c>
      <c r="N871" s="120" t="s">
        <v>250</v>
      </c>
      <c r="O871" s="120">
        <v>402.179272653765</v>
      </c>
      <c r="P871" s="120">
        <v>399.11865012652902</v>
      </c>
      <c r="Q871" s="120">
        <v>3.0606225272359895</v>
      </c>
      <c r="R871" s="120"/>
      <c r="S871" s="121"/>
    </row>
    <row r="872" spans="1:19" ht="15">
      <c r="A872" s="105">
        <v>16</v>
      </c>
      <c r="B872" s="105"/>
      <c r="C872" s="107" t="s">
        <v>874</v>
      </c>
      <c r="D872" s="107" t="s">
        <v>501</v>
      </c>
      <c r="E872" s="120">
        <v>56103</v>
      </c>
      <c r="F872" s="120" t="s">
        <v>250</v>
      </c>
      <c r="G872" s="120">
        <v>53406.983888592447</v>
      </c>
      <c r="H872" s="120" t="s">
        <v>250</v>
      </c>
      <c r="I872" s="120">
        <v>2609.716834536137</v>
      </c>
      <c r="J872" s="120">
        <v>86.299276871420744</v>
      </c>
      <c r="K872" s="120" t="s">
        <v>250</v>
      </c>
      <c r="L872" s="120" t="s">
        <v>250</v>
      </c>
      <c r="M872" s="120">
        <v>0</v>
      </c>
      <c r="N872" s="120" t="s">
        <v>250</v>
      </c>
      <c r="O872" s="120">
        <v>86.299276871420744</v>
      </c>
      <c r="P872" s="120">
        <v>85.642531164129565</v>
      </c>
      <c r="Q872" s="120">
        <v>0.65674570729117221</v>
      </c>
      <c r="R872" s="120"/>
      <c r="S872" s="121"/>
    </row>
    <row r="873" spans="1:19" ht="15">
      <c r="A873" s="105">
        <v>17</v>
      </c>
      <c r="B873" s="105"/>
      <c r="C873" s="107" t="s">
        <v>875</v>
      </c>
      <c r="D873" s="107" t="s">
        <v>501</v>
      </c>
      <c r="E873" s="120">
        <v>0</v>
      </c>
      <c r="F873" s="120" t="s">
        <v>250</v>
      </c>
      <c r="G873" s="120">
        <v>0</v>
      </c>
      <c r="H873" s="120" t="s">
        <v>250</v>
      </c>
      <c r="I873" s="120">
        <v>0</v>
      </c>
      <c r="J873" s="120">
        <v>0</v>
      </c>
      <c r="K873" s="120" t="s">
        <v>250</v>
      </c>
      <c r="L873" s="120" t="s">
        <v>250</v>
      </c>
      <c r="M873" s="120">
        <v>0</v>
      </c>
      <c r="N873" s="120" t="s">
        <v>250</v>
      </c>
      <c r="O873" s="120">
        <v>0</v>
      </c>
      <c r="P873" s="120">
        <v>0</v>
      </c>
      <c r="Q873" s="120">
        <v>0</v>
      </c>
      <c r="R873" s="120"/>
      <c r="S873" s="121"/>
    </row>
    <row r="874" spans="1:19" ht="15">
      <c r="A874" s="105">
        <v>18</v>
      </c>
      <c r="B874" s="105"/>
      <c r="C874" s="107" t="s">
        <v>876</v>
      </c>
      <c r="D874" s="107" t="s">
        <v>501</v>
      </c>
      <c r="E874" s="120">
        <v>0</v>
      </c>
      <c r="F874" s="120" t="s">
        <v>250</v>
      </c>
      <c r="G874" s="120">
        <v>0</v>
      </c>
      <c r="H874" s="120" t="s">
        <v>250</v>
      </c>
      <c r="I874" s="120">
        <v>0</v>
      </c>
      <c r="J874" s="120">
        <v>0</v>
      </c>
      <c r="K874" s="120" t="s">
        <v>250</v>
      </c>
      <c r="L874" s="120" t="s">
        <v>250</v>
      </c>
      <c r="M874" s="120">
        <v>0</v>
      </c>
      <c r="N874" s="120" t="s">
        <v>250</v>
      </c>
      <c r="O874" s="120">
        <v>0</v>
      </c>
      <c r="P874" s="120">
        <v>0</v>
      </c>
      <c r="Q874" s="120">
        <v>0</v>
      </c>
      <c r="R874" s="120"/>
      <c r="S874" s="121"/>
    </row>
    <row r="875" spans="1:19" ht="15">
      <c r="A875" s="105">
        <v>19</v>
      </c>
      <c r="B875" s="105"/>
      <c r="C875" s="107" t="s">
        <v>877</v>
      </c>
      <c r="D875" s="107" t="s">
        <v>501</v>
      </c>
      <c r="E875" s="120">
        <v>3720</v>
      </c>
      <c r="F875" s="120" t="s">
        <v>250</v>
      </c>
      <c r="G875" s="120">
        <v>3541.236298692831</v>
      </c>
      <c r="H875" s="120" t="s">
        <v>250</v>
      </c>
      <c r="I875" s="120">
        <v>173.04148841371102</v>
      </c>
      <c r="J875" s="120">
        <v>5.7222128934581953</v>
      </c>
      <c r="K875" s="120" t="s">
        <v>250</v>
      </c>
      <c r="L875" s="120" t="s">
        <v>250</v>
      </c>
      <c r="M875" s="120">
        <v>0</v>
      </c>
      <c r="N875" s="120" t="s">
        <v>250</v>
      </c>
      <c r="O875" s="120">
        <v>5.7222128934581953</v>
      </c>
      <c r="P875" s="120">
        <v>5.6786663089418026</v>
      </c>
      <c r="Q875" s="120">
        <v>4.3546584516392359E-2</v>
      </c>
      <c r="R875" s="120"/>
      <c r="S875" s="121"/>
    </row>
    <row r="876" spans="1:19" ht="15">
      <c r="A876" s="105" t="s">
        <v>250</v>
      </c>
      <c r="B876" s="105"/>
      <c r="C876" s="107" t="s">
        <v>250</v>
      </c>
      <c r="D876" s="107" t="s">
        <v>250</v>
      </c>
      <c r="E876" s="120" t="s">
        <v>250</v>
      </c>
      <c r="F876" s="120" t="s">
        <v>250</v>
      </c>
      <c r="G876" s="120" t="s">
        <v>250</v>
      </c>
      <c r="H876" s="120" t="s">
        <v>250</v>
      </c>
      <c r="I876" s="120" t="s">
        <v>250</v>
      </c>
      <c r="J876" s="120" t="s">
        <v>250</v>
      </c>
      <c r="K876" s="120" t="s">
        <v>250</v>
      </c>
      <c r="L876" s="120" t="s">
        <v>250</v>
      </c>
      <c r="M876" s="120" t="s">
        <v>250</v>
      </c>
      <c r="N876" s="120" t="s">
        <v>250</v>
      </c>
      <c r="O876" s="120" t="s">
        <v>250</v>
      </c>
      <c r="P876" s="120" t="s">
        <v>250</v>
      </c>
      <c r="Q876" s="120" t="s">
        <v>250</v>
      </c>
      <c r="R876" s="120"/>
      <c r="S876" s="121"/>
    </row>
    <row r="877" spans="1:19" ht="15">
      <c r="A877" s="105">
        <v>20</v>
      </c>
      <c r="B877" s="105"/>
      <c r="C877" s="107" t="s">
        <v>878</v>
      </c>
      <c r="D877" s="107" t="s">
        <v>501</v>
      </c>
      <c r="E877" s="120">
        <v>22389321</v>
      </c>
      <c r="F877" s="120" t="s">
        <v>250</v>
      </c>
      <c r="G877" s="120">
        <v>21313407.588248838</v>
      </c>
      <c r="H877" s="120" t="s">
        <v>250</v>
      </c>
      <c r="I877" s="120">
        <v>1041473.5027990207</v>
      </c>
      <c r="J877" s="120">
        <v>34439.90895214364</v>
      </c>
      <c r="K877" s="120" t="s">
        <v>250</v>
      </c>
      <c r="L877" s="120" t="s">
        <v>250</v>
      </c>
      <c r="M877" s="120">
        <v>0</v>
      </c>
      <c r="N877" s="120" t="s">
        <v>250</v>
      </c>
      <c r="O877" s="120">
        <v>34439.908952143633</v>
      </c>
      <c r="P877" s="120">
        <v>34177.817968490104</v>
      </c>
      <c r="Q877" s="120">
        <v>262.09098365353174</v>
      </c>
      <c r="R877" s="120"/>
      <c r="S877" s="121"/>
    </row>
    <row r="878" spans="1:19" ht="15">
      <c r="A878" s="105" t="s">
        <v>250</v>
      </c>
      <c r="B878" s="105"/>
      <c r="C878" s="107" t="s">
        <v>250</v>
      </c>
      <c r="D878" s="107" t="s">
        <v>250</v>
      </c>
      <c r="E878" s="120" t="s">
        <v>250</v>
      </c>
      <c r="F878" s="120" t="s">
        <v>250</v>
      </c>
      <c r="G878" s="120" t="s">
        <v>250</v>
      </c>
      <c r="H878" s="120" t="s">
        <v>250</v>
      </c>
      <c r="I878" s="120" t="s">
        <v>250</v>
      </c>
      <c r="J878" s="120" t="s">
        <v>250</v>
      </c>
      <c r="K878" s="120" t="s">
        <v>250</v>
      </c>
      <c r="L878" s="120" t="s">
        <v>250</v>
      </c>
      <c r="M878" s="120" t="s">
        <v>250</v>
      </c>
      <c r="N878" s="120" t="s">
        <v>250</v>
      </c>
      <c r="O878" s="120" t="s">
        <v>250</v>
      </c>
      <c r="P878" s="120" t="s">
        <v>250</v>
      </c>
      <c r="Q878" s="120" t="s">
        <v>250</v>
      </c>
      <c r="R878" s="120"/>
      <c r="S878" s="121"/>
    </row>
    <row r="879" spans="1:19" ht="15">
      <c r="A879" s="105">
        <v>21</v>
      </c>
      <c r="B879" s="105"/>
      <c r="C879" s="107" t="s">
        <v>879</v>
      </c>
      <c r="D879" s="107" t="s">
        <v>250</v>
      </c>
      <c r="E879" s="120">
        <v>96926052</v>
      </c>
      <c r="F879" s="120" t="s">
        <v>250</v>
      </c>
      <c r="G879" s="120">
        <v>90909156.203634679</v>
      </c>
      <c r="H879" s="120" t="s">
        <v>250</v>
      </c>
      <c r="I879" s="120">
        <v>4670387.1213865587</v>
      </c>
      <c r="J879" s="120">
        <v>1346508.6749787596</v>
      </c>
      <c r="K879" s="120" t="s">
        <v>250</v>
      </c>
      <c r="L879" s="120" t="s">
        <v>250</v>
      </c>
      <c r="M879" s="120">
        <v>0</v>
      </c>
      <c r="N879" s="120" t="s">
        <v>250</v>
      </c>
      <c r="O879" s="120">
        <v>1346508.6749787596</v>
      </c>
      <c r="P879" s="120">
        <v>703021.5743294307</v>
      </c>
      <c r="Q879" s="120">
        <v>643487.10064932879</v>
      </c>
      <c r="R879" s="120"/>
      <c r="S879" s="121"/>
    </row>
    <row r="880" spans="1:19" ht="15">
      <c r="A880" s="105" t="s">
        <v>250</v>
      </c>
      <c r="B880" s="105"/>
      <c r="C880" s="107" t="s">
        <v>250</v>
      </c>
      <c r="D880" s="107" t="s">
        <v>250</v>
      </c>
      <c r="E880" s="120" t="s">
        <v>250</v>
      </c>
      <c r="F880" s="120" t="s">
        <v>250</v>
      </c>
      <c r="G880" s="120" t="s">
        <v>250</v>
      </c>
      <c r="H880" s="120" t="s">
        <v>250</v>
      </c>
      <c r="I880" s="120" t="s">
        <v>250</v>
      </c>
      <c r="J880" s="120" t="s">
        <v>250</v>
      </c>
      <c r="K880" s="120" t="s">
        <v>250</v>
      </c>
      <c r="L880" s="120" t="s">
        <v>250</v>
      </c>
      <c r="M880" s="120" t="s">
        <v>250</v>
      </c>
      <c r="N880" s="120" t="s">
        <v>250</v>
      </c>
      <c r="O880" s="120" t="s">
        <v>250</v>
      </c>
      <c r="P880" s="120" t="s">
        <v>250</v>
      </c>
      <c r="Q880" s="120" t="s">
        <v>250</v>
      </c>
      <c r="R880" s="120"/>
      <c r="S880" s="121"/>
    </row>
    <row r="881" spans="1:19" ht="15">
      <c r="A881" s="105" t="s">
        <v>250</v>
      </c>
      <c r="B881" s="105"/>
      <c r="C881" s="107" t="s">
        <v>250</v>
      </c>
      <c r="D881" s="107" t="s">
        <v>250</v>
      </c>
      <c r="E881" s="120" t="s">
        <v>250</v>
      </c>
      <c r="F881" s="120" t="s">
        <v>250</v>
      </c>
      <c r="G881" s="120" t="s">
        <v>250</v>
      </c>
      <c r="H881" s="120" t="s">
        <v>250</v>
      </c>
      <c r="I881" s="120" t="s">
        <v>250</v>
      </c>
      <c r="J881" s="120" t="s">
        <v>250</v>
      </c>
      <c r="K881" s="120" t="s">
        <v>250</v>
      </c>
      <c r="L881" s="120" t="s">
        <v>250</v>
      </c>
      <c r="M881" s="120" t="s">
        <v>250</v>
      </c>
      <c r="N881" s="120" t="s">
        <v>250</v>
      </c>
      <c r="O881" s="120" t="s">
        <v>250</v>
      </c>
      <c r="P881" s="120" t="s">
        <v>250</v>
      </c>
      <c r="Q881" s="120" t="s">
        <v>250</v>
      </c>
      <c r="R881" s="120"/>
      <c r="S881" s="121"/>
    </row>
    <row r="882" spans="1:19" ht="15">
      <c r="A882" s="105" t="s">
        <v>250</v>
      </c>
      <c r="B882" s="105"/>
      <c r="C882" s="107" t="s">
        <v>250</v>
      </c>
      <c r="D882" s="107" t="s">
        <v>250</v>
      </c>
      <c r="E882" s="120" t="s">
        <v>250</v>
      </c>
      <c r="F882" s="120" t="s">
        <v>250</v>
      </c>
      <c r="G882" s="120" t="s">
        <v>250</v>
      </c>
      <c r="H882" s="120" t="s">
        <v>250</v>
      </c>
      <c r="I882" s="120" t="s">
        <v>250</v>
      </c>
      <c r="J882" s="120" t="s">
        <v>250</v>
      </c>
      <c r="K882" s="120" t="s">
        <v>250</v>
      </c>
      <c r="L882" s="120" t="s">
        <v>250</v>
      </c>
      <c r="M882" s="120" t="s">
        <v>250</v>
      </c>
      <c r="N882" s="120" t="s">
        <v>250</v>
      </c>
      <c r="O882" s="120" t="s">
        <v>250</v>
      </c>
      <c r="P882" s="120" t="s">
        <v>250</v>
      </c>
      <c r="Q882" s="120" t="s">
        <v>250</v>
      </c>
      <c r="R882" s="120"/>
      <c r="S882" s="121"/>
    </row>
    <row r="883" spans="1:19" ht="15">
      <c r="A883" s="105" t="s">
        <v>250</v>
      </c>
      <c r="B883" s="105"/>
      <c r="C883" s="107" t="s">
        <v>250</v>
      </c>
      <c r="D883" s="107" t="s">
        <v>250</v>
      </c>
      <c r="E883" s="120" t="s">
        <v>250</v>
      </c>
      <c r="F883" s="120" t="s">
        <v>250</v>
      </c>
      <c r="G883" s="120" t="s">
        <v>250</v>
      </c>
      <c r="H883" s="120" t="s">
        <v>250</v>
      </c>
      <c r="I883" s="120" t="s">
        <v>250</v>
      </c>
      <c r="J883" s="120" t="s">
        <v>250</v>
      </c>
      <c r="K883" s="120" t="s">
        <v>250</v>
      </c>
      <c r="L883" s="120" t="s">
        <v>250</v>
      </c>
      <c r="M883" s="120" t="s">
        <v>250</v>
      </c>
      <c r="N883" s="120" t="s">
        <v>250</v>
      </c>
      <c r="O883" s="120" t="s">
        <v>250</v>
      </c>
      <c r="P883" s="120" t="s">
        <v>250</v>
      </c>
      <c r="Q883" s="120" t="s">
        <v>250</v>
      </c>
      <c r="R883" s="120"/>
      <c r="S883" s="121"/>
    </row>
    <row r="884" spans="1:19" ht="15">
      <c r="A884" s="105" t="s">
        <v>250</v>
      </c>
      <c r="B884" s="105"/>
      <c r="C884" s="107" t="s">
        <v>880</v>
      </c>
      <c r="D884" s="107" t="s">
        <v>250</v>
      </c>
      <c r="E884" s="120" t="s">
        <v>250</v>
      </c>
      <c r="F884" s="120" t="s">
        <v>250</v>
      </c>
      <c r="G884" s="120" t="s">
        <v>250</v>
      </c>
      <c r="H884" s="120" t="s">
        <v>250</v>
      </c>
      <c r="I884" s="120" t="s">
        <v>250</v>
      </c>
      <c r="J884" s="120" t="s">
        <v>250</v>
      </c>
      <c r="K884" s="120" t="s">
        <v>250</v>
      </c>
      <c r="L884" s="120" t="s">
        <v>250</v>
      </c>
      <c r="M884" s="120" t="s">
        <v>250</v>
      </c>
      <c r="N884" s="120" t="s">
        <v>250</v>
      </c>
      <c r="O884" s="120" t="s">
        <v>250</v>
      </c>
      <c r="P884" s="120" t="s">
        <v>250</v>
      </c>
      <c r="Q884" s="120" t="s">
        <v>250</v>
      </c>
      <c r="R884" s="120"/>
      <c r="S884" s="121"/>
    </row>
    <row r="885" spans="1:19" ht="15">
      <c r="A885" s="105">
        <v>1</v>
      </c>
      <c r="B885" s="105"/>
      <c r="C885" s="107" t="s">
        <v>881</v>
      </c>
      <c r="D885" s="107" t="s">
        <v>882</v>
      </c>
      <c r="E885" s="120">
        <v>4212138</v>
      </c>
      <c r="F885" s="120" t="s">
        <v>250</v>
      </c>
      <c r="G885" s="120">
        <v>4005699.7799156886</v>
      </c>
      <c r="H885" s="120" t="s">
        <v>250</v>
      </c>
      <c r="I885" s="120">
        <v>204740.85254787869</v>
      </c>
      <c r="J885" s="120">
        <v>1697.3675364330866</v>
      </c>
      <c r="K885" s="120" t="s">
        <v>250</v>
      </c>
      <c r="L885" s="120" t="s">
        <v>250</v>
      </c>
      <c r="M885" s="120">
        <v>0</v>
      </c>
      <c r="N885" s="120" t="s">
        <v>250</v>
      </c>
      <c r="O885" s="120">
        <v>1697.3675364330866</v>
      </c>
      <c r="P885" s="120">
        <v>678.94701457323458</v>
      </c>
      <c r="Q885" s="120">
        <v>1018.4205218598519</v>
      </c>
      <c r="R885" s="120"/>
      <c r="S885" s="121"/>
    </row>
    <row r="886" spans="1:19" ht="15">
      <c r="A886" s="105">
        <v>2</v>
      </c>
      <c r="B886" s="105"/>
      <c r="C886" s="107" t="s">
        <v>883</v>
      </c>
      <c r="D886" s="107" t="s">
        <v>882</v>
      </c>
      <c r="E886" s="120">
        <v>791136</v>
      </c>
      <c r="F886" s="120" t="s">
        <v>250</v>
      </c>
      <c r="G886" s="120">
        <v>752362.17357631156</v>
      </c>
      <c r="H886" s="120" t="s">
        <v>250</v>
      </c>
      <c r="I886" s="120">
        <v>38455.021920297615</v>
      </c>
      <c r="J886" s="120">
        <v>318.8045033908021</v>
      </c>
      <c r="K886" s="120" t="s">
        <v>250</v>
      </c>
      <c r="L886" s="120" t="s">
        <v>250</v>
      </c>
      <c r="M886" s="120">
        <v>0</v>
      </c>
      <c r="N886" s="120" t="s">
        <v>250</v>
      </c>
      <c r="O886" s="120">
        <v>318.8045033908021</v>
      </c>
      <c r="P886" s="120">
        <v>127.52180135632082</v>
      </c>
      <c r="Q886" s="120">
        <v>191.28270203448125</v>
      </c>
      <c r="R886" s="120"/>
      <c r="S886" s="121"/>
    </row>
    <row r="887" spans="1:19" ht="15">
      <c r="A887" s="105">
        <v>3</v>
      </c>
      <c r="B887" s="105"/>
      <c r="C887" s="107" t="s">
        <v>884</v>
      </c>
      <c r="D887" s="107" t="s">
        <v>882</v>
      </c>
      <c r="E887" s="120">
        <v>14131600</v>
      </c>
      <c r="F887" s="120" t="s">
        <v>250</v>
      </c>
      <c r="G887" s="120">
        <v>13439005.799396064</v>
      </c>
      <c r="H887" s="120" t="s">
        <v>250</v>
      </c>
      <c r="I887" s="120">
        <v>686899.58208054968</v>
      </c>
      <c r="J887" s="120">
        <v>5694.6185233859396</v>
      </c>
      <c r="K887" s="120" t="s">
        <v>250</v>
      </c>
      <c r="L887" s="120" t="s">
        <v>250</v>
      </c>
      <c r="M887" s="120">
        <v>0</v>
      </c>
      <c r="N887" s="120" t="s">
        <v>250</v>
      </c>
      <c r="O887" s="120">
        <v>5694.6185233859396</v>
      </c>
      <c r="P887" s="120">
        <v>2277.8474093543755</v>
      </c>
      <c r="Q887" s="120">
        <v>3416.7711140315637</v>
      </c>
      <c r="R887" s="120"/>
      <c r="S887" s="121"/>
    </row>
    <row r="888" spans="1:19" ht="15">
      <c r="A888" s="105">
        <v>4</v>
      </c>
      <c r="B888" s="105"/>
      <c r="C888" s="107" t="s">
        <v>885</v>
      </c>
      <c r="D888" s="107" t="s">
        <v>882</v>
      </c>
      <c r="E888" s="120">
        <v>0</v>
      </c>
      <c r="F888" s="120" t="s">
        <v>250</v>
      </c>
      <c r="G888" s="120">
        <v>0</v>
      </c>
      <c r="H888" s="120" t="s">
        <v>250</v>
      </c>
      <c r="I888" s="120">
        <v>0</v>
      </c>
      <c r="J888" s="120">
        <v>0</v>
      </c>
      <c r="K888" s="120" t="s">
        <v>250</v>
      </c>
      <c r="L888" s="120" t="s">
        <v>250</v>
      </c>
      <c r="M888" s="120">
        <v>0</v>
      </c>
      <c r="N888" s="120" t="s">
        <v>250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5</v>
      </c>
      <c r="B889" s="105"/>
      <c r="C889" s="107" t="s">
        <v>886</v>
      </c>
      <c r="D889" s="107" t="s">
        <v>882</v>
      </c>
      <c r="E889" s="120">
        <v>0</v>
      </c>
      <c r="F889" s="120" t="s">
        <v>250</v>
      </c>
      <c r="G889" s="120">
        <v>0</v>
      </c>
      <c r="H889" s="120" t="s">
        <v>250</v>
      </c>
      <c r="I889" s="120">
        <v>0</v>
      </c>
      <c r="J889" s="120">
        <v>0</v>
      </c>
      <c r="K889" s="120" t="s">
        <v>250</v>
      </c>
      <c r="L889" s="120" t="s">
        <v>250</v>
      </c>
      <c r="M889" s="120">
        <v>0</v>
      </c>
      <c r="N889" s="120" t="s">
        <v>250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 t="s">
        <v>250</v>
      </c>
      <c r="B890" s="105"/>
      <c r="C890" s="107" t="s">
        <v>250</v>
      </c>
      <c r="D890" s="107" t="s">
        <v>250</v>
      </c>
      <c r="E890" s="120" t="s">
        <v>250</v>
      </c>
      <c r="F890" s="120" t="s">
        <v>250</v>
      </c>
      <c r="G890" s="120" t="s">
        <v>250</v>
      </c>
      <c r="H890" s="120" t="s">
        <v>250</v>
      </c>
      <c r="I890" s="120" t="s">
        <v>250</v>
      </c>
      <c r="J890" s="120" t="s">
        <v>250</v>
      </c>
      <c r="K890" s="120" t="s">
        <v>250</v>
      </c>
      <c r="L890" s="120" t="s">
        <v>250</v>
      </c>
      <c r="M890" s="120" t="s">
        <v>250</v>
      </c>
      <c r="N890" s="120" t="s">
        <v>250</v>
      </c>
      <c r="O890" s="120" t="s">
        <v>250</v>
      </c>
      <c r="P890" s="120" t="s">
        <v>250</v>
      </c>
      <c r="Q890" s="120" t="s">
        <v>250</v>
      </c>
      <c r="R890" s="120"/>
      <c r="S890" s="121"/>
    </row>
    <row r="891" spans="1:19" ht="15">
      <c r="A891" s="105">
        <v>6</v>
      </c>
      <c r="B891" s="105"/>
      <c r="C891" s="107" t="s">
        <v>887</v>
      </c>
      <c r="D891" s="107" t="s">
        <v>250</v>
      </c>
      <c r="E891" s="120">
        <v>19134874</v>
      </c>
      <c r="F891" s="120" t="s">
        <v>250</v>
      </c>
      <c r="G891" s="120">
        <v>18197067.752888065</v>
      </c>
      <c r="H891" s="120" t="s">
        <v>250</v>
      </c>
      <c r="I891" s="120">
        <v>930095.45654872595</v>
      </c>
      <c r="J891" s="120">
        <v>7710.7905632098282</v>
      </c>
      <c r="K891" s="120" t="s">
        <v>250</v>
      </c>
      <c r="L891" s="120" t="s">
        <v>250</v>
      </c>
      <c r="M891" s="120">
        <v>0</v>
      </c>
      <c r="N891" s="120" t="s">
        <v>250</v>
      </c>
      <c r="O891" s="120">
        <v>7710.7905632098282</v>
      </c>
      <c r="P891" s="120">
        <v>3084.3162252839311</v>
      </c>
      <c r="Q891" s="120">
        <v>4626.4743379258971</v>
      </c>
      <c r="R891" s="120"/>
      <c r="S891" s="121"/>
    </row>
    <row r="892" spans="1:19" ht="15">
      <c r="A892" s="105" t="s">
        <v>250</v>
      </c>
      <c r="B892" s="105"/>
      <c r="C892" s="107" t="s">
        <v>250</v>
      </c>
      <c r="D892" s="107" t="s">
        <v>250</v>
      </c>
      <c r="E892" s="120" t="s">
        <v>250</v>
      </c>
      <c r="F892" s="120" t="s">
        <v>250</v>
      </c>
      <c r="G892" s="120" t="s">
        <v>250</v>
      </c>
      <c r="H892" s="120" t="s">
        <v>250</v>
      </c>
      <c r="I892" s="120" t="s">
        <v>250</v>
      </c>
      <c r="J892" s="120" t="s">
        <v>250</v>
      </c>
      <c r="K892" s="120" t="s">
        <v>250</v>
      </c>
      <c r="L892" s="120" t="s">
        <v>250</v>
      </c>
      <c r="M892" s="120" t="s">
        <v>250</v>
      </c>
      <c r="N892" s="120" t="s">
        <v>250</v>
      </c>
      <c r="O892" s="120" t="s">
        <v>250</v>
      </c>
      <c r="P892" s="120" t="s">
        <v>250</v>
      </c>
      <c r="Q892" s="120" t="s">
        <v>250</v>
      </c>
      <c r="R892" s="120"/>
      <c r="S892" s="121"/>
    </row>
    <row r="893" spans="1:19" ht="15">
      <c r="A893" s="105" t="s">
        <v>250</v>
      </c>
      <c r="B893" s="105"/>
      <c r="C893" s="107" t="s">
        <v>888</v>
      </c>
      <c r="D893" s="107" t="s">
        <v>250</v>
      </c>
      <c r="E893" s="120" t="s">
        <v>250</v>
      </c>
      <c r="F893" s="120" t="s">
        <v>250</v>
      </c>
      <c r="G893" s="120" t="s">
        <v>250</v>
      </c>
      <c r="H893" s="120" t="s">
        <v>250</v>
      </c>
      <c r="I893" s="120" t="s">
        <v>250</v>
      </c>
      <c r="J893" s="120" t="s">
        <v>250</v>
      </c>
      <c r="K893" s="120" t="s">
        <v>250</v>
      </c>
      <c r="L893" s="120" t="s">
        <v>250</v>
      </c>
      <c r="M893" s="120" t="s">
        <v>250</v>
      </c>
      <c r="N893" s="120" t="s">
        <v>250</v>
      </c>
      <c r="O893" s="120" t="s">
        <v>250</v>
      </c>
      <c r="P893" s="120" t="s">
        <v>250</v>
      </c>
      <c r="Q893" s="120" t="s">
        <v>250</v>
      </c>
      <c r="R893" s="120"/>
      <c r="S893" s="121"/>
    </row>
    <row r="894" spans="1:19" ht="15">
      <c r="A894" s="105">
        <v>7</v>
      </c>
      <c r="B894" s="105"/>
      <c r="C894" s="107" t="s">
        <v>889</v>
      </c>
      <c r="D894" s="107" t="s">
        <v>890</v>
      </c>
      <c r="E894" s="120">
        <v>354341</v>
      </c>
      <c r="F894" s="120" t="s">
        <v>250</v>
      </c>
      <c r="G894" s="120">
        <v>350159.60383359704</v>
      </c>
      <c r="H894" s="120" t="s">
        <v>250</v>
      </c>
      <c r="I894" s="120">
        <v>4181.3961664029866</v>
      </c>
      <c r="J894" s="120">
        <v>0</v>
      </c>
      <c r="K894" s="120" t="s">
        <v>250</v>
      </c>
      <c r="L894" s="120" t="s">
        <v>250</v>
      </c>
      <c r="M894" s="120">
        <v>0</v>
      </c>
      <c r="N894" s="120" t="s">
        <v>250</v>
      </c>
      <c r="O894" s="120">
        <v>0</v>
      </c>
      <c r="P894" s="120">
        <v>0</v>
      </c>
      <c r="Q894" s="120">
        <v>0</v>
      </c>
      <c r="R894" s="120"/>
      <c r="S894" s="121"/>
    </row>
    <row r="895" spans="1:19" ht="15">
      <c r="A895" s="105">
        <v>8</v>
      </c>
      <c r="B895" s="105"/>
      <c r="C895" s="107" t="s">
        <v>891</v>
      </c>
      <c r="D895" s="107" t="s">
        <v>890</v>
      </c>
      <c r="E895" s="120">
        <v>1321702.0000000002</v>
      </c>
      <c r="F895" s="120" t="s">
        <v>250</v>
      </c>
      <c r="G895" s="120">
        <v>1306105.2734684185</v>
      </c>
      <c r="H895" s="120" t="s">
        <v>250</v>
      </c>
      <c r="I895" s="120">
        <v>15596.726531581613</v>
      </c>
      <c r="J895" s="120">
        <v>0</v>
      </c>
      <c r="K895" s="120" t="s">
        <v>250</v>
      </c>
      <c r="L895" s="120" t="s">
        <v>250</v>
      </c>
      <c r="M895" s="120">
        <v>0</v>
      </c>
      <c r="N895" s="120" t="s">
        <v>250</v>
      </c>
      <c r="O895" s="120">
        <v>0</v>
      </c>
      <c r="P895" s="120">
        <v>0</v>
      </c>
      <c r="Q895" s="120">
        <v>0</v>
      </c>
      <c r="R895" s="120"/>
      <c r="S895" s="121"/>
    </row>
    <row r="896" spans="1:19" ht="15">
      <c r="A896" s="105">
        <v>9</v>
      </c>
      <c r="B896" s="105"/>
      <c r="C896" s="107" t="s">
        <v>892</v>
      </c>
      <c r="D896" s="107" t="s">
        <v>890</v>
      </c>
      <c r="E896" s="120">
        <v>0</v>
      </c>
      <c r="F896" s="120" t="s">
        <v>250</v>
      </c>
      <c r="G896" s="120">
        <v>0</v>
      </c>
      <c r="H896" s="120" t="s">
        <v>250</v>
      </c>
      <c r="I896" s="120">
        <v>0</v>
      </c>
      <c r="J896" s="120">
        <v>0</v>
      </c>
      <c r="K896" s="120" t="s">
        <v>250</v>
      </c>
      <c r="L896" s="120" t="s">
        <v>250</v>
      </c>
      <c r="M896" s="120">
        <v>0</v>
      </c>
      <c r="N896" s="120" t="s">
        <v>250</v>
      </c>
      <c r="O896" s="120">
        <v>0</v>
      </c>
      <c r="P896" s="120">
        <v>0</v>
      </c>
      <c r="Q896" s="120">
        <v>0</v>
      </c>
      <c r="R896" s="120"/>
      <c r="S896" s="121"/>
    </row>
    <row r="897" spans="1:19" ht="15">
      <c r="A897" s="105">
        <v>10</v>
      </c>
      <c r="B897" s="105"/>
      <c r="C897" s="107" t="s">
        <v>893</v>
      </c>
      <c r="D897" s="107" t="s">
        <v>890</v>
      </c>
      <c r="E897" s="120">
        <v>522747.00000000006</v>
      </c>
      <c r="F897" s="120" t="s">
        <v>250</v>
      </c>
      <c r="G897" s="120">
        <v>516578.33111381793</v>
      </c>
      <c r="H897" s="120" t="s">
        <v>250</v>
      </c>
      <c r="I897" s="120">
        <v>6168.6688861821294</v>
      </c>
      <c r="J897" s="120">
        <v>0</v>
      </c>
      <c r="K897" s="120" t="s">
        <v>250</v>
      </c>
      <c r="L897" s="120" t="s">
        <v>250</v>
      </c>
      <c r="M897" s="120">
        <v>0</v>
      </c>
      <c r="N897" s="120" t="s">
        <v>250</v>
      </c>
      <c r="O897" s="120">
        <v>0</v>
      </c>
      <c r="P897" s="120">
        <v>0</v>
      </c>
      <c r="Q897" s="120">
        <v>0</v>
      </c>
      <c r="R897" s="120"/>
      <c r="S897" s="121"/>
    </row>
    <row r="898" spans="1:19" ht="15">
      <c r="A898" s="105">
        <v>11</v>
      </c>
      <c r="B898" s="105"/>
      <c r="C898" s="107" t="s">
        <v>894</v>
      </c>
      <c r="D898" s="107" t="s">
        <v>890</v>
      </c>
      <c r="E898" s="120">
        <v>0</v>
      </c>
      <c r="F898" s="120" t="s">
        <v>250</v>
      </c>
      <c r="G898" s="120">
        <v>0</v>
      </c>
      <c r="H898" s="120" t="s">
        <v>250</v>
      </c>
      <c r="I898" s="120">
        <v>0</v>
      </c>
      <c r="J898" s="120">
        <v>0</v>
      </c>
      <c r="K898" s="120" t="s">
        <v>250</v>
      </c>
      <c r="L898" s="120" t="s">
        <v>250</v>
      </c>
      <c r="M898" s="120">
        <v>0</v>
      </c>
      <c r="N898" s="120" t="s">
        <v>250</v>
      </c>
      <c r="O898" s="120">
        <v>0</v>
      </c>
      <c r="P898" s="120">
        <v>0</v>
      </c>
      <c r="Q898" s="120">
        <v>0</v>
      </c>
      <c r="R898" s="120"/>
      <c r="S898" s="121"/>
    </row>
    <row r="899" spans="1:19" ht="15">
      <c r="A899" s="105">
        <v>12</v>
      </c>
      <c r="B899" s="105"/>
      <c r="C899" s="107" t="s">
        <v>895</v>
      </c>
      <c r="D899" s="107" t="s">
        <v>890</v>
      </c>
      <c r="E899" s="120">
        <v>0</v>
      </c>
      <c r="F899" s="120" t="s">
        <v>250</v>
      </c>
      <c r="G899" s="120">
        <v>0</v>
      </c>
      <c r="H899" s="120" t="s">
        <v>250</v>
      </c>
      <c r="I899" s="120">
        <v>0</v>
      </c>
      <c r="J899" s="120">
        <v>0</v>
      </c>
      <c r="K899" s="120" t="s">
        <v>250</v>
      </c>
      <c r="L899" s="120" t="s">
        <v>250</v>
      </c>
      <c r="M899" s="120">
        <v>0</v>
      </c>
      <c r="N899" s="120" t="s">
        <v>250</v>
      </c>
      <c r="O899" s="120">
        <v>0</v>
      </c>
      <c r="P899" s="120">
        <v>0</v>
      </c>
      <c r="Q899" s="120">
        <v>0</v>
      </c>
      <c r="R899" s="120"/>
      <c r="S899" s="121"/>
    </row>
    <row r="900" spans="1:19" ht="15">
      <c r="A900" s="105">
        <v>13</v>
      </c>
      <c r="B900" s="105"/>
      <c r="C900" s="107" t="s">
        <v>896</v>
      </c>
      <c r="D900" s="107" t="s">
        <v>890</v>
      </c>
      <c r="E900" s="120">
        <v>0</v>
      </c>
      <c r="F900" s="120" t="s">
        <v>250</v>
      </c>
      <c r="G900" s="120">
        <v>0</v>
      </c>
      <c r="H900" s="120" t="s">
        <v>250</v>
      </c>
      <c r="I900" s="120">
        <v>0</v>
      </c>
      <c r="J900" s="120">
        <v>0</v>
      </c>
      <c r="K900" s="120" t="s">
        <v>250</v>
      </c>
      <c r="L900" s="120" t="s">
        <v>250</v>
      </c>
      <c r="M900" s="120">
        <v>0</v>
      </c>
      <c r="N900" s="120" t="s">
        <v>250</v>
      </c>
      <c r="O900" s="120">
        <v>0</v>
      </c>
      <c r="P900" s="120">
        <v>0</v>
      </c>
      <c r="Q900" s="120">
        <v>0</v>
      </c>
      <c r="R900" s="120"/>
      <c r="S900" s="121"/>
    </row>
    <row r="901" spans="1:19" ht="15">
      <c r="A901" s="105" t="s">
        <v>250</v>
      </c>
      <c r="B901" s="105"/>
      <c r="C901" s="107" t="s">
        <v>250</v>
      </c>
      <c r="D901" s="107" t="s">
        <v>250</v>
      </c>
      <c r="E901" s="120" t="s">
        <v>250</v>
      </c>
      <c r="F901" s="120" t="s">
        <v>250</v>
      </c>
      <c r="G901" s="120" t="s">
        <v>250</v>
      </c>
      <c r="H901" s="120" t="s">
        <v>250</v>
      </c>
      <c r="I901" s="120" t="s">
        <v>250</v>
      </c>
      <c r="J901" s="120" t="s">
        <v>250</v>
      </c>
      <c r="K901" s="120" t="s">
        <v>250</v>
      </c>
      <c r="L901" s="120" t="s">
        <v>250</v>
      </c>
      <c r="M901" s="120" t="s">
        <v>250</v>
      </c>
      <c r="N901" s="120" t="s">
        <v>250</v>
      </c>
      <c r="O901" s="120" t="s">
        <v>250</v>
      </c>
      <c r="P901" s="120" t="s">
        <v>250</v>
      </c>
      <c r="Q901" s="120" t="s">
        <v>250</v>
      </c>
      <c r="R901" s="120"/>
      <c r="S901" s="121"/>
    </row>
    <row r="902" spans="1:19" ht="15">
      <c r="A902" s="105">
        <v>14</v>
      </c>
      <c r="B902" s="105"/>
      <c r="C902" s="107" t="s">
        <v>897</v>
      </c>
      <c r="D902" s="107" t="s">
        <v>250</v>
      </c>
      <c r="E902" s="120">
        <v>2198790.0000000005</v>
      </c>
      <c r="F902" s="120" t="s">
        <v>250</v>
      </c>
      <c r="G902" s="120">
        <v>2172843.2084158338</v>
      </c>
      <c r="H902" s="120" t="s">
        <v>250</v>
      </c>
      <c r="I902" s="120">
        <v>25946.791584166727</v>
      </c>
      <c r="J902" s="120">
        <v>0</v>
      </c>
      <c r="K902" s="120" t="s">
        <v>250</v>
      </c>
      <c r="L902" s="120" t="s">
        <v>250</v>
      </c>
      <c r="M902" s="120">
        <v>0</v>
      </c>
      <c r="N902" s="120" t="s">
        <v>250</v>
      </c>
      <c r="O902" s="120">
        <v>0</v>
      </c>
      <c r="P902" s="120">
        <v>0</v>
      </c>
      <c r="Q902" s="120">
        <v>0</v>
      </c>
      <c r="R902" s="120"/>
      <c r="S902" s="121"/>
    </row>
    <row r="903" spans="1:19" ht="15">
      <c r="A903" s="105" t="s">
        <v>250</v>
      </c>
      <c r="B903" s="105"/>
      <c r="C903" s="107" t="s">
        <v>250</v>
      </c>
      <c r="D903" s="107" t="s">
        <v>250</v>
      </c>
      <c r="E903" s="120" t="s">
        <v>250</v>
      </c>
      <c r="F903" s="120" t="s">
        <v>250</v>
      </c>
      <c r="G903" s="120" t="s">
        <v>250</v>
      </c>
      <c r="H903" s="120" t="s">
        <v>250</v>
      </c>
      <c r="I903" s="120" t="s">
        <v>250</v>
      </c>
      <c r="J903" s="120" t="s">
        <v>250</v>
      </c>
      <c r="K903" s="120" t="s">
        <v>250</v>
      </c>
      <c r="L903" s="120" t="s">
        <v>250</v>
      </c>
      <c r="M903" s="120" t="s">
        <v>250</v>
      </c>
      <c r="N903" s="120" t="s">
        <v>250</v>
      </c>
      <c r="O903" s="120" t="s">
        <v>250</v>
      </c>
      <c r="P903" s="120" t="s">
        <v>250</v>
      </c>
      <c r="Q903" s="120" t="s">
        <v>250</v>
      </c>
      <c r="R903" s="120"/>
      <c r="S903" s="121"/>
    </row>
    <row r="904" spans="1:19" ht="15">
      <c r="A904" s="105">
        <v>15</v>
      </c>
      <c r="B904" s="105"/>
      <c r="C904" s="107" t="s">
        <v>898</v>
      </c>
      <c r="D904" s="107" t="s">
        <v>250</v>
      </c>
      <c r="E904" s="120">
        <v>118259716</v>
      </c>
      <c r="F904" s="120" t="s">
        <v>250</v>
      </c>
      <c r="G904" s="120">
        <v>111279067.16493857</v>
      </c>
      <c r="H904" s="120" t="s">
        <v>250</v>
      </c>
      <c r="I904" s="120">
        <v>5626429.3695194516</v>
      </c>
      <c r="J904" s="120">
        <v>1354219.4655419693</v>
      </c>
      <c r="K904" s="120" t="s">
        <v>250</v>
      </c>
      <c r="L904" s="120" t="s">
        <v>250</v>
      </c>
      <c r="M904" s="120">
        <v>0</v>
      </c>
      <c r="N904" s="120" t="s">
        <v>250</v>
      </c>
      <c r="O904" s="120">
        <v>1354219.4655419693</v>
      </c>
      <c r="P904" s="120">
        <v>706105.8905547146</v>
      </c>
      <c r="Q904" s="120">
        <v>648113.57498725469</v>
      </c>
      <c r="R904" s="120"/>
      <c r="S904" s="121"/>
    </row>
    <row r="905" spans="1:19" ht="15">
      <c r="A905" s="105" t="s">
        <v>250</v>
      </c>
      <c r="B905" s="105"/>
      <c r="C905" s="107" t="s">
        <v>250</v>
      </c>
      <c r="D905" s="107" t="s">
        <v>250</v>
      </c>
      <c r="E905" s="120" t="s">
        <v>250</v>
      </c>
      <c r="F905" s="120" t="s">
        <v>250</v>
      </c>
      <c r="G905" s="120" t="s">
        <v>250</v>
      </c>
      <c r="H905" s="120" t="s">
        <v>250</v>
      </c>
      <c r="I905" s="120" t="s">
        <v>250</v>
      </c>
      <c r="J905" s="120" t="s">
        <v>250</v>
      </c>
      <c r="K905" s="120" t="s">
        <v>250</v>
      </c>
      <c r="L905" s="120" t="s">
        <v>250</v>
      </c>
      <c r="M905" s="120" t="s">
        <v>250</v>
      </c>
      <c r="N905" s="120" t="s">
        <v>250</v>
      </c>
      <c r="O905" s="120" t="s">
        <v>250</v>
      </c>
      <c r="P905" s="120" t="s">
        <v>250</v>
      </c>
      <c r="Q905" s="120" t="s">
        <v>250</v>
      </c>
      <c r="R905" s="120"/>
      <c r="S905" s="121"/>
    </row>
    <row r="906" spans="1:19" ht="15">
      <c r="A906" s="105" t="s">
        <v>250</v>
      </c>
      <c r="B906" s="105"/>
      <c r="C906" s="107" t="s">
        <v>899</v>
      </c>
      <c r="D906" s="107" t="s">
        <v>250</v>
      </c>
      <c r="E906" s="120" t="s">
        <v>250</v>
      </c>
      <c r="F906" s="120" t="s">
        <v>250</v>
      </c>
      <c r="G906" s="120" t="s">
        <v>250</v>
      </c>
      <c r="H906" s="120" t="s">
        <v>250</v>
      </c>
      <c r="I906" s="120" t="s">
        <v>250</v>
      </c>
      <c r="J906" s="120" t="s">
        <v>250</v>
      </c>
      <c r="K906" s="120" t="s">
        <v>250</v>
      </c>
      <c r="L906" s="120" t="s">
        <v>250</v>
      </c>
      <c r="M906" s="120" t="s">
        <v>250</v>
      </c>
      <c r="N906" s="120" t="s">
        <v>250</v>
      </c>
      <c r="O906" s="120" t="s">
        <v>250</v>
      </c>
      <c r="P906" s="120" t="s">
        <v>250</v>
      </c>
      <c r="Q906" s="120" t="s">
        <v>250</v>
      </c>
      <c r="R906" s="120"/>
      <c r="S906" s="121"/>
    </row>
    <row r="907" spans="1:19" ht="15">
      <c r="A907" s="105">
        <v>16</v>
      </c>
      <c r="B907" s="105"/>
      <c r="C907" s="107" t="s">
        <v>900</v>
      </c>
      <c r="D907" s="107" t="s">
        <v>901</v>
      </c>
      <c r="E907" s="120">
        <v>35051942</v>
      </c>
      <c r="F907" s="120" t="s">
        <v>250</v>
      </c>
      <c r="G907" s="120">
        <v>32982891.723497216</v>
      </c>
      <c r="H907" s="120" t="s">
        <v>250</v>
      </c>
      <c r="I907" s="120">
        <v>1667662.3502756625</v>
      </c>
      <c r="J907" s="120">
        <v>401387.92622711952</v>
      </c>
      <c r="K907" s="120" t="s">
        <v>250</v>
      </c>
      <c r="L907" s="120" t="s">
        <v>250</v>
      </c>
      <c r="M907" s="120">
        <v>0</v>
      </c>
      <c r="N907" s="120" t="s">
        <v>250</v>
      </c>
      <c r="O907" s="120">
        <v>401387.92622711952</v>
      </c>
      <c r="P907" s="120">
        <v>209288.36596886639</v>
      </c>
      <c r="Q907" s="120">
        <v>192099.56025825313</v>
      </c>
      <c r="R907" s="120"/>
      <c r="S907" s="121"/>
    </row>
    <row r="908" spans="1:19" ht="15">
      <c r="A908" s="105">
        <v>17</v>
      </c>
      <c r="B908" s="105"/>
      <c r="C908" s="107" t="s">
        <v>902</v>
      </c>
      <c r="D908" s="107" t="s">
        <v>901</v>
      </c>
      <c r="E908" s="120">
        <v>4790.0000000000009</v>
      </c>
      <c r="F908" s="120" t="s">
        <v>250</v>
      </c>
      <c r="G908" s="120">
        <v>4507.2553000216558</v>
      </c>
      <c r="H908" s="120" t="s">
        <v>250</v>
      </c>
      <c r="I908" s="120">
        <v>227.89329783269707</v>
      </c>
      <c r="J908" s="120">
        <v>54.851402145647242</v>
      </c>
      <c r="K908" s="120" t="s">
        <v>250</v>
      </c>
      <c r="L908" s="120" t="s">
        <v>250</v>
      </c>
      <c r="M908" s="120">
        <v>0</v>
      </c>
      <c r="N908" s="120" t="s">
        <v>250</v>
      </c>
      <c r="O908" s="120">
        <v>54.851402145647242</v>
      </c>
      <c r="P908" s="120">
        <v>28.600163522776285</v>
      </c>
      <c r="Q908" s="120">
        <v>26.251238622870954</v>
      </c>
      <c r="R908" s="120"/>
      <c r="S908" s="121"/>
    </row>
    <row r="909" spans="1:19" ht="15">
      <c r="A909" s="105">
        <v>18</v>
      </c>
      <c r="B909" s="105"/>
      <c r="C909" s="107" t="s">
        <v>903</v>
      </c>
      <c r="D909" s="107" t="s">
        <v>901</v>
      </c>
      <c r="E909" s="120">
        <v>-4647475</v>
      </c>
      <c r="F909" s="120" t="s">
        <v>250</v>
      </c>
      <c r="G909" s="120">
        <v>-4373143.2829787359</v>
      </c>
      <c r="H909" s="120" t="s">
        <v>250</v>
      </c>
      <c r="I909" s="120">
        <v>-221112.40174217409</v>
      </c>
      <c r="J909" s="120">
        <v>-53219.315279090166</v>
      </c>
      <c r="K909" s="120" t="s">
        <v>250</v>
      </c>
      <c r="L909" s="120" t="s">
        <v>250</v>
      </c>
      <c r="M909" s="120">
        <v>0</v>
      </c>
      <c r="N909" s="120" t="s">
        <v>250</v>
      </c>
      <c r="O909" s="120">
        <v>-53219.315279090166</v>
      </c>
      <c r="P909" s="120">
        <v>-27749.174314825621</v>
      </c>
      <c r="Q909" s="120">
        <v>-25470.140964264549</v>
      </c>
      <c r="R909" s="120"/>
      <c r="S909" s="121"/>
    </row>
    <row r="910" spans="1:19" ht="15">
      <c r="A910" s="105">
        <v>19</v>
      </c>
      <c r="B910" s="105"/>
      <c r="C910" s="107" t="s">
        <v>904</v>
      </c>
      <c r="D910" s="107" t="s">
        <v>901</v>
      </c>
      <c r="E910" s="120">
        <v>0</v>
      </c>
      <c r="F910" s="120" t="s">
        <v>250</v>
      </c>
      <c r="G910" s="120">
        <v>0</v>
      </c>
      <c r="H910" s="120" t="s">
        <v>250</v>
      </c>
      <c r="I910" s="120">
        <v>0</v>
      </c>
      <c r="J910" s="120">
        <v>0</v>
      </c>
      <c r="K910" s="120" t="s">
        <v>250</v>
      </c>
      <c r="L910" s="120" t="s">
        <v>250</v>
      </c>
      <c r="M910" s="120">
        <v>0</v>
      </c>
      <c r="N910" s="120" t="s">
        <v>250</v>
      </c>
      <c r="O910" s="120">
        <v>0</v>
      </c>
      <c r="P910" s="120">
        <v>0</v>
      </c>
      <c r="Q910" s="120">
        <v>0</v>
      </c>
      <c r="R910" s="120"/>
      <c r="S910" s="121"/>
    </row>
    <row r="911" spans="1:19" ht="15">
      <c r="A911" s="105">
        <v>20</v>
      </c>
      <c r="B911" s="105"/>
      <c r="C911" s="107" t="s">
        <v>905</v>
      </c>
      <c r="D911" s="107" t="s">
        <v>901</v>
      </c>
      <c r="E911" s="120">
        <v>0</v>
      </c>
      <c r="F911" s="120" t="s">
        <v>250</v>
      </c>
      <c r="G911" s="120">
        <v>0</v>
      </c>
      <c r="H911" s="120" t="s">
        <v>250</v>
      </c>
      <c r="I911" s="120">
        <v>0</v>
      </c>
      <c r="J911" s="120">
        <v>0</v>
      </c>
      <c r="K911" s="120" t="s">
        <v>250</v>
      </c>
      <c r="L911" s="120" t="s">
        <v>250</v>
      </c>
      <c r="M911" s="120">
        <v>0</v>
      </c>
      <c r="N911" s="120" t="s">
        <v>250</v>
      </c>
      <c r="O911" s="120">
        <v>0</v>
      </c>
      <c r="P911" s="120">
        <v>0</v>
      </c>
      <c r="Q911" s="120">
        <v>0</v>
      </c>
      <c r="R911" s="120"/>
      <c r="S911" s="121"/>
    </row>
    <row r="912" spans="1:19" ht="15">
      <c r="A912" s="105">
        <v>21</v>
      </c>
      <c r="B912" s="105"/>
      <c r="C912" s="107" t="s">
        <v>906</v>
      </c>
      <c r="D912" s="107" t="s">
        <v>901</v>
      </c>
      <c r="E912" s="120">
        <v>654397</v>
      </c>
      <c r="F912" s="120" t="s">
        <v>250</v>
      </c>
      <c r="G912" s="120">
        <v>615769.17464890843</v>
      </c>
      <c r="H912" s="120" t="s">
        <v>250</v>
      </c>
      <c r="I912" s="120">
        <v>31134.17336572515</v>
      </c>
      <c r="J912" s="120">
        <v>7493.6519853664122</v>
      </c>
      <c r="K912" s="120" t="s">
        <v>250</v>
      </c>
      <c r="L912" s="120" t="s">
        <v>250</v>
      </c>
      <c r="M912" s="120">
        <v>0</v>
      </c>
      <c r="N912" s="120" t="s">
        <v>250</v>
      </c>
      <c r="O912" s="120">
        <v>7493.6519853664122</v>
      </c>
      <c r="P912" s="120">
        <v>3907.2779141574597</v>
      </c>
      <c r="Q912" s="120">
        <v>3586.3740712089525</v>
      </c>
      <c r="R912" s="120"/>
      <c r="S912" s="121"/>
    </row>
    <row r="913" spans="1:19" ht="15">
      <c r="A913" s="105">
        <v>22</v>
      </c>
      <c r="B913" s="105"/>
      <c r="C913" s="107" t="s">
        <v>907</v>
      </c>
      <c r="D913" s="107" t="s">
        <v>901</v>
      </c>
      <c r="E913" s="120">
        <v>33659765</v>
      </c>
      <c r="F913" s="120" t="s">
        <v>250</v>
      </c>
      <c r="G913" s="120">
        <v>31672892.316019502</v>
      </c>
      <c r="H913" s="120" t="s">
        <v>250</v>
      </c>
      <c r="I913" s="120">
        <v>1601426.8998170339</v>
      </c>
      <c r="J913" s="120">
        <v>385445.78416346177</v>
      </c>
      <c r="K913" s="120" t="s">
        <v>250</v>
      </c>
      <c r="L913" s="120" t="s">
        <v>250</v>
      </c>
      <c r="M913" s="120">
        <v>0</v>
      </c>
      <c r="N913" s="120" t="s">
        <v>250</v>
      </c>
      <c r="O913" s="120">
        <v>385445.78416346177</v>
      </c>
      <c r="P913" s="120">
        <v>200975.94637541167</v>
      </c>
      <c r="Q913" s="120">
        <v>184469.83778805009</v>
      </c>
      <c r="R913" s="120"/>
      <c r="S913" s="121"/>
    </row>
    <row r="914" spans="1:19" ht="15">
      <c r="A914" s="105">
        <v>23</v>
      </c>
      <c r="B914" s="105"/>
      <c r="C914" s="107" t="s">
        <v>908</v>
      </c>
      <c r="D914" s="107" t="s">
        <v>901</v>
      </c>
      <c r="E914" s="120">
        <v>0</v>
      </c>
      <c r="F914" s="120" t="s">
        <v>250</v>
      </c>
      <c r="G914" s="120">
        <v>0</v>
      </c>
      <c r="H914" s="120" t="s">
        <v>250</v>
      </c>
      <c r="I914" s="120">
        <v>0</v>
      </c>
      <c r="J914" s="120">
        <v>0</v>
      </c>
      <c r="K914" s="120" t="s">
        <v>250</v>
      </c>
      <c r="L914" s="120" t="s">
        <v>250</v>
      </c>
      <c r="M914" s="120">
        <v>0</v>
      </c>
      <c r="N914" s="120" t="s">
        <v>250</v>
      </c>
      <c r="O914" s="120">
        <v>0</v>
      </c>
      <c r="P914" s="120">
        <v>0</v>
      </c>
      <c r="Q914" s="120">
        <v>0</v>
      </c>
      <c r="R914" s="120"/>
      <c r="S914" s="121"/>
    </row>
    <row r="915" spans="1:19" ht="15">
      <c r="A915" s="105">
        <v>24</v>
      </c>
      <c r="B915" s="105"/>
      <c r="C915" s="107" t="s">
        <v>909</v>
      </c>
      <c r="D915" s="107" t="s">
        <v>901</v>
      </c>
      <c r="E915" s="120">
        <v>0</v>
      </c>
      <c r="F915" s="120" t="s">
        <v>250</v>
      </c>
      <c r="G915" s="120">
        <v>0</v>
      </c>
      <c r="H915" s="120" t="s">
        <v>250</v>
      </c>
      <c r="I915" s="120">
        <v>0</v>
      </c>
      <c r="J915" s="120">
        <v>0</v>
      </c>
      <c r="K915" s="120" t="s">
        <v>250</v>
      </c>
      <c r="L915" s="120" t="s">
        <v>250</v>
      </c>
      <c r="M915" s="120">
        <v>0</v>
      </c>
      <c r="N915" s="120" t="s">
        <v>250</v>
      </c>
      <c r="O915" s="120">
        <v>0</v>
      </c>
      <c r="P915" s="120">
        <v>0</v>
      </c>
      <c r="Q915" s="120">
        <v>0</v>
      </c>
      <c r="R915" s="120"/>
      <c r="S915" s="121"/>
    </row>
    <row r="916" spans="1:19" ht="15">
      <c r="A916" s="105">
        <v>25</v>
      </c>
      <c r="B916" s="105"/>
      <c r="C916" s="107" t="s">
        <v>910</v>
      </c>
      <c r="D916" s="107" t="s">
        <v>901</v>
      </c>
      <c r="E916" s="120">
        <v>334191</v>
      </c>
      <c r="F916" s="120" t="s">
        <v>250</v>
      </c>
      <c r="G916" s="120">
        <v>314464.33318779478</v>
      </c>
      <c r="H916" s="120" t="s">
        <v>250</v>
      </c>
      <c r="I916" s="120">
        <v>15899.768078498302</v>
      </c>
      <c r="J916" s="120">
        <v>3826.8987337068884</v>
      </c>
      <c r="K916" s="120" t="s">
        <v>250</v>
      </c>
      <c r="L916" s="120" t="s">
        <v>250</v>
      </c>
      <c r="M916" s="120">
        <v>0</v>
      </c>
      <c r="N916" s="120" t="s">
        <v>250</v>
      </c>
      <c r="O916" s="120">
        <v>3826.8987337068884</v>
      </c>
      <c r="P916" s="120">
        <v>1995.3898220960605</v>
      </c>
      <c r="Q916" s="120">
        <v>1831.5089116108281</v>
      </c>
      <c r="R916" s="120"/>
      <c r="S916" s="121"/>
    </row>
    <row r="917" spans="1:19" ht="15">
      <c r="A917" s="105">
        <v>26</v>
      </c>
      <c r="B917" s="105"/>
      <c r="C917" s="107" t="s">
        <v>911</v>
      </c>
      <c r="D917" s="107" t="s">
        <v>901</v>
      </c>
      <c r="E917" s="120">
        <v>0</v>
      </c>
      <c r="F917" s="120" t="s">
        <v>250</v>
      </c>
      <c r="G917" s="120">
        <v>0</v>
      </c>
      <c r="H917" s="120" t="s">
        <v>250</v>
      </c>
      <c r="I917" s="120">
        <v>0</v>
      </c>
      <c r="J917" s="120">
        <v>0</v>
      </c>
      <c r="K917" s="120" t="s">
        <v>250</v>
      </c>
      <c r="L917" s="120" t="s">
        <v>250</v>
      </c>
      <c r="M917" s="120">
        <v>0</v>
      </c>
      <c r="N917" s="120" t="s">
        <v>250</v>
      </c>
      <c r="O917" s="120">
        <v>0</v>
      </c>
      <c r="P917" s="120">
        <v>0</v>
      </c>
      <c r="Q917" s="120">
        <v>0</v>
      </c>
      <c r="R917" s="120"/>
      <c r="S917" s="121"/>
    </row>
    <row r="918" spans="1:19" ht="15">
      <c r="A918" s="105">
        <v>27</v>
      </c>
      <c r="B918" s="105"/>
      <c r="C918" s="107" t="s">
        <v>912</v>
      </c>
      <c r="D918" s="107" t="s">
        <v>901</v>
      </c>
      <c r="E918" s="120">
        <v>777902.99999999988</v>
      </c>
      <c r="F918" s="120" t="s">
        <v>250</v>
      </c>
      <c r="G918" s="120">
        <v>731984.84752666927</v>
      </c>
      <c r="H918" s="120" t="s">
        <v>250</v>
      </c>
      <c r="I918" s="120">
        <v>37010.204606252308</v>
      </c>
      <c r="J918" s="120">
        <v>8907.9478670783756</v>
      </c>
      <c r="K918" s="120" t="s">
        <v>250</v>
      </c>
      <c r="L918" s="120" t="s">
        <v>250</v>
      </c>
      <c r="M918" s="120">
        <v>0</v>
      </c>
      <c r="N918" s="120" t="s">
        <v>250</v>
      </c>
      <c r="O918" s="120">
        <v>8907.9478670783756</v>
      </c>
      <c r="P918" s="120">
        <v>4644.7083517449355</v>
      </c>
      <c r="Q918" s="120">
        <v>4263.239515333441</v>
      </c>
      <c r="R918" s="120"/>
      <c r="S918" s="121"/>
    </row>
    <row r="919" spans="1:19" ht="15">
      <c r="A919" s="105" t="s">
        <v>250</v>
      </c>
      <c r="B919" s="105"/>
      <c r="C919" s="107" t="s">
        <v>250</v>
      </c>
      <c r="D919" s="107" t="s">
        <v>250</v>
      </c>
      <c r="E919" s="120" t="s">
        <v>250</v>
      </c>
      <c r="F919" s="120" t="s">
        <v>250</v>
      </c>
      <c r="G919" s="120" t="s">
        <v>250</v>
      </c>
      <c r="H919" s="120" t="s">
        <v>250</v>
      </c>
      <c r="I919" s="120" t="s">
        <v>250</v>
      </c>
      <c r="J919" s="120" t="s">
        <v>250</v>
      </c>
      <c r="K919" s="120" t="s">
        <v>250</v>
      </c>
      <c r="L919" s="120" t="s">
        <v>250</v>
      </c>
      <c r="M919" s="120" t="s">
        <v>250</v>
      </c>
      <c r="N919" s="120" t="s">
        <v>250</v>
      </c>
      <c r="O919" s="120" t="s">
        <v>250</v>
      </c>
      <c r="P919" s="120" t="s">
        <v>250</v>
      </c>
      <c r="Q919" s="120" t="s">
        <v>250</v>
      </c>
      <c r="R919" s="120"/>
      <c r="S919" s="121"/>
    </row>
    <row r="920" spans="1:19" ht="15">
      <c r="A920" s="105">
        <v>28</v>
      </c>
      <c r="B920" s="105"/>
      <c r="C920" s="107" t="s">
        <v>913</v>
      </c>
      <c r="D920" s="107" t="s">
        <v>250</v>
      </c>
      <c r="E920" s="120">
        <v>65835513</v>
      </c>
      <c r="F920" s="120" t="s">
        <v>250</v>
      </c>
      <c r="G920" s="120">
        <v>61949366.36720138</v>
      </c>
      <c r="H920" s="120" t="s">
        <v>250</v>
      </c>
      <c r="I920" s="120">
        <v>3132248.8876988306</v>
      </c>
      <c r="J920" s="120">
        <v>753897.7450997883</v>
      </c>
      <c r="K920" s="120" t="s">
        <v>250</v>
      </c>
      <c r="L920" s="120" t="s">
        <v>250</v>
      </c>
      <c r="M920" s="120">
        <v>0</v>
      </c>
      <c r="N920" s="120" t="s">
        <v>250</v>
      </c>
      <c r="O920" s="120">
        <v>753897.7450997883</v>
      </c>
      <c r="P920" s="120">
        <v>393091.11428097362</v>
      </c>
      <c r="Q920" s="120">
        <v>360806.63081881474</v>
      </c>
      <c r="R920" s="120"/>
      <c r="S920" s="121"/>
    </row>
    <row r="921" spans="1:19" ht="15">
      <c r="A921" s="105" t="s">
        <v>250</v>
      </c>
      <c r="B921" s="105"/>
      <c r="C921" s="107" t="s">
        <v>250</v>
      </c>
      <c r="D921" s="107" t="s">
        <v>250</v>
      </c>
      <c r="E921" s="120" t="s">
        <v>250</v>
      </c>
      <c r="F921" s="120" t="s">
        <v>250</v>
      </c>
      <c r="G921" s="120" t="s">
        <v>250</v>
      </c>
      <c r="H921" s="120" t="s">
        <v>250</v>
      </c>
      <c r="I921" s="120" t="s">
        <v>250</v>
      </c>
      <c r="J921" s="120" t="s">
        <v>250</v>
      </c>
      <c r="K921" s="120" t="s">
        <v>250</v>
      </c>
      <c r="L921" s="120" t="s">
        <v>250</v>
      </c>
      <c r="M921" s="120" t="s">
        <v>250</v>
      </c>
      <c r="N921" s="120" t="s">
        <v>250</v>
      </c>
      <c r="O921" s="120" t="s">
        <v>250</v>
      </c>
      <c r="P921" s="120" t="s">
        <v>250</v>
      </c>
      <c r="Q921" s="120" t="s">
        <v>250</v>
      </c>
      <c r="R921" s="120"/>
      <c r="S921" s="121"/>
    </row>
    <row r="922" spans="1:19" ht="15">
      <c r="A922" s="105">
        <v>29</v>
      </c>
      <c r="B922" s="105"/>
      <c r="C922" s="107" t="s">
        <v>914</v>
      </c>
      <c r="D922" s="107" t="s">
        <v>250</v>
      </c>
      <c r="E922" s="120">
        <v>184095229</v>
      </c>
      <c r="F922" s="120" t="s">
        <v>250</v>
      </c>
      <c r="G922" s="120">
        <v>173228433.53213996</v>
      </c>
      <c r="H922" s="120" t="s">
        <v>250</v>
      </c>
      <c r="I922" s="120">
        <v>8758678.2572182827</v>
      </c>
      <c r="J922" s="120">
        <v>2108117.2106417576</v>
      </c>
      <c r="K922" s="120" t="s">
        <v>250</v>
      </c>
      <c r="L922" s="120" t="s">
        <v>250</v>
      </c>
      <c r="M922" s="120">
        <v>0</v>
      </c>
      <c r="N922" s="120" t="s">
        <v>250</v>
      </c>
      <c r="O922" s="120">
        <v>2108117.2106417576</v>
      </c>
      <c r="P922" s="120">
        <v>1099197.0048356883</v>
      </c>
      <c r="Q922" s="120">
        <v>1008920.2058060694</v>
      </c>
      <c r="R922" s="120"/>
      <c r="S922" s="121"/>
    </row>
    <row r="923" spans="1:19" ht="15">
      <c r="A923" s="105" t="s">
        <v>250</v>
      </c>
      <c r="B923" s="105"/>
      <c r="C923" s="107" t="s">
        <v>250</v>
      </c>
      <c r="D923" s="107" t="s">
        <v>250</v>
      </c>
      <c r="E923" s="120" t="s">
        <v>250</v>
      </c>
      <c r="F923" s="120" t="s">
        <v>250</v>
      </c>
      <c r="G923" s="120" t="s">
        <v>250</v>
      </c>
      <c r="H923" s="120" t="s">
        <v>250</v>
      </c>
      <c r="I923" s="120" t="s">
        <v>250</v>
      </c>
      <c r="J923" s="120" t="s">
        <v>250</v>
      </c>
      <c r="K923" s="120" t="s">
        <v>250</v>
      </c>
      <c r="L923" s="120" t="s">
        <v>250</v>
      </c>
      <c r="M923" s="120" t="s">
        <v>250</v>
      </c>
      <c r="N923" s="120" t="s">
        <v>250</v>
      </c>
      <c r="O923" s="120" t="s">
        <v>250</v>
      </c>
      <c r="P923" s="120" t="s">
        <v>250</v>
      </c>
      <c r="Q923" s="120" t="s">
        <v>250</v>
      </c>
      <c r="R923" s="120"/>
      <c r="S923" s="121"/>
    </row>
    <row r="924" spans="1:19" ht="15">
      <c r="A924" s="105" t="s">
        <v>250</v>
      </c>
      <c r="B924" s="105"/>
      <c r="C924" s="107" t="s">
        <v>915</v>
      </c>
      <c r="D924" s="107" t="s">
        <v>250</v>
      </c>
      <c r="E924" s="120" t="s">
        <v>250</v>
      </c>
      <c r="F924" s="120" t="s">
        <v>250</v>
      </c>
      <c r="G924" s="120" t="s">
        <v>250</v>
      </c>
      <c r="H924" s="120" t="s">
        <v>250</v>
      </c>
      <c r="I924" s="120" t="s">
        <v>250</v>
      </c>
      <c r="J924" s="120" t="s">
        <v>250</v>
      </c>
      <c r="K924" s="120" t="s">
        <v>250</v>
      </c>
      <c r="L924" s="120" t="s">
        <v>250</v>
      </c>
      <c r="M924" s="120" t="s">
        <v>250</v>
      </c>
      <c r="N924" s="120" t="s">
        <v>250</v>
      </c>
      <c r="O924" s="120" t="s">
        <v>250</v>
      </c>
      <c r="P924" s="120" t="s">
        <v>250</v>
      </c>
      <c r="Q924" s="120" t="s">
        <v>250</v>
      </c>
      <c r="R924" s="120"/>
      <c r="S924" s="121"/>
    </row>
    <row r="925" spans="1:19" ht="15">
      <c r="A925" s="105" t="s">
        <v>250</v>
      </c>
      <c r="B925" s="105"/>
      <c r="C925" s="107" t="s">
        <v>250</v>
      </c>
      <c r="D925" s="107" t="s">
        <v>250</v>
      </c>
      <c r="E925" s="107" t="s">
        <v>250</v>
      </c>
      <c r="F925" s="107" t="s">
        <v>250</v>
      </c>
      <c r="G925" s="107" t="s">
        <v>250</v>
      </c>
      <c r="H925" s="107" t="s">
        <v>250</v>
      </c>
      <c r="I925" s="107" t="s">
        <v>250</v>
      </c>
      <c r="J925" s="107" t="s">
        <v>250</v>
      </c>
      <c r="K925" s="107" t="s">
        <v>250</v>
      </c>
      <c r="L925" s="107" t="s">
        <v>250</v>
      </c>
      <c r="M925" s="107" t="s">
        <v>250</v>
      </c>
      <c r="N925" s="107" t="s">
        <v>250</v>
      </c>
      <c r="O925" s="107" t="s">
        <v>250</v>
      </c>
      <c r="P925" s="107" t="s">
        <v>250</v>
      </c>
      <c r="Q925" s="107" t="s">
        <v>250</v>
      </c>
      <c r="R925" s="120"/>
      <c r="S925" s="121"/>
    </row>
    <row r="926" spans="1:19" ht="15">
      <c r="A926" s="105" t="s">
        <v>250</v>
      </c>
      <c r="B926" s="105"/>
      <c r="C926" s="107" t="s">
        <v>916</v>
      </c>
      <c r="D926" s="107" t="s">
        <v>250</v>
      </c>
      <c r="E926" s="107" t="s">
        <v>250</v>
      </c>
      <c r="F926" s="107" t="s">
        <v>250</v>
      </c>
      <c r="G926" s="107" t="s">
        <v>250</v>
      </c>
      <c r="H926" s="107" t="s">
        <v>250</v>
      </c>
      <c r="I926" s="107" t="s">
        <v>250</v>
      </c>
      <c r="J926" s="107" t="s">
        <v>250</v>
      </c>
      <c r="K926" s="107" t="s">
        <v>250</v>
      </c>
      <c r="L926" s="107" t="s">
        <v>250</v>
      </c>
      <c r="M926" s="107" t="s">
        <v>250</v>
      </c>
      <c r="N926" s="107" t="s">
        <v>250</v>
      </c>
      <c r="O926" s="107" t="s">
        <v>250</v>
      </c>
      <c r="P926" s="107" t="s">
        <v>250</v>
      </c>
      <c r="Q926" s="107" t="s">
        <v>250</v>
      </c>
      <c r="R926" s="120"/>
      <c r="S926" s="121"/>
    </row>
    <row r="927" spans="1:19" ht="15">
      <c r="A927" s="105" t="s">
        <v>250</v>
      </c>
      <c r="B927" s="105"/>
      <c r="C927" s="107" t="s">
        <v>917</v>
      </c>
      <c r="D927" s="107" t="s">
        <v>250</v>
      </c>
      <c r="E927" s="107" t="s">
        <v>250</v>
      </c>
      <c r="F927" s="107" t="s">
        <v>250</v>
      </c>
      <c r="G927" s="107" t="s">
        <v>250</v>
      </c>
      <c r="H927" s="107" t="s">
        <v>250</v>
      </c>
      <c r="I927" s="107" t="s">
        <v>250</v>
      </c>
      <c r="J927" s="107" t="s">
        <v>250</v>
      </c>
      <c r="K927" s="107" t="s">
        <v>250</v>
      </c>
      <c r="L927" s="107" t="s">
        <v>250</v>
      </c>
      <c r="M927" s="107" t="s">
        <v>250</v>
      </c>
      <c r="N927" s="107" t="s">
        <v>250</v>
      </c>
      <c r="O927" s="107" t="s">
        <v>250</v>
      </c>
      <c r="P927" s="107" t="s">
        <v>250</v>
      </c>
      <c r="Q927" s="107" t="s">
        <v>250</v>
      </c>
      <c r="R927" s="120"/>
      <c r="S927" s="121"/>
    </row>
    <row r="928" spans="1:19" ht="15">
      <c r="A928" s="105" t="s">
        <v>250</v>
      </c>
      <c r="B928" s="105"/>
      <c r="C928" s="107" t="s">
        <v>918</v>
      </c>
      <c r="D928" s="107" t="s">
        <v>250</v>
      </c>
      <c r="E928" s="107" t="s">
        <v>250</v>
      </c>
      <c r="F928" s="107" t="s">
        <v>250</v>
      </c>
      <c r="G928" s="107" t="s">
        <v>250</v>
      </c>
      <c r="H928" s="107" t="s">
        <v>250</v>
      </c>
      <c r="I928" s="107" t="s">
        <v>250</v>
      </c>
      <c r="J928" s="107" t="s">
        <v>250</v>
      </c>
      <c r="K928" s="107" t="s">
        <v>250</v>
      </c>
      <c r="L928" s="107" t="s">
        <v>250</v>
      </c>
      <c r="M928" s="107" t="s">
        <v>250</v>
      </c>
      <c r="N928" s="107" t="s">
        <v>250</v>
      </c>
      <c r="O928" s="107" t="s">
        <v>250</v>
      </c>
      <c r="P928" s="107" t="s">
        <v>250</v>
      </c>
      <c r="Q928" s="107" t="s">
        <v>250</v>
      </c>
      <c r="R928" s="120"/>
      <c r="S928" s="121"/>
    </row>
    <row r="929" spans="1:19" ht="15">
      <c r="A929" s="105">
        <v>1</v>
      </c>
      <c r="B929" s="105"/>
      <c r="C929" s="107" t="s">
        <v>919</v>
      </c>
      <c r="D929" s="107" t="s">
        <v>303</v>
      </c>
      <c r="E929" s="120">
        <v>3509040</v>
      </c>
      <c r="F929" s="120" t="s">
        <v>250</v>
      </c>
      <c r="G929" s="120">
        <v>3291876</v>
      </c>
      <c r="H929" s="120" t="s">
        <v>250</v>
      </c>
      <c r="I929" s="120">
        <v>149082</v>
      </c>
      <c r="J929" s="120">
        <v>68082</v>
      </c>
      <c r="K929" s="120" t="s">
        <v>250</v>
      </c>
      <c r="L929" s="120" t="s">
        <v>250</v>
      </c>
      <c r="M929" s="120">
        <v>0</v>
      </c>
      <c r="N929" s="120" t="s">
        <v>250</v>
      </c>
      <c r="O929" s="120">
        <v>68082</v>
      </c>
      <c r="P929" s="120">
        <v>34535</v>
      </c>
      <c r="Q929" s="120">
        <v>33547</v>
      </c>
      <c r="R929" s="120"/>
      <c r="S929" s="121"/>
    </row>
    <row r="930" spans="1:19" ht="15">
      <c r="A930" s="105">
        <v>2</v>
      </c>
      <c r="B930" s="105"/>
      <c r="C930" s="107" t="s">
        <v>920</v>
      </c>
      <c r="D930" s="107" t="s">
        <v>311</v>
      </c>
      <c r="E930" s="120">
        <v>447183</v>
      </c>
      <c r="F930" s="120" t="s">
        <v>250</v>
      </c>
      <c r="G930" s="120">
        <v>230019</v>
      </c>
      <c r="H930" s="120" t="s">
        <v>250</v>
      </c>
      <c r="I930" s="120">
        <v>149082</v>
      </c>
      <c r="J930" s="120">
        <v>68082</v>
      </c>
      <c r="K930" s="120" t="s">
        <v>250</v>
      </c>
      <c r="L930" s="120" t="s">
        <v>250</v>
      </c>
      <c r="M930" s="120">
        <v>0</v>
      </c>
      <c r="N930" s="120" t="s">
        <v>250</v>
      </c>
      <c r="O930" s="120">
        <v>68082</v>
      </c>
      <c r="P930" s="120">
        <v>34535</v>
      </c>
      <c r="Q930" s="120">
        <v>33547</v>
      </c>
      <c r="R930" s="120"/>
      <c r="S930" s="121"/>
    </row>
    <row r="931" spans="1:19" ht="15">
      <c r="A931" s="105">
        <v>3</v>
      </c>
      <c r="B931" s="105"/>
      <c r="C931" s="107" t="s">
        <v>921</v>
      </c>
      <c r="D931" s="107" t="s">
        <v>397</v>
      </c>
      <c r="E931" s="120">
        <v>149082</v>
      </c>
      <c r="F931" s="120" t="s">
        <v>250</v>
      </c>
      <c r="G931" s="120">
        <v>0</v>
      </c>
      <c r="H931" s="120" t="s">
        <v>250</v>
      </c>
      <c r="I931" s="120">
        <v>149082</v>
      </c>
      <c r="J931" s="120">
        <v>0</v>
      </c>
      <c r="K931" s="120" t="s">
        <v>250</v>
      </c>
      <c r="L931" s="120" t="s">
        <v>250</v>
      </c>
      <c r="M931" s="120">
        <v>0</v>
      </c>
      <c r="N931" s="120" t="s">
        <v>250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4</v>
      </c>
      <c r="B932" s="105"/>
      <c r="C932" s="107" t="s">
        <v>922</v>
      </c>
      <c r="D932" s="107" t="s">
        <v>375</v>
      </c>
      <c r="E932" s="120">
        <v>3359958</v>
      </c>
      <c r="F932" s="120" t="s">
        <v>250</v>
      </c>
      <c r="G932" s="120">
        <v>3291876</v>
      </c>
      <c r="H932" s="120" t="s">
        <v>250</v>
      </c>
      <c r="I932" s="120">
        <v>0</v>
      </c>
      <c r="J932" s="120">
        <v>68082</v>
      </c>
      <c r="K932" s="120" t="s">
        <v>250</v>
      </c>
      <c r="L932" s="120" t="s">
        <v>250</v>
      </c>
      <c r="M932" s="120">
        <v>0</v>
      </c>
      <c r="N932" s="120" t="s">
        <v>250</v>
      </c>
      <c r="O932" s="120">
        <v>68082</v>
      </c>
      <c r="P932" s="120">
        <v>34535</v>
      </c>
      <c r="Q932" s="120">
        <v>33547</v>
      </c>
      <c r="R932" s="120"/>
      <c r="S932" s="121"/>
    </row>
    <row r="933" spans="1:19" ht="15">
      <c r="A933" s="105">
        <v>5</v>
      </c>
      <c r="B933" s="105"/>
      <c r="C933" s="107" t="s">
        <v>923</v>
      </c>
      <c r="D933" s="107" t="s">
        <v>313</v>
      </c>
      <c r="E933" s="120">
        <v>298101</v>
      </c>
      <c r="F933" s="120" t="s">
        <v>250</v>
      </c>
      <c r="G933" s="120">
        <v>230019</v>
      </c>
      <c r="H933" s="120" t="s">
        <v>250</v>
      </c>
      <c r="I933" s="120">
        <v>0</v>
      </c>
      <c r="J933" s="120">
        <v>68082</v>
      </c>
      <c r="K933" s="120" t="s">
        <v>250</v>
      </c>
      <c r="L933" s="120" t="s">
        <v>250</v>
      </c>
      <c r="M933" s="120">
        <v>0</v>
      </c>
      <c r="N933" s="120" t="s">
        <v>250</v>
      </c>
      <c r="O933" s="120">
        <v>68082</v>
      </c>
      <c r="P933" s="120">
        <v>34535</v>
      </c>
      <c r="Q933" s="120">
        <v>33547</v>
      </c>
      <c r="R933" s="120"/>
      <c r="S933" s="121"/>
    </row>
    <row r="934" spans="1:19" ht="15">
      <c r="A934" s="105">
        <v>6</v>
      </c>
      <c r="B934" s="105"/>
      <c r="C934" s="107" t="s">
        <v>924</v>
      </c>
      <c r="D934" s="107" t="s">
        <v>925</v>
      </c>
      <c r="E934" s="120">
        <v>3359958</v>
      </c>
      <c r="F934" s="120" t="s">
        <v>250</v>
      </c>
      <c r="G934" s="120">
        <v>3291876</v>
      </c>
      <c r="H934" s="120" t="s">
        <v>250</v>
      </c>
      <c r="I934" s="120">
        <v>0</v>
      </c>
      <c r="J934" s="120">
        <v>68082</v>
      </c>
      <c r="K934" s="120" t="s">
        <v>250</v>
      </c>
      <c r="L934" s="120" t="s">
        <v>250</v>
      </c>
      <c r="M934" s="120">
        <v>0</v>
      </c>
      <c r="N934" s="120" t="s">
        <v>250</v>
      </c>
      <c r="O934" s="120">
        <v>68082</v>
      </c>
      <c r="P934" s="120">
        <v>34535</v>
      </c>
      <c r="Q934" s="120">
        <v>33547</v>
      </c>
      <c r="R934" s="120"/>
      <c r="S934" s="121"/>
    </row>
    <row r="935" spans="1:19" ht="15">
      <c r="A935" s="105" t="s">
        <v>250</v>
      </c>
      <c r="B935" s="105"/>
      <c r="C935" s="107" t="s">
        <v>926</v>
      </c>
      <c r="D935" s="107" t="s">
        <v>250</v>
      </c>
      <c r="E935" s="120" t="s">
        <v>250</v>
      </c>
      <c r="F935" s="120" t="s">
        <v>250</v>
      </c>
      <c r="G935" s="120" t="s">
        <v>250</v>
      </c>
      <c r="H935" s="120" t="s">
        <v>250</v>
      </c>
      <c r="I935" s="120" t="s">
        <v>250</v>
      </c>
      <c r="J935" s="120" t="s">
        <v>250</v>
      </c>
      <c r="K935" s="120" t="s">
        <v>250</v>
      </c>
      <c r="L935" s="120" t="s">
        <v>250</v>
      </c>
      <c r="M935" s="120" t="s">
        <v>250</v>
      </c>
      <c r="N935" s="120" t="s">
        <v>250</v>
      </c>
      <c r="O935" s="120" t="s">
        <v>250</v>
      </c>
      <c r="P935" s="120" t="s">
        <v>250</v>
      </c>
      <c r="Q935" s="120" t="s">
        <v>250</v>
      </c>
      <c r="R935" s="120"/>
      <c r="S935" s="121"/>
    </row>
    <row r="936" spans="1:19" ht="15">
      <c r="A936" s="105">
        <v>7</v>
      </c>
      <c r="B936" s="105"/>
      <c r="C936" s="107" t="s">
        <v>927</v>
      </c>
      <c r="D936" s="107" t="s">
        <v>571</v>
      </c>
      <c r="E936" s="120">
        <v>3509040</v>
      </c>
      <c r="F936" s="120" t="s">
        <v>250</v>
      </c>
      <c r="G936" s="120">
        <v>3291876</v>
      </c>
      <c r="H936" s="120" t="s">
        <v>250</v>
      </c>
      <c r="I936" s="120">
        <v>149082</v>
      </c>
      <c r="J936" s="120">
        <v>68082</v>
      </c>
      <c r="K936" s="120" t="s">
        <v>250</v>
      </c>
      <c r="L936" s="120" t="s">
        <v>250</v>
      </c>
      <c r="M936" s="120">
        <v>0</v>
      </c>
      <c r="N936" s="120" t="s">
        <v>250</v>
      </c>
      <c r="O936" s="120">
        <v>68082</v>
      </c>
      <c r="P936" s="120">
        <v>34535</v>
      </c>
      <c r="Q936" s="120">
        <v>33547</v>
      </c>
      <c r="R936" s="120"/>
      <c r="S936" s="121"/>
    </row>
    <row r="937" spans="1:19" ht="15">
      <c r="A937" s="105">
        <v>8</v>
      </c>
      <c r="B937" s="105"/>
      <c r="C937" s="107" t="s">
        <v>928</v>
      </c>
      <c r="D937" s="107" t="s">
        <v>351</v>
      </c>
      <c r="E937" s="120">
        <v>149082</v>
      </c>
      <c r="F937" s="120" t="s">
        <v>250</v>
      </c>
      <c r="G937" s="120">
        <v>0</v>
      </c>
      <c r="H937" s="120" t="s">
        <v>250</v>
      </c>
      <c r="I937" s="120">
        <v>149082</v>
      </c>
      <c r="J937" s="120">
        <v>0</v>
      </c>
      <c r="K937" s="120" t="s">
        <v>250</v>
      </c>
      <c r="L937" s="120" t="s">
        <v>250</v>
      </c>
      <c r="M937" s="120">
        <v>0</v>
      </c>
      <c r="N937" s="120" t="s">
        <v>250</v>
      </c>
      <c r="O937" s="120">
        <v>0</v>
      </c>
      <c r="P937" s="120">
        <v>0</v>
      </c>
      <c r="Q937" s="120">
        <v>0</v>
      </c>
      <c r="R937" s="120"/>
      <c r="S937" s="121"/>
    </row>
    <row r="938" spans="1:19" ht="15">
      <c r="A938" s="105">
        <v>9</v>
      </c>
      <c r="B938" s="105"/>
      <c r="C938" s="107" t="s">
        <v>929</v>
      </c>
      <c r="D938" s="107" t="s">
        <v>340</v>
      </c>
      <c r="E938" s="120">
        <v>3440958</v>
      </c>
      <c r="F938" s="120" t="s">
        <v>250</v>
      </c>
      <c r="G938" s="120">
        <v>3291876</v>
      </c>
      <c r="H938" s="120" t="s">
        <v>250</v>
      </c>
      <c r="I938" s="120">
        <v>149082</v>
      </c>
      <c r="J938" s="120">
        <v>0</v>
      </c>
      <c r="K938" s="120" t="s">
        <v>250</v>
      </c>
      <c r="L938" s="120" t="s">
        <v>250</v>
      </c>
      <c r="M938" s="120">
        <v>0</v>
      </c>
      <c r="N938" s="120" t="s">
        <v>250</v>
      </c>
      <c r="O938" s="120">
        <v>0</v>
      </c>
      <c r="P938" s="120">
        <v>0</v>
      </c>
      <c r="Q938" s="120">
        <v>0</v>
      </c>
      <c r="R938" s="120"/>
      <c r="S938" s="121"/>
    </row>
    <row r="939" spans="1:19" ht="15">
      <c r="A939" s="105">
        <v>10</v>
      </c>
      <c r="B939" s="105"/>
      <c r="C939" s="107" t="s">
        <v>930</v>
      </c>
      <c r="D939" s="107" t="s">
        <v>931</v>
      </c>
      <c r="E939" s="120">
        <v>217164</v>
      </c>
      <c r="F939" s="120" t="s">
        <v>250</v>
      </c>
      <c r="G939" s="120">
        <v>0</v>
      </c>
      <c r="H939" s="120" t="s">
        <v>250</v>
      </c>
      <c r="I939" s="120">
        <v>149082</v>
      </c>
      <c r="J939" s="120">
        <v>68082</v>
      </c>
      <c r="K939" s="120" t="s">
        <v>250</v>
      </c>
      <c r="L939" s="120" t="s">
        <v>250</v>
      </c>
      <c r="M939" s="120">
        <v>0</v>
      </c>
      <c r="N939" s="120" t="s">
        <v>250</v>
      </c>
      <c r="O939" s="120">
        <v>68082</v>
      </c>
      <c r="P939" s="120">
        <v>34535</v>
      </c>
      <c r="Q939" s="120">
        <v>33547</v>
      </c>
      <c r="R939" s="120"/>
      <c r="S939" s="121"/>
    </row>
    <row r="940" spans="1:19" ht="15">
      <c r="A940" s="105">
        <v>11</v>
      </c>
      <c r="B940" s="105"/>
      <c r="C940" s="107" t="s">
        <v>932</v>
      </c>
      <c r="D940" s="107" t="s">
        <v>354</v>
      </c>
      <c r="E940" s="120">
        <v>3291876</v>
      </c>
      <c r="F940" s="120" t="s">
        <v>250</v>
      </c>
      <c r="G940" s="120">
        <v>3291876</v>
      </c>
      <c r="H940" s="120" t="s">
        <v>250</v>
      </c>
      <c r="I940" s="120">
        <v>0</v>
      </c>
      <c r="J940" s="120">
        <v>0</v>
      </c>
      <c r="K940" s="120" t="s">
        <v>250</v>
      </c>
      <c r="L940" s="120" t="s">
        <v>250</v>
      </c>
      <c r="M940" s="120">
        <v>0</v>
      </c>
      <c r="N940" s="120" t="s">
        <v>250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 t="s">
        <v>250</v>
      </c>
      <c r="B941" s="105"/>
      <c r="C941" s="107" t="s">
        <v>250</v>
      </c>
      <c r="D941" s="107" t="s">
        <v>250</v>
      </c>
      <c r="E941" s="120" t="s">
        <v>250</v>
      </c>
      <c r="F941" s="120" t="s">
        <v>250</v>
      </c>
      <c r="G941" s="120" t="s">
        <v>250</v>
      </c>
      <c r="H941" s="120" t="s">
        <v>250</v>
      </c>
      <c r="I941" s="120" t="s">
        <v>250</v>
      </c>
      <c r="J941" s="120" t="s">
        <v>250</v>
      </c>
      <c r="K941" s="120" t="s">
        <v>250</v>
      </c>
      <c r="L941" s="120" t="s">
        <v>250</v>
      </c>
      <c r="M941" s="120" t="s">
        <v>250</v>
      </c>
      <c r="N941" s="120" t="s">
        <v>250</v>
      </c>
      <c r="O941" s="120" t="s">
        <v>250</v>
      </c>
      <c r="P941" s="120" t="s">
        <v>250</v>
      </c>
      <c r="Q941" s="120" t="s">
        <v>250</v>
      </c>
      <c r="R941" s="120"/>
      <c r="S941" s="121"/>
    </row>
    <row r="942" spans="1:19" ht="15">
      <c r="A942" s="105" t="s">
        <v>250</v>
      </c>
      <c r="B942" s="105"/>
      <c r="C942" s="107" t="s">
        <v>933</v>
      </c>
      <c r="D942" s="107" t="s">
        <v>250</v>
      </c>
      <c r="E942" s="120" t="s">
        <v>250</v>
      </c>
      <c r="F942" s="120" t="s">
        <v>250</v>
      </c>
      <c r="G942" s="120" t="s">
        <v>250</v>
      </c>
      <c r="H942" s="120" t="s">
        <v>250</v>
      </c>
      <c r="I942" s="120" t="s">
        <v>250</v>
      </c>
      <c r="J942" s="120" t="s">
        <v>250</v>
      </c>
      <c r="K942" s="120" t="s">
        <v>250</v>
      </c>
      <c r="L942" s="120" t="s">
        <v>250</v>
      </c>
      <c r="M942" s="120" t="s">
        <v>250</v>
      </c>
      <c r="N942" s="120" t="s">
        <v>250</v>
      </c>
      <c r="O942" s="120" t="s">
        <v>250</v>
      </c>
      <c r="P942" s="120" t="s">
        <v>250</v>
      </c>
      <c r="Q942" s="120" t="s">
        <v>250</v>
      </c>
      <c r="R942" s="120"/>
      <c r="S942" s="121"/>
    </row>
    <row r="943" spans="1:19" ht="15">
      <c r="A943" s="105">
        <v>12</v>
      </c>
      <c r="B943" s="105"/>
      <c r="C943" s="107" t="s">
        <v>934</v>
      </c>
      <c r="D943" s="107" t="s">
        <v>360</v>
      </c>
      <c r="E943" s="120">
        <v>9194561.7892307676</v>
      </c>
      <c r="F943" s="120" t="s">
        <v>250</v>
      </c>
      <c r="G943" s="120">
        <v>9185404.7892307676</v>
      </c>
      <c r="H943" s="120" t="s">
        <v>250</v>
      </c>
      <c r="I943" s="120">
        <v>0</v>
      </c>
      <c r="J943" s="120">
        <v>9157</v>
      </c>
      <c r="K943" s="120" t="s">
        <v>250</v>
      </c>
      <c r="L943" s="120" t="s">
        <v>250</v>
      </c>
      <c r="M943" s="120">
        <v>0</v>
      </c>
      <c r="N943" s="120" t="s">
        <v>250</v>
      </c>
      <c r="O943" s="120">
        <v>9157</v>
      </c>
      <c r="P943" s="120">
        <v>9157</v>
      </c>
      <c r="Q943" s="120">
        <v>0</v>
      </c>
      <c r="R943" s="120"/>
      <c r="S943" s="121"/>
    </row>
    <row r="944" spans="1:19" ht="15">
      <c r="A944" s="105">
        <v>13</v>
      </c>
      <c r="B944" s="105"/>
      <c r="C944" s="107" t="s">
        <v>935</v>
      </c>
      <c r="D944" s="107" t="s">
        <v>362</v>
      </c>
      <c r="E944" s="120">
        <v>30821241.809230641</v>
      </c>
      <c r="F944" s="120" t="s">
        <v>250</v>
      </c>
      <c r="G944" s="120">
        <v>30451903.809230641</v>
      </c>
      <c r="H944" s="120" t="s">
        <v>250</v>
      </c>
      <c r="I944" s="120">
        <v>0</v>
      </c>
      <c r="J944" s="120">
        <v>369338</v>
      </c>
      <c r="K944" s="120" t="s">
        <v>250</v>
      </c>
      <c r="L944" s="120" t="s">
        <v>250</v>
      </c>
      <c r="M944" s="120">
        <v>0</v>
      </c>
      <c r="N944" s="120" t="s">
        <v>250</v>
      </c>
      <c r="O944" s="120">
        <v>369338</v>
      </c>
      <c r="P944" s="120">
        <v>369338</v>
      </c>
      <c r="Q944" s="120">
        <v>0</v>
      </c>
      <c r="R944" s="120"/>
      <c r="S944" s="121"/>
    </row>
    <row r="945" spans="1:19" ht="15">
      <c r="A945" s="105">
        <v>14</v>
      </c>
      <c r="B945" s="105"/>
      <c r="C945" s="107" t="s">
        <v>936</v>
      </c>
      <c r="D945" s="107" t="s">
        <v>364</v>
      </c>
      <c r="E945" s="120">
        <v>305122025.30461538</v>
      </c>
      <c r="F945" s="120" t="s">
        <v>250</v>
      </c>
      <c r="G945" s="120">
        <v>302019357.30461538</v>
      </c>
      <c r="H945" s="120" t="s">
        <v>250</v>
      </c>
      <c r="I945" s="120">
        <v>0</v>
      </c>
      <c r="J945" s="120">
        <v>3102668</v>
      </c>
      <c r="K945" s="120" t="s">
        <v>250</v>
      </c>
      <c r="L945" s="120" t="s">
        <v>250</v>
      </c>
      <c r="M945" s="120">
        <v>0</v>
      </c>
      <c r="N945" s="120" t="s">
        <v>250</v>
      </c>
      <c r="O945" s="120">
        <v>3102668</v>
      </c>
      <c r="P945" s="120">
        <v>3102668</v>
      </c>
      <c r="Q945" s="120">
        <v>0</v>
      </c>
      <c r="R945" s="120"/>
      <c r="S945" s="121"/>
    </row>
    <row r="946" spans="1:19" ht="15">
      <c r="A946" s="105">
        <v>15</v>
      </c>
      <c r="B946" s="105"/>
      <c r="C946" s="107" t="s">
        <v>937</v>
      </c>
      <c r="D946" s="107" t="s">
        <v>366</v>
      </c>
      <c r="E946" s="120">
        <v>449646390.21461505</v>
      </c>
      <c r="F946" s="120" t="s">
        <v>250</v>
      </c>
      <c r="G946" s="120">
        <v>449646390.21461505</v>
      </c>
      <c r="H946" s="120" t="s">
        <v>250</v>
      </c>
      <c r="I946" s="120">
        <v>0</v>
      </c>
      <c r="J946" s="120">
        <v>0</v>
      </c>
      <c r="K946" s="120" t="s">
        <v>250</v>
      </c>
      <c r="L946" s="120" t="s">
        <v>250</v>
      </c>
      <c r="M946" s="120">
        <v>0</v>
      </c>
      <c r="N946" s="120" t="s">
        <v>250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16</v>
      </c>
      <c r="B947" s="105"/>
      <c r="C947" s="107" t="s">
        <v>938</v>
      </c>
      <c r="D947" s="107" t="s">
        <v>368</v>
      </c>
      <c r="E947" s="120">
        <v>472111951.7769224</v>
      </c>
      <c r="F947" s="120" t="s">
        <v>250</v>
      </c>
      <c r="G947" s="120">
        <v>472111951.7769224</v>
      </c>
      <c r="H947" s="120" t="s">
        <v>250</v>
      </c>
      <c r="I947" s="120">
        <v>0</v>
      </c>
      <c r="J947" s="120">
        <v>0</v>
      </c>
      <c r="K947" s="120" t="s">
        <v>250</v>
      </c>
      <c r="L947" s="120" t="s">
        <v>250</v>
      </c>
      <c r="M947" s="120">
        <v>0</v>
      </c>
      <c r="N947" s="120" t="s">
        <v>250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17</v>
      </c>
      <c r="B948" s="105"/>
      <c r="C948" s="107" t="s">
        <v>939</v>
      </c>
      <c r="D948" s="107" t="s">
        <v>370</v>
      </c>
      <c r="E948" s="120">
        <v>2524144.5200000009</v>
      </c>
      <c r="F948" s="120" t="s">
        <v>250</v>
      </c>
      <c r="G948" s="120">
        <v>2524144.5200000009</v>
      </c>
      <c r="H948" s="120" t="s">
        <v>250</v>
      </c>
      <c r="I948" s="120">
        <v>0</v>
      </c>
      <c r="J948" s="120">
        <v>0</v>
      </c>
      <c r="K948" s="120" t="s">
        <v>250</v>
      </c>
      <c r="L948" s="120" t="s">
        <v>250</v>
      </c>
      <c r="M948" s="120">
        <v>0</v>
      </c>
      <c r="N948" s="120" t="s">
        <v>250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18</v>
      </c>
      <c r="B949" s="105"/>
      <c r="C949" s="107" t="s">
        <v>940</v>
      </c>
      <c r="D949" s="107" t="s">
        <v>372</v>
      </c>
      <c r="E949" s="120">
        <v>245161809.96076822</v>
      </c>
      <c r="F949" s="120" t="s">
        <v>250</v>
      </c>
      <c r="G949" s="120">
        <v>245161809.96076822</v>
      </c>
      <c r="H949" s="120" t="s">
        <v>250</v>
      </c>
      <c r="I949" s="120">
        <v>0</v>
      </c>
      <c r="J949" s="120">
        <v>0</v>
      </c>
      <c r="K949" s="120" t="s">
        <v>250</v>
      </c>
      <c r="L949" s="120" t="s">
        <v>250</v>
      </c>
      <c r="M949" s="120">
        <v>0</v>
      </c>
      <c r="N949" s="120" t="s">
        <v>250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19</v>
      </c>
      <c r="B950" s="105"/>
      <c r="C950" s="107" t="s">
        <v>941</v>
      </c>
      <c r="D950" s="107" t="s">
        <v>377</v>
      </c>
      <c r="E950" s="120">
        <v>326558524.12538362</v>
      </c>
      <c r="F950" s="120" t="s">
        <v>250</v>
      </c>
      <c r="G950" s="120">
        <v>326558524.12538362</v>
      </c>
      <c r="H950" s="120" t="s">
        <v>250</v>
      </c>
      <c r="I950" s="120">
        <v>0</v>
      </c>
      <c r="J950" s="120">
        <v>0</v>
      </c>
      <c r="K950" s="120" t="s">
        <v>250</v>
      </c>
      <c r="L950" s="120" t="s">
        <v>250</v>
      </c>
      <c r="M950" s="120">
        <v>0</v>
      </c>
      <c r="N950" s="120" t="s">
        <v>250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20</v>
      </c>
      <c r="B951" s="105"/>
      <c r="C951" s="107" t="s">
        <v>942</v>
      </c>
      <c r="D951" s="107" t="s">
        <v>388</v>
      </c>
      <c r="E951" s="120">
        <v>510376.10000000009</v>
      </c>
      <c r="F951" s="120" t="s">
        <v>250</v>
      </c>
      <c r="G951" s="120">
        <v>510376.10000000009</v>
      </c>
      <c r="H951" s="120" t="s">
        <v>250</v>
      </c>
      <c r="I951" s="120">
        <v>0</v>
      </c>
      <c r="J951" s="120">
        <v>0</v>
      </c>
      <c r="K951" s="120" t="s">
        <v>250</v>
      </c>
      <c r="L951" s="120" t="s">
        <v>250</v>
      </c>
      <c r="M951" s="120">
        <v>0</v>
      </c>
      <c r="N951" s="120" t="s">
        <v>250</v>
      </c>
      <c r="O951" s="120">
        <v>0</v>
      </c>
      <c r="P951" s="120">
        <v>0</v>
      </c>
      <c r="Q951" s="120">
        <v>0</v>
      </c>
      <c r="R951" s="120"/>
      <c r="S951" s="121"/>
    </row>
    <row r="952" spans="1:19" ht="15">
      <c r="A952" s="105">
        <v>21</v>
      </c>
      <c r="B952" s="105"/>
      <c r="C952" s="107" t="s">
        <v>943</v>
      </c>
      <c r="D952" s="107" t="s">
        <v>391</v>
      </c>
      <c r="E952" s="120">
        <v>305487.90000000002</v>
      </c>
      <c r="F952" s="120" t="s">
        <v>250</v>
      </c>
      <c r="G952" s="120">
        <v>0</v>
      </c>
      <c r="H952" s="120" t="s">
        <v>250</v>
      </c>
      <c r="I952" s="120">
        <v>305487.90000000002</v>
      </c>
      <c r="J952" s="120">
        <v>0</v>
      </c>
      <c r="K952" s="120" t="s">
        <v>250</v>
      </c>
      <c r="L952" s="120" t="s">
        <v>250</v>
      </c>
      <c r="M952" s="120">
        <v>0</v>
      </c>
      <c r="N952" s="120" t="s">
        <v>250</v>
      </c>
      <c r="O952" s="120">
        <v>0</v>
      </c>
      <c r="P952" s="120">
        <v>0</v>
      </c>
      <c r="Q952" s="120">
        <v>0</v>
      </c>
      <c r="R952" s="120"/>
      <c r="S952" s="121"/>
    </row>
    <row r="953" spans="1:19" ht="15">
      <c r="A953" s="105">
        <v>22</v>
      </c>
      <c r="B953" s="105"/>
      <c r="C953" s="107" t="s">
        <v>944</v>
      </c>
      <c r="D953" s="107" t="s">
        <v>392</v>
      </c>
      <c r="E953" s="120">
        <v>652265.45999999985</v>
      </c>
      <c r="F953" s="120" t="s">
        <v>250</v>
      </c>
      <c r="G953" s="120">
        <v>0</v>
      </c>
      <c r="H953" s="120" t="s">
        <v>250</v>
      </c>
      <c r="I953" s="120">
        <v>652265.45999999985</v>
      </c>
      <c r="J953" s="120">
        <v>0</v>
      </c>
      <c r="K953" s="120" t="s">
        <v>250</v>
      </c>
      <c r="L953" s="120" t="s">
        <v>250</v>
      </c>
      <c r="M953" s="120">
        <v>0</v>
      </c>
      <c r="N953" s="120" t="s">
        <v>250</v>
      </c>
      <c r="O953" s="120">
        <v>0</v>
      </c>
      <c r="P953" s="120">
        <v>0</v>
      </c>
      <c r="Q953" s="120">
        <v>0</v>
      </c>
      <c r="R953" s="120"/>
      <c r="S953" s="121"/>
    </row>
    <row r="954" spans="1:19" ht="15">
      <c r="A954" s="105">
        <v>23</v>
      </c>
      <c r="B954" s="105"/>
      <c r="C954" s="107" t="s">
        <v>945</v>
      </c>
      <c r="D954" s="107" t="s">
        <v>393</v>
      </c>
      <c r="E954" s="120">
        <v>9218684.6300000008</v>
      </c>
      <c r="F954" s="120" t="s">
        <v>250</v>
      </c>
      <c r="G954" s="120">
        <v>0</v>
      </c>
      <c r="H954" s="120" t="s">
        <v>250</v>
      </c>
      <c r="I954" s="120">
        <v>9218684.6300000008</v>
      </c>
      <c r="J954" s="120">
        <v>0</v>
      </c>
      <c r="K954" s="120" t="s">
        <v>250</v>
      </c>
      <c r="L954" s="120" t="s">
        <v>250</v>
      </c>
      <c r="M954" s="120">
        <v>0</v>
      </c>
      <c r="N954" s="120" t="s">
        <v>250</v>
      </c>
      <c r="O954" s="120">
        <v>0</v>
      </c>
      <c r="P954" s="120">
        <v>0</v>
      </c>
      <c r="Q954" s="120">
        <v>0</v>
      </c>
      <c r="R954" s="120"/>
      <c r="S954" s="121"/>
    </row>
    <row r="955" spans="1:19" ht="15">
      <c r="A955" s="105">
        <v>24</v>
      </c>
      <c r="B955" s="105"/>
      <c r="C955" s="107" t="s">
        <v>2238</v>
      </c>
      <c r="D955" s="107" t="s">
        <v>2216</v>
      </c>
      <c r="E955" s="120">
        <v>1471422.5899999999</v>
      </c>
      <c r="F955" s="120" t="s">
        <v>250</v>
      </c>
      <c r="G955" s="120">
        <v>906481.46</v>
      </c>
      <c r="H955" s="120" t="s">
        <v>250</v>
      </c>
      <c r="I955" s="120">
        <v>564941.13</v>
      </c>
      <c r="J955" s="120">
        <v>0</v>
      </c>
      <c r="K955" s="120" t="s">
        <v>250</v>
      </c>
      <c r="L955" s="120" t="s">
        <v>250</v>
      </c>
      <c r="M955" s="120">
        <v>0</v>
      </c>
      <c r="N955" s="120" t="s">
        <v>250</v>
      </c>
      <c r="O955" s="120">
        <v>0</v>
      </c>
      <c r="P955" s="120">
        <v>0</v>
      </c>
      <c r="Q955" s="120">
        <v>0</v>
      </c>
      <c r="R955" s="120"/>
      <c r="S955" s="121"/>
    </row>
    <row r="956" spans="1:19" ht="15">
      <c r="A956" s="105">
        <v>25</v>
      </c>
      <c r="B956" s="105"/>
      <c r="C956" s="107" t="s">
        <v>946</v>
      </c>
      <c r="D956" s="107" t="s">
        <v>394</v>
      </c>
      <c r="E956" s="120">
        <v>33401557.545384619</v>
      </c>
      <c r="F956" s="120" t="s">
        <v>250</v>
      </c>
      <c r="G956" s="120">
        <v>0</v>
      </c>
      <c r="H956" s="120" t="s">
        <v>250</v>
      </c>
      <c r="I956" s="120">
        <v>33401557.545384619</v>
      </c>
      <c r="J956" s="120">
        <v>0</v>
      </c>
      <c r="K956" s="120" t="s">
        <v>250</v>
      </c>
      <c r="L956" s="120" t="s">
        <v>250</v>
      </c>
      <c r="M956" s="120">
        <v>0</v>
      </c>
      <c r="N956" s="120" t="s">
        <v>250</v>
      </c>
      <c r="O956" s="120">
        <v>0</v>
      </c>
      <c r="P956" s="120">
        <v>0</v>
      </c>
      <c r="Q956" s="120">
        <v>0</v>
      </c>
      <c r="R956" s="120"/>
      <c r="S956" s="121"/>
    </row>
    <row r="957" spans="1:19" ht="15">
      <c r="A957" s="105">
        <v>26</v>
      </c>
      <c r="B957" s="105"/>
      <c r="C957" s="107" t="s">
        <v>947</v>
      </c>
      <c r="D957" s="107" t="s">
        <v>395</v>
      </c>
      <c r="E957" s="120">
        <v>31936306.109230727</v>
      </c>
      <c r="F957" s="120" t="s">
        <v>250</v>
      </c>
      <c r="G957" s="120">
        <v>0</v>
      </c>
      <c r="H957" s="120" t="s">
        <v>250</v>
      </c>
      <c r="I957" s="120">
        <v>31936306.109230727</v>
      </c>
      <c r="J957" s="120">
        <v>0</v>
      </c>
      <c r="K957" s="120" t="s">
        <v>250</v>
      </c>
      <c r="L957" s="120" t="s">
        <v>250</v>
      </c>
      <c r="M957" s="120">
        <v>0</v>
      </c>
      <c r="N957" s="120" t="s">
        <v>250</v>
      </c>
      <c r="O957" s="120">
        <v>0</v>
      </c>
      <c r="P957" s="120">
        <v>0</v>
      </c>
      <c r="Q957" s="120">
        <v>0</v>
      </c>
      <c r="R957" s="120"/>
      <c r="S957" s="121"/>
    </row>
    <row r="958" spans="1:19" ht="15">
      <c r="A958" s="105">
        <v>27</v>
      </c>
      <c r="B958" s="105"/>
      <c r="C958" s="107" t="s">
        <v>948</v>
      </c>
      <c r="D958" s="107" t="s">
        <v>396</v>
      </c>
      <c r="E958" s="120">
        <v>5388250.1130769132</v>
      </c>
      <c r="F958" s="120" t="s">
        <v>250</v>
      </c>
      <c r="G958" s="120">
        <v>0</v>
      </c>
      <c r="H958" s="120" t="s">
        <v>250</v>
      </c>
      <c r="I958" s="120">
        <v>5388250.1130769132</v>
      </c>
      <c r="J958" s="120">
        <v>0</v>
      </c>
      <c r="K958" s="120" t="s">
        <v>250</v>
      </c>
      <c r="L958" s="120" t="s">
        <v>250</v>
      </c>
      <c r="M958" s="120">
        <v>0</v>
      </c>
      <c r="N958" s="120" t="s">
        <v>250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28</v>
      </c>
      <c r="B959" s="105"/>
      <c r="C959" s="107" t="s">
        <v>949</v>
      </c>
      <c r="D959" s="107" t="s">
        <v>398</v>
      </c>
      <c r="E959" s="120">
        <v>11061514.763076922</v>
      </c>
      <c r="F959" s="120" t="s">
        <v>250</v>
      </c>
      <c r="G959" s="120">
        <v>0</v>
      </c>
      <c r="H959" s="120" t="s">
        <v>250</v>
      </c>
      <c r="I959" s="120">
        <v>11061514.763076922</v>
      </c>
      <c r="J959" s="120">
        <v>0</v>
      </c>
      <c r="K959" s="120" t="s">
        <v>250</v>
      </c>
      <c r="L959" s="120" t="s">
        <v>250</v>
      </c>
      <c r="M959" s="120">
        <v>0</v>
      </c>
      <c r="N959" s="120" t="s">
        <v>250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29</v>
      </c>
      <c r="B960" s="105"/>
      <c r="C960" s="107" t="s">
        <v>950</v>
      </c>
      <c r="D960" s="107" t="s">
        <v>405</v>
      </c>
      <c r="E960" s="120">
        <v>5040.2300000000005</v>
      </c>
      <c r="F960" s="120" t="s">
        <v>250</v>
      </c>
      <c r="G960" s="120">
        <v>5040.2300000000005</v>
      </c>
      <c r="H960" s="120" t="s">
        <v>250</v>
      </c>
      <c r="I960" s="120">
        <v>0</v>
      </c>
      <c r="J960" s="120">
        <v>0</v>
      </c>
      <c r="K960" s="120" t="s">
        <v>250</v>
      </c>
      <c r="L960" s="120" t="s">
        <v>250</v>
      </c>
      <c r="M960" s="120">
        <v>0</v>
      </c>
      <c r="N960" s="120" t="s">
        <v>250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30</v>
      </c>
      <c r="B961" s="105"/>
      <c r="C961" s="107" t="s">
        <v>951</v>
      </c>
      <c r="D961" s="107" t="s">
        <v>406</v>
      </c>
      <c r="E961" s="120">
        <v>2545.13</v>
      </c>
      <c r="F961" s="120" t="s">
        <v>250</v>
      </c>
      <c r="G961" s="120">
        <v>2545.13</v>
      </c>
      <c r="H961" s="120" t="s">
        <v>250</v>
      </c>
      <c r="I961" s="120">
        <v>0</v>
      </c>
      <c r="J961" s="120">
        <v>0</v>
      </c>
      <c r="K961" s="120" t="s">
        <v>250</v>
      </c>
      <c r="L961" s="120" t="s">
        <v>250</v>
      </c>
      <c r="M961" s="120">
        <v>0</v>
      </c>
      <c r="N961" s="120" t="s">
        <v>250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31</v>
      </c>
      <c r="B962" s="105"/>
      <c r="C962" s="107" t="s">
        <v>952</v>
      </c>
      <c r="D962" s="107" t="s">
        <v>407</v>
      </c>
      <c r="E962" s="120">
        <v>66853.420000000013</v>
      </c>
      <c r="F962" s="120" t="s">
        <v>250</v>
      </c>
      <c r="G962" s="120">
        <v>66853.420000000013</v>
      </c>
      <c r="H962" s="120" t="s">
        <v>250</v>
      </c>
      <c r="I962" s="120">
        <v>0</v>
      </c>
      <c r="J962" s="120">
        <v>0</v>
      </c>
      <c r="K962" s="120" t="s">
        <v>250</v>
      </c>
      <c r="L962" s="120" t="s">
        <v>250</v>
      </c>
      <c r="M962" s="120">
        <v>0</v>
      </c>
      <c r="N962" s="120" t="s">
        <v>250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32</v>
      </c>
      <c r="B963" s="105"/>
      <c r="C963" s="107" t="s">
        <v>953</v>
      </c>
      <c r="D963" s="107" t="s">
        <v>408</v>
      </c>
      <c r="E963" s="120">
        <v>15954.52</v>
      </c>
      <c r="F963" s="120" t="s">
        <v>250</v>
      </c>
      <c r="G963" s="120">
        <v>15954.52</v>
      </c>
      <c r="H963" s="120" t="s">
        <v>250</v>
      </c>
      <c r="I963" s="120">
        <v>0</v>
      </c>
      <c r="J963" s="120">
        <v>0</v>
      </c>
      <c r="K963" s="120" t="s">
        <v>250</v>
      </c>
      <c r="L963" s="120" t="s">
        <v>250</v>
      </c>
      <c r="M963" s="120">
        <v>0</v>
      </c>
      <c r="N963" s="120" t="s">
        <v>250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33</v>
      </c>
      <c r="B964" s="105"/>
      <c r="C964" s="107" t="s">
        <v>954</v>
      </c>
      <c r="D964" s="107" t="s">
        <v>409</v>
      </c>
      <c r="E964" s="120">
        <v>17140.309999999998</v>
      </c>
      <c r="F964" s="120" t="s">
        <v>250</v>
      </c>
      <c r="G964" s="120">
        <v>17140.309999999998</v>
      </c>
      <c r="H964" s="120" t="s">
        <v>250</v>
      </c>
      <c r="I964" s="120">
        <v>0</v>
      </c>
      <c r="J964" s="120">
        <v>0</v>
      </c>
      <c r="K964" s="120" t="s">
        <v>250</v>
      </c>
      <c r="L964" s="120" t="s">
        <v>250</v>
      </c>
      <c r="M964" s="120">
        <v>0</v>
      </c>
      <c r="N964" s="120" t="s">
        <v>250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34</v>
      </c>
      <c r="B965" s="105"/>
      <c r="C965" s="107" t="s">
        <v>955</v>
      </c>
      <c r="D965" s="107" t="s">
        <v>410</v>
      </c>
      <c r="E965" s="120">
        <v>0</v>
      </c>
      <c r="F965" s="120" t="s">
        <v>250</v>
      </c>
      <c r="G965" s="120">
        <v>0</v>
      </c>
      <c r="H965" s="120" t="s">
        <v>250</v>
      </c>
      <c r="I965" s="120">
        <v>0</v>
      </c>
      <c r="J965" s="120">
        <v>0</v>
      </c>
      <c r="K965" s="120" t="s">
        <v>250</v>
      </c>
      <c r="L965" s="120" t="s">
        <v>250</v>
      </c>
      <c r="M965" s="120">
        <v>0</v>
      </c>
      <c r="N965" s="120" t="s">
        <v>250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35</v>
      </c>
      <c r="B966" s="105"/>
      <c r="C966" s="107" t="s">
        <v>956</v>
      </c>
      <c r="D966" s="107" t="s">
        <v>411</v>
      </c>
      <c r="E966" s="120">
        <v>0</v>
      </c>
      <c r="F966" s="120" t="s">
        <v>250</v>
      </c>
      <c r="G966" s="120">
        <v>0</v>
      </c>
      <c r="H966" s="120" t="s">
        <v>250</v>
      </c>
      <c r="I966" s="120">
        <v>0</v>
      </c>
      <c r="J966" s="120">
        <v>0</v>
      </c>
      <c r="K966" s="120" t="s">
        <v>250</v>
      </c>
      <c r="L966" s="120" t="s">
        <v>250</v>
      </c>
      <c r="M966" s="120">
        <v>0</v>
      </c>
      <c r="N966" s="120" t="s">
        <v>250</v>
      </c>
      <c r="O966" s="120">
        <v>0</v>
      </c>
      <c r="P966" s="120">
        <v>0</v>
      </c>
      <c r="Q966" s="120">
        <v>0</v>
      </c>
      <c r="R966" s="120"/>
    </row>
    <row r="967" spans="1:18" ht="15">
      <c r="A967" s="105">
        <v>36</v>
      </c>
      <c r="B967" s="105"/>
      <c r="C967" s="107" t="s">
        <v>957</v>
      </c>
      <c r="D967" s="107" t="s">
        <v>412</v>
      </c>
      <c r="E967" s="120">
        <v>0</v>
      </c>
      <c r="F967" s="120" t="s">
        <v>250</v>
      </c>
      <c r="G967" s="120">
        <v>0</v>
      </c>
      <c r="H967" s="120" t="s">
        <v>250</v>
      </c>
      <c r="I967" s="120">
        <v>0</v>
      </c>
      <c r="J967" s="120">
        <v>0</v>
      </c>
      <c r="K967" s="120" t="s">
        <v>250</v>
      </c>
      <c r="L967" s="120" t="s">
        <v>250</v>
      </c>
      <c r="M967" s="120">
        <v>0</v>
      </c>
      <c r="N967" s="120" t="s">
        <v>250</v>
      </c>
      <c r="O967" s="120">
        <v>0</v>
      </c>
      <c r="P967" s="120">
        <v>0</v>
      </c>
      <c r="Q967" s="120">
        <v>0</v>
      </c>
      <c r="R967" s="120"/>
    </row>
    <row r="968" spans="1:18" ht="15">
      <c r="A968" s="105">
        <v>37</v>
      </c>
      <c r="B968" s="105"/>
      <c r="C968" s="107" t="s">
        <v>958</v>
      </c>
      <c r="D968" s="107" t="s">
        <v>413</v>
      </c>
      <c r="E968" s="120">
        <v>0</v>
      </c>
      <c r="F968" s="120" t="s">
        <v>250</v>
      </c>
      <c r="G968" s="120">
        <v>0</v>
      </c>
      <c r="H968" s="120" t="s">
        <v>250</v>
      </c>
      <c r="I968" s="120">
        <v>0</v>
      </c>
      <c r="J968" s="120">
        <v>0</v>
      </c>
      <c r="K968" s="120" t="s">
        <v>250</v>
      </c>
      <c r="L968" s="120" t="s">
        <v>250</v>
      </c>
      <c r="M968" s="120">
        <v>0</v>
      </c>
      <c r="N968" s="120" t="s">
        <v>250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38</v>
      </c>
      <c r="B969" s="105"/>
      <c r="C969" s="107" t="s">
        <v>959</v>
      </c>
      <c r="D969" s="107" t="s">
        <v>463</v>
      </c>
      <c r="E969" s="120">
        <v>43641210.879752144</v>
      </c>
      <c r="F969" s="120" t="s">
        <v>250</v>
      </c>
      <c r="G969" s="120">
        <v>19413.564558608086</v>
      </c>
      <c r="H969" s="120" t="s">
        <v>250</v>
      </c>
      <c r="I969" s="120">
        <v>43621797.315193534</v>
      </c>
      <c r="J969" s="120">
        <v>0</v>
      </c>
      <c r="K969" s="120" t="s">
        <v>250</v>
      </c>
      <c r="L969" s="120" t="s">
        <v>250</v>
      </c>
      <c r="M969" s="120">
        <v>0</v>
      </c>
      <c r="N969" s="120" t="s">
        <v>250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39</v>
      </c>
      <c r="B970" s="105"/>
      <c r="C970" s="107" t="s">
        <v>960</v>
      </c>
      <c r="D970" s="107" t="s">
        <v>486</v>
      </c>
      <c r="E970" s="120">
        <v>625805.5384615385</v>
      </c>
      <c r="F970" s="120" t="s">
        <v>250</v>
      </c>
      <c r="G970" s="120">
        <v>0</v>
      </c>
      <c r="H970" s="120" t="s">
        <v>250</v>
      </c>
      <c r="I970" s="120">
        <v>625805.5384615385</v>
      </c>
      <c r="J970" s="120">
        <v>0</v>
      </c>
      <c r="K970" s="120" t="s">
        <v>250</v>
      </c>
      <c r="L970" s="120" t="s">
        <v>250</v>
      </c>
      <c r="M970" s="120">
        <v>0</v>
      </c>
      <c r="N970" s="120" t="s">
        <v>250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40</v>
      </c>
      <c r="B971" s="105"/>
      <c r="C971" s="107" t="s">
        <v>2239</v>
      </c>
      <c r="D971" s="107" t="s">
        <v>522</v>
      </c>
      <c r="E971" s="120">
        <v>13223520.805528197</v>
      </c>
      <c r="F971" s="120" t="s">
        <v>250</v>
      </c>
      <c r="G971" s="120">
        <v>0</v>
      </c>
      <c r="H971" s="120" t="s">
        <v>250</v>
      </c>
      <c r="I971" s="120">
        <v>13223520.805528197</v>
      </c>
      <c r="J971" s="120">
        <v>0</v>
      </c>
      <c r="K971" s="120" t="s">
        <v>250</v>
      </c>
      <c r="L971" s="120" t="s">
        <v>250</v>
      </c>
      <c r="M971" s="120">
        <v>0</v>
      </c>
      <c r="N971" s="120" t="s">
        <v>250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41</v>
      </c>
      <c r="B972" s="105"/>
      <c r="C972" s="107" t="s">
        <v>2240</v>
      </c>
      <c r="D972" s="107" t="s">
        <v>531</v>
      </c>
      <c r="E972" s="120">
        <v>0</v>
      </c>
      <c r="F972" s="120" t="s">
        <v>250</v>
      </c>
      <c r="G972" s="120">
        <v>0</v>
      </c>
      <c r="H972" s="120" t="s">
        <v>250</v>
      </c>
      <c r="I972" s="120">
        <v>0</v>
      </c>
      <c r="J972" s="120">
        <v>0</v>
      </c>
      <c r="K972" s="120" t="s">
        <v>250</v>
      </c>
      <c r="L972" s="120" t="s">
        <v>250</v>
      </c>
      <c r="M972" s="120">
        <v>0</v>
      </c>
      <c r="N972" s="120" t="s">
        <v>250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42</v>
      </c>
      <c r="B973" s="105"/>
      <c r="C973" s="107" t="s">
        <v>961</v>
      </c>
      <c r="D973" s="107" t="s">
        <v>568</v>
      </c>
      <c r="E973" s="120">
        <v>3953480.6050000004</v>
      </c>
      <c r="F973" s="120" t="s">
        <v>250</v>
      </c>
      <c r="G973" s="120">
        <v>2942174.8550000004</v>
      </c>
      <c r="H973" s="120" t="s">
        <v>250</v>
      </c>
      <c r="I973" s="120">
        <v>789057.59000000008</v>
      </c>
      <c r="J973" s="120">
        <v>222248.16</v>
      </c>
      <c r="K973" s="120" t="s">
        <v>250</v>
      </c>
      <c r="L973" s="120" t="s">
        <v>250</v>
      </c>
      <c r="M973" s="120">
        <v>0</v>
      </c>
      <c r="N973" s="120" t="s">
        <v>250</v>
      </c>
      <c r="O973" s="120">
        <v>222248.16</v>
      </c>
      <c r="P973" s="120">
        <v>222248.16</v>
      </c>
      <c r="Q973" s="120">
        <v>0</v>
      </c>
      <c r="R973" s="120"/>
    </row>
    <row r="974" spans="1:18" ht="15">
      <c r="A974" s="105">
        <v>43</v>
      </c>
      <c r="B974" s="105"/>
      <c r="C974" s="107" t="s">
        <v>962</v>
      </c>
      <c r="D974" s="107" t="s">
        <v>578</v>
      </c>
      <c r="E974" s="120">
        <v>32025.913333333316</v>
      </c>
      <c r="F974" s="120" t="s">
        <v>250</v>
      </c>
      <c r="G974" s="120">
        <v>30873.913333333316</v>
      </c>
      <c r="H974" s="120" t="s">
        <v>250</v>
      </c>
      <c r="I974" s="120">
        <v>1152</v>
      </c>
      <c r="J974" s="120">
        <v>0</v>
      </c>
      <c r="K974" s="120" t="s">
        <v>250</v>
      </c>
      <c r="L974" s="120" t="s">
        <v>250</v>
      </c>
      <c r="M974" s="120">
        <v>0</v>
      </c>
      <c r="N974" s="120" t="s">
        <v>250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>
        <v>44</v>
      </c>
      <c r="B975" s="105"/>
      <c r="C975" s="107" t="s">
        <v>963</v>
      </c>
      <c r="D975" s="107" t="s">
        <v>576</v>
      </c>
      <c r="E975" s="120">
        <v>166698.69000000003</v>
      </c>
      <c r="F975" s="120" t="s">
        <v>250</v>
      </c>
      <c r="G975" s="120">
        <v>166698.69000000003</v>
      </c>
      <c r="H975" s="120" t="s">
        <v>250</v>
      </c>
      <c r="I975" s="120">
        <v>0</v>
      </c>
      <c r="J975" s="120">
        <v>0</v>
      </c>
      <c r="K975" s="120" t="s">
        <v>250</v>
      </c>
      <c r="L975" s="120" t="s">
        <v>250</v>
      </c>
      <c r="M975" s="120">
        <v>0</v>
      </c>
      <c r="N975" s="120" t="s">
        <v>250</v>
      </c>
      <c r="O975" s="120">
        <v>0</v>
      </c>
      <c r="P975" s="120">
        <v>0</v>
      </c>
      <c r="Q975" s="120">
        <v>0</v>
      </c>
      <c r="R975" s="120"/>
    </row>
    <row r="976" spans="1:18" ht="15">
      <c r="A976" s="105">
        <v>45</v>
      </c>
      <c r="B976" s="105"/>
      <c r="C976" s="107" t="s">
        <v>964</v>
      </c>
      <c r="D976" s="107" t="s">
        <v>564</v>
      </c>
      <c r="E976" s="120">
        <v>2174943.6666666651</v>
      </c>
      <c r="F976" s="120" t="s">
        <v>250</v>
      </c>
      <c r="G976" s="120">
        <v>2104203.6666666651</v>
      </c>
      <c r="H976" s="120" t="s">
        <v>250</v>
      </c>
      <c r="I976" s="120">
        <v>70740</v>
      </c>
      <c r="J976" s="120">
        <v>0</v>
      </c>
      <c r="K976" s="120" t="s">
        <v>250</v>
      </c>
      <c r="L976" s="120" t="s">
        <v>250</v>
      </c>
      <c r="M976" s="120">
        <v>0</v>
      </c>
      <c r="N976" s="120" t="s">
        <v>250</v>
      </c>
      <c r="O976" s="120">
        <v>0</v>
      </c>
      <c r="P976" s="120">
        <v>0</v>
      </c>
      <c r="Q976" s="120">
        <v>0</v>
      </c>
      <c r="R976" s="120"/>
    </row>
    <row r="977" spans="1:18" ht="15">
      <c r="A977" s="105">
        <v>46</v>
      </c>
      <c r="B977" s="105"/>
      <c r="C977" s="107" t="s">
        <v>965</v>
      </c>
      <c r="D977" s="107" t="s">
        <v>566</v>
      </c>
      <c r="E977" s="120">
        <v>94079.309999999896</v>
      </c>
      <c r="F977" s="120" t="s">
        <v>250</v>
      </c>
      <c r="G977" s="120">
        <v>93979.309999999896</v>
      </c>
      <c r="H977" s="120" t="s">
        <v>250</v>
      </c>
      <c r="I977" s="120">
        <v>100</v>
      </c>
      <c r="J977" s="120">
        <v>0</v>
      </c>
      <c r="K977" s="120" t="s">
        <v>250</v>
      </c>
      <c r="L977" s="120" t="s">
        <v>250</v>
      </c>
      <c r="M977" s="120">
        <v>0</v>
      </c>
      <c r="N977" s="120" t="s">
        <v>250</v>
      </c>
      <c r="O977" s="120">
        <v>0</v>
      </c>
      <c r="P977" s="120">
        <v>0</v>
      </c>
      <c r="Q977" s="120">
        <v>0</v>
      </c>
      <c r="R977" s="120"/>
    </row>
    <row r="978" spans="1:18" ht="15">
      <c r="A978" s="105">
        <v>47</v>
      </c>
      <c r="B978" s="105"/>
      <c r="C978" s="107" t="s">
        <v>966</v>
      </c>
      <c r="D978" s="107" t="s">
        <v>574</v>
      </c>
      <c r="E978" s="120">
        <v>68898.000000000015</v>
      </c>
      <c r="F978" s="120" t="s">
        <v>250</v>
      </c>
      <c r="G978" s="120">
        <v>61024.000000000015</v>
      </c>
      <c r="H978" s="120" t="s">
        <v>250</v>
      </c>
      <c r="I978" s="120">
        <v>7874</v>
      </c>
      <c r="J978" s="120">
        <v>0</v>
      </c>
      <c r="K978" s="120" t="s">
        <v>250</v>
      </c>
      <c r="L978" s="120" t="s">
        <v>250</v>
      </c>
      <c r="M978" s="120">
        <v>0</v>
      </c>
      <c r="N978" s="120" t="s">
        <v>250</v>
      </c>
      <c r="O978" s="120">
        <v>0</v>
      </c>
      <c r="P978" s="120">
        <v>0</v>
      </c>
      <c r="Q978" s="120">
        <v>0</v>
      </c>
      <c r="R978" s="120"/>
    </row>
    <row r="979" spans="1:18" ht="15">
      <c r="A979" s="105">
        <v>48</v>
      </c>
      <c r="B979" s="105"/>
      <c r="C979" s="107" t="s">
        <v>967</v>
      </c>
      <c r="D979" s="107" t="s">
        <v>968</v>
      </c>
      <c r="E979" s="120">
        <v>206492.60298749444</v>
      </c>
      <c r="F979" s="120" t="s">
        <v>250</v>
      </c>
      <c r="G979" s="120">
        <v>0</v>
      </c>
      <c r="H979" s="120" t="s">
        <v>250</v>
      </c>
      <c r="I979" s="120">
        <v>206492.60298749444</v>
      </c>
      <c r="J979" s="120">
        <v>0</v>
      </c>
      <c r="K979" s="120" t="s">
        <v>250</v>
      </c>
      <c r="L979" s="120" t="s">
        <v>250</v>
      </c>
      <c r="M979" s="120">
        <v>0</v>
      </c>
      <c r="N979" s="120" t="s">
        <v>250</v>
      </c>
      <c r="O979" s="120">
        <v>0</v>
      </c>
      <c r="P979" s="120">
        <v>0</v>
      </c>
      <c r="Q979" s="120">
        <v>0</v>
      </c>
      <c r="R979" s="120"/>
    </row>
    <row r="980" spans="1:18" ht="15">
      <c r="A980" s="105">
        <v>49</v>
      </c>
      <c r="B980" s="105"/>
      <c r="C980" s="107" t="s">
        <v>969</v>
      </c>
      <c r="D980" s="107" t="s">
        <v>770</v>
      </c>
      <c r="E980" s="120">
        <v>0</v>
      </c>
      <c r="F980" s="120" t="s">
        <v>250</v>
      </c>
      <c r="G980" s="120">
        <v>0</v>
      </c>
      <c r="H980" s="120" t="s">
        <v>250</v>
      </c>
      <c r="I980" s="120">
        <v>0</v>
      </c>
      <c r="J980" s="120">
        <v>0</v>
      </c>
      <c r="K980" s="120" t="s">
        <v>250</v>
      </c>
      <c r="L980" s="120" t="s">
        <v>250</v>
      </c>
      <c r="M980" s="120">
        <v>0</v>
      </c>
      <c r="N980" s="120" t="s">
        <v>250</v>
      </c>
      <c r="O980" s="120">
        <v>0</v>
      </c>
      <c r="P980" s="120">
        <v>0</v>
      </c>
      <c r="Q980" s="120">
        <v>0</v>
      </c>
      <c r="R980" s="120"/>
    </row>
    <row r="981" spans="1:18" ht="15">
      <c r="A981" s="105">
        <v>50</v>
      </c>
      <c r="B981" s="105"/>
      <c r="C981" s="107" t="s">
        <v>970</v>
      </c>
      <c r="D981" s="107" t="s">
        <v>540</v>
      </c>
      <c r="E981" s="120">
        <v>237184.29288461525</v>
      </c>
      <c r="F981" s="120" t="s">
        <v>250</v>
      </c>
      <c r="G981" s="120">
        <v>0</v>
      </c>
      <c r="H981" s="120" t="s">
        <v>250</v>
      </c>
      <c r="I981" s="120">
        <v>237184.29288461525</v>
      </c>
      <c r="J981" s="120">
        <v>0</v>
      </c>
      <c r="K981" s="120" t="s">
        <v>250</v>
      </c>
      <c r="L981" s="120" t="s">
        <v>250</v>
      </c>
      <c r="M981" s="120">
        <v>0</v>
      </c>
      <c r="N981" s="120" t="s">
        <v>250</v>
      </c>
      <c r="O981" s="120">
        <v>0</v>
      </c>
      <c r="P981" s="120">
        <v>0</v>
      </c>
      <c r="Q981" s="120">
        <v>0</v>
      </c>
      <c r="R981" s="120"/>
    </row>
    <row r="982" spans="1:18" ht="15">
      <c r="A982" s="105">
        <v>51</v>
      </c>
      <c r="B982" s="105"/>
      <c r="C982" s="107" t="s">
        <v>3708</v>
      </c>
      <c r="D982" s="107" t="s">
        <v>3707</v>
      </c>
      <c r="E982" s="120">
        <v>-183430.89718710794</v>
      </c>
      <c r="F982" s="120" t="s">
        <v>250</v>
      </c>
      <c r="G982" s="120">
        <v>-172631.56400688647</v>
      </c>
      <c r="H982" s="120" t="s">
        <v>250</v>
      </c>
      <c r="I982" s="120">
        <v>-9210.2270639908329</v>
      </c>
      <c r="J982" s="120">
        <v>-1589.1061162306401</v>
      </c>
      <c r="K982" s="120" t="s">
        <v>250</v>
      </c>
      <c r="L982" s="120" t="s">
        <v>250</v>
      </c>
      <c r="M982" s="120">
        <v>0</v>
      </c>
      <c r="N982" s="120" t="s">
        <v>250</v>
      </c>
      <c r="O982" s="120">
        <v>-1589.1061162306401</v>
      </c>
      <c r="P982" s="120">
        <v>-1589.1061162306401</v>
      </c>
      <c r="Q982" s="120">
        <v>0</v>
      </c>
      <c r="R982" s="120"/>
    </row>
    <row r="983" spans="1:18" ht="15">
      <c r="A983" s="105">
        <v>52</v>
      </c>
      <c r="B983" s="105"/>
      <c r="C983" s="107" t="s">
        <v>3728</v>
      </c>
      <c r="D983" s="107" t="s">
        <v>3730</v>
      </c>
      <c r="E983" s="120">
        <v>9948564.2224140912</v>
      </c>
      <c r="F983" s="120" t="s">
        <v>250</v>
      </c>
      <c r="G983" s="120">
        <v>9334436.6321658473</v>
      </c>
      <c r="H983" s="120" t="s">
        <v>250</v>
      </c>
      <c r="I983" s="120">
        <v>497873.98118477903</v>
      </c>
      <c r="J983" s="120">
        <v>116253.609063465</v>
      </c>
      <c r="K983" s="120" t="s">
        <v>250</v>
      </c>
      <c r="L983" s="120" t="s">
        <v>250</v>
      </c>
      <c r="M983" s="120">
        <v>0</v>
      </c>
      <c r="N983" s="120" t="s">
        <v>250</v>
      </c>
      <c r="O983" s="120">
        <v>116253.609063465</v>
      </c>
      <c r="P983" s="120">
        <v>116253.609063465</v>
      </c>
      <c r="Q983" s="120">
        <v>0</v>
      </c>
      <c r="R983" s="120"/>
    </row>
    <row r="984" spans="1:18" ht="15">
      <c r="A984" s="105" t="s">
        <v>250</v>
      </c>
      <c r="B984" s="105"/>
      <c r="C984" s="107" t="s">
        <v>250</v>
      </c>
      <c r="D984" s="107" t="s">
        <v>250</v>
      </c>
      <c r="E984" s="120" t="s">
        <v>250</v>
      </c>
      <c r="F984" s="120" t="s">
        <v>250</v>
      </c>
      <c r="G984" s="120" t="s">
        <v>250</v>
      </c>
      <c r="H984" s="120" t="s">
        <v>250</v>
      </c>
      <c r="I984" s="120" t="s">
        <v>250</v>
      </c>
      <c r="J984" s="120" t="s">
        <v>250</v>
      </c>
      <c r="K984" s="120" t="s">
        <v>250</v>
      </c>
      <c r="L984" s="120" t="s">
        <v>250</v>
      </c>
      <c r="M984" s="120" t="s">
        <v>250</v>
      </c>
      <c r="N984" s="120" t="s">
        <v>250</v>
      </c>
      <c r="O984" s="120" t="s">
        <v>250</v>
      </c>
      <c r="P984" s="120" t="s">
        <v>250</v>
      </c>
      <c r="Q984" s="120" t="s">
        <v>250</v>
      </c>
      <c r="R984" s="120"/>
    </row>
    <row r="985" spans="1:18" ht="15">
      <c r="A985" s="105" t="s">
        <v>250</v>
      </c>
      <c r="B985" s="105"/>
      <c r="C985" s="107" t="s">
        <v>3709</v>
      </c>
      <c r="D985" s="107" t="s">
        <v>250</v>
      </c>
      <c r="E985" s="120" t="s">
        <v>250</v>
      </c>
      <c r="F985" s="120" t="s">
        <v>250</v>
      </c>
      <c r="G985" s="120" t="s">
        <v>250</v>
      </c>
      <c r="H985" s="120" t="s">
        <v>250</v>
      </c>
      <c r="I985" s="120" t="s">
        <v>250</v>
      </c>
      <c r="J985" s="120" t="s">
        <v>250</v>
      </c>
      <c r="K985" s="120" t="s">
        <v>250</v>
      </c>
      <c r="L985" s="120" t="s">
        <v>250</v>
      </c>
      <c r="M985" s="120" t="s">
        <v>250</v>
      </c>
      <c r="N985" s="120" t="s">
        <v>250</v>
      </c>
      <c r="O985" s="120" t="s">
        <v>250</v>
      </c>
      <c r="P985" s="120" t="s">
        <v>250</v>
      </c>
      <c r="Q985" s="120" t="s">
        <v>250</v>
      </c>
      <c r="R985" s="120"/>
    </row>
    <row r="986" spans="1:18" ht="15">
      <c r="A986" s="105">
        <v>1</v>
      </c>
      <c r="B986" s="105"/>
      <c r="C986" s="107" t="s">
        <v>250</v>
      </c>
      <c r="D986" s="107" t="s">
        <v>250</v>
      </c>
      <c r="E986" s="120" t="s">
        <v>250</v>
      </c>
      <c r="F986" s="120" t="s">
        <v>250</v>
      </c>
      <c r="G986" s="120" t="s">
        <v>250</v>
      </c>
      <c r="H986" s="120" t="s">
        <v>250</v>
      </c>
      <c r="I986" s="120" t="s">
        <v>250</v>
      </c>
      <c r="J986" s="120" t="s">
        <v>250</v>
      </c>
      <c r="K986" s="120" t="s">
        <v>250</v>
      </c>
      <c r="L986" s="120" t="s">
        <v>250</v>
      </c>
      <c r="M986" s="120" t="s">
        <v>250</v>
      </c>
      <c r="N986" s="120" t="s">
        <v>250</v>
      </c>
      <c r="O986" s="120" t="s">
        <v>250</v>
      </c>
      <c r="P986" s="120" t="s">
        <v>250</v>
      </c>
      <c r="Q986" s="120" t="s">
        <v>250</v>
      </c>
      <c r="R986" s="120"/>
    </row>
    <row r="987" spans="1:18" ht="15">
      <c r="A987" s="105">
        <v>2</v>
      </c>
      <c r="B987" s="105"/>
      <c r="C987" s="107" t="s">
        <v>250</v>
      </c>
      <c r="D987" s="107" t="s">
        <v>250</v>
      </c>
      <c r="E987" s="120" t="s">
        <v>250</v>
      </c>
      <c r="F987" s="120" t="s">
        <v>250</v>
      </c>
      <c r="G987" s="120" t="s">
        <v>250</v>
      </c>
      <c r="H987" s="120" t="s">
        <v>250</v>
      </c>
      <c r="I987" s="120" t="s">
        <v>250</v>
      </c>
      <c r="J987" s="120" t="s">
        <v>250</v>
      </c>
      <c r="K987" s="120" t="s">
        <v>250</v>
      </c>
      <c r="L987" s="120" t="s">
        <v>250</v>
      </c>
      <c r="M987" s="120" t="s">
        <v>250</v>
      </c>
      <c r="N987" s="120" t="s">
        <v>250</v>
      </c>
      <c r="O987" s="120" t="s">
        <v>250</v>
      </c>
      <c r="P987" s="120" t="s">
        <v>250</v>
      </c>
      <c r="Q987" s="120" t="s">
        <v>250</v>
      </c>
      <c r="R987" s="120"/>
    </row>
    <row r="988" spans="1:18" ht="15">
      <c r="A988" s="105" t="s">
        <v>250</v>
      </c>
      <c r="B988" s="105"/>
      <c r="C988" s="107" t="s">
        <v>250</v>
      </c>
      <c r="D988" s="107" t="s">
        <v>250</v>
      </c>
      <c r="E988" s="120" t="s">
        <v>250</v>
      </c>
      <c r="F988" s="120" t="s">
        <v>250</v>
      </c>
      <c r="G988" s="120" t="s">
        <v>250</v>
      </c>
      <c r="H988" s="120" t="s">
        <v>250</v>
      </c>
      <c r="I988" s="120" t="s">
        <v>250</v>
      </c>
      <c r="J988" s="120" t="s">
        <v>250</v>
      </c>
      <c r="K988" s="120" t="s">
        <v>250</v>
      </c>
      <c r="L988" s="120" t="s">
        <v>250</v>
      </c>
      <c r="M988" s="120" t="s">
        <v>250</v>
      </c>
      <c r="N988" s="120" t="s">
        <v>250</v>
      </c>
      <c r="O988" s="120" t="s">
        <v>250</v>
      </c>
      <c r="P988" s="120" t="s">
        <v>250</v>
      </c>
      <c r="Q988" s="120" t="s">
        <v>250</v>
      </c>
      <c r="R988" s="120"/>
    </row>
    <row r="989" spans="1:18" ht="15">
      <c r="A989" s="105" t="s">
        <v>250</v>
      </c>
      <c r="B989" s="105"/>
      <c r="C989" s="107" t="s">
        <v>494</v>
      </c>
      <c r="D989" s="107" t="s">
        <v>250</v>
      </c>
      <c r="E989" s="120" t="s">
        <v>250</v>
      </c>
      <c r="F989" s="120" t="s">
        <v>250</v>
      </c>
      <c r="G989" s="120" t="s">
        <v>250</v>
      </c>
      <c r="H989" s="120" t="s">
        <v>250</v>
      </c>
      <c r="I989" s="120" t="s">
        <v>250</v>
      </c>
      <c r="J989" s="120" t="s">
        <v>250</v>
      </c>
      <c r="K989" s="120" t="s">
        <v>250</v>
      </c>
      <c r="L989" s="120" t="s">
        <v>250</v>
      </c>
      <c r="M989" s="120" t="s">
        <v>250</v>
      </c>
      <c r="N989" s="120" t="s">
        <v>250</v>
      </c>
      <c r="O989" s="120" t="s">
        <v>250</v>
      </c>
      <c r="P989" s="120" t="s">
        <v>250</v>
      </c>
      <c r="Q989" s="120" t="s">
        <v>250</v>
      </c>
      <c r="R989" s="120"/>
    </row>
    <row r="990" spans="1:18" ht="15">
      <c r="A990" s="105" t="s">
        <v>250</v>
      </c>
      <c r="B990" s="105"/>
      <c r="C990" s="107" t="s">
        <v>917</v>
      </c>
      <c r="D990" s="107" t="s">
        <v>250</v>
      </c>
      <c r="E990" s="120" t="s">
        <v>250</v>
      </c>
      <c r="F990" s="120" t="s">
        <v>250</v>
      </c>
      <c r="G990" s="120" t="s">
        <v>250</v>
      </c>
      <c r="H990" s="120" t="s">
        <v>250</v>
      </c>
      <c r="I990" s="120" t="s">
        <v>250</v>
      </c>
      <c r="J990" s="120" t="s">
        <v>250</v>
      </c>
      <c r="K990" s="120" t="s">
        <v>250</v>
      </c>
      <c r="L990" s="120" t="s">
        <v>250</v>
      </c>
      <c r="M990" s="120" t="s">
        <v>250</v>
      </c>
      <c r="N990" s="120" t="s">
        <v>250</v>
      </c>
      <c r="O990" s="120" t="s">
        <v>250</v>
      </c>
      <c r="P990" s="120" t="s">
        <v>250</v>
      </c>
      <c r="Q990" s="120" t="s">
        <v>250</v>
      </c>
      <c r="R990" s="120"/>
    </row>
    <row r="991" spans="1:18" ht="15">
      <c r="A991" s="105">
        <v>1</v>
      </c>
      <c r="B991" s="105"/>
      <c r="C991" s="107" t="s">
        <v>971</v>
      </c>
      <c r="D991" s="107" t="s">
        <v>494</v>
      </c>
      <c r="E991" s="120">
        <v>20235892</v>
      </c>
      <c r="F991" s="120" t="s">
        <v>250</v>
      </c>
      <c r="G991" s="120">
        <v>19058683</v>
      </c>
      <c r="H991" s="120" t="s">
        <v>250</v>
      </c>
      <c r="I991" s="120">
        <v>765390</v>
      </c>
      <c r="J991" s="120">
        <v>411819</v>
      </c>
      <c r="K991" s="120" t="s">
        <v>250</v>
      </c>
      <c r="L991" s="120" t="s">
        <v>250</v>
      </c>
      <c r="M991" s="120">
        <v>0</v>
      </c>
      <c r="N991" s="120" t="s">
        <v>250</v>
      </c>
      <c r="O991" s="120">
        <v>411819</v>
      </c>
      <c r="P991" s="120">
        <v>211376</v>
      </c>
      <c r="Q991" s="120">
        <v>200443</v>
      </c>
      <c r="R991" s="120"/>
    </row>
    <row r="992" spans="1:18" ht="15">
      <c r="A992" s="105">
        <v>2</v>
      </c>
      <c r="B992" s="105"/>
      <c r="C992" s="107" t="s">
        <v>972</v>
      </c>
      <c r="D992" s="107" t="s">
        <v>739</v>
      </c>
      <c r="E992" s="120">
        <v>19824073</v>
      </c>
      <c r="F992" s="120" t="s">
        <v>250</v>
      </c>
      <c r="G992" s="120">
        <v>19058683</v>
      </c>
      <c r="H992" s="120" t="s">
        <v>250</v>
      </c>
      <c r="I992" s="120">
        <v>765390</v>
      </c>
      <c r="J992" s="120">
        <v>0</v>
      </c>
      <c r="K992" s="120" t="s">
        <v>250</v>
      </c>
      <c r="L992" s="120" t="s">
        <v>250</v>
      </c>
      <c r="M992" s="120">
        <v>0</v>
      </c>
      <c r="N992" s="120" t="s">
        <v>250</v>
      </c>
      <c r="O992" s="120">
        <v>0</v>
      </c>
      <c r="P992" s="120">
        <v>0</v>
      </c>
      <c r="Q992" s="120">
        <v>0</v>
      </c>
      <c r="R992" s="120"/>
    </row>
    <row r="993" spans="1:18" ht="15">
      <c r="A993" s="105">
        <v>3</v>
      </c>
      <c r="B993" s="105"/>
      <c r="C993" s="107" t="s">
        <v>250</v>
      </c>
      <c r="D993" s="107" t="s">
        <v>250</v>
      </c>
      <c r="E993" s="120" t="s">
        <v>250</v>
      </c>
      <c r="F993" s="120" t="s">
        <v>250</v>
      </c>
      <c r="G993" s="120" t="s">
        <v>250</v>
      </c>
      <c r="H993" s="120" t="s">
        <v>250</v>
      </c>
      <c r="I993" s="120" t="s">
        <v>250</v>
      </c>
      <c r="J993" s="120" t="s">
        <v>250</v>
      </c>
      <c r="K993" s="120" t="s">
        <v>250</v>
      </c>
      <c r="L993" s="120" t="s">
        <v>250</v>
      </c>
      <c r="M993" s="120" t="s">
        <v>250</v>
      </c>
      <c r="N993" s="120" t="s">
        <v>250</v>
      </c>
      <c r="O993" s="120" t="s">
        <v>250</v>
      </c>
      <c r="P993" s="120" t="s">
        <v>250</v>
      </c>
      <c r="Q993" s="120" t="s">
        <v>250</v>
      </c>
      <c r="R993" s="120"/>
    </row>
    <row r="994" spans="1:18" ht="15">
      <c r="A994" s="105">
        <v>4</v>
      </c>
      <c r="B994" s="105"/>
      <c r="C994" s="107" t="s">
        <v>250</v>
      </c>
      <c r="D994" s="107" t="s">
        <v>250</v>
      </c>
      <c r="E994" s="120" t="s">
        <v>250</v>
      </c>
      <c r="F994" s="120" t="s">
        <v>250</v>
      </c>
      <c r="G994" s="120" t="s">
        <v>250</v>
      </c>
      <c r="H994" s="120" t="s">
        <v>250</v>
      </c>
      <c r="I994" s="120" t="s">
        <v>250</v>
      </c>
      <c r="J994" s="120" t="s">
        <v>250</v>
      </c>
      <c r="K994" s="120" t="s">
        <v>250</v>
      </c>
      <c r="L994" s="120" t="s">
        <v>250</v>
      </c>
      <c r="M994" s="120" t="s">
        <v>250</v>
      </c>
      <c r="N994" s="120" t="s">
        <v>250</v>
      </c>
      <c r="O994" s="120" t="s">
        <v>250</v>
      </c>
      <c r="P994" s="120" t="s">
        <v>250</v>
      </c>
      <c r="Q994" s="120" t="s">
        <v>250</v>
      </c>
      <c r="R994" s="120"/>
    </row>
    <row r="995" spans="1:18" ht="15">
      <c r="A995" s="105" t="s">
        <v>250</v>
      </c>
      <c r="B995" s="105"/>
      <c r="C995" s="107" t="s">
        <v>250</v>
      </c>
      <c r="D995" s="107" t="s">
        <v>250</v>
      </c>
      <c r="E995" s="120" t="s">
        <v>250</v>
      </c>
      <c r="F995" s="120" t="s">
        <v>250</v>
      </c>
      <c r="G995" s="120" t="s">
        <v>250</v>
      </c>
      <c r="H995" s="120" t="s">
        <v>250</v>
      </c>
      <c r="I995" s="120" t="s">
        <v>250</v>
      </c>
      <c r="J995" s="120" t="s">
        <v>250</v>
      </c>
      <c r="K995" s="120" t="s">
        <v>250</v>
      </c>
      <c r="L995" s="120" t="s">
        <v>250</v>
      </c>
      <c r="M995" s="120" t="s">
        <v>250</v>
      </c>
      <c r="N995" s="120" t="s">
        <v>250</v>
      </c>
      <c r="O995" s="120" t="s">
        <v>250</v>
      </c>
      <c r="P995" s="120" t="s">
        <v>250</v>
      </c>
      <c r="Q995" s="120" t="s">
        <v>250</v>
      </c>
      <c r="R995" s="120"/>
    </row>
    <row r="996" spans="1:18" ht="15">
      <c r="A996" s="105" t="s">
        <v>250</v>
      </c>
      <c r="B996" s="105"/>
      <c r="C996" s="107" t="s">
        <v>973</v>
      </c>
      <c r="D996" s="107" t="s">
        <v>250</v>
      </c>
      <c r="E996" s="120" t="s">
        <v>250</v>
      </c>
      <c r="F996" s="120" t="s">
        <v>250</v>
      </c>
      <c r="G996" s="120" t="s">
        <v>250</v>
      </c>
      <c r="H996" s="120" t="s">
        <v>250</v>
      </c>
      <c r="I996" s="120" t="s">
        <v>250</v>
      </c>
      <c r="J996" s="120" t="s">
        <v>250</v>
      </c>
      <c r="K996" s="120" t="s">
        <v>250</v>
      </c>
      <c r="L996" s="120" t="s">
        <v>250</v>
      </c>
      <c r="M996" s="120" t="s">
        <v>250</v>
      </c>
      <c r="N996" s="120" t="s">
        <v>250</v>
      </c>
      <c r="O996" s="120" t="s">
        <v>250</v>
      </c>
      <c r="P996" s="120" t="s">
        <v>250</v>
      </c>
      <c r="Q996" s="120" t="s">
        <v>250</v>
      </c>
      <c r="R996" s="120"/>
    </row>
    <row r="997" spans="1:18" ht="15">
      <c r="A997" s="105" t="s">
        <v>250</v>
      </c>
      <c r="B997" s="105"/>
      <c r="C997" s="107" t="s">
        <v>917</v>
      </c>
      <c r="D997" s="107" t="s">
        <v>250</v>
      </c>
      <c r="E997" s="120" t="s">
        <v>250</v>
      </c>
      <c r="F997" s="120" t="s">
        <v>250</v>
      </c>
      <c r="G997" s="120" t="s">
        <v>250</v>
      </c>
      <c r="H997" s="120" t="s">
        <v>250</v>
      </c>
      <c r="I997" s="120" t="s">
        <v>250</v>
      </c>
      <c r="J997" s="120" t="s">
        <v>250</v>
      </c>
      <c r="K997" s="120" t="s">
        <v>250</v>
      </c>
      <c r="L997" s="120" t="s">
        <v>250</v>
      </c>
      <c r="M997" s="120" t="s">
        <v>250</v>
      </c>
      <c r="N997" s="120" t="s">
        <v>250</v>
      </c>
      <c r="O997" s="120" t="s">
        <v>250</v>
      </c>
      <c r="P997" s="120" t="s">
        <v>250</v>
      </c>
      <c r="Q997" s="120" t="s">
        <v>250</v>
      </c>
      <c r="R997" s="120"/>
    </row>
    <row r="998" spans="1:18" ht="15">
      <c r="A998" s="105">
        <v>1</v>
      </c>
      <c r="B998" s="105"/>
      <c r="C998" s="107" t="s">
        <v>974</v>
      </c>
      <c r="D998" s="107" t="s">
        <v>380</v>
      </c>
      <c r="E998" s="120">
        <v>124944572.24615385</v>
      </c>
      <c r="F998" s="120" t="s">
        <v>250</v>
      </c>
      <c r="G998" s="120">
        <v>124944572.24615385</v>
      </c>
      <c r="H998" s="120" t="s">
        <v>250</v>
      </c>
      <c r="I998" s="120">
        <v>0</v>
      </c>
      <c r="J998" s="120">
        <v>0</v>
      </c>
      <c r="K998" s="120" t="s">
        <v>250</v>
      </c>
      <c r="L998" s="120" t="s">
        <v>250</v>
      </c>
      <c r="M998" s="120">
        <v>0</v>
      </c>
      <c r="N998" s="120" t="s">
        <v>250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2</v>
      </c>
      <c r="B999" s="105"/>
      <c r="C999" s="107" t="s">
        <v>975</v>
      </c>
      <c r="D999" s="107" t="s">
        <v>382</v>
      </c>
      <c r="E999" s="120">
        <v>77200740.479111478</v>
      </c>
      <c r="F999" s="120" t="s">
        <v>250</v>
      </c>
      <c r="G999" s="120">
        <v>77153432.479111478</v>
      </c>
      <c r="H999" s="120" t="s">
        <v>250</v>
      </c>
      <c r="I999" s="120">
        <v>0</v>
      </c>
      <c r="J999" s="120">
        <v>47308</v>
      </c>
      <c r="K999" s="120" t="s">
        <v>250</v>
      </c>
      <c r="L999" s="120" t="s">
        <v>250</v>
      </c>
      <c r="M999" s="120">
        <v>0</v>
      </c>
      <c r="N999" s="120" t="s">
        <v>250</v>
      </c>
      <c r="O999" s="120">
        <v>47308</v>
      </c>
      <c r="P999" s="120">
        <v>20456</v>
      </c>
      <c r="Q999" s="120">
        <v>26852</v>
      </c>
      <c r="R999" s="120"/>
    </row>
    <row r="1000" spans="1:18" ht="15">
      <c r="A1000" s="105">
        <v>3</v>
      </c>
      <c r="B1000" s="105"/>
      <c r="C1000" s="107" t="s">
        <v>976</v>
      </c>
      <c r="D1000" s="107" t="s">
        <v>384</v>
      </c>
      <c r="E1000" s="120">
        <v>159233.80999999997</v>
      </c>
      <c r="F1000" s="120" t="s">
        <v>250</v>
      </c>
      <c r="G1000" s="120">
        <v>159233.80999999997</v>
      </c>
      <c r="H1000" s="120" t="s">
        <v>250</v>
      </c>
      <c r="I1000" s="120">
        <v>0</v>
      </c>
      <c r="J1000" s="120">
        <v>0</v>
      </c>
      <c r="K1000" s="120" t="s">
        <v>250</v>
      </c>
      <c r="L1000" s="120" t="s">
        <v>250</v>
      </c>
      <c r="M1000" s="120">
        <v>0</v>
      </c>
      <c r="N1000" s="120" t="s">
        <v>250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4</v>
      </c>
      <c r="B1001" s="105"/>
      <c r="C1001" s="107" t="s">
        <v>977</v>
      </c>
      <c r="D1001" s="107" t="s">
        <v>386</v>
      </c>
      <c r="E1001" s="120">
        <v>143087299.06384519</v>
      </c>
      <c r="F1001" s="120" t="s">
        <v>250</v>
      </c>
      <c r="G1001" s="120">
        <v>143087299.06384519</v>
      </c>
      <c r="H1001" s="120" t="s">
        <v>250</v>
      </c>
      <c r="I1001" s="120">
        <v>0</v>
      </c>
      <c r="J1001" s="120">
        <v>0</v>
      </c>
      <c r="K1001" s="120" t="s">
        <v>250</v>
      </c>
      <c r="L1001" s="120" t="s">
        <v>250</v>
      </c>
      <c r="M1001" s="120">
        <v>0</v>
      </c>
      <c r="N1001" s="120" t="s">
        <v>250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5</v>
      </c>
      <c r="B1002" s="105"/>
      <c r="C1002" s="107" t="s">
        <v>535</v>
      </c>
      <c r="D1002" s="107" t="s">
        <v>536</v>
      </c>
      <c r="E1002" s="120">
        <v>4891558.7</v>
      </c>
      <c r="F1002" s="120" t="s">
        <v>250</v>
      </c>
      <c r="G1002" s="120">
        <v>4870067.04</v>
      </c>
      <c r="H1002" s="120" t="s">
        <v>250</v>
      </c>
      <c r="I1002" s="120">
        <v>21491.660000000149</v>
      </c>
      <c r="J1002" s="120">
        <v>0</v>
      </c>
      <c r="K1002" s="120" t="s">
        <v>250</v>
      </c>
      <c r="L1002" s="120" t="s">
        <v>250</v>
      </c>
      <c r="M1002" s="120">
        <v>0</v>
      </c>
      <c r="N1002" s="120" t="s">
        <v>250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6</v>
      </c>
      <c r="B1003" s="105"/>
      <c r="C1003" s="107" t="s">
        <v>978</v>
      </c>
      <c r="D1003" s="107" t="s">
        <v>538</v>
      </c>
      <c r="E1003" s="120">
        <v>31492744.579999998</v>
      </c>
      <c r="F1003" s="120" t="s">
        <v>250</v>
      </c>
      <c r="G1003" s="120">
        <v>30270182.170000002</v>
      </c>
      <c r="H1003" s="120" t="s">
        <v>250</v>
      </c>
      <c r="I1003" s="120">
        <v>1222562.4099999964</v>
      </c>
      <c r="J1003" s="120">
        <v>0</v>
      </c>
      <c r="K1003" s="120" t="s">
        <v>250</v>
      </c>
      <c r="L1003" s="120" t="s">
        <v>250</v>
      </c>
      <c r="M1003" s="120">
        <v>0</v>
      </c>
      <c r="N1003" s="120" t="s">
        <v>250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7</v>
      </c>
      <c r="B1004" s="105"/>
      <c r="C1004" s="107" t="s">
        <v>979</v>
      </c>
      <c r="D1004" s="107" t="s">
        <v>686</v>
      </c>
      <c r="E1004" s="120">
        <v>769287</v>
      </c>
      <c r="F1004" s="120" t="s">
        <v>250</v>
      </c>
      <c r="G1004" s="120">
        <v>731584</v>
      </c>
      <c r="H1004" s="120" t="s">
        <v>250</v>
      </c>
      <c r="I1004" s="120">
        <v>37393</v>
      </c>
      <c r="J1004" s="120">
        <v>310</v>
      </c>
      <c r="K1004" s="120" t="s">
        <v>250</v>
      </c>
      <c r="L1004" s="120" t="s">
        <v>250</v>
      </c>
      <c r="M1004" s="120">
        <v>0</v>
      </c>
      <c r="N1004" s="120" t="s">
        <v>250</v>
      </c>
      <c r="O1004" s="120">
        <v>310</v>
      </c>
      <c r="P1004" s="120">
        <v>124</v>
      </c>
      <c r="Q1004" s="120">
        <v>186</v>
      </c>
      <c r="R1004" s="120"/>
    </row>
    <row r="1005" spans="1:18" ht="15">
      <c r="A1005" s="105">
        <v>8</v>
      </c>
      <c r="B1005" s="105"/>
      <c r="C1005" s="107" t="s">
        <v>980</v>
      </c>
      <c r="D1005" s="107" t="s">
        <v>688</v>
      </c>
      <c r="E1005" s="120">
        <v>769287</v>
      </c>
      <c r="F1005" s="120" t="s">
        <v>250</v>
      </c>
      <c r="G1005" s="120">
        <v>731584</v>
      </c>
      <c r="H1005" s="120" t="s">
        <v>250</v>
      </c>
      <c r="I1005" s="120">
        <v>37393</v>
      </c>
      <c r="J1005" s="120">
        <v>310</v>
      </c>
      <c r="K1005" s="120" t="s">
        <v>250</v>
      </c>
      <c r="L1005" s="120" t="s">
        <v>250</v>
      </c>
      <c r="M1005" s="120">
        <v>0</v>
      </c>
      <c r="N1005" s="120" t="s">
        <v>250</v>
      </c>
      <c r="O1005" s="120">
        <v>310</v>
      </c>
      <c r="P1005" s="120">
        <v>124</v>
      </c>
      <c r="Q1005" s="120">
        <v>186</v>
      </c>
      <c r="R1005" s="120"/>
    </row>
    <row r="1006" spans="1:18" ht="15">
      <c r="A1006" s="105">
        <v>9</v>
      </c>
      <c r="B1006" s="105"/>
      <c r="C1006" s="107" t="s">
        <v>981</v>
      </c>
      <c r="D1006" s="107" t="s">
        <v>690</v>
      </c>
      <c r="E1006" s="120">
        <v>769287</v>
      </c>
      <c r="F1006" s="120" t="s">
        <v>250</v>
      </c>
      <c r="G1006" s="120">
        <v>731584</v>
      </c>
      <c r="H1006" s="120" t="s">
        <v>250</v>
      </c>
      <c r="I1006" s="120">
        <v>37393</v>
      </c>
      <c r="J1006" s="120">
        <v>310</v>
      </c>
      <c r="K1006" s="120" t="s">
        <v>250</v>
      </c>
      <c r="L1006" s="120" t="s">
        <v>250</v>
      </c>
      <c r="M1006" s="120">
        <v>0</v>
      </c>
      <c r="N1006" s="120" t="s">
        <v>250</v>
      </c>
      <c r="O1006" s="120">
        <v>310</v>
      </c>
      <c r="P1006" s="120">
        <v>124</v>
      </c>
      <c r="Q1006" s="120">
        <v>186</v>
      </c>
      <c r="R1006" s="120"/>
    </row>
    <row r="1007" spans="1:18" ht="15">
      <c r="A1007" s="105">
        <v>10</v>
      </c>
      <c r="B1007" s="105"/>
      <c r="C1007" s="107" t="s">
        <v>982</v>
      </c>
      <c r="D1007" s="107" t="s">
        <v>399</v>
      </c>
      <c r="E1007" s="120">
        <v>6306473.2199999997</v>
      </c>
      <c r="F1007" s="120" t="s">
        <v>250</v>
      </c>
      <c r="G1007" s="120">
        <v>0</v>
      </c>
      <c r="H1007" s="120" t="s">
        <v>250</v>
      </c>
      <c r="I1007" s="120">
        <v>6306473.2199999997</v>
      </c>
      <c r="J1007" s="120">
        <v>0</v>
      </c>
      <c r="K1007" s="120" t="s">
        <v>250</v>
      </c>
      <c r="L1007" s="120" t="s">
        <v>250</v>
      </c>
      <c r="M1007" s="120">
        <v>0</v>
      </c>
      <c r="N1007" s="120" t="s">
        <v>250</v>
      </c>
      <c r="O1007" s="120">
        <v>0</v>
      </c>
      <c r="P1007" s="120">
        <v>0</v>
      </c>
      <c r="Q1007" s="120">
        <v>0</v>
      </c>
      <c r="R1007" s="120"/>
    </row>
    <row r="1008" spans="1:18" ht="15">
      <c r="A1008" s="105">
        <v>11</v>
      </c>
      <c r="B1008" s="105"/>
      <c r="C1008" s="107" t="s">
        <v>983</v>
      </c>
      <c r="D1008" s="107" t="s">
        <v>400</v>
      </c>
      <c r="E1008" s="120">
        <v>4187480.85</v>
      </c>
      <c r="F1008" s="120" t="s">
        <v>250</v>
      </c>
      <c r="G1008" s="120">
        <v>0</v>
      </c>
      <c r="H1008" s="120" t="s">
        <v>250</v>
      </c>
      <c r="I1008" s="120">
        <v>4187480.85</v>
      </c>
      <c r="J1008" s="120">
        <v>0</v>
      </c>
      <c r="K1008" s="120" t="s">
        <v>250</v>
      </c>
      <c r="L1008" s="120" t="s">
        <v>250</v>
      </c>
      <c r="M1008" s="120">
        <v>0</v>
      </c>
      <c r="N1008" s="120" t="s">
        <v>250</v>
      </c>
      <c r="O1008" s="120">
        <v>0</v>
      </c>
      <c r="P1008" s="120">
        <v>0</v>
      </c>
      <c r="Q1008" s="120">
        <v>0</v>
      </c>
      <c r="R1008" s="120"/>
    </row>
    <row r="1009" spans="1:18" ht="15">
      <c r="A1009" s="105">
        <v>12</v>
      </c>
      <c r="B1009" s="105"/>
      <c r="C1009" s="107" t="s">
        <v>984</v>
      </c>
      <c r="D1009" s="107" t="s">
        <v>401</v>
      </c>
      <c r="E1009" s="120">
        <v>0</v>
      </c>
      <c r="F1009" s="120" t="s">
        <v>250</v>
      </c>
      <c r="G1009" s="120">
        <v>0</v>
      </c>
      <c r="H1009" s="120" t="s">
        <v>250</v>
      </c>
      <c r="I1009" s="120">
        <v>0</v>
      </c>
      <c r="J1009" s="120">
        <v>0</v>
      </c>
      <c r="K1009" s="120" t="s">
        <v>250</v>
      </c>
      <c r="L1009" s="120" t="s">
        <v>250</v>
      </c>
      <c r="M1009" s="120">
        <v>0</v>
      </c>
      <c r="N1009" s="120" t="s">
        <v>250</v>
      </c>
      <c r="O1009" s="120">
        <v>0</v>
      </c>
      <c r="P1009" s="120">
        <v>0</v>
      </c>
      <c r="Q1009" s="120">
        <v>0</v>
      </c>
      <c r="R1009" s="120"/>
    </row>
    <row r="1010" spans="1:18" ht="15">
      <c r="A1010" s="105">
        <v>13</v>
      </c>
      <c r="B1010" s="105"/>
      <c r="C1010" s="107" t="s">
        <v>985</v>
      </c>
      <c r="D1010" s="107" t="s">
        <v>402</v>
      </c>
      <c r="E1010" s="120">
        <v>4244034.1969230715</v>
      </c>
      <c r="F1010" s="120" t="s">
        <v>250</v>
      </c>
      <c r="G1010" s="120">
        <v>0</v>
      </c>
      <c r="H1010" s="120" t="s">
        <v>250</v>
      </c>
      <c r="I1010" s="120">
        <v>4244034.1969230715</v>
      </c>
      <c r="J1010" s="120">
        <v>0</v>
      </c>
      <c r="K1010" s="120" t="s">
        <v>250</v>
      </c>
      <c r="L1010" s="120" t="s">
        <v>250</v>
      </c>
      <c r="M1010" s="120">
        <v>0</v>
      </c>
      <c r="N1010" s="120" t="s">
        <v>250</v>
      </c>
      <c r="O1010" s="120">
        <v>0</v>
      </c>
      <c r="P1010" s="120">
        <v>0</v>
      </c>
      <c r="Q1010" s="120">
        <v>0</v>
      </c>
      <c r="R1010" s="120"/>
    </row>
    <row r="1011" spans="1:18" ht="15">
      <c r="A1011" s="105">
        <v>14</v>
      </c>
      <c r="B1011" s="105"/>
      <c r="C1011" s="107" t="s">
        <v>986</v>
      </c>
      <c r="D1011" s="107" t="s">
        <v>698</v>
      </c>
      <c r="E1011" s="120">
        <v>528339</v>
      </c>
      <c r="F1011" s="120" t="s">
        <v>250</v>
      </c>
      <c r="G1011" s="120">
        <v>528339</v>
      </c>
      <c r="H1011" s="120" t="s">
        <v>250</v>
      </c>
      <c r="I1011" s="120">
        <v>0</v>
      </c>
      <c r="J1011" s="120">
        <v>0</v>
      </c>
      <c r="K1011" s="120" t="s">
        <v>250</v>
      </c>
      <c r="L1011" s="120" t="s">
        <v>250</v>
      </c>
      <c r="M1011" s="120">
        <v>0</v>
      </c>
      <c r="N1011" s="120" t="s">
        <v>250</v>
      </c>
      <c r="O1011" s="120">
        <v>0</v>
      </c>
      <c r="P1011" s="120">
        <v>0</v>
      </c>
      <c r="Q1011" s="120">
        <v>0</v>
      </c>
      <c r="R1011" s="120"/>
    </row>
    <row r="1012" spans="1:18" ht="15">
      <c r="A1012" s="105">
        <v>15</v>
      </c>
      <c r="B1012" s="105"/>
      <c r="C1012" s="107" t="s">
        <v>987</v>
      </c>
      <c r="D1012" s="107" t="s">
        <v>700</v>
      </c>
      <c r="E1012" s="120">
        <v>556189</v>
      </c>
      <c r="F1012" s="120" t="s">
        <v>250</v>
      </c>
      <c r="G1012" s="120">
        <v>528399</v>
      </c>
      <c r="H1012" s="120" t="s">
        <v>250</v>
      </c>
      <c r="I1012" s="120">
        <v>27790</v>
      </c>
      <c r="J1012" s="120">
        <v>0</v>
      </c>
      <c r="K1012" s="120" t="s">
        <v>250</v>
      </c>
      <c r="L1012" s="120" t="s">
        <v>250</v>
      </c>
      <c r="M1012" s="120">
        <v>0</v>
      </c>
      <c r="N1012" s="120" t="s">
        <v>250</v>
      </c>
      <c r="O1012" s="120">
        <v>0</v>
      </c>
      <c r="P1012" s="120">
        <v>0</v>
      </c>
      <c r="Q1012" s="120">
        <v>0</v>
      </c>
      <c r="R1012" s="120"/>
    </row>
    <row r="1013" spans="1:18" ht="15">
      <c r="A1013" s="105">
        <v>16</v>
      </c>
      <c r="B1013" s="105"/>
      <c r="C1013" s="107" t="s">
        <v>988</v>
      </c>
      <c r="D1013" s="107" t="s">
        <v>707</v>
      </c>
      <c r="E1013" s="120">
        <v>556189</v>
      </c>
      <c r="F1013" s="120" t="s">
        <v>250</v>
      </c>
      <c r="G1013" s="120">
        <v>528399</v>
      </c>
      <c r="H1013" s="120" t="s">
        <v>250</v>
      </c>
      <c r="I1013" s="120">
        <v>27790</v>
      </c>
      <c r="J1013" s="120">
        <v>0</v>
      </c>
      <c r="K1013" s="120" t="s">
        <v>250</v>
      </c>
      <c r="L1013" s="120" t="s">
        <v>250</v>
      </c>
      <c r="M1013" s="120">
        <v>0</v>
      </c>
      <c r="N1013" s="120" t="s">
        <v>250</v>
      </c>
      <c r="O1013" s="120">
        <v>0</v>
      </c>
      <c r="P1013" s="120">
        <v>0</v>
      </c>
      <c r="Q1013" s="120">
        <v>0</v>
      </c>
      <c r="R1013" s="120"/>
    </row>
    <row r="1014" spans="1:18" ht="15">
      <c r="A1014" s="105">
        <v>17</v>
      </c>
      <c r="B1014" s="105"/>
      <c r="C1014" s="107" t="s">
        <v>989</v>
      </c>
      <c r="D1014" s="107" t="s">
        <v>709</v>
      </c>
      <c r="E1014" s="120">
        <v>556189</v>
      </c>
      <c r="F1014" s="120" t="s">
        <v>250</v>
      </c>
      <c r="G1014" s="120">
        <v>528399</v>
      </c>
      <c r="H1014" s="120" t="s">
        <v>250</v>
      </c>
      <c r="I1014" s="120">
        <v>27790</v>
      </c>
      <c r="J1014" s="120">
        <v>0</v>
      </c>
      <c r="K1014" s="120" t="s">
        <v>250</v>
      </c>
      <c r="L1014" s="120" t="s">
        <v>250</v>
      </c>
      <c r="M1014" s="120">
        <v>0</v>
      </c>
      <c r="N1014" s="120" t="s">
        <v>250</v>
      </c>
      <c r="O1014" s="120">
        <v>0</v>
      </c>
      <c r="P1014" s="120">
        <v>0</v>
      </c>
      <c r="Q1014" s="120">
        <v>0</v>
      </c>
      <c r="R1014" s="120"/>
    </row>
    <row r="1015" spans="1:18" ht="15">
      <c r="A1015" s="105">
        <v>18</v>
      </c>
      <c r="B1015" s="105"/>
      <c r="C1015" s="107" t="s">
        <v>990</v>
      </c>
      <c r="D1015" s="107" t="s">
        <v>991</v>
      </c>
      <c r="E1015" s="120">
        <v>0</v>
      </c>
      <c r="F1015" s="120" t="s">
        <v>250</v>
      </c>
      <c r="G1015" s="120">
        <v>0</v>
      </c>
      <c r="H1015" s="120" t="s">
        <v>250</v>
      </c>
      <c r="I1015" s="120">
        <v>0</v>
      </c>
      <c r="J1015" s="120">
        <v>0</v>
      </c>
      <c r="K1015" s="120" t="s">
        <v>250</v>
      </c>
      <c r="L1015" s="120" t="s">
        <v>250</v>
      </c>
      <c r="M1015" s="120">
        <v>0</v>
      </c>
      <c r="N1015" s="120" t="s">
        <v>250</v>
      </c>
      <c r="O1015" s="120">
        <v>0</v>
      </c>
      <c r="P1015" s="120">
        <v>0</v>
      </c>
      <c r="Q1015" s="120">
        <v>0</v>
      </c>
      <c r="R1015" s="120"/>
    </row>
    <row r="1016" spans="1:18" ht="15">
      <c r="A1016" s="105">
        <v>19</v>
      </c>
      <c r="B1016" s="105"/>
      <c r="C1016" s="107" t="s">
        <v>992</v>
      </c>
      <c r="D1016" s="107" t="s">
        <v>783</v>
      </c>
      <c r="E1016" s="120">
        <v>532643.83226199995</v>
      </c>
      <c r="F1016" s="120" t="s">
        <v>250</v>
      </c>
      <c r="G1016" s="120">
        <v>513789.68544199993</v>
      </c>
      <c r="H1016" s="120" t="s">
        <v>250</v>
      </c>
      <c r="I1016" s="120">
        <v>18854.146820000002</v>
      </c>
      <c r="J1016" s="120">
        <v>0</v>
      </c>
      <c r="K1016" s="120" t="s">
        <v>250</v>
      </c>
      <c r="L1016" s="120" t="s">
        <v>250</v>
      </c>
      <c r="M1016" s="120">
        <v>0</v>
      </c>
      <c r="N1016" s="120" t="s">
        <v>250</v>
      </c>
      <c r="O1016" s="120">
        <v>0</v>
      </c>
      <c r="P1016" s="120">
        <v>0</v>
      </c>
      <c r="Q1016" s="120">
        <v>0</v>
      </c>
      <c r="R1016" s="120"/>
    </row>
    <row r="1017" spans="1:18" ht="15">
      <c r="A1017" s="105">
        <v>20</v>
      </c>
      <c r="B1017" s="105"/>
      <c r="C1017" s="107" t="s">
        <v>993</v>
      </c>
      <c r="D1017" s="107" t="s">
        <v>562</v>
      </c>
      <c r="E1017" s="120">
        <v>4153151.4</v>
      </c>
      <c r="F1017" s="120" t="s">
        <v>250</v>
      </c>
      <c r="G1017" s="120">
        <v>3984714.94</v>
      </c>
      <c r="H1017" s="120" t="s">
        <v>250</v>
      </c>
      <c r="I1017" s="120">
        <v>168174.55</v>
      </c>
      <c r="J1017" s="120">
        <v>261.91000000000003</v>
      </c>
      <c r="K1017" s="120" t="s">
        <v>250</v>
      </c>
      <c r="L1017" s="120" t="s">
        <v>250</v>
      </c>
      <c r="M1017" s="120">
        <v>0</v>
      </c>
      <c r="N1017" s="120" t="s">
        <v>250</v>
      </c>
      <c r="O1017" s="120">
        <v>261.91000000000003</v>
      </c>
      <c r="P1017" s="120">
        <v>261.91000000000003</v>
      </c>
      <c r="Q1017" s="120">
        <v>0</v>
      </c>
      <c r="R1017" s="120"/>
    </row>
    <row r="1018" spans="1:18" ht="15">
      <c r="A1018" s="105">
        <v>21</v>
      </c>
      <c r="B1018" s="105"/>
      <c r="C1018" s="107" t="s">
        <v>250</v>
      </c>
      <c r="D1018" s="107" t="s">
        <v>250</v>
      </c>
      <c r="E1018" s="120" t="s">
        <v>250</v>
      </c>
      <c r="F1018" s="120" t="s">
        <v>250</v>
      </c>
      <c r="G1018" s="120" t="s">
        <v>250</v>
      </c>
      <c r="H1018" s="120" t="s">
        <v>250</v>
      </c>
      <c r="I1018" s="120" t="s">
        <v>250</v>
      </c>
      <c r="J1018" s="120" t="s">
        <v>250</v>
      </c>
      <c r="K1018" s="120" t="s">
        <v>250</v>
      </c>
      <c r="L1018" s="120" t="s">
        <v>250</v>
      </c>
      <c r="M1018" s="120" t="s">
        <v>250</v>
      </c>
      <c r="N1018" s="120" t="s">
        <v>250</v>
      </c>
      <c r="O1018" s="120" t="s">
        <v>250</v>
      </c>
      <c r="P1018" s="120" t="s">
        <v>250</v>
      </c>
      <c r="Q1018" s="120" t="s">
        <v>250</v>
      </c>
      <c r="R1018" s="120"/>
    </row>
    <row r="1019" spans="1:18" ht="15">
      <c r="A1019" s="105">
        <v>22</v>
      </c>
      <c r="B1019" s="105"/>
      <c r="C1019" s="107" t="s">
        <v>250</v>
      </c>
      <c r="D1019" s="107" t="s">
        <v>250</v>
      </c>
      <c r="E1019" s="120" t="s">
        <v>250</v>
      </c>
      <c r="F1019" s="120" t="s">
        <v>250</v>
      </c>
      <c r="G1019" s="120" t="s">
        <v>250</v>
      </c>
      <c r="H1019" s="120" t="s">
        <v>250</v>
      </c>
      <c r="I1019" s="120" t="s">
        <v>250</v>
      </c>
      <c r="J1019" s="120" t="s">
        <v>250</v>
      </c>
      <c r="K1019" s="120" t="s">
        <v>250</v>
      </c>
      <c r="L1019" s="120" t="s">
        <v>250</v>
      </c>
      <c r="M1019" s="120" t="s">
        <v>250</v>
      </c>
      <c r="N1019" s="120" t="s">
        <v>250</v>
      </c>
      <c r="O1019" s="120" t="s">
        <v>250</v>
      </c>
      <c r="P1019" s="120" t="s">
        <v>250</v>
      </c>
      <c r="Q1019" s="120" t="s">
        <v>250</v>
      </c>
      <c r="R1019" s="120"/>
    </row>
    <row r="1020" spans="1:18" ht="15">
      <c r="A1020" s="105">
        <v>23</v>
      </c>
      <c r="B1020" s="105"/>
      <c r="C1020" s="107" t="s">
        <v>250</v>
      </c>
      <c r="D1020" s="107" t="s">
        <v>250</v>
      </c>
      <c r="E1020" s="120" t="s">
        <v>250</v>
      </c>
      <c r="F1020" s="120" t="s">
        <v>250</v>
      </c>
      <c r="G1020" s="120" t="s">
        <v>250</v>
      </c>
      <c r="H1020" s="120" t="s">
        <v>250</v>
      </c>
      <c r="I1020" s="120" t="s">
        <v>250</v>
      </c>
      <c r="J1020" s="120" t="s">
        <v>250</v>
      </c>
      <c r="K1020" s="120" t="s">
        <v>250</v>
      </c>
      <c r="L1020" s="120" t="s">
        <v>250</v>
      </c>
      <c r="M1020" s="120" t="s">
        <v>250</v>
      </c>
      <c r="N1020" s="120" t="s">
        <v>250</v>
      </c>
      <c r="O1020" s="120" t="s">
        <v>250</v>
      </c>
      <c r="P1020" s="120" t="s">
        <v>250</v>
      </c>
      <c r="Q1020" s="120" t="s">
        <v>250</v>
      </c>
      <c r="R1020" s="120"/>
    </row>
    <row r="1021" spans="1:18" ht="15">
      <c r="A1021" s="105">
        <v>24</v>
      </c>
      <c r="B1021" s="105"/>
      <c r="C1021" s="107" t="s">
        <v>250</v>
      </c>
      <c r="D1021" s="107" t="s">
        <v>250</v>
      </c>
      <c r="E1021" s="120" t="s">
        <v>250</v>
      </c>
      <c r="F1021" s="120" t="s">
        <v>250</v>
      </c>
      <c r="G1021" s="120" t="s">
        <v>250</v>
      </c>
      <c r="H1021" s="120" t="s">
        <v>250</v>
      </c>
      <c r="I1021" s="120" t="s">
        <v>250</v>
      </c>
      <c r="J1021" s="120" t="s">
        <v>250</v>
      </c>
      <c r="K1021" s="120" t="s">
        <v>250</v>
      </c>
      <c r="L1021" s="120" t="s">
        <v>250</v>
      </c>
      <c r="M1021" s="120" t="s">
        <v>250</v>
      </c>
      <c r="N1021" s="120" t="s">
        <v>250</v>
      </c>
      <c r="O1021" s="120" t="s">
        <v>250</v>
      </c>
      <c r="P1021" s="120" t="s">
        <v>250</v>
      </c>
      <c r="Q1021" s="120" t="s">
        <v>250</v>
      </c>
      <c r="R1021" s="120"/>
    </row>
    <row r="1022" spans="1:18" ht="15">
      <c r="A1022" s="105">
        <v>25</v>
      </c>
      <c r="B1022" s="105"/>
      <c r="C1022" s="107" t="s">
        <v>250</v>
      </c>
      <c r="D1022" s="107" t="s">
        <v>250</v>
      </c>
      <c r="E1022" s="120" t="s">
        <v>250</v>
      </c>
      <c r="F1022" s="120" t="s">
        <v>250</v>
      </c>
      <c r="G1022" s="120" t="s">
        <v>250</v>
      </c>
      <c r="H1022" s="120" t="s">
        <v>250</v>
      </c>
      <c r="I1022" s="120" t="s">
        <v>250</v>
      </c>
      <c r="J1022" s="120" t="s">
        <v>250</v>
      </c>
      <c r="K1022" s="120" t="s">
        <v>250</v>
      </c>
      <c r="L1022" s="120" t="s">
        <v>250</v>
      </c>
      <c r="M1022" s="120" t="s">
        <v>250</v>
      </c>
      <c r="N1022" s="120" t="s">
        <v>250</v>
      </c>
      <c r="O1022" s="120" t="s">
        <v>250</v>
      </c>
      <c r="P1022" s="120" t="s">
        <v>250</v>
      </c>
      <c r="Q1022" s="120" t="s">
        <v>250</v>
      </c>
      <c r="R1022" s="120"/>
    </row>
    <row r="1023" spans="1:18" ht="15">
      <c r="A1023" s="105" t="s">
        <v>250</v>
      </c>
      <c r="B1023" s="105"/>
      <c r="C1023" s="107" t="s">
        <v>250</v>
      </c>
      <c r="D1023" s="107" t="s">
        <v>250</v>
      </c>
      <c r="E1023" s="120" t="s">
        <v>250</v>
      </c>
      <c r="F1023" s="120" t="s">
        <v>250</v>
      </c>
      <c r="G1023" s="120" t="s">
        <v>250</v>
      </c>
      <c r="H1023" s="120" t="s">
        <v>250</v>
      </c>
      <c r="I1023" s="120" t="s">
        <v>250</v>
      </c>
      <c r="J1023" s="120" t="s">
        <v>250</v>
      </c>
      <c r="K1023" s="120" t="s">
        <v>250</v>
      </c>
      <c r="L1023" s="120" t="s">
        <v>250</v>
      </c>
      <c r="M1023" s="120" t="s">
        <v>250</v>
      </c>
      <c r="N1023" s="120" t="s">
        <v>250</v>
      </c>
      <c r="O1023" s="120" t="s">
        <v>250</v>
      </c>
      <c r="P1023" s="120" t="s">
        <v>250</v>
      </c>
      <c r="Q1023" s="120" t="s">
        <v>250</v>
      </c>
      <c r="R1023" s="120"/>
    </row>
    <row r="1024" spans="1:18" ht="15">
      <c r="A1024" s="105" t="s">
        <v>250</v>
      </c>
      <c r="B1024" s="105"/>
      <c r="C1024" s="107" t="s">
        <v>994</v>
      </c>
      <c r="D1024" s="107" t="s">
        <v>250</v>
      </c>
      <c r="E1024" s="120" t="s">
        <v>250</v>
      </c>
      <c r="F1024" s="120" t="s">
        <v>250</v>
      </c>
      <c r="G1024" s="120" t="s">
        <v>250</v>
      </c>
      <c r="H1024" s="120" t="s">
        <v>250</v>
      </c>
      <c r="I1024" s="120" t="s">
        <v>250</v>
      </c>
      <c r="J1024" s="120" t="s">
        <v>250</v>
      </c>
      <c r="K1024" s="120" t="s">
        <v>250</v>
      </c>
      <c r="L1024" s="120" t="s">
        <v>250</v>
      </c>
      <c r="M1024" s="120" t="s">
        <v>250</v>
      </c>
      <c r="N1024" s="120" t="s">
        <v>250</v>
      </c>
      <c r="O1024" s="120" t="s">
        <v>250</v>
      </c>
      <c r="P1024" s="120" t="s">
        <v>250</v>
      </c>
      <c r="Q1024" s="120" t="s">
        <v>250</v>
      </c>
      <c r="R1024" s="120"/>
    </row>
    <row r="1025" spans="1:18" ht="15">
      <c r="A1025" s="105" t="s">
        <v>250</v>
      </c>
      <c r="B1025" s="105"/>
      <c r="C1025" s="107" t="s">
        <v>917</v>
      </c>
      <c r="D1025" s="107" t="s">
        <v>250</v>
      </c>
      <c r="E1025" s="120" t="s">
        <v>250</v>
      </c>
      <c r="F1025" s="120" t="s">
        <v>250</v>
      </c>
      <c r="G1025" s="120" t="s">
        <v>250</v>
      </c>
      <c r="H1025" s="120" t="s">
        <v>250</v>
      </c>
      <c r="I1025" s="120" t="s">
        <v>250</v>
      </c>
      <c r="J1025" s="120" t="s">
        <v>250</v>
      </c>
      <c r="K1025" s="120" t="s">
        <v>250</v>
      </c>
      <c r="L1025" s="120" t="s">
        <v>250</v>
      </c>
      <c r="M1025" s="120" t="s">
        <v>250</v>
      </c>
      <c r="N1025" s="120" t="s">
        <v>250</v>
      </c>
      <c r="O1025" s="120" t="s">
        <v>250</v>
      </c>
      <c r="P1025" s="120" t="s">
        <v>250</v>
      </c>
      <c r="Q1025" s="120" t="s">
        <v>250</v>
      </c>
      <c r="R1025" s="120"/>
    </row>
    <row r="1026" spans="1:18" ht="15">
      <c r="A1026" s="105">
        <v>1</v>
      </c>
      <c r="B1026" s="105"/>
      <c r="C1026" s="107" t="s">
        <v>995</v>
      </c>
      <c r="D1026" s="107" t="s">
        <v>295</v>
      </c>
      <c r="E1026" s="120">
        <v>10794311745.829092</v>
      </c>
      <c r="F1026" s="120" t="s">
        <v>250</v>
      </c>
      <c r="G1026" s="120">
        <v>10089174672.124411</v>
      </c>
      <c r="H1026" s="120" t="s">
        <v>250</v>
      </c>
      <c r="I1026" s="120">
        <v>562719165.04698634</v>
      </c>
      <c r="J1026" s="120">
        <v>142417908.65769553</v>
      </c>
      <c r="K1026" s="120" t="s">
        <v>250</v>
      </c>
      <c r="L1026" s="120" t="s">
        <v>250</v>
      </c>
      <c r="M1026" s="120">
        <v>0</v>
      </c>
      <c r="N1026" s="120" t="s">
        <v>250</v>
      </c>
      <c r="O1026" s="120">
        <v>142417908.65769553</v>
      </c>
      <c r="P1026" s="120">
        <v>74518887.292226225</v>
      </c>
      <c r="Q1026" s="120">
        <v>67899021.365469307</v>
      </c>
      <c r="R1026" s="120"/>
    </row>
    <row r="1027" spans="1:18" ht="15">
      <c r="A1027" s="105">
        <v>2</v>
      </c>
      <c r="B1027" s="105"/>
      <c r="C1027" s="107" t="s">
        <v>996</v>
      </c>
      <c r="D1027" s="107" t="s">
        <v>297</v>
      </c>
      <c r="E1027" s="120">
        <v>10089174672.124411</v>
      </c>
      <c r="F1027" s="120" t="s">
        <v>250</v>
      </c>
      <c r="G1027" s="120">
        <v>10089174672.124411</v>
      </c>
      <c r="H1027" s="120" t="s">
        <v>250</v>
      </c>
      <c r="I1027" s="120">
        <v>0</v>
      </c>
      <c r="J1027" s="120">
        <v>0</v>
      </c>
      <c r="K1027" s="120" t="s">
        <v>250</v>
      </c>
      <c r="L1027" s="120" t="s">
        <v>250</v>
      </c>
      <c r="M1027" s="120">
        <v>0</v>
      </c>
      <c r="N1027" s="120" t="s">
        <v>250</v>
      </c>
      <c r="O1027" s="120">
        <v>0</v>
      </c>
      <c r="P1027" s="120">
        <v>0</v>
      </c>
      <c r="Q1027" s="120">
        <v>0</v>
      </c>
      <c r="R1027" s="120"/>
    </row>
    <row r="1028" spans="1:18" ht="15">
      <c r="A1028" s="105">
        <v>3</v>
      </c>
      <c r="B1028" s="105"/>
      <c r="C1028" s="107" t="s">
        <v>997</v>
      </c>
      <c r="D1028" s="107" t="s">
        <v>418</v>
      </c>
      <c r="E1028" s="120">
        <v>184095229</v>
      </c>
      <c r="F1028" s="120" t="s">
        <v>250</v>
      </c>
      <c r="G1028" s="120">
        <v>173228433.53213996</v>
      </c>
      <c r="H1028" s="120" t="s">
        <v>250</v>
      </c>
      <c r="I1028" s="120">
        <v>8758678.2572182827</v>
      </c>
      <c r="J1028" s="120">
        <v>2108117.2106417576</v>
      </c>
      <c r="K1028" s="120" t="s">
        <v>250</v>
      </c>
      <c r="L1028" s="120" t="s">
        <v>250</v>
      </c>
      <c r="M1028" s="120">
        <v>0</v>
      </c>
      <c r="N1028" s="120" t="s">
        <v>250</v>
      </c>
      <c r="O1028" s="120">
        <v>2108117.2106417576</v>
      </c>
      <c r="P1028" s="120">
        <v>1099197.0048356883</v>
      </c>
      <c r="Q1028" s="120">
        <v>1008920.2058060694</v>
      </c>
      <c r="R1028" s="120"/>
    </row>
    <row r="1029" spans="1:18" ht="15">
      <c r="A1029" s="105">
        <v>4</v>
      </c>
      <c r="B1029" s="105"/>
      <c r="C1029" s="107" t="s">
        <v>998</v>
      </c>
      <c r="D1029" s="107" t="s">
        <v>443</v>
      </c>
      <c r="E1029" s="120">
        <v>5633644628.0630674</v>
      </c>
      <c r="F1029" s="120" t="s">
        <v>250</v>
      </c>
      <c r="G1029" s="120">
        <v>5284995196.3071775</v>
      </c>
      <c r="H1029" s="120" t="s">
        <v>250</v>
      </c>
      <c r="I1029" s="120">
        <v>239346091.36427566</v>
      </c>
      <c r="J1029" s="120">
        <v>109303340.39161414</v>
      </c>
      <c r="K1029" s="120" t="s">
        <v>250</v>
      </c>
      <c r="L1029" s="120" t="s">
        <v>250</v>
      </c>
      <c r="M1029" s="120">
        <v>0</v>
      </c>
      <c r="N1029" s="120" t="s">
        <v>250</v>
      </c>
      <c r="O1029" s="120">
        <v>109303340.39161414</v>
      </c>
      <c r="P1029" s="120">
        <v>55444770.43013417</v>
      </c>
      <c r="Q1029" s="120">
        <v>53858569.961479962</v>
      </c>
      <c r="R1029" s="120"/>
    </row>
    <row r="1030" spans="1:18" ht="15">
      <c r="A1030" s="105">
        <v>5</v>
      </c>
      <c r="B1030" s="105"/>
      <c r="C1030" s="107" t="s">
        <v>999</v>
      </c>
      <c r="D1030" s="107" t="s">
        <v>901</v>
      </c>
      <c r="E1030" s="120">
        <v>118259716</v>
      </c>
      <c r="F1030" s="120" t="s">
        <v>250</v>
      </c>
      <c r="G1030" s="120">
        <v>111279067.16493857</v>
      </c>
      <c r="H1030" s="120" t="s">
        <v>250</v>
      </c>
      <c r="I1030" s="120">
        <v>5626429.3695194516</v>
      </c>
      <c r="J1030" s="120">
        <v>1354219.4655419693</v>
      </c>
      <c r="K1030" s="120" t="s">
        <v>250</v>
      </c>
      <c r="L1030" s="120" t="s">
        <v>250</v>
      </c>
      <c r="M1030" s="120">
        <v>0</v>
      </c>
      <c r="N1030" s="120" t="s">
        <v>250</v>
      </c>
      <c r="O1030" s="120">
        <v>1354219.4655419693</v>
      </c>
      <c r="P1030" s="120">
        <v>706105.8905547146</v>
      </c>
      <c r="Q1030" s="120">
        <v>648113.57498725469</v>
      </c>
      <c r="R1030" s="120"/>
    </row>
    <row r="1031" spans="1:18" ht="15">
      <c r="A1031" s="105">
        <v>6</v>
      </c>
      <c r="B1031" s="105"/>
      <c r="C1031" s="107" t="s">
        <v>1000</v>
      </c>
      <c r="D1031" s="107" t="s">
        <v>448</v>
      </c>
      <c r="E1031" s="120">
        <v>49368840.676923074</v>
      </c>
      <c r="F1031" s="120" t="s">
        <v>250</v>
      </c>
      <c r="G1031" s="120">
        <v>46313550.649803601</v>
      </c>
      <c r="H1031" s="120" t="s">
        <v>250</v>
      </c>
      <c r="I1031" s="120">
        <v>2097441.3246349562</v>
      </c>
      <c r="J1031" s="120">
        <v>957848.70248451922</v>
      </c>
      <c r="K1031" s="120" t="s">
        <v>250</v>
      </c>
      <c r="L1031" s="120" t="s">
        <v>250</v>
      </c>
      <c r="M1031" s="120">
        <v>0</v>
      </c>
      <c r="N1031" s="120" t="s">
        <v>250</v>
      </c>
      <c r="O1031" s="120">
        <v>957848.70248451922</v>
      </c>
      <c r="P1031" s="120">
        <v>485874.45933290548</v>
      </c>
      <c r="Q1031" s="120">
        <v>471974.24315161369</v>
      </c>
      <c r="R1031" s="120"/>
    </row>
    <row r="1032" spans="1:18" ht="15">
      <c r="A1032" s="105">
        <v>7</v>
      </c>
      <c r="B1032" s="105"/>
      <c r="C1032" s="107" t="s">
        <v>1001</v>
      </c>
      <c r="D1032" s="107" t="s">
        <v>451</v>
      </c>
      <c r="E1032" s="120">
        <v>1112756592.1061516</v>
      </c>
      <c r="F1032" s="120" t="s">
        <v>250</v>
      </c>
      <c r="G1032" s="120">
        <v>1044089406.8391113</v>
      </c>
      <c r="H1032" s="120" t="s">
        <v>250</v>
      </c>
      <c r="I1032" s="120">
        <v>47139679.292980924</v>
      </c>
      <c r="J1032" s="120">
        <v>21527505.974059422</v>
      </c>
      <c r="K1032" s="120" t="s">
        <v>250</v>
      </c>
      <c r="L1032" s="120" t="s">
        <v>250</v>
      </c>
      <c r="M1032" s="120">
        <v>0</v>
      </c>
      <c r="N1032" s="120" t="s">
        <v>250</v>
      </c>
      <c r="O1032" s="120">
        <v>21527505.974059422</v>
      </c>
      <c r="P1032" s="120">
        <v>10919955.624308072</v>
      </c>
      <c r="Q1032" s="120">
        <v>10607550.34975135</v>
      </c>
      <c r="R1032" s="120"/>
    </row>
    <row r="1033" spans="1:18" ht="15">
      <c r="A1033" s="105">
        <v>8</v>
      </c>
      <c r="B1033" s="105"/>
      <c r="C1033" s="107" t="s">
        <v>1002</v>
      </c>
      <c r="D1033" s="107" t="s">
        <v>1003</v>
      </c>
      <c r="E1033" s="120">
        <v>1317509650.5884604</v>
      </c>
      <c r="F1033" s="120" t="s">
        <v>250</v>
      </c>
      <c r="G1033" s="120">
        <v>1258772520.7161152</v>
      </c>
      <c r="H1033" s="120" t="s">
        <v>250</v>
      </c>
      <c r="I1033" s="120">
        <v>57404626.165617518</v>
      </c>
      <c r="J1033" s="120">
        <v>1332503.7067278475</v>
      </c>
      <c r="K1033" s="120" t="s">
        <v>250</v>
      </c>
      <c r="L1033" s="120" t="s">
        <v>250</v>
      </c>
      <c r="M1033" s="120">
        <v>0</v>
      </c>
      <c r="N1033" s="120" t="s">
        <v>250</v>
      </c>
      <c r="O1033" s="120">
        <v>1332503.7067278475</v>
      </c>
      <c r="P1033" s="120">
        <v>1198502.1922510534</v>
      </c>
      <c r="Q1033" s="120">
        <v>134001.51447679417</v>
      </c>
      <c r="R1033" s="120"/>
    </row>
    <row r="1034" spans="1:18" ht="15">
      <c r="A1034" s="105">
        <v>9</v>
      </c>
      <c r="B1034" s="105"/>
      <c r="C1034" s="107" t="s">
        <v>1004</v>
      </c>
      <c r="D1034" s="107" t="s">
        <v>483</v>
      </c>
      <c r="E1034" s="120">
        <v>94477230.459999979</v>
      </c>
      <c r="F1034" s="120" t="s">
        <v>250</v>
      </c>
      <c r="G1034" s="120">
        <v>0</v>
      </c>
      <c r="H1034" s="120" t="s">
        <v>250</v>
      </c>
      <c r="I1034" s="120">
        <v>94477230.459999979</v>
      </c>
      <c r="J1034" s="120">
        <v>0</v>
      </c>
      <c r="K1034" s="120" t="s">
        <v>250</v>
      </c>
      <c r="L1034" s="120" t="s">
        <v>250</v>
      </c>
      <c r="M1034" s="120">
        <v>0</v>
      </c>
      <c r="N1034" s="120" t="s">
        <v>250</v>
      </c>
      <c r="O1034" s="120">
        <v>0</v>
      </c>
      <c r="P1034" s="120">
        <v>0</v>
      </c>
      <c r="Q1034" s="120">
        <v>0</v>
      </c>
      <c r="R1034" s="120"/>
    </row>
    <row r="1035" spans="1:18" ht="15">
      <c r="A1035" s="105">
        <v>10</v>
      </c>
      <c r="B1035" s="105"/>
      <c r="C1035" s="107" t="s">
        <v>1005</v>
      </c>
      <c r="D1035" s="107" t="s">
        <v>1006</v>
      </c>
      <c r="E1035" s="120">
        <v>102707659.86999997</v>
      </c>
      <c r="F1035" s="120" t="s">
        <v>250</v>
      </c>
      <c r="G1035" s="120">
        <v>8230429.410000002</v>
      </c>
      <c r="H1035" s="120" t="s">
        <v>250</v>
      </c>
      <c r="I1035" s="120">
        <v>94477230.459999979</v>
      </c>
      <c r="J1035" s="120">
        <v>0</v>
      </c>
      <c r="K1035" s="120" t="s">
        <v>250</v>
      </c>
      <c r="L1035" s="120" t="s">
        <v>250</v>
      </c>
      <c r="M1035" s="120">
        <v>0</v>
      </c>
      <c r="N1035" s="120" t="s">
        <v>250</v>
      </c>
      <c r="O1035" s="120">
        <v>0</v>
      </c>
      <c r="P1035" s="120">
        <v>0</v>
      </c>
      <c r="Q1035" s="120">
        <v>0</v>
      </c>
      <c r="R1035" s="120"/>
    </row>
    <row r="1036" spans="1:18" ht="15">
      <c r="A1036" s="105">
        <v>11</v>
      </c>
      <c r="B1036" s="105"/>
      <c r="C1036" s="107" t="s">
        <v>415</v>
      </c>
      <c r="D1036" s="107" t="s">
        <v>501</v>
      </c>
      <c r="E1036" s="120">
        <v>2293852459.5975685</v>
      </c>
      <c r="F1036" s="120" t="s">
        <v>250</v>
      </c>
      <c r="G1036" s="120">
        <v>2183621933.8098764</v>
      </c>
      <c r="H1036" s="120" t="s">
        <v>250</v>
      </c>
      <c r="I1036" s="120">
        <v>106702054.78769226</v>
      </c>
      <c r="J1036" s="120">
        <v>3528471</v>
      </c>
      <c r="K1036" s="120" t="s">
        <v>250</v>
      </c>
      <c r="L1036" s="120" t="s">
        <v>250</v>
      </c>
      <c r="M1036" s="120">
        <v>0</v>
      </c>
      <c r="N1036" s="120" t="s">
        <v>250</v>
      </c>
      <c r="O1036" s="120">
        <v>3528471</v>
      </c>
      <c r="P1036" s="120">
        <v>3501619</v>
      </c>
      <c r="Q1036" s="120">
        <v>26852</v>
      </c>
      <c r="R1036" s="120"/>
    </row>
    <row r="1037" spans="1:18" ht="15">
      <c r="A1037" s="105">
        <v>12</v>
      </c>
      <c r="B1037" s="105"/>
      <c r="C1037" s="107" t="s">
        <v>1007</v>
      </c>
      <c r="D1037" s="107" t="s">
        <v>465</v>
      </c>
      <c r="E1037" s="120">
        <v>2187042871.1998763</v>
      </c>
      <c r="F1037" s="120" t="s">
        <v>250</v>
      </c>
      <c r="G1037" s="120">
        <v>2183514400.1998763</v>
      </c>
      <c r="H1037" s="120" t="s">
        <v>250</v>
      </c>
      <c r="I1037" s="120">
        <v>0</v>
      </c>
      <c r="J1037" s="120">
        <v>3528471</v>
      </c>
      <c r="K1037" s="120" t="s">
        <v>250</v>
      </c>
      <c r="L1037" s="120" t="s">
        <v>250</v>
      </c>
      <c r="M1037" s="120">
        <v>0</v>
      </c>
      <c r="N1037" s="120" t="s">
        <v>250</v>
      </c>
      <c r="O1037" s="120">
        <v>3528471</v>
      </c>
      <c r="P1037" s="120">
        <v>3501619</v>
      </c>
      <c r="Q1037" s="120">
        <v>26852</v>
      </c>
      <c r="R1037" s="120"/>
    </row>
    <row r="1038" spans="1:18" ht="15">
      <c r="A1038" s="105">
        <v>13</v>
      </c>
      <c r="B1038" s="105"/>
      <c r="C1038" s="107" t="s">
        <v>1008</v>
      </c>
      <c r="D1038" s="107" t="s">
        <v>467</v>
      </c>
      <c r="E1038" s="120">
        <v>267920720.23692286</v>
      </c>
      <c r="F1038" s="120" t="s">
        <v>250</v>
      </c>
      <c r="G1038" s="120">
        <v>252556718.14463496</v>
      </c>
      <c r="H1038" s="120" t="s">
        <v>250</v>
      </c>
      <c r="I1038" s="120">
        <v>12383443.809868475</v>
      </c>
      <c r="J1038" s="120">
        <v>2980558.2824194236</v>
      </c>
      <c r="K1038" s="120" t="s">
        <v>250</v>
      </c>
      <c r="L1038" s="120" t="s">
        <v>250</v>
      </c>
      <c r="M1038" s="120">
        <v>0</v>
      </c>
      <c r="N1038" s="120" t="s">
        <v>250</v>
      </c>
      <c r="O1038" s="120">
        <v>2980558.2824194236</v>
      </c>
      <c r="P1038" s="120">
        <v>1554097.9980787118</v>
      </c>
      <c r="Q1038" s="120">
        <v>1426460.2843407118</v>
      </c>
      <c r="R1038" s="120"/>
    </row>
    <row r="1039" spans="1:18" ht="15">
      <c r="A1039" s="105">
        <v>14</v>
      </c>
      <c r="B1039" s="105"/>
      <c r="C1039" s="107" t="s">
        <v>1009</v>
      </c>
      <c r="D1039" s="107" t="s">
        <v>469</v>
      </c>
      <c r="E1039" s="120">
        <v>144368.66000000003</v>
      </c>
      <c r="F1039" s="120" t="s">
        <v>250</v>
      </c>
      <c r="G1039" s="120">
        <v>144368.66000000003</v>
      </c>
      <c r="H1039" s="120" t="s">
        <v>250</v>
      </c>
      <c r="I1039" s="120">
        <v>0</v>
      </c>
      <c r="J1039" s="120">
        <v>0</v>
      </c>
      <c r="K1039" s="120" t="s">
        <v>250</v>
      </c>
      <c r="L1039" s="120" t="s">
        <v>250</v>
      </c>
      <c r="M1039" s="120">
        <v>0</v>
      </c>
      <c r="N1039" s="120" t="s">
        <v>250</v>
      </c>
      <c r="O1039" s="120">
        <v>0</v>
      </c>
      <c r="P1039" s="120">
        <v>0</v>
      </c>
      <c r="Q1039" s="120">
        <v>0</v>
      </c>
      <c r="R1039" s="120"/>
    </row>
    <row r="1040" spans="1:18" ht="15">
      <c r="A1040" s="105">
        <v>15</v>
      </c>
      <c r="B1040" s="105"/>
      <c r="C1040" s="107" t="s">
        <v>1010</v>
      </c>
      <c r="D1040" s="107" t="s">
        <v>471</v>
      </c>
      <c r="E1040" s="120">
        <v>112943497.79846153</v>
      </c>
      <c r="F1040" s="120" t="s">
        <v>250</v>
      </c>
      <c r="G1040" s="120">
        <v>105565477.83694324</v>
      </c>
      <c r="H1040" s="120" t="s">
        <v>250</v>
      </c>
      <c r="I1040" s="120">
        <v>5887866.8946349593</v>
      </c>
      <c r="J1040" s="120">
        <v>1490153.0668833256</v>
      </c>
      <c r="K1040" s="120" t="s">
        <v>250</v>
      </c>
      <c r="L1040" s="120" t="s">
        <v>250</v>
      </c>
      <c r="M1040" s="120">
        <v>0</v>
      </c>
      <c r="N1040" s="120" t="s">
        <v>250</v>
      </c>
      <c r="O1040" s="120">
        <v>1490153.0668833256</v>
      </c>
      <c r="P1040" s="120">
        <v>779709.16358659451</v>
      </c>
      <c r="Q1040" s="120">
        <v>710443.90329673118</v>
      </c>
      <c r="R1040" s="120"/>
    </row>
    <row r="1041" spans="1:18" ht="15">
      <c r="A1041" s="105">
        <v>16</v>
      </c>
      <c r="B1041" s="105"/>
      <c r="C1041" s="107" t="s">
        <v>1011</v>
      </c>
      <c r="D1041" s="107" t="s">
        <v>477</v>
      </c>
      <c r="E1041" s="120">
        <v>6795770060.8461409</v>
      </c>
      <c r="F1041" s="120" t="s">
        <v>250</v>
      </c>
      <c r="G1041" s="120">
        <v>6375398153.7960911</v>
      </c>
      <c r="H1041" s="120" t="s">
        <v>250</v>
      </c>
      <c r="I1041" s="120">
        <v>288583211.98189145</v>
      </c>
      <c r="J1041" s="120">
        <v>131788695.06815809</v>
      </c>
      <c r="K1041" s="120" t="s">
        <v>250</v>
      </c>
      <c r="L1041" s="120" t="s">
        <v>250</v>
      </c>
      <c r="M1041" s="120">
        <v>0</v>
      </c>
      <c r="N1041" s="120" t="s">
        <v>250</v>
      </c>
      <c r="O1041" s="120">
        <v>131788695.06815809</v>
      </c>
      <c r="P1041" s="120">
        <v>66850600.513775155</v>
      </c>
      <c r="Q1041" s="120">
        <v>64938094.554382928</v>
      </c>
      <c r="R1041" s="120"/>
    </row>
    <row r="1042" spans="1:18" ht="15">
      <c r="A1042" s="105">
        <v>17</v>
      </c>
      <c r="B1042" s="105"/>
      <c r="C1042" s="107" t="s">
        <v>335</v>
      </c>
      <c r="D1042" s="107" t="s">
        <v>497</v>
      </c>
      <c r="E1042" s="120">
        <v>6810849833.4061422</v>
      </c>
      <c r="F1042" s="120" t="s">
        <v>250</v>
      </c>
      <c r="G1042" s="120">
        <v>6385086588.8671722</v>
      </c>
      <c r="H1042" s="120" t="s">
        <v>250</v>
      </c>
      <c r="I1042" s="120">
        <v>291186868.87042147</v>
      </c>
      <c r="J1042" s="120">
        <v>134576375.66854826</v>
      </c>
      <c r="K1042" s="120" t="s">
        <v>250</v>
      </c>
      <c r="L1042" s="120" t="s">
        <v>250</v>
      </c>
      <c r="M1042" s="120">
        <v>0</v>
      </c>
      <c r="N1042" s="120" t="s">
        <v>250</v>
      </c>
      <c r="O1042" s="120">
        <v>134576375.66854826</v>
      </c>
      <c r="P1042" s="120">
        <v>68264668.10189645</v>
      </c>
      <c r="Q1042" s="120">
        <v>66311707.566651799</v>
      </c>
      <c r="R1042" s="120"/>
    </row>
    <row r="1043" spans="1:18" ht="15">
      <c r="A1043" s="105">
        <v>18</v>
      </c>
      <c r="B1043" s="105"/>
      <c r="C1043" s="107" t="s">
        <v>356</v>
      </c>
      <c r="D1043" s="107" t="s">
        <v>1012</v>
      </c>
      <c r="E1043" s="120">
        <v>1420217310.4584606</v>
      </c>
      <c r="F1043" s="120" t="s">
        <v>250</v>
      </c>
      <c r="G1043" s="120">
        <v>1267002950.1261153</v>
      </c>
      <c r="H1043" s="120" t="s">
        <v>250</v>
      </c>
      <c r="I1043" s="120">
        <v>151881856.6256175</v>
      </c>
      <c r="J1043" s="120">
        <v>1332503.7067278475</v>
      </c>
      <c r="K1043" s="120" t="s">
        <v>250</v>
      </c>
      <c r="L1043" s="120" t="s">
        <v>250</v>
      </c>
      <c r="M1043" s="120">
        <v>0</v>
      </c>
      <c r="N1043" s="120" t="s">
        <v>250</v>
      </c>
      <c r="O1043" s="120">
        <v>1332503.7067278475</v>
      </c>
      <c r="P1043" s="120">
        <v>1198502.1922510534</v>
      </c>
      <c r="Q1043" s="120">
        <v>134001.51447679417</v>
      </c>
      <c r="R1043" s="120"/>
    </row>
    <row r="1044" spans="1:18" ht="15">
      <c r="A1044" s="105">
        <v>19</v>
      </c>
      <c r="B1044" s="105"/>
      <c r="C1044" s="107" t="s">
        <v>1013</v>
      </c>
      <c r="D1044" s="107" t="s">
        <v>499</v>
      </c>
      <c r="E1044" s="120">
        <v>1418884806.7517328</v>
      </c>
      <c r="F1044" s="120" t="s">
        <v>250</v>
      </c>
      <c r="G1044" s="120">
        <v>1267002950.1261153</v>
      </c>
      <c r="H1044" s="120" t="s">
        <v>250</v>
      </c>
      <c r="I1044" s="120">
        <v>151881856.6256175</v>
      </c>
      <c r="J1044" s="120">
        <v>0</v>
      </c>
      <c r="K1044" s="120" t="s">
        <v>250</v>
      </c>
      <c r="L1044" s="120" t="s">
        <v>250</v>
      </c>
      <c r="M1044" s="120">
        <v>0</v>
      </c>
      <c r="N1044" s="120" t="s">
        <v>250</v>
      </c>
      <c r="O1044" s="120">
        <v>0</v>
      </c>
      <c r="P1044" s="120">
        <v>0</v>
      </c>
      <c r="Q1044" s="120">
        <v>0</v>
      </c>
      <c r="R1044" s="120"/>
    </row>
    <row r="1045" spans="1:18" ht="15">
      <c r="A1045" s="105">
        <v>20</v>
      </c>
      <c r="B1045" s="105"/>
      <c r="C1045" s="107" t="s">
        <v>1014</v>
      </c>
      <c r="D1045" s="107" t="s">
        <v>504</v>
      </c>
      <c r="E1045" s="120">
        <v>61237949</v>
      </c>
      <c r="F1045" s="120" t="s">
        <v>250</v>
      </c>
      <c r="G1045" s="120">
        <v>56853080.325084262</v>
      </c>
      <c r="H1045" s="120" t="s">
        <v>250</v>
      </c>
      <c r="I1045" s="120">
        <v>3678683.0996574559</v>
      </c>
      <c r="J1045" s="120">
        <v>706185.57525828388</v>
      </c>
      <c r="K1045" s="120" t="s">
        <v>250</v>
      </c>
      <c r="L1045" s="120" t="s">
        <v>250</v>
      </c>
      <c r="M1045" s="120">
        <v>0</v>
      </c>
      <c r="N1045" s="120" t="s">
        <v>250</v>
      </c>
      <c r="O1045" s="120">
        <v>706185.57525828388</v>
      </c>
      <c r="P1045" s="120">
        <v>365995.20642880833</v>
      </c>
      <c r="Q1045" s="120">
        <v>340190.36882947548</v>
      </c>
      <c r="R1045" s="120"/>
    </row>
    <row r="1046" spans="1:18" ht="15">
      <c r="A1046" s="105">
        <v>21</v>
      </c>
      <c r="B1046" s="105"/>
      <c r="C1046" s="107" t="s">
        <v>1015</v>
      </c>
      <c r="D1046" s="107" t="s">
        <v>509</v>
      </c>
      <c r="E1046" s="120">
        <v>14413612.999999991</v>
      </c>
      <c r="F1046" s="120" t="s">
        <v>250</v>
      </c>
      <c r="G1046" s="120">
        <v>13504024.477939837</v>
      </c>
      <c r="H1046" s="120" t="s">
        <v>250</v>
      </c>
      <c r="I1046" s="120">
        <v>728267.53827867541</v>
      </c>
      <c r="J1046" s="120">
        <v>181320.98378148017</v>
      </c>
      <c r="K1046" s="120" t="s">
        <v>250</v>
      </c>
      <c r="L1046" s="120" t="s">
        <v>250</v>
      </c>
      <c r="M1046" s="120">
        <v>0</v>
      </c>
      <c r="N1046" s="120" t="s">
        <v>250</v>
      </c>
      <c r="O1046" s="120">
        <v>181320.98378148017</v>
      </c>
      <c r="P1046" s="120">
        <v>94768.212978498181</v>
      </c>
      <c r="Q1046" s="120">
        <v>86552.770802981991</v>
      </c>
      <c r="R1046" s="120"/>
    </row>
    <row r="1047" spans="1:18" ht="15">
      <c r="A1047" s="105">
        <v>22</v>
      </c>
      <c r="B1047" s="105"/>
      <c r="C1047" s="107" t="s">
        <v>1016</v>
      </c>
      <c r="D1047" s="107" t="s">
        <v>511</v>
      </c>
      <c r="E1047" s="120">
        <v>1606634809.4402032</v>
      </c>
      <c r="F1047" s="120" t="s">
        <v>250</v>
      </c>
      <c r="G1047" s="120">
        <v>1606634809.4402032</v>
      </c>
      <c r="H1047" s="120" t="s">
        <v>250</v>
      </c>
      <c r="I1047" s="120">
        <v>0</v>
      </c>
      <c r="J1047" s="120">
        <v>0</v>
      </c>
      <c r="K1047" s="120" t="s">
        <v>250</v>
      </c>
      <c r="L1047" s="120" t="s">
        <v>250</v>
      </c>
      <c r="M1047" s="120">
        <v>0</v>
      </c>
      <c r="N1047" s="120" t="s">
        <v>250</v>
      </c>
      <c r="O1047" s="120">
        <v>0</v>
      </c>
      <c r="P1047" s="120">
        <v>0</v>
      </c>
      <c r="Q1047" s="120">
        <v>0</v>
      </c>
      <c r="R1047" s="120"/>
    </row>
    <row r="1048" spans="1:18" ht="15">
      <c r="A1048" s="105">
        <v>23</v>
      </c>
      <c r="B1048" s="105"/>
      <c r="C1048" s="107" t="s">
        <v>1017</v>
      </c>
      <c r="D1048" s="107" t="s">
        <v>2534</v>
      </c>
      <c r="E1048" s="120">
        <v>2593463.2112079822</v>
      </c>
      <c r="F1048" s="120" t="s">
        <v>250</v>
      </c>
      <c r="G1048" s="120">
        <v>0</v>
      </c>
      <c r="H1048" s="120" t="s">
        <v>250</v>
      </c>
      <c r="I1048" s="120">
        <v>0</v>
      </c>
      <c r="J1048" s="120">
        <v>2593463.2112079822</v>
      </c>
      <c r="K1048" s="120" t="s">
        <v>250</v>
      </c>
      <c r="L1048" s="120" t="s">
        <v>250</v>
      </c>
      <c r="M1048" s="120">
        <v>0</v>
      </c>
      <c r="N1048" s="120" t="s">
        <v>250</v>
      </c>
      <c r="O1048" s="120">
        <v>2593463.2112079822</v>
      </c>
      <c r="P1048" s="120">
        <v>1315549.6606895754</v>
      </c>
      <c r="Q1048" s="120">
        <v>1277913.5505184066</v>
      </c>
      <c r="R1048" s="120"/>
    </row>
    <row r="1049" spans="1:18" ht="15">
      <c r="A1049" s="105">
        <v>24</v>
      </c>
      <c r="B1049" s="105"/>
      <c r="C1049" s="107" t="s">
        <v>1018</v>
      </c>
      <c r="D1049" s="107" t="s">
        <v>1019</v>
      </c>
      <c r="E1049" s="120">
        <v>0</v>
      </c>
      <c r="F1049" s="120" t="s">
        <v>250</v>
      </c>
      <c r="G1049" s="120">
        <v>0</v>
      </c>
      <c r="H1049" s="120" t="s">
        <v>250</v>
      </c>
      <c r="I1049" s="120">
        <v>0</v>
      </c>
      <c r="J1049" s="120">
        <v>0</v>
      </c>
      <c r="K1049" s="120" t="s">
        <v>250</v>
      </c>
      <c r="L1049" s="120" t="s">
        <v>250</v>
      </c>
      <c r="M1049" s="120">
        <v>0</v>
      </c>
      <c r="N1049" s="120" t="s">
        <v>250</v>
      </c>
      <c r="O1049" s="120">
        <v>0</v>
      </c>
      <c r="P1049" s="120">
        <v>0</v>
      </c>
      <c r="Q1049" s="120">
        <v>0</v>
      </c>
      <c r="R1049" s="120"/>
    </row>
    <row r="1050" spans="1:18" ht="15">
      <c r="A1050" s="105">
        <v>25</v>
      </c>
      <c r="B1050" s="105"/>
      <c r="C1050" s="107" t="s">
        <v>1020</v>
      </c>
      <c r="D1050" s="107" t="s">
        <v>1021</v>
      </c>
      <c r="E1050" s="120">
        <v>60144.113854893556</v>
      </c>
      <c r="F1050" s="120" t="s">
        <v>250</v>
      </c>
      <c r="G1050" s="120">
        <v>0</v>
      </c>
      <c r="H1050" s="120" t="s">
        <v>250</v>
      </c>
      <c r="I1050" s="120">
        <v>0</v>
      </c>
      <c r="J1050" s="120">
        <v>60144.113854893556</v>
      </c>
      <c r="K1050" s="120" t="s">
        <v>250</v>
      </c>
      <c r="L1050" s="120" t="s">
        <v>250</v>
      </c>
      <c r="M1050" s="120">
        <v>0</v>
      </c>
      <c r="N1050" s="120" t="s">
        <v>250</v>
      </c>
      <c r="O1050" s="120">
        <v>60144.113854893556</v>
      </c>
      <c r="P1050" s="120">
        <v>30508.459974424208</v>
      </c>
      <c r="Q1050" s="120">
        <v>29635.653880469345</v>
      </c>
      <c r="R1050" s="120"/>
    </row>
    <row r="1051" spans="1:18" ht="15">
      <c r="A1051" s="105">
        <v>26</v>
      </c>
      <c r="B1051" s="105"/>
      <c r="C1051" s="107" t="s">
        <v>1022</v>
      </c>
      <c r="D1051" s="107" t="s">
        <v>1023</v>
      </c>
      <c r="E1051" s="120">
        <v>261.16429770707532</v>
      </c>
      <c r="F1051" s="120" t="s">
        <v>250</v>
      </c>
      <c r="G1051" s="120">
        <v>0</v>
      </c>
      <c r="H1051" s="120" t="s">
        <v>250</v>
      </c>
      <c r="I1051" s="120">
        <v>0</v>
      </c>
      <c r="J1051" s="120">
        <v>261.16429770707532</v>
      </c>
      <c r="K1051" s="120" t="s">
        <v>250</v>
      </c>
      <c r="L1051" s="120" t="s">
        <v>250</v>
      </c>
      <c r="M1051" s="120">
        <v>0</v>
      </c>
      <c r="N1051" s="120" t="s">
        <v>250</v>
      </c>
      <c r="O1051" s="120">
        <v>261.16429770707532</v>
      </c>
      <c r="P1051" s="120">
        <v>132.47714552031147</v>
      </c>
      <c r="Q1051" s="120">
        <v>128.68715218676383</v>
      </c>
      <c r="R1051" s="120"/>
    </row>
    <row r="1052" spans="1:18" ht="15">
      <c r="A1052" s="105">
        <v>27</v>
      </c>
      <c r="B1052" s="105"/>
      <c r="C1052" s="107" t="s">
        <v>1024</v>
      </c>
      <c r="D1052" s="107" t="s">
        <v>1025</v>
      </c>
      <c r="E1052" s="120">
        <v>1317509650.5884604</v>
      </c>
      <c r="F1052" s="120" t="s">
        <v>250</v>
      </c>
      <c r="G1052" s="120">
        <v>1258772520.7161152</v>
      </c>
      <c r="H1052" s="120" t="s">
        <v>250</v>
      </c>
      <c r="I1052" s="120">
        <v>57404626.165617518</v>
      </c>
      <c r="J1052" s="120">
        <v>1332503.7067278475</v>
      </c>
      <c r="K1052" s="120" t="s">
        <v>250</v>
      </c>
      <c r="L1052" s="120" t="s">
        <v>250</v>
      </c>
      <c r="M1052" s="120">
        <v>0</v>
      </c>
      <c r="N1052" s="120" t="s">
        <v>250</v>
      </c>
      <c r="O1052" s="120">
        <v>1332503.7067278475</v>
      </c>
      <c r="P1052" s="120">
        <v>1198502.1922510534</v>
      </c>
      <c r="Q1052" s="120">
        <v>134001.51447679417</v>
      </c>
      <c r="R1052" s="120"/>
    </row>
    <row r="1053" spans="1:18" ht="15">
      <c r="A1053" s="105">
        <v>28</v>
      </c>
      <c r="B1053" s="105"/>
      <c r="C1053" s="107" t="s">
        <v>1026</v>
      </c>
      <c r="D1053" s="107" t="s">
        <v>458</v>
      </c>
      <c r="E1053" s="120">
        <v>102707659.86999997</v>
      </c>
      <c r="F1053" s="120" t="s">
        <v>250</v>
      </c>
      <c r="G1053" s="120">
        <v>8230429.410000002</v>
      </c>
      <c r="H1053" s="120" t="s">
        <v>250</v>
      </c>
      <c r="I1053" s="120">
        <v>94477230.459999979</v>
      </c>
      <c r="J1053" s="120">
        <v>0</v>
      </c>
      <c r="K1053" s="120" t="s">
        <v>250</v>
      </c>
      <c r="L1053" s="120" t="s">
        <v>250</v>
      </c>
      <c r="M1053" s="120">
        <v>0</v>
      </c>
      <c r="N1053" s="120" t="s">
        <v>250</v>
      </c>
      <c r="O1053" s="120">
        <v>0</v>
      </c>
      <c r="P1053" s="120">
        <v>0</v>
      </c>
      <c r="Q1053" s="120">
        <v>0</v>
      </c>
      <c r="R1053" s="120"/>
    </row>
    <row r="1054" spans="1:18" ht="15">
      <c r="A1054" s="105">
        <v>29</v>
      </c>
      <c r="B1054" s="105"/>
      <c r="C1054" s="107" t="s">
        <v>1027</v>
      </c>
      <c r="D1054" s="107" t="s">
        <v>658</v>
      </c>
      <c r="E1054" s="120">
        <v>987129300.47615266</v>
      </c>
      <c r="F1054" s="120" t="s">
        <v>250</v>
      </c>
      <c r="G1054" s="120">
        <v>921791436.82153738</v>
      </c>
      <c r="H1054" s="120" t="s">
        <v>250</v>
      </c>
      <c r="I1054" s="120">
        <v>65337863.654615343</v>
      </c>
      <c r="J1054" s="120">
        <v>0</v>
      </c>
      <c r="K1054" s="120" t="s">
        <v>250</v>
      </c>
      <c r="L1054" s="120" t="s">
        <v>250</v>
      </c>
      <c r="M1054" s="120">
        <v>0</v>
      </c>
      <c r="N1054" s="120" t="s">
        <v>250</v>
      </c>
      <c r="O1054" s="120">
        <v>0</v>
      </c>
      <c r="P1054" s="120">
        <v>0</v>
      </c>
      <c r="Q1054" s="120">
        <v>0</v>
      </c>
      <c r="R1054" s="120"/>
    </row>
    <row r="1055" spans="1:18" ht="15">
      <c r="A1055" s="105">
        <v>30</v>
      </c>
      <c r="B1055" s="105"/>
      <c r="C1055" s="107" t="s">
        <v>438</v>
      </c>
      <c r="D1055" s="107" t="s">
        <v>716</v>
      </c>
      <c r="E1055" s="120">
        <v>10907444067.867552</v>
      </c>
      <c r="F1055" s="120" t="s">
        <v>250</v>
      </c>
      <c r="G1055" s="120">
        <v>10194926070.146112</v>
      </c>
      <c r="H1055" s="120" t="s">
        <v>250</v>
      </c>
      <c r="I1055" s="120">
        <v>568609349.45916653</v>
      </c>
      <c r="J1055" s="120">
        <v>143908648.26227397</v>
      </c>
      <c r="K1055" s="120" t="s">
        <v>250</v>
      </c>
      <c r="L1055" s="120" t="s">
        <v>250</v>
      </c>
      <c r="M1055" s="120">
        <v>0</v>
      </c>
      <c r="N1055" s="120" t="s">
        <v>250</v>
      </c>
      <c r="O1055" s="120">
        <v>143908648.26227397</v>
      </c>
      <c r="P1055" s="120">
        <v>75298903.356376141</v>
      </c>
      <c r="Q1055" s="120">
        <v>68609744.905897826</v>
      </c>
      <c r="R1055" s="120"/>
    </row>
    <row r="1056" spans="1:18" ht="15">
      <c r="A1056" s="105">
        <v>31</v>
      </c>
      <c r="B1056" s="105"/>
      <c r="C1056" s="107" t="s">
        <v>1028</v>
      </c>
      <c r="D1056" s="107" t="s">
        <v>488</v>
      </c>
      <c r="E1056" s="120">
        <v>10194926070.146112</v>
      </c>
      <c r="F1056" s="120" t="s">
        <v>250</v>
      </c>
      <c r="G1056" s="120">
        <v>10194926070.146112</v>
      </c>
      <c r="H1056" s="120" t="s">
        <v>250</v>
      </c>
      <c r="I1056" s="120">
        <v>0</v>
      </c>
      <c r="J1056" s="120">
        <v>0</v>
      </c>
      <c r="K1056" s="120" t="s">
        <v>250</v>
      </c>
      <c r="L1056" s="120" t="s">
        <v>250</v>
      </c>
      <c r="M1056" s="120">
        <v>0</v>
      </c>
      <c r="N1056" s="120" t="s">
        <v>250</v>
      </c>
      <c r="O1056" s="120">
        <v>0</v>
      </c>
      <c r="P1056" s="120">
        <v>0</v>
      </c>
      <c r="Q1056" s="120">
        <v>0</v>
      </c>
      <c r="R1056" s="120"/>
    </row>
    <row r="1057" spans="1:18" ht="15">
      <c r="A1057" s="105">
        <v>32</v>
      </c>
      <c r="B1057" s="105"/>
      <c r="C1057" s="107" t="s">
        <v>1029</v>
      </c>
      <c r="D1057" s="107" t="s">
        <v>796</v>
      </c>
      <c r="E1057" s="120">
        <v>10338834718.408386</v>
      </c>
      <c r="F1057" s="120" t="s">
        <v>250</v>
      </c>
      <c r="G1057" s="120">
        <v>10194926070.146112</v>
      </c>
      <c r="H1057" s="120" t="s">
        <v>250</v>
      </c>
      <c r="I1057" s="120">
        <v>0</v>
      </c>
      <c r="J1057" s="120">
        <v>143908648.26227397</v>
      </c>
      <c r="K1057" s="120" t="s">
        <v>250</v>
      </c>
      <c r="L1057" s="120" t="s">
        <v>250</v>
      </c>
      <c r="M1057" s="120">
        <v>0</v>
      </c>
      <c r="N1057" s="120" t="s">
        <v>250</v>
      </c>
      <c r="O1057" s="120">
        <v>143908648.26227397</v>
      </c>
      <c r="P1057" s="120">
        <v>75298903.356376141</v>
      </c>
      <c r="Q1057" s="120">
        <v>68609744.905897826</v>
      </c>
      <c r="R1057" s="120"/>
    </row>
    <row r="1058" spans="1:18" ht="15">
      <c r="A1058" s="105">
        <v>33</v>
      </c>
      <c r="B1058" s="105"/>
      <c r="C1058" s="107" t="s">
        <v>1030</v>
      </c>
      <c r="D1058" s="107" t="s">
        <v>1031</v>
      </c>
      <c r="E1058" s="120">
        <v>568609349.45916653</v>
      </c>
      <c r="F1058" s="120" t="s">
        <v>250</v>
      </c>
      <c r="G1058" s="120">
        <v>0</v>
      </c>
      <c r="H1058" s="120" t="s">
        <v>250</v>
      </c>
      <c r="I1058" s="120">
        <v>568609349.45916653</v>
      </c>
      <c r="J1058" s="120">
        <v>0</v>
      </c>
      <c r="K1058" s="120" t="s">
        <v>250</v>
      </c>
      <c r="L1058" s="120" t="s">
        <v>250</v>
      </c>
      <c r="M1058" s="120">
        <v>0</v>
      </c>
      <c r="N1058" s="120" t="s">
        <v>250</v>
      </c>
      <c r="O1058" s="120">
        <v>0</v>
      </c>
      <c r="P1058" s="120">
        <v>0</v>
      </c>
      <c r="Q1058" s="120">
        <v>0</v>
      </c>
      <c r="R1058" s="120"/>
    </row>
    <row r="1059" spans="1:18" ht="15">
      <c r="A1059" s="105">
        <v>34</v>
      </c>
      <c r="B1059" s="105"/>
      <c r="C1059" s="107" t="s">
        <v>314</v>
      </c>
      <c r="D1059" s="107" t="s">
        <v>584</v>
      </c>
      <c r="E1059" s="120">
        <v>5647302127.6430674</v>
      </c>
      <c r="F1059" s="120" t="s">
        <v>250</v>
      </c>
      <c r="G1059" s="120">
        <v>5293534982.3745995</v>
      </c>
      <c r="H1059" s="120" t="s">
        <v>250</v>
      </c>
      <c r="I1059" s="120">
        <v>241936162.74710739</v>
      </c>
      <c r="J1059" s="120">
        <v>111830982.5213608</v>
      </c>
      <c r="K1059" s="120" t="s">
        <v>250</v>
      </c>
      <c r="L1059" s="120" t="s">
        <v>250</v>
      </c>
      <c r="M1059" s="120">
        <v>0</v>
      </c>
      <c r="N1059" s="120" t="s">
        <v>250</v>
      </c>
      <c r="O1059" s="120">
        <v>111830982.5213608</v>
      </c>
      <c r="P1059" s="120">
        <v>56726931.955218643</v>
      </c>
      <c r="Q1059" s="120">
        <v>55104050.566142157</v>
      </c>
      <c r="R1059" s="120"/>
    </row>
    <row r="1060" spans="1:18" ht="15">
      <c r="A1060" s="105">
        <v>35</v>
      </c>
      <c r="B1060" s="105"/>
      <c r="C1060" s="107" t="s">
        <v>1032</v>
      </c>
      <c r="D1060" s="107" t="s">
        <v>599</v>
      </c>
      <c r="E1060" s="120">
        <v>49393379.556923077</v>
      </c>
      <c r="F1060" s="120" t="s">
        <v>250</v>
      </c>
      <c r="G1060" s="120">
        <v>46332385.041615888</v>
      </c>
      <c r="H1060" s="120" t="s">
        <v>250</v>
      </c>
      <c r="I1060" s="120">
        <v>2097571.1295862179</v>
      </c>
      <c r="J1060" s="120">
        <v>963423.3857209665</v>
      </c>
      <c r="K1060" s="120" t="s">
        <v>250</v>
      </c>
      <c r="L1060" s="120" t="s">
        <v>250</v>
      </c>
      <c r="M1060" s="120">
        <v>0</v>
      </c>
      <c r="N1060" s="120" t="s">
        <v>250</v>
      </c>
      <c r="O1060" s="120">
        <v>963423.3857209665</v>
      </c>
      <c r="P1060" s="120">
        <v>488702.25060770218</v>
      </c>
      <c r="Q1060" s="120">
        <v>474721.13511326432</v>
      </c>
      <c r="R1060" s="120"/>
    </row>
    <row r="1061" spans="1:18" ht="15">
      <c r="A1061" s="105">
        <v>36</v>
      </c>
      <c r="B1061" s="105"/>
      <c r="C1061" s="107" t="s">
        <v>1033</v>
      </c>
      <c r="D1061" s="107" t="s">
        <v>614</v>
      </c>
      <c r="E1061" s="120">
        <v>1113844785.2061517</v>
      </c>
      <c r="F1061" s="120" t="s">
        <v>250</v>
      </c>
      <c r="G1061" s="120">
        <v>1044928837.0184869</v>
      </c>
      <c r="H1061" s="120" t="s">
        <v>250</v>
      </c>
      <c r="I1061" s="120">
        <v>47139984.105917506</v>
      </c>
      <c r="J1061" s="120">
        <v>21775964.081747256</v>
      </c>
      <c r="K1061" s="120" t="s">
        <v>250</v>
      </c>
      <c r="L1061" s="120" t="s">
        <v>250</v>
      </c>
      <c r="M1061" s="120">
        <v>0</v>
      </c>
      <c r="N1061" s="120" t="s">
        <v>250</v>
      </c>
      <c r="O1061" s="120">
        <v>21775964.081747256</v>
      </c>
      <c r="P1061" s="120">
        <v>11045987.479262384</v>
      </c>
      <c r="Q1061" s="120">
        <v>10729976.602484874</v>
      </c>
      <c r="R1061" s="120"/>
    </row>
    <row r="1062" spans="1:18" ht="15">
      <c r="A1062" s="105">
        <v>37</v>
      </c>
      <c r="B1062" s="105"/>
      <c r="C1062" s="107" t="s">
        <v>1034</v>
      </c>
      <c r="D1062" s="107" t="s">
        <v>655</v>
      </c>
      <c r="E1062" s="120">
        <v>355388705.67307681</v>
      </c>
      <c r="F1062" s="120" t="s">
        <v>250</v>
      </c>
      <c r="G1062" s="120">
        <v>341731104.6830768</v>
      </c>
      <c r="H1062" s="120" t="s">
        <v>250</v>
      </c>
      <c r="I1062" s="120">
        <v>10176437.99</v>
      </c>
      <c r="J1062" s="120">
        <v>3481163</v>
      </c>
      <c r="K1062" s="120" t="s">
        <v>250</v>
      </c>
      <c r="L1062" s="120" t="s">
        <v>250</v>
      </c>
      <c r="M1062" s="120">
        <v>0</v>
      </c>
      <c r="N1062" s="120" t="s">
        <v>250</v>
      </c>
      <c r="O1062" s="120">
        <v>3481163</v>
      </c>
      <c r="P1062" s="120">
        <v>3481163</v>
      </c>
      <c r="Q1062" s="120">
        <v>0</v>
      </c>
      <c r="R1062" s="120"/>
    </row>
    <row r="1063" spans="1:18" ht="15">
      <c r="A1063" s="105">
        <v>38</v>
      </c>
      <c r="B1063" s="105"/>
      <c r="C1063" s="107" t="s">
        <v>1035</v>
      </c>
      <c r="D1063" s="107" t="s">
        <v>660</v>
      </c>
      <c r="E1063" s="120">
        <v>253074204.59384516</v>
      </c>
      <c r="F1063" s="120" t="s">
        <v>250</v>
      </c>
      <c r="G1063" s="120">
        <v>247685954.48076823</v>
      </c>
      <c r="H1063" s="120" t="s">
        <v>250</v>
      </c>
      <c r="I1063" s="120">
        <v>5388250.1130769132</v>
      </c>
      <c r="J1063" s="120">
        <v>0</v>
      </c>
      <c r="K1063" s="120" t="s">
        <v>250</v>
      </c>
      <c r="L1063" s="120" t="s">
        <v>250</v>
      </c>
      <c r="M1063" s="120">
        <v>0</v>
      </c>
      <c r="N1063" s="120" t="s">
        <v>250</v>
      </c>
      <c r="O1063" s="120">
        <v>0</v>
      </c>
      <c r="P1063" s="120">
        <v>0</v>
      </c>
      <c r="Q1063" s="120">
        <v>0</v>
      </c>
      <c r="R1063" s="120"/>
    </row>
    <row r="1064" spans="1:18" ht="15">
      <c r="A1064" s="105">
        <v>39</v>
      </c>
      <c r="B1064" s="105"/>
      <c r="C1064" s="107" t="s">
        <v>1036</v>
      </c>
      <c r="D1064" s="107" t="s">
        <v>662</v>
      </c>
      <c r="E1064" s="120">
        <v>147331333.26076826</v>
      </c>
      <c r="F1064" s="120" t="s">
        <v>250</v>
      </c>
      <c r="G1064" s="120">
        <v>143087299.06384519</v>
      </c>
      <c r="H1064" s="120" t="s">
        <v>250</v>
      </c>
      <c r="I1064" s="120">
        <v>4244034.1969230715</v>
      </c>
      <c r="J1064" s="120">
        <v>0</v>
      </c>
      <c r="K1064" s="120" t="s">
        <v>250</v>
      </c>
      <c r="L1064" s="120" t="s">
        <v>250</v>
      </c>
      <c r="M1064" s="120">
        <v>0</v>
      </c>
      <c r="N1064" s="120" t="s">
        <v>250</v>
      </c>
      <c r="O1064" s="120">
        <v>0</v>
      </c>
      <c r="P1064" s="120">
        <v>0</v>
      </c>
      <c r="Q1064" s="120">
        <v>0</v>
      </c>
      <c r="R1064" s="120"/>
    </row>
    <row r="1065" spans="1:18" ht="15">
      <c r="A1065" s="105">
        <v>40</v>
      </c>
      <c r="B1065" s="105"/>
      <c r="C1065" s="107" t="s">
        <v>1037</v>
      </c>
      <c r="D1065" s="107" t="s">
        <v>664</v>
      </c>
      <c r="E1065" s="120">
        <v>81388221.329111472</v>
      </c>
      <c r="F1065" s="120" t="s">
        <v>250</v>
      </c>
      <c r="G1065" s="120">
        <v>77153432.479111478</v>
      </c>
      <c r="H1065" s="120" t="s">
        <v>250</v>
      </c>
      <c r="I1065" s="120">
        <v>4187480.85</v>
      </c>
      <c r="J1065" s="120">
        <v>47308</v>
      </c>
      <c r="K1065" s="120" t="s">
        <v>250</v>
      </c>
      <c r="L1065" s="120" t="s">
        <v>250</v>
      </c>
      <c r="M1065" s="120">
        <v>0</v>
      </c>
      <c r="N1065" s="120" t="s">
        <v>250</v>
      </c>
      <c r="O1065" s="120">
        <v>47308</v>
      </c>
      <c r="P1065" s="120">
        <v>20456</v>
      </c>
      <c r="Q1065" s="120">
        <v>26852</v>
      </c>
      <c r="R1065" s="120"/>
    </row>
    <row r="1066" spans="1:18" ht="15">
      <c r="A1066" s="105">
        <v>41</v>
      </c>
      <c r="B1066" s="105"/>
      <c r="C1066" s="107" t="s">
        <v>1038</v>
      </c>
      <c r="D1066" s="107" t="s">
        <v>666</v>
      </c>
      <c r="E1066" s="120">
        <v>159233.80999999997</v>
      </c>
      <c r="F1066" s="120" t="s">
        <v>250</v>
      </c>
      <c r="G1066" s="120">
        <v>159233.80999999997</v>
      </c>
      <c r="H1066" s="120" t="s">
        <v>250</v>
      </c>
      <c r="I1066" s="120">
        <v>0</v>
      </c>
      <c r="J1066" s="120">
        <v>0</v>
      </c>
      <c r="K1066" s="120" t="s">
        <v>250</v>
      </c>
      <c r="L1066" s="120" t="s">
        <v>250</v>
      </c>
      <c r="M1066" s="120">
        <v>0</v>
      </c>
      <c r="N1066" s="120" t="s">
        <v>250</v>
      </c>
      <c r="O1066" s="120">
        <v>0</v>
      </c>
      <c r="P1066" s="120">
        <v>0</v>
      </c>
      <c r="Q1066" s="120">
        <v>0</v>
      </c>
      <c r="R1066" s="120"/>
    </row>
    <row r="1067" spans="1:18" ht="15">
      <c r="A1067" s="105">
        <v>42</v>
      </c>
      <c r="B1067" s="105"/>
      <c r="C1067" s="107" t="s">
        <v>1039</v>
      </c>
      <c r="D1067" s="107" t="s">
        <v>676</v>
      </c>
      <c r="E1067" s="120">
        <v>337620038.88846052</v>
      </c>
      <c r="F1067" s="120" t="s">
        <v>250</v>
      </c>
      <c r="G1067" s="120">
        <v>326558524.12538362</v>
      </c>
      <c r="H1067" s="120" t="s">
        <v>250</v>
      </c>
      <c r="I1067" s="120">
        <v>11061514.763076922</v>
      </c>
      <c r="J1067" s="120">
        <v>0</v>
      </c>
      <c r="K1067" s="120" t="s">
        <v>250</v>
      </c>
      <c r="L1067" s="120" t="s">
        <v>250</v>
      </c>
      <c r="M1067" s="120">
        <v>0</v>
      </c>
      <c r="N1067" s="120" t="s">
        <v>250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43</v>
      </c>
      <c r="B1068" s="105"/>
      <c r="C1068" s="107" t="s">
        <v>1040</v>
      </c>
      <c r="D1068" s="107" t="s">
        <v>692</v>
      </c>
      <c r="E1068" s="120">
        <v>37892980</v>
      </c>
      <c r="F1068" s="120" t="s">
        <v>250</v>
      </c>
      <c r="G1068" s="120">
        <v>36035833.025021873</v>
      </c>
      <c r="H1068" s="120" t="s">
        <v>250</v>
      </c>
      <c r="I1068" s="120">
        <v>1841877.2202571989</v>
      </c>
      <c r="J1068" s="120">
        <v>15269.754720929899</v>
      </c>
      <c r="K1068" s="120" t="s">
        <v>250</v>
      </c>
      <c r="L1068" s="120" t="s">
        <v>250</v>
      </c>
      <c r="M1068" s="120">
        <v>0</v>
      </c>
      <c r="N1068" s="120" t="s">
        <v>250</v>
      </c>
      <c r="O1068" s="120">
        <v>15269.754720929899</v>
      </c>
      <c r="P1068" s="120">
        <v>6107.90188837196</v>
      </c>
      <c r="Q1068" s="120">
        <v>9161.8528325579391</v>
      </c>
      <c r="R1068" s="120"/>
    </row>
    <row r="1069" spans="1:18" ht="15">
      <c r="A1069" s="105">
        <v>44</v>
      </c>
      <c r="B1069" s="105"/>
      <c r="C1069" s="107" t="s">
        <v>1041</v>
      </c>
      <c r="D1069" s="107" t="s">
        <v>702</v>
      </c>
      <c r="E1069" s="120">
        <v>10959826</v>
      </c>
      <c r="F1069" s="120" t="s">
        <v>250</v>
      </c>
      <c r="G1069" s="120">
        <v>10870487.777111737</v>
      </c>
      <c r="H1069" s="120" t="s">
        <v>250</v>
      </c>
      <c r="I1069" s="120">
        <v>89338.222888262797</v>
      </c>
      <c r="J1069" s="120">
        <v>0</v>
      </c>
      <c r="K1069" s="120" t="s">
        <v>250</v>
      </c>
      <c r="L1069" s="120" t="s">
        <v>250</v>
      </c>
      <c r="M1069" s="120">
        <v>0</v>
      </c>
      <c r="N1069" s="120" t="s">
        <v>250</v>
      </c>
      <c r="O1069" s="120">
        <v>0</v>
      </c>
      <c r="P1069" s="120">
        <v>0</v>
      </c>
      <c r="Q1069" s="120">
        <v>0</v>
      </c>
      <c r="R1069" s="120"/>
    </row>
    <row r="1070" spans="1:18" ht="15">
      <c r="A1070" s="105">
        <v>45</v>
      </c>
      <c r="B1070" s="105"/>
      <c r="C1070" s="107" t="s">
        <v>1042</v>
      </c>
      <c r="D1070" s="107" t="s">
        <v>1043</v>
      </c>
      <c r="E1070" s="120">
        <v>3714069770.0560293</v>
      </c>
      <c r="F1070" s="120" t="s">
        <v>250</v>
      </c>
      <c r="G1070" s="120">
        <v>3450624883.9359918</v>
      </c>
      <c r="H1070" s="120" t="s">
        <v>250</v>
      </c>
      <c r="I1070" s="120">
        <v>258583911.41330975</v>
      </c>
      <c r="J1070" s="120">
        <v>4860974.7067278475</v>
      </c>
      <c r="K1070" s="120" t="s">
        <v>250</v>
      </c>
      <c r="L1070" s="120" t="s">
        <v>250</v>
      </c>
      <c r="M1070" s="120">
        <v>0</v>
      </c>
      <c r="N1070" s="120" t="s">
        <v>250</v>
      </c>
      <c r="O1070" s="120">
        <v>4860974.7067278475</v>
      </c>
      <c r="P1070" s="120">
        <v>4700121.1922510536</v>
      </c>
      <c r="Q1070" s="120">
        <v>160853.51447679417</v>
      </c>
      <c r="R1070" s="120"/>
    </row>
    <row r="1071" spans="1:18" ht="15">
      <c r="A1071" s="105" t="s">
        <v>250</v>
      </c>
      <c r="B1071" s="105"/>
      <c r="C1071" s="107" t="s">
        <v>250</v>
      </c>
      <c r="D1071" s="107" t="s">
        <v>250</v>
      </c>
      <c r="E1071" s="120" t="s">
        <v>250</v>
      </c>
      <c r="F1071" s="120" t="s">
        <v>250</v>
      </c>
      <c r="G1071" s="120" t="s">
        <v>250</v>
      </c>
      <c r="H1071" s="120" t="s">
        <v>250</v>
      </c>
      <c r="I1071" s="120" t="s">
        <v>250</v>
      </c>
      <c r="J1071" s="120" t="s">
        <v>250</v>
      </c>
      <c r="K1071" s="120" t="s">
        <v>250</v>
      </c>
      <c r="L1071" s="120" t="s">
        <v>250</v>
      </c>
      <c r="M1071" s="120" t="s">
        <v>250</v>
      </c>
      <c r="N1071" s="120" t="s">
        <v>250</v>
      </c>
      <c r="O1071" s="120" t="s">
        <v>250</v>
      </c>
      <c r="P1071" s="120" t="s">
        <v>250</v>
      </c>
      <c r="Q1071" s="120" t="s">
        <v>250</v>
      </c>
      <c r="R1071" s="120"/>
    </row>
    <row r="1072" spans="1:18" ht="15">
      <c r="A1072" s="105" t="s">
        <v>250</v>
      </c>
      <c r="B1072" s="105"/>
      <c r="C1072" s="107" t="s">
        <v>1044</v>
      </c>
      <c r="D1072" s="107" t="s">
        <v>250</v>
      </c>
      <c r="E1072" s="120" t="s">
        <v>250</v>
      </c>
      <c r="F1072" s="120" t="s">
        <v>250</v>
      </c>
      <c r="G1072" s="120" t="s">
        <v>250</v>
      </c>
      <c r="H1072" s="120" t="s">
        <v>250</v>
      </c>
      <c r="I1072" s="120" t="s">
        <v>250</v>
      </c>
      <c r="J1072" s="120" t="s">
        <v>250</v>
      </c>
      <c r="K1072" s="120" t="s">
        <v>250</v>
      </c>
      <c r="L1072" s="120" t="s">
        <v>250</v>
      </c>
      <c r="M1072" s="120" t="s">
        <v>250</v>
      </c>
      <c r="N1072" s="120" t="s">
        <v>250</v>
      </c>
      <c r="O1072" s="120" t="s">
        <v>250</v>
      </c>
      <c r="P1072" s="120" t="s">
        <v>250</v>
      </c>
      <c r="Q1072" s="120" t="s">
        <v>250</v>
      </c>
      <c r="R1072" s="120"/>
    </row>
    <row r="1073" spans="1:18" ht="15">
      <c r="A1073" s="105" t="s">
        <v>250</v>
      </c>
      <c r="B1073" s="105"/>
      <c r="C1073" s="107" t="s">
        <v>917</v>
      </c>
      <c r="D1073" s="107" t="s">
        <v>250</v>
      </c>
      <c r="E1073" s="120" t="s">
        <v>250</v>
      </c>
      <c r="F1073" s="120" t="s">
        <v>250</v>
      </c>
      <c r="G1073" s="120" t="s">
        <v>250</v>
      </c>
      <c r="H1073" s="120" t="s">
        <v>250</v>
      </c>
      <c r="I1073" s="120" t="s">
        <v>250</v>
      </c>
      <c r="J1073" s="120" t="s">
        <v>250</v>
      </c>
      <c r="K1073" s="120" t="s">
        <v>250</v>
      </c>
      <c r="L1073" s="120" t="s">
        <v>250</v>
      </c>
      <c r="M1073" s="120" t="s">
        <v>250</v>
      </c>
      <c r="N1073" s="120" t="s">
        <v>250</v>
      </c>
      <c r="O1073" s="120" t="s">
        <v>250</v>
      </c>
      <c r="P1073" s="120" t="s">
        <v>250</v>
      </c>
      <c r="Q1073" s="120" t="s">
        <v>250</v>
      </c>
      <c r="R1073" s="120"/>
    </row>
    <row r="1074" spans="1:18" ht="15">
      <c r="A1074" s="105">
        <v>1</v>
      </c>
      <c r="B1074" s="105"/>
      <c r="C1074" s="107" t="s">
        <v>1045</v>
      </c>
      <c r="D1074" s="107" t="s">
        <v>711</v>
      </c>
      <c r="E1074" s="120">
        <v>1223256.0000000002</v>
      </c>
      <c r="F1074" s="120" t="s">
        <v>250</v>
      </c>
      <c r="G1074" s="120">
        <v>1162135.9774177484</v>
      </c>
      <c r="H1074" s="120" t="s">
        <v>250</v>
      </c>
      <c r="I1074" s="120">
        <v>61120.022582251717</v>
      </c>
      <c r="J1074" s="120">
        <v>0</v>
      </c>
      <c r="K1074" s="120" t="s">
        <v>250</v>
      </c>
      <c r="L1074" s="120" t="s">
        <v>250</v>
      </c>
      <c r="M1074" s="120">
        <v>0</v>
      </c>
      <c r="N1074" s="120" t="s">
        <v>250</v>
      </c>
      <c r="O1074" s="120">
        <v>0</v>
      </c>
      <c r="P1074" s="120">
        <v>0</v>
      </c>
      <c r="Q1074" s="120">
        <v>0</v>
      </c>
      <c r="R1074" s="120"/>
    </row>
    <row r="1075" spans="1:18" ht="15">
      <c r="A1075" s="105">
        <v>2</v>
      </c>
      <c r="B1075" s="105"/>
      <c r="C1075" s="107" t="s">
        <v>1046</v>
      </c>
      <c r="D1075" s="107" t="s">
        <v>586</v>
      </c>
      <c r="E1075" s="120">
        <v>24197153.967620105</v>
      </c>
      <c r="F1075" s="120" t="s">
        <v>250</v>
      </c>
      <c r="G1075" s="120">
        <v>0</v>
      </c>
      <c r="H1075" s="120" t="s">
        <v>250</v>
      </c>
      <c r="I1075" s="120">
        <v>0</v>
      </c>
      <c r="J1075" s="120">
        <v>24197153.967620105</v>
      </c>
      <c r="K1075" s="120" t="s">
        <v>250</v>
      </c>
      <c r="L1075" s="120" t="s">
        <v>250</v>
      </c>
      <c r="M1075" s="120">
        <v>0</v>
      </c>
      <c r="N1075" s="120" t="s">
        <v>250</v>
      </c>
      <c r="O1075" s="120">
        <v>24197153.967620105</v>
      </c>
      <c r="P1075" s="120">
        <v>12350191.532513371</v>
      </c>
      <c r="Q1075" s="120">
        <v>11846962.435106736</v>
      </c>
      <c r="R1075" s="120"/>
    </row>
    <row r="1076" spans="1:18" ht="15">
      <c r="A1076" s="105">
        <v>3</v>
      </c>
      <c r="B1076" s="105"/>
      <c r="C1076" s="107" t="s">
        <v>1047</v>
      </c>
      <c r="D1076" s="107" t="s">
        <v>735</v>
      </c>
      <c r="E1076" s="120">
        <v>76228080.653226554</v>
      </c>
      <c r="F1076" s="120" t="s">
        <v>250</v>
      </c>
      <c r="G1076" s="120">
        <v>0</v>
      </c>
      <c r="H1076" s="120" t="s">
        <v>250</v>
      </c>
      <c r="I1076" s="120">
        <v>76228080.653226554</v>
      </c>
      <c r="J1076" s="120">
        <v>0</v>
      </c>
      <c r="K1076" s="120" t="s">
        <v>250</v>
      </c>
      <c r="L1076" s="120" t="s">
        <v>250</v>
      </c>
      <c r="M1076" s="120">
        <v>0</v>
      </c>
      <c r="N1076" s="120" t="s">
        <v>250</v>
      </c>
      <c r="O1076" s="120">
        <v>0</v>
      </c>
      <c r="P1076" s="120">
        <v>0</v>
      </c>
      <c r="Q1076" s="120">
        <v>0</v>
      </c>
      <c r="R1076" s="120"/>
    </row>
    <row r="1077" spans="1:18" ht="15">
      <c r="A1077" s="105">
        <v>4</v>
      </c>
      <c r="B1077" s="105"/>
      <c r="C1077" s="107" t="s">
        <v>1048</v>
      </c>
      <c r="D1077" s="107" t="s">
        <v>1049</v>
      </c>
      <c r="E1077" s="120">
        <v>1707060044.0610499</v>
      </c>
      <c r="F1077" s="120" t="s">
        <v>250</v>
      </c>
      <c r="G1077" s="120">
        <v>1606634809.4402032</v>
      </c>
      <c r="H1077" s="120" t="s">
        <v>250</v>
      </c>
      <c r="I1077" s="120">
        <v>76228080.653226554</v>
      </c>
      <c r="J1077" s="120">
        <v>24197153.967620105</v>
      </c>
      <c r="K1077" s="120" t="s">
        <v>250</v>
      </c>
      <c r="L1077" s="120" t="s">
        <v>250</v>
      </c>
      <c r="M1077" s="120">
        <v>0</v>
      </c>
      <c r="N1077" s="120" t="s">
        <v>250</v>
      </c>
      <c r="O1077" s="120">
        <v>24197153.967620105</v>
      </c>
      <c r="P1077" s="120">
        <v>12350191.532513371</v>
      </c>
      <c r="Q1077" s="120">
        <v>11846962.435106736</v>
      </c>
      <c r="R1077" s="120"/>
    </row>
    <row r="1078" spans="1:18" ht="15">
      <c r="A1078" s="105">
        <v>5</v>
      </c>
      <c r="B1078" s="105"/>
      <c r="C1078" s="107" t="s">
        <v>1050</v>
      </c>
      <c r="D1078" s="107" t="s">
        <v>726</v>
      </c>
      <c r="E1078" s="120">
        <v>1</v>
      </c>
      <c r="F1078" s="120" t="s">
        <v>250</v>
      </c>
      <c r="G1078" s="120">
        <v>0</v>
      </c>
      <c r="H1078" s="120" t="s">
        <v>250</v>
      </c>
      <c r="I1078" s="120">
        <v>1</v>
      </c>
      <c r="J1078" s="120">
        <v>0</v>
      </c>
      <c r="K1078" s="120" t="s">
        <v>250</v>
      </c>
      <c r="L1078" s="120" t="s">
        <v>250</v>
      </c>
      <c r="M1078" s="120">
        <v>0</v>
      </c>
      <c r="N1078" s="120" t="s">
        <v>250</v>
      </c>
      <c r="O1078" s="120">
        <v>0</v>
      </c>
      <c r="P1078" s="120">
        <v>0</v>
      </c>
      <c r="Q1078" s="120">
        <v>0</v>
      </c>
      <c r="R1078" s="120"/>
    </row>
    <row r="1079" spans="1:18" ht="15">
      <c r="A1079" s="105">
        <v>6</v>
      </c>
      <c r="B1079" s="105"/>
      <c r="C1079" s="107" t="s">
        <v>1051</v>
      </c>
      <c r="D1079" s="107" t="s">
        <v>1052</v>
      </c>
      <c r="E1079" s="120">
        <v>1682862890.0934298</v>
      </c>
      <c r="F1079" s="120" t="s">
        <v>250</v>
      </c>
      <c r="G1079" s="120">
        <v>1606634809.4402032</v>
      </c>
      <c r="H1079" s="120" t="s">
        <v>250</v>
      </c>
      <c r="I1079" s="120">
        <v>76228080.653226554</v>
      </c>
      <c r="J1079" s="120">
        <v>0</v>
      </c>
      <c r="K1079" s="120" t="s">
        <v>250</v>
      </c>
      <c r="L1079" s="120" t="s">
        <v>250</v>
      </c>
      <c r="M1079" s="120">
        <v>0</v>
      </c>
      <c r="N1079" s="120" t="s">
        <v>250</v>
      </c>
      <c r="O1079" s="120">
        <v>0</v>
      </c>
      <c r="P1079" s="120">
        <v>0</v>
      </c>
      <c r="Q1079" s="120">
        <v>0</v>
      </c>
      <c r="R1079" s="120"/>
    </row>
    <row r="1080" spans="1:18" ht="15">
      <c r="A1080" s="105">
        <v>7</v>
      </c>
      <c r="B1080" s="105"/>
      <c r="C1080" s="107" t="s">
        <v>1053</v>
      </c>
      <c r="D1080" s="107" t="s">
        <v>746</v>
      </c>
      <c r="E1080" s="120">
        <v>2187042871.1998763</v>
      </c>
      <c r="F1080" s="120" t="s">
        <v>250</v>
      </c>
      <c r="G1080" s="120">
        <v>2183514400.1998763</v>
      </c>
      <c r="H1080" s="120" t="s">
        <v>250</v>
      </c>
      <c r="I1080" s="120">
        <v>0</v>
      </c>
      <c r="J1080" s="120">
        <v>3528471</v>
      </c>
      <c r="K1080" s="120" t="s">
        <v>250</v>
      </c>
      <c r="L1080" s="120" t="s">
        <v>250</v>
      </c>
      <c r="M1080" s="120">
        <v>0</v>
      </c>
      <c r="N1080" s="120" t="s">
        <v>250</v>
      </c>
      <c r="O1080" s="120">
        <v>3528471</v>
      </c>
      <c r="P1080" s="120">
        <v>3501619</v>
      </c>
      <c r="Q1080" s="120">
        <v>26852</v>
      </c>
      <c r="R1080" s="120"/>
    </row>
    <row r="1081" spans="1:18" ht="15">
      <c r="A1081" s="105">
        <v>8</v>
      </c>
      <c r="B1081" s="105"/>
      <c r="C1081" s="107" t="s">
        <v>1054</v>
      </c>
      <c r="D1081" s="107" t="s">
        <v>748</v>
      </c>
      <c r="E1081" s="120">
        <v>106702054.78769226</v>
      </c>
      <c r="F1081" s="120" t="s">
        <v>250</v>
      </c>
      <c r="G1081" s="120">
        <v>0</v>
      </c>
      <c r="H1081" s="120" t="s">
        <v>250</v>
      </c>
      <c r="I1081" s="120">
        <v>106702054.78769226</v>
      </c>
      <c r="J1081" s="120">
        <v>0</v>
      </c>
      <c r="K1081" s="120" t="s">
        <v>250</v>
      </c>
      <c r="L1081" s="120" t="s">
        <v>250</v>
      </c>
      <c r="M1081" s="120">
        <v>0</v>
      </c>
      <c r="N1081" s="120" t="s">
        <v>250</v>
      </c>
      <c r="O1081" s="120">
        <v>0</v>
      </c>
      <c r="P1081" s="120">
        <v>0</v>
      </c>
      <c r="Q1081" s="120">
        <v>0</v>
      </c>
      <c r="R1081" s="120"/>
    </row>
    <row r="1082" spans="1:18" ht="15">
      <c r="A1082" s="105">
        <v>9</v>
      </c>
      <c r="B1082" s="105"/>
      <c r="C1082" s="107" t="s">
        <v>1055</v>
      </c>
      <c r="D1082" s="107" t="s">
        <v>750</v>
      </c>
      <c r="E1082" s="120">
        <v>107533.61000000002</v>
      </c>
      <c r="F1082" s="120" t="s">
        <v>250</v>
      </c>
      <c r="G1082" s="120">
        <v>107533.61000000002</v>
      </c>
      <c r="H1082" s="120" t="s">
        <v>250</v>
      </c>
      <c r="I1082" s="120">
        <v>0</v>
      </c>
      <c r="J1082" s="120">
        <v>0</v>
      </c>
      <c r="K1082" s="120" t="s">
        <v>250</v>
      </c>
      <c r="L1082" s="120" t="s">
        <v>250</v>
      </c>
      <c r="M1082" s="120">
        <v>0</v>
      </c>
      <c r="N1082" s="120" t="s">
        <v>250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10</v>
      </c>
      <c r="B1083" s="105"/>
      <c r="C1083" s="107" t="s">
        <v>473</v>
      </c>
      <c r="D1083" s="107" t="s">
        <v>759</v>
      </c>
      <c r="E1083" s="120">
        <v>6984839358.823</v>
      </c>
      <c r="F1083" s="120" t="s">
        <v>250</v>
      </c>
      <c r="G1083" s="120">
        <v>6539627356.922184</v>
      </c>
      <c r="H1083" s="120" t="s">
        <v>250</v>
      </c>
      <c r="I1083" s="120">
        <v>357505782.340487</v>
      </c>
      <c r="J1083" s="120">
        <v>87706219.56032984</v>
      </c>
      <c r="K1083" s="120" t="s">
        <v>250</v>
      </c>
      <c r="L1083" s="120" t="s">
        <v>250</v>
      </c>
      <c r="M1083" s="120">
        <v>0</v>
      </c>
      <c r="N1083" s="120" t="s">
        <v>250</v>
      </c>
      <c r="O1083" s="120">
        <v>87706219.56032984</v>
      </c>
      <c r="P1083" s="120">
        <v>46221270.481903017</v>
      </c>
      <c r="Q1083" s="120">
        <v>41484949.078426823</v>
      </c>
      <c r="R1083" s="120"/>
    </row>
    <row r="1084" spans="1:18" ht="15">
      <c r="A1084" s="105">
        <v>11</v>
      </c>
      <c r="B1084" s="105"/>
      <c r="C1084" s="107" t="s">
        <v>546</v>
      </c>
      <c r="D1084" s="107" t="s">
        <v>781</v>
      </c>
      <c r="E1084" s="120">
        <v>6227209457.6673384</v>
      </c>
      <c r="F1084" s="120" t="s">
        <v>250</v>
      </c>
      <c r="G1084" s="120">
        <v>5830686181.1368046</v>
      </c>
      <c r="H1084" s="120" t="s">
        <v>250</v>
      </c>
      <c r="I1084" s="120">
        <v>318632787.00105828</v>
      </c>
      <c r="J1084" s="120">
        <v>77890489.52947554</v>
      </c>
      <c r="K1084" s="120" t="s">
        <v>250</v>
      </c>
      <c r="L1084" s="120" t="s">
        <v>250</v>
      </c>
      <c r="M1084" s="120">
        <v>0</v>
      </c>
      <c r="N1084" s="120" t="s">
        <v>250</v>
      </c>
      <c r="O1084" s="120">
        <v>77890489.52947554</v>
      </c>
      <c r="P1084" s="120">
        <v>41081351.70204524</v>
      </c>
      <c r="Q1084" s="120">
        <v>36809137.8274303</v>
      </c>
      <c r="R1084" s="120"/>
    </row>
    <row r="1085" spans="1:18" ht="15">
      <c r="A1085" s="105">
        <v>12</v>
      </c>
      <c r="B1085" s="105"/>
      <c r="C1085" s="107" t="s">
        <v>1056</v>
      </c>
      <c r="D1085" s="107" t="s">
        <v>785</v>
      </c>
      <c r="E1085" s="120">
        <v>336337.09</v>
      </c>
      <c r="F1085" s="120" t="s">
        <v>250</v>
      </c>
      <c r="G1085" s="120">
        <v>259522.51453269197</v>
      </c>
      <c r="H1085" s="120" t="s">
        <v>250</v>
      </c>
      <c r="I1085" s="120">
        <v>0</v>
      </c>
      <c r="J1085" s="120">
        <v>76814.575467308066</v>
      </c>
      <c r="K1085" s="120" t="s">
        <v>250</v>
      </c>
      <c r="L1085" s="120" t="s">
        <v>250</v>
      </c>
      <c r="M1085" s="120">
        <v>0</v>
      </c>
      <c r="N1085" s="120" t="s">
        <v>250</v>
      </c>
      <c r="O1085" s="120">
        <v>76814.575467308066</v>
      </c>
      <c r="P1085" s="120">
        <v>38964.650917474282</v>
      </c>
      <c r="Q1085" s="120">
        <v>37849.924549833784</v>
      </c>
      <c r="R1085" s="120"/>
    </row>
    <row r="1086" spans="1:18" ht="15">
      <c r="A1086" s="105">
        <v>13</v>
      </c>
      <c r="B1086" s="105"/>
      <c r="C1086" s="107" t="s">
        <v>1057</v>
      </c>
      <c r="D1086" s="107" t="s">
        <v>1058</v>
      </c>
      <c r="E1086" s="120">
        <v>-21857193</v>
      </c>
      <c r="F1086" s="120" t="s">
        <v>250</v>
      </c>
      <c r="G1086" s="120">
        <v>-20510025</v>
      </c>
      <c r="H1086" s="120" t="s">
        <v>250</v>
      </c>
      <c r="I1086" s="120">
        <v>-1057655</v>
      </c>
      <c r="J1086" s="120">
        <v>-289513</v>
      </c>
      <c r="K1086" s="120" t="s">
        <v>250</v>
      </c>
      <c r="L1086" s="120" t="s">
        <v>250</v>
      </c>
      <c r="M1086" s="120">
        <v>0</v>
      </c>
      <c r="N1086" s="120" t="s">
        <v>250</v>
      </c>
      <c r="O1086" s="120">
        <v>-289513</v>
      </c>
      <c r="P1086" s="120">
        <v>-151485</v>
      </c>
      <c r="Q1086" s="120">
        <v>-138028</v>
      </c>
      <c r="R1086" s="120"/>
    </row>
    <row r="1087" spans="1:18" ht="15">
      <c r="A1087" s="105">
        <v>14</v>
      </c>
      <c r="B1087" s="105"/>
      <c r="C1087" s="107" t="s">
        <v>1059</v>
      </c>
      <c r="D1087" s="107" t="s">
        <v>1060</v>
      </c>
      <c r="E1087" s="120">
        <v>350176426.77607679</v>
      </c>
      <c r="F1087" s="120" t="s">
        <v>250</v>
      </c>
      <c r="G1087" s="120">
        <v>329561764.42212039</v>
      </c>
      <c r="H1087" s="120" t="s">
        <v>250</v>
      </c>
      <c r="I1087" s="120">
        <v>13529586.437537743</v>
      </c>
      <c r="J1087" s="120">
        <v>7085075.9164186576</v>
      </c>
      <c r="K1087" s="120" t="s">
        <v>250</v>
      </c>
      <c r="L1087" s="120" t="s">
        <v>250</v>
      </c>
      <c r="M1087" s="120">
        <v>0</v>
      </c>
      <c r="N1087" s="120" t="s">
        <v>250</v>
      </c>
      <c r="O1087" s="120">
        <v>7085075.9164186576</v>
      </c>
      <c r="P1087" s="120">
        <v>3629600.6582495901</v>
      </c>
      <c r="Q1087" s="120">
        <v>3455475.2581690676</v>
      </c>
      <c r="R1087" s="120"/>
    </row>
    <row r="1088" spans="1:18" ht="15">
      <c r="A1088" s="105">
        <v>15</v>
      </c>
      <c r="B1088" s="105"/>
      <c r="C1088" s="107" t="s">
        <v>1061</v>
      </c>
      <c r="D1088" s="107" t="s">
        <v>1062</v>
      </c>
      <c r="E1088" s="120">
        <v>79315958.999999911</v>
      </c>
      <c r="F1088" s="120" t="s">
        <v>250</v>
      </c>
      <c r="G1088" s="120">
        <v>74976830.175367117</v>
      </c>
      <c r="H1088" s="120" t="s">
        <v>250</v>
      </c>
      <c r="I1088" s="120">
        <v>2851406.0043130959</v>
      </c>
      <c r="J1088" s="120">
        <v>1487722.8203197005</v>
      </c>
      <c r="K1088" s="120" t="s">
        <v>250</v>
      </c>
      <c r="L1088" s="120" t="s">
        <v>250</v>
      </c>
      <c r="M1088" s="120">
        <v>0</v>
      </c>
      <c r="N1088" s="120" t="s">
        <v>250</v>
      </c>
      <c r="O1088" s="120">
        <v>1487722.8203197005</v>
      </c>
      <c r="P1088" s="120">
        <v>761853.13520734955</v>
      </c>
      <c r="Q1088" s="120">
        <v>725869.68511235109</v>
      </c>
      <c r="R1088" s="120"/>
    </row>
    <row r="1089" spans="1:18" ht="15">
      <c r="A1089" s="105">
        <v>16</v>
      </c>
      <c r="B1089" s="105"/>
      <c r="C1089" s="107" t="s">
        <v>1063</v>
      </c>
      <c r="D1089" s="107" t="s">
        <v>1064</v>
      </c>
      <c r="E1089" s="120">
        <v>11310</v>
      </c>
      <c r="F1089" s="120" t="s">
        <v>250</v>
      </c>
      <c r="G1089" s="120">
        <v>10609.099428330737</v>
      </c>
      <c r="H1089" s="120" t="s">
        <v>250</v>
      </c>
      <c r="I1089" s="120">
        <v>480.2977582912726</v>
      </c>
      <c r="J1089" s="120">
        <v>220.60281337799009</v>
      </c>
      <c r="K1089" s="120" t="s">
        <v>250</v>
      </c>
      <c r="L1089" s="120" t="s">
        <v>250</v>
      </c>
      <c r="M1089" s="120">
        <v>0</v>
      </c>
      <c r="N1089" s="120" t="s">
        <v>250</v>
      </c>
      <c r="O1089" s="120">
        <v>220.60281337799009</v>
      </c>
      <c r="P1089" s="120">
        <v>111.90209100803278</v>
      </c>
      <c r="Q1089" s="120">
        <v>108.7007223699573</v>
      </c>
      <c r="R1089" s="120"/>
    </row>
    <row r="1090" spans="1:18" ht="15">
      <c r="A1090" s="105">
        <v>17</v>
      </c>
      <c r="B1090" s="105"/>
      <c r="C1090" s="107" t="s">
        <v>1065</v>
      </c>
      <c r="D1090" s="107" t="s">
        <v>1066</v>
      </c>
      <c r="E1090" s="120">
        <v>422005</v>
      </c>
      <c r="F1090" s="120" t="s">
        <v>250</v>
      </c>
      <c r="G1090" s="120">
        <v>396157.00465909205</v>
      </c>
      <c r="H1090" s="120" t="s">
        <v>250</v>
      </c>
      <c r="I1090" s="120">
        <v>17548.942450833249</v>
      </c>
      <c r="J1090" s="120">
        <v>8299.0528900746795</v>
      </c>
      <c r="K1090" s="120" t="s">
        <v>250</v>
      </c>
      <c r="L1090" s="120" t="s">
        <v>250</v>
      </c>
      <c r="M1090" s="120">
        <v>0</v>
      </c>
      <c r="N1090" s="120" t="s">
        <v>250</v>
      </c>
      <c r="O1090" s="120">
        <v>8299.0528900746795</v>
      </c>
      <c r="P1090" s="120">
        <v>4219.5612346057078</v>
      </c>
      <c r="Q1090" s="120">
        <v>4079.4916554689726</v>
      </c>
      <c r="R1090" s="120"/>
    </row>
    <row r="1091" spans="1:18" ht="15">
      <c r="A1091" s="105">
        <v>18</v>
      </c>
      <c r="B1091" s="105"/>
      <c r="C1091" s="107" t="s">
        <v>1067</v>
      </c>
      <c r="D1091" s="107" t="s">
        <v>1068</v>
      </c>
      <c r="E1091" s="120">
        <v>114457438.32184002</v>
      </c>
      <c r="F1091" s="120" t="s">
        <v>250</v>
      </c>
      <c r="G1091" s="120">
        <v>107796267.65508448</v>
      </c>
      <c r="H1091" s="120" t="s">
        <v>250</v>
      </c>
      <c r="I1091" s="120">
        <v>4332438.7125058845</v>
      </c>
      <c r="J1091" s="120">
        <v>2328731.9542496428</v>
      </c>
      <c r="K1091" s="120" t="s">
        <v>250</v>
      </c>
      <c r="L1091" s="120" t="s">
        <v>250</v>
      </c>
      <c r="M1091" s="120">
        <v>0</v>
      </c>
      <c r="N1091" s="120" t="s">
        <v>250</v>
      </c>
      <c r="O1091" s="120">
        <v>2328731.9542496428</v>
      </c>
      <c r="P1091" s="120">
        <v>1195192.1073195254</v>
      </c>
      <c r="Q1091" s="120">
        <v>1133539.8469301176</v>
      </c>
      <c r="R1091" s="120"/>
    </row>
    <row r="1092" spans="1:18" ht="15">
      <c r="A1092" s="105">
        <v>19</v>
      </c>
      <c r="B1092" s="105"/>
      <c r="C1092" s="107" t="s">
        <v>1069</v>
      </c>
      <c r="D1092" s="107" t="s">
        <v>1070</v>
      </c>
      <c r="E1092" s="120">
        <v>15157968.999999996</v>
      </c>
      <c r="F1092" s="120" t="s">
        <v>250</v>
      </c>
      <c r="G1092" s="120">
        <v>14093148.605673652</v>
      </c>
      <c r="H1092" s="120" t="s">
        <v>250</v>
      </c>
      <c r="I1092" s="120">
        <v>724171.0664836932</v>
      </c>
      <c r="J1092" s="120">
        <v>340649.32784265117</v>
      </c>
      <c r="K1092" s="120" t="s">
        <v>250</v>
      </c>
      <c r="L1092" s="120" t="s">
        <v>250</v>
      </c>
      <c r="M1092" s="120">
        <v>0</v>
      </c>
      <c r="N1092" s="120" t="s">
        <v>250</v>
      </c>
      <c r="O1092" s="120">
        <v>340649.32784265117</v>
      </c>
      <c r="P1092" s="120">
        <v>172796.40047363413</v>
      </c>
      <c r="Q1092" s="120">
        <v>167852.92736901704</v>
      </c>
      <c r="R1092" s="120"/>
    </row>
    <row r="1093" spans="1:18" ht="15">
      <c r="A1093" s="105">
        <v>20</v>
      </c>
      <c r="B1093" s="105"/>
      <c r="C1093" s="107" t="s">
        <v>1071</v>
      </c>
      <c r="D1093" s="107" t="s">
        <v>1072</v>
      </c>
      <c r="E1093" s="120">
        <v>0</v>
      </c>
      <c r="F1093" s="120" t="s">
        <v>250</v>
      </c>
      <c r="G1093" s="120">
        <v>0</v>
      </c>
      <c r="H1093" s="120" t="s">
        <v>250</v>
      </c>
      <c r="I1093" s="120">
        <v>0</v>
      </c>
      <c r="J1093" s="120">
        <v>0</v>
      </c>
      <c r="K1093" s="120" t="s">
        <v>250</v>
      </c>
      <c r="L1093" s="120" t="s">
        <v>250</v>
      </c>
      <c r="M1093" s="120">
        <v>0</v>
      </c>
      <c r="N1093" s="120" t="s">
        <v>250</v>
      </c>
      <c r="O1093" s="120">
        <v>0</v>
      </c>
      <c r="P1093" s="120">
        <v>0</v>
      </c>
      <c r="Q1093" s="120">
        <v>0</v>
      </c>
      <c r="R1093" s="120"/>
    </row>
    <row r="1094" spans="1:18" ht="15">
      <c r="A1094" s="105">
        <v>21</v>
      </c>
      <c r="B1094" s="105"/>
      <c r="C1094" s="107" t="s">
        <v>1073</v>
      </c>
      <c r="D1094" s="107" t="s">
        <v>1074</v>
      </c>
      <c r="E1094" s="120">
        <v>0</v>
      </c>
      <c r="F1094" s="120" t="s">
        <v>250</v>
      </c>
      <c r="G1094" s="120">
        <v>0</v>
      </c>
      <c r="H1094" s="120" t="s">
        <v>250</v>
      </c>
      <c r="I1094" s="120">
        <v>0</v>
      </c>
      <c r="J1094" s="120">
        <v>0</v>
      </c>
      <c r="K1094" s="120" t="s">
        <v>250</v>
      </c>
      <c r="L1094" s="120" t="s">
        <v>250</v>
      </c>
      <c r="M1094" s="120">
        <v>0</v>
      </c>
      <c r="N1094" s="120" t="s">
        <v>250</v>
      </c>
      <c r="O1094" s="120">
        <v>0</v>
      </c>
      <c r="P1094" s="120">
        <v>0</v>
      </c>
      <c r="Q1094" s="120">
        <v>0</v>
      </c>
      <c r="R1094" s="120"/>
    </row>
    <row r="1095" spans="1:18" ht="15">
      <c r="A1095" s="105">
        <v>22</v>
      </c>
      <c r="B1095" s="105"/>
      <c r="C1095" s="107" t="s">
        <v>1075</v>
      </c>
      <c r="D1095" s="107" t="s">
        <v>1076</v>
      </c>
      <c r="E1095" s="120">
        <v>0</v>
      </c>
      <c r="F1095" s="120" t="s">
        <v>250</v>
      </c>
      <c r="G1095" s="120">
        <v>0</v>
      </c>
      <c r="H1095" s="120" t="s">
        <v>250</v>
      </c>
      <c r="I1095" s="120">
        <v>0</v>
      </c>
      <c r="J1095" s="120">
        <v>0</v>
      </c>
      <c r="K1095" s="120" t="s">
        <v>250</v>
      </c>
      <c r="L1095" s="120" t="s">
        <v>250</v>
      </c>
      <c r="M1095" s="120">
        <v>0</v>
      </c>
      <c r="N1095" s="120" t="s">
        <v>250</v>
      </c>
      <c r="O1095" s="120">
        <v>0</v>
      </c>
      <c r="P1095" s="120">
        <v>0</v>
      </c>
      <c r="Q1095" s="120">
        <v>0</v>
      </c>
      <c r="R1095" s="120"/>
    </row>
    <row r="1096" spans="1:18" ht="15">
      <c r="A1096" s="105">
        <v>23</v>
      </c>
      <c r="B1096" s="105"/>
      <c r="C1096" s="107" t="s">
        <v>1077</v>
      </c>
      <c r="D1096" s="107" t="s">
        <v>1078</v>
      </c>
      <c r="E1096" s="120">
        <v>0</v>
      </c>
      <c r="F1096" s="120" t="s">
        <v>250</v>
      </c>
      <c r="G1096" s="120">
        <v>0</v>
      </c>
      <c r="H1096" s="120" t="s">
        <v>250</v>
      </c>
      <c r="I1096" s="120">
        <v>0</v>
      </c>
      <c r="J1096" s="120">
        <v>0</v>
      </c>
      <c r="K1096" s="120" t="s">
        <v>250</v>
      </c>
      <c r="L1096" s="120" t="s">
        <v>250</v>
      </c>
      <c r="M1096" s="120">
        <v>0</v>
      </c>
      <c r="N1096" s="120" t="s">
        <v>250</v>
      </c>
      <c r="O1096" s="120">
        <v>0</v>
      </c>
      <c r="P1096" s="120">
        <v>0</v>
      </c>
      <c r="Q1096" s="120">
        <v>0</v>
      </c>
      <c r="R1096" s="120"/>
    </row>
    <row r="1097" spans="1:18" ht="15">
      <c r="A1097" s="105">
        <v>24</v>
      </c>
      <c r="B1097" s="105"/>
      <c r="C1097" s="107" t="s">
        <v>1079</v>
      </c>
      <c r="D1097" s="107" t="s">
        <v>1080</v>
      </c>
      <c r="E1097" s="120">
        <v>0</v>
      </c>
      <c r="F1097" s="120" t="s">
        <v>250</v>
      </c>
      <c r="G1097" s="120">
        <v>0</v>
      </c>
      <c r="H1097" s="120" t="s">
        <v>250</v>
      </c>
      <c r="I1097" s="120">
        <v>0</v>
      </c>
      <c r="J1097" s="120">
        <v>0</v>
      </c>
      <c r="K1097" s="120" t="s">
        <v>250</v>
      </c>
      <c r="L1097" s="120" t="s">
        <v>250</v>
      </c>
      <c r="M1097" s="120">
        <v>0</v>
      </c>
      <c r="N1097" s="120" t="s">
        <v>250</v>
      </c>
      <c r="O1097" s="120">
        <v>0</v>
      </c>
      <c r="P1097" s="120">
        <v>0</v>
      </c>
      <c r="Q1097" s="120">
        <v>0</v>
      </c>
      <c r="R1097" s="120"/>
    </row>
    <row r="1098" spans="1:18" ht="15">
      <c r="A1098" s="105">
        <v>25</v>
      </c>
      <c r="B1098" s="105"/>
      <c r="C1098" s="107" t="s">
        <v>1081</v>
      </c>
      <c r="D1098" s="107" t="s">
        <v>1082</v>
      </c>
      <c r="E1098" s="120">
        <v>0</v>
      </c>
      <c r="F1098" s="120" t="s">
        <v>250</v>
      </c>
      <c r="G1098" s="120">
        <v>0</v>
      </c>
      <c r="H1098" s="120" t="s">
        <v>250</v>
      </c>
      <c r="I1098" s="120">
        <v>0</v>
      </c>
      <c r="J1098" s="120">
        <v>0</v>
      </c>
      <c r="K1098" s="120" t="s">
        <v>250</v>
      </c>
      <c r="L1098" s="120" t="s">
        <v>250</v>
      </c>
      <c r="M1098" s="120">
        <v>0</v>
      </c>
      <c r="N1098" s="120" t="s">
        <v>250</v>
      </c>
      <c r="O1098" s="120">
        <v>0</v>
      </c>
      <c r="P1098" s="120">
        <v>0</v>
      </c>
      <c r="Q1098" s="120">
        <v>0</v>
      </c>
      <c r="R1098" s="120"/>
    </row>
    <row r="1099" spans="1:18" ht="15">
      <c r="A1099" s="105">
        <v>26</v>
      </c>
      <c r="B1099" s="105"/>
      <c r="C1099" s="107" t="s">
        <v>1083</v>
      </c>
      <c r="D1099" s="107" t="s">
        <v>1084</v>
      </c>
      <c r="E1099" s="120">
        <v>33221051.999999989</v>
      </c>
      <c r="F1099" s="120" t="s">
        <v>250</v>
      </c>
      <c r="G1099" s="120">
        <v>29664966.944464512</v>
      </c>
      <c r="H1099" s="120" t="s">
        <v>250</v>
      </c>
      <c r="I1099" s="120">
        <v>3556085.0555354781</v>
      </c>
      <c r="J1099" s="120">
        <v>0</v>
      </c>
      <c r="K1099" s="120" t="s">
        <v>250</v>
      </c>
      <c r="L1099" s="120" t="s">
        <v>250</v>
      </c>
      <c r="M1099" s="120">
        <v>0</v>
      </c>
      <c r="N1099" s="120" t="s">
        <v>250</v>
      </c>
      <c r="O1099" s="120">
        <v>0</v>
      </c>
      <c r="P1099" s="120">
        <v>0</v>
      </c>
      <c r="Q1099" s="120">
        <v>0</v>
      </c>
      <c r="R1099" s="120"/>
    </row>
    <row r="1100" spans="1:18" ht="15">
      <c r="A1100" s="105">
        <v>27</v>
      </c>
      <c r="B1100" s="105"/>
      <c r="C1100" s="107" t="s">
        <v>1085</v>
      </c>
      <c r="D1100" s="107" t="s">
        <v>1086</v>
      </c>
      <c r="E1100" s="120">
        <v>14440348.999999899</v>
      </c>
      <c r="F1100" s="120" t="s">
        <v>250</v>
      </c>
      <c r="G1100" s="120">
        <v>12894608.989249598</v>
      </c>
      <c r="H1100" s="120" t="s">
        <v>250</v>
      </c>
      <c r="I1100" s="120">
        <v>1545740.0107503021</v>
      </c>
      <c r="J1100" s="120">
        <v>0</v>
      </c>
      <c r="K1100" s="120" t="s">
        <v>250</v>
      </c>
      <c r="L1100" s="120" t="s">
        <v>250</v>
      </c>
      <c r="M1100" s="120">
        <v>0</v>
      </c>
      <c r="N1100" s="120" t="s">
        <v>250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28</v>
      </c>
      <c r="B1101" s="105"/>
      <c r="C1101" s="107" t="s">
        <v>1087</v>
      </c>
      <c r="D1101" s="107" t="s">
        <v>634</v>
      </c>
      <c r="E1101" s="120">
        <v>8937860</v>
      </c>
      <c r="F1101" s="120" t="s">
        <v>250</v>
      </c>
      <c r="G1101" s="120">
        <v>7981123.5795378089</v>
      </c>
      <c r="H1101" s="120" t="s">
        <v>250</v>
      </c>
      <c r="I1101" s="120">
        <v>956736.4204621918</v>
      </c>
      <c r="J1101" s="120">
        <v>0</v>
      </c>
      <c r="K1101" s="120" t="s">
        <v>250</v>
      </c>
      <c r="L1101" s="120" t="s">
        <v>250</v>
      </c>
      <c r="M1101" s="120">
        <v>0</v>
      </c>
      <c r="N1101" s="120" t="s">
        <v>250</v>
      </c>
      <c r="O1101" s="120">
        <v>0</v>
      </c>
      <c r="P1101" s="120">
        <v>0</v>
      </c>
      <c r="Q1101" s="120">
        <v>0</v>
      </c>
      <c r="R1101" s="120"/>
    </row>
    <row r="1102" spans="1:18" ht="15">
      <c r="A1102" s="105">
        <v>29</v>
      </c>
      <c r="B1102" s="105"/>
      <c r="C1102" s="107" t="s">
        <v>1088</v>
      </c>
      <c r="D1102" s="107" t="s">
        <v>1089</v>
      </c>
      <c r="E1102" s="120">
        <v>0</v>
      </c>
      <c r="F1102" s="120" t="s">
        <v>250</v>
      </c>
      <c r="G1102" s="120">
        <v>0</v>
      </c>
      <c r="H1102" s="120" t="s">
        <v>250</v>
      </c>
      <c r="I1102" s="120">
        <v>0</v>
      </c>
      <c r="J1102" s="120">
        <v>0</v>
      </c>
      <c r="K1102" s="120" t="s">
        <v>250</v>
      </c>
      <c r="L1102" s="120" t="s">
        <v>250</v>
      </c>
      <c r="M1102" s="120">
        <v>0</v>
      </c>
      <c r="N1102" s="120" t="s">
        <v>250</v>
      </c>
      <c r="O1102" s="120">
        <v>0</v>
      </c>
      <c r="P1102" s="120">
        <v>0</v>
      </c>
      <c r="Q1102" s="120">
        <v>0</v>
      </c>
      <c r="R1102" s="120"/>
    </row>
    <row r="1103" spans="1:18" ht="15">
      <c r="A1103" s="105">
        <v>30</v>
      </c>
      <c r="B1103" s="105"/>
      <c r="C1103" s="107" t="s">
        <v>1090</v>
      </c>
      <c r="D1103" s="107" t="s">
        <v>1091</v>
      </c>
      <c r="E1103" s="120">
        <v>28582702.999999888</v>
      </c>
      <c r="F1103" s="120" t="s">
        <v>250</v>
      </c>
      <c r="G1103" s="120">
        <v>27063795.911367927</v>
      </c>
      <c r="H1103" s="120" t="s">
        <v>250</v>
      </c>
      <c r="I1103" s="120">
        <v>1476509.6761616706</v>
      </c>
      <c r="J1103" s="120">
        <v>42397.41247029286</v>
      </c>
      <c r="K1103" s="120" t="s">
        <v>250</v>
      </c>
      <c r="L1103" s="120" t="s">
        <v>250</v>
      </c>
      <c r="M1103" s="120">
        <v>0</v>
      </c>
      <c r="N1103" s="120" t="s">
        <v>250</v>
      </c>
      <c r="O1103" s="120">
        <v>42397.41247029286</v>
      </c>
      <c r="P1103" s="120">
        <v>38916.722968540715</v>
      </c>
      <c r="Q1103" s="120">
        <v>3480.6895017521451</v>
      </c>
      <c r="R1103" s="120"/>
    </row>
    <row r="1104" spans="1:18" ht="15">
      <c r="A1104" s="105">
        <v>31</v>
      </c>
      <c r="B1104" s="105"/>
      <c r="C1104" s="107" t="s">
        <v>1092</v>
      </c>
      <c r="D1104" s="107" t="s">
        <v>1093</v>
      </c>
      <c r="E1104" s="120">
        <v>32722450.000000004</v>
      </c>
      <c r="F1104" s="120" t="s">
        <v>250</v>
      </c>
      <c r="G1104" s="120">
        <v>30666271.159454279</v>
      </c>
      <c r="H1104" s="120" t="s">
        <v>250</v>
      </c>
      <c r="I1104" s="120">
        <v>2040757.2363702136</v>
      </c>
      <c r="J1104" s="120">
        <v>15421.604175511622</v>
      </c>
      <c r="K1104" s="120" t="s">
        <v>250</v>
      </c>
      <c r="L1104" s="120" t="s">
        <v>250</v>
      </c>
      <c r="M1104" s="120">
        <v>0</v>
      </c>
      <c r="N1104" s="120" t="s">
        <v>250</v>
      </c>
      <c r="O1104" s="120">
        <v>15421.604175511622</v>
      </c>
      <c r="P1104" s="120">
        <v>15414.410987703226</v>
      </c>
      <c r="Q1104" s="120">
        <v>7.1931878083967797</v>
      </c>
      <c r="R1104" s="120"/>
    </row>
    <row r="1105" spans="1:18" ht="15">
      <c r="A1105" s="105">
        <v>32</v>
      </c>
      <c r="B1105" s="105"/>
      <c r="C1105" s="107" t="s">
        <v>1094</v>
      </c>
      <c r="D1105" s="107" t="s">
        <v>1095</v>
      </c>
      <c r="E1105" s="120">
        <v>22389321</v>
      </c>
      <c r="F1105" s="120" t="s">
        <v>250</v>
      </c>
      <c r="G1105" s="120">
        <v>21313407.588248838</v>
      </c>
      <c r="H1105" s="120" t="s">
        <v>250</v>
      </c>
      <c r="I1105" s="120">
        <v>1041473.5027990207</v>
      </c>
      <c r="J1105" s="120">
        <v>34439.908952143633</v>
      </c>
      <c r="K1105" s="120" t="s">
        <v>250</v>
      </c>
      <c r="L1105" s="120" t="s">
        <v>250</v>
      </c>
      <c r="M1105" s="120">
        <v>0</v>
      </c>
      <c r="N1105" s="120" t="s">
        <v>250</v>
      </c>
      <c r="O1105" s="120">
        <v>34439.908952143633</v>
      </c>
      <c r="P1105" s="120">
        <v>34177.817968490104</v>
      </c>
      <c r="Q1105" s="120">
        <v>262.09098365353174</v>
      </c>
      <c r="R1105" s="120"/>
    </row>
    <row r="1106" spans="1:18" ht="15">
      <c r="A1106" s="105">
        <v>33</v>
      </c>
      <c r="B1106" s="105"/>
      <c r="C1106" s="107" t="s">
        <v>1096</v>
      </c>
      <c r="D1106" s="107" t="s">
        <v>1097</v>
      </c>
      <c r="E1106" s="120">
        <v>0</v>
      </c>
      <c r="F1106" s="120" t="s">
        <v>250</v>
      </c>
      <c r="G1106" s="120">
        <v>0</v>
      </c>
      <c r="H1106" s="120" t="s">
        <v>250</v>
      </c>
      <c r="I1106" s="120">
        <v>0</v>
      </c>
      <c r="J1106" s="120">
        <v>0</v>
      </c>
      <c r="K1106" s="120" t="s">
        <v>250</v>
      </c>
      <c r="L1106" s="120" t="s">
        <v>250</v>
      </c>
      <c r="M1106" s="120">
        <v>0</v>
      </c>
      <c r="N1106" s="120" t="s">
        <v>250</v>
      </c>
      <c r="O1106" s="120">
        <v>0</v>
      </c>
      <c r="P1106" s="120">
        <v>0</v>
      </c>
      <c r="Q1106" s="120">
        <v>0</v>
      </c>
      <c r="R1106" s="120"/>
    </row>
    <row r="1107" spans="1:18" ht="15">
      <c r="A1107" s="105">
        <v>34</v>
      </c>
      <c r="B1107" s="105"/>
      <c r="C1107" s="107" t="s">
        <v>1098</v>
      </c>
      <c r="D1107" s="107" t="s">
        <v>882</v>
      </c>
      <c r="E1107" s="120">
        <v>33181838.000000004</v>
      </c>
      <c r="F1107" s="120" t="s">
        <v>250</v>
      </c>
      <c r="G1107" s="120">
        <v>31555585.589503013</v>
      </c>
      <c r="H1107" s="120" t="s">
        <v>250</v>
      </c>
      <c r="I1107" s="120">
        <v>1612881.1072252616</v>
      </c>
      <c r="J1107" s="120">
        <v>13371.303271730834</v>
      </c>
      <c r="K1107" s="120" t="s">
        <v>250</v>
      </c>
      <c r="L1107" s="120" t="s">
        <v>250</v>
      </c>
      <c r="M1107" s="120">
        <v>0</v>
      </c>
      <c r="N1107" s="120" t="s">
        <v>250</v>
      </c>
      <c r="O1107" s="120">
        <v>13371.303271730834</v>
      </c>
      <c r="P1107" s="120">
        <v>5348.5213086923341</v>
      </c>
      <c r="Q1107" s="120">
        <v>8022.7819630385011</v>
      </c>
      <c r="R1107" s="120"/>
    </row>
    <row r="1108" spans="1:18" ht="15">
      <c r="A1108" s="105">
        <v>35</v>
      </c>
      <c r="B1108" s="105"/>
      <c r="C1108" s="107" t="s">
        <v>1099</v>
      </c>
      <c r="D1108" s="107" t="s">
        <v>684</v>
      </c>
      <c r="E1108" s="120">
        <v>4212138</v>
      </c>
      <c r="F1108" s="120" t="s">
        <v>250</v>
      </c>
      <c r="G1108" s="120">
        <v>4005699.7799156886</v>
      </c>
      <c r="H1108" s="120" t="s">
        <v>250</v>
      </c>
      <c r="I1108" s="120">
        <v>204740.85254787869</v>
      </c>
      <c r="J1108" s="120">
        <v>1697.3675364330866</v>
      </c>
      <c r="K1108" s="120" t="s">
        <v>250</v>
      </c>
      <c r="L1108" s="120" t="s">
        <v>250</v>
      </c>
      <c r="M1108" s="120">
        <v>0</v>
      </c>
      <c r="N1108" s="120" t="s">
        <v>250</v>
      </c>
      <c r="O1108" s="120">
        <v>1697.3675364330866</v>
      </c>
      <c r="P1108" s="120">
        <v>678.94701457323458</v>
      </c>
      <c r="Q1108" s="120">
        <v>1018.4205218598519</v>
      </c>
      <c r="R1108" s="120"/>
    </row>
    <row r="1109" spans="1:18" ht="15">
      <c r="A1109" s="105">
        <v>36</v>
      </c>
      <c r="B1109" s="105"/>
      <c r="C1109" s="107" t="s">
        <v>1100</v>
      </c>
      <c r="D1109" s="107" t="s">
        <v>890</v>
      </c>
      <c r="E1109" s="120">
        <v>14016966</v>
      </c>
      <c r="F1109" s="120" t="s">
        <v>250</v>
      </c>
      <c r="G1109" s="120">
        <v>13851558.982756721</v>
      </c>
      <c r="H1109" s="120" t="s">
        <v>250</v>
      </c>
      <c r="I1109" s="120">
        <v>165407.01724327978</v>
      </c>
      <c r="J1109" s="120">
        <v>0</v>
      </c>
      <c r="K1109" s="120" t="s">
        <v>250</v>
      </c>
      <c r="L1109" s="120" t="s">
        <v>250</v>
      </c>
      <c r="M1109" s="120">
        <v>0</v>
      </c>
      <c r="N1109" s="120" t="s">
        <v>250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37</v>
      </c>
      <c r="B1110" s="105"/>
      <c r="C1110" s="107" t="s">
        <v>1101</v>
      </c>
      <c r="D1110" s="107" t="s">
        <v>1102</v>
      </c>
      <c r="E1110" s="120">
        <v>4212138</v>
      </c>
      <c r="F1110" s="120" t="s">
        <v>250</v>
      </c>
      <c r="G1110" s="120">
        <v>4005699.7799156886</v>
      </c>
      <c r="H1110" s="120" t="s">
        <v>250</v>
      </c>
      <c r="I1110" s="120">
        <v>204740.85254787869</v>
      </c>
      <c r="J1110" s="120">
        <v>1697.3675364330866</v>
      </c>
      <c r="K1110" s="120" t="s">
        <v>250</v>
      </c>
      <c r="L1110" s="120" t="s">
        <v>250</v>
      </c>
      <c r="M1110" s="120">
        <v>0</v>
      </c>
      <c r="N1110" s="120" t="s">
        <v>250</v>
      </c>
      <c r="O1110" s="120">
        <v>1697.3675364330866</v>
      </c>
      <c r="P1110" s="120">
        <v>678.94701457323458</v>
      </c>
      <c r="Q1110" s="120">
        <v>1018.4205218598519</v>
      </c>
      <c r="R1110" s="120"/>
    </row>
    <row r="1111" spans="1:18" ht="15">
      <c r="A1111" s="105">
        <v>38</v>
      </c>
      <c r="B1111" s="105"/>
      <c r="C1111" s="107" t="s">
        <v>1103</v>
      </c>
      <c r="D1111" s="107" t="s">
        <v>1104</v>
      </c>
      <c r="E1111" s="120">
        <v>1223256.0000000002</v>
      </c>
      <c r="F1111" s="120" t="s">
        <v>250</v>
      </c>
      <c r="G1111" s="120">
        <v>1162135.9774177484</v>
      </c>
      <c r="H1111" s="120" t="s">
        <v>250</v>
      </c>
      <c r="I1111" s="120">
        <v>61120.022582251717</v>
      </c>
      <c r="J1111" s="120">
        <v>0</v>
      </c>
      <c r="K1111" s="120" t="s">
        <v>250</v>
      </c>
      <c r="L1111" s="120" t="s">
        <v>250</v>
      </c>
      <c r="M1111" s="120">
        <v>0</v>
      </c>
      <c r="N1111" s="120" t="s">
        <v>250</v>
      </c>
      <c r="O1111" s="120">
        <v>0</v>
      </c>
      <c r="P1111" s="120">
        <v>0</v>
      </c>
      <c r="Q1111" s="120">
        <v>0</v>
      </c>
      <c r="R1111" s="120"/>
    </row>
    <row r="1112" spans="1:18" ht="15">
      <c r="A1112" s="105">
        <v>39</v>
      </c>
      <c r="B1112" s="105"/>
      <c r="C1112" s="107" t="s">
        <v>1105</v>
      </c>
      <c r="D1112" s="107" t="s">
        <v>696</v>
      </c>
      <c r="E1112" s="120">
        <v>2198790.0000000005</v>
      </c>
      <c r="F1112" s="120" t="s">
        <v>250</v>
      </c>
      <c r="G1112" s="120">
        <v>2172843.2084158338</v>
      </c>
      <c r="H1112" s="120" t="s">
        <v>250</v>
      </c>
      <c r="I1112" s="120">
        <v>25946.791584166727</v>
      </c>
      <c r="J1112" s="120">
        <v>0</v>
      </c>
      <c r="K1112" s="120" t="s">
        <v>250</v>
      </c>
      <c r="L1112" s="120" t="s">
        <v>250</v>
      </c>
      <c r="M1112" s="120">
        <v>0</v>
      </c>
      <c r="N1112" s="120" t="s">
        <v>250</v>
      </c>
      <c r="O1112" s="120">
        <v>0</v>
      </c>
      <c r="P1112" s="120">
        <v>0</v>
      </c>
      <c r="Q1112" s="120">
        <v>0</v>
      </c>
      <c r="R1112" s="120"/>
    </row>
    <row r="1113" spans="1:18" ht="15">
      <c r="A1113" s="105">
        <v>40</v>
      </c>
      <c r="B1113" s="105"/>
      <c r="C1113" s="107" t="s">
        <v>1106</v>
      </c>
      <c r="D1113" s="107" t="s">
        <v>1107</v>
      </c>
      <c r="E1113" s="120">
        <v>119630776.99999988</v>
      </c>
      <c r="F1113" s="120" t="s">
        <v>250</v>
      </c>
      <c r="G1113" s="120">
        <v>112308775.04000047</v>
      </c>
      <c r="H1113" s="120" t="s">
        <v>250</v>
      </c>
      <c r="I1113" s="120">
        <v>5897676.5532893268</v>
      </c>
      <c r="J1113" s="120">
        <v>1424325.4067100817</v>
      </c>
      <c r="K1113" s="120" t="s">
        <v>250</v>
      </c>
      <c r="L1113" s="120" t="s">
        <v>250</v>
      </c>
      <c r="M1113" s="120">
        <v>0</v>
      </c>
      <c r="N1113" s="120" t="s">
        <v>250</v>
      </c>
      <c r="O1113" s="120">
        <v>1424325.4067100817</v>
      </c>
      <c r="P1113" s="120">
        <v>742811.99961547565</v>
      </c>
      <c r="Q1113" s="120">
        <v>681513.40709460597</v>
      </c>
      <c r="R1113" s="120"/>
    </row>
    <row r="1114" spans="1:18" ht="15">
      <c r="A1114" s="105" t="s">
        <v>250</v>
      </c>
      <c r="B1114" s="105"/>
      <c r="C1114" s="107" t="s">
        <v>250</v>
      </c>
      <c r="D1114" s="107" t="s">
        <v>250</v>
      </c>
      <c r="E1114" s="120" t="s">
        <v>250</v>
      </c>
      <c r="F1114" s="120" t="s">
        <v>250</v>
      </c>
      <c r="G1114" s="120" t="s">
        <v>250</v>
      </c>
      <c r="H1114" s="120" t="s">
        <v>250</v>
      </c>
      <c r="I1114" s="120" t="s">
        <v>250</v>
      </c>
      <c r="J1114" s="120" t="s">
        <v>250</v>
      </c>
      <c r="K1114" s="120" t="s">
        <v>250</v>
      </c>
      <c r="L1114" s="120" t="s">
        <v>250</v>
      </c>
      <c r="M1114" s="120" t="s">
        <v>250</v>
      </c>
      <c r="N1114" s="120" t="s">
        <v>250</v>
      </c>
      <c r="O1114" s="120" t="s">
        <v>250</v>
      </c>
      <c r="P1114" s="120" t="s">
        <v>250</v>
      </c>
      <c r="Q1114" s="120" t="s">
        <v>250</v>
      </c>
      <c r="R1114" s="120"/>
    </row>
    <row r="1115" spans="1:18" ht="15">
      <c r="A1115" s="105" t="s">
        <v>250</v>
      </c>
      <c r="B1115" s="105"/>
      <c r="C1115" s="107" t="s">
        <v>1044</v>
      </c>
      <c r="D1115" s="107" t="s">
        <v>250</v>
      </c>
      <c r="E1115" s="120" t="s">
        <v>250</v>
      </c>
      <c r="F1115" s="120" t="s">
        <v>250</v>
      </c>
      <c r="G1115" s="120" t="s">
        <v>250</v>
      </c>
      <c r="H1115" s="120" t="s">
        <v>250</v>
      </c>
      <c r="I1115" s="120" t="s">
        <v>250</v>
      </c>
      <c r="J1115" s="120" t="s">
        <v>250</v>
      </c>
      <c r="K1115" s="120" t="s">
        <v>250</v>
      </c>
      <c r="L1115" s="120" t="s">
        <v>250</v>
      </c>
      <c r="M1115" s="120" t="s">
        <v>250</v>
      </c>
      <c r="N1115" s="120" t="s">
        <v>250</v>
      </c>
      <c r="O1115" s="120" t="s">
        <v>250</v>
      </c>
      <c r="P1115" s="120" t="s">
        <v>250</v>
      </c>
      <c r="Q1115" s="120" t="s">
        <v>250</v>
      </c>
      <c r="R1115" s="120"/>
    </row>
    <row r="1116" spans="1:18" ht="15">
      <c r="A1116" s="105" t="s">
        <v>250</v>
      </c>
      <c r="B1116" s="105"/>
      <c r="C1116" s="107" t="s">
        <v>917</v>
      </c>
      <c r="D1116" s="107" t="s">
        <v>250</v>
      </c>
      <c r="E1116" s="120" t="s">
        <v>250</v>
      </c>
      <c r="F1116" s="120" t="s">
        <v>250</v>
      </c>
      <c r="G1116" s="120" t="s">
        <v>250</v>
      </c>
      <c r="H1116" s="120" t="s">
        <v>250</v>
      </c>
      <c r="I1116" s="120" t="s">
        <v>250</v>
      </c>
      <c r="J1116" s="120" t="s">
        <v>250</v>
      </c>
      <c r="K1116" s="120" t="s">
        <v>250</v>
      </c>
      <c r="L1116" s="120" t="s">
        <v>250</v>
      </c>
      <c r="M1116" s="120" t="s">
        <v>250</v>
      </c>
      <c r="N1116" s="120" t="s">
        <v>250</v>
      </c>
      <c r="O1116" s="120" t="s">
        <v>250</v>
      </c>
      <c r="P1116" s="120" t="s">
        <v>250</v>
      </c>
      <c r="Q1116" s="120" t="s">
        <v>250</v>
      </c>
      <c r="R1116" s="120"/>
    </row>
    <row r="1117" spans="1:18" ht="15">
      <c r="A1117" s="105">
        <v>1</v>
      </c>
      <c r="B1117" s="105"/>
      <c r="C1117" s="107" t="s">
        <v>2241</v>
      </c>
      <c r="D1117" s="107" t="s">
        <v>1109</v>
      </c>
      <c r="E1117" s="120">
        <v>3525209.9999999995</v>
      </c>
      <c r="F1117" s="120" t="s">
        <v>250</v>
      </c>
      <c r="G1117" s="120">
        <v>3317155.7961013932</v>
      </c>
      <c r="H1117" s="120" t="s">
        <v>250</v>
      </c>
      <c r="I1117" s="120">
        <v>167720.15860622766</v>
      </c>
      <c r="J1117" s="120">
        <v>40334.045292378971</v>
      </c>
      <c r="K1117" s="120" t="s">
        <v>250</v>
      </c>
      <c r="L1117" s="120" t="s">
        <v>250</v>
      </c>
      <c r="M1117" s="120">
        <v>0</v>
      </c>
      <c r="N1117" s="120" t="s">
        <v>250</v>
      </c>
      <c r="O1117" s="120">
        <v>40334.045292378971</v>
      </c>
      <c r="P1117" s="120">
        <v>21030.643625737193</v>
      </c>
      <c r="Q1117" s="120">
        <v>19303.401666641774</v>
      </c>
      <c r="R1117" s="120"/>
    </row>
    <row r="1118" spans="1:18" ht="15">
      <c r="A1118" s="105">
        <v>2</v>
      </c>
      <c r="B1118" s="105"/>
      <c r="C1118" s="107" t="s">
        <v>1110</v>
      </c>
      <c r="D1118" s="107" t="s">
        <v>1111</v>
      </c>
      <c r="E1118" s="120">
        <v>13167109</v>
      </c>
      <c r="F1118" s="120" t="s">
        <v>250</v>
      </c>
      <c r="G1118" s="120">
        <v>13058415.715501955</v>
      </c>
      <c r="H1118" s="120" t="s">
        <v>250</v>
      </c>
      <c r="I1118" s="120">
        <v>108693.28449804583</v>
      </c>
      <c r="J1118" s="120">
        <v>0</v>
      </c>
      <c r="K1118" s="120" t="s">
        <v>250</v>
      </c>
      <c r="L1118" s="120" t="s">
        <v>250</v>
      </c>
      <c r="M1118" s="120">
        <v>0</v>
      </c>
      <c r="N1118" s="120" t="s">
        <v>250</v>
      </c>
      <c r="O1118" s="120">
        <v>0</v>
      </c>
      <c r="P1118" s="120">
        <v>0</v>
      </c>
      <c r="Q1118" s="120">
        <v>0</v>
      </c>
      <c r="R1118" s="120"/>
    </row>
    <row r="1119" spans="1:18" ht="15">
      <c r="A1119" s="105">
        <v>3</v>
      </c>
      <c r="B1119" s="105"/>
      <c r="C1119" s="107" t="s">
        <v>1112</v>
      </c>
      <c r="D1119" s="107" t="s">
        <v>524</v>
      </c>
      <c r="E1119" s="120">
        <v>2187150404.8098764</v>
      </c>
      <c r="F1119" s="120" t="s">
        <v>250</v>
      </c>
      <c r="G1119" s="120">
        <v>2183621933.8098764</v>
      </c>
      <c r="H1119" s="120" t="s">
        <v>250</v>
      </c>
      <c r="I1119" s="120">
        <v>0</v>
      </c>
      <c r="J1119" s="120">
        <v>3528471</v>
      </c>
      <c r="K1119" s="120" t="s">
        <v>250</v>
      </c>
      <c r="L1119" s="120" t="s">
        <v>250</v>
      </c>
      <c r="M1119" s="120">
        <v>0</v>
      </c>
      <c r="N1119" s="120" t="s">
        <v>250</v>
      </c>
      <c r="O1119" s="120">
        <v>3528471</v>
      </c>
      <c r="P1119" s="120">
        <v>3501619</v>
      </c>
      <c r="Q1119" s="120">
        <v>26852</v>
      </c>
      <c r="R1119" s="120"/>
    </row>
    <row r="1120" spans="1:18" ht="15">
      <c r="A1120" s="105">
        <v>4</v>
      </c>
      <c r="B1120" s="105"/>
      <c r="C1120" s="107" t="s">
        <v>1113</v>
      </c>
      <c r="D1120" s="107" t="s">
        <v>428</v>
      </c>
      <c r="E1120" s="120">
        <v>90909156.203634679</v>
      </c>
      <c r="F1120" s="120" t="s">
        <v>250</v>
      </c>
      <c r="G1120" s="120">
        <v>90909156.203634679</v>
      </c>
      <c r="H1120" s="120" t="s">
        <v>250</v>
      </c>
      <c r="I1120" s="120">
        <v>0</v>
      </c>
      <c r="J1120" s="120">
        <v>0</v>
      </c>
      <c r="K1120" s="120" t="s">
        <v>250</v>
      </c>
      <c r="L1120" s="120" t="s">
        <v>250</v>
      </c>
      <c r="M1120" s="120">
        <v>0</v>
      </c>
      <c r="N1120" s="120" t="s">
        <v>250</v>
      </c>
      <c r="O1120" s="120">
        <v>0</v>
      </c>
      <c r="P1120" s="120">
        <v>0</v>
      </c>
      <c r="Q1120" s="120">
        <v>0</v>
      </c>
      <c r="R1120" s="120"/>
    </row>
    <row r="1121" spans="1:18" ht="15">
      <c r="A1121" s="105">
        <v>5</v>
      </c>
      <c r="B1121" s="105"/>
      <c r="C1121" s="107" t="s">
        <v>1114</v>
      </c>
      <c r="D1121" s="107" t="s">
        <v>1115</v>
      </c>
      <c r="E1121" s="120">
        <v>4670387.1213865587</v>
      </c>
      <c r="F1121" s="120" t="s">
        <v>250</v>
      </c>
      <c r="G1121" s="120">
        <v>0</v>
      </c>
      <c r="H1121" s="120" t="s">
        <v>250</v>
      </c>
      <c r="I1121" s="120">
        <v>4670387.1213865587</v>
      </c>
      <c r="J1121" s="120">
        <v>0</v>
      </c>
      <c r="K1121" s="120" t="s">
        <v>250</v>
      </c>
      <c r="L1121" s="120" t="s">
        <v>250</v>
      </c>
      <c r="M1121" s="120">
        <v>0</v>
      </c>
      <c r="N1121" s="120" t="s">
        <v>250</v>
      </c>
      <c r="O1121" s="120">
        <v>0</v>
      </c>
      <c r="P1121" s="120">
        <v>0</v>
      </c>
      <c r="Q1121" s="120">
        <v>0</v>
      </c>
      <c r="R1121" s="120"/>
    </row>
    <row r="1122" spans="1:18" ht="15">
      <c r="A1122" s="105">
        <v>6</v>
      </c>
      <c r="B1122" s="105"/>
      <c r="C1122" s="107" t="s">
        <v>1116</v>
      </c>
      <c r="D1122" s="107" t="s">
        <v>1117</v>
      </c>
      <c r="E1122" s="120">
        <v>0</v>
      </c>
      <c r="F1122" s="120" t="s">
        <v>250</v>
      </c>
      <c r="G1122" s="120">
        <v>0</v>
      </c>
      <c r="H1122" s="120" t="s">
        <v>250</v>
      </c>
      <c r="I1122" s="120">
        <v>0</v>
      </c>
      <c r="J1122" s="120">
        <v>0</v>
      </c>
      <c r="K1122" s="120" t="s">
        <v>250</v>
      </c>
      <c r="L1122" s="120" t="s">
        <v>250</v>
      </c>
      <c r="M1122" s="120">
        <v>0</v>
      </c>
      <c r="N1122" s="120" t="s">
        <v>250</v>
      </c>
      <c r="O1122" s="120">
        <v>0</v>
      </c>
      <c r="P1122" s="120">
        <v>0</v>
      </c>
      <c r="Q1122" s="120">
        <v>0</v>
      </c>
      <c r="R1122" s="120"/>
    </row>
    <row r="1123" spans="1:18" ht="15">
      <c r="A1123" s="105">
        <v>7</v>
      </c>
      <c r="B1123" s="105"/>
      <c r="C1123" s="107" t="s">
        <v>1118</v>
      </c>
      <c r="D1123" s="107" t="s">
        <v>1119</v>
      </c>
      <c r="E1123" s="120">
        <v>1346508.6749787596</v>
      </c>
      <c r="F1123" s="120" t="s">
        <v>250</v>
      </c>
      <c r="G1123" s="120">
        <v>0</v>
      </c>
      <c r="H1123" s="120" t="s">
        <v>250</v>
      </c>
      <c r="I1123" s="120">
        <v>0</v>
      </c>
      <c r="J1123" s="120">
        <v>1346508.6749787596</v>
      </c>
      <c r="K1123" s="120" t="s">
        <v>250</v>
      </c>
      <c r="L1123" s="120" t="s">
        <v>250</v>
      </c>
      <c r="M1123" s="120">
        <v>0</v>
      </c>
      <c r="N1123" s="120" t="s">
        <v>250</v>
      </c>
      <c r="O1123" s="120">
        <v>1346508.6749787596</v>
      </c>
      <c r="P1123" s="120">
        <v>703021.5743294307</v>
      </c>
      <c r="Q1123" s="120">
        <v>643487.10064932879</v>
      </c>
      <c r="R1123" s="120"/>
    </row>
    <row r="1124" spans="1:18" ht="15">
      <c r="A1124" s="105">
        <v>8</v>
      </c>
      <c r="B1124" s="105"/>
      <c r="C1124" s="107" t="s">
        <v>1120</v>
      </c>
      <c r="D1124" s="107" t="s">
        <v>1121</v>
      </c>
      <c r="E1124" s="120">
        <v>-1568547</v>
      </c>
      <c r="F1124" s="120" t="s">
        <v>250</v>
      </c>
      <c r="G1124" s="120">
        <v>-1546714</v>
      </c>
      <c r="H1124" s="120" t="s">
        <v>250</v>
      </c>
      <c r="I1124" s="120">
        <v>0</v>
      </c>
      <c r="J1124" s="120">
        <v>-21833</v>
      </c>
      <c r="K1124" s="120" t="s">
        <v>250</v>
      </c>
      <c r="L1124" s="120" t="s">
        <v>250</v>
      </c>
      <c r="M1124" s="120">
        <v>0</v>
      </c>
      <c r="N1124" s="120" t="s">
        <v>250</v>
      </c>
      <c r="O1124" s="120">
        <v>-21833</v>
      </c>
      <c r="P1124" s="120">
        <v>-11424</v>
      </c>
      <c r="Q1124" s="120">
        <v>-10409</v>
      </c>
      <c r="R1124" s="120"/>
    </row>
    <row r="1125" spans="1:18" ht="15">
      <c r="A1125" s="105">
        <v>9</v>
      </c>
      <c r="B1125" s="105"/>
      <c r="C1125" s="107" t="s">
        <v>1122</v>
      </c>
      <c r="D1125" s="107" t="s">
        <v>727</v>
      </c>
      <c r="E1125" s="120">
        <v>181987111.78935823</v>
      </c>
      <c r="F1125" s="120" t="s">
        <v>250</v>
      </c>
      <c r="G1125" s="120">
        <v>173228433.53213996</v>
      </c>
      <c r="H1125" s="120" t="s">
        <v>250</v>
      </c>
      <c r="I1125" s="120">
        <v>8758678.2572182827</v>
      </c>
      <c r="J1125" s="120">
        <v>0</v>
      </c>
      <c r="K1125" s="120" t="s">
        <v>250</v>
      </c>
      <c r="L1125" s="120" t="s">
        <v>250</v>
      </c>
      <c r="M1125" s="120">
        <v>0</v>
      </c>
      <c r="N1125" s="120" t="s">
        <v>250</v>
      </c>
      <c r="O1125" s="120">
        <v>0</v>
      </c>
      <c r="P1125" s="120">
        <v>0</v>
      </c>
      <c r="Q1125" s="120">
        <v>0</v>
      </c>
      <c r="R1125" s="120"/>
    </row>
    <row r="1126" spans="1:18" ht="15">
      <c r="A1126" s="105">
        <v>10</v>
      </c>
      <c r="B1126" s="105"/>
      <c r="C1126" s="107" t="s">
        <v>1123</v>
      </c>
      <c r="D1126" s="107" t="s">
        <v>456</v>
      </c>
      <c r="E1126" s="120">
        <v>1316177146.8817327</v>
      </c>
      <c r="F1126" s="120" t="s">
        <v>250</v>
      </c>
      <c r="G1126" s="120">
        <v>1258772520.7161152</v>
      </c>
      <c r="H1126" s="120" t="s">
        <v>250</v>
      </c>
      <c r="I1126" s="120">
        <v>57404626.165617518</v>
      </c>
      <c r="J1126" s="120">
        <v>0</v>
      </c>
      <c r="K1126" s="120" t="s">
        <v>250</v>
      </c>
      <c r="L1126" s="120" t="s">
        <v>250</v>
      </c>
      <c r="M1126" s="120">
        <v>0</v>
      </c>
      <c r="N1126" s="120" t="s">
        <v>250</v>
      </c>
      <c r="O1126" s="120">
        <v>0</v>
      </c>
      <c r="P1126" s="120">
        <v>0</v>
      </c>
      <c r="Q1126" s="120">
        <v>0</v>
      </c>
      <c r="R1126" s="120"/>
    </row>
    <row r="1127" spans="1:18" ht="15">
      <c r="A1127" s="105">
        <v>11</v>
      </c>
      <c r="B1127" s="105"/>
      <c r="C1127" s="107" t="s">
        <v>250</v>
      </c>
      <c r="D1127" s="107" t="s">
        <v>250</v>
      </c>
      <c r="E1127" s="120" t="s">
        <v>250</v>
      </c>
      <c r="F1127" s="120" t="s">
        <v>250</v>
      </c>
      <c r="G1127" s="120" t="s">
        <v>250</v>
      </c>
      <c r="H1127" s="120" t="s">
        <v>250</v>
      </c>
      <c r="I1127" s="120" t="s">
        <v>250</v>
      </c>
      <c r="J1127" s="120" t="s">
        <v>250</v>
      </c>
      <c r="K1127" s="120" t="s">
        <v>250</v>
      </c>
      <c r="L1127" s="120" t="s">
        <v>250</v>
      </c>
      <c r="M1127" s="120" t="s">
        <v>250</v>
      </c>
      <c r="N1127" s="120" t="s">
        <v>250</v>
      </c>
      <c r="O1127" s="120" t="s">
        <v>250</v>
      </c>
      <c r="P1127" s="120" t="s">
        <v>250</v>
      </c>
      <c r="Q1127" s="120" t="s">
        <v>250</v>
      </c>
      <c r="R1127" s="120"/>
    </row>
    <row r="1128" spans="1:18" ht="15">
      <c r="A1128" s="105">
        <v>12</v>
      </c>
      <c r="B1128" s="105"/>
      <c r="C1128" s="107" t="s">
        <v>250</v>
      </c>
      <c r="D1128" s="107" t="s">
        <v>250</v>
      </c>
      <c r="E1128" s="120" t="s">
        <v>250</v>
      </c>
      <c r="F1128" s="120" t="s">
        <v>250</v>
      </c>
      <c r="G1128" s="120" t="s">
        <v>250</v>
      </c>
      <c r="H1128" s="120" t="s">
        <v>250</v>
      </c>
      <c r="I1128" s="120" t="s">
        <v>250</v>
      </c>
      <c r="J1128" s="120" t="s">
        <v>250</v>
      </c>
      <c r="K1128" s="120" t="s">
        <v>250</v>
      </c>
      <c r="L1128" s="120" t="s">
        <v>250</v>
      </c>
      <c r="M1128" s="120" t="s">
        <v>250</v>
      </c>
      <c r="N1128" s="120" t="s">
        <v>250</v>
      </c>
      <c r="O1128" s="120" t="s">
        <v>250</v>
      </c>
      <c r="P1128" s="120" t="s">
        <v>250</v>
      </c>
      <c r="Q1128" s="120" t="s">
        <v>250</v>
      </c>
      <c r="R1128" s="120"/>
    </row>
    <row r="1129" spans="1:18" ht="15">
      <c r="A1129" s="105">
        <v>13</v>
      </c>
      <c r="B1129" s="105"/>
      <c r="C1129" s="107" t="s">
        <v>250</v>
      </c>
      <c r="D1129" s="107" t="s">
        <v>250</v>
      </c>
      <c r="E1129" s="120" t="s">
        <v>250</v>
      </c>
      <c r="F1129" s="120" t="s">
        <v>250</v>
      </c>
      <c r="G1129" s="120" t="s">
        <v>250</v>
      </c>
      <c r="H1129" s="120" t="s">
        <v>250</v>
      </c>
      <c r="I1129" s="120" t="s">
        <v>250</v>
      </c>
      <c r="J1129" s="120" t="s">
        <v>250</v>
      </c>
      <c r="K1129" s="120" t="s">
        <v>250</v>
      </c>
      <c r="L1129" s="120" t="s">
        <v>250</v>
      </c>
      <c r="M1129" s="120" t="s">
        <v>250</v>
      </c>
      <c r="N1129" s="120" t="s">
        <v>250</v>
      </c>
      <c r="O1129" s="120" t="s">
        <v>250</v>
      </c>
      <c r="P1129" s="120" t="s">
        <v>250</v>
      </c>
      <c r="Q1129" s="120" t="s">
        <v>250</v>
      </c>
      <c r="R1129" s="120"/>
    </row>
    <row r="1130" spans="1:18" ht="15">
      <c r="A1130" s="105">
        <v>14</v>
      </c>
      <c r="B1130" s="105"/>
      <c r="C1130" s="107" t="s">
        <v>250</v>
      </c>
      <c r="D1130" s="107" t="s">
        <v>250</v>
      </c>
      <c r="E1130" s="120" t="s">
        <v>250</v>
      </c>
      <c r="F1130" s="120" t="s">
        <v>250</v>
      </c>
      <c r="G1130" s="120" t="s">
        <v>250</v>
      </c>
      <c r="H1130" s="120" t="s">
        <v>250</v>
      </c>
      <c r="I1130" s="120" t="s">
        <v>250</v>
      </c>
      <c r="J1130" s="120" t="s">
        <v>250</v>
      </c>
      <c r="K1130" s="120" t="s">
        <v>250</v>
      </c>
      <c r="L1130" s="120" t="s">
        <v>250</v>
      </c>
      <c r="M1130" s="120" t="s">
        <v>250</v>
      </c>
      <c r="N1130" s="120" t="s">
        <v>250</v>
      </c>
      <c r="O1130" s="120" t="s">
        <v>250</v>
      </c>
      <c r="P1130" s="120" t="s">
        <v>250</v>
      </c>
      <c r="Q1130" s="120" t="s">
        <v>250</v>
      </c>
      <c r="R1130" s="120"/>
    </row>
    <row r="1131" spans="1:18" ht="15">
      <c r="A1131" s="105">
        <v>15</v>
      </c>
      <c r="B1131" s="105"/>
      <c r="C1131" s="107" t="s">
        <v>250</v>
      </c>
      <c r="D1131" s="107" t="s">
        <v>250</v>
      </c>
      <c r="E1131" s="120" t="s">
        <v>250</v>
      </c>
      <c r="F1131" s="120" t="s">
        <v>250</v>
      </c>
      <c r="G1131" s="120" t="s">
        <v>250</v>
      </c>
      <c r="H1131" s="120" t="s">
        <v>250</v>
      </c>
      <c r="I1131" s="120" t="s">
        <v>250</v>
      </c>
      <c r="J1131" s="120" t="s">
        <v>250</v>
      </c>
      <c r="K1131" s="120" t="s">
        <v>250</v>
      </c>
      <c r="L1131" s="120" t="s">
        <v>250</v>
      </c>
      <c r="M1131" s="120" t="s">
        <v>250</v>
      </c>
      <c r="N1131" s="120" t="s">
        <v>250</v>
      </c>
      <c r="O1131" s="120" t="s">
        <v>250</v>
      </c>
      <c r="P1131" s="120" t="s">
        <v>250</v>
      </c>
      <c r="Q1131" s="120" t="s">
        <v>250</v>
      </c>
      <c r="R1131" s="120"/>
    </row>
    <row r="1132" spans="1:18" ht="15">
      <c r="A1132" s="105">
        <v>16</v>
      </c>
      <c r="B1132" s="105"/>
      <c r="C1132" s="107" t="s">
        <v>250</v>
      </c>
      <c r="D1132" s="107" t="s">
        <v>250</v>
      </c>
      <c r="E1132" s="120" t="s">
        <v>250</v>
      </c>
      <c r="F1132" s="120" t="s">
        <v>250</v>
      </c>
      <c r="G1132" s="120" t="s">
        <v>250</v>
      </c>
      <c r="H1132" s="120" t="s">
        <v>250</v>
      </c>
      <c r="I1132" s="120" t="s">
        <v>250</v>
      </c>
      <c r="J1132" s="120" t="s">
        <v>250</v>
      </c>
      <c r="K1132" s="120" t="s">
        <v>250</v>
      </c>
      <c r="L1132" s="120" t="s">
        <v>250</v>
      </c>
      <c r="M1132" s="120" t="s">
        <v>250</v>
      </c>
      <c r="N1132" s="120" t="s">
        <v>250</v>
      </c>
      <c r="O1132" s="120" t="s">
        <v>250</v>
      </c>
      <c r="P1132" s="120" t="s">
        <v>250</v>
      </c>
      <c r="Q1132" s="120" t="s">
        <v>250</v>
      </c>
      <c r="R1132" s="120"/>
    </row>
    <row r="1133" spans="1:18" ht="15">
      <c r="A1133" s="105">
        <v>17</v>
      </c>
      <c r="B1133" s="105"/>
      <c r="C1133" s="107" t="s">
        <v>250</v>
      </c>
      <c r="D1133" s="107" t="s">
        <v>250</v>
      </c>
      <c r="E1133" s="120" t="s">
        <v>250</v>
      </c>
      <c r="F1133" s="120" t="s">
        <v>250</v>
      </c>
      <c r="G1133" s="120" t="s">
        <v>250</v>
      </c>
      <c r="H1133" s="120" t="s">
        <v>250</v>
      </c>
      <c r="I1133" s="120" t="s">
        <v>250</v>
      </c>
      <c r="J1133" s="120" t="s">
        <v>250</v>
      </c>
      <c r="K1133" s="120" t="s">
        <v>250</v>
      </c>
      <c r="L1133" s="120" t="s">
        <v>250</v>
      </c>
      <c r="M1133" s="120" t="s">
        <v>250</v>
      </c>
      <c r="N1133" s="120" t="s">
        <v>250</v>
      </c>
      <c r="O1133" s="120" t="s">
        <v>250</v>
      </c>
      <c r="P1133" s="120" t="s">
        <v>250</v>
      </c>
      <c r="Q1133" s="120" t="s">
        <v>250</v>
      </c>
      <c r="R1133" s="120"/>
    </row>
    <row r="1134" spans="1:18" ht="15">
      <c r="A1134" s="105">
        <v>18</v>
      </c>
      <c r="B1134" s="105"/>
      <c r="C1134" s="107" t="s">
        <v>250</v>
      </c>
      <c r="D1134" s="107" t="s">
        <v>250</v>
      </c>
      <c r="E1134" s="120" t="s">
        <v>250</v>
      </c>
      <c r="F1134" s="120" t="s">
        <v>250</v>
      </c>
      <c r="G1134" s="120" t="s">
        <v>250</v>
      </c>
      <c r="H1134" s="120" t="s">
        <v>250</v>
      </c>
      <c r="I1134" s="120" t="s">
        <v>250</v>
      </c>
      <c r="J1134" s="120" t="s">
        <v>250</v>
      </c>
      <c r="K1134" s="120" t="s">
        <v>250</v>
      </c>
      <c r="L1134" s="120" t="s">
        <v>250</v>
      </c>
      <c r="M1134" s="120" t="s">
        <v>250</v>
      </c>
      <c r="N1134" s="120" t="s">
        <v>250</v>
      </c>
      <c r="O1134" s="120" t="s">
        <v>250</v>
      </c>
      <c r="P1134" s="120" t="s">
        <v>250</v>
      </c>
      <c r="Q1134" s="120" t="s">
        <v>250</v>
      </c>
      <c r="R1134" s="120"/>
    </row>
    <row r="1135" spans="1:18" ht="15">
      <c r="A1135" s="105">
        <v>19</v>
      </c>
      <c r="B1135" s="105"/>
      <c r="C1135" s="107" t="s">
        <v>250</v>
      </c>
      <c r="D1135" s="107" t="s">
        <v>250</v>
      </c>
      <c r="E1135" s="120" t="s">
        <v>250</v>
      </c>
      <c r="F1135" s="120" t="s">
        <v>250</v>
      </c>
      <c r="G1135" s="120" t="s">
        <v>250</v>
      </c>
      <c r="H1135" s="120" t="s">
        <v>250</v>
      </c>
      <c r="I1135" s="120" t="s">
        <v>250</v>
      </c>
      <c r="J1135" s="120" t="s">
        <v>250</v>
      </c>
      <c r="K1135" s="120" t="s">
        <v>250</v>
      </c>
      <c r="L1135" s="120" t="s">
        <v>250</v>
      </c>
      <c r="M1135" s="120" t="s">
        <v>250</v>
      </c>
      <c r="N1135" s="120" t="s">
        <v>250</v>
      </c>
      <c r="O1135" s="120" t="s">
        <v>250</v>
      </c>
      <c r="P1135" s="120" t="s">
        <v>250</v>
      </c>
      <c r="Q1135" s="120" t="s">
        <v>250</v>
      </c>
      <c r="R1135" s="120"/>
    </row>
    <row r="1136" spans="1:18" ht="15">
      <c r="A1136" s="105">
        <v>20</v>
      </c>
      <c r="B1136" s="105"/>
      <c r="C1136" s="107" t="s">
        <v>250</v>
      </c>
      <c r="D1136" s="107" t="s">
        <v>250</v>
      </c>
      <c r="E1136" s="120" t="s">
        <v>250</v>
      </c>
      <c r="F1136" s="120" t="s">
        <v>250</v>
      </c>
      <c r="G1136" s="120" t="s">
        <v>250</v>
      </c>
      <c r="H1136" s="120" t="s">
        <v>250</v>
      </c>
      <c r="I1136" s="120" t="s">
        <v>250</v>
      </c>
      <c r="J1136" s="120" t="s">
        <v>250</v>
      </c>
      <c r="K1136" s="120" t="s">
        <v>250</v>
      </c>
      <c r="L1136" s="120" t="s">
        <v>250</v>
      </c>
      <c r="M1136" s="120" t="s">
        <v>250</v>
      </c>
      <c r="N1136" s="120" t="s">
        <v>250</v>
      </c>
      <c r="O1136" s="120" t="s">
        <v>250</v>
      </c>
      <c r="P1136" s="120" t="s">
        <v>250</v>
      </c>
      <c r="Q1136" s="120" t="s">
        <v>250</v>
      </c>
      <c r="R1136" s="120"/>
    </row>
    <row r="1137" spans="1:18" ht="15">
      <c r="A1137" s="105">
        <v>21</v>
      </c>
      <c r="B1137" s="105"/>
      <c r="C1137" s="107" t="s">
        <v>250</v>
      </c>
      <c r="D1137" s="107" t="s">
        <v>250</v>
      </c>
      <c r="E1137" s="120" t="s">
        <v>250</v>
      </c>
      <c r="F1137" s="120" t="s">
        <v>250</v>
      </c>
      <c r="G1137" s="120" t="s">
        <v>250</v>
      </c>
      <c r="H1137" s="120" t="s">
        <v>250</v>
      </c>
      <c r="I1137" s="120" t="s">
        <v>250</v>
      </c>
      <c r="J1137" s="120" t="s">
        <v>250</v>
      </c>
      <c r="K1137" s="120" t="s">
        <v>250</v>
      </c>
      <c r="L1137" s="120" t="s">
        <v>250</v>
      </c>
      <c r="M1137" s="120" t="s">
        <v>250</v>
      </c>
      <c r="N1137" s="120" t="s">
        <v>250</v>
      </c>
      <c r="O1137" s="120" t="s">
        <v>250</v>
      </c>
      <c r="P1137" s="120" t="s">
        <v>250</v>
      </c>
      <c r="Q1137" s="120" t="s">
        <v>250</v>
      </c>
      <c r="R1137" s="120"/>
    </row>
    <row r="1138" spans="1:18" ht="15">
      <c r="A1138" s="105">
        <v>22</v>
      </c>
      <c r="B1138" s="105"/>
      <c r="C1138" s="107" t="s">
        <v>250</v>
      </c>
      <c r="D1138" s="107" t="s">
        <v>250</v>
      </c>
      <c r="E1138" s="120" t="s">
        <v>250</v>
      </c>
      <c r="F1138" s="120" t="s">
        <v>250</v>
      </c>
      <c r="G1138" s="120" t="s">
        <v>250</v>
      </c>
      <c r="H1138" s="120" t="s">
        <v>250</v>
      </c>
      <c r="I1138" s="120" t="s">
        <v>250</v>
      </c>
      <c r="J1138" s="120" t="s">
        <v>250</v>
      </c>
      <c r="K1138" s="120" t="s">
        <v>250</v>
      </c>
      <c r="L1138" s="120" t="s">
        <v>250</v>
      </c>
      <c r="M1138" s="120" t="s">
        <v>250</v>
      </c>
      <c r="N1138" s="120" t="s">
        <v>250</v>
      </c>
      <c r="O1138" s="120" t="s">
        <v>250</v>
      </c>
      <c r="P1138" s="120" t="s">
        <v>250</v>
      </c>
      <c r="Q1138" s="120" t="s">
        <v>250</v>
      </c>
      <c r="R1138" s="120"/>
    </row>
    <row r="1139" spans="1:18" ht="15">
      <c r="A1139" s="105">
        <v>23</v>
      </c>
      <c r="B1139" s="105"/>
      <c r="C1139" s="107" t="s">
        <v>250</v>
      </c>
      <c r="D1139" s="107" t="s">
        <v>250</v>
      </c>
      <c r="E1139" s="120" t="s">
        <v>250</v>
      </c>
      <c r="F1139" s="120" t="s">
        <v>250</v>
      </c>
      <c r="G1139" s="120" t="s">
        <v>250</v>
      </c>
      <c r="H1139" s="120" t="s">
        <v>250</v>
      </c>
      <c r="I1139" s="120" t="s">
        <v>250</v>
      </c>
      <c r="J1139" s="120" t="s">
        <v>250</v>
      </c>
      <c r="K1139" s="120" t="s">
        <v>250</v>
      </c>
      <c r="L1139" s="120" t="s">
        <v>250</v>
      </c>
      <c r="M1139" s="120" t="s">
        <v>250</v>
      </c>
      <c r="N1139" s="120" t="s">
        <v>250</v>
      </c>
      <c r="O1139" s="120" t="s">
        <v>250</v>
      </c>
      <c r="P1139" s="120" t="s">
        <v>250</v>
      </c>
      <c r="Q1139" s="120" t="s">
        <v>250</v>
      </c>
      <c r="R1139" s="120"/>
    </row>
    <row r="1140" spans="1:18" ht="15">
      <c r="A1140" s="105">
        <v>24</v>
      </c>
      <c r="B1140" s="105"/>
      <c r="C1140" s="107" t="s">
        <v>250</v>
      </c>
      <c r="D1140" s="107" t="s">
        <v>250</v>
      </c>
      <c r="E1140" s="120" t="s">
        <v>250</v>
      </c>
      <c r="F1140" s="120" t="s">
        <v>250</v>
      </c>
      <c r="G1140" s="120" t="s">
        <v>250</v>
      </c>
      <c r="H1140" s="120" t="s">
        <v>250</v>
      </c>
      <c r="I1140" s="120" t="s">
        <v>250</v>
      </c>
      <c r="J1140" s="120" t="s">
        <v>250</v>
      </c>
      <c r="K1140" s="120" t="s">
        <v>250</v>
      </c>
      <c r="L1140" s="120" t="s">
        <v>250</v>
      </c>
      <c r="M1140" s="120" t="s">
        <v>250</v>
      </c>
      <c r="N1140" s="120" t="s">
        <v>250</v>
      </c>
      <c r="O1140" s="120" t="s">
        <v>250</v>
      </c>
      <c r="P1140" s="120" t="s">
        <v>250</v>
      </c>
      <c r="Q1140" s="120" t="s">
        <v>250</v>
      </c>
      <c r="R1140" s="120"/>
    </row>
    <row r="1141" spans="1:18" ht="15">
      <c r="A1141" s="105">
        <v>25</v>
      </c>
      <c r="B1141" s="105"/>
      <c r="C1141" s="107" t="s">
        <v>250</v>
      </c>
      <c r="D1141" s="107" t="s">
        <v>250</v>
      </c>
      <c r="E1141" s="120" t="s">
        <v>250</v>
      </c>
      <c r="F1141" s="120" t="s">
        <v>250</v>
      </c>
      <c r="G1141" s="120" t="s">
        <v>250</v>
      </c>
      <c r="H1141" s="120" t="s">
        <v>250</v>
      </c>
      <c r="I1141" s="120" t="s">
        <v>250</v>
      </c>
      <c r="J1141" s="120" t="s">
        <v>250</v>
      </c>
      <c r="K1141" s="120" t="s">
        <v>250</v>
      </c>
      <c r="L1141" s="120" t="s">
        <v>250</v>
      </c>
      <c r="M1141" s="120" t="s">
        <v>250</v>
      </c>
      <c r="N1141" s="120" t="s">
        <v>250</v>
      </c>
      <c r="O1141" s="120" t="s">
        <v>250</v>
      </c>
      <c r="P1141" s="120" t="s">
        <v>250</v>
      </c>
      <c r="Q1141" s="120" t="s">
        <v>250</v>
      </c>
      <c r="R1141" s="120"/>
    </row>
    <row r="1142" spans="1:18" ht="15">
      <c r="A1142" s="105">
        <v>26</v>
      </c>
      <c r="B1142" s="105"/>
      <c r="C1142" s="107" t="s">
        <v>250</v>
      </c>
      <c r="D1142" s="107" t="s">
        <v>250</v>
      </c>
      <c r="E1142" s="120" t="s">
        <v>250</v>
      </c>
      <c r="F1142" s="120" t="s">
        <v>250</v>
      </c>
      <c r="G1142" s="120" t="s">
        <v>250</v>
      </c>
      <c r="H1142" s="120" t="s">
        <v>250</v>
      </c>
      <c r="I1142" s="120" t="s">
        <v>250</v>
      </c>
      <c r="J1142" s="120" t="s">
        <v>250</v>
      </c>
      <c r="K1142" s="120" t="s">
        <v>250</v>
      </c>
      <c r="L1142" s="120" t="s">
        <v>250</v>
      </c>
      <c r="M1142" s="120" t="s">
        <v>250</v>
      </c>
      <c r="N1142" s="120" t="s">
        <v>250</v>
      </c>
      <c r="O1142" s="120" t="s">
        <v>250</v>
      </c>
      <c r="P1142" s="120" t="s">
        <v>250</v>
      </c>
      <c r="Q1142" s="120" t="s">
        <v>250</v>
      </c>
      <c r="R1142" s="120"/>
    </row>
    <row r="1143" spans="1:18" ht="15">
      <c r="A1143" s="105">
        <v>27</v>
      </c>
      <c r="B1143" s="105"/>
      <c r="C1143" s="107" t="s">
        <v>250</v>
      </c>
      <c r="D1143" s="107" t="s">
        <v>250</v>
      </c>
      <c r="E1143" s="120" t="s">
        <v>250</v>
      </c>
      <c r="F1143" s="120" t="s">
        <v>250</v>
      </c>
      <c r="G1143" s="120" t="s">
        <v>250</v>
      </c>
      <c r="H1143" s="120" t="s">
        <v>250</v>
      </c>
      <c r="I1143" s="120" t="s">
        <v>250</v>
      </c>
      <c r="J1143" s="120" t="s">
        <v>250</v>
      </c>
      <c r="K1143" s="120" t="s">
        <v>250</v>
      </c>
      <c r="L1143" s="120" t="s">
        <v>250</v>
      </c>
      <c r="M1143" s="120" t="s">
        <v>250</v>
      </c>
      <c r="N1143" s="120" t="s">
        <v>250</v>
      </c>
      <c r="O1143" s="120" t="s">
        <v>250</v>
      </c>
      <c r="P1143" s="120" t="s">
        <v>250</v>
      </c>
      <c r="Q1143" s="120" t="s">
        <v>250</v>
      </c>
      <c r="R1143" s="120"/>
    </row>
    <row r="1144" spans="1:18" ht="15">
      <c r="A1144" s="105">
        <v>28</v>
      </c>
      <c r="B1144" s="105"/>
      <c r="C1144" s="107" t="s">
        <v>250</v>
      </c>
      <c r="D1144" s="107" t="s">
        <v>250</v>
      </c>
      <c r="E1144" s="120" t="s">
        <v>250</v>
      </c>
      <c r="F1144" s="120" t="s">
        <v>250</v>
      </c>
      <c r="G1144" s="120" t="s">
        <v>250</v>
      </c>
      <c r="H1144" s="120" t="s">
        <v>250</v>
      </c>
      <c r="I1144" s="120" t="s">
        <v>250</v>
      </c>
      <c r="J1144" s="120" t="s">
        <v>250</v>
      </c>
      <c r="K1144" s="120" t="s">
        <v>250</v>
      </c>
      <c r="L1144" s="120" t="s">
        <v>250</v>
      </c>
      <c r="M1144" s="120" t="s">
        <v>250</v>
      </c>
      <c r="N1144" s="120" t="s">
        <v>250</v>
      </c>
      <c r="O1144" s="120" t="s">
        <v>250</v>
      </c>
      <c r="P1144" s="120" t="s">
        <v>250</v>
      </c>
      <c r="Q1144" s="120" t="s">
        <v>250</v>
      </c>
      <c r="R1144" s="120"/>
    </row>
    <row r="1145" spans="1:18" ht="15">
      <c r="A1145" s="105">
        <v>29</v>
      </c>
      <c r="B1145" s="105"/>
      <c r="C1145" s="107" t="s">
        <v>250</v>
      </c>
      <c r="D1145" s="107" t="s">
        <v>250</v>
      </c>
      <c r="E1145" s="120" t="s">
        <v>250</v>
      </c>
      <c r="F1145" s="120" t="s">
        <v>250</v>
      </c>
      <c r="G1145" s="120" t="s">
        <v>250</v>
      </c>
      <c r="H1145" s="120" t="s">
        <v>250</v>
      </c>
      <c r="I1145" s="120" t="s">
        <v>250</v>
      </c>
      <c r="J1145" s="120" t="s">
        <v>250</v>
      </c>
      <c r="K1145" s="120" t="s">
        <v>250</v>
      </c>
      <c r="L1145" s="120" t="s">
        <v>250</v>
      </c>
      <c r="M1145" s="120" t="s">
        <v>250</v>
      </c>
      <c r="N1145" s="120" t="s">
        <v>250</v>
      </c>
      <c r="O1145" s="120" t="s">
        <v>250</v>
      </c>
      <c r="P1145" s="120" t="s">
        <v>250</v>
      </c>
      <c r="Q1145" s="120" t="s">
        <v>250</v>
      </c>
      <c r="R1145" s="120"/>
    </row>
    <row r="1146" spans="1:18" ht="15">
      <c r="A1146" s="105">
        <v>30</v>
      </c>
      <c r="B1146" s="105"/>
      <c r="C1146" s="107" t="s">
        <v>250</v>
      </c>
      <c r="D1146" s="107" t="s">
        <v>250</v>
      </c>
      <c r="E1146" s="120" t="s">
        <v>250</v>
      </c>
      <c r="F1146" s="120" t="s">
        <v>250</v>
      </c>
      <c r="G1146" s="120" t="s">
        <v>250</v>
      </c>
      <c r="H1146" s="120" t="s">
        <v>250</v>
      </c>
      <c r="I1146" s="120" t="s">
        <v>250</v>
      </c>
      <c r="J1146" s="120" t="s">
        <v>250</v>
      </c>
      <c r="K1146" s="120" t="s">
        <v>250</v>
      </c>
      <c r="L1146" s="120" t="s">
        <v>250</v>
      </c>
      <c r="M1146" s="120" t="s">
        <v>250</v>
      </c>
      <c r="N1146" s="120" t="s">
        <v>250</v>
      </c>
      <c r="O1146" s="120" t="s">
        <v>250</v>
      </c>
      <c r="P1146" s="120" t="s">
        <v>250</v>
      </c>
      <c r="Q1146" s="120" t="s">
        <v>250</v>
      </c>
      <c r="R1146" s="120"/>
    </row>
    <row r="1147" spans="1:18" ht="15">
      <c r="A1147" s="105" t="s">
        <v>250</v>
      </c>
      <c r="B1147" s="105"/>
      <c r="C1147" s="107" t="s">
        <v>250</v>
      </c>
      <c r="D1147" s="107" t="s">
        <v>250</v>
      </c>
      <c r="E1147" s="120" t="s">
        <v>250</v>
      </c>
      <c r="F1147" s="120" t="s">
        <v>250</v>
      </c>
      <c r="G1147" s="120" t="s">
        <v>250</v>
      </c>
      <c r="H1147" s="120" t="s">
        <v>250</v>
      </c>
      <c r="I1147" s="120" t="s">
        <v>250</v>
      </c>
      <c r="J1147" s="120" t="s">
        <v>250</v>
      </c>
      <c r="K1147" s="120" t="s">
        <v>250</v>
      </c>
      <c r="L1147" s="120" t="s">
        <v>250</v>
      </c>
      <c r="M1147" s="120" t="s">
        <v>250</v>
      </c>
      <c r="N1147" s="120" t="s">
        <v>250</v>
      </c>
      <c r="O1147" s="120" t="s">
        <v>250</v>
      </c>
      <c r="P1147" s="120" t="s">
        <v>250</v>
      </c>
      <c r="Q1147" s="120" t="s">
        <v>250</v>
      </c>
      <c r="R1147" s="120"/>
    </row>
    <row r="1148" spans="1:18" ht="15">
      <c r="A1148" s="105" t="s">
        <v>250</v>
      </c>
      <c r="B1148" s="105"/>
      <c r="C1148" s="107" t="s">
        <v>1124</v>
      </c>
      <c r="D1148" s="107" t="s">
        <v>250</v>
      </c>
      <c r="E1148" s="120" t="s">
        <v>250</v>
      </c>
      <c r="F1148" s="120" t="s">
        <v>250</v>
      </c>
      <c r="G1148" s="120" t="s">
        <v>250</v>
      </c>
      <c r="H1148" s="120" t="s">
        <v>250</v>
      </c>
      <c r="I1148" s="120" t="s">
        <v>250</v>
      </c>
      <c r="J1148" s="120" t="s">
        <v>250</v>
      </c>
      <c r="K1148" s="120" t="s">
        <v>250</v>
      </c>
      <c r="L1148" s="120" t="s">
        <v>250</v>
      </c>
      <c r="M1148" s="120" t="s">
        <v>250</v>
      </c>
      <c r="N1148" s="120" t="s">
        <v>250</v>
      </c>
      <c r="O1148" s="120" t="s">
        <v>250</v>
      </c>
      <c r="P1148" s="120" t="s">
        <v>250</v>
      </c>
      <c r="Q1148" s="120" t="s">
        <v>250</v>
      </c>
      <c r="R1148" s="120"/>
    </row>
    <row r="1149" spans="1:18" ht="15">
      <c r="A1149" s="105" t="s">
        <v>250</v>
      </c>
      <c r="B1149" s="105"/>
      <c r="C1149" s="107" t="s">
        <v>917</v>
      </c>
      <c r="D1149" s="107" t="s">
        <v>250</v>
      </c>
      <c r="E1149" s="120" t="s">
        <v>250</v>
      </c>
      <c r="F1149" s="120" t="s">
        <v>250</v>
      </c>
      <c r="G1149" s="120" t="s">
        <v>250</v>
      </c>
      <c r="H1149" s="120" t="s">
        <v>250</v>
      </c>
      <c r="I1149" s="120" t="s">
        <v>250</v>
      </c>
      <c r="J1149" s="120" t="s">
        <v>250</v>
      </c>
      <c r="K1149" s="120" t="s">
        <v>250</v>
      </c>
      <c r="L1149" s="120" t="s">
        <v>250</v>
      </c>
      <c r="M1149" s="120" t="s">
        <v>250</v>
      </c>
      <c r="N1149" s="120" t="s">
        <v>250</v>
      </c>
      <c r="O1149" s="120" t="s">
        <v>250</v>
      </c>
      <c r="P1149" s="120" t="s">
        <v>250</v>
      </c>
      <c r="Q1149" s="120" t="s">
        <v>250</v>
      </c>
      <c r="R1149" s="120"/>
    </row>
    <row r="1150" spans="1:18" ht="15">
      <c r="A1150" s="105">
        <v>1</v>
      </c>
      <c r="B1150" s="105"/>
      <c r="C1150" s="107" t="s">
        <v>1125</v>
      </c>
      <c r="D1150" s="107" t="s">
        <v>250</v>
      </c>
      <c r="E1150" s="120">
        <v>681840251.84286797</v>
      </c>
      <c r="F1150" s="120" t="s">
        <v>250</v>
      </c>
      <c r="G1150" s="120">
        <v>640474467.41011655</v>
      </c>
      <c r="H1150" s="120" t="s">
        <v>250</v>
      </c>
      <c r="I1150" s="120">
        <v>41365784.432751417</v>
      </c>
      <c r="J1150" s="120">
        <v>0</v>
      </c>
      <c r="K1150" s="120" t="s">
        <v>250</v>
      </c>
      <c r="L1150" s="120" t="s">
        <v>250</v>
      </c>
      <c r="M1150" s="120">
        <v>0</v>
      </c>
      <c r="N1150" s="120" t="s">
        <v>250</v>
      </c>
      <c r="O1150" s="120">
        <v>0</v>
      </c>
      <c r="P1150" s="120">
        <v>0</v>
      </c>
      <c r="Q1150" s="120">
        <v>0</v>
      </c>
      <c r="R1150" s="120"/>
    </row>
    <row r="1151" spans="1:18" ht="15">
      <c r="A1151" s="105">
        <v>2</v>
      </c>
      <c r="B1151" s="105"/>
      <c r="C1151" s="107" t="s">
        <v>1126</v>
      </c>
      <c r="D1151" s="107" t="s">
        <v>250</v>
      </c>
      <c r="E1151" s="120">
        <v>445420511.89337808</v>
      </c>
      <c r="F1151" s="120" t="s">
        <v>250</v>
      </c>
      <c r="G1151" s="120">
        <v>426915075.51164377</v>
      </c>
      <c r="H1151" s="120" t="s">
        <v>250</v>
      </c>
      <c r="I1151" s="120">
        <v>18505436.381734289</v>
      </c>
      <c r="J1151" s="120">
        <v>0</v>
      </c>
      <c r="K1151" s="120" t="s">
        <v>250</v>
      </c>
      <c r="L1151" s="120" t="s">
        <v>250</v>
      </c>
      <c r="M1151" s="120">
        <v>0</v>
      </c>
      <c r="N1151" s="120" t="s">
        <v>250</v>
      </c>
      <c r="O1151" s="120">
        <v>0</v>
      </c>
      <c r="P1151" s="120">
        <v>0</v>
      </c>
      <c r="Q1151" s="120">
        <v>0</v>
      </c>
      <c r="R1151" s="120"/>
    </row>
    <row r="1152" spans="1:18" ht="15">
      <c r="A1152" s="105">
        <v>3</v>
      </c>
      <c r="B1152" s="105"/>
      <c r="C1152" s="107" t="s">
        <v>1127</v>
      </c>
      <c r="D1152" s="107" t="s">
        <v>250</v>
      </c>
      <c r="E1152" s="120">
        <v>0</v>
      </c>
      <c r="F1152" s="120" t="s">
        <v>250</v>
      </c>
      <c r="G1152" s="120">
        <v>0</v>
      </c>
      <c r="H1152" s="120" t="s">
        <v>250</v>
      </c>
      <c r="I1152" s="120">
        <v>0</v>
      </c>
      <c r="J1152" s="120">
        <v>0</v>
      </c>
      <c r="K1152" s="120" t="s">
        <v>250</v>
      </c>
      <c r="L1152" s="120" t="s">
        <v>250</v>
      </c>
      <c r="M1152" s="120">
        <v>0</v>
      </c>
      <c r="N1152" s="120" t="s">
        <v>250</v>
      </c>
      <c r="O1152" s="120">
        <v>0</v>
      </c>
      <c r="P1152" s="120">
        <v>0</v>
      </c>
      <c r="Q1152" s="120">
        <v>0</v>
      </c>
      <c r="R1152" s="120"/>
    </row>
    <row r="1153" spans="1:18" ht="15">
      <c r="A1153" s="105">
        <v>4</v>
      </c>
      <c r="B1153" s="105"/>
      <c r="C1153" s="107" t="s">
        <v>1128</v>
      </c>
      <c r="D1153" s="107" t="s">
        <v>250</v>
      </c>
      <c r="E1153" s="120">
        <v>391032442.32335025</v>
      </c>
      <c r="F1153" s="120" t="s">
        <v>250</v>
      </c>
      <c r="G1153" s="120">
        <v>382727597.79571038</v>
      </c>
      <c r="H1153" s="120" t="s">
        <v>250</v>
      </c>
      <c r="I1153" s="120">
        <v>8304844.5276398705</v>
      </c>
      <c r="J1153" s="120">
        <v>0</v>
      </c>
      <c r="K1153" s="120" t="s">
        <v>250</v>
      </c>
      <c r="L1153" s="120" t="s">
        <v>250</v>
      </c>
      <c r="M1153" s="120">
        <v>0</v>
      </c>
      <c r="N1153" s="120" t="s">
        <v>250</v>
      </c>
      <c r="O1153" s="120">
        <v>0</v>
      </c>
      <c r="P1153" s="120">
        <v>0</v>
      </c>
      <c r="Q1153" s="120">
        <v>0</v>
      </c>
      <c r="R1153" s="107"/>
    </row>
    <row r="1154" spans="1:18" ht="15">
      <c r="A1154" s="105">
        <v>5</v>
      </c>
      <c r="B1154" s="105"/>
      <c r="C1154" s="107" t="s">
        <v>1129</v>
      </c>
      <c r="D1154" s="107" t="s">
        <v>250</v>
      </c>
      <c r="E1154" s="120">
        <v>0</v>
      </c>
      <c r="F1154" s="120" t="s">
        <v>250</v>
      </c>
      <c r="G1154" s="120">
        <v>0</v>
      </c>
      <c r="H1154" s="120" t="s">
        <v>250</v>
      </c>
      <c r="I1154" s="120">
        <v>0</v>
      </c>
      <c r="J1154" s="120">
        <v>0</v>
      </c>
      <c r="K1154" s="120" t="s">
        <v>250</v>
      </c>
      <c r="L1154" s="120" t="s">
        <v>250</v>
      </c>
      <c r="M1154" s="120">
        <v>0</v>
      </c>
      <c r="N1154" s="120" t="s">
        <v>250</v>
      </c>
      <c r="O1154" s="120">
        <v>0</v>
      </c>
      <c r="P1154" s="120">
        <v>0</v>
      </c>
      <c r="Q1154" s="120">
        <v>0</v>
      </c>
      <c r="R1154" s="107"/>
    </row>
    <row r="1155" spans="1:18" ht="15">
      <c r="A1155" s="105">
        <v>6</v>
      </c>
      <c r="B1155" s="105"/>
      <c r="C1155" s="107" t="s">
        <v>1130</v>
      </c>
      <c r="D1155" s="107" t="s">
        <v>250</v>
      </c>
      <c r="E1155" s="120">
        <v>13155301.828238031</v>
      </c>
      <c r="F1155" s="120" t="s">
        <v>250</v>
      </c>
      <c r="G1155" s="120">
        <v>12736464.978514884</v>
      </c>
      <c r="H1155" s="120" t="s">
        <v>250</v>
      </c>
      <c r="I1155" s="120">
        <v>418836.84972314665</v>
      </c>
      <c r="J1155" s="120">
        <v>0</v>
      </c>
      <c r="K1155" s="120" t="s">
        <v>250</v>
      </c>
      <c r="L1155" s="120" t="s">
        <v>250</v>
      </c>
      <c r="M1155" s="120">
        <v>0</v>
      </c>
      <c r="N1155" s="120" t="s">
        <v>250</v>
      </c>
      <c r="O1155" s="120">
        <v>0</v>
      </c>
      <c r="P1155" s="120">
        <v>0</v>
      </c>
      <c r="Q1155" s="120">
        <v>0</v>
      </c>
      <c r="R1155" s="107"/>
    </row>
    <row r="1156" spans="1:18" ht="15">
      <c r="A1156" s="105">
        <v>7</v>
      </c>
      <c r="B1156" s="105"/>
      <c r="C1156" s="107" t="s">
        <v>1131</v>
      </c>
      <c r="D1156" s="107" t="s">
        <v>250</v>
      </c>
      <c r="E1156" s="120">
        <v>138862828.72465</v>
      </c>
      <c r="F1156" s="120" t="s">
        <v>250</v>
      </c>
      <c r="G1156" s="120">
        <v>131716194.28406973</v>
      </c>
      <c r="H1156" s="120" t="s">
        <v>250</v>
      </c>
      <c r="I1156" s="120">
        <v>7146634.4405802647</v>
      </c>
      <c r="J1156" s="120">
        <v>0</v>
      </c>
      <c r="K1156" s="120" t="s">
        <v>250</v>
      </c>
      <c r="L1156" s="120" t="s">
        <v>250</v>
      </c>
      <c r="M1156" s="120">
        <v>0</v>
      </c>
      <c r="N1156" s="120" t="s">
        <v>250</v>
      </c>
      <c r="O1156" s="120">
        <v>0</v>
      </c>
      <c r="P1156" s="120">
        <v>0</v>
      </c>
      <c r="Q1156" s="120">
        <v>0</v>
      </c>
      <c r="R1156" s="107"/>
    </row>
    <row r="1157" spans="1:18" ht="15">
      <c r="A1157" s="105">
        <v>8</v>
      </c>
      <c r="B1157" s="105"/>
      <c r="C1157" s="107" t="s">
        <v>1132</v>
      </c>
      <c r="D1157" s="107" t="s">
        <v>250</v>
      </c>
      <c r="E1157" s="120">
        <v>0</v>
      </c>
      <c r="F1157" s="120" t="s">
        <v>250</v>
      </c>
      <c r="G1157" s="120">
        <v>0</v>
      </c>
      <c r="H1157" s="120" t="s">
        <v>250</v>
      </c>
      <c r="I1157" s="120">
        <v>0</v>
      </c>
      <c r="J1157" s="120">
        <v>0</v>
      </c>
      <c r="K1157" s="120" t="s">
        <v>250</v>
      </c>
      <c r="L1157" s="120" t="s">
        <v>250</v>
      </c>
      <c r="M1157" s="120">
        <v>0</v>
      </c>
      <c r="N1157" s="120" t="s">
        <v>250</v>
      </c>
      <c r="O1157" s="120">
        <v>0</v>
      </c>
      <c r="P1157" s="120">
        <v>0</v>
      </c>
      <c r="Q1157" s="120">
        <v>0</v>
      </c>
      <c r="R1157" s="107"/>
    </row>
    <row r="1158" spans="1:18" ht="15">
      <c r="A1158" s="105">
        <v>9</v>
      </c>
      <c r="B1158" s="105"/>
      <c r="C1158" s="107" t="s">
        <v>1133</v>
      </c>
      <c r="D1158" s="107" t="s">
        <v>250</v>
      </c>
      <c r="E1158" s="120">
        <v>23936453.890344642</v>
      </c>
      <c r="F1158" s="120" t="s">
        <v>250</v>
      </c>
      <c r="G1158" s="120">
        <v>0</v>
      </c>
      <c r="H1158" s="120" t="s">
        <v>250</v>
      </c>
      <c r="I1158" s="120">
        <v>0</v>
      </c>
      <c r="J1158" s="120">
        <v>23936453.890344642</v>
      </c>
      <c r="K1158" s="120" t="s">
        <v>250</v>
      </c>
      <c r="L1158" s="120" t="s">
        <v>250</v>
      </c>
      <c r="M1158" s="120">
        <v>0</v>
      </c>
      <c r="N1158" s="120" t="s">
        <v>250</v>
      </c>
      <c r="O1158" s="120">
        <v>23936453.890344642</v>
      </c>
      <c r="P1158" s="120">
        <v>12216380.95181122</v>
      </c>
      <c r="Q1158" s="120">
        <v>11720072.93853342</v>
      </c>
      <c r="R1158" s="107"/>
    </row>
    <row r="1159" spans="1:18" ht="15">
      <c r="A1159" s="105">
        <v>10</v>
      </c>
      <c r="B1159" s="105"/>
      <c r="C1159" s="107" t="s">
        <v>1134</v>
      </c>
      <c r="D1159" s="107" t="s">
        <v>250</v>
      </c>
      <c r="E1159" s="120">
        <v>0</v>
      </c>
      <c r="F1159" s="120" t="s">
        <v>250</v>
      </c>
      <c r="G1159" s="120">
        <v>0</v>
      </c>
      <c r="H1159" s="120" t="s">
        <v>250</v>
      </c>
      <c r="I1159" s="120">
        <v>0</v>
      </c>
      <c r="J1159" s="120">
        <v>0</v>
      </c>
      <c r="K1159" s="120" t="s">
        <v>250</v>
      </c>
      <c r="L1159" s="120" t="s">
        <v>250</v>
      </c>
      <c r="M1159" s="120">
        <v>0</v>
      </c>
      <c r="N1159" s="120" t="s">
        <v>250</v>
      </c>
      <c r="O1159" s="120">
        <v>0</v>
      </c>
      <c r="P1159" s="120">
        <v>0</v>
      </c>
      <c r="Q1159" s="120">
        <v>0</v>
      </c>
      <c r="R1159" s="107"/>
    </row>
    <row r="1160" spans="1:18" ht="15">
      <c r="A1160" s="105">
        <v>11</v>
      </c>
      <c r="B1160" s="105"/>
      <c r="C1160" s="107" t="s">
        <v>1135</v>
      </c>
      <c r="D1160" s="107" t="s">
        <v>250</v>
      </c>
      <c r="E1160" s="120">
        <v>0</v>
      </c>
      <c r="F1160" s="120" t="s">
        <v>250</v>
      </c>
      <c r="G1160" s="120">
        <v>0</v>
      </c>
      <c r="H1160" s="120" t="s">
        <v>250</v>
      </c>
      <c r="I1160" s="120">
        <v>0</v>
      </c>
      <c r="J1160" s="120">
        <v>0</v>
      </c>
      <c r="K1160" s="120" t="s">
        <v>250</v>
      </c>
      <c r="L1160" s="120" t="s">
        <v>250</v>
      </c>
      <c r="M1160" s="120">
        <v>0</v>
      </c>
      <c r="N1160" s="120" t="s">
        <v>250</v>
      </c>
      <c r="O1160" s="120">
        <v>0</v>
      </c>
      <c r="P1160" s="120">
        <v>0</v>
      </c>
      <c r="Q1160" s="120">
        <v>0</v>
      </c>
      <c r="R1160" s="107"/>
    </row>
    <row r="1161" spans="1:18" ht="15">
      <c r="A1161" s="105">
        <v>12</v>
      </c>
      <c r="B1161" s="105"/>
      <c r="C1161" s="107" t="s">
        <v>250</v>
      </c>
      <c r="D1161" s="107" t="s">
        <v>250</v>
      </c>
      <c r="E1161" s="120" t="s">
        <v>250</v>
      </c>
      <c r="F1161" s="120" t="s">
        <v>250</v>
      </c>
      <c r="G1161" s="120" t="s">
        <v>250</v>
      </c>
      <c r="H1161" s="120" t="s">
        <v>250</v>
      </c>
      <c r="I1161" s="120" t="s">
        <v>250</v>
      </c>
      <c r="J1161" s="120" t="s">
        <v>250</v>
      </c>
      <c r="K1161" s="120" t="s">
        <v>250</v>
      </c>
      <c r="L1161" s="120" t="s">
        <v>250</v>
      </c>
      <c r="M1161" s="120" t="s">
        <v>250</v>
      </c>
      <c r="N1161" s="120" t="s">
        <v>250</v>
      </c>
      <c r="O1161" s="120" t="s">
        <v>250</v>
      </c>
      <c r="P1161" s="120" t="s">
        <v>250</v>
      </c>
      <c r="Q1161" s="120" t="s">
        <v>250</v>
      </c>
      <c r="R1161" s="107"/>
    </row>
    <row r="1162" spans="1:18" ht="15">
      <c r="A1162" s="105">
        <v>13</v>
      </c>
      <c r="B1162" s="105"/>
      <c r="C1162" s="107" t="s">
        <v>250</v>
      </c>
      <c r="D1162" s="107" t="s">
        <v>250</v>
      </c>
      <c r="E1162" s="120" t="s">
        <v>250</v>
      </c>
      <c r="F1162" s="120" t="s">
        <v>250</v>
      </c>
      <c r="G1162" s="120" t="s">
        <v>250</v>
      </c>
      <c r="H1162" s="120" t="s">
        <v>250</v>
      </c>
      <c r="I1162" s="120" t="s">
        <v>250</v>
      </c>
      <c r="J1162" s="120" t="s">
        <v>250</v>
      </c>
      <c r="K1162" s="120" t="s">
        <v>250</v>
      </c>
      <c r="L1162" s="120" t="s">
        <v>250</v>
      </c>
      <c r="M1162" s="120" t="s">
        <v>250</v>
      </c>
      <c r="N1162" s="120" t="s">
        <v>250</v>
      </c>
      <c r="O1162" s="120" t="s">
        <v>250</v>
      </c>
      <c r="P1162" s="120" t="s">
        <v>250</v>
      </c>
      <c r="Q1162" s="120" t="s">
        <v>250</v>
      </c>
      <c r="R1162" s="124"/>
    </row>
    <row r="1163" spans="1:18" ht="15">
      <c r="A1163" s="105" t="s">
        <v>250</v>
      </c>
      <c r="B1163" s="105"/>
      <c r="C1163" s="107" t="s">
        <v>250</v>
      </c>
      <c r="D1163" s="107" t="s">
        <v>250</v>
      </c>
      <c r="E1163" s="120" t="s">
        <v>250</v>
      </c>
      <c r="F1163" s="120" t="s">
        <v>250</v>
      </c>
      <c r="G1163" s="120" t="s">
        <v>250</v>
      </c>
      <c r="H1163" s="120" t="s">
        <v>250</v>
      </c>
      <c r="I1163" s="120" t="s">
        <v>250</v>
      </c>
      <c r="J1163" s="120" t="s">
        <v>250</v>
      </c>
      <c r="K1163" s="120" t="s">
        <v>250</v>
      </c>
      <c r="L1163" s="120" t="s">
        <v>250</v>
      </c>
      <c r="M1163" s="120" t="s">
        <v>250</v>
      </c>
      <c r="N1163" s="120" t="s">
        <v>250</v>
      </c>
      <c r="O1163" s="120" t="s">
        <v>250</v>
      </c>
      <c r="P1163" s="120" t="s">
        <v>250</v>
      </c>
      <c r="Q1163" s="120" t="s">
        <v>250</v>
      </c>
      <c r="R1163" s="124"/>
    </row>
    <row r="1164" spans="1:18" ht="15">
      <c r="A1164" s="105" t="s">
        <v>250</v>
      </c>
      <c r="B1164" s="105"/>
      <c r="C1164" s="107" t="s">
        <v>250</v>
      </c>
      <c r="D1164" s="107" t="s">
        <v>250</v>
      </c>
      <c r="E1164" s="120" t="s">
        <v>250</v>
      </c>
      <c r="F1164" s="120" t="s">
        <v>250</v>
      </c>
      <c r="G1164" s="120" t="s">
        <v>250</v>
      </c>
      <c r="H1164" s="120" t="s">
        <v>250</v>
      </c>
      <c r="I1164" s="120" t="s">
        <v>250</v>
      </c>
      <c r="J1164" s="120" t="s">
        <v>250</v>
      </c>
      <c r="K1164" s="120" t="s">
        <v>250</v>
      </c>
      <c r="L1164" s="120" t="s">
        <v>250</v>
      </c>
      <c r="M1164" s="120" t="s">
        <v>250</v>
      </c>
      <c r="N1164" s="120" t="s">
        <v>250</v>
      </c>
      <c r="O1164" s="120" t="s">
        <v>250</v>
      </c>
      <c r="P1164" s="120" t="s">
        <v>250</v>
      </c>
      <c r="Q1164" s="120" t="s">
        <v>250</v>
      </c>
      <c r="R1164" s="124"/>
    </row>
    <row r="1165" spans="1:18" ht="15">
      <c r="A1165" s="105" t="s">
        <v>250</v>
      </c>
      <c r="B1165" s="105"/>
      <c r="C1165" s="107" t="s">
        <v>250</v>
      </c>
      <c r="D1165" s="107" t="s">
        <v>250</v>
      </c>
      <c r="E1165" s="107" t="s">
        <v>250</v>
      </c>
      <c r="F1165" s="107" t="s">
        <v>250</v>
      </c>
      <c r="G1165" s="107" t="s">
        <v>250</v>
      </c>
      <c r="H1165" s="107" t="s">
        <v>250</v>
      </c>
      <c r="I1165" s="107" t="s">
        <v>250</v>
      </c>
      <c r="J1165" s="107" t="s">
        <v>250</v>
      </c>
      <c r="K1165" s="107" t="s">
        <v>250</v>
      </c>
      <c r="L1165" s="107" t="s">
        <v>250</v>
      </c>
      <c r="M1165" s="107" t="s">
        <v>250</v>
      </c>
      <c r="N1165" s="107" t="s">
        <v>250</v>
      </c>
      <c r="O1165" s="107" t="s">
        <v>250</v>
      </c>
      <c r="P1165" s="107" t="s">
        <v>250</v>
      </c>
      <c r="Q1165" s="107" t="s">
        <v>250</v>
      </c>
      <c r="R1165" s="124"/>
    </row>
    <row r="1166" spans="1:18" ht="15">
      <c r="A1166" s="105" t="s">
        <v>250</v>
      </c>
      <c r="B1166" s="105"/>
      <c r="C1166" s="107" t="s">
        <v>250</v>
      </c>
      <c r="D1166" s="107" t="s">
        <v>250</v>
      </c>
      <c r="E1166" s="107" t="s">
        <v>250</v>
      </c>
      <c r="F1166" s="107" t="s">
        <v>250</v>
      </c>
      <c r="G1166" s="107" t="s">
        <v>250</v>
      </c>
      <c r="H1166" s="107" t="s">
        <v>250</v>
      </c>
      <c r="I1166" s="107" t="s">
        <v>250</v>
      </c>
      <c r="J1166" s="107" t="s">
        <v>250</v>
      </c>
      <c r="K1166" s="107" t="s">
        <v>250</v>
      </c>
      <c r="L1166" s="107" t="s">
        <v>250</v>
      </c>
      <c r="M1166" s="107" t="s">
        <v>250</v>
      </c>
      <c r="N1166" s="107" t="s">
        <v>250</v>
      </c>
      <c r="O1166" s="107" t="s">
        <v>250</v>
      </c>
      <c r="P1166" s="107" t="s">
        <v>250</v>
      </c>
      <c r="Q1166" s="107" t="s">
        <v>250</v>
      </c>
      <c r="R1166" s="124"/>
    </row>
    <row r="1167" spans="1:18" ht="15">
      <c r="A1167" s="105" t="s">
        <v>250</v>
      </c>
      <c r="B1167" s="105"/>
      <c r="C1167" s="107" t="s">
        <v>250</v>
      </c>
      <c r="D1167" s="107" t="s">
        <v>250</v>
      </c>
      <c r="E1167" s="107" t="s">
        <v>250</v>
      </c>
      <c r="F1167" s="107" t="s">
        <v>250</v>
      </c>
      <c r="G1167" s="107" t="s">
        <v>250</v>
      </c>
      <c r="H1167" s="107" t="s">
        <v>250</v>
      </c>
      <c r="I1167" s="107" t="s">
        <v>250</v>
      </c>
      <c r="J1167" s="107" t="s">
        <v>250</v>
      </c>
      <c r="K1167" s="107" t="s">
        <v>250</v>
      </c>
      <c r="L1167" s="107" t="s">
        <v>250</v>
      </c>
      <c r="M1167" s="107" t="s">
        <v>250</v>
      </c>
      <c r="N1167" s="107" t="s">
        <v>250</v>
      </c>
      <c r="O1167" s="107" t="s">
        <v>250</v>
      </c>
      <c r="P1167" s="107" t="s">
        <v>250</v>
      </c>
      <c r="Q1167" s="107" t="s">
        <v>250</v>
      </c>
      <c r="R1167" s="124"/>
    </row>
    <row r="1168" spans="1:18" ht="15">
      <c r="A1168" s="105" t="s">
        <v>250</v>
      </c>
      <c r="B1168" s="105"/>
      <c r="C1168" s="107" t="s">
        <v>1136</v>
      </c>
      <c r="D1168" s="107" t="s">
        <v>250</v>
      </c>
      <c r="E1168" s="107" t="s">
        <v>250</v>
      </c>
      <c r="F1168" s="107" t="s">
        <v>250</v>
      </c>
      <c r="G1168" s="107" t="s">
        <v>250</v>
      </c>
      <c r="H1168" s="107" t="s">
        <v>250</v>
      </c>
      <c r="I1168" s="107" t="s">
        <v>250</v>
      </c>
      <c r="J1168" s="107" t="s">
        <v>250</v>
      </c>
      <c r="K1168" s="107" t="s">
        <v>250</v>
      </c>
      <c r="L1168" s="107" t="s">
        <v>250</v>
      </c>
      <c r="M1168" s="107" t="s">
        <v>250</v>
      </c>
      <c r="N1168" s="107" t="s">
        <v>250</v>
      </c>
      <c r="O1168" s="107" t="s">
        <v>250</v>
      </c>
      <c r="P1168" s="107" t="s">
        <v>250</v>
      </c>
      <c r="Q1168" s="107" t="s">
        <v>250</v>
      </c>
      <c r="R1168" s="124"/>
    </row>
    <row r="1169" spans="1:18" ht="15">
      <c r="A1169" s="105" t="s">
        <v>250</v>
      </c>
      <c r="B1169" s="105"/>
      <c r="C1169" s="107" t="s">
        <v>250</v>
      </c>
      <c r="D1169" s="107" t="s">
        <v>250</v>
      </c>
      <c r="E1169" s="107" t="s">
        <v>250</v>
      </c>
      <c r="F1169" s="107" t="s">
        <v>250</v>
      </c>
      <c r="G1169" s="107" t="s">
        <v>250</v>
      </c>
      <c r="H1169" s="107" t="s">
        <v>250</v>
      </c>
      <c r="I1169" s="107" t="s">
        <v>250</v>
      </c>
      <c r="J1169" s="107" t="s">
        <v>250</v>
      </c>
      <c r="K1169" s="107" t="s">
        <v>250</v>
      </c>
      <c r="L1169" s="107" t="s">
        <v>250</v>
      </c>
      <c r="M1169" s="107" t="s">
        <v>250</v>
      </c>
      <c r="N1169" s="107" t="s">
        <v>250</v>
      </c>
      <c r="O1169" s="107" t="s">
        <v>250</v>
      </c>
      <c r="P1169" s="107" t="s">
        <v>250</v>
      </c>
      <c r="Q1169" s="107" t="s">
        <v>250</v>
      </c>
      <c r="R1169" s="124"/>
    </row>
    <row r="1170" spans="1:18" ht="15">
      <c r="A1170" s="105" t="s">
        <v>250</v>
      </c>
      <c r="B1170" s="105"/>
      <c r="C1170" s="107" t="s">
        <v>1137</v>
      </c>
      <c r="D1170" s="107" t="s">
        <v>250</v>
      </c>
      <c r="E1170" s="107" t="s">
        <v>250</v>
      </c>
      <c r="F1170" s="107" t="s">
        <v>250</v>
      </c>
      <c r="G1170" s="107" t="s">
        <v>250</v>
      </c>
      <c r="H1170" s="107" t="s">
        <v>250</v>
      </c>
      <c r="I1170" s="107" t="s">
        <v>250</v>
      </c>
      <c r="J1170" s="107" t="s">
        <v>250</v>
      </c>
      <c r="K1170" s="107" t="s">
        <v>250</v>
      </c>
      <c r="L1170" s="107" t="s">
        <v>250</v>
      </c>
      <c r="M1170" s="107" t="s">
        <v>250</v>
      </c>
      <c r="N1170" s="107" t="s">
        <v>250</v>
      </c>
      <c r="O1170" s="107" t="s">
        <v>250</v>
      </c>
      <c r="P1170" s="107" t="s">
        <v>250</v>
      </c>
      <c r="Q1170" s="107" t="s">
        <v>250</v>
      </c>
      <c r="R1170" s="124"/>
    </row>
    <row r="1171" spans="1:18" ht="15">
      <c r="A1171" s="105" t="s">
        <v>250</v>
      </c>
      <c r="B1171" s="105"/>
      <c r="C1171" s="107" t="s">
        <v>917</v>
      </c>
      <c r="D1171" s="107" t="s">
        <v>250</v>
      </c>
      <c r="E1171" s="107" t="s">
        <v>250</v>
      </c>
      <c r="F1171" s="107" t="s">
        <v>250</v>
      </c>
      <c r="G1171" s="107" t="s">
        <v>250</v>
      </c>
      <c r="H1171" s="107" t="s">
        <v>250</v>
      </c>
      <c r="I1171" s="107" t="s">
        <v>250</v>
      </c>
      <c r="J1171" s="107" t="s">
        <v>250</v>
      </c>
      <c r="K1171" s="107" t="s">
        <v>250</v>
      </c>
      <c r="L1171" s="107" t="s">
        <v>250</v>
      </c>
      <c r="M1171" s="107" t="s">
        <v>250</v>
      </c>
      <c r="N1171" s="107" t="s">
        <v>250</v>
      </c>
      <c r="O1171" s="107" t="s">
        <v>250</v>
      </c>
      <c r="P1171" s="107" t="s">
        <v>250</v>
      </c>
      <c r="Q1171" s="107" t="s">
        <v>250</v>
      </c>
      <c r="R1171" s="124"/>
    </row>
    <row r="1172" spans="1:18" ht="15">
      <c r="A1172" s="105" t="s">
        <v>250</v>
      </c>
      <c r="B1172" s="105"/>
      <c r="C1172" s="107" t="s">
        <v>918</v>
      </c>
      <c r="D1172" s="107" t="s">
        <v>250</v>
      </c>
      <c r="E1172" s="107" t="s">
        <v>250</v>
      </c>
      <c r="F1172" s="107" t="s">
        <v>250</v>
      </c>
      <c r="G1172" s="107" t="s">
        <v>250</v>
      </c>
      <c r="H1172" s="107" t="s">
        <v>250</v>
      </c>
      <c r="I1172" s="107" t="s">
        <v>250</v>
      </c>
      <c r="J1172" s="107" t="s">
        <v>250</v>
      </c>
      <c r="K1172" s="107" t="s">
        <v>250</v>
      </c>
      <c r="L1172" s="107" t="s">
        <v>250</v>
      </c>
      <c r="M1172" s="107" t="s">
        <v>250</v>
      </c>
      <c r="N1172" s="107" t="s">
        <v>250</v>
      </c>
      <c r="O1172" s="107" t="s">
        <v>250</v>
      </c>
      <c r="P1172" s="107" t="s">
        <v>250</v>
      </c>
      <c r="Q1172" s="107" t="s">
        <v>250</v>
      </c>
      <c r="R1172" s="124"/>
    </row>
    <row r="1173" spans="1:18" ht="15">
      <c r="A1173" s="105">
        <v>1</v>
      </c>
      <c r="B1173" s="105"/>
      <c r="C1173" s="107" t="s">
        <v>919</v>
      </c>
      <c r="D1173" s="107" t="s">
        <v>303</v>
      </c>
      <c r="E1173" s="124">
        <v>0.99999999999999989</v>
      </c>
      <c r="F1173" s="124" t="s">
        <v>250</v>
      </c>
      <c r="G1173" s="124">
        <v>0.93811298816770394</v>
      </c>
      <c r="H1173" s="124" t="s">
        <v>250</v>
      </c>
      <c r="I1173" s="124">
        <v>4.2485124136515971E-2</v>
      </c>
      <c r="J1173" s="124">
        <v>1.9401887695780044E-2</v>
      </c>
      <c r="K1173" s="124" t="s">
        <v>250</v>
      </c>
      <c r="L1173" s="124" t="s">
        <v>250</v>
      </c>
      <c r="M1173" s="124">
        <v>0</v>
      </c>
      <c r="N1173" s="124" t="s">
        <v>250</v>
      </c>
      <c r="O1173" s="124">
        <v>1.9401887695780044E-2</v>
      </c>
      <c r="P1173" s="124">
        <v>9.8417230923557447E-3</v>
      </c>
      <c r="Q1173" s="124">
        <v>9.5601646034242978E-3</v>
      </c>
      <c r="R1173" s="124"/>
    </row>
    <row r="1174" spans="1:18" ht="15">
      <c r="A1174" s="105">
        <v>2</v>
      </c>
      <c r="B1174" s="105"/>
      <c r="C1174" s="107" t="s">
        <v>920</v>
      </c>
      <c r="D1174" s="107" t="s">
        <v>311</v>
      </c>
      <c r="E1174" s="124">
        <v>1</v>
      </c>
      <c r="F1174" s="124" t="s">
        <v>250</v>
      </c>
      <c r="G1174" s="124">
        <v>0.51437331025553301</v>
      </c>
      <c r="H1174" s="124" t="s">
        <v>250</v>
      </c>
      <c r="I1174" s="124">
        <v>0.33338029397360813</v>
      </c>
      <c r="J1174" s="124">
        <v>0.15224639577085891</v>
      </c>
      <c r="K1174" s="124" t="s">
        <v>250</v>
      </c>
      <c r="L1174" s="124" t="s">
        <v>250</v>
      </c>
      <c r="M1174" s="124">
        <v>0</v>
      </c>
      <c r="N1174" s="124" t="s">
        <v>250</v>
      </c>
      <c r="O1174" s="124">
        <v>0.15224639577085891</v>
      </c>
      <c r="P1174" s="124">
        <v>7.7227891042369684E-2</v>
      </c>
      <c r="Q1174" s="124">
        <v>7.5018504728489227E-2</v>
      </c>
      <c r="R1174" s="124"/>
    </row>
    <row r="1175" spans="1:18" ht="15">
      <c r="A1175" s="105">
        <v>3</v>
      </c>
      <c r="B1175" s="105"/>
      <c r="C1175" s="107" t="s">
        <v>921</v>
      </c>
      <c r="D1175" s="107" t="s">
        <v>397</v>
      </c>
      <c r="E1175" s="124">
        <v>1</v>
      </c>
      <c r="F1175" s="124" t="s">
        <v>250</v>
      </c>
      <c r="G1175" s="124">
        <v>0</v>
      </c>
      <c r="H1175" s="124" t="s">
        <v>250</v>
      </c>
      <c r="I1175" s="124">
        <v>1</v>
      </c>
      <c r="J1175" s="124">
        <v>0</v>
      </c>
      <c r="K1175" s="124" t="s">
        <v>250</v>
      </c>
      <c r="L1175" s="124" t="s">
        <v>250</v>
      </c>
      <c r="M1175" s="124">
        <v>0</v>
      </c>
      <c r="N1175" s="124" t="s">
        <v>250</v>
      </c>
      <c r="O1175" s="124">
        <v>0</v>
      </c>
      <c r="P1175" s="124">
        <v>0</v>
      </c>
      <c r="Q1175" s="124">
        <v>0</v>
      </c>
      <c r="R1175" s="124"/>
    </row>
    <row r="1176" spans="1:18" ht="15">
      <c r="A1176" s="105">
        <v>4</v>
      </c>
      <c r="B1176" s="105"/>
      <c r="C1176" s="107" t="s">
        <v>922</v>
      </c>
      <c r="D1176" s="107" t="s">
        <v>375</v>
      </c>
      <c r="E1176" s="124">
        <v>1</v>
      </c>
      <c r="F1176" s="124" t="s">
        <v>250</v>
      </c>
      <c r="G1176" s="124">
        <v>0.97973724671558393</v>
      </c>
      <c r="H1176" s="124" t="s">
        <v>250</v>
      </c>
      <c r="I1176" s="124">
        <v>0</v>
      </c>
      <c r="J1176" s="124">
        <v>2.0262753284416055E-2</v>
      </c>
      <c r="K1176" s="124" t="s">
        <v>250</v>
      </c>
      <c r="L1176" s="124" t="s">
        <v>250</v>
      </c>
      <c r="M1176" s="124">
        <v>0</v>
      </c>
      <c r="N1176" s="124" t="s">
        <v>250</v>
      </c>
      <c r="O1176" s="124">
        <v>2.0262753284416055E-2</v>
      </c>
      <c r="P1176" s="124">
        <v>1.027840228955243E-2</v>
      </c>
      <c r="Q1176" s="124">
        <v>9.9843509948636267E-3</v>
      </c>
      <c r="R1176" s="124"/>
    </row>
    <row r="1177" spans="1:18" ht="15">
      <c r="A1177" s="105">
        <v>5</v>
      </c>
      <c r="B1177" s="105"/>
      <c r="C1177" s="107" t="s">
        <v>923</v>
      </c>
      <c r="D1177" s="107" t="s">
        <v>313</v>
      </c>
      <c r="E1177" s="124">
        <v>1</v>
      </c>
      <c r="F1177" s="124" t="s">
        <v>250</v>
      </c>
      <c r="G1177" s="124">
        <v>0.77161431863697205</v>
      </c>
      <c r="H1177" s="124" t="s">
        <v>250</v>
      </c>
      <c r="I1177" s="124">
        <v>0</v>
      </c>
      <c r="J1177" s="124">
        <v>0.22838568136302798</v>
      </c>
      <c r="K1177" s="124" t="s">
        <v>250</v>
      </c>
      <c r="L1177" s="124" t="s">
        <v>250</v>
      </c>
      <c r="M1177" s="124">
        <v>0</v>
      </c>
      <c r="N1177" s="124" t="s">
        <v>250</v>
      </c>
      <c r="O1177" s="124">
        <v>0.22838568136302798</v>
      </c>
      <c r="P1177" s="124">
        <v>0.11584999714861742</v>
      </c>
      <c r="Q1177" s="124">
        <v>0.11253568421441056</v>
      </c>
      <c r="R1177" s="124"/>
    </row>
    <row r="1178" spans="1:18" ht="15">
      <c r="A1178" s="105">
        <v>6</v>
      </c>
      <c r="B1178" s="105"/>
      <c r="C1178" s="107" t="s">
        <v>924</v>
      </c>
      <c r="D1178" s="107" t="s">
        <v>925</v>
      </c>
      <c r="E1178" s="124">
        <v>1</v>
      </c>
      <c r="F1178" s="124" t="s">
        <v>250</v>
      </c>
      <c r="G1178" s="124">
        <v>0.97973724671558393</v>
      </c>
      <c r="H1178" s="124" t="s">
        <v>250</v>
      </c>
      <c r="I1178" s="124">
        <v>0</v>
      </c>
      <c r="J1178" s="124">
        <v>2.0262753284416055E-2</v>
      </c>
      <c r="K1178" s="124" t="s">
        <v>250</v>
      </c>
      <c r="L1178" s="124" t="s">
        <v>250</v>
      </c>
      <c r="M1178" s="124">
        <v>0</v>
      </c>
      <c r="N1178" s="124" t="s">
        <v>250</v>
      </c>
      <c r="O1178" s="124">
        <v>2.0262753284416055E-2</v>
      </c>
      <c r="P1178" s="124">
        <v>1.027840228955243E-2</v>
      </c>
      <c r="Q1178" s="124">
        <v>9.9843509948636267E-3</v>
      </c>
      <c r="R1178" s="124"/>
    </row>
    <row r="1179" spans="1:18" ht="15">
      <c r="A1179" s="105" t="s">
        <v>250</v>
      </c>
      <c r="B1179" s="105"/>
      <c r="C1179" s="107" t="s">
        <v>926</v>
      </c>
      <c r="D1179" s="107" t="s">
        <v>250</v>
      </c>
      <c r="E1179" s="124" t="s">
        <v>250</v>
      </c>
      <c r="F1179" s="124" t="s">
        <v>250</v>
      </c>
      <c r="G1179" s="124" t="s">
        <v>250</v>
      </c>
      <c r="H1179" s="124" t="s">
        <v>250</v>
      </c>
      <c r="I1179" s="124" t="s">
        <v>250</v>
      </c>
      <c r="J1179" s="124" t="s">
        <v>250</v>
      </c>
      <c r="K1179" s="124" t="s">
        <v>250</v>
      </c>
      <c r="L1179" s="124" t="s">
        <v>250</v>
      </c>
      <c r="M1179" s="124" t="s">
        <v>250</v>
      </c>
      <c r="N1179" s="124" t="s">
        <v>250</v>
      </c>
      <c r="O1179" s="124" t="s">
        <v>250</v>
      </c>
      <c r="P1179" s="124" t="s">
        <v>250</v>
      </c>
      <c r="Q1179" s="124" t="s">
        <v>250</v>
      </c>
      <c r="R1179" s="124"/>
    </row>
    <row r="1180" spans="1:18" ht="15">
      <c r="A1180" s="105">
        <v>7</v>
      </c>
      <c r="B1180" s="105"/>
      <c r="C1180" s="107" t="s">
        <v>927</v>
      </c>
      <c r="D1180" s="107" t="s">
        <v>571</v>
      </c>
      <c r="E1180" s="124">
        <v>0.99999999999999989</v>
      </c>
      <c r="F1180" s="124" t="s">
        <v>250</v>
      </c>
      <c r="G1180" s="124">
        <v>0.93811298816770394</v>
      </c>
      <c r="H1180" s="124" t="s">
        <v>250</v>
      </c>
      <c r="I1180" s="124">
        <v>4.2485124136515971E-2</v>
      </c>
      <c r="J1180" s="124">
        <v>1.9401887695780044E-2</v>
      </c>
      <c r="K1180" s="124" t="s">
        <v>250</v>
      </c>
      <c r="L1180" s="124" t="s">
        <v>250</v>
      </c>
      <c r="M1180" s="124">
        <v>0</v>
      </c>
      <c r="N1180" s="124" t="s">
        <v>250</v>
      </c>
      <c r="O1180" s="124">
        <v>1.9401887695780044E-2</v>
      </c>
      <c r="P1180" s="124">
        <v>9.8417230923557447E-3</v>
      </c>
      <c r="Q1180" s="124">
        <v>9.5601646034242978E-3</v>
      </c>
      <c r="R1180" s="124"/>
    </row>
    <row r="1181" spans="1:18" ht="15">
      <c r="A1181" s="105">
        <v>8</v>
      </c>
      <c r="B1181" s="105"/>
      <c r="C1181" s="107" t="s">
        <v>928</v>
      </c>
      <c r="D1181" s="107" t="s">
        <v>351</v>
      </c>
      <c r="E1181" s="124">
        <v>1</v>
      </c>
      <c r="F1181" s="124" t="s">
        <v>250</v>
      </c>
      <c r="G1181" s="124">
        <v>0</v>
      </c>
      <c r="H1181" s="124" t="s">
        <v>250</v>
      </c>
      <c r="I1181" s="124">
        <v>1</v>
      </c>
      <c r="J1181" s="124">
        <v>0</v>
      </c>
      <c r="K1181" s="124" t="s">
        <v>250</v>
      </c>
      <c r="L1181" s="124" t="s">
        <v>250</v>
      </c>
      <c r="M1181" s="124">
        <v>0</v>
      </c>
      <c r="N1181" s="124" t="s">
        <v>250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9</v>
      </c>
      <c r="B1182" s="105"/>
      <c r="C1182" s="107" t="s">
        <v>929</v>
      </c>
      <c r="D1182" s="107" t="s">
        <v>340</v>
      </c>
      <c r="E1182" s="124">
        <v>1</v>
      </c>
      <c r="F1182" s="124" t="s">
        <v>250</v>
      </c>
      <c r="G1182" s="124">
        <v>0.956674275012947</v>
      </c>
      <c r="H1182" s="124" t="s">
        <v>250</v>
      </c>
      <c r="I1182" s="124">
        <v>4.3325724987053026E-2</v>
      </c>
      <c r="J1182" s="124">
        <v>0</v>
      </c>
      <c r="K1182" s="124" t="s">
        <v>250</v>
      </c>
      <c r="L1182" s="124" t="s">
        <v>250</v>
      </c>
      <c r="M1182" s="124">
        <v>0</v>
      </c>
      <c r="N1182" s="124" t="s">
        <v>250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10</v>
      </c>
      <c r="B1183" s="105"/>
      <c r="C1183" s="107" t="s">
        <v>930</v>
      </c>
      <c r="D1183" s="107" t="s">
        <v>931</v>
      </c>
      <c r="E1183" s="124">
        <v>1</v>
      </c>
      <c r="F1183" s="124" t="s">
        <v>250</v>
      </c>
      <c r="G1183" s="124">
        <v>0</v>
      </c>
      <c r="H1183" s="124" t="s">
        <v>250</v>
      </c>
      <c r="I1183" s="124">
        <v>0.68649499917113332</v>
      </c>
      <c r="J1183" s="124">
        <v>0.31350500082886668</v>
      </c>
      <c r="K1183" s="124" t="s">
        <v>250</v>
      </c>
      <c r="L1183" s="124" t="s">
        <v>250</v>
      </c>
      <c r="M1183" s="124">
        <v>0</v>
      </c>
      <c r="N1183" s="124" t="s">
        <v>250</v>
      </c>
      <c r="O1183" s="124">
        <v>0.31350500082886668</v>
      </c>
      <c r="P1183" s="124">
        <v>0.15902727892284171</v>
      </c>
      <c r="Q1183" s="124">
        <v>0.15447772190602493</v>
      </c>
      <c r="R1183" s="124"/>
    </row>
    <row r="1184" spans="1:18" ht="15">
      <c r="A1184" s="105">
        <v>11</v>
      </c>
      <c r="B1184" s="105"/>
      <c r="C1184" s="107" t="s">
        <v>932</v>
      </c>
      <c r="D1184" s="107" t="s">
        <v>354</v>
      </c>
      <c r="E1184" s="124">
        <v>1</v>
      </c>
      <c r="F1184" s="124" t="s">
        <v>250</v>
      </c>
      <c r="G1184" s="124">
        <v>1</v>
      </c>
      <c r="H1184" s="124" t="s">
        <v>250</v>
      </c>
      <c r="I1184" s="124">
        <v>0</v>
      </c>
      <c r="J1184" s="124">
        <v>0</v>
      </c>
      <c r="K1184" s="124" t="s">
        <v>250</v>
      </c>
      <c r="L1184" s="124" t="s">
        <v>250</v>
      </c>
      <c r="M1184" s="124">
        <v>0</v>
      </c>
      <c r="N1184" s="124" t="s">
        <v>250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 t="s">
        <v>250</v>
      </c>
      <c r="B1185" s="105"/>
      <c r="C1185" s="107" t="s">
        <v>250</v>
      </c>
      <c r="D1185" s="107" t="s">
        <v>250</v>
      </c>
      <c r="E1185" s="124" t="s">
        <v>250</v>
      </c>
      <c r="F1185" s="124" t="s">
        <v>250</v>
      </c>
      <c r="G1185" s="124" t="s">
        <v>250</v>
      </c>
      <c r="H1185" s="124" t="s">
        <v>250</v>
      </c>
      <c r="I1185" s="124" t="s">
        <v>250</v>
      </c>
      <c r="J1185" s="124" t="s">
        <v>250</v>
      </c>
      <c r="K1185" s="124" t="s">
        <v>250</v>
      </c>
      <c r="L1185" s="124" t="s">
        <v>250</v>
      </c>
      <c r="M1185" s="124" t="s">
        <v>250</v>
      </c>
      <c r="N1185" s="124" t="s">
        <v>250</v>
      </c>
      <c r="O1185" s="124" t="s">
        <v>250</v>
      </c>
      <c r="P1185" s="124" t="s">
        <v>250</v>
      </c>
      <c r="Q1185" s="124" t="s">
        <v>250</v>
      </c>
      <c r="R1185" s="124"/>
    </row>
    <row r="1186" spans="1:18" ht="15">
      <c r="A1186" s="105" t="s">
        <v>250</v>
      </c>
      <c r="B1186" s="105"/>
      <c r="C1186" s="107" t="s">
        <v>933</v>
      </c>
      <c r="D1186" s="107" t="s">
        <v>250</v>
      </c>
      <c r="E1186" s="124" t="s">
        <v>250</v>
      </c>
      <c r="F1186" s="124" t="s">
        <v>250</v>
      </c>
      <c r="G1186" s="124" t="s">
        <v>250</v>
      </c>
      <c r="H1186" s="124" t="s">
        <v>250</v>
      </c>
      <c r="I1186" s="124" t="s">
        <v>250</v>
      </c>
      <c r="J1186" s="124" t="s">
        <v>250</v>
      </c>
      <c r="K1186" s="124" t="s">
        <v>250</v>
      </c>
      <c r="L1186" s="124" t="s">
        <v>250</v>
      </c>
      <c r="M1186" s="124" t="s">
        <v>250</v>
      </c>
      <c r="N1186" s="124" t="s">
        <v>250</v>
      </c>
      <c r="O1186" s="124" t="s">
        <v>250</v>
      </c>
      <c r="P1186" s="124" t="s">
        <v>250</v>
      </c>
      <c r="Q1186" s="124" t="s">
        <v>250</v>
      </c>
      <c r="R1186" s="124"/>
    </row>
    <row r="1187" spans="1:18" ht="15">
      <c r="A1187" s="105">
        <v>12</v>
      </c>
      <c r="B1187" s="105"/>
      <c r="C1187" s="107" t="s">
        <v>934</v>
      </c>
      <c r="D1187" s="107" t="s">
        <v>360</v>
      </c>
      <c r="E1187" s="124">
        <v>1</v>
      </c>
      <c r="F1187" s="124" t="s">
        <v>250</v>
      </c>
      <c r="G1187" s="124">
        <v>0.99900408521798989</v>
      </c>
      <c r="H1187" s="124" t="s">
        <v>250</v>
      </c>
      <c r="I1187" s="124">
        <v>0</v>
      </c>
      <c r="J1187" s="124">
        <v>9.9591478201008308E-4</v>
      </c>
      <c r="K1187" s="124" t="s">
        <v>250</v>
      </c>
      <c r="L1187" s="124" t="s">
        <v>250</v>
      </c>
      <c r="M1187" s="124">
        <v>0</v>
      </c>
      <c r="N1187" s="124" t="s">
        <v>250</v>
      </c>
      <c r="O1187" s="124">
        <v>9.9591478201008308E-4</v>
      </c>
      <c r="P1187" s="124">
        <v>9.9591478201008308E-4</v>
      </c>
      <c r="Q1187" s="124">
        <v>0</v>
      </c>
      <c r="R1187" s="124"/>
    </row>
    <row r="1188" spans="1:18" ht="15">
      <c r="A1188" s="105">
        <v>13</v>
      </c>
      <c r="B1188" s="105"/>
      <c r="C1188" s="107" t="s">
        <v>935</v>
      </c>
      <c r="D1188" s="107" t="s">
        <v>362</v>
      </c>
      <c r="E1188" s="124">
        <v>1</v>
      </c>
      <c r="F1188" s="124" t="s">
        <v>250</v>
      </c>
      <c r="G1188" s="124">
        <v>0.98801677095666574</v>
      </c>
      <c r="H1188" s="124" t="s">
        <v>250</v>
      </c>
      <c r="I1188" s="124">
        <v>0</v>
      </c>
      <c r="J1188" s="124">
        <v>1.1983229043334235E-2</v>
      </c>
      <c r="K1188" s="124" t="s">
        <v>250</v>
      </c>
      <c r="L1188" s="124" t="s">
        <v>250</v>
      </c>
      <c r="M1188" s="124">
        <v>0</v>
      </c>
      <c r="N1188" s="124" t="s">
        <v>250</v>
      </c>
      <c r="O1188" s="124">
        <v>1.1983229043334235E-2</v>
      </c>
      <c r="P1188" s="124">
        <v>1.1983229043334235E-2</v>
      </c>
      <c r="Q1188" s="124">
        <v>0</v>
      </c>
      <c r="R1188" s="124"/>
    </row>
    <row r="1189" spans="1:18" ht="15">
      <c r="A1189" s="105">
        <v>14</v>
      </c>
      <c r="B1189" s="105"/>
      <c r="C1189" s="107" t="s">
        <v>936</v>
      </c>
      <c r="D1189" s="107" t="s">
        <v>364</v>
      </c>
      <c r="E1189" s="124">
        <v>1</v>
      </c>
      <c r="F1189" s="124" t="s">
        <v>250</v>
      </c>
      <c r="G1189" s="124">
        <v>0.98983138632190681</v>
      </c>
      <c r="H1189" s="124" t="s">
        <v>250</v>
      </c>
      <c r="I1189" s="124">
        <v>0</v>
      </c>
      <c r="J1189" s="124">
        <v>1.0168613678093163E-2</v>
      </c>
      <c r="K1189" s="124" t="s">
        <v>250</v>
      </c>
      <c r="L1189" s="124" t="s">
        <v>250</v>
      </c>
      <c r="M1189" s="124">
        <v>0</v>
      </c>
      <c r="N1189" s="124" t="s">
        <v>250</v>
      </c>
      <c r="O1189" s="124">
        <v>1.0168613678093163E-2</v>
      </c>
      <c r="P1189" s="124">
        <v>1.0168613678093163E-2</v>
      </c>
      <c r="Q1189" s="124">
        <v>0</v>
      </c>
      <c r="R1189" s="124"/>
    </row>
    <row r="1190" spans="1:18" ht="15">
      <c r="A1190" s="105">
        <v>15</v>
      </c>
      <c r="B1190" s="105"/>
      <c r="C1190" s="107" t="s">
        <v>937</v>
      </c>
      <c r="D1190" s="107" t="s">
        <v>366</v>
      </c>
      <c r="E1190" s="124">
        <v>1</v>
      </c>
      <c r="F1190" s="124" t="s">
        <v>250</v>
      </c>
      <c r="G1190" s="124">
        <v>1</v>
      </c>
      <c r="H1190" s="124" t="s">
        <v>250</v>
      </c>
      <c r="I1190" s="124">
        <v>0</v>
      </c>
      <c r="J1190" s="124">
        <v>0</v>
      </c>
      <c r="K1190" s="124" t="s">
        <v>250</v>
      </c>
      <c r="L1190" s="124" t="s">
        <v>250</v>
      </c>
      <c r="M1190" s="124">
        <v>0</v>
      </c>
      <c r="N1190" s="124" t="s">
        <v>250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16</v>
      </c>
      <c r="B1191" s="105"/>
      <c r="C1191" s="107" t="s">
        <v>938</v>
      </c>
      <c r="D1191" s="107" t="s">
        <v>368</v>
      </c>
      <c r="E1191" s="124">
        <v>1</v>
      </c>
      <c r="F1191" s="124" t="s">
        <v>250</v>
      </c>
      <c r="G1191" s="124">
        <v>1</v>
      </c>
      <c r="H1191" s="124" t="s">
        <v>250</v>
      </c>
      <c r="I1191" s="124">
        <v>0</v>
      </c>
      <c r="J1191" s="124">
        <v>0</v>
      </c>
      <c r="K1191" s="124" t="s">
        <v>250</v>
      </c>
      <c r="L1191" s="124" t="s">
        <v>250</v>
      </c>
      <c r="M1191" s="124">
        <v>0</v>
      </c>
      <c r="N1191" s="124" t="s">
        <v>250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17</v>
      </c>
      <c r="B1192" s="105"/>
      <c r="C1192" s="107" t="s">
        <v>939</v>
      </c>
      <c r="D1192" s="107" t="s">
        <v>370</v>
      </c>
      <c r="E1192" s="124">
        <v>1</v>
      </c>
      <c r="F1192" s="124" t="s">
        <v>250</v>
      </c>
      <c r="G1192" s="124">
        <v>1</v>
      </c>
      <c r="H1192" s="124" t="s">
        <v>250</v>
      </c>
      <c r="I1192" s="124">
        <v>0</v>
      </c>
      <c r="J1192" s="124">
        <v>0</v>
      </c>
      <c r="K1192" s="124" t="s">
        <v>250</v>
      </c>
      <c r="L1192" s="124" t="s">
        <v>250</v>
      </c>
      <c r="M1192" s="124">
        <v>0</v>
      </c>
      <c r="N1192" s="124" t="s">
        <v>250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18</v>
      </c>
      <c r="B1193" s="105"/>
      <c r="C1193" s="107" t="s">
        <v>940</v>
      </c>
      <c r="D1193" s="107" t="s">
        <v>372</v>
      </c>
      <c r="E1193" s="124">
        <v>1</v>
      </c>
      <c r="F1193" s="124" t="s">
        <v>250</v>
      </c>
      <c r="G1193" s="124">
        <v>1</v>
      </c>
      <c r="H1193" s="124" t="s">
        <v>250</v>
      </c>
      <c r="I1193" s="124">
        <v>0</v>
      </c>
      <c r="J1193" s="124">
        <v>0</v>
      </c>
      <c r="K1193" s="124" t="s">
        <v>250</v>
      </c>
      <c r="L1193" s="124" t="s">
        <v>250</v>
      </c>
      <c r="M1193" s="124">
        <v>0</v>
      </c>
      <c r="N1193" s="124" t="s">
        <v>250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19</v>
      </c>
      <c r="B1194" s="105"/>
      <c r="C1194" s="107" t="s">
        <v>941</v>
      </c>
      <c r="D1194" s="107" t="s">
        <v>377</v>
      </c>
      <c r="E1194" s="124">
        <v>1</v>
      </c>
      <c r="F1194" s="124" t="s">
        <v>250</v>
      </c>
      <c r="G1194" s="124">
        <v>1</v>
      </c>
      <c r="H1194" s="124" t="s">
        <v>250</v>
      </c>
      <c r="I1194" s="124">
        <v>0</v>
      </c>
      <c r="J1194" s="124">
        <v>0</v>
      </c>
      <c r="K1194" s="124" t="s">
        <v>250</v>
      </c>
      <c r="L1194" s="124" t="s">
        <v>250</v>
      </c>
      <c r="M1194" s="124">
        <v>0</v>
      </c>
      <c r="N1194" s="124" t="s">
        <v>250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20</v>
      </c>
      <c r="B1195" s="105"/>
      <c r="C1195" s="107" t="s">
        <v>942</v>
      </c>
      <c r="D1195" s="107" t="s">
        <v>388</v>
      </c>
      <c r="E1195" s="124">
        <v>1</v>
      </c>
      <c r="F1195" s="124" t="s">
        <v>250</v>
      </c>
      <c r="G1195" s="124">
        <v>1</v>
      </c>
      <c r="H1195" s="124" t="s">
        <v>250</v>
      </c>
      <c r="I1195" s="124">
        <v>0</v>
      </c>
      <c r="J1195" s="124">
        <v>0</v>
      </c>
      <c r="K1195" s="124" t="s">
        <v>250</v>
      </c>
      <c r="L1195" s="124" t="s">
        <v>250</v>
      </c>
      <c r="M1195" s="124">
        <v>0</v>
      </c>
      <c r="N1195" s="124" t="s">
        <v>250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21</v>
      </c>
      <c r="B1196" s="105"/>
      <c r="C1196" s="107" t="s">
        <v>943</v>
      </c>
      <c r="D1196" s="107" t="s">
        <v>391</v>
      </c>
      <c r="E1196" s="124">
        <v>1</v>
      </c>
      <c r="F1196" s="124" t="s">
        <v>250</v>
      </c>
      <c r="G1196" s="124">
        <v>0</v>
      </c>
      <c r="H1196" s="124" t="s">
        <v>250</v>
      </c>
      <c r="I1196" s="124">
        <v>1</v>
      </c>
      <c r="J1196" s="124">
        <v>0</v>
      </c>
      <c r="K1196" s="124" t="s">
        <v>250</v>
      </c>
      <c r="L1196" s="124" t="s">
        <v>250</v>
      </c>
      <c r="M1196" s="124">
        <v>0</v>
      </c>
      <c r="N1196" s="124" t="s">
        <v>250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22</v>
      </c>
      <c r="B1197" s="105"/>
      <c r="C1197" s="107" t="s">
        <v>944</v>
      </c>
      <c r="D1197" s="107" t="s">
        <v>392</v>
      </c>
      <c r="E1197" s="124">
        <v>1</v>
      </c>
      <c r="F1197" s="124" t="s">
        <v>250</v>
      </c>
      <c r="G1197" s="124">
        <v>0</v>
      </c>
      <c r="H1197" s="124" t="s">
        <v>250</v>
      </c>
      <c r="I1197" s="124">
        <v>1</v>
      </c>
      <c r="J1197" s="124">
        <v>0</v>
      </c>
      <c r="K1197" s="124" t="s">
        <v>250</v>
      </c>
      <c r="L1197" s="124" t="s">
        <v>250</v>
      </c>
      <c r="M1197" s="124">
        <v>0</v>
      </c>
      <c r="N1197" s="124" t="s">
        <v>250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23</v>
      </c>
      <c r="B1198" s="105"/>
      <c r="C1198" s="107" t="s">
        <v>945</v>
      </c>
      <c r="D1198" s="107" t="s">
        <v>393</v>
      </c>
      <c r="E1198" s="124">
        <v>1</v>
      </c>
      <c r="F1198" s="124" t="s">
        <v>250</v>
      </c>
      <c r="G1198" s="124">
        <v>0</v>
      </c>
      <c r="H1198" s="124" t="s">
        <v>250</v>
      </c>
      <c r="I1198" s="124">
        <v>1</v>
      </c>
      <c r="J1198" s="124">
        <v>0</v>
      </c>
      <c r="K1198" s="124" t="s">
        <v>250</v>
      </c>
      <c r="L1198" s="124" t="s">
        <v>250</v>
      </c>
      <c r="M1198" s="124">
        <v>0</v>
      </c>
      <c r="N1198" s="124" t="s">
        <v>250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24</v>
      </c>
      <c r="B1199" s="105"/>
      <c r="C1199" s="107" t="s">
        <v>2238</v>
      </c>
      <c r="D1199" s="107" t="s">
        <v>2216</v>
      </c>
      <c r="E1199" s="124">
        <v>1</v>
      </c>
      <c r="F1199" s="124" t="s">
        <v>250</v>
      </c>
      <c r="G1199" s="124">
        <v>0.61605786547017749</v>
      </c>
      <c r="H1199" s="124" t="s">
        <v>250</v>
      </c>
      <c r="I1199" s="124">
        <v>0.38394213452982262</v>
      </c>
      <c r="J1199" s="124">
        <v>0</v>
      </c>
      <c r="K1199" s="124" t="s">
        <v>250</v>
      </c>
      <c r="L1199" s="124" t="s">
        <v>250</v>
      </c>
      <c r="M1199" s="124">
        <v>0</v>
      </c>
      <c r="N1199" s="124" t="s">
        <v>250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25</v>
      </c>
      <c r="B1200" s="105"/>
      <c r="C1200" s="107" t="s">
        <v>946</v>
      </c>
      <c r="D1200" s="107" t="s">
        <v>394</v>
      </c>
      <c r="E1200" s="124">
        <v>1</v>
      </c>
      <c r="F1200" s="124" t="s">
        <v>250</v>
      </c>
      <c r="G1200" s="124">
        <v>0</v>
      </c>
      <c r="H1200" s="124" t="s">
        <v>250</v>
      </c>
      <c r="I1200" s="124">
        <v>1</v>
      </c>
      <c r="J1200" s="124">
        <v>0</v>
      </c>
      <c r="K1200" s="124" t="s">
        <v>250</v>
      </c>
      <c r="L1200" s="124" t="s">
        <v>250</v>
      </c>
      <c r="M1200" s="124">
        <v>0</v>
      </c>
      <c r="N1200" s="124" t="s">
        <v>250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26</v>
      </c>
      <c r="B1201" s="105"/>
      <c r="C1201" s="107" t="s">
        <v>947</v>
      </c>
      <c r="D1201" s="107" t="s">
        <v>395</v>
      </c>
      <c r="E1201" s="124">
        <v>1</v>
      </c>
      <c r="F1201" s="124" t="s">
        <v>250</v>
      </c>
      <c r="G1201" s="124">
        <v>0</v>
      </c>
      <c r="H1201" s="124" t="s">
        <v>250</v>
      </c>
      <c r="I1201" s="124">
        <v>1</v>
      </c>
      <c r="J1201" s="124">
        <v>0</v>
      </c>
      <c r="K1201" s="124" t="s">
        <v>250</v>
      </c>
      <c r="L1201" s="124" t="s">
        <v>250</v>
      </c>
      <c r="M1201" s="124">
        <v>0</v>
      </c>
      <c r="N1201" s="124" t="s">
        <v>250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27</v>
      </c>
      <c r="B1202" s="105"/>
      <c r="C1202" s="107" t="s">
        <v>948</v>
      </c>
      <c r="D1202" s="107" t="s">
        <v>396</v>
      </c>
      <c r="E1202" s="124">
        <v>1</v>
      </c>
      <c r="F1202" s="124" t="s">
        <v>250</v>
      </c>
      <c r="G1202" s="124">
        <v>0</v>
      </c>
      <c r="H1202" s="124" t="s">
        <v>250</v>
      </c>
      <c r="I1202" s="124">
        <v>1</v>
      </c>
      <c r="J1202" s="124">
        <v>0</v>
      </c>
      <c r="K1202" s="124" t="s">
        <v>250</v>
      </c>
      <c r="L1202" s="124" t="s">
        <v>250</v>
      </c>
      <c r="M1202" s="124">
        <v>0</v>
      </c>
      <c r="N1202" s="124" t="s">
        <v>250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28</v>
      </c>
      <c r="B1203" s="105"/>
      <c r="C1203" s="107" t="s">
        <v>949</v>
      </c>
      <c r="D1203" s="107" t="s">
        <v>398</v>
      </c>
      <c r="E1203" s="124">
        <v>1</v>
      </c>
      <c r="F1203" s="124" t="s">
        <v>250</v>
      </c>
      <c r="G1203" s="124">
        <v>0</v>
      </c>
      <c r="H1203" s="124" t="s">
        <v>250</v>
      </c>
      <c r="I1203" s="124">
        <v>1</v>
      </c>
      <c r="J1203" s="124">
        <v>0</v>
      </c>
      <c r="K1203" s="124" t="s">
        <v>250</v>
      </c>
      <c r="L1203" s="124" t="s">
        <v>250</v>
      </c>
      <c r="M1203" s="124">
        <v>0</v>
      </c>
      <c r="N1203" s="124" t="s">
        <v>250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29</v>
      </c>
      <c r="B1204" s="105"/>
      <c r="C1204" s="107" t="s">
        <v>950</v>
      </c>
      <c r="D1204" s="107" t="s">
        <v>405</v>
      </c>
      <c r="E1204" s="124">
        <v>1</v>
      </c>
      <c r="F1204" s="124" t="s">
        <v>250</v>
      </c>
      <c r="G1204" s="124">
        <v>1</v>
      </c>
      <c r="H1204" s="124" t="s">
        <v>250</v>
      </c>
      <c r="I1204" s="124">
        <v>0</v>
      </c>
      <c r="J1204" s="124">
        <v>0</v>
      </c>
      <c r="K1204" s="124" t="s">
        <v>250</v>
      </c>
      <c r="L1204" s="124" t="s">
        <v>250</v>
      </c>
      <c r="M1204" s="124">
        <v>0</v>
      </c>
      <c r="N1204" s="124" t="s">
        <v>250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30</v>
      </c>
      <c r="B1205" s="105"/>
      <c r="C1205" s="107" t="s">
        <v>951</v>
      </c>
      <c r="D1205" s="107" t="s">
        <v>406</v>
      </c>
      <c r="E1205" s="124">
        <v>1</v>
      </c>
      <c r="F1205" s="124" t="s">
        <v>250</v>
      </c>
      <c r="G1205" s="124">
        <v>1</v>
      </c>
      <c r="H1205" s="124" t="s">
        <v>250</v>
      </c>
      <c r="I1205" s="124">
        <v>0</v>
      </c>
      <c r="J1205" s="124">
        <v>0</v>
      </c>
      <c r="K1205" s="124" t="s">
        <v>250</v>
      </c>
      <c r="L1205" s="124" t="s">
        <v>250</v>
      </c>
      <c r="M1205" s="124">
        <v>0</v>
      </c>
      <c r="N1205" s="124" t="s">
        <v>250</v>
      </c>
      <c r="O1205" s="124">
        <v>0</v>
      </c>
      <c r="P1205" s="124">
        <v>0</v>
      </c>
      <c r="Q1205" s="124">
        <v>0</v>
      </c>
      <c r="R1205" s="124"/>
    </row>
    <row r="1206" spans="1:18" ht="15">
      <c r="A1206" s="105">
        <v>31</v>
      </c>
      <c r="B1206" s="105"/>
      <c r="C1206" s="107" t="s">
        <v>952</v>
      </c>
      <c r="D1206" s="107" t="s">
        <v>407</v>
      </c>
      <c r="E1206" s="124">
        <v>1</v>
      </c>
      <c r="F1206" s="124" t="s">
        <v>250</v>
      </c>
      <c r="G1206" s="124">
        <v>1</v>
      </c>
      <c r="H1206" s="124" t="s">
        <v>250</v>
      </c>
      <c r="I1206" s="124">
        <v>0</v>
      </c>
      <c r="J1206" s="124">
        <v>0</v>
      </c>
      <c r="K1206" s="124" t="s">
        <v>250</v>
      </c>
      <c r="L1206" s="124" t="s">
        <v>250</v>
      </c>
      <c r="M1206" s="124">
        <v>0</v>
      </c>
      <c r="N1206" s="124" t="s">
        <v>250</v>
      </c>
      <c r="O1206" s="124">
        <v>0</v>
      </c>
      <c r="P1206" s="124">
        <v>0</v>
      </c>
      <c r="Q1206" s="124">
        <v>0</v>
      </c>
      <c r="R1206" s="124"/>
    </row>
    <row r="1207" spans="1:18" ht="15">
      <c r="A1207" s="105">
        <v>32</v>
      </c>
      <c r="B1207" s="105"/>
      <c r="C1207" s="107" t="s">
        <v>953</v>
      </c>
      <c r="D1207" s="107" t="s">
        <v>408</v>
      </c>
      <c r="E1207" s="124">
        <v>1</v>
      </c>
      <c r="F1207" s="124" t="s">
        <v>250</v>
      </c>
      <c r="G1207" s="124">
        <v>1</v>
      </c>
      <c r="H1207" s="124" t="s">
        <v>250</v>
      </c>
      <c r="I1207" s="124">
        <v>0</v>
      </c>
      <c r="J1207" s="124">
        <v>0</v>
      </c>
      <c r="K1207" s="124" t="s">
        <v>250</v>
      </c>
      <c r="L1207" s="124" t="s">
        <v>250</v>
      </c>
      <c r="M1207" s="124">
        <v>0</v>
      </c>
      <c r="N1207" s="124" t="s">
        <v>250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33</v>
      </c>
      <c r="B1208" s="105"/>
      <c r="C1208" s="107" t="s">
        <v>954</v>
      </c>
      <c r="D1208" s="107" t="s">
        <v>409</v>
      </c>
      <c r="E1208" s="124">
        <v>1</v>
      </c>
      <c r="F1208" s="124" t="s">
        <v>250</v>
      </c>
      <c r="G1208" s="124">
        <v>1</v>
      </c>
      <c r="H1208" s="124" t="s">
        <v>250</v>
      </c>
      <c r="I1208" s="124">
        <v>0</v>
      </c>
      <c r="J1208" s="124">
        <v>0</v>
      </c>
      <c r="K1208" s="124" t="s">
        <v>250</v>
      </c>
      <c r="L1208" s="124" t="s">
        <v>250</v>
      </c>
      <c r="M1208" s="124">
        <v>0</v>
      </c>
      <c r="N1208" s="124" t="s">
        <v>250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34</v>
      </c>
      <c r="B1209" s="105"/>
      <c r="C1209" s="107" t="s">
        <v>955</v>
      </c>
      <c r="D1209" s="107" t="s">
        <v>410</v>
      </c>
      <c r="E1209" s="124">
        <v>0</v>
      </c>
      <c r="F1209" s="124" t="s">
        <v>250</v>
      </c>
      <c r="G1209" s="124">
        <v>0</v>
      </c>
      <c r="H1209" s="124" t="s">
        <v>250</v>
      </c>
      <c r="I1209" s="124">
        <v>0</v>
      </c>
      <c r="J1209" s="124">
        <v>0</v>
      </c>
      <c r="K1209" s="124" t="s">
        <v>250</v>
      </c>
      <c r="L1209" s="124" t="s">
        <v>250</v>
      </c>
      <c r="M1209" s="124">
        <v>0</v>
      </c>
      <c r="N1209" s="124" t="s">
        <v>250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35</v>
      </c>
      <c r="B1210" s="105"/>
      <c r="C1210" s="107" t="s">
        <v>956</v>
      </c>
      <c r="D1210" s="107" t="s">
        <v>411</v>
      </c>
      <c r="E1210" s="124">
        <v>0</v>
      </c>
      <c r="F1210" s="124" t="s">
        <v>250</v>
      </c>
      <c r="G1210" s="124">
        <v>0</v>
      </c>
      <c r="H1210" s="124" t="s">
        <v>250</v>
      </c>
      <c r="I1210" s="124">
        <v>0</v>
      </c>
      <c r="J1210" s="124">
        <v>0</v>
      </c>
      <c r="K1210" s="124" t="s">
        <v>250</v>
      </c>
      <c r="L1210" s="124" t="s">
        <v>250</v>
      </c>
      <c r="M1210" s="124">
        <v>0</v>
      </c>
      <c r="N1210" s="124" t="s">
        <v>250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36</v>
      </c>
      <c r="B1211" s="105"/>
      <c r="C1211" s="107" t="s">
        <v>957</v>
      </c>
      <c r="D1211" s="107" t="s">
        <v>412</v>
      </c>
      <c r="E1211" s="124">
        <v>0</v>
      </c>
      <c r="F1211" s="124" t="s">
        <v>250</v>
      </c>
      <c r="G1211" s="124">
        <v>0</v>
      </c>
      <c r="H1211" s="124" t="s">
        <v>250</v>
      </c>
      <c r="I1211" s="124">
        <v>0</v>
      </c>
      <c r="J1211" s="124">
        <v>0</v>
      </c>
      <c r="K1211" s="124" t="s">
        <v>250</v>
      </c>
      <c r="L1211" s="124" t="s">
        <v>250</v>
      </c>
      <c r="M1211" s="124">
        <v>0</v>
      </c>
      <c r="N1211" s="124" t="s">
        <v>250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37</v>
      </c>
      <c r="B1212" s="105"/>
      <c r="C1212" s="107" t="s">
        <v>958</v>
      </c>
      <c r="D1212" s="107" t="s">
        <v>413</v>
      </c>
      <c r="E1212" s="124">
        <v>0</v>
      </c>
      <c r="F1212" s="124" t="s">
        <v>250</v>
      </c>
      <c r="G1212" s="124">
        <v>0</v>
      </c>
      <c r="H1212" s="124" t="s">
        <v>250</v>
      </c>
      <c r="I1212" s="124">
        <v>0</v>
      </c>
      <c r="J1212" s="124">
        <v>0</v>
      </c>
      <c r="K1212" s="124" t="s">
        <v>250</v>
      </c>
      <c r="L1212" s="124" t="s">
        <v>250</v>
      </c>
      <c r="M1212" s="124">
        <v>0</v>
      </c>
      <c r="N1212" s="124" t="s">
        <v>250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38</v>
      </c>
      <c r="B1213" s="105"/>
      <c r="C1213" s="107" t="s">
        <v>1138</v>
      </c>
      <c r="D1213" s="107" t="s">
        <v>463</v>
      </c>
      <c r="E1213" s="124">
        <v>1</v>
      </c>
      <c r="F1213" s="124" t="s">
        <v>250</v>
      </c>
      <c r="G1213" s="124">
        <v>4.4484477326029554E-4</v>
      </c>
      <c r="H1213" s="124" t="s">
        <v>250</v>
      </c>
      <c r="I1213" s="124">
        <v>0.99955515522673966</v>
      </c>
      <c r="J1213" s="124">
        <v>0</v>
      </c>
      <c r="K1213" s="124" t="s">
        <v>250</v>
      </c>
      <c r="L1213" s="124" t="s">
        <v>250</v>
      </c>
      <c r="M1213" s="124">
        <v>0</v>
      </c>
      <c r="N1213" s="124" t="s">
        <v>250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>
        <v>39</v>
      </c>
      <c r="B1214" s="105"/>
      <c r="C1214" s="107" t="s">
        <v>1139</v>
      </c>
      <c r="D1214" s="107" t="s">
        <v>486</v>
      </c>
      <c r="E1214" s="124">
        <v>1</v>
      </c>
      <c r="F1214" s="124" t="s">
        <v>250</v>
      </c>
      <c r="G1214" s="124">
        <v>0</v>
      </c>
      <c r="H1214" s="124" t="s">
        <v>250</v>
      </c>
      <c r="I1214" s="124">
        <v>1</v>
      </c>
      <c r="J1214" s="124">
        <v>0</v>
      </c>
      <c r="K1214" s="124" t="s">
        <v>250</v>
      </c>
      <c r="L1214" s="124" t="s">
        <v>250</v>
      </c>
      <c r="M1214" s="124">
        <v>0</v>
      </c>
      <c r="N1214" s="124" t="s">
        <v>250</v>
      </c>
      <c r="O1214" s="124">
        <v>0</v>
      </c>
      <c r="P1214" s="124">
        <v>0</v>
      </c>
      <c r="Q1214" s="124">
        <v>0</v>
      </c>
      <c r="R1214" s="124"/>
    </row>
    <row r="1215" spans="1:18" ht="15">
      <c r="A1215" s="105">
        <v>40</v>
      </c>
      <c r="B1215" s="105"/>
      <c r="C1215" s="107" t="s">
        <v>1140</v>
      </c>
      <c r="D1215" s="107" t="s">
        <v>522</v>
      </c>
      <c r="E1215" s="124">
        <v>1</v>
      </c>
      <c r="F1215" s="124" t="s">
        <v>250</v>
      </c>
      <c r="G1215" s="124">
        <v>0</v>
      </c>
      <c r="H1215" s="124" t="s">
        <v>250</v>
      </c>
      <c r="I1215" s="124">
        <v>1</v>
      </c>
      <c r="J1215" s="124">
        <v>0</v>
      </c>
      <c r="K1215" s="124" t="s">
        <v>250</v>
      </c>
      <c r="L1215" s="124" t="s">
        <v>250</v>
      </c>
      <c r="M1215" s="124">
        <v>0</v>
      </c>
      <c r="N1215" s="124" t="s">
        <v>250</v>
      </c>
      <c r="O1215" s="124">
        <v>0</v>
      </c>
      <c r="P1215" s="124">
        <v>0</v>
      </c>
      <c r="Q1215" s="124">
        <v>0</v>
      </c>
      <c r="R1215" s="124"/>
    </row>
    <row r="1216" spans="1:18" ht="15">
      <c r="A1216" s="105">
        <v>41</v>
      </c>
      <c r="B1216" s="105"/>
      <c r="C1216" s="107" t="s">
        <v>1141</v>
      </c>
      <c r="D1216" s="107" t="s">
        <v>531</v>
      </c>
      <c r="E1216" s="124">
        <v>0</v>
      </c>
      <c r="F1216" s="124" t="s">
        <v>250</v>
      </c>
      <c r="G1216" s="124">
        <v>0</v>
      </c>
      <c r="H1216" s="124" t="s">
        <v>250</v>
      </c>
      <c r="I1216" s="124">
        <v>0</v>
      </c>
      <c r="J1216" s="124">
        <v>0</v>
      </c>
      <c r="K1216" s="124" t="s">
        <v>250</v>
      </c>
      <c r="L1216" s="124" t="s">
        <v>250</v>
      </c>
      <c r="M1216" s="124">
        <v>0</v>
      </c>
      <c r="N1216" s="124" t="s">
        <v>250</v>
      </c>
      <c r="O1216" s="124">
        <v>0</v>
      </c>
      <c r="P1216" s="124">
        <v>0</v>
      </c>
      <c r="Q1216" s="124">
        <v>0</v>
      </c>
      <c r="R1216" s="124"/>
    </row>
    <row r="1217" spans="1:18" ht="15">
      <c r="A1217" s="105">
        <v>42</v>
      </c>
      <c r="B1217" s="105"/>
      <c r="C1217" s="107" t="s">
        <v>961</v>
      </c>
      <c r="D1217" s="107" t="s">
        <v>568</v>
      </c>
      <c r="E1217" s="124">
        <v>1</v>
      </c>
      <c r="F1217" s="124" t="s">
        <v>250</v>
      </c>
      <c r="G1217" s="124">
        <v>0.74419863127164632</v>
      </c>
      <c r="H1217" s="124" t="s">
        <v>250</v>
      </c>
      <c r="I1217" s="124">
        <v>0.19958554722693525</v>
      </c>
      <c r="J1217" s="124">
        <v>5.6215821501418489E-2</v>
      </c>
      <c r="K1217" s="124" t="s">
        <v>250</v>
      </c>
      <c r="L1217" s="124" t="s">
        <v>250</v>
      </c>
      <c r="M1217" s="124">
        <v>0</v>
      </c>
      <c r="N1217" s="124" t="s">
        <v>250</v>
      </c>
      <c r="O1217" s="124">
        <v>5.6215821501418489E-2</v>
      </c>
      <c r="P1217" s="124">
        <v>5.6215821501418489E-2</v>
      </c>
      <c r="Q1217" s="124">
        <v>0</v>
      </c>
      <c r="R1217" s="124"/>
    </row>
    <row r="1218" spans="1:18" ht="15">
      <c r="A1218" s="105">
        <v>43</v>
      </c>
      <c r="B1218" s="105"/>
      <c r="C1218" s="107" t="s">
        <v>962</v>
      </c>
      <c r="D1218" s="107" t="s">
        <v>578</v>
      </c>
      <c r="E1218" s="124">
        <v>1</v>
      </c>
      <c r="F1218" s="124" t="s">
        <v>250</v>
      </c>
      <c r="G1218" s="124">
        <v>0.96402912891165005</v>
      </c>
      <c r="H1218" s="124" t="s">
        <v>250</v>
      </c>
      <c r="I1218" s="124">
        <v>3.5970871088349933E-2</v>
      </c>
      <c r="J1218" s="124">
        <v>0</v>
      </c>
      <c r="K1218" s="124" t="s">
        <v>250</v>
      </c>
      <c r="L1218" s="124" t="s">
        <v>250</v>
      </c>
      <c r="M1218" s="124">
        <v>0</v>
      </c>
      <c r="N1218" s="124" t="s">
        <v>250</v>
      </c>
      <c r="O1218" s="124">
        <v>0</v>
      </c>
      <c r="P1218" s="124">
        <v>0</v>
      </c>
      <c r="Q1218" s="124">
        <v>0</v>
      </c>
      <c r="R1218" s="124"/>
    </row>
    <row r="1219" spans="1:18" ht="15">
      <c r="A1219" s="105">
        <v>44</v>
      </c>
      <c r="B1219" s="105"/>
      <c r="C1219" s="107" t="s">
        <v>963</v>
      </c>
      <c r="D1219" s="107" t="s">
        <v>576</v>
      </c>
      <c r="E1219" s="124">
        <v>1</v>
      </c>
      <c r="F1219" s="124" t="s">
        <v>250</v>
      </c>
      <c r="G1219" s="124">
        <v>1</v>
      </c>
      <c r="H1219" s="124" t="s">
        <v>250</v>
      </c>
      <c r="I1219" s="124">
        <v>0</v>
      </c>
      <c r="J1219" s="124">
        <v>0</v>
      </c>
      <c r="K1219" s="124" t="s">
        <v>250</v>
      </c>
      <c r="L1219" s="124" t="s">
        <v>250</v>
      </c>
      <c r="M1219" s="124">
        <v>0</v>
      </c>
      <c r="N1219" s="124" t="s">
        <v>250</v>
      </c>
      <c r="O1219" s="124">
        <v>0</v>
      </c>
      <c r="P1219" s="124">
        <v>0</v>
      </c>
      <c r="Q1219" s="124">
        <v>0</v>
      </c>
      <c r="R1219" s="124"/>
    </row>
    <row r="1220" spans="1:18" ht="15">
      <c r="A1220" s="105">
        <v>45</v>
      </c>
      <c r="B1220" s="105"/>
      <c r="C1220" s="107" t="s">
        <v>1142</v>
      </c>
      <c r="D1220" s="107" t="s">
        <v>564</v>
      </c>
      <c r="E1220" s="124">
        <v>1</v>
      </c>
      <c r="F1220" s="124" t="s">
        <v>250</v>
      </c>
      <c r="G1220" s="124">
        <v>0.96747501965951299</v>
      </c>
      <c r="H1220" s="124" t="s">
        <v>250</v>
      </c>
      <c r="I1220" s="124">
        <v>3.2524980340487002E-2</v>
      </c>
      <c r="J1220" s="124">
        <v>0</v>
      </c>
      <c r="K1220" s="124" t="s">
        <v>250</v>
      </c>
      <c r="L1220" s="124" t="s">
        <v>250</v>
      </c>
      <c r="M1220" s="124">
        <v>0</v>
      </c>
      <c r="N1220" s="124" t="s">
        <v>250</v>
      </c>
      <c r="O1220" s="124">
        <v>0</v>
      </c>
      <c r="P1220" s="124">
        <v>0</v>
      </c>
      <c r="Q1220" s="124">
        <v>0</v>
      </c>
      <c r="R1220" s="124"/>
    </row>
    <row r="1221" spans="1:18" ht="15">
      <c r="A1221" s="105">
        <v>46</v>
      </c>
      <c r="B1221" s="105"/>
      <c r="C1221" s="107" t="s">
        <v>1143</v>
      </c>
      <c r="D1221" s="107" t="s">
        <v>566</v>
      </c>
      <c r="E1221" s="124">
        <v>1</v>
      </c>
      <c r="F1221" s="124" t="s">
        <v>250</v>
      </c>
      <c r="G1221" s="124">
        <v>0.99893706703418639</v>
      </c>
      <c r="H1221" s="124" t="s">
        <v>250</v>
      </c>
      <c r="I1221" s="124">
        <v>1.0629329658136324E-3</v>
      </c>
      <c r="J1221" s="124">
        <v>0</v>
      </c>
      <c r="K1221" s="124" t="s">
        <v>250</v>
      </c>
      <c r="L1221" s="124" t="s">
        <v>250</v>
      </c>
      <c r="M1221" s="124">
        <v>0</v>
      </c>
      <c r="N1221" s="124" t="s">
        <v>250</v>
      </c>
      <c r="O1221" s="124">
        <v>0</v>
      </c>
      <c r="P1221" s="124">
        <v>0</v>
      </c>
      <c r="Q1221" s="124">
        <v>0</v>
      </c>
      <c r="R1221" s="124"/>
    </row>
    <row r="1222" spans="1:18" ht="15">
      <c r="A1222" s="105">
        <v>47</v>
      </c>
      <c r="B1222" s="105"/>
      <c r="C1222" s="107" t="s">
        <v>1144</v>
      </c>
      <c r="D1222" s="107" t="s">
        <v>574</v>
      </c>
      <c r="E1222" s="124">
        <v>1</v>
      </c>
      <c r="F1222" s="124" t="s">
        <v>250</v>
      </c>
      <c r="G1222" s="124">
        <v>0.88571511509768064</v>
      </c>
      <c r="H1222" s="124" t="s">
        <v>250</v>
      </c>
      <c r="I1222" s="124">
        <v>0.11428488490231935</v>
      </c>
      <c r="J1222" s="124">
        <v>0</v>
      </c>
      <c r="K1222" s="124" t="s">
        <v>250</v>
      </c>
      <c r="L1222" s="124" t="s">
        <v>250</v>
      </c>
      <c r="M1222" s="124">
        <v>0</v>
      </c>
      <c r="N1222" s="124" t="s">
        <v>250</v>
      </c>
      <c r="O1222" s="124">
        <v>0</v>
      </c>
      <c r="P1222" s="124">
        <v>0</v>
      </c>
      <c r="Q1222" s="124">
        <v>0</v>
      </c>
      <c r="R1222" s="124"/>
    </row>
    <row r="1223" spans="1:18" ht="15">
      <c r="A1223" s="105">
        <v>48</v>
      </c>
      <c r="B1223" s="105"/>
      <c r="C1223" s="107" t="s">
        <v>967</v>
      </c>
      <c r="D1223" s="107" t="s">
        <v>968</v>
      </c>
      <c r="E1223" s="124">
        <v>1</v>
      </c>
      <c r="F1223" s="124" t="s">
        <v>250</v>
      </c>
      <c r="G1223" s="124">
        <v>0</v>
      </c>
      <c r="H1223" s="124" t="s">
        <v>250</v>
      </c>
      <c r="I1223" s="124">
        <v>1</v>
      </c>
      <c r="J1223" s="124">
        <v>0</v>
      </c>
      <c r="K1223" s="124" t="s">
        <v>250</v>
      </c>
      <c r="L1223" s="124" t="s">
        <v>250</v>
      </c>
      <c r="M1223" s="124">
        <v>0</v>
      </c>
      <c r="N1223" s="124" t="s">
        <v>250</v>
      </c>
      <c r="O1223" s="124">
        <v>0</v>
      </c>
      <c r="P1223" s="124">
        <v>0</v>
      </c>
      <c r="Q1223" s="124">
        <v>0</v>
      </c>
      <c r="R1223" s="124"/>
    </row>
    <row r="1224" spans="1:18" ht="15">
      <c r="A1224" s="105">
        <v>49</v>
      </c>
      <c r="B1224" s="105"/>
      <c r="C1224" s="107" t="s">
        <v>969</v>
      </c>
      <c r="D1224" s="107" t="s">
        <v>770</v>
      </c>
      <c r="E1224" s="124">
        <v>0</v>
      </c>
      <c r="F1224" s="124" t="s">
        <v>250</v>
      </c>
      <c r="G1224" s="124">
        <v>0</v>
      </c>
      <c r="H1224" s="124" t="s">
        <v>250</v>
      </c>
      <c r="I1224" s="124">
        <v>0</v>
      </c>
      <c r="J1224" s="124">
        <v>0</v>
      </c>
      <c r="K1224" s="124" t="s">
        <v>250</v>
      </c>
      <c r="L1224" s="124" t="s">
        <v>250</v>
      </c>
      <c r="M1224" s="124">
        <v>0</v>
      </c>
      <c r="N1224" s="124" t="s">
        <v>250</v>
      </c>
      <c r="O1224" s="124">
        <v>0</v>
      </c>
      <c r="P1224" s="124">
        <v>0</v>
      </c>
      <c r="Q1224" s="124">
        <v>0</v>
      </c>
      <c r="R1224" s="124"/>
    </row>
    <row r="1225" spans="1:18" ht="15">
      <c r="A1225" s="105">
        <v>50</v>
      </c>
      <c r="B1225" s="105"/>
      <c r="C1225" s="107" t="s">
        <v>970</v>
      </c>
      <c r="D1225" s="107" t="s">
        <v>540</v>
      </c>
      <c r="E1225" s="124">
        <v>1</v>
      </c>
      <c r="F1225" s="124" t="s">
        <v>250</v>
      </c>
      <c r="G1225" s="124">
        <v>0</v>
      </c>
      <c r="H1225" s="124" t="s">
        <v>250</v>
      </c>
      <c r="I1225" s="124">
        <v>1</v>
      </c>
      <c r="J1225" s="124">
        <v>0</v>
      </c>
      <c r="K1225" s="124" t="s">
        <v>250</v>
      </c>
      <c r="L1225" s="124" t="s">
        <v>250</v>
      </c>
      <c r="M1225" s="124">
        <v>0</v>
      </c>
      <c r="N1225" s="124" t="s">
        <v>250</v>
      </c>
      <c r="O1225" s="124">
        <v>0</v>
      </c>
      <c r="P1225" s="124">
        <v>0</v>
      </c>
      <c r="Q1225" s="124">
        <v>0</v>
      </c>
      <c r="R1225" s="124"/>
    </row>
    <row r="1226" spans="1:18" ht="15">
      <c r="A1226" s="105">
        <v>51</v>
      </c>
      <c r="B1226" s="105"/>
      <c r="C1226" s="107" t="s">
        <v>3708</v>
      </c>
      <c r="D1226" s="107" t="s">
        <v>3707</v>
      </c>
      <c r="E1226" s="124">
        <v>1</v>
      </c>
      <c r="F1226" s="124" t="s">
        <v>250</v>
      </c>
      <c r="G1226" s="124">
        <v>0.94112587712414852</v>
      </c>
      <c r="H1226" s="124" t="s">
        <v>250</v>
      </c>
      <c r="I1226" s="124">
        <v>5.0210881619337983E-2</v>
      </c>
      <c r="J1226" s="124">
        <v>8.6632412565135018E-3</v>
      </c>
      <c r="K1226" s="124" t="s">
        <v>250</v>
      </c>
      <c r="L1226" s="124" t="s">
        <v>250</v>
      </c>
      <c r="M1226" s="124">
        <v>0</v>
      </c>
      <c r="N1226" s="124" t="s">
        <v>250</v>
      </c>
      <c r="O1226" s="124">
        <v>8.6632412565135018E-3</v>
      </c>
      <c r="P1226" s="124">
        <v>8.6632412565135018E-3</v>
      </c>
      <c r="Q1226" s="124">
        <v>0</v>
      </c>
      <c r="R1226" s="124"/>
    </row>
    <row r="1227" spans="1:18" ht="15">
      <c r="A1227" s="105">
        <v>52</v>
      </c>
      <c r="B1227" s="105"/>
      <c r="C1227" s="107" t="s">
        <v>3729</v>
      </c>
      <c r="D1227" s="107" t="s">
        <v>3730</v>
      </c>
      <c r="E1227" s="124">
        <v>1</v>
      </c>
      <c r="F1227" s="124" t="s">
        <v>250</v>
      </c>
      <c r="G1227" s="124">
        <v>0.93826972651343843</v>
      </c>
      <c r="H1227" s="124" t="s">
        <v>250</v>
      </c>
      <c r="I1227" s="124">
        <v>5.0044807477150337E-2</v>
      </c>
      <c r="J1227" s="124">
        <v>1.1685466009411278E-2</v>
      </c>
      <c r="K1227" s="124" t="s">
        <v>250</v>
      </c>
      <c r="L1227" s="124" t="s">
        <v>250</v>
      </c>
      <c r="M1227" s="124">
        <v>0</v>
      </c>
      <c r="N1227" s="124" t="s">
        <v>250</v>
      </c>
      <c r="O1227" s="124">
        <v>1.1685466009411278E-2</v>
      </c>
      <c r="P1227" s="124">
        <v>1.1685466009411278E-2</v>
      </c>
      <c r="Q1227" s="124">
        <v>0</v>
      </c>
      <c r="R1227" s="124"/>
    </row>
    <row r="1228" spans="1:18" ht="15">
      <c r="A1228" s="105" t="s">
        <v>250</v>
      </c>
      <c r="B1228" s="105"/>
      <c r="C1228" s="107" t="s">
        <v>250</v>
      </c>
      <c r="D1228" s="107" t="s">
        <v>250</v>
      </c>
      <c r="E1228" s="124" t="s">
        <v>250</v>
      </c>
      <c r="F1228" s="124" t="s">
        <v>250</v>
      </c>
      <c r="G1228" s="124" t="s">
        <v>250</v>
      </c>
      <c r="H1228" s="124" t="s">
        <v>250</v>
      </c>
      <c r="I1228" s="124" t="s">
        <v>250</v>
      </c>
      <c r="J1228" s="124" t="s">
        <v>250</v>
      </c>
      <c r="K1228" s="124" t="s">
        <v>250</v>
      </c>
      <c r="L1228" s="124" t="s">
        <v>250</v>
      </c>
      <c r="M1228" s="124" t="s">
        <v>250</v>
      </c>
      <c r="N1228" s="124" t="s">
        <v>250</v>
      </c>
      <c r="O1228" s="124" t="s">
        <v>250</v>
      </c>
      <c r="P1228" s="124" t="s">
        <v>250</v>
      </c>
      <c r="Q1228" s="124" t="s">
        <v>250</v>
      </c>
      <c r="R1228" s="124"/>
    </row>
    <row r="1229" spans="1:18" ht="15">
      <c r="A1229" s="105" t="s">
        <v>250</v>
      </c>
      <c r="B1229" s="105"/>
      <c r="C1229" s="107" t="s">
        <v>3709</v>
      </c>
      <c r="D1229" s="107" t="s">
        <v>250</v>
      </c>
      <c r="E1229" s="124" t="s">
        <v>250</v>
      </c>
      <c r="F1229" s="124" t="s">
        <v>250</v>
      </c>
      <c r="G1229" s="124" t="s">
        <v>250</v>
      </c>
      <c r="H1229" s="124" t="s">
        <v>250</v>
      </c>
      <c r="I1229" s="124" t="s">
        <v>250</v>
      </c>
      <c r="J1229" s="124" t="s">
        <v>250</v>
      </c>
      <c r="K1229" s="124" t="s">
        <v>250</v>
      </c>
      <c r="L1229" s="124" t="s">
        <v>250</v>
      </c>
      <c r="M1229" s="124" t="s">
        <v>250</v>
      </c>
      <c r="N1229" s="124" t="s">
        <v>250</v>
      </c>
      <c r="O1229" s="124" t="s">
        <v>250</v>
      </c>
      <c r="P1229" s="124" t="s">
        <v>250</v>
      </c>
      <c r="Q1229" s="124" t="s">
        <v>250</v>
      </c>
      <c r="R1229" s="124"/>
    </row>
    <row r="1230" spans="1:18" ht="15">
      <c r="A1230" s="105">
        <v>1</v>
      </c>
      <c r="B1230" s="105"/>
      <c r="C1230" s="107" t="s">
        <v>250</v>
      </c>
      <c r="D1230" s="107" t="s">
        <v>250</v>
      </c>
      <c r="E1230" s="124" t="s">
        <v>250</v>
      </c>
      <c r="F1230" s="124" t="s">
        <v>250</v>
      </c>
      <c r="G1230" s="124" t="s">
        <v>250</v>
      </c>
      <c r="H1230" s="124" t="s">
        <v>250</v>
      </c>
      <c r="I1230" s="124" t="s">
        <v>250</v>
      </c>
      <c r="J1230" s="124" t="s">
        <v>250</v>
      </c>
      <c r="K1230" s="124" t="s">
        <v>250</v>
      </c>
      <c r="L1230" s="124" t="s">
        <v>250</v>
      </c>
      <c r="M1230" s="124" t="s">
        <v>250</v>
      </c>
      <c r="N1230" s="124" t="s">
        <v>250</v>
      </c>
      <c r="O1230" s="124" t="s">
        <v>250</v>
      </c>
      <c r="P1230" s="124" t="s">
        <v>250</v>
      </c>
      <c r="Q1230" s="124" t="s">
        <v>250</v>
      </c>
      <c r="R1230" s="124"/>
    </row>
    <row r="1231" spans="1:18" ht="15">
      <c r="A1231" s="105">
        <v>2</v>
      </c>
      <c r="B1231" s="105"/>
      <c r="C1231" s="107" t="s">
        <v>250</v>
      </c>
      <c r="D1231" s="107" t="s">
        <v>250</v>
      </c>
      <c r="E1231" s="124" t="s">
        <v>250</v>
      </c>
      <c r="F1231" s="124" t="s">
        <v>250</v>
      </c>
      <c r="G1231" s="124" t="s">
        <v>250</v>
      </c>
      <c r="H1231" s="124" t="s">
        <v>250</v>
      </c>
      <c r="I1231" s="124" t="s">
        <v>250</v>
      </c>
      <c r="J1231" s="124" t="s">
        <v>250</v>
      </c>
      <c r="K1231" s="124" t="s">
        <v>250</v>
      </c>
      <c r="L1231" s="124" t="s">
        <v>250</v>
      </c>
      <c r="M1231" s="124" t="s">
        <v>250</v>
      </c>
      <c r="N1231" s="124" t="s">
        <v>250</v>
      </c>
      <c r="O1231" s="124" t="s">
        <v>250</v>
      </c>
      <c r="P1231" s="124" t="s">
        <v>250</v>
      </c>
      <c r="Q1231" s="124" t="s">
        <v>250</v>
      </c>
      <c r="R1231" s="124"/>
    </row>
    <row r="1232" spans="1:18" ht="15">
      <c r="A1232" s="105" t="s">
        <v>250</v>
      </c>
      <c r="B1232" s="105"/>
      <c r="C1232" s="107" t="s">
        <v>250</v>
      </c>
      <c r="D1232" s="107" t="s">
        <v>250</v>
      </c>
      <c r="E1232" s="124" t="s">
        <v>250</v>
      </c>
      <c r="F1232" s="124" t="s">
        <v>250</v>
      </c>
      <c r="G1232" s="124" t="s">
        <v>250</v>
      </c>
      <c r="H1232" s="124" t="s">
        <v>250</v>
      </c>
      <c r="I1232" s="124" t="s">
        <v>250</v>
      </c>
      <c r="J1232" s="124" t="s">
        <v>250</v>
      </c>
      <c r="K1232" s="124" t="s">
        <v>250</v>
      </c>
      <c r="L1232" s="124" t="s">
        <v>250</v>
      </c>
      <c r="M1232" s="124" t="s">
        <v>250</v>
      </c>
      <c r="N1232" s="124" t="s">
        <v>250</v>
      </c>
      <c r="O1232" s="124" t="s">
        <v>250</v>
      </c>
      <c r="P1232" s="124" t="s">
        <v>250</v>
      </c>
      <c r="Q1232" s="124" t="s">
        <v>250</v>
      </c>
      <c r="R1232" s="124"/>
    </row>
    <row r="1233" spans="1:18" ht="15">
      <c r="A1233" s="105" t="s">
        <v>250</v>
      </c>
      <c r="B1233" s="105"/>
      <c r="C1233" s="107" t="s">
        <v>494</v>
      </c>
      <c r="D1233" s="107" t="s">
        <v>250</v>
      </c>
      <c r="E1233" s="124" t="s">
        <v>250</v>
      </c>
      <c r="F1233" s="124" t="s">
        <v>250</v>
      </c>
      <c r="G1233" s="124" t="s">
        <v>250</v>
      </c>
      <c r="H1233" s="124" t="s">
        <v>250</v>
      </c>
      <c r="I1233" s="124" t="s">
        <v>250</v>
      </c>
      <c r="J1233" s="124" t="s">
        <v>250</v>
      </c>
      <c r="K1233" s="124" t="s">
        <v>250</v>
      </c>
      <c r="L1233" s="124" t="s">
        <v>250</v>
      </c>
      <c r="M1233" s="124" t="s">
        <v>250</v>
      </c>
      <c r="N1233" s="124" t="s">
        <v>250</v>
      </c>
      <c r="O1233" s="124" t="s">
        <v>250</v>
      </c>
      <c r="P1233" s="124" t="s">
        <v>250</v>
      </c>
      <c r="Q1233" s="124" t="s">
        <v>250</v>
      </c>
      <c r="R1233" s="124"/>
    </row>
    <row r="1234" spans="1:18" ht="15">
      <c r="A1234" s="105" t="s">
        <v>250</v>
      </c>
      <c r="B1234" s="105"/>
      <c r="C1234" s="107" t="s">
        <v>917</v>
      </c>
      <c r="D1234" s="107" t="s">
        <v>250</v>
      </c>
      <c r="E1234" s="124" t="s">
        <v>250</v>
      </c>
      <c r="F1234" s="124" t="s">
        <v>250</v>
      </c>
      <c r="G1234" s="124" t="s">
        <v>250</v>
      </c>
      <c r="H1234" s="124" t="s">
        <v>250</v>
      </c>
      <c r="I1234" s="124" t="s">
        <v>250</v>
      </c>
      <c r="J1234" s="124" t="s">
        <v>250</v>
      </c>
      <c r="K1234" s="124" t="s">
        <v>250</v>
      </c>
      <c r="L1234" s="124" t="s">
        <v>250</v>
      </c>
      <c r="M1234" s="124" t="s">
        <v>250</v>
      </c>
      <c r="N1234" s="124" t="s">
        <v>250</v>
      </c>
      <c r="O1234" s="124" t="s">
        <v>250</v>
      </c>
      <c r="P1234" s="124" t="s">
        <v>250</v>
      </c>
      <c r="Q1234" s="124" t="s">
        <v>250</v>
      </c>
      <c r="R1234" s="124"/>
    </row>
    <row r="1235" spans="1:18" ht="15">
      <c r="A1235" s="105">
        <v>1</v>
      </c>
      <c r="B1235" s="105"/>
      <c r="C1235" s="107" t="s">
        <v>971</v>
      </c>
      <c r="D1235" s="107" t="s">
        <v>494</v>
      </c>
      <c r="E1235" s="124">
        <v>0.99999999999999989</v>
      </c>
      <c r="F1235" s="124" t="s">
        <v>250</v>
      </c>
      <c r="G1235" s="124">
        <v>0.94182569268505678</v>
      </c>
      <c r="H1235" s="124" t="s">
        <v>250</v>
      </c>
      <c r="I1235" s="124">
        <v>3.7823388264772315E-2</v>
      </c>
      <c r="J1235" s="124">
        <v>2.0350919050170856E-2</v>
      </c>
      <c r="K1235" s="124" t="s">
        <v>250</v>
      </c>
      <c r="L1235" s="124" t="s">
        <v>250</v>
      </c>
      <c r="M1235" s="124">
        <v>0</v>
      </c>
      <c r="N1235" s="124" t="s">
        <v>250</v>
      </c>
      <c r="O1235" s="124">
        <v>2.0350919050170856E-2</v>
      </c>
      <c r="P1235" s="124">
        <v>1.0445598345751202E-2</v>
      </c>
      <c r="Q1235" s="124">
        <v>9.9053207044196515E-3</v>
      </c>
      <c r="R1235" s="124"/>
    </row>
    <row r="1236" spans="1:18" ht="15">
      <c r="A1236" s="105">
        <v>2</v>
      </c>
      <c r="B1236" s="105"/>
      <c r="C1236" s="107" t="s">
        <v>972</v>
      </c>
      <c r="D1236" s="107" t="s">
        <v>739</v>
      </c>
      <c r="E1236" s="124">
        <v>1</v>
      </c>
      <c r="F1236" s="124" t="s">
        <v>250</v>
      </c>
      <c r="G1236" s="124">
        <v>0.96139088067320977</v>
      </c>
      <c r="H1236" s="124" t="s">
        <v>250</v>
      </c>
      <c r="I1236" s="124">
        <v>3.860911932679021E-2</v>
      </c>
      <c r="J1236" s="124">
        <v>0</v>
      </c>
      <c r="K1236" s="124" t="s">
        <v>250</v>
      </c>
      <c r="L1236" s="124" t="s">
        <v>250</v>
      </c>
      <c r="M1236" s="124">
        <v>0</v>
      </c>
      <c r="N1236" s="124" t="s">
        <v>250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3</v>
      </c>
      <c r="B1237" s="105"/>
      <c r="C1237" s="107" t="s">
        <v>250</v>
      </c>
      <c r="D1237" s="107" t="s">
        <v>250</v>
      </c>
      <c r="E1237" s="124" t="s">
        <v>250</v>
      </c>
      <c r="F1237" s="124" t="s">
        <v>250</v>
      </c>
      <c r="G1237" s="124" t="s">
        <v>250</v>
      </c>
      <c r="H1237" s="124" t="s">
        <v>250</v>
      </c>
      <c r="I1237" s="124" t="s">
        <v>250</v>
      </c>
      <c r="J1237" s="124" t="s">
        <v>250</v>
      </c>
      <c r="K1237" s="124" t="s">
        <v>250</v>
      </c>
      <c r="L1237" s="124" t="s">
        <v>250</v>
      </c>
      <c r="M1237" s="124" t="s">
        <v>250</v>
      </c>
      <c r="N1237" s="124" t="s">
        <v>250</v>
      </c>
      <c r="O1237" s="124" t="s">
        <v>250</v>
      </c>
      <c r="P1237" s="124" t="s">
        <v>250</v>
      </c>
      <c r="Q1237" s="124" t="s">
        <v>250</v>
      </c>
      <c r="R1237" s="124"/>
    </row>
    <row r="1238" spans="1:18" ht="15">
      <c r="A1238" s="105">
        <v>4</v>
      </c>
      <c r="B1238" s="105"/>
      <c r="C1238" s="107" t="s">
        <v>250</v>
      </c>
      <c r="D1238" s="107" t="s">
        <v>250</v>
      </c>
      <c r="E1238" s="124" t="s">
        <v>250</v>
      </c>
      <c r="F1238" s="124" t="s">
        <v>250</v>
      </c>
      <c r="G1238" s="124" t="s">
        <v>250</v>
      </c>
      <c r="H1238" s="124" t="s">
        <v>250</v>
      </c>
      <c r="I1238" s="124" t="s">
        <v>250</v>
      </c>
      <c r="J1238" s="124" t="s">
        <v>250</v>
      </c>
      <c r="K1238" s="124" t="s">
        <v>250</v>
      </c>
      <c r="L1238" s="124" t="s">
        <v>250</v>
      </c>
      <c r="M1238" s="124" t="s">
        <v>250</v>
      </c>
      <c r="N1238" s="124" t="s">
        <v>250</v>
      </c>
      <c r="O1238" s="124" t="s">
        <v>250</v>
      </c>
      <c r="P1238" s="124" t="s">
        <v>250</v>
      </c>
      <c r="Q1238" s="124" t="s">
        <v>250</v>
      </c>
      <c r="R1238" s="124"/>
    </row>
    <row r="1239" spans="1:18" ht="15">
      <c r="A1239" s="105" t="s">
        <v>250</v>
      </c>
      <c r="B1239" s="105"/>
      <c r="C1239" s="107" t="s">
        <v>250</v>
      </c>
      <c r="D1239" s="107" t="s">
        <v>250</v>
      </c>
      <c r="E1239" s="124" t="s">
        <v>250</v>
      </c>
      <c r="F1239" s="124" t="s">
        <v>250</v>
      </c>
      <c r="G1239" s="124" t="s">
        <v>250</v>
      </c>
      <c r="H1239" s="124" t="s">
        <v>250</v>
      </c>
      <c r="I1239" s="124" t="s">
        <v>250</v>
      </c>
      <c r="J1239" s="124" t="s">
        <v>250</v>
      </c>
      <c r="K1239" s="124" t="s">
        <v>250</v>
      </c>
      <c r="L1239" s="124" t="s">
        <v>250</v>
      </c>
      <c r="M1239" s="124" t="s">
        <v>250</v>
      </c>
      <c r="N1239" s="124" t="s">
        <v>250</v>
      </c>
      <c r="O1239" s="124" t="s">
        <v>250</v>
      </c>
      <c r="P1239" s="124" t="s">
        <v>250</v>
      </c>
      <c r="Q1239" s="124" t="s">
        <v>250</v>
      </c>
      <c r="R1239" s="124"/>
    </row>
    <row r="1240" spans="1:18" ht="15">
      <c r="A1240" s="105" t="s">
        <v>250</v>
      </c>
      <c r="B1240" s="105"/>
      <c r="C1240" s="107" t="s">
        <v>973</v>
      </c>
      <c r="D1240" s="107" t="s">
        <v>250</v>
      </c>
      <c r="E1240" s="124" t="s">
        <v>250</v>
      </c>
      <c r="F1240" s="124" t="s">
        <v>250</v>
      </c>
      <c r="G1240" s="124" t="s">
        <v>250</v>
      </c>
      <c r="H1240" s="124" t="s">
        <v>250</v>
      </c>
      <c r="I1240" s="124" t="s">
        <v>250</v>
      </c>
      <c r="J1240" s="124" t="s">
        <v>250</v>
      </c>
      <c r="K1240" s="124" t="s">
        <v>250</v>
      </c>
      <c r="L1240" s="124" t="s">
        <v>250</v>
      </c>
      <c r="M1240" s="124" t="s">
        <v>250</v>
      </c>
      <c r="N1240" s="124" t="s">
        <v>250</v>
      </c>
      <c r="O1240" s="124" t="s">
        <v>250</v>
      </c>
      <c r="P1240" s="124" t="s">
        <v>250</v>
      </c>
      <c r="Q1240" s="124" t="s">
        <v>250</v>
      </c>
      <c r="R1240" s="124"/>
    </row>
    <row r="1241" spans="1:18" ht="15">
      <c r="A1241" s="105" t="s">
        <v>250</v>
      </c>
      <c r="B1241" s="105"/>
      <c r="C1241" s="107" t="s">
        <v>917</v>
      </c>
      <c r="D1241" s="107" t="s">
        <v>250</v>
      </c>
      <c r="E1241" s="124" t="s">
        <v>250</v>
      </c>
      <c r="F1241" s="124" t="s">
        <v>250</v>
      </c>
      <c r="G1241" s="124" t="s">
        <v>250</v>
      </c>
      <c r="H1241" s="124" t="s">
        <v>250</v>
      </c>
      <c r="I1241" s="124" t="s">
        <v>250</v>
      </c>
      <c r="J1241" s="124" t="s">
        <v>250</v>
      </c>
      <c r="K1241" s="124" t="s">
        <v>250</v>
      </c>
      <c r="L1241" s="124" t="s">
        <v>250</v>
      </c>
      <c r="M1241" s="124" t="s">
        <v>250</v>
      </c>
      <c r="N1241" s="124" t="s">
        <v>250</v>
      </c>
      <c r="O1241" s="124" t="s">
        <v>250</v>
      </c>
      <c r="P1241" s="124" t="s">
        <v>250</v>
      </c>
      <c r="Q1241" s="124" t="s">
        <v>250</v>
      </c>
      <c r="R1241" s="124"/>
    </row>
    <row r="1242" spans="1:18" ht="15">
      <c r="A1242" s="105">
        <v>1</v>
      </c>
      <c r="B1242" s="105"/>
      <c r="C1242" s="107" t="s">
        <v>1145</v>
      </c>
      <c r="D1242" s="107" t="s">
        <v>380</v>
      </c>
      <c r="E1242" s="124">
        <v>1</v>
      </c>
      <c r="F1242" s="124" t="s">
        <v>250</v>
      </c>
      <c r="G1242" s="124">
        <v>1</v>
      </c>
      <c r="H1242" s="124" t="s">
        <v>250</v>
      </c>
      <c r="I1242" s="124">
        <v>0</v>
      </c>
      <c r="J1242" s="124">
        <v>0</v>
      </c>
      <c r="K1242" s="124" t="s">
        <v>250</v>
      </c>
      <c r="L1242" s="124" t="s">
        <v>250</v>
      </c>
      <c r="M1242" s="124">
        <v>0</v>
      </c>
      <c r="N1242" s="124" t="s">
        <v>250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2</v>
      </c>
      <c r="B1243" s="105"/>
      <c r="C1243" s="107" t="s">
        <v>1146</v>
      </c>
      <c r="D1243" s="107" t="s">
        <v>382</v>
      </c>
      <c r="E1243" s="124">
        <v>1</v>
      </c>
      <c r="F1243" s="124" t="s">
        <v>250</v>
      </c>
      <c r="G1243" s="124">
        <v>0.99938720795025537</v>
      </c>
      <c r="H1243" s="124" t="s">
        <v>250</v>
      </c>
      <c r="I1243" s="124">
        <v>0</v>
      </c>
      <c r="J1243" s="124">
        <v>6.1279204974465655E-4</v>
      </c>
      <c r="K1243" s="124" t="s">
        <v>250</v>
      </c>
      <c r="L1243" s="124" t="s">
        <v>250</v>
      </c>
      <c r="M1243" s="124">
        <v>0</v>
      </c>
      <c r="N1243" s="124" t="s">
        <v>250</v>
      </c>
      <c r="O1243" s="124">
        <v>6.1279204974465655E-4</v>
      </c>
      <c r="P1243" s="124">
        <v>2.6497155173705705E-4</v>
      </c>
      <c r="Q1243" s="124">
        <v>3.478204980075995E-4</v>
      </c>
      <c r="R1243" s="124"/>
    </row>
    <row r="1244" spans="1:18" ht="15">
      <c r="A1244" s="105">
        <v>3</v>
      </c>
      <c r="B1244" s="105"/>
      <c r="C1244" s="107" t="s">
        <v>1147</v>
      </c>
      <c r="D1244" s="107" t="s">
        <v>384</v>
      </c>
      <c r="E1244" s="124">
        <v>1</v>
      </c>
      <c r="F1244" s="124" t="s">
        <v>250</v>
      </c>
      <c r="G1244" s="124">
        <v>1</v>
      </c>
      <c r="H1244" s="124" t="s">
        <v>250</v>
      </c>
      <c r="I1244" s="124">
        <v>0</v>
      </c>
      <c r="J1244" s="124">
        <v>0</v>
      </c>
      <c r="K1244" s="124" t="s">
        <v>250</v>
      </c>
      <c r="L1244" s="124" t="s">
        <v>250</v>
      </c>
      <c r="M1244" s="124">
        <v>0</v>
      </c>
      <c r="N1244" s="124" t="s">
        <v>250</v>
      </c>
      <c r="O1244" s="124">
        <v>0</v>
      </c>
      <c r="P1244" s="124">
        <v>0</v>
      </c>
      <c r="Q1244" s="124">
        <v>0</v>
      </c>
      <c r="R1244" s="124"/>
    </row>
    <row r="1245" spans="1:18" ht="15">
      <c r="A1245" s="105">
        <v>4</v>
      </c>
      <c r="B1245" s="105"/>
      <c r="C1245" s="107" t="s">
        <v>1148</v>
      </c>
      <c r="D1245" s="107" t="s">
        <v>386</v>
      </c>
      <c r="E1245" s="124">
        <v>1</v>
      </c>
      <c r="F1245" s="124" t="s">
        <v>250</v>
      </c>
      <c r="G1245" s="124">
        <v>1</v>
      </c>
      <c r="H1245" s="124" t="s">
        <v>250</v>
      </c>
      <c r="I1245" s="124">
        <v>0</v>
      </c>
      <c r="J1245" s="124">
        <v>0</v>
      </c>
      <c r="K1245" s="124" t="s">
        <v>250</v>
      </c>
      <c r="L1245" s="124" t="s">
        <v>250</v>
      </c>
      <c r="M1245" s="124">
        <v>0</v>
      </c>
      <c r="N1245" s="124" t="s">
        <v>250</v>
      </c>
      <c r="O1245" s="124">
        <v>0</v>
      </c>
      <c r="P1245" s="124">
        <v>0</v>
      </c>
      <c r="Q1245" s="124">
        <v>0</v>
      </c>
      <c r="R1245" s="124"/>
    </row>
    <row r="1246" spans="1:18" ht="15">
      <c r="A1246" s="105">
        <v>5</v>
      </c>
      <c r="B1246" s="105"/>
      <c r="C1246" s="107" t="s">
        <v>535</v>
      </c>
      <c r="D1246" s="107" t="s">
        <v>536</v>
      </c>
      <c r="E1246" s="124">
        <v>1</v>
      </c>
      <c r="F1246" s="124" t="s">
        <v>250</v>
      </c>
      <c r="G1246" s="124">
        <v>0.99560637798336138</v>
      </c>
      <c r="H1246" s="124" t="s">
        <v>250</v>
      </c>
      <c r="I1246" s="124">
        <v>4.3936220166386122E-3</v>
      </c>
      <c r="J1246" s="124">
        <v>0</v>
      </c>
      <c r="K1246" s="124" t="s">
        <v>250</v>
      </c>
      <c r="L1246" s="124" t="s">
        <v>250</v>
      </c>
      <c r="M1246" s="124">
        <v>0</v>
      </c>
      <c r="N1246" s="124" t="s">
        <v>250</v>
      </c>
      <c r="O1246" s="124">
        <v>0</v>
      </c>
      <c r="P1246" s="124">
        <v>0</v>
      </c>
      <c r="Q1246" s="124">
        <v>0</v>
      </c>
      <c r="R1246" s="124"/>
    </row>
    <row r="1247" spans="1:18" ht="15">
      <c r="A1247" s="105">
        <v>6</v>
      </c>
      <c r="B1247" s="105"/>
      <c r="C1247" s="107" t="s">
        <v>978</v>
      </c>
      <c r="D1247" s="107" t="s">
        <v>538</v>
      </c>
      <c r="E1247" s="124">
        <v>1</v>
      </c>
      <c r="F1247" s="124" t="s">
        <v>250</v>
      </c>
      <c r="G1247" s="124">
        <v>0.9611795533763543</v>
      </c>
      <c r="H1247" s="124" t="s">
        <v>250</v>
      </c>
      <c r="I1247" s="124">
        <v>3.8820446623645671E-2</v>
      </c>
      <c r="J1247" s="124">
        <v>0</v>
      </c>
      <c r="K1247" s="124" t="s">
        <v>250</v>
      </c>
      <c r="L1247" s="124" t="s">
        <v>250</v>
      </c>
      <c r="M1247" s="124">
        <v>0</v>
      </c>
      <c r="N1247" s="124" t="s">
        <v>250</v>
      </c>
      <c r="O1247" s="124">
        <v>0</v>
      </c>
      <c r="P1247" s="124">
        <v>0</v>
      </c>
      <c r="Q1247" s="124">
        <v>0</v>
      </c>
      <c r="R1247" s="124"/>
    </row>
    <row r="1248" spans="1:18" ht="15">
      <c r="A1248" s="105">
        <v>7</v>
      </c>
      <c r="B1248" s="105"/>
      <c r="C1248" s="107" t="s">
        <v>979</v>
      </c>
      <c r="D1248" s="107" t="s">
        <v>686</v>
      </c>
      <c r="E1248" s="124">
        <v>1</v>
      </c>
      <c r="F1248" s="124" t="s">
        <v>250</v>
      </c>
      <c r="G1248" s="124">
        <v>0.95098968265419803</v>
      </c>
      <c r="H1248" s="124" t="s">
        <v>250</v>
      </c>
      <c r="I1248" s="124">
        <v>4.8607346802948703E-2</v>
      </c>
      <c r="J1248" s="124">
        <v>4.0297054285331742E-4</v>
      </c>
      <c r="K1248" s="124" t="s">
        <v>250</v>
      </c>
      <c r="L1248" s="124" t="s">
        <v>250</v>
      </c>
      <c r="M1248" s="124">
        <v>0</v>
      </c>
      <c r="N1248" s="124" t="s">
        <v>250</v>
      </c>
      <c r="O1248" s="124">
        <v>4.0297054285331742E-4</v>
      </c>
      <c r="P1248" s="124">
        <v>1.6118821714132696E-4</v>
      </c>
      <c r="Q1248" s="124">
        <v>2.4178232571199046E-4</v>
      </c>
      <c r="R1248" s="124"/>
    </row>
    <row r="1249" spans="1:18" ht="15">
      <c r="A1249" s="105">
        <v>8</v>
      </c>
      <c r="B1249" s="105"/>
      <c r="C1249" s="107" t="s">
        <v>980</v>
      </c>
      <c r="D1249" s="107" t="s">
        <v>688</v>
      </c>
      <c r="E1249" s="124">
        <v>1</v>
      </c>
      <c r="F1249" s="124" t="s">
        <v>250</v>
      </c>
      <c r="G1249" s="124">
        <v>0.95098968265419803</v>
      </c>
      <c r="H1249" s="124" t="s">
        <v>250</v>
      </c>
      <c r="I1249" s="124">
        <v>4.8607346802948703E-2</v>
      </c>
      <c r="J1249" s="124">
        <v>4.0297054285331742E-4</v>
      </c>
      <c r="K1249" s="124" t="s">
        <v>250</v>
      </c>
      <c r="L1249" s="124" t="s">
        <v>250</v>
      </c>
      <c r="M1249" s="124">
        <v>0</v>
      </c>
      <c r="N1249" s="124" t="s">
        <v>250</v>
      </c>
      <c r="O1249" s="124">
        <v>4.0297054285331742E-4</v>
      </c>
      <c r="P1249" s="124">
        <v>1.6118821714132696E-4</v>
      </c>
      <c r="Q1249" s="124">
        <v>2.4178232571199046E-4</v>
      </c>
      <c r="R1249" s="124"/>
    </row>
    <row r="1250" spans="1:18" ht="15">
      <c r="A1250" s="105">
        <v>9</v>
      </c>
      <c r="B1250" s="105"/>
      <c r="C1250" s="107" t="s">
        <v>981</v>
      </c>
      <c r="D1250" s="107" t="s">
        <v>690</v>
      </c>
      <c r="E1250" s="124">
        <v>1</v>
      </c>
      <c r="F1250" s="124" t="s">
        <v>250</v>
      </c>
      <c r="G1250" s="124">
        <v>0.95098968265419803</v>
      </c>
      <c r="H1250" s="124" t="s">
        <v>250</v>
      </c>
      <c r="I1250" s="124">
        <v>4.8607346802948703E-2</v>
      </c>
      <c r="J1250" s="124">
        <v>4.0297054285331742E-4</v>
      </c>
      <c r="K1250" s="124" t="s">
        <v>250</v>
      </c>
      <c r="L1250" s="124" t="s">
        <v>250</v>
      </c>
      <c r="M1250" s="124">
        <v>0</v>
      </c>
      <c r="N1250" s="124" t="s">
        <v>250</v>
      </c>
      <c r="O1250" s="124">
        <v>4.0297054285331742E-4</v>
      </c>
      <c r="P1250" s="124">
        <v>1.6118821714132696E-4</v>
      </c>
      <c r="Q1250" s="124">
        <v>2.4178232571199046E-4</v>
      </c>
      <c r="R1250" s="124"/>
    </row>
    <row r="1251" spans="1:18" ht="15">
      <c r="A1251" s="105">
        <v>10</v>
      </c>
      <c r="B1251" s="105"/>
      <c r="C1251" s="107" t="s">
        <v>982</v>
      </c>
      <c r="D1251" s="107" t="s">
        <v>399</v>
      </c>
      <c r="E1251" s="124">
        <v>1</v>
      </c>
      <c r="F1251" s="124" t="s">
        <v>250</v>
      </c>
      <c r="G1251" s="124">
        <v>0</v>
      </c>
      <c r="H1251" s="124" t="s">
        <v>250</v>
      </c>
      <c r="I1251" s="124">
        <v>1</v>
      </c>
      <c r="J1251" s="124">
        <v>0</v>
      </c>
      <c r="K1251" s="124" t="s">
        <v>250</v>
      </c>
      <c r="L1251" s="124" t="s">
        <v>250</v>
      </c>
      <c r="M1251" s="124">
        <v>0</v>
      </c>
      <c r="N1251" s="124" t="s">
        <v>250</v>
      </c>
      <c r="O1251" s="124">
        <v>0</v>
      </c>
      <c r="P1251" s="124">
        <v>0</v>
      </c>
      <c r="Q1251" s="124">
        <v>0</v>
      </c>
      <c r="R1251" s="124"/>
    </row>
    <row r="1252" spans="1:18" ht="15">
      <c r="A1252" s="105">
        <v>11</v>
      </c>
      <c r="B1252" s="105"/>
      <c r="C1252" s="107" t="s">
        <v>983</v>
      </c>
      <c r="D1252" s="107" t="s">
        <v>400</v>
      </c>
      <c r="E1252" s="124">
        <v>1</v>
      </c>
      <c r="F1252" s="124" t="s">
        <v>250</v>
      </c>
      <c r="G1252" s="124">
        <v>0</v>
      </c>
      <c r="H1252" s="124" t="s">
        <v>250</v>
      </c>
      <c r="I1252" s="124">
        <v>1</v>
      </c>
      <c r="J1252" s="124">
        <v>0</v>
      </c>
      <c r="K1252" s="124" t="s">
        <v>250</v>
      </c>
      <c r="L1252" s="124" t="s">
        <v>250</v>
      </c>
      <c r="M1252" s="124">
        <v>0</v>
      </c>
      <c r="N1252" s="124" t="s">
        <v>250</v>
      </c>
      <c r="O1252" s="124">
        <v>0</v>
      </c>
      <c r="P1252" s="124">
        <v>0</v>
      </c>
      <c r="Q1252" s="124">
        <v>0</v>
      </c>
      <c r="R1252" s="124"/>
    </row>
    <row r="1253" spans="1:18" ht="15">
      <c r="A1253" s="105">
        <v>12</v>
      </c>
      <c r="B1253" s="105"/>
      <c r="C1253" s="107" t="s">
        <v>1149</v>
      </c>
      <c r="D1253" s="107" t="s">
        <v>401</v>
      </c>
      <c r="E1253" s="124">
        <v>0</v>
      </c>
      <c r="F1253" s="124" t="s">
        <v>250</v>
      </c>
      <c r="G1253" s="124">
        <v>0</v>
      </c>
      <c r="H1253" s="124" t="s">
        <v>250</v>
      </c>
      <c r="I1253" s="124">
        <v>0</v>
      </c>
      <c r="J1253" s="124">
        <v>0</v>
      </c>
      <c r="K1253" s="124" t="s">
        <v>250</v>
      </c>
      <c r="L1253" s="124" t="s">
        <v>250</v>
      </c>
      <c r="M1253" s="124">
        <v>0</v>
      </c>
      <c r="N1253" s="124" t="s">
        <v>250</v>
      </c>
      <c r="O1253" s="124">
        <v>0</v>
      </c>
      <c r="P1253" s="124">
        <v>0</v>
      </c>
      <c r="Q1253" s="124">
        <v>0</v>
      </c>
      <c r="R1253" s="124"/>
    </row>
    <row r="1254" spans="1:18" ht="15">
      <c r="A1254" s="105">
        <v>13</v>
      </c>
      <c r="B1254" s="105"/>
      <c r="C1254" s="107" t="s">
        <v>985</v>
      </c>
      <c r="D1254" s="107" t="s">
        <v>402</v>
      </c>
      <c r="E1254" s="124">
        <v>1</v>
      </c>
      <c r="F1254" s="124" t="s">
        <v>250</v>
      </c>
      <c r="G1254" s="124">
        <v>0</v>
      </c>
      <c r="H1254" s="124" t="s">
        <v>250</v>
      </c>
      <c r="I1254" s="124">
        <v>1</v>
      </c>
      <c r="J1254" s="124">
        <v>0</v>
      </c>
      <c r="K1254" s="124" t="s">
        <v>250</v>
      </c>
      <c r="L1254" s="124" t="s">
        <v>250</v>
      </c>
      <c r="M1254" s="124">
        <v>0</v>
      </c>
      <c r="N1254" s="124" t="s">
        <v>250</v>
      </c>
      <c r="O1254" s="124">
        <v>0</v>
      </c>
      <c r="P1254" s="124">
        <v>0</v>
      </c>
      <c r="Q1254" s="124">
        <v>0</v>
      </c>
      <c r="R1254" s="124"/>
    </row>
    <row r="1255" spans="1:18" ht="15">
      <c r="A1255" s="105">
        <v>14</v>
      </c>
      <c r="B1255" s="105"/>
      <c r="C1255" s="107" t="s">
        <v>986</v>
      </c>
      <c r="D1255" s="107" t="s">
        <v>698</v>
      </c>
      <c r="E1255" s="124">
        <v>1</v>
      </c>
      <c r="F1255" s="124" t="s">
        <v>250</v>
      </c>
      <c r="G1255" s="124">
        <v>1</v>
      </c>
      <c r="H1255" s="124" t="s">
        <v>250</v>
      </c>
      <c r="I1255" s="124">
        <v>0</v>
      </c>
      <c r="J1255" s="124">
        <v>0</v>
      </c>
      <c r="K1255" s="124" t="s">
        <v>250</v>
      </c>
      <c r="L1255" s="124" t="s">
        <v>250</v>
      </c>
      <c r="M1255" s="124">
        <v>0</v>
      </c>
      <c r="N1255" s="124" t="s">
        <v>250</v>
      </c>
      <c r="O1255" s="124">
        <v>0</v>
      </c>
      <c r="P1255" s="124">
        <v>0</v>
      </c>
      <c r="Q1255" s="124">
        <v>0</v>
      </c>
      <c r="R1255" s="124"/>
    </row>
    <row r="1256" spans="1:18" ht="15">
      <c r="A1256" s="105">
        <v>15</v>
      </c>
      <c r="B1256" s="105"/>
      <c r="C1256" s="107" t="s">
        <v>987</v>
      </c>
      <c r="D1256" s="107" t="s">
        <v>700</v>
      </c>
      <c r="E1256" s="124">
        <v>1</v>
      </c>
      <c r="F1256" s="124" t="s">
        <v>250</v>
      </c>
      <c r="G1256" s="124">
        <v>0.95003497012706117</v>
      </c>
      <c r="H1256" s="124" t="s">
        <v>250</v>
      </c>
      <c r="I1256" s="124">
        <v>4.9965029872938875E-2</v>
      </c>
      <c r="J1256" s="124">
        <v>0</v>
      </c>
      <c r="K1256" s="124" t="s">
        <v>250</v>
      </c>
      <c r="L1256" s="124" t="s">
        <v>250</v>
      </c>
      <c r="M1256" s="124">
        <v>0</v>
      </c>
      <c r="N1256" s="124" t="s">
        <v>250</v>
      </c>
      <c r="O1256" s="124">
        <v>0</v>
      </c>
      <c r="P1256" s="124">
        <v>0</v>
      </c>
      <c r="Q1256" s="124">
        <v>0</v>
      </c>
      <c r="R1256" s="124"/>
    </row>
    <row r="1257" spans="1:18" ht="15">
      <c r="A1257" s="105">
        <v>16</v>
      </c>
      <c r="B1257" s="105"/>
      <c r="C1257" s="107" t="s">
        <v>988</v>
      </c>
      <c r="D1257" s="107" t="s">
        <v>707</v>
      </c>
      <c r="E1257" s="124">
        <v>1</v>
      </c>
      <c r="F1257" s="124" t="s">
        <v>250</v>
      </c>
      <c r="G1257" s="124">
        <v>0.95003497012706117</v>
      </c>
      <c r="H1257" s="124" t="s">
        <v>250</v>
      </c>
      <c r="I1257" s="124">
        <v>4.9965029872938875E-2</v>
      </c>
      <c r="J1257" s="124">
        <v>0</v>
      </c>
      <c r="K1257" s="124" t="s">
        <v>250</v>
      </c>
      <c r="L1257" s="124" t="s">
        <v>250</v>
      </c>
      <c r="M1257" s="124">
        <v>0</v>
      </c>
      <c r="N1257" s="124" t="s">
        <v>250</v>
      </c>
      <c r="O1257" s="124">
        <v>0</v>
      </c>
      <c r="P1257" s="124">
        <v>0</v>
      </c>
      <c r="Q1257" s="124">
        <v>0</v>
      </c>
      <c r="R1257" s="124"/>
    </row>
    <row r="1258" spans="1:18" ht="15">
      <c r="A1258" s="105">
        <v>17</v>
      </c>
      <c r="B1258" s="105"/>
      <c r="C1258" s="107" t="s">
        <v>989</v>
      </c>
      <c r="D1258" s="107" t="s">
        <v>709</v>
      </c>
      <c r="E1258" s="124">
        <v>1</v>
      </c>
      <c r="F1258" s="124" t="s">
        <v>250</v>
      </c>
      <c r="G1258" s="124">
        <v>0.95003497012706117</v>
      </c>
      <c r="H1258" s="124" t="s">
        <v>250</v>
      </c>
      <c r="I1258" s="124">
        <v>4.9965029872938875E-2</v>
      </c>
      <c r="J1258" s="124">
        <v>0</v>
      </c>
      <c r="K1258" s="124" t="s">
        <v>250</v>
      </c>
      <c r="L1258" s="124" t="s">
        <v>250</v>
      </c>
      <c r="M1258" s="124">
        <v>0</v>
      </c>
      <c r="N1258" s="124" t="s">
        <v>250</v>
      </c>
      <c r="O1258" s="124">
        <v>0</v>
      </c>
      <c r="P1258" s="124">
        <v>0</v>
      </c>
      <c r="Q1258" s="124">
        <v>0</v>
      </c>
      <c r="R1258" s="124"/>
    </row>
    <row r="1259" spans="1:18" ht="15">
      <c r="A1259" s="105">
        <v>18</v>
      </c>
      <c r="B1259" s="105"/>
      <c r="C1259" s="107" t="s">
        <v>990</v>
      </c>
      <c r="D1259" s="107" t="s">
        <v>991</v>
      </c>
      <c r="E1259" s="124">
        <v>0</v>
      </c>
      <c r="F1259" s="124" t="s">
        <v>250</v>
      </c>
      <c r="G1259" s="124">
        <v>0</v>
      </c>
      <c r="H1259" s="124" t="s">
        <v>250</v>
      </c>
      <c r="I1259" s="124">
        <v>0</v>
      </c>
      <c r="J1259" s="124">
        <v>0</v>
      </c>
      <c r="K1259" s="124" t="s">
        <v>250</v>
      </c>
      <c r="L1259" s="124" t="s">
        <v>250</v>
      </c>
      <c r="M1259" s="124">
        <v>0</v>
      </c>
      <c r="N1259" s="124" t="s">
        <v>250</v>
      </c>
      <c r="O1259" s="124">
        <v>0</v>
      </c>
      <c r="P1259" s="124">
        <v>0</v>
      </c>
      <c r="Q1259" s="124">
        <v>0</v>
      </c>
      <c r="R1259" s="124"/>
    </row>
    <row r="1260" spans="1:18" ht="15">
      <c r="A1260" s="105">
        <v>19</v>
      </c>
      <c r="B1260" s="105"/>
      <c r="C1260" s="107" t="s">
        <v>992</v>
      </c>
      <c r="D1260" s="107" t="s">
        <v>783</v>
      </c>
      <c r="E1260" s="124">
        <v>1</v>
      </c>
      <c r="F1260" s="124" t="s">
        <v>250</v>
      </c>
      <c r="G1260" s="124">
        <v>0.96460271258576047</v>
      </c>
      <c r="H1260" s="124" t="s">
        <v>250</v>
      </c>
      <c r="I1260" s="124">
        <v>3.5397287414239531E-2</v>
      </c>
      <c r="J1260" s="124">
        <v>0</v>
      </c>
      <c r="K1260" s="124" t="s">
        <v>250</v>
      </c>
      <c r="L1260" s="124" t="s">
        <v>250</v>
      </c>
      <c r="M1260" s="124">
        <v>0</v>
      </c>
      <c r="N1260" s="124" t="s">
        <v>250</v>
      </c>
      <c r="O1260" s="124">
        <v>0</v>
      </c>
      <c r="P1260" s="124">
        <v>0</v>
      </c>
      <c r="Q1260" s="124">
        <v>0</v>
      </c>
      <c r="R1260" s="124"/>
    </row>
    <row r="1261" spans="1:18" ht="15">
      <c r="A1261" s="105">
        <v>20</v>
      </c>
      <c r="B1261" s="105"/>
      <c r="C1261" s="107" t="s">
        <v>1150</v>
      </c>
      <c r="D1261" s="107" t="s">
        <v>562</v>
      </c>
      <c r="E1261" s="124">
        <v>1</v>
      </c>
      <c r="F1261" s="124" t="s">
        <v>250</v>
      </c>
      <c r="G1261" s="124">
        <v>0.95944369858512746</v>
      </c>
      <c r="H1261" s="124" t="s">
        <v>250</v>
      </c>
      <c r="I1261" s="124">
        <v>4.049323845983558E-2</v>
      </c>
      <c r="J1261" s="124">
        <v>6.3062955036987102E-5</v>
      </c>
      <c r="K1261" s="124" t="s">
        <v>250</v>
      </c>
      <c r="L1261" s="124" t="s">
        <v>250</v>
      </c>
      <c r="M1261" s="124">
        <v>0</v>
      </c>
      <c r="N1261" s="124" t="s">
        <v>250</v>
      </c>
      <c r="O1261" s="124">
        <v>6.3062955036987102E-5</v>
      </c>
      <c r="P1261" s="124">
        <v>6.3062955036987102E-5</v>
      </c>
      <c r="Q1261" s="124">
        <v>0</v>
      </c>
      <c r="R1261" s="124"/>
    </row>
    <row r="1262" spans="1:18" ht="15">
      <c r="A1262" s="105">
        <v>21</v>
      </c>
      <c r="B1262" s="105"/>
      <c r="C1262" s="107" t="s">
        <v>250</v>
      </c>
      <c r="D1262" s="107" t="s">
        <v>250</v>
      </c>
      <c r="E1262" s="124" t="s">
        <v>250</v>
      </c>
      <c r="F1262" s="124" t="s">
        <v>250</v>
      </c>
      <c r="G1262" s="124" t="s">
        <v>250</v>
      </c>
      <c r="H1262" s="124" t="s">
        <v>250</v>
      </c>
      <c r="I1262" s="124" t="s">
        <v>250</v>
      </c>
      <c r="J1262" s="124" t="s">
        <v>250</v>
      </c>
      <c r="K1262" s="124" t="s">
        <v>250</v>
      </c>
      <c r="L1262" s="124" t="s">
        <v>250</v>
      </c>
      <c r="M1262" s="124" t="s">
        <v>250</v>
      </c>
      <c r="N1262" s="124" t="s">
        <v>250</v>
      </c>
      <c r="O1262" s="124" t="s">
        <v>250</v>
      </c>
      <c r="P1262" s="124" t="s">
        <v>250</v>
      </c>
      <c r="Q1262" s="124" t="s">
        <v>250</v>
      </c>
      <c r="R1262" s="124"/>
    </row>
    <row r="1263" spans="1:18" ht="15">
      <c r="A1263" s="105">
        <v>22</v>
      </c>
      <c r="B1263" s="105"/>
      <c r="C1263" s="107" t="s">
        <v>250</v>
      </c>
      <c r="D1263" s="107" t="s">
        <v>250</v>
      </c>
      <c r="E1263" s="124" t="s">
        <v>250</v>
      </c>
      <c r="F1263" s="124" t="s">
        <v>250</v>
      </c>
      <c r="G1263" s="124" t="s">
        <v>250</v>
      </c>
      <c r="H1263" s="124" t="s">
        <v>250</v>
      </c>
      <c r="I1263" s="124" t="s">
        <v>250</v>
      </c>
      <c r="J1263" s="124" t="s">
        <v>250</v>
      </c>
      <c r="K1263" s="124" t="s">
        <v>250</v>
      </c>
      <c r="L1263" s="124" t="s">
        <v>250</v>
      </c>
      <c r="M1263" s="124" t="s">
        <v>250</v>
      </c>
      <c r="N1263" s="124" t="s">
        <v>250</v>
      </c>
      <c r="O1263" s="124" t="s">
        <v>250</v>
      </c>
      <c r="P1263" s="124" t="s">
        <v>250</v>
      </c>
      <c r="Q1263" s="124" t="s">
        <v>250</v>
      </c>
      <c r="R1263" s="124"/>
    </row>
    <row r="1264" spans="1:18" ht="15">
      <c r="A1264" s="105">
        <v>23</v>
      </c>
      <c r="B1264" s="105"/>
      <c r="C1264" s="107" t="s">
        <v>250</v>
      </c>
      <c r="D1264" s="107" t="s">
        <v>250</v>
      </c>
      <c r="E1264" s="124" t="s">
        <v>250</v>
      </c>
      <c r="F1264" s="124" t="s">
        <v>250</v>
      </c>
      <c r="G1264" s="124" t="s">
        <v>250</v>
      </c>
      <c r="H1264" s="124" t="s">
        <v>250</v>
      </c>
      <c r="I1264" s="124" t="s">
        <v>250</v>
      </c>
      <c r="J1264" s="124" t="s">
        <v>250</v>
      </c>
      <c r="K1264" s="124" t="s">
        <v>250</v>
      </c>
      <c r="L1264" s="124" t="s">
        <v>250</v>
      </c>
      <c r="M1264" s="124" t="s">
        <v>250</v>
      </c>
      <c r="N1264" s="124" t="s">
        <v>250</v>
      </c>
      <c r="O1264" s="124" t="s">
        <v>250</v>
      </c>
      <c r="P1264" s="124" t="s">
        <v>250</v>
      </c>
      <c r="Q1264" s="124" t="s">
        <v>250</v>
      </c>
      <c r="R1264" s="124"/>
    </row>
    <row r="1265" spans="1:18" ht="15">
      <c r="A1265" s="105">
        <v>24</v>
      </c>
      <c r="B1265" s="105"/>
      <c r="C1265" s="107" t="s">
        <v>250</v>
      </c>
      <c r="D1265" s="107" t="s">
        <v>250</v>
      </c>
      <c r="E1265" s="124" t="s">
        <v>250</v>
      </c>
      <c r="F1265" s="124" t="s">
        <v>250</v>
      </c>
      <c r="G1265" s="124" t="s">
        <v>250</v>
      </c>
      <c r="H1265" s="124" t="s">
        <v>250</v>
      </c>
      <c r="I1265" s="124" t="s">
        <v>250</v>
      </c>
      <c r="J1265" s="124" t="s">
        <v>250</v>
      </c>
      <c r="K1265" s="124" t="s">
        <v>250</v>
      </c>
      <c r="L1265" s="124" t="s">
        <v>250</v>
      </c>
      <c r="M1265" s="124" t="s">
        <v>250</v>
      </c>
      <c r="N1265" s="124" t="s">
        <v>250</v>
      </c>
      <c r="O1265" s="124" t="s">
        <v>250</v>
      </c>
      <c r="P1265" s="124" t="s">
        <v>250</v>
      </c>
      <c r="Q1265" s="124" t="s">
        <v>250</v>
      </c>
      <c r="R1265" s="124"/>
    </row>
    <row r="1266" spans="1:18" ht="15">
      <c r="A1266" s="105">
        <v>25</v>
      </c>
      <c r="B1266" s="105"/>
      <c r="C1266" s="107" t="s">
        <v>250</v>
      </c>
      <c r="D1266" s="107" t="s">
        <v>250</v>
      </c>
      <c r="E1266" s="124" t="s">
        <v>250</v>
      </c>
      <c r="F1266" s="124" t="s">
        <v>250</v>
      </c>
      <c r="G1266" s="124" t="s">
        <v>250</v>
      </c>
      <c r="H1266" s="124" t="s">
        <v>250</v>
      </c>
      <c r="I1266" s="124" t="s">
        <v>250</v>
      </c>
      <c r="J1266" s="124" t="s">
        <v>250</v>
      </c>
      <c r="K1266" s="124" t="s">
        <v>250</v>
      </c>
      <c r="L1266" s="124" t="s">
        <v>250</v>
      </c>
      <c r="M1266" s="124" t="s">
        <v>250</v>
      </c>
      <c r="N1266" s="124" t="s">
        <v>250</v>
      </c>
      <c r="O1266" s="124" t="s">
        <v>250</v>
      </c>
      <c r="P1266" s="124" t="s">
        <v>250</v>
      </c>
      <c r="Q1266" s="124" t="s">
        <v>250</v>
      </c>
      <c r="R1266" s="124"/>
    </row>
    <row r="1267" spans="1:18" ht="15">
      <c r="A1267" s="105" t="s">
        <v>250</v>
      </c>
      <c r="B1267" s="105"/>
      <c r="C1267" s="107" t="s">
        <v>250</v>
      </c>
      <c r="D1267" s="107" t="s">
        <v>250</v>
      </c>
      <c r="E1267" s="124" t="s">
        <v>250</v>
      </c>
      <c r="F1267" s="124" t="s">
        <v>250</v>
      </c>
      <c r="G1267" s="124" t="s">
        <v>250</v>
      </c>
      <c r="H1267" s="124" t="s">
        <v>250</v>
      </c>
      <c r="I1267" s="124" t="s">
        <v>250</v>
      </c>
      <c r="J1267" s="124" t="s">
        <v>250</v>
      </c>
      <c r="K1267" s="124" t="s">
        <v>250</v>
      </c>
      <c r="L1267" s="124" t="s">
        <v>250</v>
      </c>
      <c r="M1267" s="124" t="s">
        <v>250</v>
      </c>
      <c r="N1267" s="124" t="s">
        <v>250</v>
      </c>
      <c r="O1267" s="124" t="s">
        <v>250</v>
      </c>
      <c r="P1267" s="124" t="s">
        <v>250</v>
      </c>
      <c r="Q1267" s="124" t="s">
        <v>250</v>
      </c>
      <c r="R1267" s="124"/>
    </row>
    <row r="1268" spans="1:18" ht="15">
      <c r="A1268" s="105" t="s">
        <v>250</v>
      </c>
      <c r="B1268" s="105"/>
      <c r="C1268" s="107" t="s">
        <v>994</v>
      </c>
      <c r="D1268" s="107" t="s">
        <v>250</v>
      </c>
      <c r="E1268" s="124" t="s">
        <v>250</v>
      </c>
      <c r="F1268" s="124" t="s">
        <v>250</v>
      </c>
      <c r="G1268" s="124" t="s">
        <v>250</v>
      </c>
      <c r="H1268" s="124" t="s">
        <v>250</v>
      </c>
      <c r="I1268" s="124" t="s">
        <v>250</v>
      </c>
      <c r="J1268" s="124" t="s">
        <v>250</v>
      </c>
      <c r="K1268" s="124" t="s">
        <v>250</v>
      </c>
      <c r="L1268" s="124" t="s">
        <v>250</v>
      </c>
      <c r="M1268" s="124" t="s">
        <v>250</v>
      </c>
      <c r="N1268" s="124" t="s">
        <v>250</v>
      </c>
      <c r="O1268" s="124" t="s">
        <v>250</v>
      </c>
      <c r="P1268" s="124" t="s">
        <v>250</v>
      </c>
      <c r="Q1268" s="124" t="s">
        <v>250</v>
      </c>
      <c r="R1268" s="124"/>
    </row>
    <row r="1269" spans="1:18" ht="15">
      <c r="A1269" s="105" t="s">
        <v>250</v>
      </c>
      <c r="B1269" s="105"/>
      <c r="C1269" s="107" t="s">
        <v>917</v>
      </c>
      <c r="D1269" s="107" t="s">
        <v>250</v>
      </c>
      <c r="E1269" s="124" t="s">
        <v>250</v>
      </c>
      <c r="F1269" s="124" t="s">
        <v>250</v>
      </c>
      <c r="G1269" s="124" t="s">
        <v>250</v>
      </c>
      <c r="H1269" s="124" t="s">
        <v>250</v>
      </c>
      <c r="I1269" s="124" t="s">
        <v>250</v>
      </c>
      <c r="J1269" s="124" t="s">
        <v>250</v>
      </c>
      <c r="K1269" s="124" t="s">
        <v>250</v>
      </c>
      <c r="L1269" s="124" t="s">
        <v>250</v>
      </c>
      <c r="M1269" s="124" t="s">
        <v>250</v>
      </c>
      <c r="N1269" s="124" t="s">
        <v>250</v>
      </c>
      <c r="O1269" s="124" t="s">
        <v>250</v>
      </c>
      <c r="P1269" s="124" t="s">
        <v>250</v>
      </c>
      <c r="Q1269" s="124" t="s">
        <v>250</v>
      </c>
      <c r="R1269" s="124"/>
    </row>
    <row r="1270" spans="1:18" ht="15">
      <c r="A1270" s="105">
        <v>1</v>
      </c>
      <c r="B1270" s="105"/>
      <c r="C1270" s="107" t="s">
        <v>995</v>
      </c>
      <c r="D1270" s="107" t="s">
        <v>295</v>
      </c>
      <c r="E1270" s="124">
        <v>1.0000000000000002</v>
      </c>
      <c r="F1270" s="124" t="s">
        <v>250</v>
      </c>
      <c r="G1270" s="124">
        <v>0.93467512424058485</v>
      </c>
      <c r="H1270" s="124" t="s">
        <v>250</v>
      </c>
      <c r="I1270" s="124">
        <v>5.2131083323994257E-2</v>
      </c>
      <c r="J1270" s="124">
        <v>1.3193792435420962E-2</v>
      </c>
      <c r="K1270" s="124" t="s">
        <v>250</v>
      </c>
      <c r="L1270" s="124" t="s">
        <v>250</v>
      </c>
      <c r="M1270" s="124">
        <v>0</v>
      </c>
      <c r="N1270" s="124" t="s">
        <v>250</v>
      </c>
      <c r="O1270" s="124">
        <v>1.3193792435420962E-2</v>
      </c>
      <c r="P1270" s="124">
        <v>6.9035329946830768E-3</v>
      </c>
      <c r="Q1270" s="124">
        <v>6.2902594407378866E-3</v>
      </c>
      <c r="R1270" s="124"/>
    </row>
    <row r="1271" spans="1:18" ht="15">
      <c r="A1271" s="105">
        <v>2</v>
      </c>
      <c r="B1271" s="105"/>
      <c r="C1271" s="107" t="s">
        <v>996</v>
      </c>
      <c r="D1271" s="107" t="s">
        <v>297</v>
      </c>
      <c r="E1271" s="124">
        <v>1</v>
      </c>
      <c r="F1271" s="124" t="s">
        <v>250</v>
      </c>
      <c r="G1271" s="124">
        <v>1</v>
      </c>
      <c r="H1271" s="124" t="s">
        <v>250</v>
      </c>
      <c r="I1271" s="124">
        <v>0</v>
      </c>
      <c r="J1271" s="124">
        <v>0</v>
      </c>
      <c r="K1271" s="124" t="s">
        <v>250</v>
      </c>
      <c r="L1271" s="124" t="s">
        <v>250</v>
      </c>
      <c r="M1271" s="124">
        <v>0</v>
      </c>
      <c r="N1271" s="124" t="s">
        <v>250</v>
      </c>
      <c r="O1271" s="124">
        <v>0</v>
      </c>
      <c r="P1271" s="124">
        <v>0</v>
      </c>
      <c r="Q1271" s="124">
        <v>0</v>
      </c>
      <c r="R1271" s="124"/>
    </row>
    <row r="1272" spans="1:18" ht="15">
      <c r="A1272" s="105">
        <v>3</v>
      </c>
      <c r="B1272" s="105"/>
      <c r="C1272" s="107" t="s">
        <v>997</v>
      </c>
      <c r="D1272" s="107" t="s">
        <v>418</v>
      </c>
      <c r="E1272" s="124">
        <v>0.99999999999999989</v>
      </c>
      <c r="F1272" s="124" t="s">
        <v>250</v>
      </c>
      <c r="G1272" s="124">
        <v>0.94097187891892597</v>
      </c>
      <c r="H1272" s="124" t="s">
        <v>250</v>
      </c>
      <c r="I1272" s="124">
        <v>4.7576888900354296E-2</v>
      </c>
      <c r="J1272" s="124">
        <v>1.1451232180719674E-2</v>
      </c>
      <c r="K1272" s="124" t="s">
        <v>250</v>
      </c>
      <c r="L1272" s="124" t="s">
        <v>250</v>
      </c>
      <c r="M1272" s="124">
        <v>0</v>
      </c>
      <c r="N1272" s="124" t="s">
        <v>250</v>
      </c>
      <c r="O1272" s="124">
        <v>1.1451232180719674E-2</v>
      </c>
      <c r="P1272" s="124">
        <v>5.9708065809553831E-3</v>
      </c>
      <c r="Q1272" s="124">
        <v>5.4804255997642909E-3</v>
      </c>
      <c r="R1272" s="124"/>
    </row>
    <row r="1273" spans="1:18" ht="15">
      <c r="A1273" s="105">
        <v>4</v>
      </c>
      <c r="B1273" s="105"/>
      <c r="C1273" s="107" t="s">
        <v>997</v>
      </c>
      <c r="D1273" s="107" t="s">
        <v>901</v>
      </c>
      <c r="E1273" s="124">
        <v>0.99999999999999989</v>
      </c>
      <c r="F1273" s="124" t="s">
        <v>250</v>
      </c>
      <c r="G1273" s="124">
        <v>0.94097187891892597</v>
      </c>
      <c r="H1273" s="124" t="s">
        <v>250</v>
      </c>
      <c r="I1273" s="124">
        <v>4.7576888900354296E-2</v>
      </c>
      <c r="J1273" s="124">
        <v>1.1451232180719674E-2</v>
      </c>
      <c r="K1273" s="124" t="s">
        <v>250</v>
      </c>
      <c r="L1273" s="124" t="s">
        <v>250</v>
      </c>
      <c r="M1273" s="124">
        <v>0</v>
      </c>
      <c r="N1273" s="124" t="s">
        <v>250</v>
      </c>
      <c r="O1273" s="124">
        <v>1.1451232180719674E-2</v>
      </c>
      <c r="P1273" s="124">
        <v>5.9708065809553831E-3</v>
      </c>
      <c r="Q1273" s="124">
        <v>5.4804255997642909E-3</v>
      </c>
      <c r="R1273" s="124"/>
    </row>
    <row r="1274" spans="1:18" ht="15">
      <c r="A1274" s="105">
        <v>5</v>
      </c>
      <c r="B1274" s="105"/>
      <c r="C1274" s="107" t="s">
        <v>998</v>
      </c>
      <c r="D1274" s="107" t="s">
        <v>443</v>
      </c>
      <c r="E1274" s="124">
        <v>0.99999999999999989</v>
      </c>
      <c r="F1274" s="124" t="s">
        <v>250</v>
      </c>
      <c r="G1274" s="124">
        <v>0.93811298816770394</v>
      </c>
      <c r="H1274" s="124" t="s">
        <v>250</v>
      </c>
      <c r="I1274" s="124">
        <v>4.248512413651595E-2</v>
      </c>
      <c r="J1274" s="124">
        <v>1.9401887695780037E-2</v>
      </c>
      <c r="K1274" s="124" t="s">
        <v>250</v>
      </c>
      <c r="L1274" s="124" t="s">
        <v>250</v>
      </c>
      <c r="M1274" s="124">
        <v>0</v>
      </c>
      <c r="N1274" s="124" t="s">
        <v>250</v>
      </c>
      <c r="O1274" s="124">
        <v>1.9401887695780037E-2</v>
      </c>
      <c r="P1274" s="124">
        <v>9.841723092355743E-3</v>
      </c>
      <c r="Q1274" s="124">
        <v>9.5601646034242944E-3</v>
      </c>
      <c r="R1274" s="124"/>
    </row>
    <row r="1275" spans="1:18" ht="15">
      <c r="A1275" s="105">
        <v>6</v>
      </c>
      <c r="B1275" s="105"/>
      <c r="C1275" s="107" t="s">
        <v>1000</v>
      </c>
      <c r="D1275" s="107" t="s">
        <v>448</v>
      </c>
      <c r="E1275" s="124">
        <v>1</v>
      </c>
      <c r="F1275" s="124" t="s">
        <v>250</v>
      </c>
      <c r="G1275" s="124">
        <v>0.93811298816770405</v>
      </c>
      <c r="H1275" s="124" t="s">
        <v>250</v>
      </c>
      <c r="I1275" s="124">
        <v>4.2485124136515978E-2</v>
      </c>
      <c r="J1275" s="124">
        <v>1.9401887695780044E-2</v>
      </c>
      <c r="K1275" s="124" t="s">
        <v>250</v>
      </c>
      <c r="L1275" s="124" t="s">
        <v>250</v>
      </c>
      <c r="M1275" s="124">
        <v>0</v>
      </c>
      <c r="N1275" s="124" t="s">
        <v>250</v>
      </c>
      <c r="O1275" s="124">
        <v>1.9401887695780044E-2</v>
      </c>
      <c r="P1275" s="124">
        <v>9.8417230923557465E-3</v>
      </c>
      <c r="Q1275" s="124">
        <v>9.5601646034242996E-3</v>
      </c>
      <c r="R1275" s="124"/>
    </row>
    <row r="1276" spans="1:18" ht="15">
      <c r="A1276" s="105">
        <v>7</v>
      </c>
      <c r="B1276" s="105"/>
      <c r="C1276" s="107" t="s">
        <v>1001</v>
      </c>
      <c r="D1276" s="107" t="s">
        <v>451</v>
      </c>
      <c r="E1276" s="124">
        <v>1</v>
      </c>
      <c r="F1276" s="124" t="s">
        <v>250</v>
      </c>
      <c r="G1276" s="124">
        <v>0.93829092026579541</v>
      </c>
      <c r="H1276" s="124" t="s">
        <v>250</v>
      </c>
      <c r="I1276" s="124">
        <v>4.2362974640984222E-2</v>
      </c>
      <c r="J1276" s="124">
        <v>1.9346105093220427E-2</v>
      </c>
      <c r="K1276" s="124" t="s">
        <v>250</v>
      </c>
      <c r="L1276" s="124" t="s">
        <v>250</v>
      </c>
      <c r="M1276" s="124">
        <v>0</v>
      </c>
      <c r="N1276" s="124" t="s">
        <v>250</v>
      </c>
      <c r="O1276" s="124">
        <v>1.9346105093220427E-2</v>
      </c>
      <c r="P1276" s="124">
        <v>9.8134270349632419E-3</v>
      </c>
      <c r="Q1276" s="124">
        <v>9.5326780582571831E-3</v>
      </c>
      <c r="R1276" s="124"/>
    </row>
    <row r="1277" spans="1:18" ht="15">
      <c r="A1277" s="105">
        <v>8</v>
      </c>
      <c r="B1277" s="105"/>
      <c r="C1277" s="107" t="s">
        <v>1002</v>
      </c>
      <c r="D1277" s="107" t="s">
        <v>1003</v>
      </c>
      <c r="E1277" s="124">
        <v>1.0000000000000002</v>
      </c>
      <c r="F1277" s="124" t="s">
        <v>250</v>
      </c>
      <c r="G1277" s="124">
        <v>0.95541806479663316</v>
      </c>
      <c r="H1277" s="124" t="s">
        <v>250</v>
      </c>
      <c r="I1277" s="124">
        <v>4.3570554598957187E-2</v>
      </c>
      <c r="J1277" s="124">
        <v>1.0113806044097591E-3</v>
      </c>
      <c r="K1277" s="124" t="s">
        <v>250</v>
      </c>
      <c r="L1277" s="124" t="s">
        <v>250</v>
      </c>
      <c r="M1277" s="124">
        <v>0</v>
      </c>
      <c r="N1277" s="124" t="s">
        <v>250</v>
      </c>
      <c r="O1277" s="124">
        <v>1.0113806044097591E-3</v>
      </c>
      <c r="P1277" s="124">
        <v>9.0967242002041291E-4</v>
      </c>
      <c r="Q1277" s="124">
        <v>1.0170818438934615E-4</v>
      </c>
      <c r="R1277" s="124"/>
    </row>
    <row r="1278" spans="1:18" ht="15">
      <c r="A1278" s="105">
        <v>9</v>
      </c>
      <c r="B1278" s="105"/>
      <c r="C1278" s="107" t="s">
        <v>1004</v>
      </c>
      <c r="D1278" s="107" t="s">
        <v>483</v>
      </c>
      <c r="E1278" s="124">
        <v>1</v>
      </c>
      <c r="F1278" s="124" t="s">
        <v>250</v>
      </c>
      <c r="G1278" s="124">
        <v>0</v>
      </c>
      <c r="H1278" s="124" t="s">
        <v>250</v>
      </c>
      <c r="I1278" s="124">
        <v>1</v>
      </c>
      <c r="J1278" s="124">
        <v>0</v>
      </c>
      <c r="K1278" s="124" t="s">
        <v>250</v>
      </c>
      <c r="L1278" s="124" t="s">
        <v>250</v>
      </c>
      <c r="M1278" s="124">
        <v>0</v>
      </c>
      <c r="N1278" s="124" t="s">
        <v>250</v>
      </c>
      <c r="O1278" s="124">
        <v>0</v>
      </c>
      <c r="P1278" s="124">
        <v>0</v>
      </c>
      <c r="Q1278" s="124">
        <v>0</v>
      </c>
      <c r="R1278" s="124"/>
    </row>
    <row r="1279" spans="1:18" ht="15">
      <c r="A1279" s="105">
        <v>10</v>
      </c>
      <c r="B1279" s="105"/>
      <c r="C1279" s="107" t="s">
        <v>1005</v>
      </c>
      <c r="D1279" s="107" t="s">
        <v>1006</v>
      </c>
      <c r="E1279" s="124">
        <v>1</v>
      </c>
      <c r="F1279" s="124" t="s">
        <v>250</v>
      </c>
      <c r="G1279" s="124">
        <v>8.013452375818407E-2</v>
      </c>
      <c r="H1279" s="124" t="s">
        <v>250</v>
      </c>
      <c r="I1279" s="124">
        <v>0.91986547624181603</v>
      </c>
      <c r="J1279" s="124">
        <v>0</v>
      </c>
      <c r="K1279" s="124" t="s">
        <v>250</v>
      </c>
      <c r="L1279" s="124" t="s">
        <v>250</v>
      </c>
      <c r="M1279" s="124">
        <v>0</v>
      </c>
      <c r="N1279" s="124" t="s">
        <v>250</v>
      </c>
      <c r="O1279" s="124">
        <v>0</v>
      </c>
      <c r="P1279" s="124">
        <v>0</v>
      </c>
      <c r="Q1279" s="124">
        <v>0</v>
      </c>
      <c r="R1279" s="124"/>
    </row>
    <row r="1280" spans="1:18" ht="15">
      <c r="A1280" s="105">
        <v>11</v>
      </c>
      <c r="B1280" s="105"/>
      <c r="C1280" s="107" t="s">
        <v>415</v>
      </c>
      <c r="D1280" s="107" t="s">
        <v>501</v>
      </c>
      <c r="E1280" s="124">
        <v>1</v>
      </c>
      <c r="F1280" s="124" t="s">
        <v>250</v>
      </c>
      <c r="G1280" s="124">
        <v>0.95194524158409433</v>
      </c>
      <c r="H1280" s="124" t="s">
        <v>250</v>
      </c>
      <c r="I1280" s="124">
        <v>4.6516529143470708E-2</v>
      </c>
      <c r="J1280" s="124">
        <v>1.5382292724349987E-3</v>
      </c>
      <c r="K1280" s="124" t="s">
        <v>250</v>
      </c>
      <c r="L1280" s="124" t="s">
        <v>250</v>
      </c>
      <c r="M1280" s="124">
        <v>0</v>
      </c>
      <c r="N1280" s="124" t="s">
        <v>250</v>
      </c>
      <c r="O1280" s="124">
        <v>1.5382292724349987E-3</v>
      </c>
      <c r="P1280" s="124">
        <v>1.5265232013284417E-3</v>
      </c>
      <c r="Q1280" s="124">
        <v>1.1706071106557086E-5</v>
      </c>
      <c r="R1280" s="124"/>
    </row>
    <row r="1281" spans="1:18" ht="15">
      <c r="A1281" s="105">
        <v>12</v>
      </c>
      <c r="B1281" s="105"/>
      <c r="C1281" s="107" t="s">
        <v>1007</v>
      </c>
      <c r="D1281" s="107" t="s">
        <v>465</v>
      </c>
      <c r="E1281" s="124">
        <v>1</v>
      </c>
      <c r="F1281" s="124" t="s">
        <v>250</v>
      </c>
      <c r="G1281" s="124">
        <v>0.99838664753834283</v>
      </c>
      <c r="H1281" s="124" t="s">
        <v>250</v>
      </c>
      <c r="I1281" s="124">
        <v>0</v>
      </c>
      <c r="J1281" s="124">
        <v>1.6133524616571309E-3</v>
      </c>
      <c r="K1281" s="124" t="s">
        <v>250</v>
      </c>
      <c r="L1281" s="124" t="s">
        <v>250</v>
      </c>
      <c r="M1281" s="124">
        <v>0</v>
      </c>
      <c r="N1281" s="124" t="s">
        <v>250</v>
      </c>
      <c r="O1281" s="124">
        <v>1.6133524616571309E-3</v>
      </c>
      <c r="P1281" s="124">
        <v>1.6010746959335591E-3</v>
      </c>
      <c r="Q1281" s="124">
        <v>1.2277765723571848E-5</v>
      </c>
      <c r="R1281" s="124"/>
    </row>
    <row r="1282" spans="1:18" ht="15">
      <c r="A1282" s="105">
        <v>13</v>
      </c>
      <c r="B1282" s="105"/>
      <c r="C1282" s="107" t="s">
        <v>1008</v>
      </c>
      <c r="D1282" s="107" t="s">
        <v>467</v>
      </c>
      <c r="E1282" s="124">
        <v>1</v>
      </c>
      <c r="F1282" s="124" t="s">
        <v>250</v>
      </c>
      <c r="G1282" s="124">
        <v>0.94265467008784731</v>
      </c>
      <c r="H1282" s="124" t="s">
        <v>250</v>
      </c>
      <c r="I1282" s="124">
        <v>4.6220552852044329E-2</v>
      </c>
      <c r="J1282" s="124">
        <v>1.1124777060108339E-2</v>
      </c>
      <c r="K1282" s="124" t="s">
        <v>250</v>
      </c>
      <c r="L1282" s="124" t="s">
        <v>250</v>
      </c>
      <c r="M1282" s="124">
        <v>0</v>
      </c>
      <c r="N1282" s="124" t="s">
        <v>250</v>
      </c>
      <c r="O1282" s="124">
        <v>1.1124777060108339E-2</v>
      </c>
      <c r="P1282" s="124">
        <v>5.8005890574809576E-3</v>
      </c>
      <c r="Q1282" s="124">
        <v>5.3241880026273815E-3</v>
      </c>
      <c r="R1282" s="124"/>
    </row>
    <row r="1283" spans="1:18" ht="15">
      <c r="A1283" s="105">
        <v>14</v>
      </c>
      <c r="B1283" s="105"/>
      <c r="C1283" s="107" t="s">
        <v>1009</v>
      </c>
      <c r="D1283" s="107" t="s">
        <v>469</v>
      </c>
      <c r="E1283" s="124">
        <v>1</v>
      </c>
      <c r="F1283" s="124" t="s">
        <v>250</v>
      </c>
      <c r="G1283" s="124">
        <v>1</v>
      </c>
      <c r="H1283" s="124" t="s">
        <v>250</v>
      </c>
      <c r="I1283" s="124">
        <v>0</v>
      </c>
      <c r="J1283" s="124">
        <v>0</v>
      </c>
      <c r="K1283" s="124" t="s">
        <v>250</v>
      </c>
      <c r="L1283" s="124" t="s">
        <v>250</v>
      </c>
      <c r="M1283" s="124">
        <v>0</v>
      </c>
      <c r="N1283" s="124" t="s">
        <v>250</v>
      </c>
      <c r="O1283" s="124">
        <v>0</v>
      </c>
      <c r="P1283" s="124">
        <v>0</v>
      </c>
      <c r="Q1283" s="124">
        <v>0</v>
      </c>
      <c r="R1283" s="124"/>
    </row>
    <row r="1284" spans="1:18" ht="15">
      <c r="A1284" s="105">
        <v>15</v>
      </c>
      <c r="B1284" s="105"/>
      <c r="C1284" s="107" t="s">
        <v>1010</v>
      </c>
      <c r="D1284" s="107" t="s">
        <v>471</v>
      </c>
      <c r="E1284" s="124">
        <v>1</v>
      </c>
      <c r="F1284" s="124" t="s">
        <v>250</v>
      </c>
      <c r="G1284" s="124">
        <v>0.93467512424058474</v>
      </c>
      <c r="H1284" s="124" t="s">
        <v>250</v>
      </c>
      <c r="I1284" s="124">
        <v>5.213108332399425E-2</v>
      </c>
      <c r="J1284" s="124">
        <v>1.3193792435420961E-2</v>
      </c>
      <c r="K1284" s="124" t="s">
        <v>250</v>
      </c>
      <c r="L1284" s="124" t="s">
        <v>250</v>
      </c>
      <c r="M1284" s="124">
        <v>0</v>
      </c>
      <c r="N1284" s="124" t="s">
        <v>250</v>
      </c>
      <c r="O1284" s="124">
        <v>1.3193792435420961E-2</v>
      </c>
      <c r="P1284" s="124">
        <v>6.9035329946830759E-3</v>
      </c>
      <c r="Q1284" s="124">
        <v>6.2902594407378849E-3</v>
      </c>
      <c r="R1284" s="124"/>
    </row>
    <row r="1285" spans="1:18" ht="15">
      <c r="A1285" s="105">
        <v>16</v>
      </c>
      <c r="B1285" s="105"/>
      <c r="C1285" s="107" t="s">
        <v>1011</v>
      </c>
      <c r="D1285" s="107" t="s">
        <v>477</v>
      </c>
      <c r="E1285" s="124">
        <v>1</v>
      </c>
      <c r="F1285" s="124" t="s">
        <v>250</v>
      </c>
      <c r="G1285" s="124">
        <v>0.93814212321985047</v>
      </c>
      <c r="H1285" s="124" t="s">
        <v>250</v>
      </c>
      <c r="I1285" s="124">
        <v>4.2465123068916782E-2</v>
      </c>
      <c r="J1285" s="124">
        <v>1.9392753711232703E-2</v>
      </c>
      <c r="K1285" s="124" t="s">
        <v>250</v>
      </c>
      <c r="L1285" s="124" t="s">
        <v>250</v>
      </c>
      <c r="M1285" s="124">
        <v>0</v>
      </c>
      <c r="N1285" s="124" t="s">
        <v>250</v>
      </c>
      <c r="O1285" s="124">
        <v>1.9392753711232703E-2</v>
      </c>
      <c r="P1285" s="124">
        <v>9.8370898242916109E-3</v>
      </c>
      <c r="Q1285" s="124">
        <v>9.5556638869410907E-3</v>
      </c>
      <c r="R1285" s="124"/>
    </row>
    <row r="1286" spans="1:18" ht="15">
      <c r="A1286" s="105">
        <v>17</v>
      </c>
      <c r="B1286" s="105"/>
      <c r="C1286" s="107" t="s">
        <v>335</v>
      </c>
      <c r="D1286" s="107" t="s">
        <v>497</v>
      </c>
      <c r="E1286" s="124">
        <v>1</v>
      </c>
      <c r="F1286" s="124" t="s">
        <v>250</v>
      </c>
      <c r="G1286" s="124">
        <v>0.93748750083276411</v>
      </c>
      <c r="H1286" s="124" t="s">
        <v>250</v>
      </c>
      <c r="I1286" s="124">
        <v>4.2753382616394782E-2</v>
      </c>
      <c r="J1286" s="124">
        <v>1.975911655084104E-2</v>
      </c>
      <c r="K1286" s="124" t="s">
        <v>250</v>
      </c>
      <c r="L1286" s="124" t="s">
        <v>250</v>
      </c>
      <c r="M1286" s="124">
        <v>0</v>
      </c>
      <c r="N1286" s="124" t="s">
        <v>250</v>
      </c>
      <c r="O1286" s="124">
        <v>1.975911655084104E-2</v>
      </c>
      <c r="P1286" s="124">
        <v>1.0022929556759428E-2</v>
      </c>
      <c r="Q1286" s="124">
        <v>9.736186994081613E-3</v>
      </c>
      <c r="R1286" s="124"/>
    </row>
    <row r="1287" spans="1:18" ht="15">
      <c r="A1287" s="105">
        <v>18</v>
      </c>
      <c r="B1287" s="105"/>
      <c r="C1287" s="107" t="s">
        <v>356</v>
      </c>
      <c r="D1287" s="107" t="s">
        <v>1012</v>
      </c>
      <c r="E1287" s="124">
        <v>1</v>
      </c>
      <c r="F1287" s="124" t="s">
        <v>250</v>
      </c>
      <c r="G1287" s="124">
        <v>0.89211907276155777</v>
      </c>
      <c r="H1287" s="124" t="s">
        <v>250</v>
      </c>
      <c r="I1287" s="124">
        <v>0.10694268793033405</v>
      </c>
      <c r="J1287" s="124">
        <v>9.3823930810820898E-4</v>
      </c>
      <c r="K1287" s="124" t="s">
        <v>250</v>
      </c>
      <c r="L1287" s="124" t="s">
        <v>250</v>
      </c>
      <c r="M1287" s="124">
        <v>0</v>
      </c>
      <c r="N1287" s="124" t="s">
        <v>250</v>
      </c>
      <c r="O1287" s="124">
        <v>9.3823930810820898E-4</v>
      </c>
      <c r="P1287" s="124">
        <v>8.4388648372703235E-4</v>
      </c>
      <c r="Q1287" s="124">
        <v>9.4352824381176652E-5</v>
      </c>
      <c r="R1287" s="124"/>
    </row>
    <row r="1288" spans="1:18" ht="15">
      <c r="A1288" s="105">
        <v>19</v>
      </c>
      <c r="B1288" s="105"/>
      <c r="C1288" s="107" t="s">
        <v>1013</v>
      </c>
      <c r="D1288" s="107" t="s">
        <v>499</v>
      </c>
      <c r="E1288" s="124">
        <v>1</v>
      </c>
      <c r="F1288" s="124" t="s">
        <v>250</v>
      </c>
      <c r="G1288" s="124">
        <v>0.89295688000682583</v>
      </c>
      <c r="H1288" s="124" t="s">
        <v>250</v>
      </c>
      <c r="I1288" s="124">
        <v>0.10704311999317419</v>
      </c>
      <c r="J1288" s="124">
        <v>0</v>
      </c>
      <c r="K1288" s="124" t="s">
        <v>250</v>
      </c>
      <c r="L1288" s="124" t="s">
        <v>250</v>
      </c>
      <c r="M1288" s="124">
        <v>0</v>
      </c>
      <c r="N1288" s="124" t="s">
        <v>250</v>
      </c>
      <c r="O1288" s="124">
        <v>0</v>
      </c>
      <c r="P1288" s="124">
        <v>0</v>
      </c>
      <c r="Q1288" s="124">
        <v>0</v>
      </c>
      <c r="R1288" s="124"/>
    </row>
    <row r="1289" spans="1:18" ht="15">
      <c r="A1289" s="105">
        <v>20</v>
      </c>
      <c r="B1289" s="105"/>
      <c r="C1289" s="107" t="s">
        <v>1014</v>
      </c>
      <c r="D1289" s="107" t="s">
        <v>504</v>
      </c>
      <c r="E1289" s="124">
        <v>1</v>
      </c>
      <c r="F1289" s="124" t="s">
        <v>250</v>
      </c>
      <c r="G1289" s="124">
        <v>0.92839621923138316</v>
      </c>
      <c r="H1289" s="124" t="s">
        <v>250</v>
      </c>
      <c r="I1289" s="124">
        <v>6.0071951457052485E-2</v>
      </c>
      <c r="J1289" s="124">
        <v>1.1531829311564368E-2</v>
      </c>
      <c r="K1289" s="124" t="s">
        <v>250</v>
      </c>
      <c r="L1289" s="124" t="s">
        <v>250</v>
      </c>
      <c r="M1289" s="124">
        <v>0</v>
      </c>
      <c r="N1289" s="124" t="s">
        <v>250</v>
      </c>
      <c r="O1289" s="124">
        <v>1.1531829311564368E-2</v>
      </c>
      <c r="P1289" s="124">
        <v>5.9766078453869897E-3</v>
      </c>
      <c r="Q1289" s="124">
        <v>5.5552214661773779E-3</v>
      </c>
      <c r="R1289" s="124"/>
    </row>
    <row r="1290" spans="1:18" ht="15">
      <c r="A1290" s="105">
        <v>21</v>
      </c>
      <c r="B1290" s="105"/>
      <c r="C1290" s="107" t="s">
        <v>1015</v>
      </c>
      <c r="D1290" s="107" t="s">
        <v>509</v>
      </c>
      <c r="E1290" s="124">
        <v>1.0000000000000002</v>
      </c>
      <c r="F1290" s="124" t="s">
        <v>250</v>
      </c>
      <c r="G1290" s="124">
        <v>0.93689378769499676</v>
      </c>
      <c r="H1290" s="124" t="s">
        <v>250</v>
      </c>
      <c r="I1290" s="124">
        <v>5.052636963949815E-2</v>
      </c>
      <c r="J1290" s="124">
        <v>1.2579842665505192E-2</v>
      </c>
      <c r="K1290" s="124" t="s">
        <v>250</v>
      </c>
      <c r="L1290" s="124" t="s">
        <v>250</v>
      </c>
      <c r="M1290" s="124">
        <v>0</v>
      </c>
      <c r="N1290" s="124" t="s">
        <v>250</v>
      </c>
      <c r="O1290" s="124">
        <v>1.2579842665505192E-2</v>
      </c>
      <c r="P1290" s="124">
        <v>6.574910328069599E-3</v>
      </c>
      <c r="Q1290" s="124">
        <v>6.0049323374355926E-3</v>
      </c>
      <c r="R1290" s="124"/>
    </row>
    <row r="1291" spans="1:18" ht="15">
      <c r="A1291" s="105">
        <v>22</v>
      </c>
      <c r="B1291" s="105"/>
      <c r="C1291" s="107" t="s">
        <v>1016</v>
      </c>
      <c r="D1291" s="107" t="s">
        <v>511</v>
      </c>
      <c r="E1291" s="124">
        <v>1</v>
      </c>
      <c r="F1291" s="124" t="s">
        <v>250</v>
      </c>
      <c r="G1291" s="124">
        <v>1</v>
      </c>
      <c r="H1291" s="124" t="s">
        <v>250</v>
      </c>
      <c r="I1291" s="124">
        <v>0</v>
      </c>
      <c r="J1291" s="124">
        <v>0</v>
      </c>
      <c r="K1291" s="124" t="s">
        <v>250</v>
      </c>
      <c r="L1291" s="124" t="s">
        <v>250</v>
      </c>
      <c r="M1291" s="124">
        <v>0</v>
      </c>
      <c r="N1291" s="124" t="s">
        <v>250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23</v>
      </c>
      <c r="B1292" s="105"/>
      <c r="C1292" s="107" t="s">
        <v>1017</v>
      </c>
      <c r="D1292" s="107" t="s">
        <v>2534</v>
      </c>
      <c r="E1292" s="124">
        <v>1</v>
      </c>
      <c r="F1292" s="124" t="s">
        <v>250</v>
      </c>
      <c r="G1292" s="124">
        <v>0</v>
      </c>
      <c r="H1292" s="124" t="s">
        <v>250</v>
      </c>
      <c r="I1292" s="124">
        <v>0</v>
      </c>
      <c r="J1292" s="124">
        <v>1</v>
      </c>
      <c r="K1292" s="124" t="s">
        <v>250</v>
      </c>
      <c r="L1292" s="124" t="s">
        <v>250</v>
      </c>
      <c r="M1292" s="124">
        <v>0</v>
      </c>
      <c r="N1292" s="124" t="s">
        <v>250</v>
      </c>
      <c r="O1292" s="124">
        <v>1</v>
      </c>
      <c r="P1292" s="124">
        <v>0.50725595605299501</v>
      </c>
      <c r="Q1292" s="124">
        <v>0.49274404394700494</v>
      </c>
      <c r="R1292" s="124"/>
    </row>
    <row r="1293" spans="1:18" ht="15">
      <c r="A1293" s="105">
        <v>24</v>
      </c>
      <c r="B1293" s="105"/>
      <c r="C1293" s="107" t="s">
        <v>1018</v>
      </c>
      <c r="D1293" s="107" t="s">
        <v>1019</v>
      </c>
      <c r="E1293" s="124">
        <v>0</v>
      </c>
      <c r="F1293" s="124" t="s">
        <v>250</v>
      </c>
      <c r="G1293" s="124">
        <v>0</v>
      </c>
      <c r="H1293" s="124" t="s">
        <v>250</v>
      </c>
      <c r="I1293" s="124">
        <v>0</v>
      </c>
      <c r="J1293" s="124">
        <v>0</v>
      </c>
      <c r="K1293" s="124" t="s">
        <v>250</v>
      </c>
      <c r="L1293" s="124" t="s">
        <v>250</v>
      </c>
      <c r="M1293" s="124">
        <v>0</v>
      </c>
      <c r="N1293" s="124" t="s">
        <v>250</v>
      </c>
      <c r="O1293" s="124">
        <v>0</v>
      </c>
      <c r="P1293" s="124">
        <v>0</v>
      </c>
      <c r="Q1293" s="124">
        <v>0</v>
      </c>
      <c r="R1293" s="124"/>
    </row>
    <row r="1294" spans="1:18" ht="15">
      <c r="A1294" s="105">
        <v>25</v>
      </c>
      <c r="B1294" s="105"/>
      <c r="C1294" s="107" t="s">
        <v>1020</v>
      </c>
      <c r="D1294" s="107" t="s">
        <v>1021</v>
      </c>
      <c r="E1294" s="124">
        <v>1</v>
      </c>
      <c r="F1294" s="124" t="s">
        <v>250</v>
      </c>
      <c r="G1294" s="124">
        <v>0</v>
      </c>
      <c r="H1294" s="124" t="s">
        <v>250</v>
      </c>
      <c r="I1294" s="124">
        <v>0</v>
      </c>
      <c r="J1294" s="124">
        <v>1</v>
      </c>
      <c r="K1294" s="124" t="s">
        <v>250</v>
      </c>
      <c r="L1294" s="124" t="s">
        <v>250</v>
      </c>
      <c r="M1294" s="124">
        <v>0</v>
      </c>
      <c r="N1294" s="124" t="s">
        <v>250</v>
      </c>
      <c r="O1294" s="124">
        <v>1</v>
      </c>
      <c r="P1294" s="124">
        <v>0.50725595605299489</v>
      </c>
      <c r="Q1294" s="124">
        <v>0.49274404394700505</v>
      </c>
      <c r="R1294" s="124"/>
    </row>
    <row r="1295" spans="1:18" ht="15">
      <c r="A1295" s="105">
        <v>26</v>
      </c>
      <c r="B1295" s="105"/>
      <c r="C1295" s="107" t="s">
        <v>1022</v>
      </c>
      <c r="D1295" s="107" t="s">
        <v>1023</v>
      </c>
      <c r="E1295" s="124">
        <v>1</v>
      </c>
      <c r="F1295" s="124" t="s">
        <v>250</v>
      </c>
      <c r="G1295" s="124">
        <v>0</v>
      </c>
      <c r="H1295" s="124" t="s">
        <v>250</v>
      </c>
      <c r="I1295" s="124">
        <v>0</v>
      </c>
      <c r="J1295" s="124">
        <v>1</v>
      </c>
      <c r="K1295" s="124" t="s">
        <v>250</v>
      </c>
      <c r="L1295" s="124" t="s">
        <v>250</v>
      </c>
      <c r="M1295" s="124">
        <v>0</v>
      </c>
      <c r="N1295" s="124" t="s">
        <v>250</v>
      </c>
      <c r="O1295" s="124">
        <v>1</v>
      </c>
      <c r="P1295" s="124">
        <v>0.50725595605299489</v>
      </c>
      <c r="Q1295" s="124">
        <v>0.49274404394700505</v>
      </c>
      <c r="R1295" s="124"/>
    </row>
    <row r="1296" spans="1:18" ht="15">
      <c r="A1296" s="105">
        <v>27</v>
      </c>
      <c r="B1296" s="105"/>
      <c r="C1296" s="107" t="s">
        <v>1024</v>
      </c>
      <c r="D1296" s="107" t="s">
        <v>1025</v>
      </c>
      <c r="E1296" s="124">
        <v>1.0000000000000002</v>
      </c>
      <c r="F1296" s="124" t="s">
        <v>250</v>
      </c>
      <c r="G1296" s="124">
        <v>0.95541806479663316</v>
      </c>
      <c r="H1296" s="124" t="s">
        <v>250</v>
      </c>
      <c r="I1296" s="124">
        <v>4.3570554598957187E-2</v>
      </c>
      <c r="J1296" s="124">
        <v>1.0113806044097591E-3</v>
      </c>
      <c r="K1296" s="124" t="s">
        <v>250</v>
      </c>
      <c r="L1296" s="124" t="s">
        <v>250</v>
      </c>
      <c r="M1296" s="124">
        <v>0</v>
      </c>
      <c r="N1296" s="124" t="s">
        <v>250</v>
      </c>
      <c r="O1296" s="124">
        <v>1.0113806044097591E-3</v>
      </c>
      <c r="P1296" s="124">
        <v>9.0967242002041291E-4</v>
      </c>
      <c r="Q1296" s="124">
        <v>1.0170818438934615E-4</v>
      </c>
      <c r="R1296" s="124"/>
    </row>
    <row r="1297" spans="1:18" ht="15">
      <c r="A1297" s="105">
        <v>28</v>
      </c>
      <c r="B1297" s="105"/>
      <c r="C1297" s="107" t="s">
        <v>1151</v>
      </c>
      <c r="D1297" s="107" t="s">
        <v>458</v>
      </c>
      <c r="E1297" s="124">
        <v>1</v>
      </c>
      <c r="F1297" s="124" t="s">
        <v>250</v>
      </c>
      <c r="G1297" s="124">
        <v>8.013452375818407E-2</v>
      </c>
      <c r="H1297" s="124" t="s">
        <v>250</v>
      </c>
      <c r="I1297" s="124">
        <v>0.91986547624181603</v>
      </c>
      <c r="J1297" s="124">
        <v>0</v>
      </c>
      <c r="K1297" s="124" t="s">
        <v>250</v>
      </c>
      <c r="L1297" s="124" t="s">
        <v>250</v>
      </c>
      <c r="M1297" s="124">
        <v>0</v>
      </c>
      <c r="N1297" s="124" t="s">
        <v>250</v>
      </c>
      <c r="O1297" s="124">
        <v>0</v>
      </c>
      <c r="P1297" s="124">
        <v>0</v>
      </c>
      <c r="Q1297" s="124">
        <v>0</v>
      </c>
      <c r="R1297" s="124"/>
    </row>
    <row r="1298" spans="1:18" ht="15">
      <c r="A1298" s="105">
        <v>29</v>
      </c>
      <c r="B1298" s="105"/>
      <c r="C1298" s="107" t="s">
        <v>1027</v>
      </c>
      <c r="D1298" s="107" t="s">
        <v>658</v>
      </c>
      <c r="E1298" s="124">
        <v>1</v>
      </c>
      <c r="F1298" s="124" t="s">
        <v>250</v>
      </c>
      <c r="G1298" s="124">
        <v>0.93381022767422783</v>
      </c>
      <c r="H1298" s="124" t="s">
        <v>250</v>
      </c>
      <c r="I1298" s="124">
        <v>6.6189772325772223E-2</v>
      </c>
      <c r="J1298" s="124">
        <v>0</v>
      </c>
      <c r="K1298" s="124" t="s">
        <v>250</v>
      </c>
      <c r="L1298" s="124" t="s">
        <v>250</v>
      </c>
      <c r="M1298" s="124">
        <v>0</v>
      </c>
      <c r="N1298" s="124" t="s">
        <v>250</v>
      </c>
      <c r="O1298" s="124">
        <v>0</v>
      </c>
      <c r="P1298" s="124">
        <v>0</v>
      </c>
      <c r="Q1298" s="124">
        <v>0</v>
      </c>
      <c r="R1298" s="124"/>
    </row>
    <row r="1299" spans="1:18" ht="15">
      <c r="A1299" s="105">
        <v>30</v>
      </c>
      <c r="B1299" s="105"/>
      <c r="C1299" s="107" t="s">
        <v>438</v>
      </c>
      <c r="D1299" s="107" t="s">
        <v>716</v>
      </c>
      <c r="E1299" s="124">
        <v>1</v>
      </c>
      <c r="F1299" s="124" t="s">
        <v>250</v>
      </c>
      <c r="G1299" s="124">
        <v>0.93467598886704728</v>
      </c>
      <c r="H1299" s="124" t="s">
        <v>250</v>
      </c>
      <c r="I1299" s="124">
        <v>5.213039332782312E-2</v>
      </c>
      <c r="J1299" s="124">
        <v>1.3193617805129728E-2</v>
      </c>
      <c r="K1299" s="124" t="s">
        <v>250</v>
      </c>
      <c r="L1299" s="124" t="s">
        <v>250</v>
      </c>
      <c r="M1299" s="124">
        <v>0</v>
      </c>
      <c r="N1299" s="124" t="s">
        <v>250</v>
      </c>
      <c r="O1299" s="124">
        <v>1.3193617805129728E-2</v>
      </c>
      <c r="P1299" s="124">
        <v>6.9034416209568855E-3</v>
      </c>
      <c r="Q1299" s="124">
        <v>6.2901761841728425E-3</v>
      </c>
      <c r="R1299" s="124"/>
    </row>
    <row r="1300" spans="1:18" ht="15">
      <c r="A1300" s="105">
        <v>31</v>
      </c>
      <c r="B1300" s="105"/>
      <c r="C1300" s="107" t="s">
        <v>1028</v>
      </c>
      <c r="D1300" s="107" t="s">
        <v>488</v>
      </c>
      <c r="E1300" s="124">
        <v>1</v>
      </c>
      <c r="F1300" s="124" t="s">
        <v>250</v>
      </c>
      <c r="G1300" s="124">
        <v>1</v>
      </c>
      <c r="H1300" s="124" t="s">
        <v>250</v>
      </c>
      <c r="I1300" s="124">
        <v>0</v>
      </c>
      <c r="J1300" s="124">
        <v>0</v>
      </c>
      <c r="K1300" s="124" t="s">
        <v>250</v>
      </c>
      <c r="L1300" s="124" t="s">
        <v>250</v>
      </c>
      <c r="M1300" s="124">
        <v>0</v>
      </c>
      <c r="N1300" s="124" t="s">
        <v>250</v>
      </c>
      <c r="O1300" s="124">
        <v>0</v>
      </c>
      <c r="P1300" s="124">
        <v>0</v>
      </c>
      <c r="Q1300" s="124">
        <v>0</v>
      </c>
      <c r="R1300" s="124"/>
    </row>
    <row r="1301" spans="1:18" ht="15">
      <c r="A1301" s="105">
        <v>32</v>
      </c>
      <c r="B1301" s="105"/>
      <c r="C1301" s="107" t="s">
        <v>1029</v>
      </c>
      <c r="D1301" s="107" t="s">
        <v>796</v>
      </c>
      <c r="E1301" s="124">
        <v>1</v>
      </c>
      <c r="F1301" s="124" t="s">
        <v>250</v>
      </c>
      <c r="G1301" s="124">
        <v>0.98608076710946513</v>
      </c>
      <c r="H1301" s="124" t="s">
        <v>250</v>
      </c>
      <c r="I1301" s="124">
        <v>0</v>
      </c>
      <c r="J1301" s="124">
        <v>1.3919232890534882E-2</v>
      </c>
      <c r="K1301" s="124" t="s">
        <v>250</v>
      </c>
      <c r="L1301" s="124" t="s">
        <v>250</v>
      </c>
      <c r="M1301" s="124">
        <v>0</v>
      </c>
      <c r="N1301" s="124" t="s">
        <v>250</v>
      </c>
      <c r="O1301" s="124">
        <v>1.3919232890534882E-2</v>
      </c>
      <c r="P1301" s="124">
        <v>7.2831131754438226E-3</v>
      </c>
      <c r="Q1301" s="124">
        <v>6.6361197150910604E-3</v>
      </c>
      <c r="R1301" s="124"/>
    </row>
    <row r="1302" spans="1:18" ht="15">
      <c r="A1302" s="105">
        <v>33</v>
      </c>
      <c r="B1302" s="105"/>
      <c r="C1302" s="107" t="s">
        <v>1030</v>
      </c>
      <c r="D1302" s="107" t="s">
        <v>1031</v>
      </c>
      <c r="E1302" s="124">
        <v>1</v>
      </c>
      <c r="F1302" s="124" t="s">
        <v>250</v>
      </c>
      <c r="G1302" s="124">
        <v>0</v>
      </c>
      <c r="H1302" s="124" t="s">
        <v>250</v>
      </c>
      <c r="I1302" s="124">
        <v>1</v>
      </c>
      <c r="J1302" s="124">
        <v>0</v>
      </c>
      <c r="K1302" s="124" t="s">
        <v>250</v>
      </c>
      <c r="L1302" s="124" t="s">
        <v>250</v>
      </c>
      <c r="M1302" s="124">
        <v>0</v>
      </c>
      <c r="N1302" s="124" t="s">
        <v>250</v>
      </c>
      <c r="O1302" s="124">
        <v>0</v>
      </c>
      <c r="P1302" s="124">
        <v>0</v>
      </c>
      <c r="Q1302" s="124">
        <v>0</v>
      </c>
      <c r="R1302" s="124"/>
    </row>
    <row r="1303" spans="1:18" ht="15">
      <c r="A1303" s="105">
        <v>34</v>
      </c>
      <c r="B1303" s="105"/>
      <c r="C1303" s="107" t="s">
        <v>314</v>
      </c>
      <c r="D1303" s="107" t="s">
        <v>584</v>
      </c>
      <c r="E1303" s="124">
        <v>1</v>
      </c>
      <c r="F1303" s="124" t="s">
        <v>250</v>
      </c>
      <c r="G1303" s="124">
        <v>0.9373564336965774</v>
      </c>
      <c r="H1303" s="124" t="s">
        <v>250</v>
      </c>
      <c r="I1303" s="124">
        <v>4.2841016343512117E-2</v>
      </c>
      <c r="J1303" s="124">
        <v>1.9802549959910515E-2</v>
      </c>
      <c r="K1303" s="124" t="s">
        <v>250</v>
      </c>
      <c r="L1303" s="124" t="s">
        <v>250</v>
      </c>
      <c r="M1303" s="124">
        <v>0</v>
      </c>
      <c r="N1303" s="124" t="s">
        <v>250</v>
      </c>
      <c r="O1303" s="124">
        <v>1.9802549959910515E-2</v>
      </c>
      <c r="P1303" s="124">
        <v>1.0044961412201606E-2</v>
      </c>
      <c r="Q1303" s="124">
        <v>9.7575885477089105E-3</v>
      </c>
      <c r="R1303" s="124"/>
    </row>
    <row r="1304" spans="1:18" ht="15">
      <c r="A1304" s="105">
        <v>35</v>
      </c>
      <c r="B1304" s="105"/>
      <c r="C1304" s="107" t="s">
        <v>1032</v>
      </c>
      <c r="D1304" s="107" t="s">
        <v>599</v>
      </c>
      <c r="E1304" s="124">
        <v>1</v>
      </c>
      <c r="F1304" s="124" t="s">
        <v>250</v>
      </c>
      <c r="G1304" s="124">
        <v>0.93802824300006515</v>
      </c>
      <c r="H1304" s="124" t="s">
        <v>250</v>
      </c>
      <c r="I1304" s="124">
        <v>4.2466645295426403E-2</v>
      </c>
      <c r="J1304" s="124">
        <v>1.9505111704508409E-2</v>
      </c>
      <c r="K1304" s="124" t="s">
        <v>250</v>
      </c>
      <c r="L1304" s="124" t="s">
        <v>250</v>
      </c>
      <c r="M1304" s="124">
        <v>0</v>
      </c>
      <c r="N1304" s="124" t="s">
        <v>250</v>
      </c>
      <c r="O1304" s="124">
        <v>1.9505111704508409E-2</v>
      </c>
      <c r="P1304" s="124">
        <v>9.8940840855908738E-3</v>
      </c>
      <c r="Q1304" s="124">
        <v>9.611027618917533E-3</v>
      </c>
      <c r="R1304" s="124"/>
    </row>
    <row r="1305" spans="1:18" ht="15">
      <c r="A1305" s="105">
        <v>36</v>
      </c>
      <c r="B1305" s="105"/>
      <c r="C1305" s="107" t="s">
        <v>1033</v>
      </c>
      <c r="D1305" s="107" t="s">
        <v>614</v>
      </c>
      <c r="E1305" s="124">
        <v>1</v>
      </c>
      <c r="F1305" s="124" t="s">
        <v>250</v>
      </c>
      <c r="G1305" s="124">
        <v>0.93812787104362139</v>
      </c>
      <c r="H1305" s="124" t="s">
        <v>250</v>
      </c>
      <c r="I1305" s="124">
        <v>4.2321860937915852E-2</v>
      </c>
      <c r="J1305" s="124">
        <v>1.9550268018462678E-2</v>
      </c>
      <c r="K1305" s="124" t="s">
        <v>250</v>
      </c>
      <c r="L1305" s="124" t="s">
        <v>250</v>
      </c>
      <c r="M1305" s="124">
        <v>0</v>
      </c>
      <c r="N1305" s="124" t="s">
        <v>250</v>
      </c>
      <c r="O1305" s="124">
        <v>1.9550268018462678E-2</v>
      </c>
      <c r="P1305" s="124">
        <v>9.9169898947975756E-3</v>
      </c>
      <c r="Q1305" s="124">
        <v>9.6332781236651011E-3</v>
      </c>
      <c r="R1305" s="124"/>
    </row>
    <row r="1306" spans="1:18" ht="15">
      <c r="A1306" s="105">
        <v>37</v>
      </c>
      <c r="B1306" s="105"/>
      <c r="C1306" s="107" t="s">
        <v>1034</v>
      </c>
      <c r="D1306" s="107" t="s">
        <v>655</v>
      </c>
      <c r="E1306" s="124">
        <v>0.99999999999999989</v>
      </c>
      <c r="F1306" s="124" t="s">
        <v>250</v>
      </c>
      <c r="G1306" s="124">
        <v>0.96156996333315192</v>
      </c>
      <c r="H1306" s="124" t="s">
        <v>250</v>
      </c>
      <c r="I1306" s="124">
        <v>2.8634669103303857E-2</v>
      </c>
      <c r="J1306" s="124">
        <v>9.7953675635441637E-3</v>
      </c>
      <c r="K1306" s="124" t="s">
        <v>250</v>
      </c>
      <c r="L1306" s="124" t="s">
        <v>250</v>
      </c>
      <c r="M1306" s="124">
        <v>0</v>
      </c>
      <c r="N1306" s="124" t="s">
        <v>250</v>
      </c>
      <c r="O1306" s="124">
        <v>9.7953675635441637E-3</v>
      </c>
      <c r="P1306" s="124">
        <v>9.7953675635441637E-3</v>
      </c>
      <c r="Q1306" s="124">
        <v>0</v>
      </c>
      <c r="R1306" s="124"/>
    </row>
    <row r="1307" spans="1:18" ht="15">
      <c r="A1307" s="105">
        <v>38</v>
      </c>
      <c r="B1307" s="105"/>
      <c r="C1307" s="107" t="s">
        <v>1035</v>
      </c>
      <c r="D1307" s="107" t="s">
        <v>660</v>
      </c>
      <c r="E1307" s="124">
        <v>0.99999999999999989</v>
      </c>
      <c r="F1307" s="124" t="s">
        <v>250</v>
      </c>
      <c r="G1307" s="124">
        <v>0.97870881340228078</v>
      </c>
      <c r="H1307" s="124" t="s">
        <v>250</v>
      </c>
      <c r="I1307" s="124">
        <v>2.1291186597719162E-2</v>
      </c>
      <c r="J1307" s="124">
        <v>0</v>
      </c>
      <c r="K1307" s="124" t="s">
        <v>250</v>
      </c>
      <c r="L1307" s="124" t="s">
        <v>250</v>
      </c>
      <c r="M1307" s="124">
        <v>0</v>
      </c>
      <c r="N1307" s="124" t="s">
        <v>250</v>
      </c>
      <c r="O1307" s="124">
        <v>0</v>
      </c>
      <c r="P1307" s="124">
        <v>0</v>
      </c>
      <c r="Q1307" s="124">
        <v>0</v>
      </c>
      <c r="R1307" s="124"/>
    </row>
    <row r="1308" spans="1:18" ht="15">
      <c r="A1308" s="105">
        <v>39</v>
      </c>
      <c r="B1308" s="105"/>
      <c r="C1308" s="107" t="s">
        <v>1036</v>
      </c>
      <c r="D1308" s="107" t="s">
        <v>662</v>
      </c>
      <c r="E1308" s="124">
        <v>1</v>
      </c>
      <c r="F1308" s="124" t="s">
        <v>250</v>
      </c>
      <c r="G1308" s="124">
        <v>0.97119394698335237</v>
      </c>
      <c r="H1308" s="124" t="s">
        <v>250</v>
      </c>
      <c r="I1308" s="124">
        <v>2.8806053016647633E-2</v>
      </c>
      <c r="J1308" s="124">
        <v>0</v>
      </c>
      <c r="K1308" s="124" t="s">
        <v>250</v>
      </c>
      <c r="L1308" s="124" t="s">
        <v>250</v>
      </c>
      <c r="M1308" s="124">
        <v>0</v>
      </c>
      <c r="N1308" s="124" t="s">
        <v>250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40</v>
      </c>
      <c r="B1309" s="105"/>
      <c r="C1309" s="107" t="s">
        <v>1037</v>
      </c>
      <c r="D1309" s="107" t="s">
        <v>664</v>
      </c>
      <c r="E1309" s="124">
        <v>1.0000000000000002</v>
      </c>
      <c r="F1309" s="124" t="s">
        <v>250</v>
      </c>
      <c r="G1309" s="124">
        <v>0.94796803787029971</v>
      </c>
      <c r="H1309" s="124" t="s">
        <v>250</v>
      </c>
      <c r="I1309" s="124">
        <v>5.1450698659047785E-2</v>
      </c>
      <c r="J1309" s="124">
        <v>5.8126347065258401E-4</v>
      </c>
      <c r="K1309" s="124" t="s">
        <v>250</v>
      </c>
      <c r="L1309" s="124" t="s">
        <v>250</v>
      </c>
      <c r="M1309" s="124">
        <v>0</v>
      </c>
      <c r="N1309" s="124" t="s">
        <v>250</v>
      </c>
      <c r="O1309" s="124">
        <v>5.8126347065258401E-4</v>
      </c>
      <c r="P1309" s="124">
        <v>2.5133858027541342E-4</v>
      </c>
      <c r="Q1309" s="124">
        <v>3.2992489037717059E-4</v>
      </c>
      <c r="R1309" s="124"/>
    </row>
    <row r="1310" spans="1:18" ht="15">
      <c r="A1310" s="105">
        <v>41</v>
      </c>
      <c r="B1310" s="105"/>
      <c r="C1310" s="107" t="s">
        <v>1038</v>
      </c>
      <c r="D1310" s="107" t="s">
        <v>666</v>
      </c>
      <c r="E1310" s="124">
        <v>1</v>
      </c>
      <c r="F1310" s="124" t="s">
        <v>250</v>
      </c>
      <c r="G1310" s="124">
        <v>1</v>
      </c>
      <c r="H1310" s="124" t="s">
        <v>250</v>
      </c>
      <c r="I1310" s="124">
        <v>0</v>
      </c>
      <c r="J1310" s="124">
        <v>0</v>
      </c>
      <c r="K1310" s="124" t="s">
        <v>250</v>
      </c>
      <c r="L1310" s="124" t="s">
        <v>250</v>
      </c>
      <c r="M1310" s="124">
        <v>0</v>
      </c>
      <c r="N1310" s="124" t="s">
        <v>250</v>
      </c>
      <c r="O1310" s="124">
        <v>0</v>
      </c>
      <c r="P1310" s="124">
        <v>0</v>
      </c>
      <c r="Q1310" s="124">
        <v>0</v>
      </c>
      <c r="R1310" s="124"/>
    </row>
    <row r="1311" spans="1:18" ht="15">
      <c r="A1311" s="105">
        <v>42</v>
      </c>
      <c r="B1311" s="105"/>
      <c r="C1311" s="107" t="s">
        <v>1039</v>
      </c>
      <c r="D1311" s="107" t="s">
        <v>676</v>
      </c>
      <c r="E1311" s="124">
        <v>1</v>
      </c>
      <c r="F1311" s="124" t="s">
        <v>250</v>
      </c>
      <c r="G1311" s="124">
        <v>0.96723679435766163</v>
      </c>
      <c r="H1311" s="124" t="s">
        <v>250</v>
      </c>
      <c r="I1311" s="124">
        <v>3.2763205642338408E-2</v>
      </c>
      <c r="J1311" s="124">
        <v>0</v>
      </c>
      <c r="K1311" s="124" t="s">
        <v>250</v>
      </c>
      <c r="L1311" s="124" t="s">
        <v>250</v>
      </c>
      <c r="M1311" s="124">
        <v>0</v>
      </c>
      <c r="N1311" s="124" t="s">
        <v>250</v>
      </c>
      <c r="O1311" s="124">
        <v>0</v>
      </c>
      <c r="P1311" s="124">
        <v>0</v>
      </c>
      <c r="Q1311" s="124">
        <v>0</v>
      </c>
      <c r="R1311" s="124"/>
    </row>
    <row r="1312" spans="1:18" ht="15">
      <c r="A1312" s="105">
        <v>43</v>
      </c>
      <c r="B1312" s="105"/>
      <c r="C1312" s="107" t="s">
        <v>1040</v>
      </c>
      <c r="D1312" s="107" t="s">
        <v>692</v>
      </c>
      <c r="E1312" s="124">
        <v>1</v>
      </c>
      <c r="F1312" s="124" t="s">
        <v>250</v>
      </c>
      <c r="G1312" s="124">
        <v>0.95098968265419803</v>
      </c>
      <c r="H1312" s="124" t="s">
        <v>250</v>
      </c>
      <c r="I1312" s="124">
        <v>4.8607346802948696E-2</v>
      </c>
      <c r="J1312" s="124">
        <v>4.0297054285331742E-4</v>
      </c>
      <c r="K1312" s="124" t="s">
        <v>250</v>
      </c>
      <c r="L1312" s="124" t="s">
        <v>250</v>
      </c>
      <c r="M1312" s="124">
        <v>0</v>
      </c>
      <c r="N1312" s="124" t="s">
        <v>250</v>
      </c>
      <c r="O1312" s="124">
        <v>4.0297054285331742E-4</v>
      </c>
      <c r="P1312" s="124">
        <v>1.6118821714132696E-4</v>
      </c>
      <c r="Q1312" s="124">
        <v>2.4178232571199043E-4</v>
      </c>
      <c r="R1312" s="124"/>
    </row>
    <row r="1313" spans="1:18" ht="15">
      <c r="A1313" s="105">
        <v>44</v>
      </c>
      <c r="B1313" s="105"/>
      <c r="C1313" s="107" t="s">
        <v>1041</v>
      </c>
      <c r="D1313" s="107" t="s">
        <v>702</v>
      </c>
      <c r="E1313" s="124">
        <v>1</v>
      </c>
      <c r="F1313" s="124" t="s">
        <v>250</v>
      </c>
      <c r="G1313" s="124">
        <v>0.99184857287987394</v>
      </c>
      <c r="H1313" s="124" t="s">
        <v>250</v>
      </c>
      <c r="I1313" s="124">
        <v>8.1514271201260681E-3</v>
      </c>
      <c r="J1313" s="124">
        <v>0</v>
      </c>
      <c r="K1313" s="124" t="s">
        <v>250</v>
      </c>
      <c r="L1313" s="124" t="s">
        <v>250</v>
      </c>
      <c r="M1313" s="124">
        <v>0</v>
      </c>
      <c r="N1313" s="124" t="s">
        <v>250</v>
      </c>
      <c r="O1313" s="124">
        <v>0</v>
      </c>
      <c r="P1313" s="124">
        <v>0</v>
      </c>
      <c r="Q1313" s="124">
        <v>0</v>
      </c>
      <c r="R1313" s="124"/>
    </row>
    <row r="1314" spans="1:18" ht="15">
      <c r="A1314" s="105">
        <v>45</v>
      </c>
      <c r="B1314" s="105"/>
      <c r="C1314" s="107" t="s">
        <v>1042</v>
      </c>
      <c r="D1314" s="107" t="s">
        <v>1043</v>
      </c>
      <c r="E1314" s="124">
        <v>0.99999999999999989</v>
      </c>
      <c r="F1314" s="124" t="s">
        <v>250</v>
      </c>
      <c r="G1314" s="124">
        <v>0.92906840678007419</v>
      </c>
      <c r="H1314" s="124" t="s">
        <v>250</v>
      </c>
      <c r="I1314" s="124">
        <v>6.9622793168317043E-2</v>
      </c>
      <c r="J1314" s="124">
        <v>1.308800051608755E-3</v>
      </c>
      <c r="K1314" s="124" t="s">
        <v>250</v>
      </c>
      <c r="L1314" s="124" t="s">
        <v>250</v>
      </c>
      <c r="M1314" s="124">
        <v>0</v>
      </c>
      <c r="N1314" s="124" t="s">
        <v>250</v>
      </c>
      <c r="O1314" s="124">
        <v>1.308800051608755E-3</v>
      </c>
      <c r="P1314" s="124">
        <v>1.2654908182244916E-3</v>
      </c>
      <c r="Q1314" s="124">
        <v>4.3309233384263428E-5</v>
      </c>
      <c r="R1314" s="124"/>
    </row>
    <row r="1315" spans="1:18" ht="15">
      <c r="A1315" s="105" t="s">
        <v>250</v>
      </c>
      <c r="B1315" s="105"/>
      <c r="C1315" s="107" t="s">
        <v>1044</v>
      </c>
      <c r="D1315" s="107" t="s">
        <v>250</v>
      </c>
      <c r="E1315" s="124" t="s">
        <v>250</v>
      </c>
      <c r="F1315" s="124" t="s">
        <v>250</v>
      </c>
      <c r="G1315" s="124" t="s">
        <v>250</v>
      </c>
      <c r="H1315" s="124" t="s">
        <v>250</v>
      </c>
      <c r="I1315" s="124" t="s">
        <v>250</v>
      </c>
      <c r="J1315" s="124" t="s">
        <v>250</v>
      </c>
      <c r="K1315" s="124" t="s">
        <v>250</v>
      </c>
      <c r="L1315" s="124" t="s">
        <v>250</v>
      </c>
      <c r="M1315" s="124" t="s">
        <v>250</v>
      </c>
      <c r="N1315" s="124" t="s">
        <v>250</v>
      </c>
      <c r="O1315" s="124" t="s">
        <v>250</v>
      </c>
      <c r="P1315" s="124" t="s">
        <v>250</v>
      </c>
      <c r="Q1315" s="124" t="s">
        <v>250</v>
      </c>
      <c r="R1315" s="124"/>
    </row>
    <row r="1316" spans="1:18" ht="15">
      <c r="A1316" s="105" t="s">
        <v>250</v>
      </c>
      <c r="B1316" s="105"/>
      <c r="C1316" s="107" t="s">
        <v>917</v>
      </c>
      <c r="D1316" s="107" t="s">
        <v>250</v>
      </c>
      <c r="E1316" s="124" t="s">
        <v>250</v>
      </c>
      <c r="F1316" s="124" t="s">
        <v>250</v>
      </c>
      <c r="G1316" s="124" t="s">
        <v>250</v>
      </c>
      <c r="H1316" s="124" t="s">
        <v>250</v>
      </c>
      <c r="I1316" s="124" t="s">
        <v>250</v>
      </c>
      <c r="J1316" s="124" t="s">
        <v>250</v>
      </c>
      <c r="K1316" s="124" t="s">
        <v>250</v>
      </c>
      <c r="L1316" s="124" t="s">
        <v>250</v>
      </c>
      <c r="M1316" s="124" t="s">
        <v>250</v>
      </c>
      <c r="N1316" s="124" t="s">
        <v>250</v>
      </c>
      <c r="O1316" s="124" t="s">
        <v>250</v>
      </c>
      <c r="P1316" s="124" t="s">
        <v>250</v>
      </c>
      <c r="Q1316" s="124" t="s">
        <v>250</v>
      </c>
      <c r="R1316" s="124"/>
    </row>
    <row r="1317" spans="1:18" ht="15">
      <c r="A1317" s="105">
        <v>1</v>
      </c>
      <c r="B1317" s="105"/>
      <c r="C1317" s="107" t="s">
        <v>1045</v>
      </c>
      <c r="D1317" s="107" t="s">
        <v>711</v>
      </c>
      <c r="E1317" s="124">
        <v>0.99999999999999989</v>
      </c>
      <c r="F1317" s="124" t="s">
        <v>250</v>
      </c>
      <c r="G1317" s="124">
        <v>0.95003497012706106</v>
      </c>
      <c r="H1317" s="124" t="s">
        <v>250</v>
      </c>
      <c r="I1317" s="124">
        <v>4.9965029872938868E-2</v>
      </c>
      <c r="J1317" s="124">
        <v>0</v>
      </c>
      <c r="K1317" s="124" t="s">
        <v>250</v>
      </c>
      <c r="L1317" s="124" t="s">
        <v>250</v>
      </c>
      <c r="M1317" s="124">
        <v>0</v>
      </c>
      <c r="N1317" s="124" t="s">
        <v>250</v>
      </c>
      <c r="O1317" s="124">
        <v>0</v>
      </c>
      <c r="P1317" s="124">
        <v>0</v>
      </c>
      <c r="Q1317" s="124">
        <v>0</v>
      </c>
      <c r="R1317" s="124"/>
    </row>
    <row r="1318" spans="1:18" ht="15">
      <c r="A1318" s="105">
        <v>2</v>
      </c>
      <c r="B1318" s="105"/>
      <c r="C1318" s="107" t="s">
        <v>1046</v>
      </c>
      <c r="D1318" s="107" t="s">
        <v>586</v>
      </c>
      <c r="E1318" s="124">
        <v>1</v>
      </c>
      <c r="F1318" s="124" t="s">
        <v>250</v>
      </c>
      <c r="G1318" s="124">
        <v>0</v>
      </c>
      <c r="H1318" s="124" t="s">
        <v>250</v>
      </c>
      <c r="I1318" s="124">
        <v>0</v>
      </c>
      <c r="J1318" s="124">
        <v>1</v>
      </c>
      <c r="K1318" s="124" t="s">
        <v>250</v>
      </c>
      <c r="L1318" s="124" t="s">
        <v>250</v>
      </c>
      <c r="M1318" s="124">
        <v>0</v>
      </c>
      <c r="N1318" s="124" t="s">
        <v>250</v>
      </c>
      <c r="O1318" s="124">
        <v>1</v>
      </c>
      <c r="P1318" s="124">
        <v>0.51039851831500604</v>
      </c>
      <c r="Q1318" s="124">
        <v>0.48960148168499407</v>
      </c>
      <c r="R1318" s="124"/>
    </row>
    <row r="1319" spans="1:18" ht="15">
      <c r="A1319" s="105">
        <v>3</v>
      </c>
      <c r="B1319" s="105"/>
      <c r="C1319" s="107" t="s">
        <v>1047</v>
      </c>
      <c r="D1319" s="107" t="s">
        <v>735</v>
      </c>
      <c r="E1319" s="124">
        <v>1</v>
      </c>
      <c r="F1319" s="124" t="s">
        <v>250</v>
      </c>
      <c r="G1319" s="124">
        <v>0</v>
      </c>
      <c r="H1319" s="124" t="s">
        <v>250</v>
      </c>
      <c r="I1319" s="124">
        <v>1</v>
      </c>
      <c r="J1319" s="124">
        <v>0</v>
      </c>
      <c r="K1319" s="124" t="s">
        <v>250</v>
      </c>
      <c r="L1319" s="124" t="s">
        <v>250</v>
      </c>
      <c r="M1319" s="124">
        <v>0</v>
      </c>
      <c r="N1319" s="124" t="s">
        <v>250</v>
      </c>
      <c r="O1319" s="124">
        <v>0</v>
      </c>
      <c r="P1319" s="124">
        <v>0</v>
      </c>
      <c r="Q1319" s="124">
        <v>0</v>
      </c>
      <c r="R1319" s="124"/>
    </row>
    <row r="1320" spans="1:18" ht="15">
      <c r="A1320" s="105">
        <v>4</v>
      </c>
      <c r="B1320" s="105"/>
      <c r="C1320" s="107" t="s">
        <v>1048</v>
      </c>
      <c r="D1320" s="107" t="s">
        <v>1049</v>
      </c>
      <c r="E1320" s="124">
        <v>1</v>
      </c>
      <c r="F1320" s="124" t="s">
        <v>250</v>
      </c>
      <c r="G1320" s="124">
        <v>0.94117064893514946</v>
      </c>
      <c r="H1320" s="124" t="s">
        <v>250</v>
      </c>
      <c r="I1320" s="124">
        <v>4.465459836543418E-2</v>
      </c>
      <c r="J1320" s="124">
        <v>1.4174752699416319E-2</v>
      </c>
      <c r="K1320" s="124" t="s">
        <v>250</v>
      </c>
      <c r="L1320" s="124" t="s">
        <v>250</v>
      </c>
      <c r="M1320" s="124">
        <v>0</v>
      </c>
      <c r="N1320" s="124" t="s">
        <v>250</v>
      </c>
      <c r="O1320" s="124">
        <v>1.4174752699416319E-2</v>
      </c>
      <c r="P1320" s="124">
        <v>7.23477277526372E-3</v>
      </c>
      <c r="Q1320" s="124">
        <v>6.939979924152598E-3</v>
      </c>
      <c r="R1320" s="124"/>
    </row>
    <row r="1321" spans="1:18" ht="15">
      <c r="A1321" s="105">
        <v>5</v>
      </c>
      <c r="B1321" s="105"/>
      <c r="C1321" s="107" t="s">
        <v>1050</v>
      </c>
      <c r="D1321" s="107" t="s">
        <v>726</v>
      </c>
      <c r="E1321" s="124">
        <v>1</v>
      </c>
      <c r="F1321" s="124" t="s">
        <v>250</v>
      </c>
      <c r="G1321" s="124">
        <v>0</v>
      </c>
      <c r="H1321" s="124" t="s">
        <v>250</v>
      </c>
      <c r="I1321" s="124">
        <v>1</v>
      </c>
      <c r="J1321" s="124">
        <v>0</v>
      </c>
      <c r="K1321" s="124" t="s">
        <v>250</v>
      </c>
      <c r="L1321" s="124" t="s">
        <v>250</v>
      </c>
      <c r="M1321" s="124">
        <v>0</v>
      </c>
      <c r="N1321" s="124" t="s">
        <v>250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6</v>
      </c>
      <c r="B1322" s="105"/>
      <c r="C1322" s="107" t="s">
        <v>1051</v>
      </c>
      <c r="D1322" s="107" t="s">
        <v>1052</v>
      </c>
      <c r="E1322" s="124">
        <v>1</v>
      </c>
      <c r="F1322" s="124" t="s">
        <v>250</v>
      </c>
      <c r="G1322" s="124">
        <v>0.95470333257571893</v>
      </c>
      <c r="H1322" s="124" t="s">
        <v>250</v>
      </c>
      <c r="I1322" s="124">
        <v>4.5296667424281067E-2</v>
      </c>
      <c r="J1322" s="124">
        <v>0</v>
      </c>
      <c r="K1322" s="124" t="s">
        <v>250</v>
      </c>
      <c r="L1322" s="124" t="s">
        <v>250</v>
      </c>
      <c r="M1322" s="124">
        <v>0</v>
      </c>
      <c r="N1322" s="124" t="s">
        <v>250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7</v>
      </c>
      <c r="B1323" s="105"/>
      <c r="C1323" s="107" t="s">
        <v>1053</v>
      </c>
      <c r="D1323" s="107" t="s">
        <v>746</v>
      </c>
      <c r="E1323" s="124">
        <v>1</v>
      </c>
      <c r="F1323" s="124" t="s">
        <v>250</v>
      </c>
      <c r="G1323" s="124">
        <v>0.99838664753834283</v>
      </c>
      <c r="H1323" s="124" t="s">
        <v>250</v>
      </c>
      <c r="I1323" s="124">
        <v>0</v>
      </c>
      <c r="J1323" s="124">
        <v>1.6133524616571309E-3</v>
      </c>
      <c r="K1323" s="124" t="s">
        <v>250</v>
      </c>
      <c r="L1323" s="124" t="s">
        <v>250</v>
      </c>
      <c r="M1323" s="124">
        <v>0</v>
      </c>
      <c r="N1323" s="124" t="s">
        <v>250</v>
      </c>
      <c r="O1323" s="124">
        <v>1.6133524616571309E-3</v>
      </c>
      <c r="P1323" s="124">
        <v>1.6010746959335591E-3</v>
      </c>
      <c r="Q1323" s="124">
        <v>1.2277765723571848E-5</v>
      </c>
      <c r="R1323" s="124"/>
    </row>
    <row r="1324" spans="1:18" ht="15">
      <c r="A1324" s="105">
        <v>8</v>
      </c>
      <c r="B1324" s="105"/>
      <c r="C1324" s="107" t="s">
        <v>1054</v>
      </c>
      <c r="D1324" s="107" t="s">
        <v>748</v>
      </c>
      <c r="E1324" s="124">
        <v>1</v>
      </c>
      <c r="F1324" s="124" t="s">
        <v>250</v>
      </c>
      <c r="G1324" s="124">
        <v>0</v>
      </c>
      <c r="H1324" s="124" t="s">
        <v>250</v>
      </c>
      <c r="I1324" s="124">
        <v>1</v>
      </c>
      <c r="J1324" s="124">
        <v>0</v>
      </c>
      <c r="K1324" s="124" t="s">
        <v>250</v>
      </c>
      <c r="L1324" s="124" t="s">
        <v>250</v>
      </c>
      <c r="M1324" s="124">
        <v>0</v>
      </c>
      <c r="N1324" s="124" t="s">
        <v>250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9</v>
      </c>
      <c r="B1325" s="105"/>
      <c r="C1325" s="107" t="s">
        <v>1055</v>
      </c>
      <c r="D1325" s="107" t="s">
        <v>750</v>
      </c>
      <c r="E1325" s="124">
        <v>1</v>
      </c>
      <c r="F1325" s="124" t="s">
        <v>250</v>
      </c>
      <c r="G1325" s="124">
        <v>1</v>
      </c>
      <c r="H1325" s="124" t="s">
        <v>250</v>
      </c>
      <c r="I1325" s="124">
        <v>0</v>
      </c>
      <c r="J1325" s="124">
        <v>0</v>
      </c>
      <c r="K1325" s="124" t="s">
        <v>250</v>
      </c>
      <c r="L1325" s="124" t="s">
        <v>250</v>
      </c>
      <c r="M1325" s="124">
        <v>0</v>
      </c>
      <c r="N1325" s="124" t="s">
        <v>250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10</v>
      </c>
      <c r="B1326" s="105"/>
      <c r="C1326" s="107" t="s">
        <v>473</v>
      </c>
      <c r="D1326" s="107" t="s">
        <v>759</v>
      </c>
      <c r="E1326" s="124">
        <v>1.0000000000000002</v>
      </c>
      <c r="F1326" s="124" t="s">
        <v>250</v>
      </c>
      <c r="G1326" s="124">
        <v>0.93626023749015219</v>
      </c>
      <c r="H1326" s="124" t="s">
        <v>250</v>
      </c>
      <c r="I1326" s="124">
        <v>5.1183107294929905E-2</v>
      </c>
      <c r="J1326" s="124">
        <v>1.2556655214918075E-2</v>
      </c>
      <c r="K1326" s="124" t="s">
        <v>250</v>
      </c>
      <c r="L1326" s="124" t="s">
        <v>250</v>
      </c>
      <c r="M1326" s="124">
        <v>0</v>
      </c>
      <c r="N1326" s="124" t="s">
        <v>250</v>
      </c>
      <c r="O1326" s="124">
        <v>1.2556655214918075E-2</v>
      </c>
      <c r="P1326" s="124">
        <v>6.6173705804011022E-3</v>
      </c>
      <c r="Q1326" s="124">
        <v>5.9392846345169724E-3</v>
      </c>
      <c r="R1326" s="124"/>
    </row>
    <row r="1327" spans="1:18" ht="15">
      <c r="A1327" s="105">
        <v>11</v>
      </c>
      <c r="B1327" s="105"/>
      <c r="C1327" s="107" t="s">
        <v>546</v>
      </c>
      <c r="D1327" s="107" t="s">
        <v>781</v>
      </c>
      <c r="E1327" s="124">
        <v>0.99999999999999989</v>
      </c>
      <c r="F1327" s="124" t="s">
        <v>250</v>
      </c>
      <c r="G1327" s="124">
        <v>0.9363240823636807</v>
      </c>
      <c r="H1327" s="124" t="s">
        <v>250</v>
      </c>
      <c r="I1327" s="124">
        <v>5.1167828730851059E-2</v>
      </c>
      <c r="J1327" s="124">
        <v>1.250808890546821E-2</v>
      </c>
      <c r="K1327" s="124" t="s">
        <v>250</v>
      </c>
      <c r="L1327" s="124" t="s">
        <v>250</v>
      </c>
      <c r="M1327" s="124">
        <v>0</v>
      </c>
      <c r="N1327" s="124" t="s">
        <v>250</v>
      </c>
      <c r="O1327" s="124">
        <v>1.250808890546821E-2</v>
      </c>
      <c r="P1327" s="124">
        <v>6.597072409610898E-3</v>
      </c>
      <c r="Q1327" s="124">
        <v>5.9110164958573116E-3</v>
      </c>
      <c r="R1327" s="124"/>
    </row>
    <row r="1328" spans="1:18" ht="15">
      <c r="A1328" s="105">
        <v>12</v>
      </c>
      <c r="B1328" s="105"/>
      <c r="C1328" s="107" t="s">
        <v>1056</v>
      </c>
      <c r="D1328" s="107" t="s">
        <v>785</v>
      </c>
      <c r="E1328" s="124">
        <v>1</v>
      </c>
      <c r="F1328" s="124" t="s">
        <v>250</v>
      </c>
      <c r="G1328" s="124">
        <v>0.77161431863697205</v>
      </c>
      <c r="H1328" s="124" t="s">
        <v>250</v>
      </c>
      <c r="I1328" s="124">
        <v>0</v>
      </c>
      <c r="J1328" s="124">
        <v>0.22838568136302798</v>
      </c>
      <c r="K1328" s="124" t="s">
        <v>250</v>
      </c>
      <c r="L1328" s="124" t="s">
        <v>250</v>
      </c>
      <c r="M1328" s="124">
        <v>0</v>
      </c>
      <c r="N1328" s="124" t="s">
        <v>250</v>
      </c>
      <c r="O1328" s="124">
        <v>0.22838568136302798</v>
      </c>
      <c r="P1328" s="124">
        <v>0.11584999714861742</v>
      </c>
      <c r="Q1328" s="124">
        <v>0.11253568421441056</v>
      </c>
      <c r="R1328" s="124"/>
    </row>
    <row r="1329" spans="1:18" ht="15">
      <c r="A1329" s="105">
        <v>13</v>
      </c>
      <c r="B1329" s="105"/>
      <c r="C1329" s="107" t="s">
        <v>1152</v>
      </c>
      <c r="D1329" s="107" t="s">
        <v>1058</v>
      </c>
      <c r="E1329" s="124">
        <v>1</v>
      </c>
      <c r="F1329" s="124" t="s">
        <v>250</v>
      </c>
      <c r="G1329" s="124">
        <v>0.9383650041430297</v>
      </c>
      <c r="H1329" s="124" t="s">
        <v>250</v>
      </c>
      <c r="I1329" s="124">
        <v>4.8389333433620688E-2</v>
      </c>
      <c r="J1329" s="124">
        <v>1.3245662423349604E-2</v>
      </c>
      <c r="K1329" s="124" t="s">
        <v>250</v>
      </c>
      <c r="L1329" s="124" t="s">
        <v>250</v>
      </c>
      <c r="M1329" s="124">
        <v>0</v>
      </c>
      <c r="N1329" s="124" t="s">
        <v>250</v>
      </c>
      <c r="O1329" s="124">
        <v>1.3245662423349604E-2</v>
      </c>
      <c r="P1329" s="124">
        <v>6.9306703747365915E-3</v>
      </c>
      <c r="Q1329" s="124">
        <v>6.3149920486130122E-3</v>
      </c>
      <c r="R1329" s="124"/>
    </row>
    <row r="1330" spans="1:18" ht="15">
      <c r="A1330" s="105">
        <v>14</v>
      </c>
      <c r="B1330" s="105"/>
      <c r="C1330" s="107" t="s">
        <v>1059</v>
      </c>
      <c r="D1330" s="107" t="s">
        <v>1060</v>
      </c>
      <c r="E1330" s="124">
        <v>0.99999999999999989</v>
      </c>
      <c r="F1330" s="124" t="s">
        <v>250</v>
      </c>
      <c r="G1330" s="124">
        <v>0.9411306393644292</v>
      </c>
      <c r="H1330" s="124" t="s">
        <v>250</v>
      </c>
      <c r="I1330" s="124">
        <v>3.8636485505603002E-2</v>
      </c>
      <c r="J1330" s="124">
        <v>2.0232875129967753E-2</v>
      </c>
      <c r="K1330" s="124" t="s">
        <v>250</v>
      </c>
      <c r="L1330" s="124" t="s">
        <v>250</v>
      </c>
      <c r="M1330" s="124">
        <v>0</v>
      </c>
      <c r="N1330" s="124" t="s">
        <v>250</v>
      </c>
      <c r="O1330" s="124">
        <v>2.0232875129967753E-2</v>
      </c>
      <c r="P1330" s="124">
        <v>1.0365062810383203E-2</v>
      </c>
      <c r="Q1330" s="124">
        <v>9.8678123195845499E-3</v>
      </c>
      <c r="R1330" s="124"/>
    </row>
    <row r="1331" spans="1:18" ht="15">
      <c r="A1331" s="105">
        <v>15</v>
      </c>
      <c r="B1331" s="105"/>
      <c r="C1331" s="107" t="s">
        <v>1061</v>
      </c>
      <c r="D1331" s="107" t="s">
        <v>1062</v>
      </c>
      <c r="E1331" s="124">
        <v>1</v>
      </c>
      <c r="F1331" s="124" t="s">
        <v>250</v>
      </c>
      <c r="G1331" s="124">
        <v>0.94529311781210645</v>
      </c>
      <c r="H1331" s="124" t="s">
        <v>250</v>
      </c>
      <c r="I1331" s="124">
        <v>3.594996568487685E-2</v>
      </c>
      <c r="J1331" s="124">
        <v>1.8756916503016779E-2</v>
      </c>
      <c r="K1331" s="124" t="s">
        <v>250</v>
      </c>
      <c r="L1331" s="124" t="s">
        <v>250</v>
      </c>
      <c r="M1331" s="124">
        <v>0</v>
      </c>
      <c r="N1331" s="124" t="s">
        <v>250</v>
      </c>
      <c r="O1331" s="124">
        <v>1.8756916503016779E-2</v>
      </c>
      <c r="P1331" s="124">
        <v>9.6052943797521311E-3</v>
      </c>
      <c r="Q1331" s="124">
        <v>9.1516221232646501E-3</v>
      </c>
      <c r="R1331" s="124"/>
    </row>
    <row r="1332" spans="1:18" ht="15">
      <c r="A1332" s="105">
        <v>16</v>
      </c>
      <c r="B1332" s="105"/>
      <c r="C1332" s="107" t="s">
        <v>1063</v>
      </c>
      <c r="D1332" s="107" t="s">
        <v>1064</v>
      </c>
      <c r="E1332" s="124">
        <v>1</v>
      </c>
      <c r="F1332" s="124" t="s">
        <v>250</v>
      </c>
      <c r="G1332" s="124">
        <v>0.93802824300006515</v>
      </c>
      <c r="H1332" s="124" t="s">
        <v>250</v>
      </c>
      <c r="I1332" s="124">
        <v>4.2466645295426403E-2</v>
      </c>
      <c r="J1332" s="124">
        <v>1.9505111704508409E-2</v>
      </c>
      <c r="K1332" s="124" t="s">
        <v>250</v>
      </c>
      <c r="L1332" s="124" t="s">
        <v>250</v>
      </c>
      <c r="M1332" s="124">
        <v>0</v>
      </c>
      <c r="N1332" s="124" t="s">
        <v>250</v>
      </c>
      <c r="O1332" s="124">
        <v>1.9505111704508409E-2</v>
      </c>
      <c r="P1332" s="124">
        <v>9.8940840855908738E-3</v>
      </c>
      <c r="Q1332" s="124">
        <v>9.611027618917533E-3</v>
      </c>
      <c r="R1332" s="124"/>
    </row>
    <row r="1333" spans="1:18" ht="15">
      <c r="A1333" s="105">
        <v>17</v>
      </c>
      <c r="B1333" s="105"/>
      <c r="C1333" s="107" t="s">
        <v>1065</v>
      </c>
      <c r="D1333" s="107" t="s">
        <v>1066</v>
      </c>
      <c r="E1333" s="124">
        <v>0.99999999999999989</v>
      </c>
      <c r="F1333" s="124" t="s">
        <v>250</v>
      </c>
      <c r="G1333" s="124">
        <v>0.93874955192258869</v>
      </c>
      <c r="H1333" s="124" t="s">
        <v>250</v>
      </c>
      <c r="I1333" s="124">
        <v>4.158467897497245E-2</v>
      </c>
      <c r="J1333" s="124">
        <v>1.9665769102438786E-2</v>
      </c>
      <c r="K1333" s="124" t="s">
        <v>250</v>
      </c>
      <c r="L1333" s="124" t="s">
        <v>250</v>
      </c>
      <c r="M1333" s="124">
        <v>0</v>
      </c>
      <c r="N1333" s="124" t="s">
        <v>250</v>
      </c>
      <c r="O1333" s="124">
        <v>1.9665769102438786E-2</v>
      </c>
      <c r="P1333" s="124">
        <v>9.9988418018879116E-3</v>
      </c>
      <c r="Q1333" s="124">
        <v>9.6669273005508764E-3</v>
      </c>
      <c r="R1333" s="124"/>
    </row>
    <row r="1334" spans="1:18" ht="15">
      <c r="A1334" s="105">
        <v>18</v>
      </c>
      <c r="B1334" s="105"/>
      <c r="C1334" s="107" t="s">
        <v>1067</v>
      </c>
      <c r="D1334" s="107" t="s">
        <v>1068</v>
      </c>
      <c r="E1334" s="124">
        <v>0.99999999999999989</v>
      </c>
      <c r="F1334" s="124" t="s">
        <v>250</v>
      </c>
      <c r="G1334" s="124">
        <v>0.94180220381985869</v>
      </c>
      <c r="H1334" s="124" t="s">
        <v>250</v>
      </c>
      <c r="I1334" s="124">
        <v>3.7851962930741188E-2</v>
      </c>
      <c r="J1334" s="124">
        <v>2.0345833249400008E-2</v>
      </c>
      <c r="K1334" s="124" t="s">
        <v>250</v>
      </c>
      <c r="L1334" s="124" t="s">
        <v>250</v>
      </c>
      <c r="M1334" s="124">
        <v>0</v>
      </c>
      <c r="N1334" s="124" t="s">
        <v>250</v>
      </c>
      <c r="O1334" s="124">
        <v>2.0345833249400008E-2</v>
      </c>
      <c r="P1334" s="124">
        <v>1.0442240581680629E-2</v>
      </c>
      <c r="Q1334" s="124">
        <v>9.9035926677193773E-3</v>
      </c>
      <c r="R1334" s="124"/>
    </row>
    <row r="1335" spans="1:18" ht="15">
      <c r="A1335" s="105">
        <v>19</v>
      </c>
      <c r="B1335" s="105"/>
      <c r="C1335" s="107" t="s">
        <v>1069</v>
      </c>
      <c r="D1335" s="107" t="s">
        <v>1070</v>
      </c>
      <c r="E1335" s="124">
        <v>1</v>
      </c>
      <c r="F1335" s="124" t="s">
        <v>250</v>
      </c>
      <c r="G1335" s="124">
        <v>0.92975177648625984</v>
      </c>
      <c r="H1335" s="124" t="s">
        <v>250</v>
      </c>
      <c r="I1335" s="124">
        <v>4.7774940460934667E-2</v>
      </c>
      <c r="J1335" s="124">
        <v>2.2473283052805507E-2</v>
      </c>
      <c r="K1335" s="124" t="s">
        <v>250</v>
      </c>
      <c r="L1335" s="124" t="s">
        <v>250</v>
      </c>
      <c r="M1335" s="124">
        <v>0</v>
      </c>
      <c r="N1335" s="124" t="s">
        <v>250</v>
      </c>
      <c r="O1335" s="124">
        <v>2.2473283052805507E-2</v>
      </c>
      <c r="P1335" s="124">
        <v>1.1399706680600427E-2</v>
      </c>
      <c r="Q1335" s="124">
        <v>1.1073576372205081E-2</v>
      </c>
      <c r="R1335" s="124"/>
    </row>
    <row r="1336" spans="1:18" ht="15">
      <c r="A1336" s="105">
        <v>20</v>
      </c>
      <c r="B1336" s="105"/>
      <c r="C1336" s="107" t="s">
        <v>1153</v>
      </c>
      <c r="D1336" s="107" t="s">
        <v>1072</v>
      </c>
      <c r="E1336" s="124">
        <v>0</v>
      </c>
      <c r="F1336" s="124" t="s">
        <v>250</v>
      </c>
      <c r="G1336" s="124">
        <v>0</v>
      </c>
      <c r="H1336" s="124" t="s">
        <v>250</v>
      </c>
      <c r="I1336" s="124">
        <v>0</v>
      </c>
      <c r="J1336" s="124">
        <v>0</v>
      </c>
      <c r="K1336" s="124" t="s">
        <v>250</v>
      </c>
      <c r="L1336" s="124" t="s">
        <v>250</v>
      </c>
      <c r="M1336" s="124">
        <v>0</v>
      </c>
      <c r="N1336" s="124" t="s">
        <v>250</v>
      </c>
      <c r="O1336" s="124">
        <v>0</v>
      </c>
      <c r="P1336" s="124">
        <v>0</v>
      </c>
      <c r="Q1336" s="124">
        <v>0</v>
      </c>
      <c r="R1336" s="124"/>
    </row>
    <row r="1337" spans="1:18" ht="15">
      <c r="A1337" s="105">
        <v>21</v>
      </c>
      <c r="B1337" s="105"/>
      <c r="C1337" s="107" t="s">
        <v>1154</v>
      </c>
      <c r="D1337" s="107" t="s">
        <v>1074</v>
      </c>
      <c r="E1337" s="124">
        <v>0</v>
      </c>
      <c r="F1337" s="124" t="s">
        <v>250</v>
      </c>
      <c r="G1337" s="124">
        <v>0</v>
      </c>
      <c r="H1337" s="124" t="s">
        <v>250</v>
      </c>
      <c r="I1337" s="124">
        <v>0</v>
      </c>
      <c r="J1337" s="124">
        <v>0</v>
      </c>
      <c r="K1337" s="124" t="s">
        <v>250</v>
      </c>
      <c r="L1337" s="124" t="s">
        <v>250</v>
      </c>
      <c r="M1337" s="124">
        <v>0</v>
      </c>
      <c r="N1337" s="124" t="s">
        <v>250</v>
      </c>
      <c r="O1337" s="124">
        <v>0</v>
      </c>
      <c r="P1337" s="124">
        <v>0</v>
      </c>
      <c r="Q1337" s="124">
        <v>0</v>
      </c>
      <c r="R1337" s="124"/>
    </row>
    <row r="1338" spans="1:18" ht="15">
      <c r="A1338" s="105">
        <v>22</v>
      </c>
      <c r="B1338" s="105"/>
      <c r="C1338" s="107" t="s">
        <v>1155</v>
      </c>
      <c r="D1338" s="107" t="s">
        <v>1076</v>
      </c>
      <c r="E1338" s="124">
        <v>0</v>
      </c>
      <c r="F1338" s="124" t="s">
        <v>250</v>
      </c>
      <c r="G1338" s="124">
        <v>0</v>
      </c>
      <c r="H1338" s="124" t="s">
        <v>250</v>
      </c>
      <c r="I1338" s="124">
        <v>0</v>
      </c>
      <c r="J1338" s="124">
        <v>0</v>
      </c>
      <c r="K1338" s="124" t="s">
        <v>250</v>
      </c>
      <c r="L1338" s="124" t="s">
        <v>250</v>
      </c>
      <c r="M1338" s="124">
        <v>0</v>
      </c>
      <c r="N1338" s="124" t="s">
        <v>250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23</v>
      </c>
      <c r="B1339" s="105"/>
      <c r="C1339" s="107" t="s">
        <v>1156</v>
      </c>
      <c r="D1339" s="107" t="s">
        <v>1078</v>
      </c>
      <c r="E1339" s="124">
        <v>0</v>
      </c>
      <c r="F1339" s="124" t="s">
        <v>250</v>
      </c>
      <c r="G1339" s="124">
        <v>0</v>
      </c>
      <c r="H1339" s="124" t="s">
        <v>250</v>
      </c>
      <c r="I1339" s="124">
        <v>0</v>
      </c>
      <c r="J1339" s="124">
        <v>0</v>
      </c>
      <c r="K1339" s="124" t="s">
        <v>250</v>
      </c>
      <c r="L1339" s="124" t="s">
        <v>250</v>
      </c>
      <c r="M1339" s="124">
        <v>0</v>
      </c>
      <c r="N1339" s="124" t="s">
        <v>250</v>
      </c>
      <c r="O1339" s="124">
        <v>0</v>
      </c>
      <c r="P1339" s="124">
        <v>0</v>
      </c>
      <c r="Q1339" s="124">
        <v>0</v>
      </c>
      <c r="R1339" s="124"/>
    </row>
    <row r="1340" spans="1:18" ht="15">
      <c r="A1340" s="105">
        <v>24</v>
      </c>
      <c r="B1340" s="105"/>
      <c r="C1340" s="107" t="s">
        <v>1157</v>
      </c>
      <c r="D1340" s="107" t="s">
        <v>1080</v>
      </c>
      <c r="E1340" s="124">
        <v>0</v>
      </c>
      <c r="F1340" s="124" t="s">
        <v>250</v>
      </c>
      <c r="G1340" s="124">
        <v>0</v>
      </c>
      <c r="H1340" s="124" t="s">
        <v>250</v>
      </c>
      <c r="I1340" s="124">
        <v>0</v>
      </c>
      <c r="J1340" s="124">
        <v>0</v>
      </c>
      <c r="K1340" s="124" t="s">
        <v>250</v>
      </c>
      <c r="L1340" s="124" t="s">
        <v>250</v>
      </c>
      <c r="M1340" s="124">
        <v>0</v>
      </c>
      <c r="N1340" s="124" t="s">
        <v>250</v>
      </c>
      <c r="O1340" s="124">
        <v>0</v>
      </c>
      <c r="P1340" s="124">
        <v>0</v>
      </c>
      <c r="Q1340" s="124">
        <v>0</v>
      </c>
      <c r="R1340" s="124"/>
    </row>
    <row r="1341" spans="1:18" ht="15">
      <c r="A1341" s="105">
        <v>25</v>
      </c>
      <c r="B1341" s="105"/>
      <c r="C1341" s="107" t="s">
        <v>1158</v>
      </c>
      <c r="D1341" s="107" t="s">
        <v>1082</v>
      </c>
      <c r="E1341" s="124">
        <v>0</v>
      </c>
      <c r="F1341" s="124" t="s">
        <v>250</v>
      </c>
      <c r="G1341" s="124">
        <v>0</v>
      </c>
      <c r="H1341" s="124" t="s">
        <v>250</v>
      </c>
      <c r="I1341" s="124">
        <v>0</v>
      </c>
      <c r="J1341" s="124">
        <v>0</v>
      </c>
      <c r="K1341" s="124" t="s">
        <v>250</v>
      </c>
      <c r="L1341" s="124" t="s">
        <v>250</v>
      </c>
      <c r="M1341" s="124">
        <v>0</v>
      </c>
      <c r="N1341" s="124" t="s">
        <v>250</v>
      </c>
      <c r="O1341" s="124">
        <v>0</v>
      </c>
      <c r="P1341" s="124">
        <v>0</v>
      </c>
      <c r="Q1341" s="124">
        <v>0</v>
      </c>
      <c r="R1341" s="124"/>
    </row>
    <row r="1342" spans="1:18" ht="15">
      <c r="A1342" s="105">
        <v>26</v>
      </c>
      <c r="B1342" s="105"/>
      <c r="C1342" s="107" t="s">
        <v>1083</v>
      </c>
      <c r="D1342" s="107" t="s">
        <v>1084</v>
      </c>
      <c r="E1342" s="124">
        <v>1</v>
      </c>
      <c r="F1342" s="124" t="s">
        <v>250</v>
      </c>
      <c r="G1342" s="124">
        <v>0.89295688000682583</v>
      </c>
      <c r="H1342" s="124" t="s">
        <v>250</v>
      </c>
      <c r="I1342" s="124">
        <v>0.10704311999317419</v>
      </c>
      <c r="J1342" s="124">
        <v>0</v>
      </c>
      <c r="K1342" s="124" t="s">
        <v>250</v>
      </c>
      <c r="L1342" s="124" t="s">
        <v>250</v>
      </c>
      <c r="M1342" s="124">
        <v>0</v>
      </c>
      <c r="N1342" s="124" t="s">
        <v>250</v>
      </c>
      <c r="O1342" s="124">
        <v>0</v>
      </c>
      <c r="P1342" s="124">
        <v>0</v>
      </c>
      <c r="Q1342" s="124">
        <v>0</v>
      </c>
      <c r="R1342" s="124"/>
    </row>
    <row r="1343" spans="1:18" ht="15">
      <c r="A1343" s="105">
        <v>27</v>
      </c>
      <c r="B1343" s="105"/>
      <c r="C1343" s="107" t="s">
        <v>1085</v>
      </c>
      <c r="D1343" s="107" t="s">
        <v>1086</v>
      </c>
      <c r="E1343" s="124">
        <v>1</v>
      </c>
      <c r="F1343" s="124" t="s">
        <v>250</v>
      </c>
      <c r="G1343" s="124">
        <v>0.89295688000682583</v>
      </c>
      <c r="H1343" s="124" t="s">
        <v>250</v>
      </c>
      <c r="I1343" s="124">
        <v>0.10704311999317419</v>
      </c>
      <c r="J1343" s="124">
        <v>0</v>
      </c>
      <c r="K1343" s="124" t="s">
        <v>250</v>
      </c>
      <c r="L1343" s="124" t="s">
        <v>250</v>
      </c>
      <c r="M1343" s="124">
        <v>0</v>
      </c>
      <c r="N1343" s="124" t="s">
        <v>250</v>
      </c>
      <c r="O1343" s="124">
        <v>0</v>
      </c>
      <c r="P1343" s="124">
        <v>0</v>
      </c>
      <c r="Q1343" s="124">
        <v>0</v>
      </c>
      <c r="R1343" s="124"/>
    </row>
    <row r="1344" spans="1:18" ht="15">
      <c r="A1344" s="105">
        <v>28</v>
      </c>
      <c r="B1344" s="105"/>
      <c r="C1344" s="107" t="s">
        <v>1087</v>
      </c>
      <c r="D1344" s="107" t="s">
        <v>634</v>
      </c>
      <c r="E1344" s="124">
        <v>1.0000000000000002</v>
      </c>
      <c r="F1344" s="124" t="s">
        <v>250</v>
      </c>
      <c r="G1344" s="124">
        <v>0.89295688000682594</v>
      </c>
      <c r="H1344" s="124" t="s">
        <v>250</v>
      </c>
      <c r="I1344" s="124">
        <v>0.10704311999317419</v>
      </c>
      <c r="J1344" s="124">
        <v>0</v>
      </c>
      <c r="K1344" s="124" t="s">
        <v>250</v>
      </c>
      <c r="L1344" s="124" t="s">
        <v>250</v>
      </c>
      <c r="M1344" s="124">
        <v>0</v>
      </c>
      <c r="N1344" s="124" t="s">
        <v>250</v>
      </c>
      <c r="O1344" s="124">
        <v>0</v>
      </c>
      <c r="P1344" s="124">
        <v>0</v>
      </c>
      <c r="Q1344" s="124">
        <v>0</v>
      </c>
      <c r="R1344" s="124"/>
    </row>
    <row r="1345" spans="1:18" ht="15">
      <c r="A1345" s="105">
        <v>29</v>
      </c>
      <c r="B1345" s="105"/>
      <c r="C1345" s="107" t="s">
        <v>1088</v>
      </c>
      <c r="D1345" s="107" t="s">
        <v>1089</v>
      </c>
      <c r="E1345" s="124">
        <v>0</v>
      </c>
      <c r="F1345" s="124" t="s">
        <v>250</v>
      </c>
      <c r="G1345" s="124">
        <v>0</v>
      </c>
      <c r="H1345" s="124" t="s">
        <v>250</v>
      </c>
      <c r="I1345" s="124">
        <v>0</v>
      </c>
      <c r="J1345" s="124">
        <v>0</v>
      </c>
      <c r="K1345" s="124" t="s">
        <v>250</v>
      </c>
      <c r="L1345" s="124" t="s">
        <v>250</v>
      </c>
      <c r="M1345" s="124">
        <v>0</v>
      </c>
      <c r="N1345" s="124" t="s">
        <v>250</v>
      </c>
      <c r="O1345" s="124">
        <v>0</v>
      </c>
      <c r="P1345" s="124">
        <v>0</v>
      </c>
      <c r="Q1345" s="124">
        <v>0</v>
      </c>
      <c r="R1345" s="124"/>
    </row>
    <row r="1346" spans="1:18" ht="15">
      <c r="A1346" s="105">
        <v>30</v>
      </c>
      <c r="B1346" s="105"/>
      <c r="C1346" s="107" t="s">
        <v>1090</v>
      </c>
      <c r="D1346" s="107" t="s">
        <v>1091</v>
      </c>
      <c r="E1346" s="124">
        <v>1</v>
      </c>
      <c r="F1346" s="124" t="s">
        <v>250</v>
      </c>
      <c r="G1346" s="124">
        <v>0.94685922151477531</v>
      </c>
      <c r="H1346" s="124" t="s">
        <v>250</v>
      </c>
      <c r="I1346" s="124">
        <v>5.1657454375874684E-2</v>
      </c>
      <c r="J1346" s="124">
        <v>1.4833241093500859E-3</v>
      </c>
      <c r="K1346" s="124" t="s">
        <v>250</v>
      </c>
      <c r="L1346" s="124" t="s">
        <v>250</v>
      </c>
      <c r="M1346" s="124">
        <v>0</v>
      </c>
      <c r="N1346" s="124" t="s">
        <v>250</v>
      </c>
      <c r="O1346" s="124">
        <v>1.4833241093500859E-3</v>
      </c>
      <c r="P1346" s="124">
        <v>1.3615480302384582E-3</v>
      </c>
      <c r="Q1346" s="124">
        <v>1.2177607911162771E-4</v>
      </c>
      <c r="R1346" s="124"/>
    </row>
    <row r="1347" spans="1:18" ht="15">
      <c r="A1347" s="105">
        <v>31</v>
      </c>
      <c r="B1347" s="105"/>
      <c r="C1347" s="107" t="s">
        <v>1092</v>
      </c>
      <c r="D1347" s="107" t="s">
        <v>1093</v>
      </c>
      <c r="E1347" s="124">
        <v>1</v>
      </c>
      <c r="F1347" s="124" t="s">
        <v>250</v>
      </c>
      <c r="G1347" s="124">
        <v>0.93716305348328977</v>
      </c>
      <c r="H1347" s="124" t="s">
        <v>250</v>
      </c>
      <c r="I1347" s="124">
        <v>6.2365661384468869E-2</v>
      </c>
      <c r="J1347" s="124">
        <v>4.7128513224137009E-4</v>
      </c>
      <c r="K1347" s="124" t="s">
        <v>250</v>
      </c>
      <c r="L1347" s="124" t="s">
        <v>250</v>
      </c>
      <c r="M1347" s="124">
        <v>0</v>
      </c>
      <c r="N1347" s="124" t="s">
        <v>250</v>
      </c>
      <c r="O1347" s="124">
        <v>4.7128513224137009E-4</v>
      </c>
      <c r="P1347" s="124">
        <v>4.7106530799812435E-4</v>
      </c>
      <c r="Q1347" s="124">
        <v>2.1982424324574655E-7</v>
      </c>
      <c r="R1347" s="124"/>
    </row>
    <row r="1348" spans="1:18" ht="15">
      <c r="A1348" s="105">
        <v>32</v>
      </c>
      <c r="B1348" s="105"/>
      <c r="C1348" s="107" t="s">
        <v>1094</v>
      </c>
      <c r="D1348" s="107" t="s">
        <v>1095</v>
      </c>
      <c r="E1348" s="124">
        <v>1.0000000000000002</v>
      </c>
      <c r="F1348" s="124" t="s">
        <v>250</v>
      </c>
      <c r="G1348" s="124">
        <v>0.95194524158409444</v>
      </c>
      <c r="H1348" s="124" t="s">
        <v>250</v>
      </c>
      <c r="I1348" s="124">
        <v>4.6516529143470708E-2</v>
      </c>
      <c r="J1348" s="124">
        <v>1.5382292724349985E-3</v>
      </c>
      <c r="K1348" s="124" t="s">
        <v>250</v>
      </c>
      <c r="L1348" s="124" t="s">
        <v>250</v>
      </c>
      <c r="M1348" s="124">
        <v>0</v>
      </c>
      <c r="N1348" s="124" t="s">
        <v>250</v>
      </c>
      <c r="O1348" s="124">
        <v>1.5382292724349985E-3</v>
      </c>
      <c r="P1348" s="124">
        <v>1.5265232013284414E-3</v>
      </c>
      <c r="Q1348" s="124">
        <v>1.1706071106557084E-5</v>
      </c>
      <c r="R1348" s="124"/>
    </row>
    <row r="1349" spans="1:18" ht="15">
      <c r="A1349" s="105">
        <v>33</v>
      </c>
      <c r="B1349" s="105"/>
      <c r="C1349" s="107" t="s">
        <v>1096</v>
      </c>
      <c r="D1349" s="107" t="s">
        <v>1097</v>
      </c>
      <c r="E1349" s="124">
        <v>0</v>
      </c>
      <c r="F1349" s="124" t="s">
        <v>250</v>
      </c>
      <c r="G1349" s="124">
        <v>0</v>
      </c>
      <c r="H1349" s="124" t="s">
        <v>250</v>
      </c>
      <c r="I1349" s="124">
        <v>0</v>
      </c>
      <c r="J1349" s="124">
        <v>0</v>
      </c>
      <c r="K1349" s="124" t="s">
        <v>250</v>
      </c>
      <c r="L1349" s="124" t="s">
        <v>250</v>
      </c>
      <c r="M1349" s="124">
        <v>0</v>
      </c>
      <c r="N1349" s="124" t="s">
        <v>250</v>
      </c>
      <c r="O1349" s="124">
        <v>0</v>
      </c>
      <c r="P1349" s="124">
        <v>0</v>
      </c>
      <c r="Q1349" s="124">
        <v>0</v>
      </c>
      <c r="R1349" s="124"/>
    </row>
    <row r="1350" spans="1:18" ht="15">
      <c r="A1350" s="105">
        <v>34</v>
      </c>
      <c r="B1350" s="105"/>
      <c r="C1350" s="107" t="s">
        <v>1098</v>
      </c>
      <c r="D1350" s="107" t="s">
        <v>882</v>
      </c>
      <c r="E1350" s="124">
        <v>1</v>
      </c>
      <c r="F1350" s="124" t="s">
        <v>250</v>
      </c>
      <c r="G1350" s="124">
        <v>0.95098968265419803</v>
      </c>
      <c r="H1350" s="124" t="s">
        <v>250</v>
      </c>
      <c r="I1350" s="124">
        <v>4.8607346802948689E-2</v>
      </c>
      <c r="J1350" s="124">
        <v>4.0297054285331731E-4</v>
      </c>
      <c r="K1350" s="124" t="s">
        <v>250</v>
      </c>
      <c r="L1350" s="124" t="s">
        <v>250</v>
      </c>
      <c r="M1350" s="124">
        <v>0</v>
      </c>
      <c r="N1350" s="124" t="s">
        <v>250</v>
      </c>
      <c r="O1350" s="124">
        <v>4.0297054285331731E-4</v>
      </c>
      <c r="P1350" s="124">
        <v>1.6118821714132693E-4</v>
      </c>
      <c r="Q1350" s="124">
        <v>2.417823257119904E-4</v>
      </c>
      <c r="R1350" s="124"/>
    </row>
    <row r="1351" spans="1:18" ht="15">
      <c r="A1351" s="105">
        <v>35</v>
      </c>
      <c r="B1351" s="105"/>
      <c r="C1351" s="107" t="s">
        <v>1099</v>
      </c>
      <c r="D1351" s="107" t="s">
        <v>684</v>
      </c>
      <c r="E1351" s="124">
        <v>1</v>
      </c>
      <c r="F1351" s="124" t="s">
        <v>250</v>
      </c>
      <c r="G1351" s="124">
        <v>0.95098968265419803</v>
      </c>
      <c r="H1351" s="124" t="s">
        <v>250</v>
      </c>
      <c r="I1351" s="124">
        <v>4.8607346802948689E-2</v>
      </c>
      <c r="J1351" s="124">
        <v>4.0297054285331731E-4</v>
      </c>
      <c r="K1351" s="124" t="s">
        <v>250</v>
      </c>
      <c r="L1351" s="124" t="s">
        <v>250</v>
      </c>
      <c r="M1351" s="124">
        <v>0</v>
      </c>
      <c r="N1351" s="124" t="s">
        <v>250</v>
      </c>
      <c r="O1351" s="124">
        <v>4.0297054285331731E-4</v>
      </c>
      <c r="P1351" s="124">
        <v>1.6118821714132693E-4</v>
      </c>
      <c r="Q1351" s="124">
        <v>2.417823257119904E-4</v>
      </c>
      <c r="R1351" s="124"/>
    </row>
    <row r="1352" spans="1:18" ht="15">
      <c r="A1352" s="105">
        <v>36</v>
      </c>
      <c r="B1352" s="105"/>
      <c r="C1352" s="107" t="s">
        <v>1159</v>
      </c>
      <c r="D1352" s="107" t="s">
        <v>890</v>
      </c>
      <c r="E1352" s="124">
        <v>1</v>
      </c>
      <c r="F1352" s="124" t="s">
        <v>250</v>
      </c>
      <c r="G1352" s="124">
        <v>0.98819951355783564</v>
      </c>
      <c r="H1352" s="124" t="s">
        <v>250</v>
      </c>
      <c r="I1352" s="124">
        <v>1.1800486442164431E-2</v>
      </c>
      <c r="J1352" s="124">
        <v>0</v>
      </c>
      <c r="K1352" s="124" t="s">
        <v>250</v>
      </c>
      <c r="L1352" s="124" t="s">
        <v>250</v>
      </c>
      <c r="M1352" s="124">
        <v>0</v>
      </c>
      <c r="N1352" s="124" t="s">
        <v>250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37</v>
      </c>
      <c r="B1353" s="105"/>
      <c r="C1353" s="107" t="s">
        <v>1101</v>
      </c>
      <c r="D1353" s="107" t="s">
        <v>1102</v>
      </c>
      <c r="E1353" s="124">
        <v>1</v>
      </c>
      <c r="F1353" s="124" t="s">
        <v>250</v>
      </c>
      <c r="G1353" s="124">
        <v>0.95098968265419803</v>
      </c>
      <c r="H1353" s="124" t="s">
        <v>250</v>
      </c>
      <c r="I1353" s="124">
        <v>4.8607346802948689E-2</v>
      </c>
      <c r="J1353" s="124">
        <v>4.0297054285331731E-4</v>
      </c>
      <c r="K1353" s="124" t="s">
        <v>250</v>
      </c>
      <c r="L1353" s="124" t="s">
        <v>250</v>
      </c>
      <c r="M1353" s="124">
        <v>0</v>
      </c>
      <c r="N1353" s="124" t="s">
        <v>250</v>
      </c>
      <c r="O1353" s="124">
        <v>4.0297054285331731E-4</v>
      </c>
      <c r="P1353" s="124">
        <v>1.6118821714132693E-4</v>
      </c>
      <c r="Q1353" s="124">
        <v>2.417823257119904E-4</v>
      </c>
      <c r="R1353" s="124"/>
    </row>
    <row r="1354" spans="1:18" ht="15">
      <c r="A1354" s="105">
        <v>38</v>
      </c>
      <c r="B1354" s="105"/>
      <c r="C1354" s="107" t="s">
        <v>1103</v>
      </c>
      <c r="D1354" s="107" t="s">
        <v>1104</v>
      </c>
      <c r="E1354" s="124">
        <v>0.99999999999999989</v>
      </c>
      <c r="F1354" s="124" t="s">
        <v>250</v>
      </c>
      <c r="G1354" s="124">
        <v>0.95003497012706106</v>
      </c>
      <c r="H1354" s="124" t="s">
        <v>250</v>
      </c>
      <c r="I1354" s="124">
        <v>4.9965029872938868E-2</v>
      </c>
      <c r="J1354" s="124">
        <v>0</v>
      </c>
      <c r="K1354" s="124" t="s">
        <v>250</v>
      </c>
      <c r="L1354" s="124" t="s">
        <v>250</v>
      </c>
      <c r="M1354" s="124">
        <v>0</v>
      </c>
      <c r="N1354" s="124" t="s">
        <v>250</v>
      </c>
      <c r="O1354" s="124">
        <v>0</v>
      </c>
      <c r="P1354" s="124">
        <v>0</v>
      </c>
      <c r="Q1354" s="124">
        <v>0</v>
      </c>
      <c r="R1354" s="124"/>
    </row>
    <row r="1355" spans="1:18" ht="15">
      <c r="A1355" s="105">
        <v>39</v>
      </c>
      <c r="B1355" s="105"/>
      <c r="C1355" s="107" t="s">
        <v>1105</v>
      </c>
      <c r="D1355" s="107" t="s">
        <v>696</v>
      </c>
      <c r="E1355" s="124">
        <v>1</v>
      </c>
      <c r="F1355" s="124" t="s">
        <v>250</v>
      </c>
      <c r="G1355" s="124">
        <v>0.98819951355783564</v>
      </c>
      <c r="H1355" s="124" t="s">
        <v>250</v>
      </c>
      <c r="I1355" s="124">
        <v>1.1800486442164427E-2</v>
      </c>
      <c r="J1355" s="124">
        <v>0</v>
      </c>
      <c r="K1355" s="124" t="s">
        <v>250</v>
      </c>
      <c r="L1355" s="124" t="s">
        <v>250</v>
      </c>
      <c r="M1355" s="124">
        <v>0</v>
      </c>
      <c r="N1355" s="124" t="s">
        <v>250</v>
      </c>
      <c r="O1355" s="124">
        <v>0</v>
      </c>
      <c r="P1355" s="124">
        <v>0</v>
      </c>
      <c r="Q1355" s="124">
        <v>0</v>
      </c>
      <c r="R1355" s="124"/>
    </row>
    <row r="1356" spans="1:18" ht="15">
      <c r="A1356" s="105">
        <v>40</v>
      </c>
      <c r="B1356" s="105"/>
      <c r="C1356" s="107" t="s">
        <v>1106</v>
      </c>
      <c r="D1356" s="107" t="s">
        <v>1107</v>
      </c>
      <c r="E1356" s="124">
        <v>1</v>
      </c>
      <c r="F1356" s="124" t="s">
        <v>250</v>
      </c>
      <c r="G1356" s="124">
        <v>0.93879499787918774</v>
      </c>
      <c r="H1356" s="124" t="s">
        <v>250</v>
      </c>
      <c r="I1356" s="124">
        <v>4.9298990620861155E-2</v>
      </c>
      <c r="J1356" s="124">
        <v>1.1906011499951078E-2</v>
      </c>
      <c r="K1356" s="124" t="s">
        <v>250</v>
      </c>
      <c r="L1356" s="124" t="s">
        <v>250</v>
      </c>
      <c r="M1356" s="124">
        <v>0</v>
      </c>
      <c r="N1356" s="124" t="s">
        <v>250</v>
      </c>
      <c r="O1356" s="124">
        <v>1.1906011499951078E-2</v>
      </c>
      <c r="P1356" s="124">
        <v>6.2092048404523564E-3</v>
      </c>
      <c r="Q1356" s="124">
        <v>5.6968066594987226E-3</v>
      </c>
      <c r="R1356" s="124"/>
    </row>
    <row r="1357" spans="1:18" ht="15">
      <c r="A1357" s="105" t="s">
        <v>250</v>
      </c>
      <c r="B1357" s="105"/>
      <c r="C1357" s="107" t="s">
        <v>250</v>
      </c>
      <c r="D1357" s="107" t="s">
        <v>250</v>
      </c>
      <c r="E1357" s="124" t="s">
        <v>250</v>
      </c>
      <c r="F1357" s="124" t="s">
        <v>250</v>
      </c>
      <c r="G1357" s="124" t="s">
        <v>250</v>
      </c>
      <c r="H1357" s="124" t="s">
        <v>250</v>
      </c>
      <c r="I1357" s="124" t="s">
        <v>250</v>
      </c>
      <c r="J1357" s="124" t="s">
        <v>250</v>
      </c>
      <c r="K1357" s="124" t="s">
        <v>250</v>
      </c>
      <c r="L1357" s="124" t="s">
        <v>250</v>
      </c>
      <c r="M1357" s="124" t="s">
        <v>250</v>
      </c>
      <c r="N1357" s="124" t="s">
        <v>250</v>
      </c>
      <c r="O1357" s="124" t="s">
        <v>250</v>
      </c>
      <c r="P1357" s="124" t="s">
        <v>250</v>
      </c>
      <c r="Q1357" s="124" t="s">
        <v>250</v>
      </c>
      <c r="R1357" s="124"/>
    </row>
    <row r="1358" spans="1:18" ht="15">
      <c r="A1358" s="105" t="s">
        <v>250</v>
      </c>
      <c r="B1358" s="105"/>
      <c r="C1358" s="107" t="s">
        <v>1044</v>
      </c>
      <c r="D1358" s="107" t="s">
        <v>250</v>
      </c>
      <c r="E1358" s="124" t="s">
        <v>250</v>
      </c>
      <c r="F1358" s="124" t="s">
        <v>250</v>
      </c>
      <c r="G1358" s="124" t="s">
        <v>250</v>
      </c>
      <c r="H1358" s="124" t="s">
        <v>250</v>
      </c>
      <c r="I1358" s="124" t="s">
        <v>250</v>
      </c>
      <c r="J1358" s="124" t="s">
        <v>250</v>
      </c>
      <c r="K1358" s="124" t="s">
        <v>250</v>
      </c>
      <c r="L1358" s="124" t="s">
        <v>250</v>
      </c>
      <c r="M1358" s="124" t="s">
        <v>250</v>
      </c>
      <c r="N1358" s="124" t="s">
        <v>250</v>
      </c>
      <c r="O1358" s="124" t="s">
        <v>250</v>
      </c>
      <c r="P1358" s="124" t="s">
        <v>250</v>
      </c>
      <c r="Q1358" s="124" t="s">
        <v>250</v>
      </c>
      <c r="R1358" s="124"/>
    </row>
    <row r="1359" spans="1:18" ht="15">
      <c r="A1359" s="105" t="s">
        <v>250</v>
      </c>
      <c r="B1359" s="105"/>
      <c r="C1359" s="107" t="s">
        <v>917</v>
      </c>
      <c r="D1359" s="107" t="s">
        <v>250</v>
      </c>
      <c r="E1359" s="124" t="s">
        <v>250</v>
      </c>
      <c r="F1359" s="124" t="s">
        <v>250</v>
      </c>
      <c r="G1359" s="124" t="s">
        <v>250</v>
      </c>
      <c r="H1359" s="124" t="s">
        <v>250</v>
      </c>
      <c r="I1359" s="124" t="s">
        <v>250</v>
      </c>
      <c r="J1359" s="124" t="s">
        <v>250</v>
      </c>
      <c r="K1359" s="124" t="s">
        <v>250</v>
      </c>
      <c r="L1359" s="124" t="s">
        <v>250</v>
      </c>
      <c r="M1359" s="124" t="s">
        <v>250</v>
      </c>
      <c r="N1359" s="124" t="s">
        <v>250</v>
      </c>
      <c r="O1359" s="124" t="s">
        <v>250</v>
      </c>
      <c r="P1359" s="124" t="s">
        <v>250</v>
      </c>
      <c r="Q1359" s="124" t="s">
        <v>250</v>
      </c>
      <c r="R1359" s="124"/>
    </row>
    <row r="1360" spans="1:18" ht="15">
      <c r="A1360" s="105">
        <v>1</v>
      </c>
      <c r="B1360" s="105"/>
      <c r="C1360" s="107" t="s">
        <v>1108</v>
      </c>
      <c r="D1360" s="107" t="s">
        <v>1109</v>
      </c>
      <c r="E1360" s="124">
        <v>1.0000000000000002</v>
      </c>
      <c r="F1360" s="124" t="s">
        <v>250</v>
      </c>
      <c r="G1360" s="124">
        <v>0.94098104683164796</v>
      </c>
      <c r="H1360" s="124" t="s">
        <v>250</v>
      </c>
      <c r="I1360" s="124">
        <v>4.7577352443181453E-2</v>
      </c>
      <c r="J1360" s="124">
        <v>1.1441600725170692E-2</v>
      </c>
      <c r="K1360" s="124" t="s">
        <v>250</v>
      </c>
      <c r="L1360" s="124" t="s">
        <v>250</v>
      </c>
      <c r="M1360" s="124">
        <v>0</v>
      </c>
      <c r="N1360" s="124" t="s">
        <v>250</v>
      </c>
      <c r="O1360" s="124">
        <v>1.1441600725170691E-2</v>
      </c>
      <c r="P1360" s="124">
        <v>5.9657846272242491E-3</v>
      </c>
      <c r="Q1360" s="124">
        <v>5.4758160979464423E-3</v>
      </c>
      <c r="R1360" s="124"/>
    </row>
    <row r="1361" spans="1:18" ht="15">
      <c r="A1361" s="105">
        <v>2</v>
      </c>
      <c r="B1361" s="105"/>
      <c r="C1361" s="107" t="s">
        <v>1110</v>
      </c>
      <c r="D1361" s="107" t="s">
        <v>1111</v>
      </c>
      <c r="E1361" s="124">
        <v>1</v>
      </c>
      <c r="F1361" s="124" t="s">
        <v>250</v>
      </c>
      <c r="G1361" s="124">
        <v>0.99174509115873155</v>
      </c>
      <c r="H1361" s="124" t="s">
        <v>250</v>
      </c>
      <c r="I1361" s="124">
        <v>8.2549088412684837E-3</v>
      </c>
      <c r="J1361" s="124">
        <v>0</v>
      </c>
      <c r="K1361" s="124" t="s">
        <v>250</v>
      </c>
      <c r="L1361" s="124" t="s">
        <v>250</v>
      </c>
      <c r="M1361" s="124">
        <v>0</v>
      </c>
      <c r="N1361" s="124" t="s">
        <v>250</v>
      </c>
      <c r="O1361" s="124">
        <v>0</v>
      </c>
      <c r="P1361" s="124">
        <v>0</v>
      </c>
      <c r="Q1361" s="124">
        <v>0</v>
      </c>
      <c r="R1361" s="124"/>
    </row>
    <row r="1362" spans="1:18" ht="15">
      <c r="A1362" s="105">
        <v>3</v>
      </c>
      <c r="B1362" s="105"/>
      <c r="C1362" s="107" t="s">
        <v>1112</v>
      </c>
      <c r="D1362" s="107" t="s">
        <v>524</v>
      </c>
      <c r="E1362" s="124">
        <v>1</v>
      </c>
      <c r="F1362" s="124" t="s">
        <v>250</v>
      </c>
      <c r="G1362" s="124">
        <v>0.99838672686055774</v>
      </c>
      <c r="H1362" s="124" t="s">
        <v>250</v>
      </c>
      <c r="I1362" s="124">
        <v>0</v>
      </c>
      <c r="J1362" s="124">
        <v>1.6132731394422422E-3</v>
      </c>
      <c r="K1362" s="124" t="s">
        <v>250</v>
      </c>
      <c r="L1362" s="124" t="s">
        <v>250</v>
      </c>
      <c r="M1362" s="124">
        <v>0</v>
      </c>
      <c r="N1362" s="124" t="s">
        <v>250</v>
      </c>
      <c r="O1362" s="124">
        <v>1.6132731394422422E-3</v>
      </c>
      <c r="P1362" s="124">
        <v>1.6009959773682721E-3</v>
      </c>
      <c r="Q1362" s="124">
        <v>1.2277162073970025E-5</v>
      </c>
      <c r="R1362" s="124"/>
    </row>
    <row r="1363" spans="1:18" ht="15">
      <c r="A1363" s="105">
        <v>4</v>
      </c>
      <c r="B1363" s="105"/>
      <c r="C1363" s="107" t="s">
        <v>1113</v>
      </c>
      <c r="D1363" s="107" t="s">
        <v>428</v>
      </c>
      <c r="E1363" s="124">
        <v>1</v>
      </c>
      <c r="F1363" s="124" t="s">
        <v>250</v>
      </c>
      <c r="G1363" s="124">
        <v>1</v>
      </c>
      <c r="H1363" s="124" t="s">
        <v>250</v>
      </c>
      <c r="I1363" s="124">
        <v>0</v>
      </c>
      <c r="J1363" s="124">
        <v>0</v>
      </c>
      <c r="K1363" s="124" t="s">
        <v>250</v>
      </c>
      <c r="L1363" s="124" t="s">
        <v>250</v>
      </c>
      <c r="M1363" s="124">
        <v>0</v>
      </c>
      <c r="N1363" s="124" t="s">
        <v>250</v>
      </c>
      <c r="O1363" s="124">
        <v>0</v>
      </c>
      <c r="P1363" s="124">
        <v>0</v>
      </c>
      <c r="Q1363" s="124">
        <v>0</v>
      </c>
      <c r="R1363" s="124"/>
    </row>
    <row r="1364" spans="1:18" ht="15">
      <c r="A1364" s="105">
        <v>5</v>
      </c>
      <c r="B1364" s="105"/>
      <c r="C1364" s="107" t="s">
        <v>1114</v>
      </c>
      <c r="D1364" s="107" t="s">
        <v>1115</v>
      </c>
      <c r="E1364" s="124">
        <v>1</v>
      </c>
      <c r="F1364" s="124" t="s">
        <v>250</v>
      </c>
      <c r="G1364" s="124">
        <v>0</v>
      </c>
      <c r="H1364" s="124" t="s">
        <v>250</v>
      </c>
      <c r="I1364" s="124">
        <v>1</v>
      </c>
      <c r="J1364" s="124">
        <v>0</v>
      </c>
      <c r="K1364" s="124" t="s">
        <v>250</v>
      </c>
      <c r="L1364" s="124" t="s">
        <v>250</v>
      </c>
      <c r="M1364" s="124">
        <v>0</v>
      </c>
      <c r="N1364" s="124" t="s">
        <v>250</v>
      </c>
      <c r="O1364" s="124">
        <v>0</v>
      </c>
      <c r="P1364" s="124">
        <v>0</v>
      </c>
      <c r="Q1364" s="124">
        <v>0</v>
      </c>
      <c r="R1364" s="124"/>
    </row>
    <row r="1365" spans="1:18" ht="15">
      <c r="A1365" s="105">
        <v>6</v>
      </c>
      <c r="B1365" s="105"/>
      <c r="C1365" s="107" t="s">
        <v>1116</v>
      </c>
      <c r="D1365" s="107" t="s">
        <v>1117</v>
      </c>
      <c r="E1365" s="124">
        <v>0</v>
      </c>
      <c r="F1365" s="124" t="s">
        <v>250</v>
      </c>
      <c r="G1365" s="124">
        <v>0</v>
      </c>
      <c r="H1365" s="124" t="s">
        <v>250</v>
      </c>
      <c r="I1365" s="124">
        <v>0</v>
      </c>
      <c r="J1365" s="124">
        <v>0</v>
      </c>
      <c r="K1365" s="124" t="s">
        <v>250</v>
      </c>
      <c r="L1365" s="124" t="s">
        <v>250</v>
      </c>
      <c r="M1365" s="124">
        <v>0</v>
      </c>
      <c r="N1365" s="124" t="s">
        <v>250</v>
      </c>
      <c r="O1365" s="124">
        <v>0</v>
      </c>
      <c r="P1365" s="124">
        <v>0</v>
      </c>
      <c r="Q1365" s="124">
        <v>0</v>
      </c>
      <c r="R1365" s="124"/>
    </row>
    <row r="1366" spans="1:18" ht="15">
      <c r="A1366" s="105">
        <v>7</v>
      </c>
      <c r="B1366" s="105"/>
      <c r="C1366" s="107" t="s">
        <v>1118</v>
      </c>
      <c r="D1366" s="107" t="s">
        <v>1119</v>
      </c>
      <c r="E1366" s="124">
        <v>1</v>
      </c>
      <c r="F1366" s="124" t="s">
        <v>250</v>
      </c>
      <c r="G1366" s="124">
        <v>0</v>
      </c>
      <c r="H1366" s="124" t="s">
        <v>250</v>
      </c>
      <c r="I1366" s="124">
        <v>0</v>
      </c>
      <c r="J1366" s="124">
        <v>1</v>
      </c>
      <c r="K1366" s="124" t="s">
        <v>250</v>
      </c>
      <c r="L1366" s="124" t="s">
        <v>250</v>
      </c>
      <c r="M1366" s="124">
        <v>0</v>
      </c>
      <c r="N1366" s="124" t="s">
        <v>250</v>
      </c>
      <c r="O1366" s="124">
        <v>1</v>
      </c>
      <c r="P1366" s="124">
        <v>0.52210697739509215</v>
      </c>
      <c r="Q1366" s="124">
        <v>0.47789302260490779</v>
      </c>
      <c r="R1366" s="124"/>
    </row>
    <row r="1367" spans="1:18" ht="15">
      <c r="A1367" s="105">
        <v>8</v>
      </c>
      <c r="B1367" s="105"/>
      <c r="C1367" s="107" t="s">
        <v>1120</v>
      </c>
      <c r="D1367" s="107" t="s">
        <v>1121</v>
      </c>
      <c r="E1367" s="124">
        <v>1</v>
      </c>
      <c r="F1367" s="124" t="s">
        <v>250</v>
      </c>
      <c r="G1367" s="124">
        <v>0.98608074861639461</v>
      </c>
      <c r="H1367" s="124" t="s">
        <v>250</v>
      </c>
      <c r="I1367" s="124">
        <v>0</v>
      </c>
      <c r="J1367" s="124">
        <v>1.3919251383605337E-2</v>
      </c>
      <c r="K1367" s="124" t="s">
        <v>250</v>
      </c>
      <c r="L1367" s="124" t="s">
        <v>250</v>
      </c>
      <c r="M1367" s="124">
        <v>0</v>
      </c>
      <c r="N1367" s="124" t="s">
        <v>250</v>
      </c>
      <c r="O1367" s="124">
        <v>1.3919251383605336E-2</v>
      </c>
      <c r="P1367" s="124">
        <v>7.283173535762715E-3</v>
      </c>
      <c r="Q1367" s="124">
        <v>6.6360778478426214E-3</v>
      </c>
      <c r="R1367" s="124"/>
    </row>
    <row r="1368" spans="1:18" ht="15">
      <c r="A1368" s="105">
        <v>9</v>
      </c>
      <c r="B1368" s="105"/>
      <c r="C1368" s="107" t="s">
        <v>1122</v>
      </c>
      <c r="D1368" s="107" t="s">
        <v>727</v>
      </c>
      <c r="E1368" s="124">
        <v>1</v>
      </c>
      <c r="F1368" s="124" t="s">
        <v>250</v>
      </c>
      <c r="G1368" s="124">
        <v>0.95187198603736267</v>
      </c>
      <c r="H1368" s="124" t="s">
        <v>250</v>
      </c>
      <c r="I1368" s="124">
        <v>4.8128013962637384E-2</v>
      </c>
      <c r="J1368" s="124">
        <v>0</v>
      </c>
      <c r="K1368" s="124" t="s">
        <v>250</v>
      </c>
      <c r="L1368" s="124" t="s">
        <v>250</v>
      </c>
      <c r="M1368" s="124">
        <v>0</v>
      </c>
      <c r="N1368" s="124" t="s">
        <v>250</v>
      </c>
      <c r="O1368" s="124">
        <v>0</v>
      </c>
      <c r="P1368" s="124">
        <v>0</v>
      </c>
      <c r="Q1368" s="124">
        <v>0</v>
      </c>
      <c r="R1368" s="124"/>
    </row>
    <row r="1369" spans="1:18" ht="15">
      <c r="A1369" s="105">
        <v>10</v>
      </c>
      <c r="B1369" s="105"/>
      <c r="C1369" s="107" t="s">
        <v>1123</v>
      </c>
      <c r="D1369" s="107" t="s">
        <v>456</v>
      </c>
      <c r="E1369" s="124">
        <v>1</v>
      </c>
      <c r="F1369" s="124" t="s">
        <v>250</v>
      </c>
      <c r="G1369" s="124">
        <v>0.95638533437416107</v>
      </c>
      <c r="H1369" s="124" t="s">
        <v>250</v>
      </c>
      <c r="I1369" s="124">
        <v>4.3614665625838975E-2</v>
      </c>
      <c r="J1369" s="124">
        <v>0</v>
      </c>
      <c r="K1369" s="124" t="s">
        <v>250</v>
      </c>
      <c r="L1369" s="124" t="s">
        <v>250</v>
      </c>
      <c r="M1369" s="124">
        <v>0</v>
      </c>
      <c r="N1369" s="124" t="s">
        <v>250</v>
      </c>
      <c r="O1369" s="124">
        <v>0</v>
      </c>
      <c r="P1369" s="124">
        <v>0</v>
      </c>
      <c r="Q1369" s="124">
        <v>0</v>
      </c>
      <c r="R1369" s="124"/>
    </row>
    <row r="1370" spans="1:18" s="107" customFormat="1" ht="15">
      <c r="A1370" s="105">
        <v>11</v>
      </c>
      <c r="B1370" s="105"/>
      <c r="C1370" s="107" t="s">
        <v>250</v>
      </c>
      <c r="D1370" s="107" t="s">
        <v>250</v>
      </c>
      <c r="E1370" s="124" t="s">
        <v>250</v>
      </c>
      <c r="F1370" s="124" t="s">
        <v>250</v>
      </c>
      <c r="G1370" s="124" t="s">
        <v>250</v>
      </c>
      <c r="H1370" s="124" t="s">
        <v>250</v>
      </c>
      <c r="I1370" s="124" t="s">
        <v>250</v>
      </c>
      <c r="J1370" s="124" t="s">
        <v>250</v>
      </c>
      <c r="K1370" s="124" t="s">
        <v>250</v>
      </c>
      <c r="L1370" s="124" t="s">
        <v>250</v>
      </c>
      <c r="M1370" s="124" t="s">
        <v>250</v>
      </c>
      <c r="N1370" s="124" t="s">
        <v>250</v>
      </c>
      <c r="O1370" s="124" t="s">
        <v>250</v>
      </c>
      <c r="P1370" s="124" t="s">
        <v>250</v>
      </c>
      <c r="Q1370" s="124" t="s">
        <v>250</v>
      </c>
      <c r="R1370" s="124"/>
    </row>
    <row r="1371" spans="1:18" s="107" customFormat="1" ht="15">
      <c r="A1371" s="105">
        <v>12</v>
      </c>
      <c r="B1371" s="105"/>
      <c r="C1371" s="107" t="s">
        <v>250</v>
      </c>
      <c r="D1371" s="107" t="s">
        <v>250</v>
      </c>
      <c r="E1371" s="124" t="s">
        <v>250</v>
      </c>
      <c r="F1371" s="124" t="s">
        <v>250</v>
      </c>
      <c r="G1371" s="124" t="s">
        <v>250</v>
      </c>
      <c r="H1371" s="124" t="s">
        <v>250</v>
      </c>
      <c r="I1371" s="124" t="s">
        <v>250</v>
      </c>
      <c r="J1371" s="124" t="s">
        <v>250</v>
      </c>
      <c r="K1371" s="124" t="s">
        <v>250</v>
      </c>
      <c r="L1371" s="124" t="s">
        <v>250</v>
      </c>
      <c r="M1371" s="124" t="s">
        <v>250</v>
      </c>
      <c r="N1371" s="124" t="s">
        <v>250</v>
      </c>
      <c r="O1371" s="124" t="s">
        <v>250</v>
      </c>
      <c r="P1371" s="124" t="s">
        <v>250</v>
      </c>
      <c r="Q1371" s="124" t="s">
        <v>250</v>
      </c>
      <c r="R1371" s="124"/>
    </row>
    <row r="1372" spans="1:18" s="107" customFormat="1" ht="15">
      <c r="A1372" s="105">
        <v>13</v>
      </c>
      <c r="B1372" s="105"/>
      <c r="C1372" s="107" t="s">
        <v>250</v>
      </c>
      <c r="D1372" s="107" t="s">
        <v>250</v>
      </c>
      <c r="E1372" s="124" t="s">
        <v>250</v>
      </c>
      <c r="F1372" s="124" t="s">
        <v>250</v>
      </c>
      <c r="G1372" s="124" t="s">
        <v>250</v>
      </c>
      <c r="H1372" s="124" t="s">
        <v>250</v>
      </c>
      <c r="I1372" s="124" t="s">
        <v>250</v>
      </c>
      <c r="J1372" s="124" t="s">
        <v>250</v>
      </c>
      <c r="K1372" s="124" t="s">
        <v>250</v>
      </c>
      <c r="L1372" s="124" t="s">
        <v>250</v>
      </c>
      <c r="M1372" s="124" t="s">
        <v>250</v>
      </c>
      <c r="N1372" s="124" t="s">
        <v>250</v>
      </c>
      <c r="O1372" s="124" t="s">
        <v>250</v>
      </c>
      <c r="P1372" s="124" t="s">
        <v>250</v>
      </c>
      <c r="Q1372" s="124" t="s">
        <v>250</v>
      </c>
      <c r="R1372" s="124"/>
    </row>
    <row r="1373" spans="1:18" s="107" customFormat="1" ht="15">
      <c r="A1373" s="105">
        <v>14</v>
      </c>
      <c r="B1373" s="105"/>
      <c r="C1373" s="107" t="s">
        <v>250</v>
      </c>
      <c r="D1373" s="107" t="s">
        <v>250</v>
      </c>
      <c r="E1373" s="124" t="s">
        <v>250</v>
      </c>
      <c r="F1373" s="124" t="s">
        <v>250</v>
      </c>
      <c r="G1373" s="124" t="s">
        <v>250</v>
      </c>
      <c r="H1373" s="124" t="s">
        <v>250</v>
      </c>
      <c r="I1373" s="124" t="s">
        <v>250</v>
      </c>
      <c r="J1373" s="124" t="s">
        <v>250</v>
      </c>
      <c r="K1373" s="124" t="s">
        <v>250</v>
      </c>
      <c r="L1373" s="124" t="s">
        <v>250</v>
      </c>
      <c r="M1373" s="124" t="s">
        <v>250</v>
      </c>
      <c r="N1373" s="124" t="s">
        <v>250</v>
      </c>
      <c r="O1373" s="124" t="s">
        <v>250</v>
      </c>
      <c r="P1373" s="124" t="s">
        <v>250</v>
      </c>
      <c r="Q1373" s="124" t="s">
        <v>250</v>
      </c>
    </row>
    <row r="1374" spans="1:18" s="107" customFormat="1" ht="15">
      <c r="A1374" s="105">
        <v>15</v>
      </c>
      <c r="B1374" s="105"/>
      <c r="C1374" s="107" t="s">
        <v>250</v>
      </c>
      <c r="D1374" s="107" t="s">
        <v>250</v>
      </c>
      <c r="E1374" s="107" t="s">
        <v>250</v>
      </c>
      <c r="F1374" s="107" t="s">
        <v>250</v>
      </c>
      <c r="G1374" s="107" t="s">
        <v>250</v>
      </c>
      <c r="H1374" s="107" t="s">
        <v>250</v>
      </c>
      <c r="I1374" s="107" t="s">
        <v>250</v>
      </c>
      <c r="J1374" s="107" t="s">
        <v>250</v>
      </c>
      <c r="K1374" s="107" t="s">
        <v>250</v>
      </c>
      <c r="L1374" s="107" t="s">
        <v>250</v>
      </c>
      <c r="M1374" s="107" t="s">
        <v>250</v>
      </c>
      <c r="N1374" s="107" t="s">
        <v>250</v>
      </c>
      <c r="O1374" s="107" t="s">
        <v>250</v>
      </c>
      <c r="P1374" s="107" t="s">
        <v>250</v>
      </c>
      <c r="Q1374" s="107" t="s">
        <v>250</v>
      </c>
    </row>
    <row r="1375" spans="1:18" s="107" customFormat="1" ht="15">
      <c r="A1375" s="105">
        <v>16</v>
      </c>
      <c r="B1375" s="125"/>
      <c r="C1375" s="107" t="s">
        <v>250</v>
      </c>
      <c r="D1375" s="107" t="s">
        <v>250</v>
      </c>
      <c r="E1375" s="107" t="s">
        <v>250</v>
      </c>
      <c r="F1375" s="107" t="s">
        <v>250</v>
      </c>
      <c r="G1375" s="107" t="s">
        <v>250</v>
      </c>
      <c r="H1375" s="107" t="s">
        <v>250</v>
      </c>
      <c r="I1375" s="107" t="s">
        <v>250</v>
      </c>
      <c r="J1375" s="107" t="s">
        <v>250</v>
      </c>
      <c r="K1375" s="107" t="s">
        <v>250</v>
      </c>
      <c r="L1375" s="107" t="s">
        <v>250</v>
      </c>
      <c r="M1375" s="107" t="s">
        <v>250</v>
      </c>
      <c r="N1375" s="107" t="s">
        <v>250</v>
      </c>
      <c r="O1375" s="107" t="s">
        <v>250</v>
      </c>
      <c r="P1375" s="107" t="s">
        <v>250</v>
      </c>
      <c r="Q1375" s="107" t="s">
        <v>250</v>
      </c>
      <c r="R1375" s="126"/>
    </row>
    <row r="1376" spans="1:18" s="107" customFormat="1" ht="15">
      <c r="A1376" s="105">
        <v>17</v>
      </c>
      <c r="B1376" s="125"/>
      <c r="C1376" s="107" t="s">
        <v>250</v>
      </c>
      <c r="D1376" s="107" t="s">
        <v>250</v>
      </c>
      <c r="E1376" s="107" t="s">
        <v>250</v>
      </c>
      <c r="F1376" s="107" t="s">
        <v>250</v>
      </c>
      <c r="G1376" s="107" t="s">
        <v>250</v>
      </c>
      <c r="H1376" s="107" t="s">
        <v>250</v>
      </c>
      <c r="I1376" s="107" t="s">
        <v>250</v>
      </c>
      <c r="J1376" s="107" t="s">
        <v>250</v>
      </c>
      <c r="K1376" s="107" t="s">
        <v>250</v>
      </c>
      <c r="L1376" s="107" t="s">
        <v>250</v>
      </c>
      <c r="M1376" s="107" t="s">
        <v>250</v>
      </c>
      <c r="N1376" s="107" t="s">
        <v>250</v>
      </c>
      <c r="O1376" s="107" t="s">
        <v>250</v>
      </c>
      <c r="P1376" s="107" t="s">
        <v>250</v>
      </c>
      <c r="Q1376" s="107" t="s">
        <v>250</v>
      </c>
      <c r="R1376" s="126"/>
    </row>
    <row r="1377" spans="1:18" s="107" customFormat="1" ht="15">
      <c r="A1377" s="105">
        <v>18</v>
      </c>
      <c r="B1377" s="125"/>
      <c r="C1377" s="107" t="s">
        <v>250</v>
      </c>
      <c r="D1377" s="107" t="s">
        <v>250</v>
      </c>
      <c r="E1377" s="107" t="s">
        <v>250</v>
      </c>
      <c r="F1377" s="107" t="s">
        <v>250</v>
      </c>
      <c r="G1377" s="107" t="s">
        <v>250</v>
      </c>
      <c r="H1377" s="107" t="s">
        <v>250</v>
      </c>
      <c r="I1377" s="107" t="s">
        <v>250</v>
      </c>
      <c r="J1377" s="107" t="s">
        <v>250</v>
      </c>
      <c r="K1377" s="107" t="s">
        <v>250</v>
      </c>
      <c r="L1377" s="107" t="s">
        <v>250</v>
      </c>
      <c r="M1377" s="107" t="s">
        <v>250</v>
      </c>
      <c r="N1377" s="107" t="s">
        <v>250</v>
      </c>
      <c r="O1377" s="107" t="s">
        <v>250</v>
      </c>
      <c r="P1377" s="107" t="s">
        <v>250</v>
      </c>
      <c r="Q1377" s="107" t="s">
        <v>250</v>
      </c>
      <c r="R1377" s="126"/>
    </row>
    <row r="1378" spans="1:18" s="107" customFormat="1" ht="15">
      <c r="A1378" s="105">
        <v>19</v>
      </c>
      <c r="B1378" s="105"/>
      <c r="C1378" s="107" t="s">
        <v>250</v>
      </c>
      <c r="D1378" s="107" t="s">
        <v>250</v>
      </c>
      <c r="E1378" s="107" t="s">
        <v>250</v>
      </c>
      <c r="F1378" s="107" t="s">
        <v>250</v>
      </c>
      <c r="G1378" s="107" t="s">
        <v>250</v>
      </c>
      <c r="H1378" s="107" t="s">
        <v>250</v>
      </c>
      <c r="I1378" s="107" t="s">
        <v>250</v>
      </c>
      <c r="J1378" s="107" t="s">
        <v>250</v>
      </c>
      <c r="K1378" s="107" t="s">
        <v>250</v>
      </c>
      <c r="L1378" s="107" t="s">
        <v>250</v>
      </c>
      <c r="M1378" s="107" t="s">
        <v>250</v>
      </c>
      <c r="N1378" s="107" t="s">
        <v>250</v>
      </c>
      <c r="O1378" s="107" t="s">
        <v>250</v>
      </c>
      <c r="P1378" s="107" t="s">
        <v>250</v>
      </c>
      <c r="Q1378" s="107" t="s">
        <v>250</v>
      </c>
      <c r="R1378" s="126"/>
    </row>
    <row r="1379" spans="1:18" s="107" customFormat="1" ht="15">
      <c r="A1379" s="105">
        <v>20</v>
      </c>
      <c r="B1379" s="105"/>
      <c r="C1379" s="107" t="s">
        <v>250</v>
      </c>
      <c r="D1379" s="107" t="s">
        <v>250</v>
      </c>
      <c r="E1379" s="107" t="s">
        <v>250</v>
      </c>
      <c r="F1379" s="107" t="s">
        <v>250</v>
      </c>
      <c r="G1379" s="107" t="s">
        <v>250</v>
      </c>
      <c r="H1379" s="107" t="s">
        <v>250</v>
      </c>
      <c r="I1379" s="107" t="s">
        <v>250</v>
      </c>
      <c r="J1379" s="107" t="s">
        <v>250</v>
      </c>
      <c r="K1379" s="107" t="s">
        <v>250</v>
      </c>
      <c r="L1379" s="107" t="s">
        <v>250</v>
      </c>
      <c r="M1379" s="107" t="s">
        <v>250</v>
      </c>
      <c r="N1379" s="107" t="s">
        <v>250</v>
      </c>
      <c r="O1379" s="107" t="s">
        <v>250</v>
      </c>
      <c r="P1379" s="107" t="s">
        <v>250</v>
      </c>
      <c r="Q1379" s="107" t="s">
        <v>250</v>
      </c>
      <c r="R1379" s="126"/>
    </row>
    <row r="1380" spans="1:18" s="107" customFormat="1" ht="15">
      <c r="A1380" s="105">
        <v>21</v>
      </c>
      <c r="B1380" s="105"/>
      <c r="C1380" s="107" t="s">
        <v>250</v>
      </c>
      <c r="D1380" s="107" t="s">
        <v>250</v>
      </c>
      <c r="E1380" s="107" t="s">
        <v>250</v>
      </c>
      <c r="F1380" s="107" t="s">
        <v>250</v>
      </c>
      <c r="G1380" s="107" t="s">
        <v>250</v>
      </c>
      <c r="H1380" s="107" t="s">
        <v>250</v>
      </c>
      <c r="I1380" s="107" t="s">
        <v>250</v>
      </c>
      <c r="J1380" s="107" t="s">
        <v>250</v>
      </c>
      <c r="K1380" s="107" t="s">
        <v>250</v>
      </c>
      <c r="L1380" s="107" t="s">
        <v>250</v>
      </c>
      <c r="M1380" s="107" t="s">
        <v>250</v>
      </c>
      <c r="N1380" s="107" t="s">
        <v>250</v>
      </c>
      <c r="O1380" s="107" t="s">
        <v>250</v>
      </c>
      <c r="P1380" s="107" t="s">
        <v>250</v>
      </c>
      <c r="Q1380" s="107" t="s">
        <v>250</v>
      </c>
      <c r="R1380" s="126"/>
    </row>
    <row r="1381" spans="1:18" s="107" customFormat="1" ht="15">
      <c r="A1381" s="105">
        <v>22</v>
      </c>
      <c r="B1381" s="105"/>
      <c r="C1381" s="107" t="s">
        <v>250</v>
      </c>
      <c r="D1381" s="107" t="s">
        <v>250</v>
      </c>
      <c r="E1381" s="107" t="s">
        <v>250</v>
      </c>
      <c r="F1381" s="107" t="s">
        <v>250</v>
      </c>
      <c r="G1381" s="107" t="s">
        <v>250</v>
      </c>
      <c r="H1381" s="107" t="s">
        <v>250</v>
      </c>
      <c r="I1381" s="107" t="s">
        <v>250</v>
      </c>
      <c r="J1381" s="107" t="s">
        <v>250</v>
      </c>
      <c r="K1381" s="107" t="s">
        <v>250</v>
      </c>
      <c r="L1381" s="107" t="s">
        <v>250</v>
      </c>
      <c r="M1381" s="107" t="s">
        <v>250</v>
      </c>
      <c r="N1381" s="107" t="s">
        <v>250</v>
      </c>
      <c r="O1381" s="107" t="s">
        <v>250</v>
      </c>
      <c r="P1381" s="107" t="s">
        <v>250</v>
      </c>
      <c r="Q1381" s="107" t="s">
        <v>250</v>
      </c>
      <c r="R1381" s="126"/>
    </row>
    <row r="1382" spans="1:18" s="107" customFormat="1" ht="15">
      <c r="A1382" s="105">
        <v>23</v>
      </c>
      <c r="B1382" s="105"/>
      <c r="C1382" s="107" t="s">
        <v>250</v>
      </c>
      <c r="D1382" s="107" t="s">
        <v>250</v>
      </c>
      <c r="E1382" s="107" t="s">
        <v>250</v>
      </c>
      <c r="F1382" s="107" t="s">
        <v>250</v>
      </c>
      <c r="G1382" s="107" t="s">
        <v>250</v>
      </c>
      <c r="H1382" s="107" t="s">
        <v>250</v>
      </c>
      <c r="I1382" s="107" t="s">
        <v>250</v>
      </c>
      <c r="J1382" s="107" t="s">
        <v>250</v>
      </c>
      <c r="K1382" s="107" t="s">
        <v>250</v>
      </c>
      <c r="L1382" s="107" t="s">
        <v>250</v>
      </c>
      <c r="M1382" s="107" t="s">
        <v>250</v>
      </c>
      <c r="N1382" s="107" t="s">
        <v>250</v>
      </c>
      <c r="O1382" s="107" t="s">
        <v>250</v>
      </c>
      <c r="P1382" s="107" t="s">
        <v>250</v>
      </c>
      <c r="Q1382" s="107" t="s">
        <v>250</v>
      </c>
      <c r="R1382" s="126"/>
    </row>
    <row r="1383" spans="1:18" s="107" customFormat="1" ht="15">
      <c r="A1383" s="105">
        <v>24</v>
      </c>
      <c r="B1383" s="105"/>
      <c r="C1383" s="107" t="s">
        <v>250</v>
      </c>
      <c r="D1383" s="107" t="s">
        <v>250</v>
      </c>
      <c r="E1383" s="107" t="s">
        <v>250</v>
      </c>
      <c r="F1383" s="107" t="s">
        <v>250</v>
      </c>
      <c r="G1383" s="107" t="s">
        <v>250</v>
      </c>
      <c r="H1383" s="107" t="s">
        <v>250</v>
      </c>
      <c r="I1383" s="107" t="s">
        <v>250</v>
      </c>
      <c r="J1383" s="107" t="s">
        <v>250</v>
      </c>
      <c r="K1383" s="107" t="s">
        <v>250</v>
      </c>
      <c r="L1383" s="107" t="s">
        <v>250</v>
      </c>
      <c r="M1383" s="107" t="s">
        <v>250</v>
      </c>
      <c r="N1383" s="107" t="s">
        <v>250</v>
      </c>
      <c r="O1383" s="107" t="s">
        <v>250</v>
      </c>
      <c r="P1383" s="107" t="s">
        <v>250</v>
      </c>
      <c r="Q1383" s="107" t="s">
        <v>250</v>
      </c>
      <c r="R1383" s="126"/>
    </row>
    <row r="1384" spans="1:18" s="107" customFormat="1" ht="15">
      <c r="A1384" s="105">
        <v>25</v>
      </c>
      <c r="B1384" s="105"/>
      <c r="C1384" s="107" t="s">
        <v>250</v>
      </c>
      <c r="D1384" s="107" t="s">
        <v>250</v>
      </c>
      <c r="E1384" s="107" t="s">
        <v>250</v>
      </c>
      <c r="F1384" s="107" t="s">
        <v>250</v>
      </c>
      <c r="G1384" s="107" t="s">
        <v>250</v>
      </c>
      <c r="H1384" s="107" t="s">
        <v>250</v>
      </c>
      <c r="I1384" s="107" t="s">
        <v>250</v>
      </c>
      <c r="J1384" s="107" t="s">
        <v>250</v>
      </c>
      <c r="K1384" s="107" t="s">
        <v>250</v>
      </c>
      <c r="L1384" s="107" t="s">
        <v>250</v>
      </c>
      <c r="M1384" s="107" t="s">
        <v>250</v>
      </c>
      <c r="N1384" s="107" t="s">
        <v>250</v>
      </c>
      <c r="O1384" s="107" t="s">
        <v>250</v>
      </c>
      <c r="P1384" s="107" t="s">
        <v>250</v>
      </c>
      <c r="Q1384" s="107" t="s">
        <v>250</v>
      </c>
      <c r="R1384" s="126"/>
    </row>
    <row r="1385" spans="1:18" s="107" customFormat="1" ht="15">
      <c r="A1385" s="105">
        <v>26</v>
      </c>
      <c r="B1385" s="105"/>
      <c r="C1385" s="107" t="s">
        <v>250</v>
      </c>
      <c r="D1385" s="107" t="s">
        <v>250</v>
      </c>
      <c r="E1385" s="107" t="s">
        <v>250</v>
      </c>
      <c r="F1385" s="107" t="s">
        <v>250</v>
      </c>
      <c r="G1385" s="107" t="s">
        <v>250</v>
      </c>
      <c r="H1385" s="107" t="s">
        <v>250</v>
      </c>
      <c r="I1385" s="107" t="s">
        <v>250</v>
      </c>
      <c r="J1385" s="107" t="s">
        <v>250</v>
      </c>
      <c r="K1385" s="107" t="s">
        <v>250</v>
      </c>
      <c r="L1385" s="107" t="s">
        <v>250</v>
      </c>
      <c r="M1385" s="107" t="s">
        <v>250</v>
      </c>
      <c r="N1385" s="107" t="s">
        <v>250</v>
      </c>
      <c r="O1385" s="107" t="s">
        <v>250</v>
      </c>
      <c r="P1385" s="107" t="s">
        <v>250</v>
      </c>
      <c r="Q1385" s="107" t="s">
        <v>250</v>
      </c>
      <c r="R1385" s="126"/>
    </row>
    <row r="1386" spans="1:18" s="107" customFormat="1" ht="15">
      <c r="A1386" s="125">
        <v>27</v>
      </c>
      <c r="B1386" s="105"/>
      <c r="C1386" s="107" t="s">
        <v>250</v>
      </c>
      <c r="D1386" s="107" t="s">
        <v>250</v>
      </c>
      <c r="E1386" s="107" t="s">
        <v>250</v>
      </c>
      <c r="F1386" s="107" t="s">
        <v>250</v>
      </c>
      <c r="G1386" s="107" t="s">
        <v>250</v>
      </c>
      <c r="H1386" s="107" t="s">
        <v>250</v>
      </c>
      <c r="I1386" s="107" t="s">
        <v>250</v>
      </c>
      <c r="J1386" s="107" t="s">
        <v>250</v>
      </c>
      <c r="K1386" s="107" t="s">
        <v>250</v>
      </c>
      <c r="L1386" s="107" t="s">
        <v>250</v>
      </c>
      <c r="M1386" s="107" t="s">
        <v>250</v>
      </c>
      <c r="N1386" s="107" t="s">
        <v>250</v>
      </c>
      <c r="O1386" s="107" t="s">
        <v>250</v>
      </c>
      <c r="P1386" s="107" t="s">
        <v>250</v>
      </c>
      <c r="Q1386" s="107" t="s">
        <v>250</v>
      </c>
      <c r="R1386" s="126"/>
    </row>
    <row r="1387" spans="1:18" s="107" customFormat="1" ht="15">
      <c r="A1387" s="125">
        <v>28</v>
      </c>
      <c r="B1387" s="105"/>
      <c r="C1387" s="107" t="s">
        <v>250</v>
      </c>
      <c r="D1387" s="119" t="s">
        <v>250</v>
      </c>
      <c r="E1387" s="126" t="s">
        <v>250</v>
      </c>
      <c r="F1387" s="126" t="s">
        <v>250</v>
      </c>
      <c r="G1387" s="126" t="s">
        <v>250</v>
      </c>
      <c r="H1387" s="126" t="s">
        <v>250</v>
      </c>
      <c r="I1387" s="126" t="s">
        <v>250</v>
      </c>
      <c r="J1387" s="126" t="s">
        <v>250</v>
      </c>
      <c r="K1387" s="126" t="s">
        <v>250</v>
      </c>
      <c r="L1387" s="126" t="s">
        <v>250</v>
      </c>
      <c r="M1387" s="126" t="s">
        <v>250</v>
      </c>
      <c r="N1387" s="126" t="s">
        <v>250</v>
      </c>
      <c r="O1387" s="126" t="s">
        <v>250</v>
      </c>
      <c r="P1387" s="126" t="s">
        <v>250</v>
      </c>
      <c r="Q1387" s="126" t="s">
        <v>250</v>
      </c>
      <c r="R1387" s="126"/>
    </row>
    <row r="1388" spans="1:18" s="107" customFormat="1" ht="15">
      <c r="A1388" s="125">
        <v>29</v>
      </c>
      <c r="B1388" s="105"/>
      <c r="C1388" s="107" t="s">
        <v>250</v>
      </c>
      <c r="D1388" s="119" t="s">
        <v>250</v>
      </c>
      <c r="E1388" s="126" t="s">
        <v>250</v>
      </c>
      <c r="F1388" s="126" t="s">
        <v>250</v>
      </c>
      <c r="G1388" s="126" t="s">
        <v>250</v>
      </c>
      <c r="H1388" s="126" t="s">
        <v>250</v>
      </c>
      <c r="I1388" s="126" t="s">
        <v>250</v>
      </c>
      <c r="J1388" s="126" t="s">
        <v>250</v>
      </c>
      <c r="K1388" s="126" t="s">
        <v>250</v>
      </c>
      <c r="L1388" s="126" t="s">
        <v>250</v>
      </c>
      <c r="M1388" s="126" t="s">
        <v>250</v>
      </c>
      <c r="N1388" s="126" t="s">
        <v>250</v>
      </c>
      <c r="O1388" s="126" t="s">
        <v>250</v>
      </c>
      <c r="P1388" s="126" t="s">
        <v>250</v>
      </c>
      <c r="Q1388" s="126" t="s">
        <v>250</v>
      </c>
      <c r="R1388" s="126"/>
    </row>
    <row r="1389" spans="1:18" s="107" customFormat="1" ht="15">
      <c r="A1389" s="105">
        <v>30</v>
      </c>
      <c r="B1389" s="105"/>
      <c r="C1389" s="107" t="s">
        <v>250</v>
      </c>
      <c r="D1389" s="119" t="s">
        <v>250</v>
      </c>
      <c r="E1389" s="126" t="s">
        <v>250</v>
      </c>
      <c r="F1389" s="126" t="s">
        <v>250</v>
      </c>
      <c r="G1389" s="126" t="s">
        <v>250</v>
      </c>
      <c r="H1389" s="126" t="s">
        <v>250</v>
      </c>
      <c r="I1389" s="126" t="s">
        <v>250</v>
      </c>
      <c r="J1389" s="126" t="s">
        <v>250</v>
      </c>
      <c r="K1389" s="126" t="s">
        <v>250</v>
      </c>
      <c r="L1389" s="126" t="s">
        <v>250</v>
      </c>
      <c r="M1389" s="126" t="s">
        <v>250</v>
      </c>
      <c r="N1389" s="126" t="s">
        <v>250</v>
      </c>
      <c r="O1389" s="126" t="s">
        <v>250</v>
      </c>
      <c r="P1389" s="126" t="s">
        <v>250</v>
      </c>
      <c r="Q1389" s="126" t="s">
        <v>250</v>
      </c>
      <c r="R1389" s="126"/>
    </row>
    <row r="1390" spans="1:18" s="107" customFormat="1" ht="15">
      <c r="A1390" s="105">
        <v>31</v>
      </c>
      <c r="B1390" s="105"/>
      <c r="C1390" s="107" t="s">
        <v>250</v>
      </c>
      <c r="D1390" s="107" t="s">
        <v>250</v>
      </c>
      <c r="E1390" s="126" t="s">
        <v>250</v>
      </c>
      <c r="F1390" s="126" t="s">
        <v>250</v>
      </c>
      <c r="G1390" s="126" t="s">
        <v>250</v>
      </c>
      <c r="H1390" s="126" t="s">
        <v>250</v>
      </c>
      <c r="I1390" s="126" t="s">
        <v>250</v>
      </c>
      <c r="J1390" s="126" t="s">
        <v>250</v>
      </c>
      <c r="K1390" s="126" t="s">
        <v>250</v>
      </c>
      <c r="L1390" s="126" t="s">
        <v>250</v>
      </c>
      <c r="M1390" s="126" t="s">
        <v>250</v>
      </c>
      <c r="N1390" s="126" t="s">
        <v>250</v>
      </c>
      <c r="O1390" s="126" t="s">
        <v>250</v>
      </c>
      <c r="P1390" s="126" t="s">
        <v>250</v>
      </c>
      <c r="Q1390" s="126" t="s">
        <v>250</v>
      </c>
      <c r="R1390" s="126"/>
    </row>
    <row r="1391" spans="1:18" s="107" customFormat="1" ht="15">
      <c r="A1391" s="105">
        <v>32</v>
      </c>
      <c r="B1391" s="105"/>
      <c r="C1391" s="107" t="s">
        <v>250</v>
      </c>
      <c r="D1391" s="107" t="s">
        <v>250</v>
      </c>
      <c r="E1391" s="126" t="s">
        <v>250</v>
      </c>
      <c r="F1391" s="126" t="s">
        <v>250</v>
      </c>
      <c r="G1391" s="126" t="s">
        <v>250</v>
      </c>
      <c r="H1391" s="126" t="s">
        <v>250</v>
      </c>
      <c r="I1391" s="126" t="s">
        <v>250</v>
      </c>
      <c r="J1391" s="126" t="s">
        <v>250</v>
      </c>
      <c r="K1391" s="126" t="s">
        <v>250</v>
      </c>
      <c r="L1391" s="126" t="s">
        <v>250</v>
      </c>
      <c r="M1391" s="126" t="s">
        <v>250</v>
      </c>
      <c r="N1391" s="126" t="s">
        <v>250</v>
      </c>
      <c r="O1391" s="126" t="s">
        <v>250</v>
      </c>
      <c r="P1391" s="126" t="s">
        <v>250</v>
      </c>
      <c r="Q1391" s="126" t="s">
        <v>250</v>
      </c>
      <c r="R1391" s="126"/>
    </row>
    <row r="1392" spans="1:18" s="107" customFormat="1" ht="15">
      <c r="A1392" s="105">
        <v>33</v>
      </c>
      <c r="B1392" s="105"/>
      <c r="C1392" s="107" t="s">
        <v>250</v>
      </c>
      <c r="D1392" s="107" t="s">
        <v>250</v>
      </c>
      <c r="E1392" s="126" t="s">
        <v>250</v>
      </c>
      <c r="F1392" s="126" t="s">
        <v>250</v>
      </c>
      <c r="G1392" s="126" t="s">
        <v>250</v>
      </c>
      <c r="H1392" s="126" t="s">
        <v>250</v>
      </c>
      <c r="I1392" s="126" t="s">
        <v>250</v>
      </c>
      <c r="J1392" s="126" t="s">
        <v>250</v>
      </c>
      <c r="K1392" s="126" t="s">
        <v>250</v>
      </c>
      <c r="L1392" s="126" t="s">
        <v>250</v>
      </c>
      <c r="M1392" s="126" t="s">
        <v>250</v>
      </c>
      <c r="N1392" s="126" t="s">
        <v>250</v>
      </c>
      <c r="O1392" s="126" t="s">
        <v>250</v>
      </c>
      <c r="P1392" s="126" t="s">
        <v>250</v>
      </c>
      <c r="Q1392" s="126" t="s">
        <v>250</v>
      </c>
      <c r="R1392" s="126"/>
    </row>
    <row r="1393" spans="1:18" s="107" customFormat="1" ht="15">
      <c r="A1393" s="105">
        <v>34</v>
      </c>
      <c r="B1393" s="105"/>
      <c r="C1393" s="107" t="s">
        <v>250</v>
      </c>
      <c r="D1393" s="107" t="s">
        <v>250</v>
      </c>
      <c r="E1393" s="126" t="s">
        <v>250</v>
      </c>
      <c r="F1393" s="126" t="s">
        <v>250</v>
      </c>
      <c r="G1393" s="126" t="s">
        <v>250</v>
      </c>
      <c r="H1393" s="126" t="s">
        <v>250</v>
      </c>
      <c r="I1393" s="126" t="s">
        <v>250</v>
      </c>
      <c r="J1393" s="126" t="s">
        <v>250</v>
      </c>
      <c r="K1393" s="126" t="s">
        <v>250</v>
      </c>
      <c r="L1393" s="126" t="s">
        <v>250</v>
      </c>
      <c r="M1393" s="126" t="s">
        <v>250</v>
      </c>
      <c r="N1393" s="126" t="s">
        <v>250</v>
      </c>
      <c r="O1393" s="126" t="s">
        <v>250</v>
      </c>
      <c r="P1393" s="126" t="s">
        <v>250</v>
      </c>
      <c r="Q1393" s="126" t="s">
        <v>250</v>
      </c>
      <c r="R1393" s="126"/>
    </row>
    <row r="1394" spans="1:18" s="107" customFormat="1" ht="15">
      <c r="A1394" s="105">
        <v>35</v>
      </c>
      <c r="B1394" s="105"/>
      <c r="C1394" s="107" t="s">
        <v>250</v>
      </c>
      <c r="D1394" s="107" t="s">
        <v>250</v>
      </c>
      <c r="E1394" s="126" t="s">
        <v>250</v>
      </c>
      <c r="F1394" s="126" t="s">
        <v>250</v>
      </c>
      <c r="G1394" s="126" t="s">
        <v>250</v>
      </c>
      <c r="H1394" s="126" t="s">
        <v>250</v>
      </c>
      <c r="I1394" s="126" t="s">
        <v>250</v>
      </c>
      <c r="J1394" s="126" t="s">
        <v>250</v>
      </c>
      <c r="K1394" s="126" t="s">
        <v>250</v>
      </c>
      <c r="L1394" s="126" t="s">
        <v>250</v>
      </c>
      <c r="M1394" s="126" t="s">
        <v>250</v>
      </c>
      <c r="N1394" s="126" t="s">
        <v>250</v>
      </c>
      <c r="O1394" s="126" t="s">
        <v>250</v>
      </c>
      <c r="P1394" s="126" t="s">
        <v>250</v>
      </c>
      <c r="Q1394" s="126" t="s">
        <v>250</v>
      </c>
      <c r="R1394" s="126"/>
    </row>
    <row r="1395" spans="1:18" s="107" customFormat="1" ht="15">
      <c r="A1395" s="105">
        <v>36</v>
      </c>
      <c r="B1395" s="105"/>
      <c r="C1395" s="107" t="s">
        <v>250</v>
      </c>
      <c r="D1395" s="107" t="s">
        <v>250</v>
      </c>
      <c r="E1395" s="126" t="s">
        <v>250</v>
      </c>
      <c r="F1395" s="126" t="s">
        <v>250</v>
      </c>
      <c r="G1395" s="126" t="s">
        <v>250</v>
      </c>
      <c r="H1395" s="126" t="s">
        <v>250</v>
      </c>
      <c r="I1395" s="126" t="s">
        <v>250</v>
      </c>
      <c r="J1395" s="126" t="s">
        <v>250</v>
      </c>
      <c r="K1395" s="126" t="s">
        <v>250</v>
      </c>
      <c r="L1395" s="126" t="s">
        <v>250</v>
      </c>
      <c r="M1395" s="126" t="s">
        <v>250</v>
      </c>
      <c r="N1395" s="126" t="s">
        <v>250</v>
      </c>
      <c r="O1395" s="126" t="s">
        <v>250</v>
      </c>
      <c r="P1395" s="126" t="s">
        <v>250</v>
      </c>
      <c r="Q1395" s="126" t="s">
        <v>250</v>
      </c>
      <c r="R1395" s="126"/>
    </row>
    <row r="1396" spans="1:18" s="107" customFormat="1" ht="15">
      <c r="A1396" s="105">
        <v>37</v>
      </c>
      <c r="B1396" s="105"/>
      <c r="C1396" s="107" t="s">
        <v>250</v>
      </c>
      <c r="D1396" s="107" t="s">
        <v>250</v>
      </c>
      <c r="E1396" s="126" t="s">
        <v>250</v>
      </c>
      <c r="F1396" s="126" t="s">
        <v>250</v>
      </c>
      <c r="G1396" s="126" t="s">
        <v>250</v>
      </c>
      <c r="H1396" s="126" t="s">
        <v>250</v>
      </c>
      <c r="I1396" s="126" t="s">
        <v>250</v>
      </c>
      <c r="J1396" s="126" t="s">
        <v>250</v>
      </c>
      <c r="K1396" s="126" t="s">
        <v>250</v>
      </c>
      <c r="L1396" s="126" t="s">
        <v>250</v>
      </c>
      <c r="M1396" s="126" t="s">
        <v>250</v>
      </c>
      <c r="N1396" s="126" t="s">
        <v>250</v>
      </c>
      <c r="O1396" s="126" t="s">
        <v>250</v>
      </c>
      <c r="P1396" s="126" t="s">
        <v>250</v>
      </c>
      <c r="Q1396" s="126" t="s">
        <v>250</v>
      </c>
      <c r="R1396" s="126"/>
    </row>
    <row r="1397" spans="1:18" s="107" customFormat="1" ht="15">
      <c r="A1397" s="105">
        <v>38</v>
      </c>
      <c r="B1397" s="105"/>
      <c r="C1397" s="107" t="s">
        <v>250</v>
      </c>
      <c r="D1397" s="107" t="s">
        <v>250</v>
      </c>
      <c r="E1397" s="126" t="s">
        <v>250</v>
      </c>
      <c r="F1397" s="126" t="s">
        <v>250</v>
      </c>
      <c r="G1397" s="126" t="s">
        <v>250</v>
      </c>
      <c r="H1397" s="126" t="s">
        <v>250</v>
      </c>
      <c r="I1397" s="126" t="s">
        <v>250</v>
      </c>
      <c r="J1397" s="126" t="s">
        <v>250</v>
      </c>
      <c r="K1397" s="126" t="s">
        <v>250</v>
      </c>
      <c r="L1397" s="126" t="s">
        <v>250</v>
      </c>
      <c r="M1397" s="126" t="s">
        <v>250</v>
      </c>
      <c r="N1397" s="126" t="s">
        <v>250</v>
      </c>
      <c r="O1397" s="126" t="s">
        <v>250</v>
      </c>
      <c r="P1397" s="126" t="s">
        <v>250</v>
      </c>
      <c r="Q1397" s="126" t="s">
        <v>250</v>
      </c>
      <c r="R1397" s="126"/>
    </row>
    <row r="1398" spans="1:18" s="107" customFormat="1" ht="15">
      <c r="A1398" s="105">
        <v>39</v>
      </c>
      <c r="B1398" s="105"/>
      <c r="C1398" s="107" t="s">
        <v>250</v>
      </c>
      <c r="D1398" s="107" t="s">
        <v>250</v>
      </c>
      <c r="E1398" s="126" t="s">
        <v>250</v>
      </c>
      <c r="F1398" s="126" t="s">
        <v>250</v>
      </c>
      <c r="G1398" s="126" t="s">
        <v>250</v>
      </c>
      <c r="H1398" s="126" t="s">
        <v>250</v>
      </c>
      <c r="I1398" s="126" t="s">
        <v>250</v>
      </c>
      <c r="J1398" s="126" t="s">
        <v>250</v>
      </c>
      <c r="K1398" s="126" t="s">
        <v>250</v>
      </c>
      <c r="L1398" s="126" t="s">
        <v>250</v>
      </c>
      <c r="M1398" s="126" t="s">
        <v>250</v>
      </c>
      <c r="N1398" s="126" t="s">
        <v>250</v>
      </c>
      <c r="O1398" s="126" t="s">
        <v>250</v>
      </c>
      <c r="P1398" s="126" t="s">
        <v>250</v>
      </c>
      <c r="Q1398" s="126" t="s">
        <v>250</v>
      </c>
      <c r="R1398" s="126"/>
    </row>
    <row r="1399" spans="1:18" s="107" customFormat="1" ht="15">
      <c r="A1399" s="105">
        <v>40</v>
      </c>
      <c r="B1399" s="105"/>
      <c r="C1399" s="107" t="s">
        <v>250</v>
      </c>
      <c r="D1399" s="107" t="s">
        <v>250</v>
      </c>
      <c r="E1399" s="126" t="s">
        <v>250</v>
      </c>
      <c r="F1399" s="126" t="s">
        <v>250</v>
      </c>
      <c r="G1399" s="126" t="s">
        <v>250</v>
      </c>
      <c r="H1399" s="126" t="s">
        <v>250</v>
      </c>
      <c r="I1399" s="126" t="s">
        <v>250</v>
      </c>
      <c r="J1399" s="126" t="s">
        <v>250</v>
      </c>
      <c r="K1399" s="126" t="s">
        <v>250</v>
      </c>
      <c r="L1399" s="126" t="s">
        <v>250</v>
      </c>
      <c r="M1399" s="126" t="s">
        <v>250</v>
      </c>
      <c r="N1399" s="126" t="s">
        <v>250</v>
      </c>
      <c r="O1399" s="126" t="s">
        <v>250</v>
      </c>
      <c r="P1399" s="126" t="s">
        <v>250</v>
      </c>
      <c r="Q1399" s="126" t="s">
        <v>250</v>
      </c>
      <c r="R1399" s="126"/>
    </row>
    <row r="1400" spans="1:18" s="107" customFormat="1" ht="15">
      <c r="A1400" s="105" t="s">
        <v>250</v>
      </c>
      <c r="B1400" s="105"/>
      <c r="C1400" s="107" t="s">
        <v>250</v>
      </c>
      <c r="D1400" s="107" t="s">
        <v>250</v>
      </c>
      <c r="E1400" s="126" t="s">
        <v>250</v>
      </c>
      <c r="F1400" s="126" t="s">
        <v>250</v>
      </c>
      <c r="G1400" s="126" t="s">
        <v>250</v>
      </c>
      <c r="H1400" s="126" t="s">
        <v>250</v>
      </c>
      <c r="I1400" s="126" t="s">
        <v>250</v>
      </c>
      <c r="J1400" s="126" t="s">
        <v>250</v>
      </c>
      <c r="K1400" s="126" t="s">
        <v>250</v>
      </c>
      <c r="L1400" s="126" t="s">
        <v>250</v>
      </c>
      <c r="M1400" s="126" t="s">
        <v>250</v>
      </c>
      <c r="N1400" s="126" t="s">
        <v>250</v>
      </c>
      <c r="O1400" s="126" t="s">
        <v>250</v>
      </c>
      <c r="P1400" s="126" t="s">
        <v>250</v>
      </c>
      <c r="Q1400" s="126" t="s">
        <v>250</v>
      </c>
      <c r="R1400" s="126"/>
    </row>
    <row r="1401" spans="1:18" s="107" customFormat="1" ht="15">
      <c r="A1401" s="105" t="s">
        <v>250</v>
      </c>
      <c r="B1401" s="105"/>
      <c r="C1401" s="107" t="s">
        <v>1124</v>
      </c>
      <c r="D1401" s="107" t="s">
        <v>250</v>
      </c>
      <c r="E1401" s="126" t="s">
        <v>250</v>
      </c>
      <c r="F1401" s="126" t="s">
        <v>250</v>
      </c>
      <c r="G1401" s="126" t="s">
        <v>250</v>
      </c>
      <c r="H1401" s="126" t="s">
        <v>250</v>
      </c>
      <c r="I1401" s="126" t="s">
        <v>250</v>
      </c>
      <c r="J1401" s="126" t="s">
        <v>250</v>
      </c>
      <c r="K1401" s="126" t="s">
        <v>250</v>
      </c>
      <c r="L1401" s="126" t="s">
        <v>250</v>
      </c>
      <c r="M1401" s="126" t="s">
        <v>250</v>
      </c>
      <c r="N1401" s="126" t="s">
        <v>250</v>
      </c>
      <c r="O1401" s="126" t="s">
        <v>250</v>
      </c>
      <c r="P1401" s="126" t="s">
        <v>250</v>
      </c>
      <c r="Q1401" s="126" t="s">
        <v>250</v>
      </c>
      <c r="R1401" s="126"/>
    </row>
    <row r="1402" spans="1:18" s="107" customFormat="1" ht="15">
      <c r="A1402" s="105" t="s">
        <v>250</v>
      </c>
      <c r="B1402" s="105"/>
      <c r="C1402" s="107" t="s">
        <v>917</v>
      </c>
      <c r="D1402" s="107" t="s">
        <v>250</v>
      </c>
      <c r="E1402" s="126" t="s">
        <v>250</v>
      </c>
      <c r="F1402" s="126" t="s">
        <v>250</v>
      </c>
      <c r="G1402" s="126" t="s">
        <v>250</v>
      </c>
      <c r="H1402" s="126" t="s">
        <v>250</v>
      </c>
      <c r="I1402" s="126" t="s">
        <v>250</v>
      </c>
      <c r="J1402" s="126" t="s">
        <v>250</v>
      </c>
      <c r="K1402" s="126" t="s">
        <v>250</v>
      </c>
      <c r="L1402" s="126" t="s">
        <v>250</v>
      </c>
      <c r="M1402" s="126" t="s">
        <v>250</v>
      </c>
      <c r="N1402" s="126" t="s">
        <v>250</v>
      </c>
      <c r="O1402" s="126" t="s">
        <v>250</v>
      </c>
      <c r="P1402" s="126" t="s">
        <v>250</v>
      </c>
      <c r="Q1402" s="126" t="s">
        <v>250</v>
      </c>
      <c r="R1402" s="126"/>
    </row>
    <row r="1403" spans="1:18" s="107" customFormat="1" ht="15">
      <c r="A1403" s="105">
        <v>1</v>
      </c>
      <c r="B1403" s="105"/>
      <c r="C1403" s="107" t="s">
        <v>1125</v>
      </c>
      <c r="D1403" s="107" t="s">
        <v>250</v>
      </c>
      <c r="E1403" s="126">
        <v>1</v>
      </c>
      <c r="F1403" s="126" t="s">
        <v>250</v>
      </c>
      <c r="G1403" s="126">
        <v>0.93933214661213005</v>
      </c>
      <c r="H1403" s="126" t="s">
        <v>250</v>
      </c>
      <c r="I1403" s="126">
        <v>6.0667853387869917E-2</v>
      </c>
      <c r="J1403" s="126">
        <v>0</v>
      </c>
      <c r="K1403" s="126" t="s">
        <v>250</v>
      </c>
      <c r="L1403" s="126" t="s">
        <v>250</v>
      </c>
      <c r="M1403" s="126">
        <v>0</v>
      </c>
      <c r="N1403" s="126" t="s">
        <v>250</v>
      </c>
      <c r="O1403" s="126">
        <v>0</v>
      </c>
      <c r="P1403" s="126">
        <v>0</v>
      </c>
      <c r="Q1403" s="126">
        <v>0</v>
      </c>
      <c r="R1403" s="126"/>
    </row>
    <row r="1404" spans="1:18" s="107" customFormat="1" ht="15">
      <c r="A1404" s="105">
        <v>2</v>
      </c>
      <c r="B1404" s="105"/>
      <c r="C1404" s="107" t="s">
        <v>1126</v>
      </c>
      <c r="D1404" s="107" t="s">
        <v>250</v>
      </c>
      <c r="E1404" s="126">
        <v>1</v>
      </c>
      <c r="F1404" s="126" t="s">
        <v>250</v>
      </c>
      <c r="G1404" s="126">
        <v>0.95845400944138825</v>
      </c>
      <c r="H1404" s="126" t="s">
        <v>250</v>
      </c>
      <c r="I1404" s="126">
        <v>4.1545990558611731E-2</v>
      </c>
      <c r="J1404" s="126">
        <v>0</v>
      </c>
      <c r="K1404" s="126" t="s">
        <v>250</v>
      </c>
      <c r="L1404" s="126" t="s">
        <v>250</v>
      </c>
      <c r="M1404" s="126">
        <v>0</v>
      </c>
      <c r="N1404" s="126" t="s">
        <v>250</v>
      </c>
      <c r="O1404" s="126">
        <v>0</v>
      </c>
      <c r="P1404" s="126">
        <v>0</v>
      </c>
      <c r="Q1404" s="126">
        <v>0</v>
      </c>
      <c r="R1404" s="126"/>
    </row>
    <row r="1405" spans="1:18" s="107" customFormat="1" ht="15">
      <c r="A1405" s="105">
        <v>3</v>
      </c>
      <c r="B1405" s="105"/>
      <c r="C1405" s="107" t="s">
        <v>1127</v>
      </c>
      <c r="D1405" s="107" t="s">
        <v>250</v>
      </c>
      <c r="E1405" s="126">
        <v>0</v>
      </c>
      <c r="F1405" s="126" t="s">
        <v>250</v>
      </c>
      <c r="G1405" s="126">
        <v>0</v>
      </c>
      <c r="H1405" s="126" t="s">
        <v>250</v>
      </c>
      <c r="I1405" s="126">
        <v>0</v>
      </c>
      <c r="J1405" s="126">
        <v>0</v>
      </c>
      <c r="K1405" s="126" t="s">
        <v>250</v>
      </c>
      <c r="L1405" s="126" t="s">
        <v>250</v>
      </c>
      <c r="M1405" s="126">
        <v>0</v>
      </c>
      <c r="N1405" s="126" t="s">
        <v>250</v>
      </c>
      <c r="O1405" s="126">
        <v>0</v>
      </c>
      <c r="P1405" s="126">
        <v>0</v>
      </c>
      <c r="Q1405" s="126">
        <v>0</v>
      </c>
      <c r="R1405" s="126"/>
    </row>
    <row r="1406" spans="1:18" s="107" customFormat="1" ht="15">
      <c r="A1406" s="105">
        <v>4</v>
      </c>
      <c r="B1406" s="105"/>
      <c r="C1406" s="107" t="s">
        <v>1128</v>
      </c>
      <c r="D1406" s="107" t="s">
        <v>250</v>
      </c>
      <c r="E1406" s="126">
        <v>1</v>
      </c>
      <c r="F1406" s="126" t="s">
        <v>250</v>
      </c>
      <c r="G1406" s="126">
        <v>0.97876175061512549</v>
      </c>
      <c r="H1406" s="126" t="s">
        <v>250</v>
      </c>
      <c r="I1406" s="126">
        <v>2.1238249384874508E-2</v>
      </c>
      <c r="J1406" s="126">
        <v>0</v>
      </c>
      <c r="K1406" s="126" t="s">
        <v>250</v>
      </c>
      <c r="L1406" s="126" t="s">
        <v>250</v>
      </c>
      <c r="M1406" s="126">
        <v>0</v>
      </c>
      <c r="N1406" s="126" t="s">
        <v>250</v>
      </c>
      <c r="O1406" s="126">
        <v>0</v>
      </c>
      <c r="P1406" s="126">
        <v>0</v>
      </c>
      <c r="Q1406" s="126">
        <v>0</v>
      </c>
      <c r="R1406" s="126"/>
    </row>
    <row r="1407" spans="1:18" s="107" customFormat="1" ht="15">
      <c r="A1407" s="105">
        <v>5</v>
      </c>
      <c r="B1407" s="105"/>
      <c r="C1407" s="107" t="s">
        <v>1129</v>
      </c>
      <c r="D1407" s="107" t="s">
        <v>250</v>
      </c>
      <c r="E1407" s="126">
        <v>0</v>
      </c>
      <c r="F1407" s="126" t="s">
        <v>250</v>
      </c>
      <c r="G1407" s="126">
        <v>0</v>
      </c>
      <c r="H1407" s="126" t="s">
        <v>250</v>
      </c>
      <c r="I1407" s="126">
        <v>0</v>
      </c>
      <c r="J1407" s="126">
        <v>0</v>
      </c>
      <c r="K1407" s="126" t="s">
        <v>250</v>
      </c>
      <c r="L1407" s="126" t="s">
        <v>250</v>
      </c>
      <c r="M1407" s="126">
        <v>0</v>
      </c>
      <c r="N1407" s="126" t="s">
        <v>250</v>
      </c>
      <c r="O1407" s="126">
        <v>0</v>
      </c>
      <c r="P1407" s="126">
        <v>0</v>
      </c>
      <c r="Q1407" s="126">
        <v>0</v>
      </c>
      <c r="R1407" s="126"/>
    </row>
    <row r="1408" spans="1:18" s="107" customFormat="1" ht="15">
      <c r="A1408" s="105">
        <v>6</v>
      </c>
      <c r="B1408" s="105"/>
      <c r="C1408" s="107" t="s">
        <v>1130</v>
      </c>
      <c r="D1408" s="107" t="s">
        <v>250</v>
      </c>
      <c r="E1408" s="126">
        <v>1</v>
      </c>
      <c r="F1408" s="126" t="s">
        <v>250</v>
      </c>
      <c r="G1408" s="126">
        <v>0.96816212541592106</v>
      </c>
      <c r="H1408" s="126" t="s">
        <v>250</v>
      </c>
      <c r="I1408" s="126">
        <v>3.1837874584078926E-2</v>
      </c>
      <c r="J1408" s="126">
        <v>0</v>
      </c>
      <c r="K1408" s="126" t="s">
        <v>250</v>
      </c>
      <c r="L1408" s="126" t="s">
        <v>250</v>
      </c>
      <c r="M1408" s="126">
        <v>0</v>
      </c>
      <c r="N1408" s="126" t="s">
        <v>250</v>
      </c>
      <c r="O1408" s="126">
        <v>0</v>
      </c>
      <c r="P1408" s="126">
        <v>0</v>
      </c>
      <c r="Q1408" s="126">
        <v>0</v>
      </c>
      <c r="R1408" s="126"/>
    </row>
    <row r="1409" spans="1:18" s="107" customFormat="1" ht="15">
      <c r="A1409" s="105">
        <v>7</v>
      </c>
      <c r="B1409" s="105"/>
      <c r="C1409" s="107" t="s">
        <v>1131</v>
      </c>
      <c r="D1409" s="107" t="s">
        <v>250</v>
      </c>
      <c r="E1409" s="126">
        <v>1</v>
      </c>
      <c r="F1409" s="126" t="s">
        <v>250</v>
      </c>
      <c r="G1409" s="126">
        <v>0.94853457540641584</v>
      </c>
      <c r="H1409" s="126" t="s">
        <v>250</v>
      </c>
      <c r="I1409" s="126">
        <v>5.1465424593584143E-2</v>
      </c>
      <c r="J1409" s="126">
        <v>0</v>
      </c>
      <c r="K1409" s="126" t="s">
        <v>250</v>
      </c>
      <c r="L1409" s="126" t="s">
        <v>250</v>
      </c>
      <c r="M1409" s="126">
        <v>0</v>
      </c>
      <c r="N1409" s="126" t="s">
        <v>250</v>
      </c>
      <c r="O1409" s="126">
        <v>0</v>
      </c>
      <c r="P1409" s="126">
        <v>0</v>
      </c>
      <c r="Q1409" s="126">
        <v>0</v>
      </c>
      <c r="R1409" s="126"/>
    </row>
    <row r="1410" spans="1:18" s="107" customFormat="1" ht="15">
      <c r="A1410" s="105">
        <v>8</v>
      </c>
      <c r="B1410" s="105"/>
      <c r="C1410" s="107" t="s">
        <v>1132</v>
      </c>
      <c r="D1410" s="107" t="s">
        <v>250</v>
      </c>
      <c r="E1410" s="126">
        <v>0</v>
      </c>
      <c r="F1410" s="126" t="s">
        <v>250</v>
      </c>
      <c r="G1410" s="126">
        <v>0</v>
      </c>
      <c r="H1410" s="126" t="s">
        <v>250</v>
      </c>
      <c r="I1410" s="126">
        <v>0</v>
      </c>
      <c r="J1410" s="126">
        <v>0</v>
      </c>
      <c r="K1410" s="126" t="s">
        <v>250</v>
      </c>
      <c r="L1410" s="126" t="s">
        <v>250</v>
      </c>
      <c r="M1410" s="126">
        <v>0</v>
      </c>
      <c r="N1410" s="126" t="s">
        <v>250</v>
      </c>
      <c r="O1410" s="126">
        <v>0</v>
      </c>
      <c r="P1410" s="126">
        <v>0</v>
      </c>
      <c r="Q1410" s="126">
        <v>0</v>
      </c>
      <c r="R1410" s="126"/>
    </row>
    <row r="1411" spans="1:18" s="107" customFormat="1" ht="15">
      <c r="A1411" s="105">
        <v>9</v>
      </c>
      <c r="B1411" s="105"/>
      <c r="C1411" s="107" t="s">
        <v>1133</v>
      </c>
      <c r="D1411" s="107" t="s">
        <v>250</v>
      </c>
      <c r="E1411" s="126">
        <v>1</v>
      </c>
      <c r="F1411" s="126" t="s">
        <v>250</v>
      </c>
      <c r="G1411" s="126">
        <v>0</v>
      </c>
      <c r="H1411" s="126" t="s">
        <v>250</v>
      </c>
      <c r="I1411" s="126">
        <v>0</v>
      </c>
      <c r="J1411" s="126">
        <v>1</v>
      </c>
      <c r="K1411" s="126" t="s">
        <v>250</v>
      </c>
      <c r="L1411" s="126" t="s">
        <v>250</v>
      </c>
      <c r="M1411" s="126">
        <v>0</v>
      </c>
      <c r="N1411" s="126" t="s">
        <v>250</v>
      </c>
      <c r="O1411" s="126">
        <v>0.99999999999999989</v>
      </c>
      <c r="P1411" s="126">
        <v>0.51036720007799474</v>
      </c>
      <c r="Q1411" s="126">
        <v>0.48963279992200515</v>
      </c>
      <c r="R1411" s="126"/>
    </row>
    <row r="1412" spans="1:18" s="107" customFormat="1" ht="15">
      <c r="A1412" s="105">
        <v>10</v>
      </c>
      <c r="B1412" s="105"/>
      <c r="C1412" s="107" t="s">
        <v>1134</v>
      </c>
      <c r="D1412" s="107" t="s">
        <v>250</v>
      </c>
      <c r="E1412" s="126">
        <v>0</v>
      </c>
      <c r="F1412" s="126" t="s">
        <v>250</v>
      </c>
      <c r="G1412" s="126">
        <v>0</v>
      </c>
      <c r="H1412" s="126" t="s">
        <v>250</v>
      </c>
      <c r="I1412" s="126">
        <v>0</v>
      </c>
      <c r="J1412" s="126">
        <v>0</v>
      </c>
      <c r="K1412" s="126" t="s">
        <v>250</v>
      </c>
      <c r="L1412" s="126" t="s">
        <v>250</v>
      </c>
      <c r="M1412" s="126">
        <v>0</v>
      </c>
      <c r="N1412" s="126" t="s">
        <v>250</v>
      </c>
      <c r="O1412" s="126">
        <v>0</v>
      </c>
      <c r="P1412" s="126">
        <v>0</v>
      </c>
      <c r="Q1412" s="126">
        <v>0</v>
      </c>
      <c r="R1412" s="126"/>
    </row>
    <row r="1413" spans="1:18" s="107" customFormat="1" ht="15">
      <c r="A1413" s="105">
        <v>11</v>
      </c>
      <c r="B1413" s="105"/>
      <c r="C1413" s="107" t="s">
        <v>1135</v>
      </c>
      <c r="D1413" s="107" t="s">
        <v>250</v>
      </c>
      <c r="E1413" s="126">
        <v>0</v>
      </c>
      <c r="F1413" s="126" t="s">
        <v>250</v>
      </c>
      <c r="G1413" s="126">
        <v>0</v>
      </c>
      <c r="H1413" s="126" t="s">
        <v>250</v>
      </c>
      <c r="I1413" s="126">
        <v>0</v>
      </c>
      <c r="J1413" s="126">
        <v>0</v>
      </c>
      <c r="K1413" s="126" t="s">
        <v>250</v>
      </c>
      <c r="L1413" s="126" t="s">
        <v>250</v>
      </c>
      <c r="M1413" s="126">
        <v>0</v>
      </c>
      <c r="N1413" s="126" t="s">
        <v>250</v>
      </c>
      <c r="O1413" s="126">
        <v>0</v>
      </c>
      <c r="P1413" s="126">
        <v>0</v>
      </c>
      <c r="Q1413" s="126">
        <v>0</v>
      </c>
      <c r="R1413" s="126"/>
    </row>
    <row r="1414" spans="1:18" s="107" customFormat="1" ht="15">
      <c r="A1414" s="105">
        <v>12</v>
      </c>
      <c r="B1414" s="105"/>
      <c r="E1414" s="126" t="s">
        <v>250</v>
      </c>
      <c r="F1414" s="126" t="s">
        <v>250</v>
      </c>
      <c r="G1414" s="126" t="s">
        <v>250</v>
      </c>
      <c r="H1414" s="126" t="s">
        <v>250</v>
      </c>
      <c r="I1414" s="126" t="s">
        <v>250</v>
      </c>
      <c r="J1414" s="126" t="s">
        <v>250</v>
      </c>
      <c r="K1414" s="126" t="s">
        <v>250</v>
      </c>
      <c r="L1414" s="126" t="s">
        <v>250</v>
      </c>
      <c r="M1414" s="126" t="s">
        <v>250</v>
      </c>
      <c r="N1414" s="126" t="s">
        <v>250</v>
      </c>
      <c r="O1414" s="126" t="s">
        <v>250</v>
      </c>
      <c r="P1414" s="126" t="s">
        <v>250</v>
      </c>
      <c r="Q1414" s="126" t="s">
        <v>250</v>
      </c>
    </row>
    <row r="1415" spans="1:18" s="107" customFormat="1" ht="15">
      <c r="A1415" s="105">
        <v>13</v>
      </c>
      <c r="B1415" s="105"/>
      <c r="E1415" s="126" t="s">
        <v>250</v>
      </c>
      <c r="F1415" s="126" t="s">
        <v>250</v>
      </c>
      <c r="G1415" s="126" t="s">
        <v>250</v>
      </c>
      <c r="H1415" s="126" t="s">
        <v>250</v>
      </c>
      <c r="I1415" s="126" t="s">
        <v>250</v>
      </c>
      <c r="J1415" s="126" t="s">
        <v>250</v>
      </c>
      <c r="K1415" s="126" t="s">
        <v>250</v>
      </c>
      <c r="L1415" s="126" t="s">
        <v>250</v>
      </c>
      <c r="M1415" s="126" t="s">
        <v>250</v>
      </c>
      <c r="N1415" s="126" t="s">
        <v>250</v>
      </c>
      <c r="O1415" s="126" t="s">
        <v>250</v>
      </c>
      <c r="P1415" s="126" t="s">
        <v>250</v>
      </c>
      <c r="Q1415" s="126" t="s">
        <v>250</v>
      </c>
    </row>
    <row r="1416" spans="1:18" s="107" customFormat="1" ht="15">
      <c r="A1416" s="105">
        <v>14</v>
      </c>
      <c r="B1416" s="105"/>
      <c r="E1416" s="126" t="s">
        <v>250</v>
      </c>
      <c r="F1416" s="126" t="s">
        <v>250</v>
      </c>
      <c r="G1416" s="126" t="s">
        <v>250</v>
      </c>
      <c r="H1416" s="126" t="s">
        <v>250</v>
      </c>
      <c r="I1416" s="126" t="s">
        <v>250</v>
      </c>
      <c r="J1416" s="126" t="s">
        <v>250</v>
      </c>
      <c r="K1416" s="126" t="s">
        <v>250</v>
      </c>
      <c r="L1416" s="126" t="s">
        <v>250</v>
      </c>
      <c r="M1416" s="126" t="s">
        <v>250</v>
      </c>
      <c r="N1416" s="126" t="s">
        <v>250</v>
      </c>
      <c r="O1416" s="126" t="s">
        <v>250</v>
      </c>
      <c r="P1416" s="126" t="s">
        <v>250</v>
      </c>
      <c r="Q1416" s="126" t="s">
        <v>250</v>
      </c>
    </row>
    <row r="1417" spans="1:18" s="107" customFormat="1" ht="15">
      <c r="A1417" s="105">
        <v>15</v>
      </c>
      <c r="B1417" s="105"/>
      <c r="E1417" s="126" t="s">
        <v>250</v>
      </c>
      <c r="F1417" s="126" t="s">
        <v>250</v>
      </c>
      <c r="G1417" s="126" t="s">
        <v>250</v>
      </c>
      <c r="H1417" s="126" t="s">
        <v>250</v>
      </c>
      <c r="I1417" s="126" t="s">
        <v>250</v>
      </c>
      <c r="J1417" s="126" t="s">
        <v>250</v>
      </c>
      <c r="K1417" s="126" t="s">
        <v>250</v>
      </c>
      <c r="L1417" s="126" t="s">
        <v>250</v>
      </c>
      <c r="M1417" s="126" t="s">
        <v>250</v>
      </c>
      <c r="N1417" s="126" t="s">
        <v>250</v>
      </c>
      <c r="O1417" s="126" t="s">
        <v>250</v>
      </c>
      <c r="P1417" s="126" t="s">
        <v>250</v>
      </c>
      <c r="Q1417" s="126" t="s">
        <v>250</v>
      </c>
    </row>
    <row r="1418" spans="1:18" s="107" customFormat="1" ht="15">
      <c r="A1418" s="105">
        <v>16</v>
      </c>
      <c r="B1418" s="105"/>
      <c r="E1418" s="126" t="s">
        <v>250</v>
      </c>
      <c r="F1418" s="126" t="s">
        <v>250</v>
      </c>
      <c r="G1418" s="126" t="s">
        <v>250</v>
      </c>
      <c r="H1418" s="126" t="s">
        <v>250</v>
      </c>
      <c r="I1418" s="126" t="s">
        <v>250</v>
      </c>
      <c r="J1418" s="126" t="s">
        <v>250</v>
      </c>
      <c r="K1418" s="126" t="s">
        <v>250</v>
      </c>
      <c r="L1418" s="126" t="s">
        <v>250</v>
      </c>
      <c r="M1418" s="126" t="s">
        <v>250</v>
      </c>
      <c r="N1418" s="126" t="s">
        <v>250</v>
      </c>
      <c r="O1418" s="126" t="s">
        <v>250</v>
      </c>
      <c r="P1418" s="126" t="s">
        <v>250</v>
      </c>
      <c r="Q1418" s="126" t="s">
        <v>250</v>
      </c>
    </row>
    <row r="1419" spans="1:18" s="107" customFormat="1" ht="15">
      <c r="A1419" s="105">
        <v>17</v>
      </c>
      <c r="B1419" s="105"/>
      <c r="E1419" s="126" t="s">
        <v>250</v>
      </c>
      <c r="F1419" s="126" t="s">
        <v>250</v>
      </c>
      <c r="G1419" s="126" t="s">
        <v>250</v>
      </c>
      <c r="H1419" s="126" t="s">
        <v>250</v>
      </c>
      <c r="I1419" s="126" t="s">
        <v>250</v>
      </c>
      <c r="J1419" s="126" t="s">
        <v>250</v>
      </c>
      <c r="K1419" s="126" t="s">
        <v>250</v>
      </c>
      <c r="L1419" s="126" t="s">
        <v>250</v>
      </c>
      <c r="M1419" s="126" t="s">
        <v>250</v>
      </c>
      <c r="N1419" s="126" t="s">
        <v>250</v>
      </c>
      <c r="O1419" s="126" t="s">
        <v>250</v>
      </c>
      <c r="P1419" s="126" t="s">
        <v>250</v>
      </c>
      <c r="Q1419" s="126" t="s">
        <v>250</v>
      </c>
    </row>
    <row r="1420" spans="1:18" s="107" customFormat="1" ht="15">
      <c r="A1420" s="105">
        <v>18</v>
      </c>
      <c r="B1420" s="105"/>
      <c r="E1420" s="126" t="s">
        <v>250</v>
      </c>
      <c r="F1420" s="126" t="s">
        <v>250</v>
      </c>
      <c r="G1420" s="126" t="s">
        <v>250</v>
      </c>
      <c r="H1420" s="126" t="s">
        <v>250</v>
      </c>
      <c r="I1420" s="126" t="s">
        <v>250</v>
      </c>
      <c r="J1420" s="126" t="s">
        <v>250</v>
      </c>
      <c r="K1420" s="126" t="s">
        <v>250</v>
      </c>
      <c r="L1420" s="126" t="s">
        <v>250</v>
      </c>
      <c r="M1420" s="126" t="s">
        <v>250</v>
      </c>
      <c r="N1420" s="126" t="s">
        <v>250</v>
      </c>
      <c r="O1420" s="126" t="s">
        <v>250</v>
      </c>
      <c r="P1420" s="126" t="s">
        <v>250</v>
      </c>
      <c r="Q1420" s="126" t="s">
        <v>250</v>
      </c>
    </row>
    <row r="1421" spans="1:18"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</row>
    <row r="1422" spans="1:18"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</row>
    <row r="1423" spans="1:18"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</row>
    <row r="1424" spans="1:18"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</row>
    <row r="1425" spans="5:17"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</row>
  </sheetData>
  <sheetProtection selectLockedCells="1" selectUnlockedCells="1"/>
  <pageMargins left="0.5" right="0.25" top="1" bottom="0.19" header="1" footer="0.4"/>
  <pageSetup scale="40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9" min="4" max="16" man="1"/>
    <brk id="389" min="4" max="16" man="1"/>
    <brk id="428" min="4" max="16" man="1"/>
    <brk id="494" min="4" max="16" man="1"/>
    <brk id="542" min="4" max="16" man="1"/>
    <brk id="653" min="4" max="16" man="1"/>
    <brk id="701" min="4" max="16" man="1"/>
    <brk id="732" min="4" max="16" man="1"/>
    <brk id="790" min="4" max="16" man="1"/>
    <brk id="836" min="4" max="16" man="1"/>
    <brk id="881" min="4" max="16" man="1"/>
    <brk id="922" min="4" max="16" man="1"/>
    <brk id="987" min="4" max="16" man="1"/>
    <brk id="1021" min="4" max="16" man="1"/>
    <brk id="1070" min="4" max="16" man="1"/>
    <brk id="1113" min="4" max="16" man="1"/>
    <brk id="1145" max="16383" man="1"/>
    <brk id="1166" min="4" max="16" man="1"/>
    <brk id="1231" min="4" max="16" man="1"/>
    <brk id="1266" min="4" max="16" man="1"/>
    <brk id="1314" min="4" max="16" man="1"/>
    <brk id="1356" min="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1">
    <pageSetUpPr fitToPage="1"/>
  </sheetPr>
  <dimension ref="A1:Z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8.625" style="2" customWidth="1"/>
    <col min="18" max="18" width="1.5" style="2" customWidth="1"/>
    <col min="19" max="19" width="18.625" style="2" customWidth="1"/>
    <col min="20" max="20" width="1.5" style="2" customWidth="1"/>
    <col min="21" max="21" width="15.5" style="66" customWidth="1"/>
    <col min="22" max="22" width="1.5" style="2" customWidth="1"/>
    <col min="23" max="23" width="15.5" style="66" customWidth="1"/>
    <col min="24" max="24" width="1.5" style="2" customWidth="1"/>
    <col min="25" max="26" width="15.5" style="66" customWidth="1"/>
    <col min="27" max="16384" width="9" style="2"/>
  </cols>
  <sheetData>
    <row r="1" spans="1:26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22"/>
      <c r="U1" s="422"/>
      <c r="V1" s="422"/>
      <c r="W1" s="422"/>
      <c r="X1" s="422"/>
      <c r="Y1" s="422"/>
      <c r="Z1" s="422"/>
    </row>
    <row r="2" spans="1:26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22"/>
      <c r="U2" s="422"/>
      <c r="V2" s="422"/>
      <c r="W2" s="422"/>
      <c r="X2" s="422"/>
      <c r="Y2" s="422"/>
      <c r="Z2" s="422"/>
    </row>
    <row r="3" spans="1:26">
      <c r="D3" s="493" t="s">
        <v>3701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24"/>
      <c r="U3" s="424"/>
      <c r="V3" s="424"/>
      <c r="W3" s="424"/>
      <c r="X3" s="424"/>
      <c r="Y3" s="424"/>
      <c r="Z3" s="424"/>
    </row>
    <row r="4" spans="1:26">
      <c r="D4" s="3"/>
      <c r="E4" s="3" t="s">
        <v>2655</v>
      </c>
      <c r="F4" s="3"/>
      <c r="G4" s="3" t="s">
        <v>2656</v>
      </c>
      <c r="H4" s="3"/>
      <c r="I4" s="3" t="s">
        <v>2657</v>
      </c>
      <c r="J4" s="3"/>
      <c r="K4" s="3" t="s">
        <v>2658</v>
      </c>
      <c r="L4" s="3"/>
      <c r="M4" s="3"/>
      <c r="N4" s="3"/>
      <c r="O4" s="3" t="s">
        <v>2655</v>
      </c>
      <c r="Q4" s="2" t="s">
        <v>2659</v>
      </c>
      <c r="T4" s="3"/>
      <c r="U4" s="3"/>
      <c r="V4" s="3"/>
      <c r="W4" s="3"/>
      <c r="X4" s="3"/>
      <c r="Y4" s="32" t="s">
        <v>2655</v>
      </c>
      <c r="Z4" s="32"/>
    </row>
    <row r="5" spans="1:26" ht="15">
      <c r="D5" s="3"/>
      <c r="E5" s="4" t="s">
        <v>3702</v>
      </c>
      <c r="F5" s="3"/>
      <c r="G5" s="3"/>
      <c r="H5" s="3"/>
      <c r="I5" s="3"/>
      <c r="J5" s="3"/>
      <c r="K5" s="3"/>
      <c r="L5" s="3"/>
      <c r="M5" s="3"/>
      <c r="N5" s="3"/>
      <c r="O5" s="4" t="s">
        <v>3703</v>
      </c>
      <c r="T5" s="3"/>
      <c r="U5" s="3"/>
      <c r="V5" s="3"/>
      <c r="W5" s="3"/>
      <c r="X5" s="3"/>
      <c r="Y5" s="4" t="s">
        <v>3703</v>
      </c>
      <c r="Z5" s="4"/>
    </row>
    <row r="6" spans="1:26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5"/>
      <c r="R6" s="5"/>
      <c r="S6" s="8" t="s">
        <v>5</v>
      </c>
      <c r="T6" s="5"/>
      <c r="U6" s="231" t="s">
        <v>1201</v>
      </c>
      <c r="V6" s="5"/>
      <c r="W6" s="231" t="s">
        <v>11</v>
      </c>
      <c r="X6" s="5"/>
      <c r="Y6" s="6" t="s">
        <v>4</v>
      </c>
      <c r="Z6" s="6"/>
    </row>
    <row r="7" spans="1:26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11</v>
      </c>
      <c r="R7" s="5"/>
      <c r="S7" s="10" t="s">
        <v>12</v>
      </c>
      <c r="T7" s="5"/>
      <c r="U7" s="10" t="s">
        <v>1202</v>
      </c>
      <c r="V7" s="5"/>
      <c r="W7" s="10" t="s">
        <v>2172</v>
      </c>
      <c r="X7" s="5"/>
      <c r="Y7" s="10" t="s">
        <v>6</v>
      </c>
      <c r="Z7" s="10" t="s">
        <v>13</v>
      </c>
    </row>
    <row r="8" spans="1:26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5"/>
      <c r="R8" s="5"/>
      <c r="S8" s="5"/>
      <c r="T8" s="5"/>
      <c r="U8" s="11"/>
      <c r="V8" s="5"/>
      <c r="W8" s="11"/>
      <c r="X8" s="5"/>
      <c r="Y8" s="11" t="s">
        <v>2165</v>
      </c>
      <c r="Z8" s="11"/>
    </row>
    <row r="9" spans="1:26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5"/>
      <c r="R9" s="5"/>
      <c r="S9" s="5"/>
      <c r="T9" s="5"/>
      <c r="U9" s="7"/>
      <c r="V9" s="5"/>
      <c r="W9" s="7"/>
      <c r="X9" s="5"/>
      <c r="Y9" s="7"/>
      <c r="Z9" s="7"/>
    </row>
    <row r="10" spans="1:26">
      <c r="D10" s="8" t="s">
        <v>16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5"/>
      <c r="R10" s="5"/>
      <c r="S10" s="5"/>
      <c r="T10" s="5"/>
      <c r="U10" s="7"/>
      <c r="V10" s="5"/>
      <c r="W10" s="7"/>
      <c r="X10" s="5"/>
      <c r="Y10" s="7"/>
      <c r="Z10" s="7"/>
    </row>
    <row r="11" spans="1:26">
      <c r="A11" s="2" t="s">
        <v>17</v>
      </c>
      <c r="B11" s="2" t="s">
        <v>2653</v>
      </c>
      <c r="C11" s="2" t="str">
        <f>MID(D11,2,3)</f>
        <v>360</v>
      </c>
      <c r="D11" s="5" t="s">
        <v>2381</v>
      </c>
      <c r="E11" s="7">
        <v>8590944.0500000007</v>
      </c>
      <c r="F11" s="19"/>
      <c r="G11" s="7">
        <v>335378.07999999996</v>
      </c>
      <c r="H11" s="19"/>
      <c r="I11" s="7">
        <v>0</v>
      </c>
      <c r="J11" s="19"/>
      <c r="K11" s="7">
        <v>-991.77</v>
      </c>
      <c r="L11" s="19"/>
      <c r="M11" s="7">
        <v>334386.30999999994</v>
      </c>
      <c r="N11" s="19"/>
      <c r="O11" s="7">
        <v>8925330.3600000013</v>
      </c>
      <c r="P11" s="5"/>
      <c r="Q11" s="13">
        <v>-1447077.9209139901</v>
      </c>
      <c r="R11" s="5"/>
      <c r="S11" s="13">
        <v>7478252.4390860107</v>
      </c>
      <c r="T11" s="19"/>
      <c r="U11" s="7">
        <v>1003.4340408898519</v>
      </c>
      <c r="V11" s="5"/>
      <c r="W11" s="12">
        <v>-1446074.4868731003</v>
      </c>
      <c r="X11" s="19"/>
      <c r="Y11" s="7">
        <v>8925331.0199999996</v>
      </c>
      <c r="Z11" s="12">
        <v>0.65999999828636646</v>
      </c>
    </row>
    <row r="12" spans="1:26">
      <c r="A12" s="2" t="s">
        <v>17</v>
      </c>
      <c r="B12" s="2" t="s">
        <v>2653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5"/>
      <c r="Q12" s="13">
        <v>0</v>
      </c>
      <c r="R12" s="5"/>
      <c r="S12" s="13">
        <v>0</v>
      </c>
      <c r="T12" s="19"/>
      <c r="U12" s="7">
        <v>0</v>
      </c>
      <c r="V12" s="19"/>
      <c r="W12" s="7">
        <v>0</v>
      </c>
      <c r="X12" s="19"/>
      <c r="Y12" s="7">
        <v>0</v>
      </c>
      <c r="Z12" s="7">
        <v>0</v>
      </c>
    </row>
    <row r="13" spans="1:26">
      <c r="A13" s="2" t="s">
        <v>17</v>
      </c>
      <c r="B13" s="2" t="s">
        <v>2653</v>
      </c>
      <c r="C13" s="2" t="str">
        <f t="shared" ref="C13:C21" si="0">MID(D13,2,3)</f>
        <v>361</v>
      </c>
      <c r="D13" s="5" t="s">
        <v>19</v>
      </c>
      <c r="E13" s="7">
        <v>23318478.919999901</v>
      </c>
      <c r="F13" s="19"/>
      <c r="G13" s="7">
        <v>4731813.7399999993</v>
      </c>
      <c r="H13" s="19"/>
      <c r="I13" s="7">
        <v>-38282.889999999992</v>
      </c>
      <c r="J13" s="19"/>
      <c r="K13" s="7">
        <v>-208</v>
      </c>
      <c r="L13" s="19"/>
      <c r="M13" s="7">
        <v>4693322.8499999996</v>
      </c>
      <c r="N13" s="19"/>
      <c r="O13" s="7">
        <v>28011801.769999899</v>
      </c>
      <c r="P13" s="5"/>
      <c r="Q13" s="13">
        <v>-4260850.1358020008</v>
      </c>
      <c r="R13" s="5"/>
      <c r="S13" s="13">
        <v>23750951.634197898</v>
      </c>
      <c r="T13" s="19"/>
      <c r="U13" s="7">
        <v>14157.344397303257</v>
      </c>
      <c r="V13" s="19"/>
      <c r="W13" s="7">
        <v>-4246692.7914046971</v>
      </c>
      <c r="X13" s="19"/>
      <c r="Y13" s="7">
        <v>28011801.499999896</v>
      </c>
      <c r="Z13" s="7">
        <v>-0.27000000327825546</v>
      </c>
    </row>
    <row r="14" spans="1:26">
      <c r="A14" s="2" t="s">
        <v>17</v>
      </c>
      <c r="B14" s="2" t="s">
        <v>2653</v>
      </c>
      <c r="C14" s="2" t="str">
        <f t="shared" si="0"/>
        <v>362</v>
      </c>
      <c r="D14" s="5" t="s">
        <v>20</v>
      </c>
      <c r="E14" s="7">
        <v>242570902.59999999</v>
      </c>
      <c r="F14" s="19"/>
      <c r="G14" s="7">
        <v>36458470.699999988</v>
      </c>
      <c r="H14" s="19"/>
      <c r="I14" s="7">
        <v>-668886.99000000011</v>
      </c>
      <c r="J14" s="19"/>
      <c r="K14" s="7">
        <v>-198451.8</v>
      </c>
      <c r="L14" s="19"/>
      <c r="M14" s="7">
        <v>35591131.909999989</v>
      </c>
      <c r="N14" s="19"/>
      <c r="O14" s="7">
        <v>278162034.50999999</v>
      </c>
      <c r="P14" s="5"/>
      <c r="Q14" s="13">
        <v>-53846362.279553898</v>
      </c>
      <c r="R14" s="5"/>
      <c r="S14" s="13">
        <v>224315672.2304461</v>
      </c>
      <c r="T14" s="19"/>
      <c r="U14" s="7">
        <v>109081.87732234993</v>
      </c>
      <c r="V14" s="19"/>
      <c r="W14" s="7">
        <v>-53737280.402231544</v>
      </c>
      <c r="X14" s="19"/>
      <c r="Y14" s="7">
        <v>278162034.60000002</v>
      </c>
      <c r="Z14" s="7">
        <v>9.0000033378601074E-2</v>
      </c>
    </row>
    <row r="15" spans="1:26">
      <c r="A15" s="2" t="s">
        <v>17</v>
      </c>
      <c r="B15" s="2" t="s">
        <v>2653</v>
      </c>
      <c r="C15" s="2" t="str">
        <f t="shared" si="0"/>
        <v>364</v>
      </c>
      <c r="D15" s="5" t="s">
        <v>21</v>
      </c>
      <c r="E15" s="7">
        <v>413089090.54000002</v>
      </c>
      <c r="F15" s="19"/>
      <c r="G15" s="7">
        <v>24536252.379999992</v>
      </c>
      <c r="H15" s="19"/>
      <c r="I15" s="7">
        <v>-1139294.27</v>
      </c>
      <c r="J15" s="19"/>
      <c r="K15" s="7">
        <v>0</v>
      </c>
      <c r="L15" s="19"/>
      <c r="M15" s="7">
        <v>23396958.109999992</v>
      </c>
      <c r="N15" s="19"/>
      <c r="O15" s="7">
        <v>436486048.65000004</v>
      </c>
      <c r="P15" s="5"/>
      <c r="Q15" s="13">
        <v>-166751090.05460104</v>
      </c>
      <c r="R15" s="5"/>
      <c r="S15" s="13">
        <v>269734958.59539902</v>
      </c>
      <c r="T15" s="19"/>
      <c r="U15" s="7">
        <v>73411.210637131211</v>
      </c>
      <c r="V15" s="19"/>
      <c r="W15" s="7">
        <v>-166677678.84396392</v>
      </c>
      <c r="X15" s="19"/>
      <c r="Y15" s="7">
        <v>436486048.63999999</v>
      </c>
      <c r="Z15" s="7">
        <v>-1.0000050067901611E-2</v>
      </c>
    </row>
    <row r="16" spans="1:26">
      <c r="A16" s="2" t="s">
        <v>17</v>
      </c>
      <c r="B16" s="2" t="s">
        <v>2653</v>
      </c>
      <c r="C16" s="2" t="str">
        <f t="shared" si="0"/>
        <v>365</v>
      </c>
      <c r="D16" s="5" t="s">
        <v>22</v>
      </c>
      <c r="E16" s="7">
        <v>417409638.19999999</v>
      </c>
      <c r="F16" s="19"/>
      <c r="G16" s="7">
        <v>43922620.699999966</v>
      </c>
      <c r="H16" s="19"/>
      <c r="I16" s="7">
        <v>-10313865.52</v>
      </c>
      <c r="J16" s="19"/>
      <c r="K16" s="7">
        <v>0</v>
      </c>
      <c r="L16" s="19"/>
      <c r="M16" s="7">
        <v>33608755.179999962</v>
      </c>
      <c r="N16" s="19"/>
      <c r="O16" s="7">
        <v>451018393.37999994</v>
      </c>
      <c r="P16" s="5"/>
      <c r="Q16" s="13">
        <v>-92907785.400489897</v>
      </c>
      <c r="R16" s="5"/>
      <c r="S16" s="13">
        <v>358110607.97951007</v>
      </c>
      <c r="T16" s="19"/>
      <c r="U16" s="7">
        <v>131414.23188859937</v>
      </c>
      <c r="V16" s="19"/>
      <c r="W16" s="7">
        <v>-92776371.168601304</v>
      </c>
      <c r="X16" s="19"/>
      <c r="Y16" s="7">
        <v>451018393.36999893</v>
      </c>
      <c r="Z16" s="7">
        <v>-1.0001003742218018E-2</v>
      </c>
    </row>
    <row r="17" spans="1:26">
      <c r="A17" s="2" t="s">
        <v>17</v>
      </c>
      <c r="B17" s="2" t="s">
        <v>2653</v>
      </c>
      <c r="C17" s="2" t="str">
        <f t="shared" si="0"/>
        <v>366</v>
      </c>
      <c r="D17" s="5" t="s">
        <v>23</v>
      </c>
      <c r="E17" s="7">
        <v>2523911.5899999989</v>
      </c>
      <c r="F17" s="19"/>
      <c r="G17" s="7">
        <v>232.92999999999998</v>
      </c>
      <c r="H17" s="19"/>
      <c r="I17" s="7">
        <v>0</v>
      </c>
      <c r="J17" s="19"/>
      <c r="K17" s="7">
        <v>0</v>
      </c>
      <c r="L17" s="19"/>
      <c r="M17" s="7">
        <v>232.92999999999998</v>
      </c>
      <c r="N17" s="19"/>
      <c r="O17" s="7">
        <v>2524144.5199999991</v>
      </c>
      <c r="P17" s="5"/>
      <c r="Q17" s="13">
        <v>-1128110.0164321901</v>
      </c>
      <c r="R17" s="5"/>
      <c r="S17" s="13">
        <v>1396034.503567809</v>
      </c>
      <c r="T17" s="19"/>
      <c r="U17" s="7">
        <v>0.69691463182230995</v>
      </c>
      <c r="V17" s="19"/>
      <c r="W17" s="7">
        <v>-1128109.3195175582</v>
      </c>
      <c r="X17" s="19"/>
      <c r="Y17" s="7">
        <v>2524144.5199999991</v>
      </c>
      <c r="Z17" s="7">
        <v>0</v>
      </c>
    </row>
    <row r="18" spans="1:26">
      <c r="A18" s="2" t="s">
        <v>17</v>
      </c>
      <c r="B18" s="2" t="s">
        <v>2653</v>
      </c>
      <c r="C18" s="2" t="str">
        <f t="shared" si="0"/>
        <v>367</v>
      </c>
      <c r="D18" s="5" t="s">
        <v>24</v>
      </c>
      <c r="E18" s="7">
        <v>211651057.56999999</v>
      </c>
      <c r="F18" s="19"/>
      <c r="G18" s="7">
        <v>17708222.059999969</v>
      </c>
      <c r="H18" s="19"/>
      <c r="I18" s="7">
        <v>-232874.73999999996</v>
      </c>
      <c r="J18" s="19"/>
      <c r="K18" s="7">
        <v>0</v>
      </c>
      <c r="L18" s="19"/>
      <c r="M18" s="7">
        <v>17475347.31999997</v>
      </c>
      <c r="N18" s="19"/>
      <c r="O18" s="7">
        <v>229126404.88999996</v>
      </c>
      <c r="P18" s="5"/>
      <c r="Q18" s="13">
        <v>-56995890.934668995</v>
      </c>
      <c r="R18" s="5"/>
      <c r="S18" s="13">
        <v>172130513.95533097</v>
      </c>
      <c r="T18" s="19"/>
      <c r="U18" s="7">
        <v>52982.093578210559</v>
      </c>
      <c r="V18" s="19"/>
      <c r="W18" s="7">
        <v>-56942908.841090783</v>
      </c>
      <c r="X18" s="19"/>
      <c r="Y18" s="7">
        <v>229126404.92999998</v>
      </c>
      <c r="Z18" s="7">
        <v>4.0000021457672119E-2</v>
      </c>
    </row>
    <row r="19" spans="1:26">
      <c r="A19" s="2" t="s">
        <v>17</v>
      </c>
      <c r="B19" s="2" t="s">
        <v>2653</v>
      </c>
      <c r="C19" s="2" t="str">
        <f t="shared" si="0"/>
        <v>368</v>
      </c>
      <c r="D19" s="5" t="s">
        <v>25</v>
      </c>
      <c r="E19" s="7">
        <v>315722858.5</v>
      </c>
      <c r="F19" s="19"/>
      <c r="G19" s="7">
        <v>7373433.6799999978</v>
      </c>
      <c r="H19" s="19"/>
      <c r="I19" s="7">
        <v>-1416819.1099999989</v>
      </c>
      <c r="J19" s="19"/>
      <c r="K19" s="7">
        <v>0</v>
      </c>
      <c r="L19" s="19"/>
      <c r="M19" s="7">
        <v>5956614.5699999984</v>
      </c>
      <c r="N19" s="19"/>
      <c r="O19" s="7">
        <v>321679473.06999999</v>
      </c>
      <c r="P19" s="5"/>
      <c r="Q19" s="13">
        <v>-150662151.79859</v>
      </c>
      <c r="R19" s="5"/>
      <c r="S19" s="13">
        <v>171017321.27140999</v>
      </c>
      <c r="T19" s="19"/>
      <c r="U19" s="7">
        <v>22060.935982326962</v>
      </c>
      <c r="V19" s="19"/>
      <c r="W19" s="7">
        <v>-150640090.86260769</v>
      </c>
      <c r="X19" s="19"/>
      <c r="Y19" s="7">
        <v>321679473.07999897</v>
      </c>
      <c r="Z19" s="7">
        <v>9.9989771842956543E-3</v>
      </c>
    </row>
    <row r="20" spans="1:26">
      <c r="A20" s="2" t="s">
        <v>17</v>
      </c>
      <c r="B20" s="2" t="s">
        <v>2653</v>
      </c>
      <c r="C20" s="2" t="str">
        <f t="shared" si="0"/>
        <v>369</v>
      </c>
      <c r="D20" s="5" t="s">
        <v>26</v>
      </c>
      <c r="E20" s="7">
        <v>124882293.5</v>
      </c>
      <c r="F20" s="19"/>
      <c r="G20" s="7">
        <v>16124.9</v>
      </c>
      <c r="H20" s="19"/>
      <c r="I20" s="7">
        <v>0</v>
      </c>
      <c r="J20" s="19"/>
      <c r="K20" s="7">
        <v>0</v>
      </c>
      <c r="L20" s="19"/>
      <c r="M20" s="7">
        <v>16124.9</v>
      </c>
      <c r="N20" s="19"/>
      <c r="O20" s="7">
        <v>124898418.40000001</v>
      </c>
      <c r="P20" s="5"/>
      <c r="Q20" s="13">
        <v>-64492872.220419899</v>
      </c>
      <c r="R20" s="5"/>
      <c r="S20" s="13">
        <v>60405546.179580107</v>
      </c>
      <c r="T20" s="19"/>
      <c r="U20" s="7">
        <v>48.244875055474033</v>
      </c>
      <c r="V20" s="19"/>
      <c r="W20" s="7">
        <v>-64492823.97554484</v>
      </c>
      <c r="X20" s="19"/>
      <c r="Y20" s="7">
        <v>124898418.39999999</v>
      </c>
      <c r="Z20" s="7">
        <v>0</v>
      </c>
    </row>
    <row r="21" spans="1:26">
      <c r="A21" s="2" t="s">
        <v>17</v>
      </c>
      <c r="B21" s="2" t="s">
        <v>2653</v>
      </c>
      <c r="C21" s="2" t="str">
        <f t="shared" si="0"/>
        <v>370</v>
      </c>
      <c r="D21" s="5" t="s">
        <v>27</v>
      </c>
      <c r="E21" s="7">
        <v>74835222.359999985</v>
      </c>
      <c r="F21" s="19"/>
      <c r="G21" s="7">
        <v>2220900.8600000003</v>
      </c>
      <c r="H21" s="19"/>
      <c r="I21" s="7">
        <v>-812873.85000000009</v>
      </c>
      <c r="J21" s="19"/>
      <c r="K21" s="7">
        <v>0</v>
      </c>
      <c r="L21" s="19"/>
      <c r="M21" s="7">
        <v>1408027.0100000002</v>
      </c>
      <c r="N21" s="19"/>
      <c r="O21" s="7">
        <v>76243249.36999999</v>
      </c>
      <c r="P21" s="5"/>
      <c r="Q21" s="13">
        <v>-39302439.112422504</v>
      </c>
      <c r="R21" s="5"/>
      <c r="S21" s="13">
        <v>36940810.257577486</v>
      </c>
      <c r="T21" s="19"/>
      <c r="U21" s="7">
        <v>6644.8216423850599</v>
      </c>
      <c r="V21" s="19"/>
      <c r="W21" s="7">
        <v>-39295794.29078012</v>
      </c>
      <c r="X21" s="19"/>
      <c r="Y21" s="7">
        <v>76243249.369999886</v>
      </c>
      <c r="Z21" s="7">
        <v>0</v>
      </c>
    </row>
    <row r="22" spans="1:26">
      <c r="A22" s="2" t="s">
        <v>17</v>
      </c>
      <c r="B22" s="2" t="s">
        <v>2653</v>
      </c>
      <c r="D22" s="5" t="s">
        <v>2173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5"/>
      <c r="Q22" s="13">
        <v>0</v>
      </c>
      <c r="R22" s="5"/>
      <c r="S22" s="13">
        <v>0</v>
      </c>
      <c r="T22" s="19"/>
      <c r="U22" s="7">
        <v>0</v>
      </c>
      <c r="V22" s="19"/>
      <c r="W22" s="7">
        <v>0</v>
      </c>
      <c r="X22" s="19"/>
      <c r="Y22" s="7">
        <v>0</v>
      </c>
      <c r="Z22" s="7">
        <v>0</v>
      </c>
    </row>
    <row r="23" spans="1:26">
      <c r="A23" s="9" t="s">
        <v>17</v>
      </c>
      <c r="B23" s="2" t="s">
        <v>2653</v>
      </c>
      <c r="C23" s="9"/>
      <c r="D23" s="5" t="s">
        <v>2382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5"/>
      <c r="Q23" s="13">
        <v>0</v>
      </c>
      <c r="R23" s="5"/>
      <c r="S23" s="13">
        <v>0</v>
      </c>
      <c r="T23" s="19"/>
      <c r="U23" s="7">
        <v>0</v>
      </c>
      <c r="V23" s="19"/>
      <c r="W23" s="7">
        <v>0</v>
      </c>
      <c r="X23" s="19"/>
      <c r="Y23" s="7">
        <v>0</v>
      </c>
      <c r="Z23" s="7">
        <v>0</v>
      </c>
    </row>
    <row r="24" spans="1:26">
      <c r="A24" s="2" t="s">
        <v>17</v>
      </c>
      <c r="B24" s="2" t="s">
        <v>2653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5"/>
      <c r="Q24" s="13">
        <v>-25951.590502000003</v>
      </c>
      <c r="R24" s="5"/>
      <c r="S24" s="13">
        <v>133282.21949799999</v>
      </c>
      <c r="T24" s="19"/>
      <c r="U24" s="7">
        <v>0</v>
      </c>
      <c r="V24" s="19"/>
      <c r="W24" s="7">
        <v>-25951.590502000003</v>
      </c>
      <c r="X24" s="19"/>
      <c r="Y24" s="7">
        <v>159233.81</v>
      </c>
      <c r="Z24" s="7">
        <v>0</v>
      </c>
    </row>
    <row r="25" spans="1:26" s="9" customFormat="1">
      <c r="A25" s="2" t="s">
        <v>17</v>
      </c>
      <c r="B25" s="2" t="s">
        <v>2653</v>
      </c>
      <c r="C25" s="2" t="str">
        <f t="shared" si="1"/>
        <v>373</v>
      </c>
      <c r="D25" s="5" t="s">
        <v>29</v>
      </c>
      <c r="E25" s="7">
        <v>126499558.09999999</v>
      </c>
      <c r="F25" s="18"/>
      <c r="G25" s="7">
        <v>12094601.629999997</v>
      </c>
      <c r="H25" s="18"/>
      <c r="I25" s="7">
        <v>-1712968.6199999989</v>
      </c>
      <c r="J25" s="18"/>
      <c r="K25" s="7">
        <v>0</v>
      </c>
      <c r="L25" s="18"/>
      <c r="M25" s="17">
        <v>10381633.009999998</v>
      </c>
      <c r="N25" s="18"/>
      <c r="O25" s="17">
        <v>136881191.10999998</v>
      </c>
      <c r="P25" s="5"/>
      <c r="Q25" s="13">
        <v>-48670393.1043799</v>
      </c>
      <c r="R25" s="5"/>
      <c r="S25" s="13">
        <v>88210798.005620092</v>
      </c>
      <c r="T25" s="18"/>
      <c r="U25" s="7">
        <v>36186.428721113465</v>
      </c>
      <c r="V25" s="18"/>
      <c r="W25" s="7">
        <v>-48634206.675658785</v>
      </c>
      <c r="X25" s="18"/>
      <c r="Y25" s="7">
        <v>136881191.09999999</v>
      </c>
      <c r="Z25" s="7">
        <v>-9.9999904632568359E-3</v>
      </c>
    </row>
    <row r="26" spans="1:26" s="9" customFormat="1">
      <c r="A26" s="2" t="s">
        <v>17</v>
      </c>
      <c r="B26" s="2" t="s">
        <v>2653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4"/>
      <c r="Q26" s="15">
        <v>-137649.24994177802</v>
      </c>
      <c r="R26" s="14"/>
      <c r="S26" s="15">
        <v>372726.85005822201</v>
      </c>
      <c r="T26" s="18"/>
      <c r="U26" s="17">
        <v>0</v>
      </c>
      <c r="V26" s="18"/>
      <c r="W26" s="17">
        <v>-137649.24994177802</v>
      </c>
      <c r="X26" s="18"/>
      <c r="Y26" s="17">
        <v>510376.10000000003</v>
      </c>
      <c r="Z26" s="17">
        <v>0</v>
      </c>
    </row>
    <row r="27" spans="1:26">
      <c r="B27" s="2" t="s">
        <v>2653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5"/>
      <c r="Q27" s="15">
        <v>0</v>
      </c>
      <c r="R27" s="5"/>
      <c r="S27" s="15">
        <v>0</v>
      </c>
      <c r="T27" s="18"/>
      <c r="U27" s="17">
        <v>0</v>
      </c>
      <c r="V27" s="18"/>
      <c r="W27" s="17">
        <v>0</v>
      </c>
      <c r="X27" s="18"/>
      <c r="Y27" s="17">
        <v>0</v>
      </c>
      <c r="Z27" s="17">
        <v>0</v>
      </c>
    </row>
    <row r="28" spans="1:26">
      <c r="B28" s="2" t="s">
        <v>2653</v>
      </c>
      <c r="D28" s="5"/>
      <c r="E28" s="432">
        <v>1961763565.8399994</v>
      </c>
      <c r="F28" s="18"/>
      <c r="G28" s="432">
        <v>149398051.65999994</v>
      </c>
      <c r="H28" s="18"/>
      <c r="I28" s="432">
        <v>-16335865.989999998</v>
      </c>
      <c r="J28" s="18"/>
      <c r="K28" s="432">
        <v>-199651.56999999998</v>
      </c>
      <c r="L28" s="18"/>
      <c r="M28" s="432">
        <v>132862534.09999993</v>
      </c>
      <c r="N28" s="18"/>
      <c r="O28" s="432">
        <v>2094626099.9399993</v>
      </c>
      <c r="P28" s="5"/>
      <c r="Q28" s="432">
        <v>-680628623.81871819</v>
      </c>
      <c r="R28" s="5"/>
      <c r="S28" s="432">
        <v>1413997476.1212816</v>
      </c>
      <c r="T28" s="18"/>
      <c r="U28" s="432">
        <v>446991.31999999704</v>
      </c>
      <c r="V28" s="18"/>
      <c r="W28" s="432">
        <v>-680181632.49871814</v>
      </c>
      <c r="X28" s="18"/>
      <c r="Y28" s="432">
        <v>2094626100.4399974</v>
      </c>
      <c r="Z28" s="432">
        <v>0.49999798275530338</v>
      </c>
    </row>
    <row r="29" spans="1:26">
      <c r="B29" s="2" t="s">
        <v>2653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5"/>
      <c r="Q29" s="5"/>
      <c r="R29" s="5"/>
      <c r="S29" s="5"/>
      <c r="T29" s="18"/>
      <c r="U29" s="17"/>
      <c r="V29" s="18"/>
      <c r="W29" s="17"/>
      <c r="X29" s="18"/>
      <c r="Y29" s="17"/>
      <c r="Z29" s="17"/>
    </row>
    <row r="30" spans="1:26">
      <c r="B30" s="2" t="s">
        <v>2653</v>
      </c>
      <c r="D30" s="8" t="s">
        <v>32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5"/>
      <c r="Q30" s="5"/>
      <c r="R30" s="5"/>
      <c r="S30" s="5"/>
      <c r="T30" s="18"/>
      <c r="U30" s="17"/>
      <c r="V30" s="18"/>
      <c r="W30" s="17"/>
      <c r="X30" s="18"/>
      <c r="Y30" s="17"/>
      <c r="Z30" s="17"/>
    </row>
    <row r="31" spans="1:26">
      <c r="A31" s="2" t="s">
        <v>17</v>
      </c>
      <c r="B31" s="2" t="s">
        <v>2653</v>
      </c>
      <c r="C31" s="2" t="str">
        <f t="shared" ref="C31:C44" si="2">MID(D31,2,3)</f>
        <v>389</v>
      </c>
      <c r="D31" s="5" t="s">
        <v>2383</v>
      </c>
      <c r="E31" s="7">
        <v>3047252.45</v>
      </c>
      <c r="F31" s="19"/>
      <c r="G31" s="7">
        <v>2722.02</v>
      </c>
      <c r="H31" s="19"/>
      <c r="I31" s="7">
        <v>0</v>
      </c>
      <c r="J31" s="19"/>
      <c r="K31" s="7">
        <v>797.49999999999989</v>
      </c>
      <c r="L31" s="19"/>
      <c r="M31" s="7">
        <v>3519.52</v>
      </c>
      <c r="N31" s="19"/>
      <c r="O31" s="7">
        <v>3050771.97</v>
      </c>
      <c r="P31" s="5"/>
      <c r="Q31" s="13">
        <v>0</v>
      </c>
      <c r="R31" s="5"/>
      <c r="S31" s="13">
        <v>3050771.97</v>
      </c>
      <c r="T31" s="19"/>
      <c r="U31" s="7">
        <v>0.25750703951227155</v>
      </c>
      <c r="V31" s="19"/>
      <c r="W31" s="7">
        <v>0.25750703951227155</v>
      </c>
      <c r="X31" s="19"/>
      <c r="Y31" s="7">
        <v>3050771.81</v>
      </c>
      <c r="Z31" s="7">
        <v>-0.16000000014901161</v>
      </c>
    </row>
    <row r="32" spans="1:26">
      <c r="A32" s="2" t="s">
        <v>17</v>
      </c>
      <c r="B32" s="2" t="s">
        <v>2653</v>
      </c>
      <c r="C32" s="2" t="str">
        <f t="shared" si="2"/>
        <v>390</v>
      </c>
      <c r="D32" s="5" t="s">
        <v>34</v>
      </c>
      <c r="E32" s="7">
        <v>72263451.079999909</v>
      </c>
      <c r="F32" s="19"/>
      <c r="G32" s="7">
        <v>20310016.5</v>
      </c>
      <c r="H32" s="19"/>
      <c r="I32" s="7">
        <v>-403972.68999999895</v>
      </c>
      <c r="J32" s="19"/>
      <c r="K32" s="7">
        <v>0</v>
      </c>
      <c r="L32" s="19"/>
      <c r="M32" s="7">
        <v>19906043.810000002</v>
      </c>
      <c r="N32" s="19"/>
      <c r="O32" s="7">
        <v>92169494.889999911</v>
      </c>
      <c r="P32" s="5"/>
      <c r="Q32" s="13">
        <v>-15166309.299714474</v>
      </c>
      <c r="R32" s="5"/>
      <c r="S32" s="13">
        <v>77003185.590285435</v>
      </c>
      <c r="T32" s="19"/>
      <c r="U32" s="7">
        <v>1921.3570147759335</v>
      </c>
      <c r="V32" s="19"/>
      <c r="W32" s="7">
        <v>-15164387.942699699</v>
      </c>
      <c r="X32" s="19"/>
      <c r="Y32" s="7">
        <v>92169494.889999986</v>
      </c>
      <c r="Z32" s="7">
        <v>0</v>
      </c>
    </row>
    <row r="33" spans="1:26">
      <c r="A33" s="2" t="s">
        <v>17</v>
      </c>
      <c r="B33" s="2" t="s">
        <v>2653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5"/>
      <c r="Q33" s="13">
        <v>0</v>
      </c>
      <c r="R33" s="5"/>
      <c r="S33" s="13">
        <v>0</v>
      </c>
      <c r="T33" s="19"/>
      <c r="U33" s="7">
        <v>0</v>
      </c>
      <c r="V33" s="19"/>
      <c r="W33" s="7">
        <v>0</v>
      </c>
      <c r="X33" s="19"/>
      <c r="Y33" s="7">
        <v>0</v>
      </c>
      <c r="Z33" s="7">
        <v>0</v>
      </c>
    </row>
    <row r="34" spans="1:26">
      <c r="A34" s="2" t="s">
        <v>17</v>
      </c>
      <c r="B34" s="2" t="s">
        <v>2653</v>
      </c>
      <c r="C34" s="2" t="str">
        <f t="shared" ref="C34" si="3">MID(D34,2,3)</f>
        <v>391</v>
      </c>
      <c r="D34" s="5" t="s">
        <v>36</v>
      </c>
      <c r="E34" s="7">
        <v>45312844.550000004</v>
      </c>
      <c r="F34" s="19"/>
      <c r="G34" s="7">
        <v>8021710.7699999986</v>
      </c>
      <c r="H34" s="19"/>
      <c r="I34" s="7">
        <v>-9556545.120000001</v>
      </c>
      <c r="J34" s="19"/>
      <c r="K34" s="7">
        <v>0</v>
      </c>
      <c r="L34" s="19"/>
      <c r="M34" s="7">
        <v>-1534834.3500000024</v>
      </c>
      <c r="N34" s="19"/>
      <c r="O34" s="7">
        <v>43778010.200000003</v>
      </c>
      <c r="P34" s="5"/>
      <c r="Q34" s="13">
        <v>-14395909.09019999</v>
      </c>
      <c r="R34" s="5"/>
      <c r="S34" s="13">
        <v>29382101.109800011</v>
      </c>
      <c r="T34" s="19"/>
      <c r="U34" s="7">
        <v>758.86547204149997</v>
      </c>
      <c r="V34" s="19"/>
      <c r="W34" s="7">
        <v>-14395150.224727949</v>
      </c>
      <c r="X34" s="19"/>
      <c r="Y34" s="7">
        <v>43778010.199999899</v>
      </c>
      <c r="Z34" s="7">
        <v>-1.0430812835693359E-7</v>
      </c>
    </row>
    <row r="35" spans="1:26">
      <c r="A35" s="2" t="s">
        <v>17</v>
      </c>
      <c r="B35" s="2" t="s">
        <v>2653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5"/>
      <c r="Q35" s="13">
        <v>0</v>
      </c>
      <c r="R35" s="5"/>
      <c r="S35" s="13">
        <v>0</v>
      </c>
      <c r="T35" s="19"/>
      <c r="U35" s="7">
        <v>0</v>
      </c>
      <c r="V35" s="19"/>
      <c r="W35" s="7">
        <v>0</v>
      </c>
      <c r="X35" s="19"/>
      <c r="Y35" s="7">
        <v>0</v>
      </c>
      <c r="Z35" s="7">
        <v>0</v>
      </c>
    </row>
    <row r="36" spans="1:26">
      <c r="A36" s="9" t="s">
        <v>17</v>
      </c>
      <c r="B36" s="2" t="s">
        <v>2653</v>
      </c>
      <c r="C36" s="9"/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5"/>
      <c r="Q36" s="13">
        <v>0</v>
      </c>
      <c r="R36" s="5"/>
      <c r="S36" s="13">
        <v>0</v>
      </c>
      <c r="T36" s="19"/>
      <c r="U36" s="7">
        <v>0</v>
      </c>
      <c r="V36" s="19"/>
      <c r="W36" s="7">
        <v>0</v>
      </c>
      <c r="X36" s="19"/>
      <c r="Y36" s="7">
        <v>0</v>
      </c>
      <c r="Z36" s="7">
        <v>0</v>
      </c>
    </row>
    <row r="37" spans="1:26">
      <c r="A37" s="2" t="s">
        <v>17</v>
      </c>
      <c r="B37" s="2" t="s">
        <v>2653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5"/>
      <c r="Q37" s="13">
        <v>0</v>
      </c>
      <c r="R37" s="5"/>
      <c r="S37" s="13">
        <v>0</v>
      </c>
      <c r="T37" s="19"/>
      <c r="U37" s="7">
        <v>0</v>
      </c>
      <c r="V37" s="19"/>
      <c r="W37" s="7">
        <v>0</v>
      </c>
      <c r="X37" s="19"/>
      <c r="Y37" s="7">
        <v>0</v>
      </c>
      <c r="Z37" s="7">
        <v>0</v>
      </c>
    </row>
    <row r="38" spans="1:26">
      <c r="A38" s="2" t="s">
        <v>17</v>
      </c>
      <c r="B38" s="2" t="s">
        <v>2653</v>
      </c>
      <c r="C38" s="2" t="str">
        <f t="shared" si="2"/>
        <v>392</v>
      </c>
      <c r="D38" s="5" t="s">
        <v>40</v>
      </c>
      <c r="E38" s="7">
        <v>7961762.8200000003</v>
      </c>
      <c r="F38" s="19"/>
      <c r="G38" s="7">
        <v>696675.06</v>
      </c>
      <c r="H38" s="19"/>
      <c r="I38" s="7">
        <v>-84589.739999999991</v>
      </c>
      <c r="J38" s="19"/>
      <c r="K38" s="7">
        <v>0</v>
      </c>
      <c r="L38" s="19"/>
      <c r="M38" s="7">
        <v>612085.32000000007</v>
      </c>
      <c r="N38" s="19"/>
      <c r="O38" s="7">
        <v>8573848.1400000006</v>
      </c>
      <c r="P38" s="5"/>
      <c r="Q38" s="13">
        <v>-4515165.5818659905</v>
      </c>
      <c r="R38" s="5"/>
      <c r="S38" s="13">
        <v>4058682.5581340101</v>
      </c>
      <c r="T38" s="19"/>
      <c r="U38" s="7">
        <v>65.906471004119794</v>
      </c>
      <c r="V38" s="19"/>
      <c r="W38" s="7">
        <v>-4515099.6753949868</v>
      </c>
      <c r="X38" s="19"/>
      <c r="Y38" s="7">
        <v>8573848.1400000006</v>
      </c>
      <c r="Z38" s="7">
        <v>0</v>
      </c>
    </row>
    <row r="39" spans="1:26">
      <c r="A39" s="2" t="s">
        <v>17</v>
      </c>
      <c r="B39" s="2" t="s">
        <v>2653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5"/>
      <c r="Q39" s="13">
        <v>0</v>
      </c>
      <c r="R39" s="5"/>
      <c r="S39" s="13">
        <v>0</v>
      </c>
      <c r="T39" s="19"/>
      <c r="U39" s="7">
        <v>0</v>
      </c>
      <c r="V39" s="19"/>
      <c r="W39" s="7">
        <v>0</v>
      </c>
      <c r="X39" s="19"/>
      <c r="Y39" s="7">
        <v>0</v>
      </c>
      <c r="Z39" s="7">
        <v>0</v>
      </c>
    </row>
    <row r="40" spans="1:26">
      <c r="A40" s="2" t="s">
        <v>17</v>
      </c>
      <c r="B40" s="2" t="s">
        <v>2653</v>
      </c>
      <c r="C40" s="2" t="str">
        <f t="shared" si="2"/>
        <v>393</v>
      </c>
      <c r="D40" s="5" t="s">
        <v>42</v>
      </c>
      <c r="E40" s="7">
        <v>839057.73</v>
      </c>
      <c r="F40" s="19"/>
      <c r="G40" s="7">
        <v>326351</v>
      </c>
      <c r="H40" s="19"/>
      <c r="I40" s="7">
        <v>-95449.709999999992</v>
      </c>
      <c r="J40" s="19"/>
      <c r="K40" s="7">
        <v>0</v>
      </c>
      <c r="L40" s="19"/>
      <c r="M40" s="7">
        <v>230901.29</v>
      </c>
      <c r="N40" s="19"/>
      <c r="O40" s="7">
        <v>1069959.02</v>
      </c>
      <c r="P40" s="5"/>
      <c r="Q40" s="13">
        <v>-384108.25735899998</v>
      </c>
      <c r="R40" s="5"/>
      <c r="S40" s="13">
        <v>685850.7626410001</v>
      </c>
      <c r="T40" s="19"/>
      <c r="U40" s="7">
        <v>30.873277878880145</v>
      </c>
      <c r="V40" s="19"/>
      <c r="W40" s="7">
        <v>-384077.38408112113</v>
      </c>
      <c r="X40" s="19"/>
      <c r="Y40" s="7">
        <v>1069959.01999999</v>
      </c>
      <c r="Z40" s="7">
        <v>-1.0011717677116394E-8</v>
      </c>
    </row>
    <row r="41" spans="1:26">
      <c r="A41" s="2" t="s">
        <v>17</v>
      </c>
      <c r="B41" s="2" t="s">
        <v>2653</v>
      </c>
      <c r="C41" s="2" t="str">
        <f t="shared" si="2"/>
        <v>394</v>
      </c>
      <c r="D41" s="5" t="s">
        <v>43</v>
      </c>
      <c r="E41" s="7">
        <v>14568910.34</v>
      </c>
      <c r="F41" s="19"/>
      <c r="G41" s="7">
        <v>1743692.5299999982</v>
      </c>
      <c r="H41" s="19"/>
      <c r="I41" s="7">
        <v>-140773.30999999997</v>
      </c>
      <c r="J41" s="19"/>
      <c r="K41" s="7">
        <v>0</v>
      </c>
      <c r="L41" s="19"/>
      <c r="M41" s="7">
        <v>1602919.2199999981</v>
      </c>
      <c r="N41" s="19"/>
      <c r="O41" s="7">
        <v>16171829.559999999</v>
      </c>
      <c r="P41" s="5"/>
      <c r="Q41" s="13">
        <v>-5496051.4217399992</v>
      </c>
      <c r="R41" s="5"/>
      <c r="S41" s="13">
        <v>10675778.138259999</v>
      </c>
      <c r="T41" s="19"/>
      <c r="U41" s="7">
        <v>164.95584206580492</v>
      </c>
      <c r="V41" s="19"/>
      <c r="W41" s="7">
        <v>-5495886.4658979336</v>
      </c>
      <c r="X41" s="19"/>
      <c r="Y41" s="7">
        <v>16171829.560000001</v>
      </c>
      <c r="Z41" s="7">
        <v>0</v>
      </c>
    </row>
    <row r="42" spans="1:26">
      <c r="A42" s="2" t="s">
        <v>17</v>
      </c>
      <c r="B42" s="2" t="s">
        <v>2653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5"/>
      <c r="Q42" s="13">
        <v>0</v>
      </c>
      <c r="R42" s="5"/>
      <c r="S42" s="13">
        <v>0</v>
      </c>
      <c r="T42" s="19"/>
      <c r="U42" s="7">
        <v>0</v>
      </c>
      <c r="V42" s="19"/>
      <c r="W42" s="7">
        <v>0</v>
      </c>
      <c r="X42" s="19"/>
      <c r="Y42" s="7">
        <v>0</v>
      </c>
      <c r="Z42" s="7">
        <v>0</v>
      </c>
    </row>
    <row r="43" spans="1:26" s="9" customFormat="1">
      <c r="A43" s="2" t="s">
        <v>17</v>
      </c>
      <c r="B43" s="2" t="s">
        <v>2653</v>
      </c>
      <c r="C43" s="2" t="str">
        <f t="shared" si="2"/>
        <v>396</v>
      </c>
      <c r="D43" s="5" t="s">
        <v>2384</v>
      </c>
      <c r="E43" s="7">
        <v>5475511.4800000004</v>
      </c>
      <c r="F43" s="19"/>
      <c r="G43" s="7">
        <v>-112635.24999999999</v>
      </c>
      <c r="H43" s="19"/>
      <c r="I43" s="7">
        <v>-35371.870000000003</v>
      </c>
      <c r="J43" s="19"/>
      <c r="K43" s="7">
        <v>0</v>
      </c>
      <c r="L43" s="19"/>
      <c r="M43" s="7">
        <v>-148007.12</v>
      </c>
      <c r="N43" s="19"/>
      <c r="O43" s="7">
        <v>5327504.3600000003</v>
      </c>
      <c r="P43" s="5"/>
      <c r="Q43" s="13">
        <v>-1799784.2081779991</v>
      </c>
      <c r="R43" s="5"/>
      <c r="S43" s="13">
        <v>3527720.1518220012</v>
      </c>
      <c r="T43" s="19"/>
      <c r="U43" s="7">
        <v>-10.655457995247859</v>
      </c>
      <c r="V43" s="19"/>
      <c r="W43" s="7">
        <v>-1799794.8636359943</v>
      </c>
      <c r="X43" s="19"/>
      <c r="Y43" s="7">
        <v>5327504.3600000003</v>
      </c>
      <c r="Z43" s="7">
        <v>0</v>
      </c>
    </row>
    <row r="44" spans="1:26" s="9" customFormat="1">
      <c r="A44" s="2" t="s">
        <v>17</v>
      </c>
      <c r="B44" s="2" t="s">
        <v>2653</v>
      </c>
      <c r="C44" s="2" t="str">
        <f t="shared" si="2"/>
        <v>397</v>
      </c>
      <c r="D44" s="5" t="s">
        <v>2174</v>
      </c>
      <c r="E44" s="7">
        <v>58490719.080000006</v>
      </c>
      <c r="F44" s="19"/>
      <c r="G44" s="7">
        <v>3123551.84</v>
      </c>
      <c r="H44" s="19"/>
      <c r="I44" s="7">
        <v>-16060.949999999999</v>
      </c>
      <c r="J44" s="19"/>
      <c r="K44" s="7">
        <v>0</v>
      </c>
      <c r="L44" s="19"/>
      <c r="M44" s="7">
        <v>3107490.8899999997</v>
      </c>
      <c r="N44" s="19"/>
      <c r="O44" s="7">
        <v>61598209.970000006</v>
      </c>
      <c r="P44" s="5"/>
      <c r="Q44" s="13">
        <v>-32300310.513299998</v>
      </c>
      <c r="R44" s="5"/>
      <c r="S44" s="13">
        <v>29297899.456700008</v>
      </c>
      <c r="T44" s="19"/>
      <c r="U44" s="7">
        <v>295.49253388347933</v>
      </c>
      <c r="V44" s="19"/>
      <c r="W44" s="7">
        <v>-32300015.020766113</v>
      </c>
      <c r="X44" s="19"/>
      <c r="Y44" s="7">
        <v>61598209.969999902</v>
      </c>
      <c r="Z44" s="7">
        <v>-1.0430812835693359E-7</v>
      </c>
    </row>
    <row r="45" spans="1:26" s="9" customFormat="1">
      <c r="A45" s="2" t="s">
        <v>17</v>
      </c>
      <c r="B45" s="2" t="s">
        <v>2653</v>
      </c>
      <c r="D45" s="5" t="s">
        <v>2175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5"/>
      <c r="Q45" s="13">
        <v>0</v>
      </c>
      <c r="R45" s="5"/>
      <c r="S45" s="13">
        <v>0</v>
      </c>
      <c r="T45" s="19"/>
      <c r="U45" s="7">
        <v>0</v>
      </c>
      <c r="V45" s="19"/>
      <c r="W45" s="7">
        <v>0</v>
      </c>
      <c r="X45" s="19"/>
      <c r="Y45" s="7">
        <v>0</v>
      </c>
      <c r="Z45" s="7">
        <v>0</v>
      </c>
    </row>
    <row r="46" spans="1:26">
      <c r="A46" s="2" t="s">
        <v>17</v>
      </c>
      <c r="B46" s="2" t="s">
        <v>2653</v>
      </c>
      <c r="C46" s="505">
        <v>397</v>
      </c>
      <c r="D46" s="5" t="s">
        <v>45</v>
      </c>
      <c r="E46" s="7">
        <v>7606379.1199999992</v>
      </c>
      <c r="F46" s="19"/>
      <c r="G46" s="7">
        <v>-21803.690000000006</v>
      </c>
      <c r="H46" s="19"/>
      <c r="I46" s="7">
        <v>0</v>
      </c>
      <c r="J46" s="19"/>
      <c r="K46" s="7">
        <v>0</v>
      </c>
      <c r="L46" s="19"/>
      <c r="M46" s="7">
        <v>-21803.690000000006</v>
      </c>
      <c r="N46" s="19"/>
      <c r="O46" s="7">
        <v>7584575.4299999988</v>
      </c>
      <c r="P46" s="5"/>
      <c r="Q46" s="13">
        <v>-4973072.5618799999</v>
      </c>
      <c r="R46" s="5"/>
      <c r="S46" s="13">
        <v>2611502.8681199988</v>
      </c>
      <c r="T46" s="19"/>
      <c r="U46" s="7">
        <v>-2.062660694022572</v>
      </c>
      <c r="V46" s="19"/>
      <c r="W46" s="7">
        <v>-4973074.6245406941</v>
      </c>
      <c r="X46" s="19"/>
      <c r="Y46" s="7">
        <v>7584575.4299999997</v>
      </c>
      <c r="Z46" s="7">
        <v>0</v>
      </c>
    </row>
    <row r="47" spans="1:26">
      <c r="A47" s="2" t="s">
        <v>17</v>
      </c>
      <c r="B47" s="2" t="s">
        <v>2653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5"/>
      <c r="Q47" s="21">
        <v>0</v>
      </c>
      <c r="R47" s="5"/>
      <c r="S47" s="21">
        <v>0</v>
      </c>
      <c r="T47" s="18"/>
      <c r="U47" s="20">
        <v>0</v>
      </c>
      <c r="V47" s="18"/>
      <c r="W47" s="20">
        <v>0</v>
      </c>
      <c r="X47" s="18"/>
      <c r="Y47" s="20">
        <v>0</v>
      </c>
      <c r="Z47" s="20">
        <v>0</v>
      </c>
    </row>
    <row r="48" spans="1:26">
      <c r="B48" s="2" t="s">
        <v>2653</v>
      </c>
      <c r="D48" s="5"/>
      <c r="E48" s="17">
        <v>215565888.64999992</v>
      </c>
      <c r="F48" s="18"/>
      <c r="G48" s="17">
        <v>34090280.780000001</v>
      </c>
      <c r="H48" s="18"/>
      <c r="I48" s="17">
        <v>-10332763.390000001</v>
      </c>
      <c r="J48" s="18"/>
      <c r="K48" s="17">
        <v>797.49999999999989</v>
      </c>
      <c r="L48" s="18"/>
      <c r="M48" s="17">
        <v>23758314.889999997</v>
      </c>
      <c r="N48" s="18"/>
      <c r="O48" s="17">
        <v>239324203.53999996</v>
      </c>
      <c r="P48" s="5"/>
      <c r="Q48" s="17">
        <v>-79030710.93423745</v>
      </c>
      <c r="R48" s="5"/>
      <c r="S48" s="17">
        <v>160293492.60576242</v>
      </c>
      <c r="T48" s="18"/>
      <c r="U48" s="17">
        <v>3224.9899999999602</v>
      </c>
      <c r="V48" s="18"/>
      <c r="W48" s="17">
        <v>-79027485.944237441</v>
      </c>
      <c r="X48" s="18"/>
      <c r="Y48" s="17">
        <v>239324203.37999982</v>
      </c>
      <c r="Z48" s="17">
        <v>-0.160000218776986</v>
      </c>
    </row>
    <row r="49" spans="1:26">
      <c r="B49" s="2" t="s">
        <v>2653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5"/>
      <c r="Q49" s="5"/>
      <c r="R49" s="5"/>
      <c r="S49" s="5"/>
      <c r="T49" s="18"/>
      <c r="U49" s="17"/>
      <c r="V49" s="18"/>
      <c r="W49" s="17"/>
      <c r="X49" s="18"/>
      <c r="Y49" s="17"/>
      <c r="Z49" s="17"/>
    </row>
    <row r="50" spans="1:26">
      <c r="B50" s="2" t="s">
        <v>2653</v>
      </c>
      <c r="D50" s="8" t="s">
        <v>47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5"/>
      <c r="Q50" s="5"/>
      <c r="R50" s="5"/>
      <c r="S50" s="5"/>
      <c r="T50" s="18"/>
      <c r="U50" s="17"/>
      <c r="V50" s="18"/>
      <c r="W50" s="17"/>
      <c r="X50" s="18"/>
      <c r="Y50" s="17"/>
      <c r="Z50" s="17"/>
    </row>
    <row r="51" spans="1:26">
      <c r="A51" s="2" t="s">
        <v>17</v>
      </c>
      <c r="B51" s="2" t="s">
        <v>2653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5"/>
      <c r="Q51" s="13">
        <v>-855635.6</v>
      </c>
      <c r="R51" s="5"/>
      <c r="S51" s="13">
        <v>0.87000000011175871</v>
      </c>
      <c r="T51" s="18"/>
      <c r="U51" s="7">
        <v>0</v>
      </c>
      <c r="V51" s="19"/>
      <c r="W51" s="7">
        <v>-855635.6</v>
      </c>
      <c r="X51" s="19"/>
      <c r="Y51" s="7">
        <v>855636.47000000009</v>
      </c>
      <c r="Z51" s="7">
        <v>0</v>
      </c>
    </row>
    <row r="52" spans="1:26">
      <c r="A52" s="2" t="s">
        <v>17</v>
      </c>
      <c r="B52" s="2" t="s">
        <v>2653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0</v>
      </c>
      <c r="H52" s="18"/>
      <c r="I52" s="17">
        <v>0</v>
      </c>
      <c r="J52" s="18"/>
      <c r="K52" s="17">
        <v>0</v>
      </c>
      <c r="L52" s="18"/>
      <c r="M52" s="17">
        <v>0</v>
      </c>
      <c r="N52" s="18"/>
      <c r="O52" s="17">
        <v>4526614.1900000004</v>
      </c>
      <c r="P52" s="5"/>
      <c r="Q52" s="13">
        <v>-601230.43595639896</v>
      </c>
      <c r="R52" s="5"/>
      <c r="S52" s="13">
        <v>3925383.7540436015</v>
      </c>
      <c r="T52" s="18"/>
      <c r="U52" s="7">
        <v>0</v>
      </c>
      <c r="V52" s="19"/>
      <c r="W52" s="7">
        <v>-601230.43595639896</v>
      </c>
      <c r="X52" s="19"/>
      <c r="Y52" s="7">
        <v>4526614.1900000004</v>
      </c>
      <c r="Z52" s="7">
        <v>0</v>
      </c>
    </row>
    <row r="53" spans="1:26">
      <c r="A53" s="2" t="s">
        <v>17</v>
      </c>
      <c r="B53" s="2" t="s">
        <v>2653</v>
      </c>
      <c r="C53" s="2" t="str">
        <f t="shared" si="5"/>
        <v>332</v>
      </c>
      <c r="D53" s="5" t="s">
        <v>50</v>
      </c>
      <c r="E53" s="17">
        <v>21885646.369999997</v>
      </c>
      <c r="F53" s="18"/>
      <c r="G53" s="17">
        <v>95186.59</v>
      </c>
      <c r="H53" s="18"/>
      <c r="I53" s="17">
        <v>-1201.51</v>
      </c>
      <c r="J53" s="18"/>
      <c r="K53" s="17">
        <v>0</v>
      </c>
      <c r="L53" s="18"/>
      <c r="M53" s="17">
        <v>93985.08</v>
      </c>
      <c r="N53" s="18"/>
      <c r="O53" s="17">
        <v>21979631.449999996</v>
      </c>
      <c r="P53" s="5"/>
      <c r="Q53" s="13">
        <v>-10980215.812506</v>
      </c>
      <c r="R53" s="5"/>
      <c r="S53" s="13">
        <v>10999415.637493996</v>
      </c>
      <c r="T53" s="18"/>
      <c r="U53" s="17">
        <v>0</v>
      </c>
      <c r="V53" s="18"/>
      <c r="W53" s="17">
        <v>-10980215.812506</v>
      </c>
      <c r="X53" s="18"/>
      <c r="Y53" s="17">
        <v>21979631.449999999</v>
      </c>
      <c r="Z53" s="17">
        <v>0</v>
      </c>
    </row>
    <row r="54" spans="1:26">
      <c r="A54" s="2" t="s">
        <v>17</v>
      </c>
      <c r="B54" s="2" t="s">
        <v>2653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0</v>
      </c>
      <c r="H54" s="18"/>
      <c r="I54" s="17">
        <v>0</v>
      </c>
      <c r="J54" s="18"/>
      <c r="K54" s="17">
        <v>0</v>
      </c>
      <c r="L54" s="18"/>
      <c r="M54" s="17">
        <v>0</v>
      </c>
      <c r="N54" s="18"/>
      <c r="O54" s="17">
        <v>14046741.58</v>
      </c>
      <c r="P54" s="5"/>
      <c r="Q54" s="13">
        <v>-3564188.3425121899</v>
      </c>
      <c r="R54" s="5"/>
      <c r="S54" s="13">
        <v>10482553.23748781</v>
      </c>
      <c r="T54" s="18"/>
      <c r="U54" s="17">
        <v>0</v>
      </c>
      <c r="V54" s="18"/>
      <c r="W54" s="17">
        <v>-3564188.3425121899</v>
      </c>
      <c r="X54" s="18"/>
      <c r="Y54" s="17">
        <v>14046741.58</v>
      </c>
      <c r="Z54" s="17">
        <v>0</v>
      </c>
    </row>
    <row r="55" spans="1:26">
      <c r="A55" s="2" t="s">
        <v>17</v>
      </c>
      <c r="B55" s="2" t="s">
        <v>2653</v>
      </c>
      <c r="C55" s="2" t="str">
        <f t="shared" si="5"/>
        <v>334</v>
      </c>
      <c r="D55" s="5" t="s">
        <v>52</v>
      </c>
      <c r="E55" s="17">
        <v>1335603.21</v>
      </c>
      <c r="F55" s="18"/>
      <c r="G55" s="17">
        <v>25333.94</v>
      </c>
      <c r="H55" s="18"/>
      <c r="I55" s="17">
        <v>-290</v>
      </c>
      <c r="J55" s="18"/>
      <c r="K55" s="17">
        <v>0</v>
      </c>
      <c r="L55" s="18"/>
      <c r="M55" s="17">
        <v>25043.94</v>
      </c>
      <c r="N55" s="18"/>
      <c r="O55" s="17">
        <v>1360647.15</v>
      </c>
      <c r="P55" s="5"/>
      <c r="Q55" s="13">
        <v>-415187.738210799</v>
      </c>
      <c r="R55" s="5"/>
      <c r="S55" s="13">
        <v>945459.41178920097</v>
      </c>
      <c r="T55" s="18"/>
      <c r="U55" s="17">
        <v>0</v>
      </c>
      <c r="V55" s="18"/>
      <c r="W55" s="17">
        <v>-415187.738210799</v>
      </c>
      <c r="X55" s="18"/>
      <c r="Y55" s="17">
        <v>1360647.15</v>
      </c>
      <c r="Z55" s="17">
        <v>0</v>
      </c>
    </row>
    <row r="56" spans="1:26">
      <c r="A56" s="2" t="s">
        <v>17</v>
      </c>
      <c r="B56" s="2" t="s">
        <v>2653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5"/>
      <c r="Q56" s="13">
        <v>-182771.32458302</v>
      </c>
      <c r="R56" s="5"/>
      <c r="S56" s="13">
        <v>146602.85541698005</v>
      </c>
      <c r="T56" s="18"/>
      <c r="U56" s="17">
        <v>0</v>
      </c>
      <c r="V56" s="18"/>
      <c r="W56" s="17">
        <v>-182771.32458302</v>
      </c>
      <c r="X56" s="18"/>
      <c r="Y56" s="17">
        <v>329374.18000000005</v>
      </c>
      <c r="Z56" s="17">
        <v>0</v>
      </c>
    </row>
    <row r="57" spans="1:26">
      <c r="A57" s="2" t="s">
        <v>17</v>
      </c>
      <c r="B57" s="2" t="s">
        <v>2653</v>
      </c>
      <c r="C57" s="2" t="str">
        <f t="shared" si="5"/>
        <v>336</v>
      </c>
      <c r="D57" s="5" t="s">
        <v>54</v>
      </c>
      <c r="E57" s="17">
        <v>234509.13</v>
      </c>
      <c r="F57" s="18"/>
      <c r="G57" s="17">
        <v>0</v>
      </c>
      <c r="H57" s="18"/>
      <c r="I57" s="17">
        <v>-35609.299999999996</v>
      </c>
      <c r="J57" s="18"/>
      <c r="K57" s="17">
        <v>0</v>
      </c>
      <c r="L57" s="18"/>
      <c r="M57" s="17">
        <v>-35609.299999999996</v>
      </c>
      <c r="N57" s="18"/>
      <c r="O57" s="17">
        <v>198899.83000000002</v>
      </c>
      <c r="P57" s="5"/>
      <c r="Q57" s="13">
        <v>-69778.082169379995</v>
      </c>
      <c r="R57" s="5"/>
      <c r="S57" s="13">
        <v>129121.74783062002</v>
      </c>
      <c r="T57" s="18"/>
      <c r="U57" s="17">
        <v>0</v>
      </c>
      <c r="V57" s="18"/>
      <c r="W57" s="17">
        <v>-69778.082169379995</v>
      </c>
      <c r="X57" s="18"/>
      <c r="Y57" s="17">
        <v>198899.82999999903</v>
      </c>
      <c r="Z57" s="17">
        <v>-9.8953023552894592E-10</v>
      </c>
    </row>
    <row r="58" spans="1:26">
      <c r="A58" s="2" t="s">
        <v>17</v>
      </c>
      <c r="B58" s="2" t="s">
        <v>2653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5"/>
      <c r="Q58" s="21">
        <v>-94140.357338454705</v>
      </c>
      <c r="R58" s="5"/>
      <c r="S58" s="21">
        <v>551647.6326615453</v>
      </c>
      <c r="T58" s="18"/>
      <c r="U58" s="20">
        <v>0</v>
      </c>
      <c r="V58" s="18"/>
      <c r="W58" s="20">
        <v>-94140.357338454705</v>
      </c>
      <c r="X58" s="18"/>
      <c r="Y58" s="20">
        <v>645787.99</v>
      </c>
      <c r="Z58" s="20">
        <v>0</v>
      </c>
    </row>
    <row r="59" spans="1:26">
      <c r="B59" s="2" t="s">
        <v>2653</v>
      </c>
      <c r="D59" s="5"/>
      <c r="E59" s="17">
        <v>43859913.120000005</v>
      </c>
      <c r="F59" s="18"/>
      <c r="G59" s="17">
        <v>120520.53</v>
      </c>
      <c r="H59" s="18"/>
      <c r="I59" s="17">
        <v>-37100.81</v>
      </c>
      <c r="J59" s="18"/>
      <c r="K59" s="17">
        <v>0</v>
      </c>
      <c r="L59" s="18"/>
      <c r="M59" s="17">
        <v>83419.72</v>
      </c>
      <c r="N59" s="18"/>
      <c r="O59" s="17">
        <v>43943332.839999996</v>
      </c>
      <c r="P59" s="5"/>
      <c r="Q59" s="17">
        <v>-16763147.693276243</v>
      </c>
      <c r="R59" s="5"/>
      <c r="S59" s="17">
        <v>27180185.146723747</v>
      </c>
      <c r="T59" s="18"/>
      <c r="U59" s="17">
        <v>0</v>
      </c>
      <c r="V59" s="18"/>
      <c r="W59" s="17">
        <v>-16763147.693276243</v>
      </c>
      <c r="X59" s="18">
        <v>0</v>
      </c>
      <c r="Y59" s="17">
        <v>43943332.839999996</v>
      </c>
      <c r="Z59" s="17">
        <v>-9.8953023552894592E-10</v>
      </c>
    </row>
    <row r="60" spans="1:26">
      <c r="B60" s="2" t="s">
        <v>2653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5"/>
      <c r="Q60" s="5"/>
      <c r="R60" s="5"/>
      <c r="S60" s="5"/>
      <c r="T60" s="18"/>
      <c r="U60" s="17"/>
      <c r="V60" s="18"/>
      <c r="W60" s="17"/>
      <c r="X60" s="18"/>
      <c r="Y60" s="17"/>
      <c r="Z60" s="17"/>
    </row>
    <row r="61" spans="1:26">
      <c r="B61" s="2" t="s">
        <v>2653</v>
      </c>
      <c r="D61" s="8" t="s">
        <v>56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5"/>
      <c r="Q61" s="5"/>
      <c r="R61" s="5"/>
      <c r="S61" s="5"/>
      <c r="T61" s="18"/>
      <c r="U61" s="17"/>
      <c r="V61" s="18"/>
      <c r="W61" s="17"/>
      <c r="X61" s="18"/>
      <c r="Y61" s="17"/>
      <c r="Z61" s="17"/>
    </row>
    <row r="62" spans="1:26">
      <c r="A62" s="2" t="s">
        <v>17</v>
      </c>
      <c r="B62" s="2" t="s">
        <v>2653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5"/>
      <c r="Q62" s="13">
        <v>0</v>
      </c>
      <c r="R62" s="5"/>
      <c r="S62" s="13">
        <v>39116.89</v>
      </c>
      <c r="T62" s="18"/>
      <c r="U62" s="17"/>
      <c r="V62" s="18"/>
      <c r="W62" s="17">
        <v>0</v>
      </c>
      <c r="X62" s="18"/>
      <c r="Y62" s="17">
        <v>39116.89</v>
      </c>
      <c r="Z62" s="17">
        <v>0</v>
      </c>
    </row>
    <row r="63" spans="1:26">
      <c r="A63" s="2" t="s">
        <v>17</v>
      </c>
      <c r="B63" s="2" t="s">
        <v>2653</v>
      </c>
      <c r="C63" s="2" t="str">
        <f t="shared" si="6"/>
        <v>302</v>
      </c>
      <c r="D63" s="5" t="s">
        <v>58</v>
      </c>
      <c r="E63" s="17">
        <v>55918.83</v>
      </c>
      <c r="F63" s="18"/>
      <c r="G63" s="17">
        <v>88449.83</v>
      </c>
      <c r="H63" s="18"/>
      <c r="I63" s="17">
        <v>0</v>
      </c>
      <c r="J63" s="18"/>
      <c r="K63" s="17">
        <v>0</v>
      </c>
      <c r="L63" s="18"/>
      <c r="M63" s="17">
        <v>88449.83</v>
      </c>
      <c r="N63" s="18"/>
      <c r="O63" s="17">
        <v>144368.66</v>
      </c>
      <c r="P63" s="5"/>
      <c r="Q63" s="13">
        <v>-60646.628603999998</v>
      </c>
      <c r="R63" s="5"/>
      <c r="S63" s="13">
        <v>83722.031396000006</v>
      </c>
      <c r="T63" s="18"/>
      <c r="U63" s="7"/>
      <c r="V63" s="18"/>
      <c r="W63" s="17">
        <v>-60646.628603999998</v>
      </c>
      <c r="X63" s="18"/>
      <c r="Y63" s="17">
        <v>144368.66</v>
      </c>
      <c r="Z63" s="17">
        <v>0</v>
      </c>
    </row>
    <row r="64" spans="1:26">
      <c r="A64" s="2" t="s">
        <v>17</v>
      </c>
      <c r="B64" s="2" t="s">
        <v>2653</v>
      </c>
      <c r="C64" s="2" t="str">
        <f t="shared" si="6"/>
        <v>303</v>
      </c>
      <c r="D64" s="5" t="s">
        <v>59</v>
      </c>
      <c r="E64" s="17">
        <v>88998815.709999993</v>
      </c>
      <c r="F64" s="18"/>
      <c r="G64" s="17">
        <v>24098309.689999901</v>
      </c>
      <c r="H64" s="18"/>
      <c r="I64" s="17">
        <v>-8089180.9000000004</v>
      </c>
      <c r="J64" s="18"/>
      <c r="K64" s="17">
        <v>0</v>
      </c>
      <c r="L64" s="18"/>
      <c r="M64" s="17">
        <v>16009128.7899999</v>
      </c>
      <c r="N64" s="18"/>
      <c r="O64" s="17">
        <v>105007944.4999999</v>
      </c>
      <c r="P64" s="5"/>
      <c r="Q64" s="13">
        <v>-47034708.586073995</v>
      </c>
      <c r="R64" s="5"/>
      <c r="S64" s="13">
        <v>57973235.913925901</v>
      </c>
      <c r="T64" s="18"/>
      <c r="U64" s="7">
        <v>0</v>
      </c>
      <c r="V64" s="18"/>
      <c r="W64" s="17">
        <v>-47034708.586073995</v>
      </c>
      <c r="X64" s="18"/>
      <c r="Y64" s="17">
        <v>105007944.4999999</v>
      </c>
      <c r="Z64" s="17">
        <v>0</v>
      </c>
    </row>
    <row r="65" spans="1:26">
      <c r="A65" s="2" t="s">
        <v>17</v>
      </c>
      <c r="B65" s="2" t="s">
        <v>2653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5"/>
      <c r="Q65" s="21">
        <v>0</v>
      </c>
      <c r="R65" s="5"/>
      <c r="S65" s="21">
        <v>0</v>
      </c>
      <c r="T65" s="18"/>
      <c r="U65" s="20"/>
      <c r="V65" s="18"/>
      <c r="W65" s="20">
        <v>0</v>
      </c>
      <c r="X65" s="18"/>
      <c r="Y65" s="20">
        <v>0</v>
      </c>
      <c r="Z65" s="20">
        <v>0</v>
      </c>
    </row>
    <row r="66" spans="1:26">
      <c r="B66" s="2" t="s">
        <v>2653</v>
      </c>
      <c r="D66" s="5"/>
      <c r="E66" s="17">
        <v>89093851.429999992</v>
      </c>
      <c r="F66" s="18"/>
      <c r="G66" s="17">
        <v>24186759.519999899</v>
      </c>
      <c r="H66" s="18"/>
      <c r="I66" s="17">
        <v>-8089180.9000000004</v>
      </c>
      <c r="J66" s="18"/>
      <c r="K66" s="17">
        <v>0</v>
      </c>
      <c r="L66" s="18"/>
      <c r="M66" s="17">
        <v>16097578.6199999</v>
      </c>
      <c r="N66" s="18"/>
      <c r="O66" s="17">
        <v>105191430.04999989</v>
      </c>
      <c r="P66" s="5"/>
      <c r="Q66" s="17">
        <v>-47095355.214677997</v>
      </c>
      <c r="R66" s="5"/>
      <c r="S66" s="17">
        <v>58096074.835321903</v>
      </c>
      <c r="T66" s="18"/>
      <c r="U66" s="17">
        <v>0</v>
      </c>
      <c r="V66" s="18"/>
      <c r="W66" s="17">
        <v>-47095355.214677997</v>
      </c>
      <c r="X66" s="18"/>
      <c r="Y66" s="17">
        <v>105191430.04999989</v>
      </c>
      <c r="Z66" s="17">
        <v>0</v>
      </c>
    </row>
    <row r="67" spans="1:26">
      <c r="B67" s="2" t="s">
        <v>2653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5"/>
      <c r="Q67" s="5"/>
      <c r="R67" s="5"/>
      <c r="S67" s="5"/>
      <c r="T67" s="18"/>
      <c r="U67" s="17"/>
      <c r="V67" s="18"/>
      <c r="W67" s="17"/>
      <c r="X67" s="18"/>
      <c r="Y67" s="17"/>
      <c r="Z67" s="17"/>
    </row>
    <row r="68" spans="1:26">
      <c r="B68" s="2" t="s">
        <v>2653</v>
      </c>
      <c r="D68" s="8" t="s">
        <v>61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5"/>
      <c r="Q68" s="5"/>
      <c r="R68" s="5"/>
      <c r="S68" s="5"/>
      <c r="T68" s="18"/>
      <c r="U68" s="17"/>
      <c r="V68" s="18"/>
      <c r="W68" s="17"/>
      <c r="X68" s="18"/>
      <c r="Y68" s="17"/>
      <c r="Z68" s="17"/>
    </row>
    <row r="69" spans="1:26">
      <c r="A69" s="2" t="s">
        <v>17</v>
      </c>
      <c r="B69" s="2" t="s">
        <v>2653</v>
      </c>
      <c r="C69" s="2" t="str">
        <f t="shared" ref="C69" si="7">MID(D69,2,3)</f>
        <v>340</v>
      </c>
      <c r="D69" s="5" t="s">
        <v>2385</v>
      </c>
      <c r="E69" s="17">
        <v>894512.89999999991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894512.89999999991</v>
      </c>
      <c r="P69" s="5"/>
      <c r="Q69" s="13">
        <v>-136625.58194479998</v>
      </c>
      <c r="R69" s="5"/>
      <c r="S69" s="13">
        <v>757887.31805519992</v>
      </c>
      <c r="T69" s="18"/>
      <c r="U69" s="7">
        <v>0</v>
      </c>
      <c r="V69" s="19"/>
      <c r="W69" s="7">
        <v>-136625.58194479998</v>
      </c>
      <c r="X69" s="19"/>
      <c r="Y69" s="7">
        <v>894512.75</v>
      </c>
      <c r="Z69" s="7">
        <v>-0.14999999990686774</v>
      </c>
    </row>
    <row r="70" spans="1:26">
      <c r="A70" s="2" t="s">
        <v>17</v>
      </c>
      <c r="B70" s="2" t="s">
        <v>2653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5"/>
      <c r="Q70" s="13">
        <v>0</v>
      </c>
      <c r="R70" s="5"/>
      <c r="S70" s="13">
        <v>0</v>
      </c>
      <c r="T70" s="18"/>
      <c r="U70" s="17">
        <v>0</v>
      </c>
      <c r="V70" s="18"/>
      <c r="W70" s="17">
        <v>0</v>
      </c>
      <c r="X70" s="18"/>
      <c r="Y70" s="17">
        <v>0</v>
      </c>
      <c r="Z70" s="17">
        <v>0</v>
      </c>
    </row>
    <row r="71" spans="1:26">
      <c r="A71" s="2" t="s">
        <v>17</v>
      </c>
      <c r="B71" s="2" t="s">
        <v>2653</v>
      </c>
      <c r="C71" s="2" t="str">
        <f t="shared" ref="C71:C79" si="8">MID(D71,2,3)</f>
        <v>341</v>
      </c>
      <c r="D71" s="5" t="s">
        <v>63</v>
      </c>
      <c r="E71" s="17">
        <v>90504500.530000001</v>
      </c>
      <c r="F71" s="18"/>
      <c r="G71" s="17">
        <v>97335.89</v>
      </c>
      <c r="H71" s="18"/>
      <c r="I71" s="17">
        <v>-62540.89</v>
      </c>
      <c r="J71" s="18"/>
      <c r="K71" s="17">
        <v>0</v>
      </c>
      <c r="L71" s="18"/>
      <c r="M71" s="17">
        <v>34795</v>
      </c>
      <c r="N71" s="18"/>
      <c r="O71" s="17">
        <v>90539295.530000001</v>
      </c>
      <c r="P71" s="5"/>
      <c r="Q71" s="13">
        <v>-33050522.5564918</v>
      </c>
      <c r="R71" s="5"/>
      <c r="S71" s="13">
        <v>57488772.973508202</v>
      </c>
      <c r="T71" s="18"/>
      <c r="U71" s="17">
        <v>1080.7880865481445</v>
      </c>
      <c r="V71" s="18"/>
      <c r="W71" s="17">
        <v>-33049441.768405251</v>
      </c>
      <c r="X71" s="18"/>
      <c r="Y71" s="17">
        <v>90539295.530000001</v>
      </c>
      <c r="Z71" s="17">
        <v>0</v>
      </c>
    </row>
    <row r="72" spans="1:26">
      <c r="A72" s="2" t="s">
        <v>17</v>
      </c>
      <c r="B72" s="2" t="s">
        <v>2653</v>
      </c>
      <c r="C72" s="2" t="str">
        <f t="shared" si="8"/>
        <v>342</v>
      </c>
      <c r="D72" s="5" t="s">
        <v>64</v>
      </c>
      <c r="E72" s="17">
        <v>63085395.019999988</v>
      </c>
      <c r="F72" s="18"/>
      <c r="G72" s="17">
        <v>21083025.350000001</v>
      </c>
      <c r="H72" s="18"/>
      <c r="I72" s="17">
        <v>-1</v>
      </c>
      <c r="J72" s="18"/>
      <c r="K72" s="17">
        <v>0</v>
      </c>
      <c r="L72" s="18"/>
      <c r="M72" s="17">
        <v>21083024.350000001</v>
      </c>
      <c r="N72" s="18"/>
      <c r="O72" s="17">
        <v>84168419.36999999</v>
      </c>
      <c r="P72" s="5"/>
      <c r="Q72" s="13">
        <v>-26386160.0445772</v>
      </c>
      <c r="R72" s="5"/>
      <c r="S72" s="13">
        <v>57782259.325422794</v>
      </c>
      <c r="T72" s="18"/>
      <c r="U72" s="17">
        <v>234099.49430443929</v>
      </c>
      <c r="V72" s="18"/>
      <c r="W72" s="17">
        <v>-26152060.550272759</v>
      </c>
      <c r="X72" s="18"/>
      <c r="Y72" s="17">
        <v>84168419.36999999</v>
      </c>
      <c r="Z72" s="17">
        <v>0</v>
      </c>
    </row>
    <row r="73" spans="1:26">
      <c r="A73" s="2" t="s">
        <v>17</v>
      </c>
      <c r="B73" s="2" t="s">
        <v>2653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5"/>
      <c r="Q73" s="13">
        <v>0</v>
      </c>
      <c r="R73" s="5"/>
      <c r="S73" s="13">
        <v>0</v>
      </c>
      <c r="T73" s="18"/>
      <c r="U73" s="17">
        <v>0</v>
      </c>
      <c r="V73" s="18"/>
      <c r="W73" s="17">
        <v>0</v>
      </c>
      <c r="X73" s="18"/>
      <c r="Y73" s="17">
        <v>0</v>
      </c>
      <c r="Z73" s="17">
        <v>0</v>
      </c>
    </row>
    <row r="74" spans="1:26">
      <c r="A74" s="2" t="s">
        <v>17</v>
      </c>
      <c r="B74" s="2" t="s">
        <v>2653</v>
      </c>
      <c r="C74" s="2" t="str">
        <f t="shared" si="8"/>
        <v>343</v>
      </c>
      <c r="D74" s="5" t="s">
        <v>66</v>
      </c>
      <c r="E74" s="17">
        <v>668339234.02999794</v>
      </c>
      <c r="F74" s="18"/>
      <c r="G74" s="17">
        <v>19980949.209999997</v>
      </c>
      <c r="H74" s="18"/>
      <c r="I74" s="17">
        <v>-4895134.6600000011</v>
      </c>
      <c r="J74" s="18"/>
      <c r="K74" s="17">
        <v>0</v>
      </c>
      <c r="L74" s="18"/>
      <c r="M74" s="17">
        <v>15085814.549999997</v>
      </c>
      <c r="N74" s="18"/>
      <c r="O74" s="17">
        <v>683425048.5799979</v>
      </c>
      <c r="P74" s="5"/>
      <c r="Q74" s="13">
        <v>-270115603.23677003</v>
      </c>
      <c r="R74" s="5"/>
      <c r="S74" s="13">
        <v>413309445.34322786</v>
      </c>
      <c r="T74" s="18"/>
      <c r="U74" s="17">
        <v>221862.37639673875</v>
      </c>
      <c r="V74" s="18"/>
      <c r="W74" s="17">
        <v>-269893740.86037332</v>
      </c>
      <c r="X74" s="18"/>
      <c r="Y74" s="17">
        <v>683425048.62999797</v>
      </c>
      <c r="Z74" s="17">
        <v>5.000007152557373E-2</v>
      </c>
    </row>
    <row r="75" spans="1:26">
      <c r="A75" s="2" t="s">
        <v>17</v>
      </c>
      <c r="B75" s="2" t="s">
        <v>2653</v>
      </c>
      <c r="C75" s="2" t="str">
        <f t="shared" si="8"/>
        <v>344</v>
      </c>
      <c r="D75" s="5" t="s">
        <v>67</v>
      </c>
      <c r="E75" s="17">
        <v>137773199.20999992</v>
      </c>
      <c r="F75" s="18"/>
      <c r="G75" s="17">
        <v>288620.23999999987</v>
      </c>
      <c r="H75" s="18"/>
      <c r="I75" s="17">
        <v>-720449.17999999993</v>
      </c>
      <c r="J75" s="18"/>
      <c r="K75" s="17">
        <v>0</v>
      </c>
      <c r="L75" s="18"/>
      <c r="M75" s="17">
        <v>-431828.94000000006</v>
      </c>
      <c r="N75" s="18"/>
      <c r="O75" s="17">
        <v>137341370.26999992</v>
      </c>
      <c r="P75" s="5"/>
      <c r="Q75" s="13">
        <v>-54909425.913864404</v>
      </c>
      <c r="R75" s="5"/>
      <c r="S75" s="13">
        <v>82431944.356135517</v>
      </c>
      <c r="T75" s="18"/>
      <c r="U75" s="17">
        <v>3204.7512683005839</v>
      </c>
      <c r="V75" s="18"/>
      <c r="W75" s="17">
        <v>-54906221.162596107</v>
      </c>
      <c r="X75" s="18"/>
      <c r="Y75" s="17">
        <v>137341370.27000001</v>
      </c>
      <c r="Z75" s="17">
        <v>0</v>
      </c>
    </row>
    <row r="76" spans="1:26">
      <c r="A76" s="2" t="s">
        <v>17</v>
      </c>
      <c r="B76" s="2" t="s">
        <v>2653</v>
      </c>
      <c r="C76" s="2" t="str">
        <f t="shared" si="8"/>
        <v>345</v>
      </c>
      <c r="D76" s="5" t="s">
        <v>68</v>
      </c>
      <c r="E76" s="17">
        <v>76279387.299999997</v>
      </c>
      <c r="F76" s="18"/>
      <c r="G76" s="17">
        <v>1157962.7</v>
      </c>
      <c r="H76" s="18"/>
      <c r="I76" s="17">
        <v>0</v>
      </c>
      <c r="J76" s="18"/>
      <c r="K76" s="17">
        <v>0</v>
      </c>
      <c r="L76" s="18"/>
      <c r="M76" s="17">
        <v>1157962.7</v>
      </c>
      <c r="N76" s="18"/>
      <c r="O76" s="17">
        <v>77437350</v>
      </c>
      <c r="P76" s="5"/>
      <c r="Q76" s="13">
        <v>-35137518.725940593</v>
      </c>
      <c r="R76" s="5"/>
      <c r="S76" s="13">
        <v>42299831.274059407</v>
      </c>
      <c r="T76" s="18"/>
      <c r="U76" s="17">
        <v>12857.665254071475</v>
      </c>
      <c r="V76" s="18"/>
      <c r="W76" s="17">
        <v>-35124661.060686521</v>
      </c>
      <c r="X76" s="18"/>
      <c r="Y76" s="17">
        <v>77437350</v>
      </c>
      <c r="Z76" s="17">
        <v>0</v>
      </c>
    </row>
    <row r="77" spans="1:26">
      <c r="A77" s="2" t="s">
        <v>17</v>
      </c>
      <c r="B77" s="2" t="s">
        <v>2653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5"/>
      <c r="Q77" s="13">
        <v>0</v>
      </c>
      <c r="R77" s="5"/>
      <c r="S77" s="13">
        <v>0</v>
      </c>
      <c r="T77" s="18"/>
      <c r="U77" s="17">
        <v>0</v>
      </c>
      <c r="V77" s="18"/>
      <c r="W77" s="17">
        <v>0</v>
      </c>
      <c r="X77" s="18"/>
      <c r="Y77" s="17">
        <v>0</v>
      </c>
      <c r="Z77" s="17">
        <v>0</v>
      </c>
    </row>
    <row r="78" spans="1:26">
      <c r="A78" s="2" t="s">
        <v>17</v>
      </c>
      <c r="B78" s="2" t="s">
        <v>2653</v>
      </c>
      <c r="C78" s="2" t="str">
        <f t="shared" si="8"/>
        <v>346</v>
      </c>
      <c r="D78" s="5" t="s">
        <v>70</v>
      </c>
      <c r="E78" s="17">
        <v>9268887.2400000021</v>
      </c>
      <c r="F78" s="18"/>
      <c r="G78" s="17">
        <v>130622.70000000001</v>
      </c>
      <c r="H78" s="18"/>
      <c r="I78" s="17">
        <v>0</v>
      </c>
      <c r="J78" s="18"/>
      <c r="K78" s="17">
        <v>0</v>
      </c>
      <c r="L78" s="18"/>
      <c r="M78" s="17">
        <v>130622.70000000001</v>
      </c>
      <c r="N78" s="18"/>
      <c r="O78" s="17">
        <v>9399509.9400000013</v>
      </c>
      <c r="P78" s="5"/>
      <c r="Q78" s="13">
        <v>-4494355.8593783388</v>
      </c>
      <c r="R78" s="5"/>
      <c r="S78" s="13">
        <v>4905154.0806216625</v>
      </c>
      <c r="T78" s="18"/>
      <c r="U78" s="17">
        <v>1450.3946899006353</v>
      </c>
      <c r="V78" s="18"/>
      <c r="W78" s="17">
        <v>-4492905.464688438</v>
      </c>
      <c r="X78" s="18"/>
      <c r="Y78" s="17">
        <v>9399509.9400000013</v>
      </c>
      <c r="Z78" s="17">
        <v>0</v>
      </c>
    </row>
    <row r="79" spans="1:26">
      <c r="A79" s="2" t="s">
        <v>17</v>
      </c>
      <c r="B79" s="2" t="s">
        <v>2653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5"/>
      <c r="Q79" s="21">
        <v>-117076.64349460999</v>
      </c>
      <c r="R79" s="5"/>
      <c r="S79" s="21">
        <v>289914.47650539002</v>
      </c>
      <c r="T79" s="18"/>
      <c r="U79" s="20">
        <v>0</v>
      </c>
      <c r="V79" s="18"/>
      <c r="W79" s="20">
        <v>-117076.64349460999</v>
      </c>
      <c r="X79" s="18"/>
      <c r="Y79" s="20">
        <v>406991.12</v>
      </c>
      <c r="Z79" s="20">
        <v>0</v>
      </c>
    </row>
    <row r="80" spans="1:26">
      <c r="B80" s="2" t="s">
        <v>2653</v>
      </c>
      <c r="D80" s="5"/>
      <c r="E80" s="17">
        <v>1046552107.3499978</v>
      </c>
      <c r="F80" s="18"/>
      <c r="G80" s="17">
        <v>42738516.090000011</v>
      </c>
      <c r="H80" s="18"/>
      <c r="I80" s="17">
        <v>-5678125.7300000004</v>
      </c>
      <c r="J80" s="18"/>
      <c r="K80" s="17">
        <v>0</v>
      </c>
      <c r="L80" s="18"/>
      <c r="M80" s="17">
        <v>37060390.360000007</v>
      </c>
      <c r="N80" s="18"/>
      <c r="O80" s="17">
        <v>1083612497.7099979</v>
      </c>
      <c r="P80" s="5"/>
      <c r="Q80" s="17">
        <v>-424347288.56246173</v>
      </c>
      <c r="R80" s="5"/>
      <c r="S80" s="17">
        <v>659265209.14753604</v>
      </c>
      <c r="T80" s="18"/>
      <c r="U80" s="17">
        <v>474555.46999999898</v>
      </c>
      <c r="V80" s="18"/>
      <c r="W80" s="17">
        <v>-423872733.09246176</v>
      </c>
      <c r="X80" s="18">
        <v>0</v>
      </c>
      <c r="Y80" s="17">
        <v>1083612497.6099977</v>
      </c>
      <c r="Z80" s="17">
        <v>-9.9999928381294012E-2</v>
      </c>
    </row>
    <row r="81" spans="1:26">
      <c r="B81" s="2" t="s">
        <v>2653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5"/>
      <c r="Q81" s="5"/>
      <c r="R81" s="5"/>
      <c r="S81" s="5"/>
      <c r="T81" s="18"/>
      <c r="U81" s="17"/>
      <c r="V81" s="18"/>
      <c r="W81" s="17"/>
      <c r="X81" s="18"/>
      <c r="Y81" s="17"/>
      <c r="Z81" s="17"/>
    </row>
    <row r="82" spans="1:26">
      <c r="B82" s="2" t="s">
        <v>2653</v>
      </c>
      <c r="D82" s="8" t="s">
        <v>72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5"/>
      <c r="Q82" s="5"/>
      <c r="R82" s="5"/>
      <c r="S82" s="5"/>
      <c r="T82" s="19"/>
      <c r="U82" s="7"/>
      <c r="V82" s="19"/>
      <c r="W82" s="7"/>
      <c r="X82" s="19"/>
      <c r="Y82" s="7"/>
      <c r="Z82" s="7"/>
    </row>
    <row r="83" spans="1:26">
      <c r="A83" s="2" t="s">
        <v>17</v>
      </c>
      <c r="B83" s="2" t="s">
        <v>2653</v>
      </c>
      <c r="C83" s="2" t="str">
        <f t="shared" ref="C83:C93" si="9">MID(D83,2,3)</f>
        <v>310</v>
      </c>
      <c r="D83" s="5" t="s">
        <v>73</v>
      </c>
      <c r="E83" s="7">
        <v>24943362.199999902</v>
      </c>
      <c r="F83" s="19"/>
      <c r="G83" s="7">
        <v>50350.21</v>
      </c>
      <c r="H83" s="19"/>
      <c r="I83" s="7">
        <v>0</v>
      </c>
      <c r="J83" s="19"/>
      <c r="K83" s="7">
        <v>0</v>
      </c>
      <c r="L83" s="19"/>
      <c r="M83" s="7">
        <v>50350.21</v>
      </c>
      <c r="N83" s="19"/>
      <c r="O83" s="7">
        <v>24993712.409999903</v>
      </c>
      <c r="P83" s="5"/>
      <c r="Q83" s="13">
        <v>0</v>
      </c>
      <c r="R83" s="5"/>
      <c r="S83" s="13">
        <v>24993712.409999903</v>
      </c>
      <c r="T83" s="19"/>
      <c r="U83" s="7"/>
      <c r="V83" s="19"/>
      <c r="W83" s="7">
        <v>0</v>
      </c>
      <c r="X83" s="19"/>
      <c r="Y83" s="7">
        <v>24993712.409999803</v>
      </c>
      <c r="Z83" s="7">
        <v>-1.0058283805847168E-7</v>
      </c>
    </row>
    <row r="84" spans="1:26">
      <c r="A84" s="2" t="s">
        <v>17</v>
      </c>
      <c r="B84" s="2" t="s">
        <v>2653</v>
      </c>
      <c r="C84" s="2" t="str">
        <f t="shared" si="9"/>
        <v>311</v>
      </c>
      <c r="D84" s="5" t="s">
        <v>74</v>
      </c>
      <c r="E84" s="7">
        <v>351921403.85999906</v>
      </c>
      <c r="F84" s="19"/>
      <c r="G84" s="7">
        <v>6776525.609999991</v>
      </c>
      <c r="H84" s="19"/>
      <c r="I84" s="7">
        <v>-2432126.5100000002</v>
      </c>
      <c r="J84" s="19"/>
      <c r="K84" s="7">
        <v>0</v>
      </c>
      <c r="L84" s="19"/>
      <c r="M84" s="7">
        <v>4344399.0999999903</v>
      </c>
      <c r="N84" s="19"/>
      <c r="O84" s="7">
        <v>356265802.95999902</v>
      </c>
      <c r="P84" s="5"/>
      <c r="Q84" s="13">
        <v>-163266088.76942</v>
      </c>
      <c r="R84" s="5"/>
      <c r="S84" s="13">
        <v>192999714.19057903</v>
      </c>
      <c r="T84" s="19"/>
      <c r="U84" s="7">
        <v>19958.616225593618</v>
      </c>
      <c r="V84" s="19"/>
      <c r="W84" s="7">
        <v>-163246130.1531944</v>
      </c>
      <c r="X84" s="19"/>
      <c r="Y84" s="7">
        <v>356265802.95999998</v>
      </c>
      <c r="Z84" s="7">
        <v>9.5367431640625E-7</v>
      </c>
    </row>
    <row r="85" spans="1:26">
      <c r="A85" s="2" t="s">
        <v>17</v>
      </c>
      <c r="B85" s="2" t="s">
        <v>2653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5"/>
      <c r="Q85" s="13">
        <v>0</v>
      </c>
      <c r="R85" s="5"/>
      <c r="S85" s="13">
        <v>0</v>
      </c>
      <c r="T85" s="19"/>
      <c r="U85" s="7">
        <v>0</v>
      </c>
      <c r="V85" s="19"/>
      <c r="W85" s="7">
        <v>0</v>
      </c>
      <c r="X85" s="19"/>
      <c r="Y85" s="7">
        <v>0</v>
      </c>
      <c r="Z85" s="7">
        <v>0</v>
      </c>
    </row>
    <row r="86" spans="1:26">
      <c r="A86" s="2" t="s">
        <v>17</v>
      </c>
      <c r="B86" s="2" t="s">
        <v>2653</v>
      </c>
      <c r="C86" s="2" t="str">
        <f t="shared" si="9"/>
        <v>312</v>
      </c>
      <c r="D86" s="5" t="s">
        <v>76</v>
      </c>
      <c r="E86" s="7">
        <v>4087276091.2899995</v>
      </c>
      <c r="F86" s="19"/>
      <c r="G86" s="7">
        <v>271278062.27999985</v>
      </c>
      <c r="H86" s="19"/>
      <c r="I86" s="7">
        <v>-41297931.049999967</v>
      </c>
      <c r="J86" s="19"/>
      <c r="K86" s="7">
        <v>0</v>
      </c>
      <c r="L86" s="19"/>
      <c r="M86" s="7">
        <v>229980131.2299999</v>
      </c>
      <c r="N86" s="19"/>
      <c r="O86" s="7">
        <v>4317256222.5199995</v>
      </c>
      <c r="P86" s="5"/>
      <c r="Q86" s="13">
        <v>-1441922920.5165119</v>
      </c>
      <c r="R86" s="5"/>
      <c r="S86" s="13">
        <v>2875333302.0034876</v>
      </c>
      <c r="T86" s="19"/>
      <c r="U86" s="7">
        <v>798983.88157485449</v>
      </c>
      <c r="V86" s="19"/>
      <c r="W86" s="7">
        <v>-1441123936.634937</v>
      </c>
      <c r="X86" s="19"/>
      <c r="Y86" s="7">
        <v>4317256222.4299889</v>
      </c>
      <c r="Z86" s="7">
        <v>-9.0010643005371094E-2</v>
      </c>
    </row>
    <row r="87" spans="1:26">
      <c r="A87" s="2" t="s">
        <v>17</v>
      </c>
      <c r="B87" s="2" t="s">
        <v>2653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5"/>
      <c r="Q87" s="13">
        <v>0</v>
      </c>
      <c r="R87" s="5"/>
      <c r="S87" s="13">
        <v>0</v>
      </c>
      <c r="T87" s="19"/>
      <c r="U87" s="7">
        <v>0</v>
      </c>
      <c r="V87" s="19"/>
      <c r="W87" s="7">
        <v>0</v>
      </c>
      <c r="X87" s="19"/>
      <c r="Y87" s="7">
        <v>0</v>
      </c>
      <c r="Z87" s="7">
        <v>0</v>
      </c>
    </row>
    <row r="88" spans="1:26">
      <c r="A88" s="2" t="s">
        <v>17</v>
      </c>
      <c r="B88" s="2" t="s">
        <v>2653</v>
      </c>
      <c r="C88" s="2" t="str">
        <f t="shared" si="9"/>
        <v>314</v>
      </c>
      <c r="D88" s="5" t="s">
        <v>78</v>
      </c>
      <c r="E88" s="7">
        <v>337003419.14999998</v>
      </c>
      <c r="F88" s="19"/>
      <c r="G88" s="7">
        <v>18073790.169999901</v>
      </c>
      <c r="H88" s="19"/>
      <c r="I88" s="7">
        <v>-4174196.0299999993</v>
      </c>
      <c r="J88" s="19"/>
      <c r="K88" s="7">
        <v>0</v>
      </c>
      <c r="L88" s="19"/>
      <c r="M88" s="7">
        <v>13899594.139999902</v>
      </c>
      <c r="N88" s="19"/>
      <c r="O88" s="7">
        <v>350903013.2899999</v>
      </c>
      <c r="P88" s="5"/>
      <c r="Q88" s="13">
        <v>-143389133.15726399</v>
      </c>
      <c r="R88" s="5"/>
      <c r="S88" s="13">
        <v>207513880.13273591</v>
      </c>
      <c r="T88" s="19"/>
      <c r="U88" s="7">
        <v>53231.974983259155</v>
      </c>
      <c r="V88" s="19"/>
      <c r="W88" s="7">
        <v>-143335901.18228075</v>
      </c>
      <c r="X88" s="19"/>
      <c r="Y88" s="7">
        <v>350903013.28999996</v>
      </c>
      <c r="Z88" s="7">
        <v>0</v>
      </c>
    </row>
    <row r="89" spans="1:26">
      <c r="A89" s="2" t="s">
        <v>17</v>
      </c>
      <c r="B89" s="2" t="s">
        <v>2653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5"/>
      <c r="Q89" s="13">
        <v>0</v>
      </c>
      <c r="R89" s="5"/>
      <c r="S89" s="13">
        <v>0</v>
      </c>
      <c r="T89" s="19"/>
      <c r="U89" s="7">
        <v>0</v>
      </c>
      <c r="V89" s="19"/>
      <c r="W89" s="7">
        <v>0</v>
      </c>
      <c r="X89" s="19"/>
      <c r="Y89" s="7">
        <v>0</v>
      </c>
      <c r="Z89" s="7">
        <v>0</v>
      </c>
    </row>
    <row r="90" spans="1:26">
      <c r="A90" s="2" t="s">
        <v>17</v>
      </c>
      <c r="B90" s="2" t="s">
        <v>2653</v>
      </c>
      <c r="C90" s="2" t="str">
        <f t="shared" si="9"/>
        <v>315</v>
      </c>
      <c r="D90" s="5" t="s">
        <v>80</v>
      </c>
      <c r="E90" s="7">
        <v>263310142.06999987</v>
      </c>
      <c r="F90" s="19"/>
      <c r="G90" s="7">
        <v>-2532029.0500000003</v>
      </c>
      <c r="H90" s="19"/>
      <c r="I90" s="7">
        <v>-474054.24</v>
      </c>
      <c r="J90" s="19"/>
      <c r="K90" s="7">
        <v>0</v>
      </c>
      <c r="L90" s="19"/>
      <c r="M90" s="7">
        <v>-3006083.29</v>
      </c>
      <c r="N90" s="19"/>
      <c r="O90" s="7">
        <v>260304058.77999988</v>
      </c>
      <c r="P90" s="5"/>
      <c r="Q90" s="13">
        <v>-125938966.56023547</v>
      </c>
      <c r="R90" s="5"/>
      <c r="S90" s="13">
        <v>134365092.21976441</v>
      </c>
      <c r="T90" s="19"/>
      <c r="U90" s="7">
        <v>-7457.4788009993918</v>
      </c>
      <c r="V90" s="19"/>
      <c r="W90" s="7">
        <v>-125946424.03903647</v>
      </c>
      <c r="X90" s="19"/>
      <c r="Y90" s="7">
        <v>260304058.77999893</v>
      </c>
      <c r="Z90" s="7">
        <v>-9.5367431640625E-7</v>
      </c>
    </row>
    <row r="91" spans="1:26">
      <c r="A91" s="2" t="s">
        <v>17</v>
      </c>
      <c r="B91" s="2" t="s">
        <v>2653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5"/>
      <c r="Q91" s="13">
        <v>0</v>
      </c>
      <c r="R91" s="5"/>
      <c r="S91" s="13">
        <v>0</v>
      </c>
      <c r="T91" s="19"/>
      <c r="U91" s="7">
        <v>0</v>
      </c>
      <c r="V91" s="19"/>
      <c r="W91" s="7">
        <v>0</v>
      </c>
      <c r="X91" s="19"/>
      <c r="Y91" s="7">
        <v>0</v>
      </c>
      <c r="Z91" s="7">
        <v>0</v>
      </c>
    </row>
    <row r="92" spans="1:26">
      <c r="A92" s="2" t="s">
        <v>17</v>
      </c>
      <c r="B92" s="2" t="s">
        <v>2653</v>
      </c>
      <c r="C92" s="2" t="str">
        <f t="shared" si="9"/>
        <v>316</v>
      </c>
      <c r="D92" s="5" t="s">
        <v>82</v>
      </c>
      <c r="E92" s="7">
        <v>40470891.279999994</v>
      </c>
      <c r="F92" s="19"/>
      <c r="G92" s="7">
        <v>2497110.9599999981</v>
      </c>
      <c r="H92" s="19"/>
      <c r="I92" s="7">
        <v>-117683.86</v>
      </c>
      <c r="J92" s="19"/>
      <c r="K92" s="7">
        <v>0</v>
      </c>
      <c r="L92" s="19"/>
      <c r="M92" s="7">
        <v>2379427.0999999982</v>
      </c>
      <c r="N92" s="19"/>
      <c r="O92" s="7">
        <v>42850318.379999995</v>
      </c>
      <c r="P92" s="5"/>
      <c r="Q92" s="13">
        <v>-17801244.192646399</v>
      </c>
      <c r="R92" s="5"/>
      <c r="S92" s="13">
        <v>25049074.187353596</v>
      </c>
      <c r="T92" s="19"/>
      <c r="U92" s="7">
        <v>7354.6360172855148</v>
      </c>
      <c r="V92" s="19"/>
      <c r="W92" s="7">
        <v>-17793889.556629114</v>
      </c>
      <c r="X92" s="19"/>
      <c r="Y92" s="7">
        <v>42850318.379999995</v>
      </c>
      <c r="Z92" s="7">
        <v>0</v>
      </c>
    </row>
    <row r="93" spans="1:26">
      <c r="A93" s="2" t="s">
        <v>17</v>
      </c>
      <c r="B93" s="2" t="s">
        <v>2653</v>
      </c>
      <c r="C93" s="2" t="str">
        <f t="shared" si="9"/>
        <v>317</v>
      </c>
      <c r="D93" s="5" t="s">
        <v>83</v>
      </c>
      <c r="E93" s="7">
        <v>185982865.99000001</v>
      </c>
      <c r="F93" s="19"/>
      <c r="G93" s="7">
        <v>-9.8225427791476197E-8</v>
      </c>
      <c r="H93" s="19"/>
      <c r="I93" s="7">
        <v>-44515355.019999899</v>
      </c>
      <c r="J93" s="19"/>
      <c r="K93" s="7">
        <v>27820597.700000003</v>
      </c>
      <c r="L93" s="19"/>
      <c r="M93" s="7">
        <v>-16694757.319999993</v>
      </c>
      <c r="N93" s="19"/>
      <c r="O93" s="7">
        <v>169288108.67000002</v>
      </c>
      <c r="P93" s="5"/>
      <c r="Q93" s="13">
        <v>-115027829.68299009</v>
      </c>
      <c r="R93" s="5"/>
      <c r="S93" s="13">
        <v>54260278.987009928</v>
      </c>
      <c r="T93" s="19"/>
      <c r="U93" s="7">
        <v>-2.8929922643424261E-10</v>
      </c>
      <c r="V93" s="19"/>
      <c r="W93" s="7">
        <v>-115027829.68299009</v>
      </c>
      <c r="X93" s="19"/>
      <c r="Y93" s="7">
        <v>169288108.68000001</v>
      </c>
      <c r="Z93" s="7">
        <v>9.9999904632568359E-3</v>
      </c>
    </row>
    <row r="94" spans="1:26">
      <c r="A94" s="2" t="s">
        <v>17</v>
      </c>
      <c r="B94" s="2" t="s">
        <v>2653</v>
      </c>
      <c r="D94" s="5" t="s">
        <v>2386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5"/>
      <c r="Q94" s="21">
        <v>0</v>
      </c>
      <c r="R94" s="5"/>
      <c r="S94" s="21">
        <v>0</v>
      </c>
      <c r="T94" s="18"/>
      <c r="U94" s="20">
        <v>0</v>
      </c>
      <c r="V94" s="18"/>
      <c r="W94" s="20">
        <v>0</v>
      </c>
      <c r="X94" s="18"/>
      <c r="Y94" s="20">
        <v>0</v>
      </c>
      <c r="Z94" s="20">
        <v>0</v>
      </c>
    </row>
    <row r="95" spans="1:26">
      <c r="B95" s="2" t="s">
        <v>2653</v>
      </c>
      <c r="D95" s="5"/>
      <c r="E95" s="17">
        <v>5290908175.8399973</v>
      </c>
      <c r="F95" s="18"/>
      <c r="G95" s="17">
        <v>296143810.17999959</v>
      </c>
      <c r="H95" s="18"/>
      <c r="I95" s="17">
        <v>-93011346.709999859</v>
      </c>
      <c r="J95" s="18"/>
      <c r="K95" s="17">
        <v>27820597.700000003</v>
      </c>
      <c r="L95" s="18"/>
      <c r="M95" s="17">
        <v>230953061.16999981</v>
      </c>
      <c r="N95" s="18"/>
      <c r="O95" s="17">
        <v>5521861237.0099983</v>
      </c>
      <c r="P95" s="5"/>
      <c r="Q95" s="17">
        <v>-2007346182.8790679</v>
      </c>
      <c r="R95" s="5"/>
      <c r="S95" s="17">
        <v>3514515054.1309299</v>
      </c>
      <c r="T95" s="18"/>
      <c r="U95" s="17">
        <v>872071.62999999302</v>
      </c>
      <c r="V95" s="18"/>
      <c r="W95" s="17">
        <v>-2006474111.249068</v>
      </c>
      <c r="X95" s="18">
        <v>0</v>
      </c>
      <c r="Y95" s="17">
        <v>5521861236.9299879</v>
      </c>
      <c r="Z95" s="17">
        <v>-8.0010753124952316E-2</v>
      </c>
    </row>
    <row r="96" spans="1:26">
      <c r="B96" s="2" t="s">
        <v>2653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5"/>
      <c r="Q96" s="5"/>
      <c r="R96" s="5"/>
      <c r="S96" s="5"/>
      <c r="T96" s="18"/>
      <c r="U96" s="17"/>
      <c r="V96" s="18"/>
      <c r="W96" s="17"/>
      <c r="X96" s="18"/>
      <c r="Y96" s="17"/>
      <c r="Z96" s="17"/>
    </row>
    <row r="97" spans="1:26">
      <c r="B97" s="2" t="s">
        <v>2653</v>
      </c>
      <c r="D97" s="8" t="s">
        <v>84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5"/>
      <c r="Q97" s="5"/>
      <c r="R97" s="5"/>
      <c r="S97" s="5"/>
      <c r="T97" s="18"/>
      <c r="U97" s="17"/>
      <c r="V97" s="18"/>
      <c r="W97" s="17"/>
      <c r="X97" s="18"/>
      <c r="Y97" s="17"/>
      <c r="Z97" s="17"/>
    </row>
    <row r="98" spans="1:26">
      <c r="A98" s="2" t="s">
        <v>17</v>
      </c>
      <c r="B98" s="2" t="s">
        <v>2653</v>
      </c>
      <c r="C98" s="2" t="str">
        <f t="shared" si="10"/>
        <v>350</v>
      </c>
      <c r="D98" s="5" t="s">
        <v>85</v>
      </c>
      <c r="E98" s="17">
        <v>29696953.420000002</v>
      </c>
      <c r="F98" s="18"/>
      <c r="G98" s="17">
        <v>911818.86</v>
      </c>
      <c r="H98" s="18"/>
      <c r="I98" s="17">
        <v>0</v>
      </c>
      <c r="J98" s="18"/>
      <c r="K98" s="17">
        <v>0</v>
      </c>
      <c r="L98" s="18"/>
      <c r="M98" s="17">
        <v>911818.86</v>
      </c>
      <c r="N98" s="18"/>
      <c r="O98" s="17">
        <v>30608772.280000001</v>
      </c>
      <c r="P98" s="5"/>
      <c r="Q98" s="13">
        <v>-16396213.87135</v>
      </c>
      <c r="R98" s="5"/>
      <c r="S98" s="13">
        <v>14212558.408650002</v>
      </c>
      <c r="T98" s="18"/>
      <c r="U98" s="7">
        <v>13196.346824296288</v>
      </c>
      <c r="V98" s="19"/>
      <c r="W98" s="7">
        <v>-16383017.524525704</v>
      </c>
      <c r="X98" s="19"/>
      <c r="Y98" s="7">
        <v>30608772.280000001</v>
      </c>
      <c r="Z98" s="7">
        <v>0</v>
      </c>
    </row>
    <row r="99" spans="1:26">
      <c r="A99" s="2" t="s">
        <v>17</v>
      </c>
      <c r="B99" s="2" t="s">
        <v>2653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5"/>
      <c r="Q99" s="13">
        <v>0</v>
      </c>
      <c r="R99" s="5"/>
      <c r="S99" s="13">
        <v>0</v>
      </c>
      <c r="T99" s="18"/>
      <c r="U99" s="17">
        <v>0</v>
      </c>
      <c r="V99" s="18"/>
      <c r="W99" s="17">
        <v>0</v>
      </c>
      <c r="X99" s="18"/>
      <c r="Y99" s="17">
        <v>0</v>
      </c>
      <c r="Z99" s="17">
        <v>0</v>
      </c>
    </row>
    <row r="100" spans="1:26">
      <c r="A100" s="2" t="s">
        <v>17</v>
      </c>
      <c r="B100" s="2" t="s">
        <v>2653</v>
      </c>
      <c r="C100" s="2" t="str">
        <f t="shared" si="10"/>
        <v>352</v>
      </c>
      <c r="D100" s="5" t="s">
        <v>87</v>
      </c>
      <c r="E100" s="17">
        <v>32258811.93</v>
      </c>
      <c r="F100" s="18"/>
      <c r="G100" s="17">
        <v>-277982.59999999998</v>
      </c>
      <c r="H100" s="18"/>
      <c r="I100" s="17">
        <v>-13353.81</v>
      </c>
      <c r="J100" s="18"/>
      <c r="K100" s="17">
        <v>0</v>
      </c>
      <c r="L100" s="18"/>
      <c r="M100" s="17">
        <v>-291336.40999999997</v>
      </c>
      <c r="N100" s="18"/>
      <c r="O100" s="17">
        <v>31967475.52</v>
      </c>
      <c r="P100" s="5"/>
      <c r="Q100" s="13">
        <v>-7781420.6353331748</v>
      </c>
      <c r="R100" s="5"/>
      <c r="S100" s="13">
        <v>24186054.884666823</v>
      </c>
      <c r="T100" s="18"/>
      <c r="U100" s="17">
        <v>-4023.1179257683098</v>
      </c>
      <c r="V100" s="18"/>
      <c r="W100" s="17">
        <v>-7785443.7532589436</v>
      </c>
      <c r="X100" s="18"/>
      <c r="Y100" s="17">
        <v>31967475.52</v>
      </c>
      <c r="Z100" s="17">
        <v>0</v>
      </c>
    </row>
    <row r="101" spans="1:26">
      <c r="A101" s="2" t="s">
        <v>17</v>
      </c>
      <c r="B101" s="2" t="s">
        <v>2653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5"/>
      <c r="Q101" s="13">
        <v>0</v>
      </c>
      <c r="R101" s="5"/>
      <c r="S101" s="13">
        <v>0</v>
      </c>
      <c r="T101" s="18"/>
      <c r="U101" s="17">
        <v>0</v>
      </c>
      <c r="V101" s="18"/>
      <c r="W101" s="17">
        <v>0</v>
      </c>
      <c r="X101" s="18"/>
      <c r="Y101" s="17">
        <v>0</v>
      </c>
      <c r="Z101" s="17">
        <v>0</v>
      </c>
    </row>
    <row r="102" spans="1:26">
      <c r="A102" s="2" t="s">
        <v>17</v>
      </c>
      <c r="B102" s="2" t="s">
        <v>2653</v>
      </c>
      <c r="C102" s="2" t="str">
        <f t="shared" si="10"/>
        <v>353</v>
      </c>
      <c r="D102" s="5" t="s">
        <v>89</v>
      </c>
      <c r="E102" s="17">
        <v>337187440.05000001</v>
      </c>
      <c r="F102" s="18"/>
      <c r="G102" s="17">
        <v>23270496.43999999</v>
      </c>
      <c r="H102" s="18"/>
      <c r="I102" s="17">
        <v>-1903560.6099999992</v>
      </c>
      <c r="J102" s="18"/>
      <c r="K102" s="17">
        <v>198451.8</v>
      </c>
      <c r="L102" s="18"/>
      <c r="M102" s="17">
        <v>21565387.629999992</v>
      </c>
      <c r="N102" s="18"/>
      <c r="O102" s="17">
        <v>358752827.68000001</v>
      </c>
      <c r="P102" s="5"/>
      <c r="Q102" s="13">
        <v>-77561587.903969988</v>
      </c>
      <c r="R102" s="5"/>
      <c r="S102" s="13">
        <v>281191239.77603</v>
      </c>
      <c r="T102" s="18"/>
      <c r="U102" s="17">
        <v>336783.49425212806</v>
      </c>
      <c r="V102" s="18"/>
      <c r="W102" s="17">
        <v>-77224804.409717858</v>
      </c>
      <c r="X102" s="18"/>
      <c r="Y102" s="17">
        <v>358752827.66000003</v>
      </c>
      <c r="Z102" s="17">
        <v>-1.9999980926513672E-2</v>
      </c>
    </row>
    <row r="103" spans="1:26">
      <c r="A103" s="2" t="s">
        <v>17</v>
      </c>
      <c r="B103" s="2" t="s">
        <v>2653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5"/>
      <c r="Q103" s="13">
        <v>0</v>
      </c>
      <c r="R103" s="5"/>
      <c r="S103" s="13">
        <v>0</v>
      </c>
      <c r="T103" s="18"/>
      <c r="U103" s="17">
        <v>0</v>
      </c>
      <c r="V103" s="18"/>
      <c r="W103" s="17">
        <v>0</v>
      </c>
      <c r="X103" s="18"/>
      <c r="Y103" s="17">
        <v>0</v>
      </c>
      <c r="Z103" s="17">
        <v>0</v>
      </c>
    </row>
    <row r="104" spans="1:26">
      <c r="A104" s="2" t="s">
        <v>17</v>
      </c>
      <c r="B104" s="2" t="s">
        <v>2653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5"/>
      <c r="Q104" s="13">
        <v>0</v>
      </c>
      <c r="R104" s="5"/>
      <c r="S104" s="13">
        <v>0</v>
      </c>
      <c r="T104" s="18"/>
      <c r="U104" s="17">
        <v>0</v>
      </c>
      <c r="V104" s="18"/>
      <c r="W104" s="17">
        <v>0</v>
      </c>
      <c r="X104" s="18"/>
      <c r="Y104" s="17">
        <v>0</v>
      </c>
      <c r="Z104" s="17">
        <v>0</v>
      </c>
    </row>
    <row r="105" spans="1:26">
      <c r="A105" s="2" t="s">
        <v>17</v>
      </c>
      <c r="B105" s="2" t="s">
        <v>2653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0</v>
      </c>
      <c r="L105" s="18"/>
      <c r="M105" s="17">
        <v>0</v>
      </c>
      <c r="N105" s="18"/>
      <c r="O105" s="17">
        <v>70786894.579999998</v>
      </c>
      <c r="P105" s="5"/>
      <c r="Q105" s="13">
        <v>-49730891.059205897</v>
      </c>
      <c r="R105" s="5"/>
      <c r="S105" s="13">
        <v>21056003.520794101</v>
      </c>
      <c r="T105" s="18"/>
      <c r="U105" s="17">
        <v>0</v>
      </c>
      <c r="V105" s="18"/>
      <c r="W105" s="17">
        <v>-49730891.059205897</v>
      </c>
      <c r="X105" s="18"/>
      <c r="Y105" s="17">
        <v>70786894.579999998</v>
      </c>
      <c r="Z105" s="17">
        <v>0</v>
      </c>
    </row>
    <row r="106" spans="1:26">
      <c r="A106" s="2" t="s">
        <v>17</v>
      </c>
      <c r="B106" s="2" t="s">
        <v>2653</v>
      </c>
      <c r="C106" s="2" t="str">
        <f t="shared" si="10"/>
        <v>355</v>
      </c>
      <c r="D106" s="5" t="s">
        <v>93</v>
      </c>
      <c r="E106" s="17">
        <v>416620704.5</v>
      </c>
      <c r="F106" s="18"/>
      <c r="G106" s="17">
        <v>94277505.249999881</v>
      </c>
      <c r="H106" s="18"/>
      <c r="I106" s="17">
        <v>-1814153.999999997</v>
      </c>
      <c r="J106" s="18"/>
      <c r="K106" s="17">
        <v>0</v>
      </c>
      <c r="L106" s="18"/>
      <c r="M106" s="17">
        <v>92463351.249999881</v>
      </c>
      <c r="N106" s="18"/>
      <c r="O106" s="17">
        <v>509084055.74999988</v>
      </c>
      <c r="P106" s="5"/>
      <c r="Q106" s="13">
        <v>-84127579.716210008</v>
      </c>
      <c r="R106" s="5"/>
      <c r="S106" s="13">
        <v>424956476.03378987</v>
      </c>
      <c r="T106" s="18"/>
      <c r="U106" s="17">
        <v>1364436.1962510981</v>
      </c>
      <c r="V106" s="18"/>
      <c r="W106" s="17">
        <v>-82763143.519958913</v>
      </c>
      <c r="X106" s="18"/>
      <c r="Y106" s="17">
        <v>509084055.74000001</v>
      </c>
      <c r="Z106" s="17">
        <v>-9.9998712539672852E-3</v>
      </c>
    </row>
    <row r="107" spans="1:26">
      <c r="A107" s="2" t="s">
        <v>17</v>
      </c>
      <c r="B107" s="2" t="s">
        <v>2653</v>
      </c>
      <c r="C107" s="2" t="str">
        <f t="shared" si="10"/>
        <v>356</v>
      </c>
      <c r="D107" s="5" t="s">
        <v>94</v>
      </c>
      <c r="E107" s="17">
        <v>196446221.80000001</v>
      </c>
      <c r="F107" s="18"/>
      <c r="G107" s="17">
        <v>26249967.079999987</v>
      </c>
      <c r="H107" s="18"/>
      <c r="I107" s="17">
        <v>-856540.6399999999</v>
      </c>
      <c r="J107" s="18"/>
      <c r="K107" s="17">
        <v>0</v>
      </c>
      <c r="L107" s="18"/>
      <c r="M107" s="17">
        <v>25393426.439999986</v>
      </c>
      <c r="N107" s="18"/>
      <c r="O107" s="17">
        <v>221839648.24000001</v>
      </c>
      <c r="P107" s="5"/>
      <c r="Q107" s="13">
        <v>-112582227.50682901</v>
      </c>
      <c r="R107" s="5"/>
      <c r="S107" s="13">
        <v>109257420.733171</v>
      </c>
      <c r="T107" s="18"/>
      <c r="U107" s="17">
        <v>379904.04115356854</v>
      </c>
      <c r="V107" s="18"/>
      <c r="W107" s="17">
        <v>-112202323.46567544</v>
      </c>
      <c r="X107" s="18"/>
      <c r="Y107" s="17">
        <v>221839648.24000001</v>
      </c>
      <c r="Z107" s="17">
        <v>0</v>
      </c>
    </row>
    <row r="108" spans="1:26">
      <c r="A108" s="2" t="s">
        <v>17</v>
      </c>
      <c r="B108" s="2" t="s">
        <v>2653</v>
      </c>
      <c r="C108" s="2" t="str">
        <f t="shared" si="10"/>
        <v>357</v>
      </c>
      <c r="D108" s="5" t="s">
        <v>95</v>
      </c>
      <c r="E108" s="17">
        <v>681788.4</v>
      </c>
      <c r="F108" s="18"/>
      <c r="G108" s="17">
        <v>90.440000000000012</v>
      </c>
      <c r="H108" s="18"/>
      <c r="I108" s="17">
        <v>-63385.03</v>
      </c>
      <c r="J108" s="18"/>
      <c r="K108" s="17">
        <v>0</v>
      </c>
      <c r="L108" s="18"/>
      <c r="M108" s="17">
        <v>-63294.59</v>
      </c>
      <c r="N108" s="18"/>
      <c r="O108" s="17">
        <v>618493.81000000006</v>
      </c>
      <c r="P108" s="5"/>
      <c r="Q108" s="13">
        <v>-213440.59738519898</v>
      </c>
      <c r="R108" s="5"/>
      <c r="S108" s="13">
        <v>405053.21261480107</v>
      </c>
      <c r="T108" s="18"/>
      <c r="U108" s="17">
        <v>1.308897697936799</v>
      </c>
      <c r="V108" s="18"/>
      <c r="W108" s="17">
        <v>-213439.28848750103</v>
      </c>
      <c r="X108" s="18"/>
      <c r="Y108" s="17">
        <v>618493.81000000006</v>
      </c>
      <c r="Z108" s="17">
        <v>0</v>
      </c>
    </row>
    <row r="109" spans="1:26">
      <c r="A109" s="2" t="s">
        <v>17</v>
      </c>
      <c r="B109" s="2" t="s">
        <v>2653</v>
      </c>
      <c r="C109" s="2" t="str">
        <f t="shared" si="10"/>
        <v>358</v>
      </c>
      <c r="D109" s="5" t="s">
        <v>96</v>
      </c>
      <c r="E109" s="17">
        <v>1365290.2999999998</v>
      </c>
      <c r="F109" s="18"/>
      <c r="G109" s="17">
        <v>-42650.350000000006</v>
      </c>
      <c r="H109" s="18"/>
      <c r="I109" s="17">
        <v>-87624.78</v>
      </c>
      <c r="J109" s="18"/>
      <c r="K109" s="17">
        <v>0</v>
      </c>
      <c r="L109" s="18"/>
      <c r="M109" s="17">
        <v>-130275.13</v>
      </c>
      <c r="N109" s="18"/>
      <c r="O109" s="17">
        <v>1235015.17</v>
      </c>
      <c r="P109" s="5"/>
      <c r="Q109" s="13">
        <v>-819863.71612920007</v>
      </c>
      <c r="R109" s="5"/>
      <c r="S109" s="13">
        <v>415151.45387079986</v>
      </c>
      <c r="T109" s="18"/>
      <c r="U109" s="17">
        <v>-617.25945302077355</v>
      </c>
      <c r="V109" s="18"/>
      <c r="W109" s="17">
        <v>-820480.97558222082</v>
      </c>
      <c r="X109" s="18"/>
      <c r="Y109" s="17">
        <v>1235015.17</v>
      </c>
      <c r="Z109" s="17">
        <v>0</v>
      </c>
    </row>
    <row r="110" spans="1:26">
      <c r="A110" s="2" t="s">
        <v>17</v>
      </c>
      <c r="B110" s="2" t="s">
        <v>2653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5"/>
      <c r="Q110" s="13">
        <v>-115101.07623505399</v>
      </c>
      <c r="R110" s="5"/>
      <c r="S110" s="13">
        <v>139216.33376494603</v>
      </c>
      <c r="T110" s="18"/>
      <c r="U110" s="17">
        <v>0</v>
      </c>
      <c r="V110" s="18"/>
      <c r="W110" s="17">
        <v>-115101.07623505399</v>
      </c>
      <c r="X110" s="18"/>
      <c r="Y110" s="17">
        <v>254317.41</v>
      </c>
      <c r="Z110" s="17">
        <v>0</v>
      </c>
    </row>
    <row r="111" spans="1:26">
      <c r="A111" s="2" t="s">
        <v>17</v>
      </c>
      <c r="B111" s="2" t="s">
        <v>2653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5"/>
      <c r="Q111" s="21">
        <v>0</v>
      </c>
      <c r="R111" s="5"/>
      <c r="S111" s="21">
        <v>0</v>
      </c>
      <c r="T111" s="18"/>
      <c r="U111" s="20">
        <v>0</v>
      </c>
      <c r="V111" s="18"/>
      <c r="W111" s="20">
        <v>0</v>
      </c>
      <c r="X111" s="18"/>
      <c r="Y111" s="20">
        <v>0</v>
      </c>
      <c r="Z111" s="20">
        <v>0</v>
      </c>
    </row>
    <row r="112" spans="1:26">
      <c r="B112" s="2" t="s">
        <v>2653</v>
      </c>
      <c r="D112" s="5"/>
      <c r="E112" s="17">
        <v>1085298422.3900001</v>
      </c>
      <c r="F112" s="18"/>
      <c r="G112" s="17">
        <v>144389245.11999986</v>
      </c>
      <c r="H112" s="18"/>
      <c r="I112" s="17">
        <v>-4738618.8699999964</v>
      </c>
      <c r="J112" s="18"/>
      <c r="K112" s="17">
        <v>198451.8</v>
      </c>
      <c r="L112" s="18"/>
      <c r="M112" s="17">
        <v>139849078.04999986</v>
      </c>
      <c r="N112" s="18"/>
      <c r="O112" s="17">
        <v>1225147500.4400001</v>
      </c>
      <c r="P112" s="5"/>
      <c r="Q112" s="17">
        <v>-349328326.08264756</v>
      </c>
      <c r="R112" s="5"/>
      <c r="S112" s="17">
        <v>875819174.35735226</v>
      </c>
      <c r="T112" s="18"/>
      <c r="U112" s="17">
        <v>2089681.0099999998</v>
      </c>
      <c r="V112" s="18"/>
      <c r="W112" s="17">
        <v>-347238645.07264751</v>
      </c>
      <c r="X112" s="18">
        <v>0</v>
      </c>
      <c r="Y112" s="17">
        <v>1225147500.4100001</v>
      </c>
      <c r="Z112" s="17">
        <v>-2.9999852180480957E-2</v>
      </c>
    </row>
    <row r="113" spans="2:26">
      <c r="B113" s="2" t="s">
        <v>2653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5"/>
      <c r="Q113" s="5"/>
      <c r="R113" s="5"/>
      <c r="S113" s="5"/>
      <c r="T113" s="19"/>
      <c r="U113" s="17"/>
      <c r="V113" s="19"/>
      <c r="W113" s="17"/>
      <c r="X113" s="19"/>
      <c r="Y113" s="17"/>
      <c r="Z113" s="17"/>
    </row>
    <row r="114" spans="2:26">
      <c r="B114" s="2" t="s">
        <v>2653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5"/>
      <c r="Q114" s="5"/>
      <c r="R114" s="5"/>
      <c r="S114" s="5"/>
      <c r="T114" s="19"/>
      <c r="U114" s="7"/>
      <c r="V114" s="19"/>
      <c r="W114" s="7"/>
      <c r="X114" s="19"/>
      <c r="Y114" s="7"/>
      <c r="Z114" s="7"/>
    </row>
    <row r="115" spans="2:26" s="29" customFormat="1" ht="13.5" thickBot="1">
      <c r="B115" s="2" t="s">
        <v>2653</v>
      </c>
      <c r="D115" s="8" t="s">
        <v>99</v>
      </c>
      <c r="E115" s="22">
        <v>9733041924.6199932</v>
      </c>
      <c r="F115" s="18"/>
      <c r="G115" s="22">
        <v>691067183.87999928</v>
      </c>
      <c r="H115" s="18"/>
      <c r="I115" s="22">
        <v>-138223002.39999986</v>
      </c>
      <c r="J115" s="18"/>
      <c r="K115" s="22">
        <v>27820195.430000003</v>
      </c>
      <c r="L115" s="18"/>
      <c r="M115" s="22">
        <v>580664376.90999949</v>
      </c>
      <c r="N115" s="18"/>
      <c r="O115" s="22">
        <v>10313706301.529997</v>
      </c>
      <c r="P115" s="5"/>
      <c r="Q115" s="22">
        <v>-3604539635.1850872</v>
      </c>
      <c r="R115" s="5"/>
      <c r="S115" s="22">
        <v>6709166666.3449078</v>
      </c>
      <c r="T115" s="18"/>
      <c r="U115" s="22">
        <v>3886524.4199999887</v>
      </c>
      <c r="V115" s="18"/>
      <c r="W115" s="22">
        <v>-3600653110.7650876</v>
      </c>
      <c r="X115" s="18"/>
      <c r="Y115" s="22">
        <v>10313706301.659983</v>
      </c>
      <c r="Z115" s="22">
        <v>0.12998722930205986</v>
      </c>
    </row>
    <row r="116" spans="2:26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2"/>
      <c r="Q116" s="2"/>
      <c r="R116" s="2"/>
      <c r="S116" s="2"/>
      <c r="T116" s="25"/>
      <c r="U116" s="232"/>
      <c r="V116" s="25"/>
      <c r="W116" s="232"/>
      <c r="X116" s="25"/>
      <c r="Y116" s="232"/>
      <c r="Z116" s="232"/>
    </row>
    <row r="117" spans="2:26" s="29" customFormat="1">
      <c r="D117" s="2" t="s">
        <v>2387</v>
      </c>
      <c r="E117" s="66">
        <v>9733041924.6199932</v>
      </c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2"/>
      <c r="Q117" s="2"/>
      <c r="R117" s="2"/>
      <c r="S117" s="2"/>
      <c r="T117" s="27"/>
      <c r="U117" s="66"/>
      <c r="V117" s="27"/>
      <c r="W117" s="66"/>
      <c r="X117" s="27"/>
      <c r="Y117" s="66"/>
      <c r="Z117" s="66"/>
    </row>
    <row r="118" spans="2:26" s="29" customFormat="1">
      <c r="D118" s="28"/>
      <c r="E118" s="232">
        <v>0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T118" s="25"/>
      <c r="U118" s="232"/>
      <c r="V118" s="25"/>
      <c r="W118" s="232"/>
      <c r="X118" s="25"/>
      <c r="Y118" s="232"/>
      <c r="Z118" s="232"/>
    </row>
    <row r="119" spans="2:26" s="29" customFormat="1">
      <c r="D119" s="28"/>
      <c r="E119" s="232"/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T119" s="25"/>
      <c r="U119" s="232"/>
      <c r="V119" s="25"/>
      <c r="W119" s="232"/>
      <c r="X119" s="25"/>
      <c r="Y119" s="232"/>
      <c r="Z119" s="232"/>
    </row>
    <row r="120" spans="2:26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T120" s="25"/>
      <c r="U120" s="232"/>
      <c r="V120" s="25"/>
      <c r="W120" s="232"/>
      <c r="X120" s="25"/>
      <c r="Y120" s="232"/>
      <c r="Z120" s="232"/>
    </row>
    <row r="121" spans="2:26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T121" s="25"/>
      <c r="U121" s="232"/>
      <c r="V121" s="25"/>
      <c r="W121" s="232"/>
      <c r="X121" s="25"/>
      <c r="Y121" s="232"/>
      <c r="Z121" s="232"/>
    </row>
    <row r="122" spans="2:26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T122" s="25"/>
      <c r="U122" s="232"/>
      <c r="V122" s="25"/>
      <c r="W122" s="232"/>
      <c r="X122" s="25"/>
      <c r="Y122" s="232"/>
      <c r="Z122" s="232"/>
    </row>
    <row r="123" spans="2:26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T123" s="25"/>
      <c r="U123" s="232"/>
      <c r="V123" s="25"/>
      <c r="W123" s="232"/>
      <c r="X123" s="25"/>
      <c r="Y123" s="232"/>
      <c r="Z123" s="232"/>
    </row>
    <row r="124" spans="2:26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T124" s="25"/>
      <c r="U124" s="232"/>
      <c r="V124" s="25"/>
      <c r="W124" s="232"/>
      <c r="X124" s="25"/>
      <c r="Y124" s="232"/>
      <c r="Z124" s="232"/>
    </row>
    <row r="125" spans="2:26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T125" s="25"/>
      <c r="U125" s="232"/>
      <c r="V125" s="25"/>
      <c r="W125" s="232"/>
      <c r="X125" s="25"/>
      <c r="Y125" s="232"/>
      <c r="Z125" s="232"/>
    </row>
    <row r="126" spans="2:26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T126" s="25"/>
      <c r="U126" s="232"/>
      <c r="V126" s="25"/>
      <c r="W126" s="232"/>
      <c r="X126" s="25"/>
      <c r="Y126" s="232"/>
      <c r="Z126" s="232"/>
    </row>
    <row r="127" spans="2:26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T127" s="25"/>
      <c r="U127" s="232"/>
      <c r="V127" s="25"/>
      <c r="W127" s="232"/>
      <c r="X127" s="25"/>
      <c r="Y127" s="232"/>
      <c r="Z127" s="232"/>
    </row>
    <row r="128" spans="2:26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T128" s="25"/>
      <c r="U128" s="232"/>
      <c r="V128" s="25"/>
      <c r="W128" s="232"/>
      <c r="X128" s="25"/>
      <c r="Y128" s="232"/>
      <c r="Z128" s="232"/>
    </row>
    <row r="129" spans="4:26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T129" s="25"/>
      <c r="U129" s="232"/>
      <c r="V129" s="25"/>
      <c r="W129" s="232"/>
      <c r="X129" s="25"/>
      <c r="Y129" s="232"/>
      <c r="Z129" s="232"/>
    </row>
    <row r="130" spans="4:26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T130" s="25"/>
      <c r="U130" s="232"/>
      <c r="V130" s="25"/>
      <c r="W130" s="232"/>
      <c r="X130" s="25"/>
      <c r="Y130" s="232"/>
      <c r="Z130" s="232"/>
    </row>
    <row r="131" spans="4:26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T131" s="25"/>
      <c r="U131" s="232"/>
      <c r="V131" s="25"/>
      <c r="W131" s="232"/>
      <c r="X131" s="25"/>
      <c r="Y131" s="232"/>
      <c r="Z131" s="232"/>
    </row>
    <row r="132" spans="4:26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T132" s="25"/>
      <c r="U132" s="232"/>
      <c r="V132" s="25"/>
      <c r="W132" s="232"/>
      <c r="X132" s="25"/>
      <c r="Y132" s="232"/>
      <c r="Z132" s="232"/>
    </row>
    <row r="133" spans="4:26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T133" s="25"/>
      <c r="U133" s="232"/>
      <c r="V133" s="25"/>
      <c r="W133" s="232"/>
      <c r="X133" s="25"/>
      <c r="Y133" s="232"/>
      <c r="Z133" s="232"/>
    </row>
    <row r="134" spans="4:26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T134" s="25"/>
      <c r="U134" s="232"/>
      <c r="V134" s="25"/>
      <c r="W134" s="232"/>
      <c r="X134" s="25"/>
      <c r="Y134" s="232"/>
      <c r="Z134" s="232"/>
    </row>
    <row r="135" spans="4:26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T135" s="25"/>
      <c r="U135" s="232"/>
      <c r="V135" s="25"/>
      <c r="W135" s="232"/>
      <c r="X135" s="25"/>
      <c r="Y135" s="232"/>
      <c r="Z135" s="232"/>
    </row>
    <row r="136" spans="4:26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T136" s="25"/>
      <c r="U136" s="232"/>
      <c r="V136" s="25"/>
      <c r="W136" s="232"/>
      <c r="X136" s="25"/>
      <c r="Y136" s="232"/>
      <c r="Z136" s="232"/>
    </row>
    <row r="137" spans="4:26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T137" s="25"/>
      <c r="U137" s="232"/>
      <c r="V137" s="25"/>
      <c r="W137" s="232"/>
      <c r="X137" s="25"/>
      <c r="Y137" s="232"/>
      <c r="Z137" s="232"/>
    </row>
    <row r="138" spans="4:26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T138" s="25"/>
      <c r="U138" s="232"/>
      <c r="V138" s="25"/>
      <c r="W138" s="232"/>
      <c r="X138" s="25"/>
      <c r="Y138" s="232"/>
      <c r="Z138" s="232"/>
    </row>
    <row r="139" spans="4:26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T139" s="25"/>
      <c r="U139" s="232"/>
      <c r="V139" s="25"/>
      <c r="W139" s="232"/>
      <c r="X139" s="25"/>
      <c r="Y139" s="232"/>
      <c r="Z139" s="232"/>
    </row>
    <row r="140" spans="4:26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T140" s="25"/>
      <c r="U140" s="232"/>
      <c r="V140" s="25"/>
      <c r="W140" s="232"/>
      <c r="X140" s="25"/>
      <c r="Y140" s="232"/>
      <c r="Z140" s="232"/>
    </row>
    <row r="141" spans="4:26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T141" s="25"/>
      <c r="U141" s="232"/>
      <c r="V141" s="25"/>
      <c r="W141" s="232"/>
      <c r="X141" s="25"/>
      <c r="Y141" s="232"/>
      <c r="Z141" s="232"/>
    </row>
    <row r="142" spans="4:26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T142" s="25"/>
      <c r="U142" s="232"/>
      <c r="V142" s="25"/>
      <c r="W142" s="232"/>
      <c r="X142" s="25"/>
      <c r="Y142" s="232"/>
      <c r="Z142" s="232"/>
    </row>
    <row r="143" spans="4:26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T143" s="25"/>
      <c r="U143" s="232"/>
      <c r="V143" s="25"/>
      <c r="W143" s="232"/>
      <c r="X143" s="25"/>
      <c r="Y143" s="232"/>
      <c r="Z143" s="232"/>
    </row>
    <row r="144" spans="4:26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T144" s="25"/>
      <c r="U144" s="232"/>
      <c r="V144" s="25"/>
      <c r="W144" s="232"/>
      <c r="X144" s="25"/>
      <c r="Y144" s="232"/>
      <c r="Z144" s="232"/>
    </row>
    <row r="145" spans="4:26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T145" s="25"/>
      <c r="U145" s="232"/>
      <c r="V145" s="25"/>
      <c r="W145" s="232"/>
      <c r="X145" s="25"/>
      <c r="Y145" s="232"/>
      <c r="Z145" s="232"/>
    </row>
    <row r="146" spans="4:26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T146" s="25"/>
      <c r="U146" s="232"/>
      <c r="V146" s="25"/>
      <c r="W146" s="232"/>
      <c r="X146" s="25"/>
      <c r="Y146" s="232"/>
      <c r="Z146" s="232"/>
    </row>
    <row r="147" spans="4:26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T147" s="25"/>
      <c r="U147" s="232"/>
      <c r="V147" s="25"/>
      <c r="W147" s="232"/>
      <c r="X147" s="25"/>
      <c r="Y147" s="232"/>
      <c r="Z147" s="232"/>
    </row>
    <row r="148" spans="4:26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T148" s="25"/>
      <c r="U148" s="232"/>
      <c r="V148" s="25"/>
      <c r="W148" s="232"/>
      <c r="X148" s="25"/>
      <c r="Y148" s="232"/>
      <c r="Z148" s="232"/>
    </row>
    <row r="149" spans="4:26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T149" s="25"/>
      <c r="U149" s="232"/>
      <c r="V149" s="25"/>
      <c r="W149" s="232"/>
      <c r="X149" s="25"/>
      <c r="Y149" s="232"/>
      <c r="Z149" s="232"/>
    </row>
    <row r="150" spans="4:26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T150" s="25"/>
      <c r="U150" s="232"/>
      <c r="V150" s="25"/>
      <c r="W150" s="232"/>
      <c r="X150" s="25"/>
      <c r="Y150" s="232"/>
      <c r="Z150" s="232"/>
    </row>
    <row r="151" spans="4:26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T151" s="25"/>
      <c r="U151" s="232"/>
      <c r="V151" s="25"/>
      <c r="W151" s="232"/>
      <c r="X151" s="25"/>
      <c r="Y151" s="232"/>
      <c r="Z151" s="232"/>
    </row>
    <row r="152" spans="4:26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T152" s="25"/>
      <c r="U152" s="232"/>
      <c r="V152" s="25"/>
      <c r="W152" s="232"/>
      <c r="X152" s="25"/>
      <c r="Y152" s="232"/>
      <c r="Z152" s="232"/>
    </row>
    <row r="153" spans="4:26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T153" s="25"/>
      <c r="U153" s="232"/>
      <c r="V153" s="25"/>
      <c r="W153" s="232"/>
      <c r="X153" s="25"/>
      <c r="Y153" s="232"/>
      <c r="Z153" s="232"/>
    </row>
    <row r="154" spans="4:26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T154" s="25"/>
      <c r="U154" s="232"/>
      <c r="V154" s="25"/>
      <c r="W154" s="232"/>
      <c r="X154" s="25"/>
      <c r="Y154" s="232"/>
      <c r="Z154" s="232"/>
    </row>
    <row r="155" spans="4:26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T155" s="25"/>
      <c r="U155" s="232"/>
      <c r="V155" s="25"/>
      <c r="W155" s="232"/>
      <c r="X155" s="25"/>
      <c r="Y155" s="232"/>
      <c r="Z155" s="232"/>
    </row>
    <row r="156" spans="4:26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T156" s="25"/>
      <c r="U156" s="232"/>
      <c r="V156" s="25"/>
      <c r="W156" s="232"/>
      <c r="X156" s="25"/>
      <c r="Y156" s="232"/>
      <c r="Z156" s="232"/>
    </row>
    <row r="157" spans="4:26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T157" s="25"/>
      <c r="U157" s="232"/>
      <c r="V157" s="25"/>
      <c r="W157" s="232"/>
      <c r="X157" s="25"/>
      <c r="Y157" s="232"/>
      <c r="Z157" s="232"/>
    </row>
    <row r="158" spans="4:26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T158" s="25"/>
      <c r="U158" s="232"/>
      <c r="V158" s="25"/>
      <c r="W158" s="232"/>
      <c r="X158" s="25"/>
      <c r="Y158" s="232"/>
      <c r="Z158" s="232"/>
    </row>
    <row r="159" spans="4:26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T159" s="25"/>
      <c r="U159" s="232"/>
      <c r="V159" s="25"/>
      <c r="W159" s="232"/>
      <c r="X159" s="25"/>
      <c r="Y159" s="232"/>
      <c r="Z159" s="232"/>
    </row>
    <row r="160" spans="4:26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T160" s="25"/>
      <c r="U160" s="232"/>
      <c r="V160" s="25"/>
      <c r="W160" s="232"/>
      <c r="X160" s="25"/>
      <c r="Y160" s="232"/>
      <c r="Z160" s="232"/>
    </row>
    <row r="161" spans="4:26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T161" s="25"/>
      <c r="U161" s="232"/>
      <c r="V161" s="25"/>
      <c r="W161" s="232"/>
      <c r="X161" s="25"/>
      <c r="Y161" s="232"/>
      <c r="Z161" s="232"/>
    </row>
    <row r="162" spans="4:26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T162" s="25"/>
      <c r="U162" s="232"/>
      <c r="V162" s="25"/>
      <c r="W162" s="232"/>
      <c r="X162" s="25"/>
      <c r="Y162" s="232"/>
      <c r="Z162" s="232"/>
    </row>
    <row r="163" spans="4:26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T163" s="25"/>
      <c r="U163" s="232"/>
      <c r="V163" s="25"/>
      <c r="W163" s="232"/>
      <c r="X163" s="25"/>
      <c r="Y163" s="232"/>
      <c r="Z163" s="232"/>
    </row>
    <row r="164" spans="4:26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T164" s="25"/>
      <c r="U164" s="232"/>
      <c r="V164" s="25"/>
      <c r="W164" s="232"/>
      <c r="X164" s="25"/>
      <c r="Y164" s="232"/>
      <c r="Z164" s="232"/>
    </row>
    <row r="165" spans="4:26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T165" s="25"/>
      <c r="U165" s="232"/>
      <c r="V165" s="25"/>
      <c r="W165" s="232"/>
      <c r="X165" s="25"/>
      <c r="Y165" s="232"/>
      <c r="Z165" s="232"/>
    </row>
    <row r="166" spans="4:26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T166" s="25"/>
      <c r="U166" s="232"/>
      <c r="V166" s="25"/>
      <c r="W166" s="232"/>
      <c r="X166" s="25"/>
      <c r="Y166" s="232"/>
      <c r="Z166" s="232"/>
    </row>
    <row r="167" spans="4:26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T167" s="25"/>
      <c r="U167" s="232"/>
      <c r="V167" s="25"/>
      <c r="W167" s="232"/>
      <c r="X167" s="25"/>
      <c r="Y167" s="232"/>
      <c r="Z167" s="232"/>
    </row>
    <row r="168" spans="4:26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T168" s="25"/>
      <c r="U168" s="232"/>
      <c r="V168" s="25"/>
      <c r="W168" s="232"/>
      <c r="X168" s="25"/>
      <c r="Y168" s="232"/>
      <c r="Z168" s="232"/>
    </row>
    <row r="169" spans="4:26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T169" s="25"/>
      <c r="U169" s="232"/>
      <c r="V169" s="25"/>
      <c r="W169" s="232"/>
      <c r="X169" s="25"/>
      <c r="Y169" s="232"/>
      <c r="Z169" s="232"/>
    </row>
    <row r="170" spans="4:26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T170" s="25"/>
      <c r="U170" s="232"/>
      <c r="V170" s="25"/>
      <c r="W170" s="232"/>
      <c r="X170" s="25"/>
      <c r="Y170" s="232"/>
      <c r="Z170" s="232"/>
    </row>
    <row r="171" spans="4:26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T171" s="25"/>
      <c r="U171" s="232"/>
      <c r="V171" s="25"/>
      <c r="W171" s="232"/>
      <c r="X171" s="25"/>
      <c r="Y171" s="232"/>
      <c r="Z171" s="232"/>
    </row>
    <row r="172" spans="4:26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T172" s="25"/>
      <c r="U172" s="232"/>
      <c r="V172" s="25"/>
      <c r="W172" s="232"/>
      <c r="X172" s="25"/>
      <c r="Y172" s="232"/>
      <c r="Z172" s="232"/>
    </row>
    <row r="173" spans="4:26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T173" s="25"/>
      <c r="U173" s="232"/>
      <c r="V173" s="25"/>
      <c r="W173" s="232"/>
      <c r="X173" s="25"/>
      <c r="Y173" s="232"/>
      <c r="Z173" s="232"/>
    </row>
    <row r="174" spans="4:26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T174" s="25"/>
      <c r="U174" s="232"/>
      <c r="V174" s="25"/>
      <c r="W174" s="232"/>
      <c r="X174" s="25"/>
      <c r="Y174" s="232"/>
      <c r="Z174" s="232"/>
    </row>
    <row r="175" spans="4:26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T175" s="25"/>
      <c r="U175" s="232"/>
      <c r="V175" s="25"/>
      <c r="W175" s="232"/>
      <c r="X175" s="25"/>
      <c r="Y175" s="232"/>
      <c r="Z175" s="232"/>
    </row>
    <row r="176" spans="4:26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30"/>
      <c r="T176" s="25"/>
      <c r="U176" s="232"/>
      <c r="V176" s="25"/>
      <c r="W176" s="232"/>
      <c r="X176" s="25"/>
      <c r="Y176" s="232"/>
      <c r="Z176" s="232"/>
    </row>
    <row r="177" spans="4:26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30"/>
      <c r="T177" s="25"/>
      <c r="U177" s="232"/>
      <c r="V177" s="25"/>
      <c r="W177" s="232"/>
      <c r="X177" s="25"/>
      <c r="Y177" s="232"/>
      <c r="Z177" s="232"/>
    </row>
    <row r="178" spans="4:26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30"/>
      <c r="T178" s="25"/>
      <c r="U178" s="232"/>
      <c r="V178" s="25"/>
      <c r="W178" s="232"/>
      <c r="X178" s="25"/>
      <c r="Y178" s="232"/>
      <c r="Z178" s="232"/>
    </row>
    <row r="179" spans="4:26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30"/>
      <c r="T179" s="25"/>
      <c r="U179" s="232"/>
      <c r="V179" s="25"/>
      <c r="W179" s="232"/>
      <c r="X179" s="25"/>
      <c r="Y179" s="232"/>
      <c r="Z179" s="232"/>
    </row>
    <row r="180" spans="4:26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T180" s="25"/>
      <c r="U180" s="232"/>
      <c r="V180" s="25"/>
      <c r="W180" s="232"/>
      <c r="X180" s="25"/>
      <c r="Y180" s="232"/>
      <c r="Z180" s="232"/>
    </row>
    <row r="181" spans="4:26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T181" s="25"/>
      <c r="U181" s="232"/>
      <c r="V181" s="25"/>
      <c r="W181" s="232"/>
      <c r="X181" s="25"/>
      <c r="Y181" s="232"/>
      <c r="Z181" s="232"/>
    </row>
    <row r="182" spans="4:26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T182" s="25"/>
      <c r="U182" s="232"/>
      <c r="V182" s="25"/>
      <c r="W182" s="232"/>
      <c r="X182" s="25"/>
      <c r="Y182" s="232"/>
      <c r="Z182" s="232"/>
    </row>
    <row r="183" spans="4:26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T183" s="25"/>
      <c r="U183" s="232"/>
      <c r="V183" s="25"/>
      <c r="W183" s="232"/>
      <c r="X183" s="25"/>
      <c r="Y183" s="232"/>
      <c r="Z183" s="232"/>
    </row>
    <row r="184" spans="4:26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29"/>
      <c r="Q184" s="29"/>
      <c r="R184" s="29"/>
      <c r="S184" s="29"/>
      <c r="T184" s="25"/>
      <c r="U184" s="232"/>
      <c r="V184" s="25"/>
      <c r="W184" s="232"/>
      <c r="X184" s="25"/>
      <c r="Y184" s="232"/>
      <c r="Z184" s="232"/>
    </row>
    <row r="185" spans="4:26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29"/>
      <c r="Q185" s="29"/>
      <c r="R185" s="29"/>
      <c r="S185" s="29"/>
      <c r="T185" s="25"/>
      <c r="U185" s="232"/>
      <c r="V185" s="25"/>
      <c r="W185" s="232"/>
      <c r="X185" s="25"/>
      <c r="Y185" s="232"/>
      <c r="Z185" s="232"/>
    </row>
    <row r="186" spans="4:26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29"/>
      <c r="Q186" s="29"/>
      <c r="R186" s="29"/>
      <c r="S186" s="29"/>
      <c r="T186" s="25"/>
      <c r="U186" s="232"/>
      <c r="V186" s="25"/>
      <c r="W186" s="232"/>
      <c r="X186" s="25"/>
      <c r="Y186" s="232"/>
      <c r="Z186" s="232"/>
    </row>
    <row r="187" spans="4:26">
      <c r="F187" s="496"/>
      <c r="H187" s="496"/>
      <c r="J187" s="496"/>
      <c r="L187" s="496"/>
      <c r="N187" s="496"/>
      <c r="T187" s="27"/>
      <c r="V187" s="27"/>
      <c r="X187" s="27"/>
    </row>
    <row r="188" spans="4:26">
      <c r="F188" s="496"/>
      <c r="H188" s="496"/>
      <c r="J188" s="496"/>
      <c r="L188" s="496"/>
      <c r="N188" s="496"/>
      <c r="T188" s="27"/>
      <c r="V188" s="27"/>
      <c r="X188" s="27"/>
    </row>
    <row r="189" spans="4:26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22"/>
      <c r="U189" s="422"/>
      <c r="V189" s="422"/>
      <c r="W189" s="422"/>
      <c r="X189" s="422"/>
      <c r="Y189" s="422"/>
      <c r="Z189" s="422"/>
    </row>
    <row r="190" spans="4:26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22"/>
      <c r="U190" s="422"/>
      <c r="V190" s="422"/>
      <c r="W190" s="422"/>
      <c r="X190" s="422"/>
      <c r="Y190" s="422"/>
      <c r="Z190" s="422"/>
    </row>
    <row r="191" spans="4:26">
      <c r="D191" s="493" t="s">
        <v>3701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23"/>
      <c r="U191" s="423"/>
      <c r="V191" s="423"/>
      <c r="W191" s="423"/>
      <c r="X191" s="423"/>
      <c r="Y191" s="423"/>
      <c r="Z191" s="423"/>
    </row>
    <row r="192" spans="4:26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1"/>
      <c r="Q192" s="31"/>
      <c r="R192" s="31"/>
      <c r="S192" s="31"/>
      <c r="T192" s="3"/>
      <c r="U192" s="3"/>
      <c r="V192" s="3"/>
      <c r="W192" s="3"/>
      <c r="X192" s="3"/>
      <c r="Y192" s="32" t="s">
        <v>1712</v>
      </c>
      <c r="Z192" s="32"/>
    </row>
    <row r="193" spans="1:26" ht="15">
      <c r="D193" s="3"/>
      <c r="E193" s="32" t="s">
        <v>3702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3703</v>
      </c>
      <c r="P193" s="34"/>
      <c r="Q193" s="34"/>
      <c r="R193" s="34"/>
      <c r="S193" s="34"/>
      <c r="T193" s="32"/>
      <c r="U193" s="32"/>
      <c r="V193" s="32"/>
      <c r="W193" s="32"/>
      <c r="X193" s="32"/>
      <c r="Y193" s="32" t="s">
        <v>3703</v>
      </c>
      <c r="Z193" s="4"/>
    </row>
    <row r="194" spans="1:26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1"/>
      <c r="R194" s="31"/>
      <c r="S194" s="34" t="s">
        <v>5</v>
      </c>
      <c r="T194" s="31"/>
      <c r="U194" s="231" t="s">
        <v>1201</v>
      </c>
      <c r="V194" s="5"/>
      <c r="W194" s="231" t="s">
        <v>11</v>
      </c>
      <c r="X194" s="5"/>
      <c r="Y194" s="6" t="s">
        <v>4</v>
      </c>
      <c r="Z194" s="6"/>
    </row>
    <row r="195" spans="1:26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5"/>
      <c r="Q195" s="35" t="s">
        <v>11</v>
      </c>
      <c r="R195" s="5"/>
      <c r="S195" s="35" t="s">
        <v>12</v>
      </c>
      <c r="T195" s="31"/>
      <c r="U195" s="10" t="s">
        <v>1202</v>
      </c>
      <c r="V195" s="5"/>
      <c r="W195" s="10" t="s">
        <v>2172</v>
      </c>
      <c r="X195" s="5"/>
      <c r="Y195" s="10" t="s">
        <v>6</v>
      </c>
      <c r="Z195" s="10" t="s">
        <v>13</v>
      </c>
    </row>
    <row r="196" spans="1:26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5"/>
      <c r="Q196" s="5"/>
      <c r="R196" s="5"/>
      <c r="S196" s="5"/>
      <c r="T196" s="31"/>
      <c r="U196" s="36"/>
      <c r="V196" s="31"/>
      <c r="W196" s="36"/>
      <c r="X196" s="31"/>
      <c r="Y196" s="36"/>
      <c r="Z196" s="36"/>
    </row>
    <row r="197" spans="1:26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5"/>
      <c r="Q197" s="5"/>
      <c r="R197" s="5"/>
      <c r="S197" s="5"/>
      <c r="T197" s="31"/>
      <c r="U197" s="26"/>
      <c r="V197" s="31"/>
      <c r="W197" s="26"/>
      <c r="X197" s="31"/>
      <c r="Y197" s="26"/>
      <c r="Z197" s="26"/>
    </row>
    <row r="198" spans="1:26">
      <c r="D198" s="34" t="s">
        <v>16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31"/>
      <c r="R198" s="31"/>
      <c r="S198" s="31"/>
      <c r="T198" s="37"/>
      <c r="U198" s="26"/>
      <c r="V198" s="37"/>
      <c r="W198" s="26"/>
      <c r="X198" s="37"/>
      <c r="Y198" s="26"/>
      <c r="Z198" s="26"/>
    </row>
    <row r="199" spans="1:26">
      <c r="A199" s="2" t="s">
        <v>101</v>
      </c>
      <c r="B199" s="2" t="s">
        <v>2653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38">
        <v>-72160.415728000007</v>
      </c>
      <c r="R199" s="31"/>
      <c r="S199" s="38">
        <v>233327.48427200003</v>
      </c>
      <c r="T199" s="37"/>
      <c r="U199" s="17">
        <v>0</v>
      </c>
      <c r="V199" s="18"/>
      <c r="W199" s="17">
        <v>-72160.415728000007</v>
      </c>
      <c r="X199" s="18"/>
      <c r="Y199" s="17">
        <v>305487.90000000002</v>
      </c>
      <c r="Z199" s="17">
        <v>0</v>
      </c>
    </row>
    <row r="200" spans="1:26">
      <c r="A200" s="2" t="s">
        <v>101</v>
      </c>
      <c r="B200" s="2" t="s">
        <v>2653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38">
        <v>0</v>
      </c>
      <c r="R200" s="31"/>
      <c r="S200" s="38">
        <v>0</v>
      </c>
      <c r="T200" s="37"/>
      <c r="U200" s="26">
        <v>0</v>
      </c>
      <c r="V200" s="37"/>
      <c r="W200" s="26">
        <v>0</v>
      </c>
      <c r="X200" s="37"/>
      <c r="Y200" s="26">
        <v>0</v>
      </c>
      <c r="Z200" s="26">
        <v>0</v>
      </c>
    </row>
    <row r="201" spans="1:26">
      <c r="A201" s="2" t="s">
        <v>101</v>
      </c>
      <c r="B201" s="2" t="s">
        <v>2653</v>
      </c>
      <c r="C201" s="2" t="str">
        <f t="shared" si="11"/>
        <v>361</v>
      </c>
      <c r="D201" s="31" t="s">
        <v>19</v>
      </c>
      <c r="E201" s="26">
        <v>661354.46</v>
      </c>
      <c r="F201" s="37"/>
      <c r="G201" s="26">
        <v>-9089</v>
      </c>
      <c r="H201" s="37"/>
      <c r="I201" s="26">
        <v>0</v>
      </c>
      <c r="J201" s="37"/>
      <c r="K201" s="26">
        <v>0</v>
      </c>
      <c r="L201" s="37"/>
      <c r="M201" s="26">
        <v>-9089</v>
      </c>
      <c r="N201" s="37"/>
      <c r="O201" s="26">
        <v>652265.46</v>
      </c>
      <c r="P201" s="37"/>
      <c r="Q201" s="38">
        <v>-175431.399299299</v>
      </c>
      <c r="R201" s="31"/>
      <c r="S201" s="38">
        <v>476834.06070070097</v>
      </c>
      <c r="T201" s="37"/>
      <c r="U201" s="26">
        <v>2.2450710439325576E-13</v>
      </c>
      <c r="V201" s="37"/>
      <c r="W201" s="26">
        <v>-175431.399299299</v>
      </c>
      <c r="X201" s="37"/>
      <c r="Y201" s="26">
        <v>652265.46</v>
      </c>
      <c r="Z201" s="26">
        <v>0</v>
      </c>
    </row>
    <row r="202" spans="1:26" s="9" customFormat="1">
      <c r="A202" s="2" t="s">
        <v>101</v>
      </c>
      <c r="B202" s="2" t="s">
        <v>2653</v>
      </c>
      <c r="C202" s="2" t="str">
        <f t="shared" si="11"/>
        <v>362</v>
      </c>
      <c r="D202" s="31" t="s">
        <v>20</v>
      </c>
      <c r="E202" s="26">
        <v>8780326.1099999994</v>
      </c>
      <c r="F202" s="37"/>
      <c r="G202" s="26">
        <v>448917.23000000004</v>
      </c>
      <c r="H202" s="37"/>
      <c r="I202" s="26">
        <v>-10558.71</v>
      </c>
      <c r="J202" s="37"/>
      <c r="K202" s="26">
        <v>0</v>
      </c>
      <c r="L202" s="37"/>
      <c r="M202" s="26">
        <v>438358.52</v>
      </c>
      <c r="N202" s="37"/>
      <c r="O202" s="26">
        <v>9218684.629999999</v>
      </c>
      <c r="P202" s="37"/>
      <c r="Q202" s="38">
        <v>-3422188.3778114901</v>
      </c>
      <c r="R202" s="31"/>
      <c r="S202" s="38">
        <v>5796496.2521885093</v>
      </c>
      <c r="T202" s="37"/>
      <c r="U202" s="26">
        <v>-1.1088690441142174E-11</v>
      </c>
      <c r="V202" s="37"/>
      <c r="W202" s="26">
        <v>-3422188.3778114901</v>
      </c>
      <c r="X202" s="37"/>
      <c r="Y202" s="26">
        <v>9218684.629999999</v>
      </c>
      <c r="Z202" s="26">
        <v>0</v>
      </c>
    </row>
    <row r="203" spans="1:26">
      <c r="A203" s="2" t="s">
        <v>101</v>
      </c>
      <c r="B203" s="2" t="s">
        <v>2653</v>
      </c>
      <c r="C203" s="2" t="str">
        <f t="shared" si="11"/>
        <v>364</v>
      </c>
      <c r="D203" s="31" t="s">
        <v>21</v>
      </c>
      <c r="E203" s="26">
        <v>32501814.470000003</v>
      </c>
      <c r="F203" s="37"/>
      <c r="G203" s="26">
        <v>689212.79999999958</v>
      </c>
      <c r="H203" s="37"/>
      <c r="I203" s="26">
        <v>-53758.249999999898</v>
      </c>
      <c r="J203" s="37"/>
      <c r="K203" s="26">
        <v>0</v>
      </c>
      <c r="L203" s="37"/>
      <c r="M203" s="26">
        <v>635454.5499999997</v>
      </c>
      <c r="N203" s="37"/>
      <c r="O203" s="26">
        <v>33137269.020000003</v>
      </c>
      <c r="P203" s="37"/>
      <c r="Q203" s="38">
        <v>-13792080.8703769</v>
      </c>
      <c r="R203" s="31"/>
      <c r="S203" s="38">
        <v>19345188.149623103</v>
      </c>
      <c r="T203" s="37"/>
      <c r="U203" s="26">
        <v>-1.7024223791260648E-11</v>
      </c>
      <c r="V203" s="37"/>
      <c r="W203" s="26">
        <v>-13792080.8703769</v>
      </c>
      <c r="X203" s="37"/>
      <c r="Y203" s="26">
        <v>33137269.02</v>
      </c>
      <c r="Z203" s="26">
        <v>0</v>
      </c>
    </row>
    <row r="204" spans="1:26">
      <c r="A204" s="2" t="s">
        <v>101</v>
      </c>
      <c r="B204" s="2" t="s">
        <v>2653</v>
      </c>
      <c r="C204" s="2" t="str">
        <f t="shared" si="11"/>
        <v>365</v>
      </c>
      <c r="D204" s="31" t="s">
        <v>22</v>
      </c>
      <c r="E204" s="26">
        <v>28721594.939999998</v>
      </c>
      <c r="F204" s="37"/>
      <c r="G204" s="26">
        <v>1569618.5599999989</v>
      </c>
      <c r="H204" s="37"/>
      <c r="I204" s="26">
        <v>-200144.98000000004</v>
      </c>
      <c r="J204" s="37"/>
      <c r="K204" s="26">
        <v>0</v>
      </c>
      <c r="L204" s="37"/>
      <c r="M204" s="26">
        <v>1369473.5799999989</v>
      </c>
      <c r="N204" s="37"/>
      <c r="O204" s="26">
        <v>30091068.519999996</v>
      </c>
      <c r="P204" s="37"/>
      <c r="Q204" s="38">
        <v>-8829170.6639999989</v>
      </c>
      <c r="R204" s="31"/>
      <c r="S204" s="38">
        <v>21261897.855999999</v>
      </c>
      <c r="T204" s="37"/>
      <c r="U204" s="26">
        <v>-3.8771098900595392E-11</v>
      </c>
      <c r="V204" s="37"/>
      <c r="W204" s="26">
        <v>-8829170.6639999989</v>
      </c>
      <c r="X204" s="37"/>
      <c r="Y204" s="26">
        <v>30091068.52</v>
      </c>
      <c r="Z204" s="26">
        <v>0</v>
      </c>
    </row>
    <row r="205" spans="1:26">
      <c r="A205" s="2" t="s">
        <v>101</v>
      </c>
      <c r="B205" s="2" t="s">
        <v>2653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13">
        <v>0</v>
      </c>
      <c r="R205" s="5"/>
      <c r="S205" s="13">
        <v>0</v>
      </c>
      <c r="T205" s="39"/>
      <c r="U205" s="7">
        <v>0</v>
      </c>
      <c r="V205" s="39"/>
      <c r="W205" s="7">
        <v>0</v>
      </c>
      <c r="X205" s="39"/>
      <c r="Y205" s="7">
        <v>0</v>
      </c>
      <c r="Z205" s="7">
        <v>0</v>
      </c>
    </row>
    <row r="206" spans="1:26">
      <c r="A206" s="2" t="s">
        <v>101</v>
      </c>
      <c r="B206" s="2" t="s">
        <v>2653</v>
      </c>
      <c r="C206" s="2" t="str">
        <f t="shared" si="11"/>
        <v>367</v>
      </c>
      <c r="D206" s="31" t="s">
        <v>24</v>
      </c>
      <c r="E206" s="26">
        <v>4579746.04</v>
      </c>
      <c r="F206" s="37"/>
      <c r="G206" s="26">
        <v>388298.03999999986</v>
      </c>
      <c r="H206" s="37"/>
      <c r="I206" s="26">
        <v>-2668.7599999999998</v>
      </c>
      <c r="J206" s="37"/>
      <c r="K206" s="26">
        <v>0</v>
      </c>
      <c r="L206" s="37"/>
      <c r="M206" s="26">
        <v>385629.27999999985</v>
      </c>
      <c r="N206" s="37"/>
      <c r="O206" s="26">
        <v>4965375.32</v>
      </c>
      <c r="P206" s="37"/>
      <c r="Q206" s="38">
        <v>-889668.78449259896</v>
      </c>
      <c r="R206" s="31"/>
      <c r="S206" s="38">
        <v>4075706.5355074015</v>
      </c>
      <c r="T206" s="37"/>
      <c r="U206" s="26">
        <v>-9.5913377271401231E-12</v>
      </c>
      <c r="V206" s="37"/>
      <c r="W206" s="26">
        <v>-889668.78449259896</v>
      </c>
      <c r="X206" s="37"/>
      <c r="Y206" s="26">
        <v>4965375.3199999901</v>
      </c>
      <c r="Z206" s="26">
        <v>-1.0244548320770264E-8</v>
      </c>
    </row>
    <row r="207" spans="1:26">
      <c r="A207" s="2" t="s">
        <v>101</v>
      </c>
      <c r="B207" s="2" t="s">
        <v>2653</v>
      </c>
      <c r="C207" s="2" t="str">
        <f t="shared" si="11"/>
        <v>368</v>
      </c>
      <c r="D207" s="31" t="s">
        <v>25</v>
      </c>
      <c r="E207" s="26">
        <v>11017690.640000001</v>
      </c>
      <c r="F207" s="37"/>
      <c r="G207" s="26">
        <v>13495.099999999999</v>
      </c>
      <c r="H207" s="37"/>
      <c r="I207" s="26">
        <v>0</v>
      </c>
      <c r="J207" s="37"/>
      <c r="K207" s="26">
        <v>0</v>
      </c>
      <c r="L207" s="37"/>
      <c r="M207" s="26">
        <v>13495.099999999999</v>
      </c>
      <c r="N207" s="37"/>
      <c r="O207" s="26">
        <v>11031185.74</v>
      </c>
      <c r="P207" s="37"/>
      <c r="Q207" s="38">
        <v>-5815347.0888004908</v>
      </c>
      <c r="R207" s="31"/>
      <c r="S207" s="38">
        <v>5215838.6511995094</v>
      </c>
      <c r="T207" s="37"/>
      <c r="U207" s="26">
        <v>-3.3334204252364677E-13</v>
      </c>
      <c r="V207" s="37"/>
      <c r="W207" s="26">
        <v>-5815347.0888004908</v>
      </c>
      <c r="X207" s="37"/>
      <c r="Y207" s="26">
        <v>11031185.74</v>
      </c>
      <c r="Z207" s="26">
        <v>0</v>
      </c>
    </row>
    <row r="208" spans="1:26">
      <c r="A208" s="2" t="s">
        <v>101</v>
      </c>
      <c r="B208" s="2" t="s">
        <v>2653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38">
        <v>-4530407.6667459905</v>
      </c>
      <c r="R208" s="31"/>
      <c r="S208" s="38">
        <v>1776065.5532540092</v>
      </c>
      <c r="T208" s="37"/>
      <c r="U208" s="26">
        <v>0</v>
      </c>
      <c r="V208" s="37"/>
      <c r="W208" s="26">
        <v>-4530407.6667459905</v>
      </c>
      <c r="X208" s="37"/>
      <c r="Y208" s="26">
        <v>6306473.2199999997</v>
      </c>
      <c r="Z208" s="26">
        <v>0</v>
      </c>
    </row>
    <row r="209" spans="1:26">
      <c r="A209" s="2" t="s">
        <v>101</v>
      </c>
      <c r="B209" s="2" t="s">
        <v>2653</v>
      </c>
      <c r="C209" s="2" t="str">
        <f t="shared" si="11"/>
        <v>370</v>
      </c>
      <c r="D209" s="31" t="s">
        <v>27</v>
      </c>
      <c r="E209" s="26">
        <v>3882365.64</v>
      </c>
      <c r="F209" s="37"/>
      <c r="G209" s="26">
        <v>305115.20999999996</v>
      </c>
      <c r="H209" s="37"/>
      <c r="I209" s="26">
        <v>0</v>
      </c>
      <c r="J209" s="37"/>
      <c r="K209" s="26">
        <v>0</v>
      </c>
      <c r="L209" s="37"/>
      <c r="M209" s="26">
        <v>305115.20999999996</v>
      </c>
      <c r="N209" s="37"/>
      <c r="O209" s="26">
        <v>4187480.85</v>
      </c>
      <c r="P209" s="37"/>
      <c r="Q209" s="38">
        <v>-2957150.7981460001</v>
      </c>
      <c r="R209" s="31"/>
      <c r="S209" s="38">
        <v>1230330.051854</v>
      </c>
      <c r="T209" s="37"/>
      <c r="U209" s="26">
        <v>-7.5366412480405049E-12</v>
      </c>
      <c r="V209" s="37"/>
      <c r="W209" s="26">
        <v>-2957150.7981460001</v>
      </c>
      <c r="X209" s="37"/>
      <c r="Y209" s="26">
        <v>4187480.85</v>
      </c>
      <c r="Z209" s="26">
        <v>0</v>
      </c>
    </row>
    <row r="210" spans="1:26">
      <c r="A210" s="9" t="s">
        <v>101</v>
      </c>
      <c r="B210" s="2" t="s">
        <v>2653</v>
      </c>
      <c r="C210" s="9"/>
      <c r="D210" s="5" t="s">
        <v>2382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13">
        <v>0</v>
      </c>
      <c r="R210" s="5"/>
      <c r="S210" s="13">
        <v>0</v>
      </c>
      <c r="T210" s="39"/>
      <c r="U210" s="7">
        <v>0</v>
      </c>
      <c r="V210" s="39"/>
      <c r="W210" s="7">
        <v>0</v>
      </c>
      <c r="X210" s="39"/>
      <c r="Y210" s="7">
        <v>0</v>
      </c>
      <c r="Z210" s="7">
        <v>0</v>
      </c>
    </row>
    <row r="211" spans="1:26">
      <c r="A211" s="2" t="s">
        <v>101</v>
      </c>
      <c r="B211" s="2" t="s">
        <v>2653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37"/>
      <c r="Q211" s="38">
        <v>0</v>
      </c>
      <c r="R211" s="31"/>
      <c r="S211" s="38">
        <v>0</v>
      </c>
      <c r="T211" s="40"/>
      <c r="U211" s="26">
        <v>0</v>
      </c>
      <c r="V211" s="40"/>
      <c r="W211" s="26">
        <v>0</v>
      </c>
      <c r="X211" s="40"/>
      <c r="Y211" s="26">
        <v>0</v>
      </c>
      <c r="Z211" s="26">
        <v>0</v>
      </c>
    </row>
    <row r="212" spans="1:26">
      <c r="A212" s="2" t="s">
        <v>101</v>
      </c>
      <c r="B212" s="2" t="s">
        <v>2653</v>
      </c>
      <c r="C212" s="2" t="str">
        <f t="shared" si="12"/>
        <v>373</v>
      </c>
      <c r="D212" s="31" t="s">
        <v>29</v>
      </c>
      <c r="E212" s="41">
        <v>3928027.52</v>
      </c>
      <c r="F212" s="40"/>
      <c r="G212" s="41">
        <v>190155.08999999979</v>
      </c>
      <c r="H212" s="40"/>
      <c r="I212" s="41">
        <v>-33402.69</v>
      </c>
      <c r="J212" s="40"/>
      <c r="K212" s="41">
        <v>0</v>
      </c>
      <c r="L212" s="40"/>
      <c r="M212" s="41">
        <v>156752.39999999979</v>
      </c>
      <c r="N212" s="40"/>
      <c r="O212" s="41">
        <v>4084779.92</v>
      </c>
      <c r="P212" s="37"/>
      <c r="Q212" s="42">
        <v>-2114740.78894589</v>
      </c>
      <c r="R212" s="31"/>
      <c r="S212" s="42">
        <v>1970039.1310541099</v>
      </c>
      <c r="T212" s="40"/>
      <c r="U212" s="41">
        <v>-4.6970149237032567E-12</v>
      </c>
      <c r="V212" s="40"/>
      <c r="W212" s="41">
        <v>-2114740.78894589</v>
      </c>
      <c r="X212" s="40"/>
      <c r="Y212" s="41">
        <v>4084779.92</v>
      </c>
      <c r="Z212" s="41">
        <v>0</v>
      </c>
    </row>
    <row r="213" spans="1:26">
      <c r="B213" s="2" t="s">
        <v>2653</v>
      </c>
      <c r="D213" s="31"/>
      <c r="E213" s="24">
        <v>100684880.94</v>
      </c>
      <c r="F213" s="40"/>
      <c r="G213" s="24">
        <v>3595723.0299999984</v>
      </c>
      <c r="H213" s="40"/>
      <c r="I213" s="24">
        <v>-300533.38999999996</v>
      </c>
      <c r="J213" s="40"/>
      <c r="K213" s="24">
        <v>0</v>
      </c>
      <c r="L213" s="40"/>
      <c r="M213" s="24">
        <v>3295189.6399999983</v>
      </c>
      <c r="N213" s="40"/>
      <c r="O213" s="24">
        <v>103980070.57999998</v>
      </c>
      <c r="P213" s="37"/>
      <c r="Q213" s="24">
        <v>-42598346.854346663</v>
      </c>
      <c r="R213" s="31"/>
      <c r="S213" s="24">
        <v>61381723.725653343</v>
      </c>
      <c r="T213" s="40"/>
      <c r="U213" s="17">
        <v>-8.8817841970012497E-11</v>
      </c>
      <c r="V213" s="40"/>
      <c r="W213" s="24">
        <v>-42598346.854346663</v>
      </c>
      <c r="X213" s="40">
        <v>0</v>
      </c>
      <c r="Y213" s="24">
        <v>103980070.57999998</v>
      </c>
      <c r="Z213" s="24">
        <v>-1.0244548320770264E-8</v>
      </c>
    </row>
    <row r="214" spans="1:26">
      <c r="B214" s="2" t="s">
        <v>2653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37"/>
      <c r="Q214" s="31"/>
      <c r="R214" s="31"/>
      <c r="S214" s="31"/>
      <c r="T214" s="40"/>
      <c r="U214" s="24"/>
      <c r="V214" s="40"/>
      <c r="W214" s="24"/>
      <c r="X214" s="40"/>
      <c r="Y214" s="24"/>
      <c r="Z214" s="24"/>
    </row>
    <row r="215" spans="1:26">
      <c r="B215" s="2" t="s">
        <v>2653</v>
      </c>
      <c r="D215" s="34" t="s">
        <v>32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37"/>
      <c r="Q215" s="31"/>
      <c r="R215" s="31"/>
      <c r="S215" s="31"/>
      <c r="T215" s="40"/>
      <c r="U215" s="24"/>
      <c r="V215" s="40"/>
      <c r="W215" s="24"/>
      <c r="X215" s="40"/>
      <c r="Y215" s="24"/>
      <c r="Z215" s="24"/>
    </row>
    <row r="216" spans="1:26">
      <c r="A216" s="2" t="s">
        <v>101</v>
      </c>
      <c r="B216" s="2" t="s">
        <v>2653</v>
      </c>
      <c r="C216" s="2" t="str">
        <f>MID(D216,2,3)</f>
        <v>389</v>
      </c>
      <c r="D216" s="31" t="s">
        <v>33</v>
      </c>
      <c r="E216" s="24">
        <v>529735.6</v>
      </c>
      <c r="F216" s="40"/>
      <c r="G216" s="24">
        <v>6629.09</v>
      </c>
      <c r="H216" s="40"/>
      <c r="I216" s="24">
        <v>0</v>
      </c>
      <c r="J216" s="40"/>
      <c r="K216" s="24">
        <v>0</v>
      </c>
      <c r="L216" s="40"/>
      <c r="M216" s="24">
        <v>6629.09</v>
      </c>
      <c r="N216" s="40"/>
      <c r="O216" s="24">
        <v>536364.68999999994</v>
      </c>
      <c r="P216" s="37"/>
      <c r="Q216" s="38">
        <v>0</v>
      </c>
      <c r="R216" s="31"/>
      <c r="S216" s="38">
        <v>536364.68999999994</v>
      </c>
      <c r="T216" s="40"/>
      <c r="U216" s="17">
        <v>-55.95841768576873</v>
      </c>
      <c r="V216" s="18"/>
      <c r="W216" s="17">
        <v>-55.95841768576873</v>
      </c>
      <c r="X216" s="18"/>
      <c r="Y216" s="17">
        <v>536364.68999999994</v>
      </c>
      <c r="Z216" s="17">
        <v>0</v>
      </c>
    </row>
    <row r="217" spans="1:26">
      <c r="A217" s="2" t="s">
        <v>101</v>
      </c>
      <c r="B217" s="2" t="s">
        <v>2653</v>
      </c>
      <c r="C217" s="2" t="str">
        <f t="shared" ref="C217:C222" si="13">MID(D217,2,3)</f>
        <v>390</v>
      </c>
      <c r="D217" s="31" t="s">
        <v>34</v>
      </c>
      <c r="E217" s="24">
        <v>6505740.1399999997</v>
      </c>
      <c r="F217" s="40"/>
      <c r="G217" s="24">
        <v>-388881.51999999897</v>
      </c>
      <c r="H217" s="40"/>
      <c r="I217" s="24">
        <v>-12390.2299999999</v>
      </c>
      <c r="J217" s="40"/>
      <c r="K217" s="24">
        <v>0</v>
      </c>
      <c r="L217" s="40"/>
      <c r="M217" s="24">
        <v>-401271.74999999889</v>
      </c>
      <c r="N217" s="40"/>
      <c r="O217" s="24">
        <v>6104468.3900000006</v>
      </c>
      <c r="P217" s="37"/>
      <c r="Q217" s="38">
        <v>-583290.28319999995</v>
      </c>
      <c r="R217" s="31"/>
      <c r="S217" s="38">
        <v>5521178.1068000011</v>
      </c>
      <c r="T217" s="40"/>
      <c r="U217" s="24">
        <v>3282.682016149512</v>
      </c>
      <c r="V217" s="40"/>
      <c r="W217" s="24">
        <v>-580007.60118385043</v>
      </c>
      <c r="X217" s="40"/>
      <c r="Y217" s="24">
        <v>6104468.3899999997</v>
      </c>
      <c r="Z217" s="24">
        <v>0</v>
      </c>
    </row>
    <row r="218" spans="1:26">
      <c r="A218" s="2" t="s">
        <v>101</v>
      </c>
      <c r="B218" s="2" t="s">
        <v>2653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37"/>
      <c r="Q218" s="38">
        <v>0</v>
      </c>
      <c r="R218" s="31"/>
      <c r="S218" s="38">
        <v>0</v>
      </c>
      <c r="T218" s="40"/>
      <c r="U218" s="24">
        <v>0</v>
      </c>
      <c r="V218" s="40"/>
      <c r="W218" s="24">
        <v>0</v>
      </c>
      <c r="X218" s="40"/>
      <c r="Y218" s="24">
        <v>0</v>
      </c>
      <c r="Z218" s="24">
        <v>0</v>
      </c>
    </row>
    <row r="219" spans="1:26">
      <c r="A219" s="2" t="s">
        <v>101</v>
      </c>
      <c r="B219" s="2" t="s">
        <v>2653</v>
      </c>
      <c r="C219" s="2" t="str">
        <f t="shared" si="13"/>
        <v>391</v>
      </c>
      <c r="D219" s="31" t="s">
        <v>36</v>
      </c>
      <c r="E219" s="24">
        <v>1074.0999999999901</v>
      </c>
      <c r="F219" s="40"/>
      <c r="G219" s="24">
        <v>315855.13</v>
      </c>
      <c r="H219" s="40"/>
      <c r="I219" s="24">
        <v>0</v>
      </c>
      <c r="J219" s="40"/>
      <c r="K219" s="24">
        <v>0</v>
      </c>
      <c r="L219" s="40"/>
      <c r="M219" s="24">
        <v>315855.13</v>
      </c>
      <c r="N219" s="40"/>
      <c r="O219" s="24">
        <v>316929.23</v>
      </c>
      <c r="P219" s="37"/>
      <c r="Q219" s="38">
        <v>-9586.507216</v>
      </c>
      <c r="R219" s="31"/>
      <c r="S219" s="38">
        <v>307342.72278399998</v>
      </c>
      <c r="T219" s="40"/>
      <c r="U219" s="24">
        <v>-2666.2412627876197</v>
      </c>
      <c r="V219" s="40"/>
      <c r="W219" s="24">
        <v>-12252.74847878762</v>
      </c>
      <c r="X219" s="40"/>
      <c r="Y219" s="24">
        <v>316929.22999999899</v>
      </c>
      <c r="Z219" s="24">
        <v>-9.8953023552894592E-10</v>
      </c>
    </row>
    <row r="220" spans="1:26">
      <c r="A220" s="2" t="s">
        <v>101</v>
      </c>
      <c r="B220" s="2" t="s">
        <v>2653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37"/>
      <c r="Q220" s="38">
        <v>0</v>
      </c>
      <c r="R220" s="31"/>
      <c r="S220" s="38">
        <v>0</v>
      </c>
      <c r="T220" s="40"/>
      <c r="U220" s="24">
        <v>0</v>
      </c>
      <c r="V220" s="40"/>
      <c r="W220" s="24">
        <v>0</v>
      </c>
      <c r="X220" s="40"/>
      <c r="Y220" s="24">
        <v>0</v>
      </c>
      <c r="Z220" s="24">
        <v>0</v>
      </c>
    </row>
    <row r="221" spans="1:26">
      <c r="A221" s="2" t="s">
        <v>101</v>
      </c>
      <c r="B221" s="2" t="s">
        <v>2653</v>
      </c>
      <c r="C221" s="2" t="str">
        <f t="shared" si="13"/>
        <v>392</v>
      </c>
      <c r="D221" s="31" t="s">
        <v>40</v>
      </c>
      <c r="E221" s="24">
        <v>53959.92</v>
      </c>
      <c r="F221" s="40"/>
      <c r="G221" s="24">
        <v>-3374.8599999999983</v>
      </c>
      <c r="H221" s="40"/>
      <c r="I221" s="24">
        <v>0</v>
      </c>
      <c r="J221" s="40"/>
      <c r="K221" s="24">
        <v>0</v>
      </c>
      <c r="L221" s="40"/>
      <c r="M221" s="24">
        <v>-3374.8599999999983</v>
      </c>
      <c r="N221" s="40"/>
      <c r="O221" s="24">
        <v>50585.06</v>
      </c>
      <c r="P221" s="37"/>
      <c r="Q221" s="38">
        <v>-2899.97284098</v>
      </c>
      <c r="R221" s="31"/>
      <c r="S221" s="38">
        <v>47685.087159019997</v>
      </c>
      <c r="T221" s="40"/>
      <c r="U221" s="24">
        <v>28.488348402419238</v>
      </c>
      <c r="V221" s="40"/>
      <c r="W221" s="24">
        <v>-2871.4844925775806</v>
      </c>
      <c r="X221" s="40"/>
      <c r="Y221" s="24">
        <v>50585.06</v>
      </c>
      <c r="Z221" s="24">
        <v>0</v>
      </c>
    </row>
    <row r="222" spans="1:26">
      <c r="A222" s="2" t="s">
        <v>101</v>
      </c>
      <c r="B222" s="2" t="s">
        <v>2653</v>
      </c>
      <c r="C222" s="2" t="str">
        <f t="shared" si="13"/>
        <v>393</v>
      </c>
      <c r="D222" s="31" t="s">
        <v>42</v>
      </c>
      <c r="E222" s="24">
        <v>876.54999999999905</v>
      </c>
      <c r="F222" s="40"/>
      <c r="G222" s="24">
        <v>0</v>
      </c>
      <c r="H222" s="40"/>
      <c r="I222" s="24">
        <v>-876.54999999999905</v>
      </c>
      <c r="J222" s="40"/>
      <c r="K222" s="24">
        <v>0</v>
      </c>
      <c r="L222" s="40"/>
      <c r="M222" s="24">
        <v>-876.54999999999905</v>
      </c>
      <c r="N222" s="40"/>
      <c r="O222" s="24">
        <v>0</v>
      </c>
      <c r="P222" s="37"/>
      <c r="Q222" s="38">
        <v>591.86094166599901</v>
      </c>
      <c r="R222" s="31"/>
      <c r="S222" s="38">
        <v>591.86094166599901</v>
      </c>
      <c r="T222" s="40"/>
      <c r="U222" s="24">
        <v>0</v>
      </c>
      <c r="V222" s="40"/>
      <c r="W222" s="24">
        <v>591.86094166599901</v>
      </c>
      <c r="X222" s="40"/>
      <c r="Y222" s="24">
        <v>0</v>
      </c>
      <c r="Z222" s="24">
        <v>0</v>
      </c>
    </row>
    <row r="223" spans="1:26" s="9" customFormat="1">
      <c r="A223" s="2" t="s">
        <v>101</v>
      </c>
      <c r="B223" s="2" t="s">
        <v>2653</v>
      </c>
      <c r="C223" s="2" t="str">
        <f>MID(D223,2,3)</f>
        <v>394</v>
      </c>
      <c r="D223" s="31" t="s">
        <v>43</v>
      </c>
      <c r="E223" s="24">
        <v>474777.33999999997</v>
      </c>
      <c r="F223" s="40"/>
      <c r="G223" s="24">
        <v>128658.12</v>
      </c>
      <c r="H223" s="40"/>
      <c r="I223" s="24">
        <v>-12158.77999999999</v>
      </c>
      <c r="J223" s="40"/>
      <c r="K223" s="24">
        <v>0</v>
      </c>
      <c r="L223" s="40"/>
      <c r="M223" s="24">
        <v>116499.34000000001</v>
      </c>
      <c r="N223" s="40"/>
      <c r="O223" s="24">
        <v>591276.67999999993</v>
      </c>
      <c r="P223" s="37"/>
      <c r="Q223" s="38">
        <v>-236383.981894</v>
      </c>
      <c r="R223" s="31"/>
      <c r="S223" s="38">
        <v>354892.69810599997</v>
      </c>
      <c r="T223" s="40"/>
      <c r="U223" s="24">
        <v>-1086.0472278436037</v>
      </c>
      <c r="V223" s="40"/>
      <c r="W223" s="24">
        <v>-237470.0291218436</v>
      </c>
      <c r="X223" s="40"/>
      <c r="Y223" s="24">
        <v>591276.679999999</v>
      </c>
      <c r="Z223" s="24">
        <v>-9.3132257461547852E-10</v>
      </c>
    </row>
    <row r="224" spans="1:26">
      <c r="A224" s="2" t="s">
        <v>101</v>
      </c>
      <c r="B224" s="2" t="s">
        <v>2653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37"/>
      <c r="Q224" s="38">
        <v>0</v>
      </c>
      <c r="R224" s="31"/>
      <c r="S224" s="38">
        <v>0</v>
      </c>
      <c r="T224" s="40"/>
      <c r="U224" s="24">
        <v>0</v>
      </c>
      <c r="V224" s="40"/>
      <c r="W224" s="24">
        <v>0</v>
      </c>
      <c r="X224" s="40"/>
      <c r="Y224" s="24">
        <v>0</v>
      </c>
      <c r="Z224" s="24">
        <v>0</v>
      </c>
    </row>
    <row r="225" spans="1:26">
      <c r="A225" s="2" t="s">
        <v>101</v>
      </c>
      <c r="B225" s="2" t="s">
        <v>2653</v>
      </c>
      <c r="C225" s="2" t="str">
        <f>MID(D225,2,3)</f>
        <v>396</v>
      </c>
      <c r="D225" s="31" t="s">
        <v>2384</v>
      </c>
      <c r="E225" s="24">
        <v>474225.31</v>
      </c>
      <c r="F225" s="40"/>
      <c r="G225" s="24">
        <v>39914.449999999997</v>
      </c>
      <c r="H225" s="40"/>
      <c r="I225" s="24">
        <v>0</v>
      </c>
      <c r="J225" s="40"/>
      <c r="K225" s="24">
        <v>0</v>
      </c>
      <c r="L225" s="40"/>
      <c r="M225" s="24">
        <v>39914.449999999997</v>
      </c>
      <c r="N225" s="40"/>
      <c r="O225" s="24">
        <v>514139.76</v>
      </c>
      <c r="P225" s="37"/>
      <c r="Q225" s="38">
        <v>-178208.25822000002</v>
      </c>
      <c r="R225" s="31"/>
      <c r="S225" s="38">
        <v>335931.50177999999</v>
      </c>
      <c r="T225" s="40"/>
      <c r="U225" s="24">
        <v>-336.93153431281388</v>
      </c>
      <c r="V225" s="40"/>
      <c r="W225" s="24">
        <v>-178545.18975431283</v>
      </c>
      <c r="X225" s="40"/>
      <c r="Y225" s="24">
        <v>514139.76</v>
      </c>
      <c r="Z225" s="24">
        <v>0</v>
      </c>
    </row>
    <row r="226" spans="1:26">
      <c r="A226" s="2" t="s">
        <v>101</v>
      </c>
      <c r="B226" s="2" t="s">
        <v>2653</v>
      </c>
      <c r="C226" s="2" t="str">
        <f t="shared" ref="C226:C228" si="14">MID(D226,2,3)</f>
        <v>397</v>
      </c>
      <c r="D226" s="31" t="s">
        <v>2174</v>
      </c>
      <c r="E226" s="24">
        <v>1255080.6399999999</v>
      </c>
      <c r="F226" s="40"/>
      <c r="G226" s="24">
        <v>283246.64999999997</v>
      </c>
      <c r="H226" s="40"/>
      <c r="I226" s="24">
        <v>0</v>
      </c>
      <c r="J226" s="40"/>
      <c r="K226" s="24">
        <v>0</v>
      </c>
      <c r="L226" s="40"/>
      <c r="M226" s="24">
        <v>283246.64999999997</v>
      </c>
      <c r="N226" s="40"/>
      <c r="O226" s="24">
        <v>1538327.2899999998</v>
      </c>
      <c r="P226" s="37"/>
      <c r="Q226" s="38">
        <v>-755118.92410799896</v>
      </c>
      <c r="R226" s="31"/>
      <c r="S226" s="38">
        <v>783208.36589200085</v>
      </c>
      <c r="T226" s="40"/>
      <c r="U226" s="24">
        <v>-2390.9819219221254</v>
      </c>
      <c r="V226" s="40"/>
      <c r="W226" s="24">
        <v>-757509.90602992114</v>
      </c>
      <c r="X226" s="40"/>
      <c r="Y226" s="24">
        <v>1538327.29</v>
      </c>
      <c r="Z226" s="24">
        <v>0</v>
      </c>
    </row>
    <row r="227" spans="1:26">
      <c r="A227" s="2" t="s">
        <v>101</v>
      </c>
      <c r="B227" s="2" t="s">
        <v>2653</v>
      </c>
      <c r="D227" s="5" t="s">
        <v>2175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39"/>
      <c r="Q227" s="13">
        <v>0</v>
      </c>
      <c r="R227" s="5"/>
      <c r="S227" s="13">
        <v>0</v>
      </c>
      <c r="T227" s="43"/>
      <c r="U227" s="17">
        <v>0</v>
      </c>
      <c r="V227" s="43"/>
      <c r="W227" s="17">
        <v>0</v>
      </c>
      <c r="X227" s="43"/>
      <c r="Y227" s="17">
        <v>0</v>
      </c>
      <c r="Z227" s="17">
        <v>0</v>
      </c>
    </row>
    <row r="228" spans="1:26">
      <c r="A228" s="2" t="s">
        <v>101</v>
      </c>
      <c r="B228" s="2" t="s">
        <v>2653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37"/>
      <c r="Q228" s="42">
        <v>0</v>
      </c>
      <c r="R228" s="31"/>
      <c r="S228" s="42">
        <v>0</v>
      </c>
      <c r="T228" s="40"/>
      <c r="U228" s="41">
        <v>0</v>
      </c>
      <c r="V228" s="40"/>
      <c r="W228" s="41">
        <v>0</v>
      </c>
      <c r="X228" s="40"/>
      <c r="Y228" s="41">
        <v>0</v>
      </c>
      <c r="Z228" s="41">
        <v>0</v>
      </c>
    </row>
    <row r="229" spans="1:26">
      <c r="B229" s="2" t="s">
        <v>2653</v>
      </c>
      <c r="D229" s="31"/>
      <c r="E229" s="24">
        <v>9295469.5999999978</v>
      </c>
      <c r="F229" s="40"/>
      <c r="G229" s="24">
        <v>382047.06000000099</v>
      </c>
      <c r="H229" s="40"/>
      <c r="I229" s="24">
        <v>-25425.559999999889</v>
      </c>
      <c r="J229" s="40"/>
      <c r="K229" s="24">
        <v>0</v>
      </c>
      <c r="L229" s="40"/>
      <c r="M229" s="24">
        <v>356621.50000000111</v>
      </c>
      <c r="N229" s="40"/>
      <c r="O229" s="24">
        <v>9652091.0999999996</v>
      </c>
      <c r="P229" s="37"/>
      <c r="Q229" s="24">
        <v>-1764896.0665373132</v>
      </c>
      <c r="R229" s="31"/>
      <c r="S229" s="24">
        <v>7887195.0334626865</v>
      </c>
      <c r="T229" s="40"/>
      <c r="U229" s="17">
        <v>-3224.9900000000002</v>
      </c>
      <c r="V229" s="40"/>
      <c r="W229" s="24">
        <v>-1768121.0565373132</v>
      </c>
      <c r="X229" s="40">
        <v>0</v>
      </c>
      <c r="Y229" s="24">
        <v>9652091.0999999978</v>
      </c>
      <c r="Z229" s="24">
        <v>-1.9208528101444244E-9</v>
      </c>
    </row>
    <row r="230" spans="1:26">
      <c r="B230" s="2" t="s">
        <v>2653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37"/>
      <c r="Q230" s="31"/>
      <c r="R230" s="31"/>
      <c r="S230" s="31"/>
      <c r="T230" s="40"/>
      <c r="U230" s="24"/>
      <c r="V230" s="40"/>
      <c r="W230" s="24"/>
      <c r="X230" s="40"/>
      <c r="Y230" s="24"/>
      <c r="Z230" s="24"/>
    </row>
    <row r="231" spans="1:26">
      <c r="B231" s="2" t="s">
        <v>2653</v>
      </c>
      <c r="D231" s="34" t="s">
        <v>56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37"/>
      <c r="Q231" s="31"/>
      <c r="R231" s="31"/>
      <c r="S231" s="31"/>
      <c r="T231" s="40"/>
      <c r="U231" s="24"/>
      <c r="V231" s="40"/>
      <c r="W231" s="24"/>
      <c r="X231" s="40"/>
      <c r="Y231" s="24"/>
      <c r="Z231" s="24"/>
    </row>
    <row r="232" spans="1:26">
      <c r="A232" s="2" t="s">
        <v>101</v>
      </c>
      <c r="B232" s="2" t="s">
        <v>2653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37"/>
      <c r="Q232" s="42">
        <v>0</v>
      </c>
      <c r="R232" s="31"/>
      <c r="S232" s="42">
        <v>5338.69</v>
      </c>
      <c r="T232" s="40"/>
      <c r="U232" s="41"/>
      <c r="V232" s="40"/>
      <c r="W232" s="41">
        <v>0</v>
      </c>
      <c r="X232" s="40"/>
      <c r="Y232" s="41">
        <v>5338.69</v>
      </c>
      <c r="Z232" s="41">
        <v>0</v>
      </c>
    </row>
    <row r="233" spans="1:26">
      <c r="B233" s="2" t="s">
        <v>2653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37"/>
      <c r="Q233" s="24">
        <v>0</v>
      </c>
      <c r="R233" s="31"/>
      <c r="S233" s="24">
        <v>5338.69</v>
      </c>
      <c r="T233" s="40"/>
      <c r="U233" s="24">
        <v>0</v>
      </c>
      <c r="V233" s="40"/>
      <c r="W233" s="24">
        <v>0</v>
      </c>
      <c r="X233" s="40">
        <v>0</v>
      </c>
      <c r="Y233" s="24">
        <v>5338.69</v>
      </c>
      <c r="Z233" s="24">
        <v>0</v>
      </c>
    </row>
    <row r="234" spans="1:26">
      <c r="B234" s="2" t="s">
        <v>2653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37"/>
      <c r="Q234" s="31"/>
      <c r="R234" s="31"/>
      <c r="S234" s="31"/>
      <c r="T234" s="40"/>
      <c r="U234" s="24"/>
      <c r="V234" s="40"/>
      <c r="W234" s="24"/>
      <c r="X234" s="40"/>
      <c r="Y234" s="24"/>
      <c r="Z234" s="24"/>
    </row>
    <row r="235" spans="1:26">
      <c r="B235" s="2" t="s">
        <v>2653</v>
      </c>
      <c r="D235" s="34" t="s">
        <v>84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37"/>
      <c r="Q235" s="31"/>
      <c r="R235" s="31"/>
      <c r="S235" s="31"/>
      <c r="T235" s="40"/>
      <c r="U235" s="24"/>
      <c r="V235" s="40"/>
      <c r="W235" s="24"/>
      <c r="X235" s="40"/>
      <c r="Y235" s="24"/>
      <c r="Z235" s="24"/>
    </row>
    <row r="236" spans="1:26">
      <c r="A236" s="2" t="s">
        <v>101</v>
      </c>
      <c r="B236" s="2" t="s">
        <v>2653</v>
      </c>
      <c r="C236" s="2" t="str">
        <f t="shared" ref="C236:C244" si="16">MID(D236,2,3)</f>
        <v>350</v>
      </c>
      <c r="D236" s="31" t="s">
        <v>85</v>
      </c>
      <c r="E236" s="24">
        <v>2217149.23</v>
      </c>
      <c r="F236" s="40"/>
      <c r="G236" s="24">
        <v>248808.57</v>
      </c>
      <c r="H236" s="40"/>
      <c r="I236" s="24">
        <v>0</v>
      </c>
      <c r="J236" s="40"/>
      <c r="K236" s="24">
        <v>0</v>
      </c>
      <c r="L236" s="40"/>
      <c r="M236" s="24">
        <v>248808.57</v>
      </c>
      <c r="N236" s="40"/>
      <c r="O236" s="24">
        <v>2465957.7999999998</v>
      </c>
      <c r="P236" s="37"/>
      <c r="Q236" s="38">
        <v>-2006766.2400219999</v>
      </c>
      <c r="R236" s="31"/>
      <c r="S236" s="38">
        <v>459191.55997799989</v>
      </c>
      <c r="T236" s="40"/>
      <c r="U236" s="17">
        <v>13685.252820033209</v>
      </c>
      <c r="V236" s="43"/>
      <c r="W236" s="17">
        <v>-1993080.9872019668</v>
      </c>
      <c r="X236" s="43"/>
      <c r="Y236" s="17">
        <v>2465957.8000000003</v>
      </c>
      <c r="Z236" s="17">
        <v>0</v>
      </c>
    </row>
    <row r="237" spans="1:26">
      <c r="A237" s="2" t="s">
        <v>101</v>
      </c>
      <c r="B237" s="2" t="s">
        <v>2653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37"/>
      <c r="Q237" s="38">
        <v>0</v>
      </c>
      <c r="R237" s="31"/>
      <c r="S237" s="38">
        <v>0</v>
      </c>
      <c r="T237" s="40"/>
      <c r="U237" s="24">
        <v>0</v>
      </c>
      <c r="V237" s="40"/>
      <c r="W237" s="24">
        <v>0</v>
      </c>
      <c r="X237" s="40"/>
      <c r="Y237" s="24">
        <v>0</v>
      </c>
      <c r="Z237" s="24">
        <v>0</v>
      </c>
    </row>
    <row r="238" spans="1:26">
      <c r="A238" s="2" t="s">
        <v>101</v>
      </c>
      <c r="B238" s="2" t="s">
        <v>2653</v>
      </c>
      <c r="C238" s="2" t="str">
        <f t="shared" si="16"/>
        <v>352</v>
      </c>
      <c r="D238" s="31" t="s">
        <v>87</v>
      </c>
      <c r="E238" s="24">
        <v>1746483.1299999901</v>
      </c>
      <c r="F238" s="40"/>
      <c r="G238" s="24">
        <v>57600.26</v>
      </c>
      <c r="H238" s="40"/>
      <c r="I238" s="24">
        <v>-2181.69</v>
      </c>
      <c r="J238" s="40"/>
      <c r="K238" s="24">
        <v>0</v>
      </c>
      <c r="L238" s="40"/>
      <c r="M238" s="24">
        <v>55418.57</v>
      </c>
      <c r="N238" s="40"/>
      <c r="O238" s="24">
        <v>1801901.6999999902</v>
      </c>
      <c r="P238" s="37"/>
      <c r="Q238" s="38">
        <v>-859608.09411299997</v>
      </c>
      <c r="R238" s="31"/>
      <c r="S238" s="38">
        <v>942293.6058869902</v>
      </c>
      <c r="T238" s="40"/>
      <c r="U238" s="24">
        <v>3168.1952136923824</v>
      </c>
      <c r="V238" s="40"/>
      <c r="W238" s="24">
        <v>-856439.89889930759</v>
      </c>
      <c r="X238" s="40"/>
      <c r="Y238" s="24">
        <v>1801901.7</v>
      </c>
      <c r="Z238" s="24">
        <v>9.7788870334625244E-9</v>
      </c>
    </row>
    <row r="239" spans="1:26" s="9" customFormat="1">
      <c r="A239" s="2" t="s">
        <v>101</v>
      </c>
      <c r="B239" s="2" t="s">
        <v>2653</v>
      </c>
      <c r="C239" s="2" t="str">
        <f t="shared" si="16"/>
        <v>353</v>
      </c>
      <c r="D239" s="31" t="s">
        <v>89</v>
      </c>
      <c r="E239" s="24">
        <v>24153481.84</v>
      </c>
      <c r="F239" s="40"/>
      <c r="G239" s="24">
        <v>6612381.1599999908</v>
      </c>
      <c r="H239" s="40"/>
      <c r="I239" s="24">
        <v>-9220.0699999999888</v>
      </c>
      <c r="J239" s="40"/>
      <c r="K239" s="24">
        <v>0</v>
      </c>
      <c r="L239" s="40"/>
      <c r="M239" s="24">
        <v>6603161.0899999905</v>
      </c>
      <c r="N239" s="40"/>
      <c r="O239" s="24">
        <v>30756642.929999992</v>
      </c>
      <c r="P239" s="37"/>
      <c r="Q239" s="38">
        <v>-8886837.8127519898</v>
      </c>
      <c r="R239" s="31"/>
      <c r="S239" s="38">
        <v>21869805.117248002</v>
      </c>
      <c r="T239" s="40"/>
      <c r="U239" s="24">
        <v>363701.73228769546</v>
      </c>
      <c r="V239" s="40"/>
      <c r="W239" s="24">
        <v>-8523136.0804642942</v>
      </c>
      <c r="X239" s="40"/>
      <c r="Y239" s="24">
        <v>30756642.929999899</v>
      </c>
      <c r="Z239" s="24">
        <v>-9.3132257461547852E-8</v>
      </c>
    </row>
    <row r="240" spans="1:26" s="9" customFormat="1">
      <c r="A240" s="2" t="s">
        <v>101</v>
      </c>
      <c r="B240" s="2" t="s">
        <v>2653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37"/>
      <c r="Q240" s="38">
        <v>-5418869.8669839995</v>
      </c>
      <c r="R240" s="31"/>
      <c r="S240" s="38">
        <v>1762211.4330160003</v>
      </c>
      <c r="T240" s="40"/>
      <c r="U240" s="24">
        <v>0</v>
      </c>
      <c r="V240" s="40"/>
      <c r="W240" s="24">
        <v>-5418869.8669839995</v>
      </c>
      <c r="X240" s="40"/>
      <c r="Y240" s="24">
        <v>7181081.2999999998</v>
      </c>
      <c r="Z240" s="24">
        <v>0</v>
      </c>
    </row>
    <row r="241" spans="1:26">
      <c r="A241" s="2" t="s">
        <v>101</v>
      </c>
      <c r="B241" s="2" t="s">
        <v>2653</v>
      </c>
      <c r="C241" s="2" t="str">
        <f t="shared" si="16"/>
        <v>355</v>
      </c>
      <c r="D241" s="31" t="s">
        <v>93</v>
      </c>
      <c r="E241" s="24">
        <v>14811308.460000001</v>
      </c>
      <c r="F241" s="40"/>
      <c r="G241" s="24">
        <v>5688369.1399999997</v>
      </c>
      <c r="H241" s="40"/>
      <c r="I241" s="24">
        <v>-16204.779999999999</v>
      </c>
      <c r="J241" s="40"/>
      <c r="K241" s="24">
        <v>0</v>
      </c>
      <c r="L241" s="40"/>
      <c r="M241" s="24">
        <v>5672164.3599999994</v>
      </c>
      <c r="N241" s="40"/>
      <c r="O241" s="24">
        <v>20483472.82</v>
      </c>
      <c r="P241" s="37"/>
      <c r="Q241" s="38">
        <v>-5370825.5397709999</v>
      </c>
      <c r="R241" s="31"/>
      <c r="S241" s="38">
        <v>15112647.280229</v>
      </c>
      <c r="T241" s="40"/>
      <c r="U241" s="24">
        <v>312878.16900589428</v>
      </c>
      <c r="V241" s="40"/>
      <c r="W241" s="24">
        <v>-5057947.3707651058</v>
      </c>
      <c r="X241" s="40"/>
      <c r="Y241" s="24">
        <v>20483472.82</v>
      </c>
      <c r="Z241" s="24">
        <v>0</v>
      </c>
    </row>
    <row r="242" spans="1:26">
      <c r="A242" s="2" t="s">
        <v>101</v>
      </c>
      <c r="B242" s="2" t="s">
        <v>2653</v>
      </c>
      <c r="C242" s="2" t="str">
        <f t="shared" si="16"/>
        <v>356</v>
      </c>
      <c r="D242" s="31" t="s">
        <v>94</v>
      </c>
      <c r="E242" s="24">
        <v>19285041.870000001</v>
      </c>
      <c r="F242" s="40"/>
      <c r="G242" s="24">
        <v>357617.59</v>
      </c>
      <c r="H242" s="40"/>
      <c r="I242" s="24">
        <v>-367.34</v>
      </c>
      <c r="J242" s="40"/>
      <c r="K242" s="24">
        <v>0</v>
      </c>
      <c r="L242" s="40"/>
      <c r="M242" s="24">
        <v>357250.25</v>
      </c>
      <c r="N242" s="40"/>
      <c r="O242" s="24">
        <v>19642292.120000001</v>
      </c>
      <c r="P242" s="37"/>
      <c r="Q242" s="38">
        <v>-11524945.04991</v>
      </c>
      <c r="R242" s="31"/>
      <c r="S242" s="38">
        <v>8117347.0700900014</v>
      </c>
      <c r="T242" s="40"/>
      <c r="U242" s="24">
        <v>19670.09067268455</v>
      </c>
      <c r="V242" s="40"/>
      <c r="W242" s="24">
        <v>-11505274.959237315</v>
      </c>
      <c r="X242" s="40"/>
      <c r="Y242" s="24">
        <v>19642292.119999997</v>
      </c>
      <c r="Z242" s="24">
        <v>0</v>
      </c>
    </row>
    <row r="243" spans="1:26">
      <c r="A243" s="2" t="s">
        <v>101</v>
      </c>
      <c r="B243" s="2" t="s">
        <v>2653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39"/>
      <c r="Q243" s="13">
        <v>0</v>
      </c>
      <c r="R243" s="5"/>
      <c r="S243" s="13">
        <v>0</v>
      </c>
      <c r="T243" s="43"/>
      <c r="U243" s="17">
        <v>0</v>
      </c>
      <c r="V243" s="43"/>
      <c r="W243" s="17">
        <v>0</v>
      </c>
      <c r="X243" s="43"/>
      <c r="Y243" s="17">
        <v>0</v>
      </c>
      <c r="Z243" s="17">
        <v>0</v>
      </c>
    </row>
    <row r="244" spans="1:26">
      <c r="A244" s="2" t="s">
        <v>101</v>
      </c>
      <c r="B244" s="2" t="s">
        <v>2653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39"/>
      <c r="Q244" s="21">
        <v>0</v>
      </c>
      <c r="R244" s="5"/>
      <c r="S244" s="21">
        <v>0</v>
      </c>
      <c r="T244" s="43"/>
      <c r="U244" s="20">
        <v>0</v>
      </c>
      <c r="V244" s="43"/>
      <c r="W244" s="20">
        <v>0</v>
      </c>
      <c r="X244" s="43"/>
      <c r="Y244" s="20">
        <v>0</v>
      </c>
      <c r="Z244" s="20">
        <v>0</v>
      </c>
    </row>
    <row r="245" spans="1:26">
      <c r="B245" s="2" t="s">
        <v>2653</v>
      </c>
      <c r="D245" s="31"/>
      <c r="E245" s="24">
        <v>69394545.829999983</v>
      </c>
      <c r="F245" s="40"/>
      <c r="G245" s="24">
        <v>12964776.719999991</v>
      </c>
      <c r="H245" s="40"/>
      <c r="I245" s="24">
        <v>-27973.879999999986</v>
      </c>
      <c r="J245" s="40"/>
      <c r="K245" s="24">
        <v>0</v>
      </c>
      <c r="L245" s="40"/>
      <c r="M245" s="24">
        <v>12936802.839999989</v>
      </c>
      <c r="N245" s="40"/>
      <c r="O245" s="24">
        <v>82331348.669999987</v>
      </c>
      <c r="P245" s="37"/>
      <c r="Q245" s="24">
        <v>-34067852.603551991</v>
      </c>
      <c r="R245" s="31"/>
      <c r="S245" s="24">
        <v>48263496.066447996</v>
      </c>
      <c r="T245" s="40"/>
      <c r="U245" s="17">
        <v>713103.44</v>
      </c>
      <c r="V245" s="40"/>
      <c r="W245" s="24">
        <v>-33354749.163551986</v>
      </c>
      <c r="X245" s="40">
        <v>0</v>
      </c>
      <c r="Y245" s="24">
        <v>82331348.669999897</v>
      </c>
      <c r="Z245" s="24">
        <v>-8.3353370428085327E-8</v>
      </c>
    </row>
    <row r="246" spans="1:26">
      <c r="B246" s="2" t="s">
        <v>2653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31"/>
      <c r="R246" s="31"/>
      <c r="S246" s="31"/>
      <c r="T246" s="37"/>
      <c r="U246" s="24"/>
      <c r="V246" s="37"/>
      <c r="W246" s="24"/>
      <c r="X246" s="37"/>
      <c r="Y246" s="24"/>
      <c r="Z246" s="24"/>
    </row>
    <row r="247" spans="1:26" s="29" customFormat="1">
      <c r="B247" s="2" t="s">
        <v>2653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31"/>
      <c r="R247" s="31"/>
      <c r="S247" s="31"/>
      <c r="T247" s="37"/>
      <c r="U247" s="26"/>
      <c r="V247" s="37"/>
      <c r="W247" s="26"/>
      <c r="X247" s="37"/>
      <c r="Y247" s="26"/>
      <c r="Z247" s="26"/>
    </row>
    <row r="248" spans="1:26" s="29" customFormat="1" ht="13.5" thickBot="1">
      <c r="B248" s="2" t="s">
        <v>2653</v>
      </c>
      <c r="D248" s="34" t="s">
        <v>106</v>
      </c>
      <c r="E248" s="44">
        <v>179380235.05999997</v>
      </c>
      <c r="F248" s="40"/>
      <c r="G248" s="44">
        <v>16942546.809999991</v>
      </c>
      <c r="H248" s="40"/>
      <c r="I248" s="44">
        <v>-353932.82999999984</v>
      </c>
      <c r="J248" s="40"/>
      <c r="K248" s="44">
        <v>0</v>
      </c>
      <c r="L248" s="40"/>
      <c r="M248" s="44">
        <v>16588613.979999987</v>
      </c>
      <c r="N248" s="40"/>
      <c r="O248" s="44">
        <v>195968849.03999996</v>
      </c>
      <c r="P248" s="40"/>
      <c r="Q248" s="44">
        <v>-78431095.524435967</v>
      </c>
      <c r="R248" s="31"/>
      <c r="S248" s="44">
        <v>117537753.51556402</v>
      </c>
      <c r="T248" s="40"/>
      <c r="U248" s="44">
        <v>709878.44999999984</v>
      </c>
      <c r="V248" s="40"/>
      <c r="W248" s="44">
        <v>-77721217.074435964</v>
      </c>
      <c r="X248" s="40"/>
      <c r="Y248" s="44">
        <v>195968849.03999987</v>
      </c>
      <c r="Z248" s="44">
        <v>-9.5518771559000015E-8</v>
      </c>
    </row>
    <row r="249" spans="1:26" s="29" customFormat="1" ht="13.5" thickTop="1">
      <c r="B249" s="29" t="s">
        <v>2653</v>
      </c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2"/>
      <c r="Q249" s="2"/>
      <c r="R249" s="2"/>
      <c r="S249" s="2"/>
      <c r="T249" s="37"/>
      <c r="U249" s="66"/>
      <c r="V249" s="37"/>
      <c r="W249" s="66"/>
      <c r="X249" s="37"/>
      <c r="Y249" s="66"/>
      <c r="Z249" s="66"/>
    </row>
    <row r="250" spans="1:26" s="29" customFormat="1">
      <c r="B250" s="29" t="s">
        <v>2653</v>
      </c>
      <c r="D250" s="2" t="s">
        <v>2387</v>
      </c>
      <c r="E250" s="66">
        <v>179380235.05999997</v>
      </c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2"/>
      <c r="Q250" s="2"/>
      <c r="R250" s="2"/>
      <c r="S250" s="2"/>
      <c r="T250" s="37"/>
      <c r="U250" s="66"/>
      <c r="V250" s="37"/>
      <c r="W250" s="66"/>
      <c r="X250" s="37"/>
      <c r="Y250" s="66"/>
      <c r="Z250" s="66"/>
    </row>
    <row r="251" spans="1:26" s="29" customFormat="1">
      <c r="D251" s="28"/>
      <c r="E251" s="232">
        <v>0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T251" s="40"/>
      <c r="U251" s="232"/>
      <c r="V251" s="40"/>
      <c r="W251" s="232"/>
      <c r="X251" s="40"/>
      <c r="Y251" s="232"/>
      <c r="Z251" s="232"/>
    </row>
    <row r="252" spans="1:26" s="29" customFormat="1">
      <c r="D252" s="28"/>
      <c r="E252" s="232"/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T252" s="40"/>
      <c r="U252" s="232"/>
      <c r="V252" s="40"/>
      <c r="W252" s="232"/>
      <c r="X252" s="40"/>
      <c r="Y252" s="232"/>
      <c r="Z252" s="232"/>
    </row>
    <row r="253" spans="1:26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T253" s="40"/>
      <c r="U253" s="232"/>
      <c r="V253" s="40"/>
      <c r="W253" s="232"/>
      <c r="X253" s="40"/>
      <c r="Y253" s="232"/>
      <c r="Z253" s="232"/>
    </row>
    <row r="254" spans="1:26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T254" s="40"/>
      <c r="U254" s="232"/>
      <c r="V254" s="40"/>
      <c r="W254" s="232"/>
      <c r="X254" s="40"/>
      <c r="Y254" s="232"/>
      <c r="Z254" s="232"/>
    </row>
    <row r="255" spans="1:26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T255" s="40"/>
      <c r="U255" s="232"/>
      <c r="V255" s="40"/>
      <c r="W255" s="232"/>
      <c r="X255" s="40"/>
      <c r="Y255" s="232"/>
      <c r="Z255" s="232"/>
    </row>
    <row r="256" spans="1:26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T256" s="40"/>
      <c r="U256" s="232"/>
      <c r="V256" s="40"/>
      <c r="W256" s="232"/>
      <c r="X256" s="40"/>
      <c r="Y256" s="232"/>
      <c r="Z256" s="232"/>
    </row>
    <row r="257" spans="4:26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T257" s="40"/>
      <c r="U257" s="232"/>
      <c r="V257" s="40"/>
      <c r="W257" s="232"/>
      <c r="X257" s="40"/>
      <c r="Y257" s="232"/>
      <c r="Z257" s="232"/>
    </row>
    <row r="258" spans="4:26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T258" s="40"/>
      <c r="U258" s="232"/>
      <c r="V258" s="40"/>
      <c r="W258" s="232"/>
      <c r="X258" s="40"/>
      <c r="Y258" s="232"/>
      <c r="Z258" s="232"/>
    </row>
    <row r="259" spans="4:26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T259" s="40"/>
      <c r="U259" s="232"/>
      <c r="V259" s="40"/>
      <c r="W259" s="232"/>
      <c r="X259" s="40"/>
      <c r="Y259" s="232"/>
      <c r="Z259" s="232"/>
    </row>
    <row r="260" spans="4:26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T260" s="40"/>
      <c r="U260" s="232"/>
      <c r="V260" s="40"/>
      <c r="W260" s="232"/>
      <c r="X260" s="40"/>
      <c r="Y260" s="232"/>
      <c r="Z260" s="232"/>
    </row>
    <row r="261" spans="4:26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T261" s="40"/>
      <c r="U261" s="232"/>
      <c r="V261" s="40"/>
      <c r="W261" s="232"/>
      <c r="X261" s="40"/>
      <c r="Y261" s="232"/>
      <c r="Z261" s="232"/>
    </row>
    <row r="262" spans="4:26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T262" s="40"/>
      <c r="U262" s="232"/>
      <c r="V262" s="40"/>
      <c r="W262" s="232"/>
      <c r="X262" s="40"/>
      <c r="Y262" s="232"/>
      <c r="Z262" s="232"/>
    </row>
    <row r="263" spans="4:26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T263" s="40"/>
      <c r="U263" s="232"/>
      <c r="V263" s="40"/>
      <c r="W263" s="232"/>
      <c r="X263" s="40"/>
      <c r="Y263" s="232"/>
      <c r="Z263" s="232"/>
    </row>
    <row r="264" spans="4:26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T264" s="40"/>
      <c r="U264" s="232"/>
      <c r="V264" s="40"/>
      <c r="W264" s="232"/>
      <c r="X264" s="40"/>
      <c r="Y264" s="232"/>
      <c r="Z264" s="232"/>
    </row>
    <row r="265" spans="4:26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T265" s="40"/>
      <c r="U265" s="232"/>
      <c r="V265" s="40"/>
      <c r="W265" s="232"/>
      <c r="X265" s="40"/>
      <c r="Y265" s="232"/>
      <c r="Z265" s="232"/>
    </row>
    <row r="266" spans="4:26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T266" s="40"/>
      <c r="U266" s="232"/>
      <c r="V266" s="40"/>
      <c r="W266" s="232"/>
      <c r="X266" s="40"/>
      <c r="Y266" s="232"/>
      <c r="Z266" s="232"/>
    </row>
    <row r="267" spans="4:26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T267" s="40"/>
      <c r="U267" s="232"/>
      <c r="V267" s="40"/>
      <c r="W267" s="232"/>
      <c r="X267" s="40"/>
      <c r="Y267" s="232"/>
      <c r="Z267" s="232"/>
    </row>
    <row r="268" spans="4:26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T268" s="40"/>
      <c r="U268" s="232"/>
      <c r="V268" s="40"/>
      <c r="W268" s="232"/>
      <c r="X268" s="40"/>
      <c r="Y268" s="232"/>
      <c r="Z268" s="232"/>
    </row>
    <row r="269" spans="4:26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T269" s="40"/>
      <c r="U269" s="232"/>
      <c r="V269" s="40"/>
      <c r="W269" s="232"/>
      <c r="X269" s="40"/>
      <c r="Y269" s="232"/>
      <c r="Z269" s="232"/>
    </row>
    <row r="270" spans="4:26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T270" s="40"/>
      <c r="U270" s="232"/>
      <c r="V270" s="40"/>
      <c r="W270" s="232"/>
      <c r="X270" s="40"/>
      <c r="Y270" s="232"/>
      <c r="Z270" s="232"/>
    </row>
    <row r="271" spans="4:26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T271" s="40"/>
      <c r="U271" s="232"/>
      <c r="V271" s="40"/>
      <c r="W271" s="232"/>
      <c r="X271" s="40"/>
      <c r="Y271" s="232"/>
      <c r="Z271" s="232"/>
    </row>
    <row r="272" spans="4:26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T272" s="40"/>
      <c r="U272" s="232"/>
      <c r="V272" s="40"/>
      <c r="W272" s="232"/>
      <c r="X272" s="40"/>
      <c r="Y272" s="232"/>
      <c r="Z272" s="232"/>
    </row>
    <row r="273" spans="4:26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T273" s="40"/>
      <c r="U273" s="232"/>
      <c r="V273" s="40"/>
      <c r="W273" s="232"/>
      <c r="X273" s="40"/>
      <c r="Y273" s="232"/>
      <c r="Z273" s="232"/>
    </row>
    <row r="274" spans="4:26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T274" s="40"/>
      <c r="U274" s="232"/>
      <c r="V274" s="40"/>
      <c r="W274" s="232"/>
      <c r="X274" s="40"/>
      <c r="Y274" s="232"/>
      <c r="Z274" s="232"/>
    </row>
    <row r="275" spans="4:26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29"/>
      <c r="Q275" s="29"/>
      <c r="R275" s="29"/>
      <c r="S275" s="29"/>
      <c r="T275" s="40"/>
      <c r="U275" s="232"/>
      <c r="V275" s="40"/>
      <c r="W275" s="232"/>
      <c r="X275" s="40"/>
      <c r="Y275" s="232"/>
      <c r="Z275" s="232"/>
    </row>
    <row r="276" spans="4:26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29"/>
      <c r="Q276" s="29"/>
      <c r="R276" s="29"/>
      <c r="S276" s="29"/>
      <c r="T276" s="40"/>
      <c r="U276" s="232"/>
      <c r="V276" s="40"/>
      <c r="W276" s="232"/>
      <c r="X276" s="40"/>
      <c r="Y276" s="232"/>
      <c r="Z276" s="232"/>
    </row>
    <row r="277" spans="4:26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29"/>
      <c r="Q277" s="29"/>
      <c r="R277" s="29"/>
      <c r="S277" s="29"/>
      <c r="T277" s="40"/>
      <c r="U277" s="232"/>
      <c r="V277" s="40"/>
      <c r="W277" s="232"/>
      <c r="X277" s="40"/>
      <c r="Y277" s="232"/>
      <c r="Z277" s="232"/>
    </row>
    <row r="278" spans="4:26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29"/>
      <c r="Q278" s="29"/>
      <c r="R278" s="29"/>
      <c r="S278" s="29"/>
      <c r="T278" s="40"/>
      <c r="U278" s="232"/>
      <c r="V278" s="40"/>
      <c r="W278" s="232"/>
      <c r="X278" s="40"/>
      <c r="Y278" s="232"/>
      <c r="Z278" s="232"/>
    </row>
    <row r="281" spans="4:26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22"/>
      <c r="U281" s="422"/>
      <c r="V281" s="422"/>
      <c r="W281" s="422"/>
      <c r="X281" s="422"/>
      <c r="Y281" s="422"/>
      <c r="Z281" s="422"/>
    </row>
    <row r="282" spans="4:26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22"/>
      <c r="U282" s="422"/>
      <c r="V282" s="422"/>
      <c r="W282" s="422"/>
      <c r="X282" s="422"/>
      <c r="Y282" s="422"/>
      <c r="Z282" s="422"/>
    </row>
    <row r="283" spans="4:26">
      <c r="D283" s="493" t="s">
        <v>3701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24"/>
      <c r="U283" s="424"/>
      <c r="V283" s="424"/>
      <c r="W283" s="424"/>
      <c r="X283" s="424"/>
      <c r="Y283" s="424"/>
      <c r="Z283" s="424"/>
    </row>
    <row r="284" spans="4:26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1"/>
      <c r="Q284" s="31"/>
      <c r="R284" s="31"/>
      <c r="S284" s="31"/>
      <c r="T284" s="3"/>
      <c r="U284" s="45"/>
      <c r="V284" s="3"/>
      <c r="W284" s="45"/>
      <c r="X284" s="3"/>
      <c r="Y284" s="45"/>
      <c r="Z284" s="45"/>
    </row>
    <row r="285" spans="4:26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1"/>
      <c r="Q285" s="31"/>
      <c r="R285" s="31"/>
      <c r="S285" s="31"/>
      <c r="T285" s="3"/>
      <c r="U285" s="3"/>
      <c r="V285" s="3"/>
      <c r="W285" s="3"/>
      <c r="X285" s="3"/>
      <c r="Y285" s="32" t="s">
        <v>1712</v>
      </c>
      <c r="Z285" s="32"/>
    </row>
    <row r="286" spans="4:26" ht="15">
      <c r="D286" s="31"/>
      <c r="E286" s="499" t="s">
        <v>3702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3703</v>
      </c>
      <c r="P286" s="31"/>
      <c r="Q286" s="31"/>
      <c r="R286" s="31"/>
      <c r="S286" s="31"/>
      <c r="T286" s="3"/>
      <c r="U286" s="3"/>
      <c r="V286" s="3"/>
      <c r="W286" s="3"/>
      <c r="X286" s="3"/>
      <c r="Y286" s="499" t="s">
        <v>3703</v>
      </c>
      <c r="Z286" s="4"/>
    </row>
    <row r="287" spans="4:26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1"/>
      <c r="R287" s="31"/>
      <c r="S287" s="34" t="s">
        <v>5</v>
      </c>
      <c r="T287" s="31"/>
      <c r="U287" s="231" t="s">
        <v>1201</v>
      </c>
      <c r="V287" s="5"/>
      <c r="W287" s="231" t="s">
        <v>11</v>
      </c>
      <c r="X287" s="5"/>
      <c r="Y287" s="6" t="s">
        <v>4</v>
      </c>
      <c r="Z287" s="6"/>
    </row>
    <row r="288" spans="4:26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5"/>
      <c r="Q288" s="35" t="s">
        <v>11</v>
      </c>
      <c r="R288" s="5"/>
      <c r="S288" s="35" t="s">
        <v>12</v>
      </c>
      <c r="T288" s="31"/>
      <c r="U288" s="10" t="s">
        <v>1202</v>
      </c>
      <c r="V288" s="5"/>
      <c r="W288" s="10" t="s">
        <v>2172</v>
      </c>
      <c r="X288" s="5"/>
      <c r="Y288" s="10" t="s">
        <v>6</v>
      </c>
      <c r="Z288" s="10" t="s">
        <v>13</v>
      </c>
    </row>
    <row r="289" spans="1:26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5"/>
      <c r="Q289" s="5"/>
      <c r="R289" s="5"/>
      <c r="S289" s="5"/>
      <c r="T289" s="31"/>
      <c r="U289" s="36"/>
      <c r="V289" s="31"/>
      <c r="W289" s="36"/>
      <c r="X289" s="31"/>
      <c r="Y289" s="36"/>
      <c r="Z289" s="36"/>
    </row>
    <row r="290" spans="1:26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5"/>
      <c r="Q290" s="5"/>
      <c r="R290" s="5"/>
      <c r="S290" s="5"/>
      <c r="T290" s="31"/>
      <c r="U290" s="26"/>
      <c r="V290" s="31"/>
      <c r="W290" s="26"/>
      <c r="X290" s="31"/>
      <c r="Y290" s="26"/>
      <c r="Z290" s="26"/>
    </row>
    <row r="291" spans="1:26">
      <c r="D291" s="34" t="s">
        <v>16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31"/>
      <c r="R291" s="31"/>
      <c r="S291" s="31"/>
      <c r="T291" s="31"/>
      <c r="U291" s="26"/>
      <c r="V291" s="31"/>
      <c r="W291" s="26"/>
      <c r="X291" s="31"/>
      <c r="Y291" s="26"/>
      <c r="Z291" s="26"/>
    </row>
    <row r="292" spans="1:26">
      <c r="A292" s="2" t="s">
        <v>108</v>
      </c>
      <c r="B292" s="2" t="s">
        <v>2653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1"/>
      <c r="Q292" s="38">
        <v>-2522.35771199799</v>
      </c>
      <c r="R292" s="31"/>
      <c r="S292" s="38">
        <v>2517.8722880020105</v>
      </c>
      <c r="T292" s="37"/>
      <c r="U292" s="433"/>
      <c r="V292" s="43"/>
      <c r="W292" s="17">
        <v>-2522.35771199799</v>
      </c>
      <c r="X292" s="43"/>
      <c r="Y292" s="17">
        <v>5040.2300000000005</v>
      </c>
      <c r="Z292" s="17">
        <v>0</v>
      </c>
    </row>
    <row r="293" spans="1:26">
      <c r="A293" s="2" t="s">
        <v>108</v>
      </c>
      <c r="B293" s="2" t="s">
        <v>2653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1"/>
      <c r="Q293" s="38">
        <v>0</v>
      </c>
      <c r="R293" s="31"/>
      <c r="S293" s="38">
        <v>0</v>
      </c>
      <c r="T293" s="37"/>
      <c r="U293" s="26"/>
      <c r="V293" s="37"/>
      <c r="W293" s="26">
        <v>0</v>
      </c>
      <c r="X293" s="37"/>
      <c r="Y293" s="26">
        <v>0</v>
      </c>
      <c r="Z293" s="26">
        <v>0</v>
      </c>
    </row>
    <row r="294" spans="1:26">
      <c r="A294" s="2" t="s">
        <v>108</v>
      </c>
      <c r="B294" s="2" t="s">
        <v>2653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1"/>
      <c r="Q294" s="38">
        <v>-2631.1401475039997</v>
      </c>
      <c r="R294" s="31"/>
      <c r="S294" s="38">
        <v>-86.010147503999633</v>
      </c>
      <c r="T294" s="37"/>
      <c r="U294" s="26"/>
      <c r="V294" s="37"/>
      <c r="W294" s="26">
        <v>-2631.1401475039997</v>
      </c>
      <c r="X294" s="37"/>
      <c r="Y294" s="26">
        <v>2545.13</v>
      </c>
      <c r="Z294" s="26">
        <v>0</v>
      </c>
    </row>
    <row r="295" spans="1:26">
      <c r="A295" s="2" t="s">
        <v>108</v>
      </c>
      <c r="B295" s="2" t="s">
        <v>2653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0</v>
      </c>
      <c r="H295" s="37"/>
      <c r="I295" s="26">
        <v>0</v>
      </c>
      <c r="J295" s="37"/>
      <c r="K295" s="26">
        <v>0</v>
      </c>
      <c r="L295" s="37"/>
      <c r="M295" s="26">
        <v>0</v>
      </c>
      <c r="N295" s="37"/>
      <c r="O295" s="26">
        <v>66853.42</v>
      </c>
      <c r="P295" s="31"/>
      <c r="Q295" s="38">
        <v>-37843.036675999996</v>
      </c>
      <c r="R295" s="31"/>
      <c r="S295" s="38">
        <v>29010.383324000002</v>
      </c>
      <c r="T295" s="37"/>
      <c r="U295" s="26"/>
      <c r="V295" s="37"/>
      <c r="W295" s="26">
        <v>-37843.036675999996</v>
      </c>
      <c r="X295" s="37"/>
      <c r="Y295" s="26">
        <v>66853.42</v>
      </c>
      <c r="Z295" s="26">
        <v>0</v>
      </c>
    </row>
    <row r="296" spans="1:26">
      <c r="A296" s="2" t="s">
        <v>108</v>
      </c>
      <c r="B296" s="2" t="s">
        <v>2653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1"/>
      <c r="Q296" s="38">
        <v>13128.314744023899</v>
      </c>
      <c r="R296" s="31"/>
      <c r="S296" s="38">
        <v>29082.834744023901</v>
      </c>
      <c r="T296" s="37"/>
      <c r="U296" s="26"/>
      <c r="V296" s="37"/>
      <c r="W296" s="26">
        <v>13128.314744023899</v>
      </c>
      <c r="X296" s="37"/>
      <c r="Y296" s="26">
        <v>15954.52</v>
      </c>
      <c r="Z296" s="26">
        <v>0</v>
      </c>
    </row>
    <row r="297" spans="1:26">
      <c r="A297" s="2" t="s">
        <v>108</v>
      </c>
      <c r="B297" s="2" t="s">
        <v>2653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1"/>
      <c r="Q297" s="38">
        <v>4834.0255820000002</v>
      </c>
      <c r="R297" s="31"/>
      <c r="S297" s="38">
        <v>21974.335582</v>
      </c>
      <c r="T297" s="37"/>
      <c r="U297" s="26"/>
      <c r="V297" s="37"/>
      <c r="W297" s="26">
        <v>4834.0255820000002</v>
      </c>
      <c r="X297" s="37"/>
      <c r="Y297" s="26">
        <v>17140.309999999998</v>
      </c>
      <c r="Z297" s="26">
        <v>0</v>
      </c>
    </row>
    <row r="298" spans="1:26">
      <c r="A298" s="2" t="s">
        <v>108</v>
      </c>
      <c r="B298" s="2" t="s">
        <v>2653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1"/>
      <c r="Q298" s="38">
        <v>0</v>
      </c>
      <c r="R298" s="31"/>
      <c r="S298" s="38">
        <v>0</v>
      </c>
      <c r="T298" s="37"/>
      <c r="U298" s="26"/>
      <c r="V298" s="37"/>
      <c r="W298" s="26">
        <v>0</v>
      </c>
      <c r="X298" s="37"/>
      <c r="Y298" s="26">
        <v>0</v>
      </c>
      <c r="Z298" s="26">
        <v>0</v>
      </c>
    </row>
    <row r="299" spans="1:26">
      <c r="A299" s="2" t="s">
        <v>108</v>
      </c>
      <c r="B299" s="2" t="s">
        <v>2653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1"/>
      <c r="Q299" s="38">
        <v>0</v>
      </c>
      <c r="R299" s="31"/>
      <c r="S299" s="38">
        <v>0</v>
      </c>
      <c r="T299" s="37"/>
      <c r="U299" s="26"/>
      <c r="V299" s="37"/>
      <c r="W299" s="26">
        <v>0</v>
      </c>
      <c r="X299" s="37"/>
      <c r="Y299" s="26">
        <v>0</v>
      </c>
      <c r="Z299" s="26">
        <v>0</v>
      </c>
    </row>
    <row r="300" spans="1:26">
      <c r="A300" s="2" t="s">
        <v>108</v>
      </c>
      <c r="B300" s="2" t="s">
        <v>2653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1"/>
      <c r="Q300" s="38">
        <v>-0.63</v>
      </c>
      <c r="R300" s="31"/>
      <c r="S300" s="38">
        <v>-0.63</v>
      </c>
      <c r="T300" s="37"/>
      <c r="U300" s="26"/>
      <c r="V300" s="37"/>
      <c r="W300" s="26">
        <v>-0.63</v>
      </c>
      <c r="X300" s="37"/>
      <c r="Y300" s="26">
        <v>0</v>
      </c>
      <c r="Z300" s="26">
        <v>0</v>
      </c>
    </row>
    <row r="301" spans="1:26">
      <c r="A301" s="2" t="s">
        <v>108</v>
      </c>
      <c r="B301" s="2" t="s">
        <v>2653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1"/>
      <c r="Q301" s="38">
        <v>-650.83000000000004</v>
      </c>
      <c r="R301" s="31"/>
      <c r="S301" s="38">
        <v>-650.83000000000004</v>
      </c>
      <c r="T301" s="37"/>
      <c r="U301" s="26"/>
      <c r="V301" s="37"/>
      <c r="W301" s="26">
        <v>-650.83000000000004</v>
      </c>
      <c r="X301" s="37"/>
      <c r="Y301" s="26">
        <v>0</v>
      </c>
      <c r="Z301" s="26">
        <v>0</v>
      </c>
    </row>
    <row r="302" spans="1:26">
      <c r="A302" s="2" t="s">
        <v>108</v>
      </c>
      <c r="B302" s="2" t="s">
        <v>2653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1"/>
      <c r="Q302" s="38">
        <v>7631.03</v>
      </c>
      <c r="R302" s="31"/>
      <c r="S302" s="38">
        <v>7631.03</v>
      </c>
      <c r="T302" s="37"/>
      <c r="U302" s="26"/>
      <c r="V302" s="37"/>
      <c r="W302" s="26">
        <v>7631.03</v>
      </c>
      <c r="X302" s="37"/>
      <c r="Y302" s="26">
        <v>0</v>
      </c>
      <c r="Z302" s="26">
        <v>0</v>
      </c>
    </row>
    <row r="303" spans="1:26">
      <c r="A303" s="9" t="s">
        <v>108</v>
      </c>
      <c r="B303" s="2" t="s">
        <v>2653</v>
      </c>
      <c r="C303" s="9"/>
      <c r="D303" s="5" t="s">
        <v>2382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5"/>
      <c r="Q303" s="13">
        <v>0</v>
      </c>
      <c r="R303" s="5"/>
      <c r="S303" s="13">
        <v>0</v>
      </c>
      <c r="T303" s="39"/>
      <c r="U303" s="7"/>
      <c r="V303" s="39"/>
      <c r="W303" s="7">
        <v>0</v>
      </c>
      <c r="X303" s="39"/>
      <c r="Y303" s="7">
        <v>0</v>
      </c>
      <c r="Z303" s="7">
        <v>0</v>
      </c>
    </row>
    <row r="304" spans="1:26">
      <c r="A304" s="2" t="s">
        <v>108</v>
      </c>
      <c r="B304" s="2" t="s">
        <v>2653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6"/>
      <c r="Q304" s="42">
        <v>0</v>
      </c>
      <c r="R304" s="31"/>
      <c r="S304" s="42">
        <v>0</v>
      </c>
      <c r="T304" s="40"/>
      <c r="U304" s="41"/>
      <c r="V304" s="40"/>
      <c r="W304" s="41">
        <v>0</v>
      </c>
      <c r="X304" s="40"/>
      <c r="Y304" s="41">
        <v>0</v>
      </c>
      <c r="Z304" s="41">
        <v>0</v>
      </c>
    </row>
    <row r="305" spans="1:26">
      <c r="B305" s="2" t="s">
        <v>2653</v>
      </c>
      <c r="D305" s="31"/>
      <c r="E305" s="24">
        <v>107533.61</v>
      </c>
      <c r="F305" s="40"/>
      <c r="G305" s="24">
        <v>0</v>
      </c>
      <c r="H305" s="40"/>
      <c r="I305" s="24">
        <v>0</v>
      </c>
      <c r="J305" s="40"/>
      <c r="K305" s="24">
        <v>0</v>
      </c>
      <c r="L305" s="40"/>
      <c r="M305" s="24">
        <v>0</v>
      </c>
      <c r="N305" s="40"/>
      <c r="O305" s="24">
        <v>107533.61</v>
      </c>
      <c r="P305" s="46"/>
      <c r="Q305" s="24">
        <v>-18054.624209478086</v>
      </c>
      <c r="R305" s="31"/>
      <c r="S305" s="24">
        <v>89478.985790521911</v>
      </c>
      <c r="T305" s="40"/>
      <c r="U305" s="24"/>
      <c r="V305" s="40"/>
      <c r="W305" s="24">
        <v>-18054.624209478086</v>
      </c>
      <c r="X305" s="40">
        <v>0</v>
      </c>
      <c r="Y305" s="24">
        <v>107533.61</v>
      </c>
      <c r="Z305" s="24">
        <v>0</v>
      </c>
    </row>
    <row r="306" spans="1:26">
      <c r="B306" s="2" t="s">
        <v>2653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6"/>
      <c r="Q306" s="31"/>
      <c r="R306" s="31"/>
      <c r="S306" s="31"/>
      <c r="T306" s="40"/>
      <c r="U306" s="24"/>
      <c r="V306" s="40"/>
      <c r="W306" s="24"/>
      <c r="X306" s="40"/>
      <c r="Y306" s="24"/>
      <c r="Z306" s="24"/>
    </row>
    <row r="307" spans="1:26">
      <c r="B307" s="2" t="s">
        <v>2653</v>
      </c>
      <c r="D307" s="34" t="s">
        <v>84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6"/>
      <c r="Q307" s="31"/>
      <c r="R307" s="31"/>
      <c r="S307" s="31"/>
      <c r="T307" s="40"/>
      <c r="U307" s="24"/>
      <c r="V307" s="40"/>
      <c r="W307" s="24"/>
      <c r="X307" s="40"/>
      <c r="Y307" s="24"/>
      <c r="Z307" s="24"/>
    </row>
    <row r="308" spans="1:26">
      <c r="A308" s="2" t="s">
        <v>108</v>
      </c>
      <c r="B308" s="2" t="s">
        <v>2653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6"/>
      <c r="Q308" s="38">
        <v>-381.029978999999</v>
      </c>
      <c r="R308" s="31"/>
      <c r="S308" s="38">
        <v>58.50002100000097</v>
      </c>
      <c r="T308" s="40"/>
      <c r="U308" s="24"/>
      <c r="V308" s="40"/>
      <c r="W308" s="24">
        <v>-381.029978999999</v>
      </c>
      <c r="X308" s="40"/>
      <c r="Y308" s="24">
        <v>439.53</v>
      </c>
      <c r="Z308" s="24">
        <v>0</v>
      </c>
    </row>
    <row r="309" spans="1:26">
      <c r="A309" s="2" t="s">
        <v>108</v>
      </c>
      <c r="B309" s="2" t="s">
        <v>2653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6"/>
      <c r="Q309" s="38">
        <v>-100144.37991472</v>
      </c>
      <c r="R309" s="31"/>
      <c r="S309" s="38">
        <v>28607.150085279995</v>
      </c>
      <c r="T309" s="40"/>
      <c r="U309" s="24"/>
      <c r="V309" s="40"/>
      <c r="W309" s="24">
        <v>-100144.37991472</v>
      </c>
      <c r="X309" s="40"/>
      <c r="Y309" s="24">
        <v>128751.53</v>
      </c>
      <c r="Z309" s="24">
        <v>0</v>
      </c>
    </row>
    <row r="310" spans="1:26">
      <c r="A310" s="2" t="s">
        <v>108</v>
      </c>
      <c r="B310" s="2" t="s">
        <v>2653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6"/>
      <c r="Q310" s="42">
        <v>-59092.049891000002</v>
      </c>
      <c r="R310" s="31"/>
      <c r="S310" s="42">
        <v>21599.280108999985</v>
      </c>
      <c r="T310" s="40"/>
      <c r="U310" s="41"/>
      <c r="V310" s="40"/>
      <c r="W310" s="41">
        <v>-59092.049891000002</v>
      </c>
      <c r="X310" s="40"/>
      <c r="Y310" s="41">
        <v>80691.329999999987</v>
      </c>
      <c r="Z310" s="41">
        <v>0</v>
      </c>
    </row>
    <row r="311" spans="1:26">
      <c r="B311" s="2" t="s">
        <v>2653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6"/>
      <c r="Q311" s="24">
        <v>-159617.45978472001</v>
      </c>
      <c r="R311" s="31"/>
      <c r="S311" s="24">
        <v>50264.930215279979</v>
      </c>
      <c r="T311" s="40"/>
      <c r="U311" s="24"/>
      <c r="V311" s="40"/>
      <c r="W311" s="24">
        <v>-159617.45978472001</v>
      </c>
      <c r="X311" s="40">
        <v>0</v>
      </c>
      <c r="Y311" s="24">
        <v>209882.38999999998</v>
      </c>
      <c r="Z311" s="24">
        <v>0</v>
      </c>
    </row>
    <row r="312" spans="1:26">
      <c r="B312" s="2" t="s">
        <v>2653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6"/>
      <c r="Q312" s="31"/>
      <c r="R312" s="31"/>
      <c r="S312" s="31"/>
      <c r="T312" s="40"/>
      <c r="U312" s="24"/>
      <c r="V312" s="40"/>
      <c r="W312" s="24"/>
      <c r="X312" s="40"/>
      <c r="Y312" s="24"/>
      <c r="Z312" s="24"/>
    </row>
    <row r="313" spans="1:26">
      <c r="B313" s="2" t="s">
        <v>2653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1"/>
      <c r="Q313" s="31"/>
      <c r="R313" s="31"/>
      <c r="S313" s="31"/>
      <c r="T313" s="37"/>
      <c r="U313" s="26"/>
      <c r="V313" s="37"/>
      <c r="W313" s="26"/>
      <c r="X313" s="37"/>
      <c r="Y313" s="26"/>
      <c r="Z313" s="26"/>
    </row>
    <row r="314" spans="1:26" ht="13.5" thickBot="1">
      <c r="B314" s="2" t="s">
        <v>2653</v>
      </c>
      <c r="D314" s="34" t="s">
        <v>110</v>
      </c>
      <c r="E314" s="44">
        <v>317416</v>
      </c>
      <c r="F314" s="37"/>
      <c r="G314" s="44">
        <v>0</v>
      </c>
      <c r="H314" s="37"/>
      <c r="I314" s="44">
        <v>0</v>
      </c>
      <c r="J314" s="37"/>
      <c r="K314" s="44">
        <v>0</v>
      </c>
      <c r="L314" s="37"/>
      <c r="M314" s="44">
        <v>0</v>
      </c>
      <c r="N314" s="37"/>
      <c r="O314" s="44">
        <v>317416</v>
      </c>
      <c r="P314" s="31"/>
      <c r="Q314" s="44">
        <v>-177672.0839941981</v>
      </c>
      <c r="R314" s="31"/>
      <c r="S314" s="44">
        <v>139743.91600580188</v>
      </c>
      <c r="T314" s="37"/>
      <c r="U314" s="44">
        <v>0</v>
      </c>
      <c r="V314" s="37"/>
      <c r="W314" s="44">
        <v>-177672.0839941981</v>
      </c>
      <c r="X314" s="37"/>
      <c r="Y314" s="44">
        <v>317416</v>
      </c>
      <c r="Z314" s="44">
        <v>0</v>
      </c>
    </row>
    <row r="315" spans="1:26" ht="13.5" thickTop="1"/>
    <row r="316" spans="1:26">
      <c r="D316" s="2" t="s">
        <v>2387</v>
      </c>
      <c r="E316" s="66">
        <v>317416</v>
      </c>
    </row>
    <row r="317" spans="1:26">
      <c r="E317" s="66">
        <v>0</v>
      </c>
    </row>
    <row r="318" spans="1:26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</row>
    <row r="319" spans="1:26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</row>
    <row r="320" spans="1:26">
      <c r="D320" s="493" t="s">
        <v>3701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U320" s="2"/>
      <c r="W320" s="2"/>
      <c r="Y320" s="2"/>
      <c r="Z320" s="2"/>
    </row>
    <row r="321" spans="1:26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U321" s="2"/>
      <c r="W321" s="2"/>
      <c r="Y321" s="32" t="s">
        <v>1712</v>
      </c>
      <c r="Z321" s="2"/>
    </row>
    <row r="322" spans="1:26">
      <c r="E322" s="502" t="s">
        <v>3702</v>
      </c>
      <c r="G322" s="2"/>
      <c r="I322" s="2"/>
      <c r="K322" s="2"/>
      <c r="M322" s="2"/>
      <c r="O322" s="502" t="s">
        <v>3703</v>
      </c>
      <c r="U322" s="2"/>
      <c r="W322" s="2"/>
      <c r="Y322" s="502" t="s">
        <v>3703</v>
      </c>
      <c r="Z322" s="2"/>
    </row>
    <row r="323" spans="1:26">
      <c r="E323" s="62" t="s">
        <v>2</v>
      </c>
      <c r="K323" s="62" t="s">
        <v>3</v>
      </c>
      <c r="O323" s="62" t="s">
        <v>4</v>
      </c>
      <c r="T323" s="32"/>
      <c r="U323" s="32"/>
      <c r="V323" s="32"/>
      <c r="W323" s="32"/>
      <c r="X323" s="32"/>
      <c r="Y323" s="6" t="s">
        <v>4</v>
      </c>
      <c r="Z323" s="32"/>
    </row>
    <row r="324" spans="1:26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T324" s="3"/>
      <c r="U324" s="434"/>
      <c r="V324" s="434"/>
      <c r="W324" s="434"/>
      <c r="X324" s="3"/>
      <c r="Y324" s="10" t="s">
        <v>6</v>
      </c>
      <c r="Z324" s="10" t="s">
        <v>13</v>
      </c>
    </row>
    <row r="325" spans="1:26">
      <c r="D325" s="9"/>
      <c r="E325" s="64"/>
      <c r="G325" s="64"/>
      <c r="I325" s="64"/>
      <c r="K325" s="64"/>
      <c r="M325" s="64"/>
      <c r="O325" s="64"/>
      <c r="U325" s="64"/>
      <c r="V325" s="29"/>
      <c r="W325" s="64"/>
      <c r="Y325" s="64"/>
      <c r="Z325" s="64"/>
    </row>
    <row r="326" spans="1:26">
      <c r="D326" s="47" t="s">
        <v>112</v>
      </c>
      <c r="E326" s="2"/>
      <c r="G326" s="2"/>
      <c r="I326" s="2"/>
      <c r="K326" s="2"/>
      <c r="M326" s="2"/>
      <c r="O326" s="2"/>
      <c r="U326" s="64"/>
      <c r="V326" s="29"/>
      <c r="W326" s="64"/>
      <c r="Y326" s="2"/>
      <c r="Z326" s="2"/>
    </row>
    <row r="327" spans="1:26">
      <c r="D327" s="23" t="s">
        <v>16</v>
      </c>
      <c r="E327" s="2"/>
      <c r="G327" s="2"/>
      <c r="I327" s="2"/>
      <c r="K327" s="2"/>
      <c r="M327" s="2"/>
      <c r="O327" s="2"/>
      <c r="U327" s="64"/>
      <c r="V327" s="29"/>
      <c r="W327" s="64"/>
      <c r="Y327" s="2"/>
      <c r="Z327" s="2"/>
    </row>
    <row r="328" spans="1:26">
      <c r="A328" s="9" t="s">
        <v>17</v>
      </c>
      <c r="B328" s="9" t="s">
        <v>2654</v>
      </c>
      <c r="D328" s="2" t="s">
        <v>18</v>
      </c>
      <c r="E328" s="232">
        <v>1495104.36</v>
      </c>
      <c r="F328" s="232"/>
      <c r="G328" s="232">
        <v>0</v>
      </c>
      <c r="H328" s="232"/>
      <c r="I328" s="232">
        <v>0</v>
      </c>
      <c r="J328" s="232"/>
      <c r="K328" s="232">
        <v>-23682</v>
      </c>
      <c r="L328" s="232"/>
      <c r="M328" s="232">
        <v>-23682</v>
      </c>
      <c r="N328" s="232"/>
      <c r="O328" s="232">
        <v>1471422.36</v>
      </c>
      <c r="Q328" s="232"/>
      <c r="U328" s="29"/>
      <c r="V328" s="29"/>
      <c r="W328" s="29"/>
      <c r="Y328" s="232">
        <v>1471422.13</v>
      </c>
      <c r="Z328" s="232">
        <v>-0.23000000021420419</v>
      </c>
    </row>
    <row r="329" spans="1:26">
      <c r="A329" s="9" t="s">
        <v>101</v>
      </c>
      <c r="B329" s="9" t="s">
        <v>2654</v>
      </c>
      <c r="D329" s="2" t="s">
        <v>2176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/>
      <c r="U329" s="29"/>
      <c r="V329" s="29"/>
      <c r="W329" s="29"/>
      <c r="Y329" s="233">
        <v>0</v>
      </c>
      <c r="Z329" s="233">
        <v>0</v>
      </c>
    </row>
    <row r="330" spans="1:26">
      <c r="B330" s="9" t="s">
        <v>2654</v>
      </c>
      <c r="E330" s="232">
        <v>1495104.36</v>
      </c>
      <c r="F330" s="232"/>
      <c r="G330" s="232">
        <v>0</v>
      </c>
      <c r="H330" s="232"/>
      <c r="I330" s="232">
        <v>0</v>
      </c>
      <c r="J330" s="232"/>
      <c r="K330" s="232">
        <v>-23682</v>
      </c>
      <c r="L330" s="232"/>
      <c r="M330" s="232">
        <v>-23682</v>
      </c>
      <c r="N330" s="232"/>
      <c r="O330" s="232">
        <v>1471422.36</v>
      </c>
      <c r="Q330" s="232"/>
      <c r="T330" s="232"/>
      <c r="U330" s="232"/>
      <c r="V330" s="232"/>
      <c r="W330" s="232"/>
      <c r="X330" s="232"/>
      <c r="Y330" s="232">
        <v>1471422.13</v>
      </c>
      <c r="Z330" s="232">
        <v>-0.23000000021420419</v>
      </c>
    </row>
    <row r="331" spans="1:26">
      <c r="B331" s="9" t="s">
        <v>2654</v>
      </c>
      <c r="D331" s="47"/>
      <c r="E331" s="2"/>
      <c r="G331" s="2"/>
      <c r="I331" s="2"/>
      <c r="K331" s="2"/>
      <c r="M331" s="2"/>
      <c r="O331" s="2"/>
      <c r="U331" s="232"/>
      <c r="V331" s="29"/>
      <c r="W331" s="232"/>
      <c r="Y331" s="2"/>
      <c r="Z331" s="2"/>
    </row>
    <row r="332" spans="1:26">
      <c r="B332" s="9" t="s">
        <v>2654</v>
      </c>
      <c r="D332" s="435" t="s">
        <v>2177</v>
      </c>
      <c r="E332"/>
      <c r="F332"/>
      <c r="G332"/>
      <c r="H332"/>
      <c r="I332"/>
      <c r="J332"/>
      <c r="K332"/>
      <c r="L332"/>
      <c r="M332"/>
      <c r="N332"/>
      <c r="O332"/>
      <c r="P332" s="292"/>
      <c r="Q332"/>
      <c r="R332" s="292"/>
      <c r="S332" s="292"/>
      <c r="T332" s="232"/>
      <c r="U332" s="232"/>
      <c r="V332" s="232"/>
      <c r="W332" s="232"/>
      <c r="X332" s="232"/>
      <c r="Y332"/>
      <c r="Z332"/>
    </row>
    <row r="333" spans="1:26">
      <c r="A333" s="2" t="s">
        <v>17</v>
      </c>
      <c r="B333" s="9" t="s">
        <v>2654</v>
      </c>
      <c r="D333" s="198" t="s">
        <v>62</v>
      </c>
      <c r="E333" s="233">
        <v>309540.84999999998</v>
      </c>
      <c r="G333" s="233">
        <v>0</v>
      </c>
      <c r="I333" s="233">
        <v>0</v>
      </c>
      <c r="K333" s="233">
        <v>0</v>
      </c>
      <c r="M333" s="233"/>
      <c r="O333" s="233">
        <v>309540.84999999998</v>
      </c>
      <c r="P333" s="292"/>
      <c r="Q333" s="233"/>
      <c r="R333" s="292"/>
      <c r="S333" s="292"/>
      <c r="U333" s="29"/>
      <c r="V333" s="29"/>
      <c r="W333" s="29"/>
      <c r="Y333" s="233">
        <v>309541</v>
      </c>
      <c r="Z333" s="233">
        <v>0.15000000002328306</v>
      </c>
    </row>
    <row r="334" spans="1:26">
      <c r="B334" s="9" t="s">
        <v>2654</v>
      </c>
      <c r="D334" s="435"/>
      <c r="E334" s="232">
        <v>309540.84999999998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309540.84999999998</v>
      </c>
      <c r="P334" s="292"/>
      <c r="Q334" s="232"/>
      <c r="R334" s="292"/>
      <c r="S334" s="292"/>
      <c r="T334"/>
      <c r="U334" s="436"/>
      <c r="V334" s="436"/>
      <c r="W334" s="436"/>
      <c r="X334"/>
      <c r="Y334" s="232">
        <v>309541</v>
      </c>
      <c r="Z334" s="232">
        <v>0.15000000002328306</v>
      </c>
    </row>
    <row r="335" spans="1:26">
      <c r="B335" s="9" t="s">
        <v>2654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 s="292"/>
      <c r="Q335"/>
      <c r="R335" s="292"/>
      <c r="S335" s="292"/>
      <c r="U335" s="232"/>
      <c r="V335" s="29"/>
      <c r="W335" s="232"/>
      <c r="Y335"/>
      <c r="Z335"/>
    </row>
    <row r="336" spans="1:26">
      <c r="B336" s="9" t="s">
        <v>2654</v>
      </c>
      <c r="D336" s="47"/>
      <c r="E336" s="2"/>
      <c r="G336" s="2"/>
      <c r="I336" s="2"/>
      <c r="K336" s="2"/>
      <c r="M336" s="2"/>
      <c r="O336" s="2"/>
      <c r="T336" s="232"/>
      <c r="U336" s="232"/>
      <c r="V336" s="232"/>
      <c r="W336" s="232"/>
      <c r="X336" s="232"/>
      <c r="Y336" s="2"/>
      <c r="Z336" s="2"/>
    </row>
    <row r="337" spans="1:26">
      <c r="B337" s="9" t="s">
        <v>2654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Q337" s="232"/>
      <c r="T337"/>
      <c r="U337" s="436"/>
      <c r="V337" s="436"/>
      <c r="W337" s="436"/>
      <c r="X337"/>
      <c r="Y337"/>
      <c r="Z337"/>
    </row>
    <row r="338" spans="1:26">
      <c r="B338" s="9" t="s">
        <v>2654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/>
      <c r="N338" s="232"/>
      <c r="O338" s="232">
        <v>0</v>
      </c>
      <c r="Q338" s="232"/>
      <c r="U338" s="29"/>
      <c r="V338" s="29"/>
      <c r="W338" s="29"/>
      <c r="Y338" s="2"/>
      <c r="Z338" s="2"/>
    </row>
    <row r="339" spans="1:26">
      <c r="B339" s="9" t="s">
        <v>2654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/>
      <c r="N339" s="232"/>
      <c r="O339" s="232">
        <v>0</v>
      </c>
      <c r="Q339" s="232"/>
      <c r="T339" s="232"/>
      <c r="U339" s="232"/>
      <c r="V339" s="232"/>
      <c r="W339" s="232"/>
      <c r="X339" s="232"/>
      <c r="Y339" s="232"/>
      <c r="Z339" s="232"/>
    </row>
    <row r="340" spans="1:26">
      <c r="B340" s="9" t="s">
        <v>2654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/>
      <c r="N340" s="232"/>
      <c r="O340" s="232">
        <v>0</v>
      </c>
      <c r="Q340" s="232"/>
      <c r="T340" s="232"/>
      <c r="U340" s="232"/>
      <c r="V340" s="232"/>
      <c r="W340" s="232"/>
      <c r="X340" s="232"/>
      <c r="Y340" s="232"/>
      <c r="Z340" s="232"/>
    </row>
    <row r="341" spans="1:26">
      <c r="B341" s="9" t="s">
        <v>2654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/>
      <c r="N341" s="232"/>
      <c r="O341" s="232">
        <v>0</v>
      </c>
      <c r="Q341" s="232"/>
      <c r="T341" s="232"/>
      <c r="U341" s="232"/>
      <c r="V341" s="232"/>
      <c r="W341" s="232"/>
      <c r="X341" s="232"/>
      <c r="Y341" s="232"/>
      <c r="Z341" s="232"/>
    </row>
    <row r="342" spans="1:26">
      <c r="B342" s="9" t="s">
        <v>2654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/>
      <c r="N342" s="232"/>
      <c r="O342" s="232">
        <v>0</v>
      </c>
      <c r="Q342" s="232"/>
      <c r="T342" s="232"/>
      <c r="U342" s="232"/>
      <c r="V342" s="232"/>
      <c r="W342" s="232"/>
      <c r="X342" s="232"/>
      <c r="Y342" s="232"/>
      <c r="Z342" s="232"/>
    </row>
    <row r="343" spans="1:26" s="49" customFormat="1">
      <c r="A343" s="2"/>
      <c r="B343" s="9" t="s">
        <v>2654</v>
      </c>
      <c r="C343" s="2"/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/>
      <c r="N343" s="232"/>
      <c r="O343" s="233">
        <v>0</v>
      </c>
      <c r="P343" s="2"/>
      <c r="Q343" s="233"/>
      <c r="R343" s="2"/>
      <c r="S343" s="38"/>
      <c r="T343" s="232"/>
      <c r="U343" s="232"/>
      <c r="V343" s="232"/>
      <c r="W343" s="232"/>
      <c r="X343" s="232"/>
      <c r="Y343" s="232"/>
      <c r="Z343" s="232"/>
    </row>
    <row r="344" spans="1:26" ht="15">
      <c r="A344" s="48"/>
      <c r="B344" s="9" t="s">
        <v>2654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Q344" s="232"/>
      <c r="T344" s="232"/>
      <c r="U344" s="232"/>
      <c r="V344" s="232"/>
      <c r="W344" s="232"/>
      <c r="X344" s="232"/>
      <c r="Y344" s="232"/>
      <c r="Z344" s="232"/>
    </row>
    <row r="345" spans="1:26" ht="15">
      <c r="A345" s="48"/>
      <c r="B345" s="9" t="s">
        <v>2654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Q345" s="232"/>
      <c r="T345" s="232"/>
      <c r="U345" s="232"/>
      <c r="V345" s="232"/>
      <c r="W345" s="232"/>
      <c r="X345" s="232"/>
      <c r="Y345" s="232"/>
      <c r="Z345" s="232"/>
    </row>
    <row r="346" spans="1:26">
      <c r="A346" s="49"/>
      <c r="B346" s="9" t="s">
        <v>2654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Q346" s="232"/>
      <c r="T346" s="232"/>
      <c r="U346" s="232"/>
      <c r="V346" s="232"/>
      <c r="W346" s="232"/>
      <c r="X346" s="232"/>
      <c r="Y346" s="232"/>
      <c r="Z346" s="232"/>
    </row>
    <row r="347" spans="1:26">
      <c r="A347" s="2" t="s">
        <v>17</v>
      </c>
      <c r="B347" s="9" t="s">
        <v>2654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/>
      <c r="O347" s="233">
        <v>0</v>
      </c>
      <c r="P347" s="292"/>
      <c r="Q347" s="233"/>
      <c r="R347" s="292"/>
      <c r="S347" s="292"/>
      <c r="U347" s="29"/>
      <c r="V347" s="29"/>
      <c r="W347" s="29"/>
      <c r="Y347" s="233">
        <v>0</v>
      </c>
      <c r="Z347" s="233">
        <v>0</v>
      </c>
    </row>
    <row r="348" spans="1:26">
      <c r="A348" s="49"/>
      <c r="B348" s="9" t="s">
        <v>2654</v>
      </c>
      <c r="C348" s="49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Q348" s="232"/>
      <c r="T348" s="66"/>
      <c r="U348" s="232"/>
      <c r="V348" s="232"/>
      <c r="W348" s="232"/>
      <c r="X348" s="66"/>
      <c r="Y348" s="232">
        <v>0</v>
      </c>
      <c r="Z348" s="232">
        <v>0</v>
      </c>
    </row>
    <row r="349" spans="1:26">
      <c r="A349" s="49"/>
      <c r="B349" s="9" t="s">
        <v>2654</v>
      </c>
      <c r="C349" s="49"/>
      <c r="F349" s="66"/>
      <c r="H349" s="66"/>
      <c r="J349" s="66"/>
      <c r="L349" s="66"/>
      <c r="N349" s="66"/>
      <c r="Q349" s="66"/>
      <c r="T349" s="66"/>
      <c r="U349" s="232"/>
      <c r="V349" s="232"/>
      <c r="W349" s="232"/>
      <c r="X349" s="66"/>
    </row>
    <row r="350" spans="1:26" s="48" customFormat="1" ht="15.75" thickBot="1">
      <c r="A350" s="49"/>
      <c r="B350" s="9" t="s">
        <v>2654</v>
      </c>
      <c r="C350" s="49"/>
      <c r="D350" s="23" t="s">
        <v>115</v>
      </c>
      <c r="E350" s="234">
        <v>1804645.21</v>
      </c>
      <c r="F350" s="66"/>
      <c r="G350" s="234">
        <v>0</v>
      </c>
      <c r="H350" s="66"/>
      <c r="I350" s="234">
        <v>0</v>
      </c>
      <c r="J350" s="66"/>
      <c r="K350" s="234">
        <v>-23682</v>
      </c>
      <c r="L350" s="66"/>
      <c r="M350" s="234">
        <v>-23682</v>
      </c>
      <c r="N350" s="66"/>
      <c r="O350" s="234">
        <v>1780963.21</v>
      </c>
      <c r="P350" s="2"/>
      <c r="Q350" s="234"/>
      <c r="R350" s="2"/>
      <c r="S350" s="2"/>
      <c r="T350" s="2"/>
      <c r="U350" s="232"/>
      <c r="V350" s="29"/>
      <c r="W350" s="232"/>
      <c r="X350" s="2"/>
      <c r="Y350" s="234">
        <v>1780963.13</v>
      </c>
      <c r="Z350" s="234">
        <v>-8.0000000190921128E-2</v>
      </c>
    </row>
    <row r="351" spans="1:26" s="48" customFormat="1" ht="15.75" thickTop="1">
      <c r="A351" s="49"/>
      <c r="B351" s="49"/>
      <c r="C351" s="49"/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2"/>
      <c r="R351" s="2"/>
      <c r="S351" s="2"/>
      <c r="T351" s="2"/>
      <c r="U351" s="232"/>
      <c r="V351" s="29"/>
      <c r="W351" s="232"/>
      <c r="X351" s="2"/>
      <c r="Y351" s="66"/>
      <c r="Z351" s="66"/>
    </row>
    <row r="352" spans="1:26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2"/>
      <c r="R352" s="2"/>
      <c r="S352" s="2"/>
      <c r="T352" s="2"/>
      <c r="U352" s="232"/>
      <c r="V352" s="29"/>
      <c r="W352" s="232"/>
      <c r="X352" s="2"/>
      <c r="Y352" s="66"/>
      <c r="Z352" s="66"/>
    </row>
    <row r="353" spans="1:26" s="49" customFormat="1" ht="15">
      <c r="A353" s="53"/>
      <c r="B353" s="53"/>
      <c r="C353" s="53"/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48"/>
      <c r="Q353" s="48"/>
      <c r="R353" s="48"/>
      <c r="S353" s="48"/>
      <c r="T353" s="2"/>
      <c r="U353" s="232"/>
      <c r="V353" s="29"/>
      <c r="W353" s="232"/>
      <c r="X353" s="2"/>
      <c r="Y353" s="66"/>
      <c r="Z353" s="66"/>
    </row>
    <row r="354" spans="1:26" s="49" customFormat="1" ht="15">
      <c r="A354" s="53"/>
      <c r="B354" s="53"/>
      <c r="C354" s="53"/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48"/>
      <c r="Q354" s="48"/>
      <c r="R354" s="48"/>
      <c r="S354" s="48"/>
      <c r="T354" s="48"/>
      <c r="U354" s="437"/>
      <c r="V354" s="437"/>
      <c r="W354" s="437"/>
      <c r="X354" s="48"/>
      <c r="Y354" s="48"/>
      <c r="Z354" s="48"/>
    </row>
    <row r="355" spans="1:26" s="49" customFormat="1" ht="15">
      <c r="D355" s="493" t="s">
        <v>3701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T355" s="48"/>
      <c r="U355" s="437"/>
      <c r="V355" s="437"/>
      <c r="W355" s="437"/>
      <c r="X355" s="48"/>
      <c r="Y355" s="48"/>
      <c r="Z355" s="48"/>
    </row>
    <row r="356" spans="1:26" s="53" customFormat="1">
      <c r="A356" s="49"/>
      <c r="B356" s="49"/>
      <c r="C356" s="49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49"/>
      <c r="Q356" s="49"/>
      <c r="R356" s="49"/>
      <c r="S356" s="49"/>
      <c r="T356" s="49"/>
      <c r="U356" s="59"/>
      <c r="V356" s="59"/>
      <c r="W356" s="59"/>
      <c r="X356" s="49"/>
      <c r="Y356" s="32"/>
      <c r="Z356" s="32"/>
    </row>
    <row r="357" spans="1:26" s="53" customFormat="1" ht="15">
      <c r="A357" s="49"/>
      <c r="B357" s="49"/>
      <c r="C357" s="49"/>
      <c r="D357" s="49"/>
      <c r="E357" s="4" t="s">
        <v>3702</v>
      </c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50"/>
      <c r="U357" s="438"/>
      <c r="V357" s="438"/>
      <c r="W357" s="438"/>
      <c r="X357" s="50"/>
      <c r="Y357" s="504" t="s">
        <v>1712</v>
      </c>
      <c r="Z357" s="3"/>
    </row>
    <row r="358" spans="1:26" s="53" customFormat="1">
      <c r="A358" s="49"/>
      <c r="B358" s="49"/>
      <c r="C358" s="49"/>
      <c r="D358" s="49"/>
      <c r="E358" s="51" t="s">
        <v>2</v>
      </c>
      <c r="F358" s="49"/>
      <c r="G358" s="52"/>
      <c r="H358" s="49"/>
      <c r="I358" s="52"/>
      <c r="J358" s="49"/>
      <c r="K358" s="51" t="s">
        <v>3</v>
      </c>
      <c r="L358" s="49"/>
      <c r="M358" s="52"/>
      <c r="N358" s="49"/>
      <c r="O358" s="51" t="s">
        <v>4</v>
      </c>
      <c r="P358" s="49"/>
      <c r="Q358" s="49"/>
      <c r="R358" s="49"/>
      <c r="S358" s="49"/>
      <c r="T358" s="3"/>
      <c r="U358" s="434"/>
      <c r="V358" s="434"/>
      <c r="W358" s="434"/>
      <c r="X358" s="3"/>
      <c r="Y358" s="6" t="s">
        <v>3703</v>
      </c>
      <c r="Z358" s="62"/>
    </row>
    <row r="359" spans="1:26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P359" s="53"/>
      <c r="Q359" s="53"/>
      <c r="R359" s="53"/>
      <c r="S359" s="53"/>
      <c r="U359" s="55"/>
      <c r="V359" s="59"/>
      <c r="W359" s="55"/>
      <c r="Y359" s="10" t="s">
        <v>4</v>
      </c>
      <c r="Z359" s="10"/>
    </row>
    <row r="360" spans="1:26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P360" s="53"/>
      <c r="Q360" s="53"/>
      <c r="R360" s="53"/>
      <c r="S360" s="53"/>
      <c r="U360" s="55"/>
      <c r="V360" s="59"/>
      <c r="W360" s="55"/>
      <c r="Y360" s="55" t="s">
        <v>6</v>
      </c>
      <c r="Z360" s="55" t="s">
        <v>13</v>
      </c>
    </row>
    <row r="361" spans="1:26" s="49" customFormat="1">
      <c r="D361" s="56" t="s">
        <v>117</v>
      </c>
      <c r="P361" s="53"/>
      <c r="Q361" s="53"/>
      <c r="R361" s="53"/>
      <c r="S361" s="53"/>
      <c r="U361" s="55"/>
      <c r="V361" s="59"/>
      <c r="W361" s="55"/>
    </row>
    <row r="362" spans="1:26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40"/>
      <c r="Q362" s="37"/>
      <c r="U362" s="59"/>
      <c r="V362" s="59"/>
      <c r="W362" s="59"/>
      <c r="Y362" s="58"/>
      <c r="Z362" s="58"/>
    </row>
    <row r="363" spans="1:26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40"/>
      <c r="Q363" s="37"/>
      <c r="T363" s="58"/>
      <c r="U363" s="58"/>
      <c r="V363" s="58"/>
      <c r="W363" s="58"/>
      <c r="X363" s="58"/>
      <c r="Y363" s="58"/>
      <c r="Z363" s="58"/>
    </row>
    <row r="364" spans="1:26" s="59" customFormat="1">
      <c r="A364" s="49"/>
      <c r="B364" s="49"/>
      <c r="C364" s="49"/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40"/>
      <c r="Q364" s="37"/>
      <c r="R364" s="49"/>
      <c r="S364" s="49"/>
      <c r="T364" s="58"/>
      <c r="U364" s="58"/>
      <c r="V364" s="58"/>
      <c r="W364" s="58"/>
      <c r="X364" s="58"/>
      <c r="Y364" s="58"/>
      <c r="Z364" s="58">
        <v>0</v>
      </c>
    </row>
    <row r="365" spans="1:26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40"/>
      <c r="Q365" s="37"/>
      <c r="T365" s="58"/>
      <c r="U365" s="58"/>
      <c r="V365" s="58"/>
      <c r="W365" s="58"/>
      <c r="X365" s="58"/>
      <c r="Y365" s="58"/>
      <c r="Z365" s="58">
        <v>0</v>
      </c>
    </row>
    <row r="366" spans="1:26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40"/>
      <c r="Q366" s="37"/>
      <c r="T366" s="58"/>
      <c r="U366" s="58"/>
      <c r="V366" s="58"/>
      <c r="W366" s="58"/>
      <c r="X366" s="58"/>
      <c r="Y366" s="58"/>
      <c r="Z366" s="58">
        <v>0</v>
      </c>
    </row>
    <row r="367" spans="1:26" s="49" customFormat="1">
      <c r="A367" s="2"/>
      <c r="B367" s="2"/>
      <c r="C367" s="2"/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40"/>
      <c r="Q367" s="40"/>
      <c r="R367" s="59"/>
      <c r="S367" s="59"/>
      <c r="T367" s="58"/>
      <c r="U367" s="58"/>
      <c r="V367" s="58"/>
      <c r="W367" s="58"/>
      <c r="X367" s="58"/>
      <c r="Y367" s="58"/>
      <c r="Z367" s="58">
        <v>0</v>
      </c>
    </row>
    <row r="368" spans="1:26" s="49" customFormat="1">
      <c r="A368" s="2"/>
      <c r="B368" s="2"/>
      <c r="C368" s="2"/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40"/>
      <c r="Q368" s="37"/>
      <c r="T368" s="58"/>
      <c r="U368" s="58"/>
      <c r="V368" s="58"/>
      <c r="W368" s="58"/>
      <c r="X368" s="58"/>
      <c r="Y368" s="60"/>
      <c r="Z368" s="60">
        <v>0</v>
      </c>
    </row>
    <row r="369" spans="1:26" s="49" customFormat="1">
      <c r="A369" s="2"/>
      <c r="B369" s="2"/>
      <c r="C369" s="2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40"/>
      <c r="Q369" s="37"/>
      <c r="T369" s="58"/>
      <c r="U369" s="58"/>
      <c r="V369" s="58"/>
      <c r="W369" s="58"/>
      <c r="X369" s="58"/>
      <c r="Y369" s="58"/>
      <c r="Z369" s="58">
        <v>0</v>
      </c>
    </row>
    <row r="370" spans="1:26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37"/>
      <c r="Q370" s="37"/>
      <c r="R370" s="49"/>
      <c r="S370" s="49"/>
      <c r="T370" s="58"/>
      <c r="U370" s="58"/>
      <c r="V370" s="58"/>
      <c r="W370" s="58"/>
      <c r="X370" s="58"/>
      <c r="Y370" s="58"/>
      <c r="Z370" s="58"/>
    </row>
    <row r="371" spans="1:26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37"/>
      <c r="Q371" s="37"/>
      <c r="R371" s="49"/>
      <c r="S371" s="49"/>
      <c r="T371" s="52"/>
      <c r="U371" s="58"/>
      <c r="V371" s="58"/>
      <c r="W371" s="58"/>
      <c r="X371" s="52"/>
      <c r="Y371" s="52"/>
      <c r="Z371" s="52"/>
    </row>
    <row r="372" spans="1:26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37"/>
      <c r="Q372" s="37"/>
      <c r="R372" s="49"/>
      <c r="S372" s="49"/>
      <c r="T372" s="52"/>
      <c r="U372" s="58"/>
      <c r="V372" s="58"/>
      <c r="W372" s="58"/>
      <c r="X372" s="52"/>
      <c r="Y372" s="61"/>
      <c r="Z372" s="61"/>
    </row>
    <row r="373" spans="1:26" ht="13.5" thickTop="1">
      <c r="T373" s="52"/>
      <c r="U373" s="58"/>
      <c r="V373" s="58"/>
      <c r="W373" s="58"/>
      <c r="X373" s="52"/>
      <c r="Y373" s="66">
        <v>0</v>
      </c>
      <c r="Z373" s="66">
        <v>0</v>
      </c>
    </row>
    <row r="374" spans="1:26">
      <c r="U374" s="232"/>
      <c r="V374" s="29"/>
      <c r="W374" s="232"/>
    </row>
  </sheetData>
  <pageMargins left="0.75" right="0.75" top="1" bottom="1" header="0.5" footer="0.5"/>
  <pageSetup scale="46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8">
    <pageSetUpPr fitToPage="1"/>
  </sheetPr>
  <dimension ref="A1:X721"/>
  <sheetViews>
    <sheetView zoomScale="85" zoomScaleNormal="85" workbookViewId="0">
      <pane xSplit="6" ySplit="3" topLeftCell="G4" activePane="bottomRight" state="frozen"/>
      <selection activeCell="A52" sqref="A52"/>
      <selection pane="topRight" activeCell="A52" sqref="A52"/>
      <selection pane="bottomLeft" activeCell="A52" sqref="A52"/>
      <selection pane="bottomRight" activeCell="G4" sqref="G4"/>
    </sheetView>
  </sheetViews>
  <sheetFormatPr defaultColWidth="7.75" defaultRowHeight="15"/>
  <cols>
    <col min="1" max="1" width="5.25" style="426" customWidth="1"/>
    <col min="2" max="3" width="4.25" style="426" customWidth="1"/>
    <col min="4" max="4" width="6.5" style="426" customWidth="1"/>
    <col min="5" max="5" width="5.375" style="426" customWidth="1"/>
    <col min="6" max="6" width="48.5" style="799" bestFit="1" customWidth="1"/>
    <col min="7" max="7" width="11.625" style="425" customWidth="1"/>
    <col min="8" max="20" width="9.375" style="426" customWidth="1"/>
    <col min="21" max="21" width="12.25" style="426" customWidth="1"/>
    <col min="22" max="22" width="7.75" style="235"/>
    <col min="23" max="24" width="10.375" style="235" bestFit="1" customWidth="1"/>
    <col min="25" max="16384" width="7.75" style="235"/>
  </cols>
  <sheetData>
    <row r="1" spans="1:21" s="399" customFormat="1" ht="18.75">
      <c r="A1" s="429"/>
      <c r="B1" s="430"/>
      <c r="C1" s="430"/>
      <c r="D1" s="430"/>
      <c r="E1" s="430"/>
      <c r="F1" s="796"/>
      <c r="G1" s="797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</row>
    <row r="2" spans="1:21" s="430" customFormat="1" ht="30">
      <c r="A2" s="430" t="s">
        <v>1714</v>
      </c>
      <c r="B2" s="430" t="s">
        <v>1715</v>
      </c>
      <c r="C2" s="430" t="s">
        <v>2666</v>
      </c>
      <c r="D2" s="430" t="s">
        <v>2667</v>
      </c>
      <c r="E2" s="430" t="s">
        <v>1716</v>
      </c>
      <c r="F2" s="741" t="s">
        <v>2417</v>
      </c>
      <c r="G2" s="798" t="s">
        <v>2668</v>
      </c>
      <c r="H2" s="430" t="s">
        <v>2697</v>
      </c>
      <c r="I2" s="430" t="s">
        <v>2698</v>
      </c>
      <c r="J2" s="430" t="s">
        <v>2699</v>
      </c>
      <c r="K2" s="430" t="s">
        <v>2700</v>
      </c>
      <c r="L2" s="430" t="s">
        <v>2701</v>
      </c>
      <c r="M2" s="430" t="s">
        <v>2702</v>
      </c>
      <c r="N2" s="430" t="s">
        <v>2703</v>
      </c>
      <c r="O2" s="430" t="s">
        <v>2704</v>
      </c>
      <c r="P2" s="430" t="s">
        <v>2705</v>
      </c>
      <c r="Q2" s="430" t="s">
        <v>2706</v>
      </c>
      <c r="R2" s="430" t="s">
        <v>2707</v>
      </c>
      <c r="S2" s="430" t="s">
        <v>2708</v>
      </c>
      <c r="T2" s="430" t="s">
        <v>2709</v>
      </c>
      <c r="U2" s="430" t="s">
        <v>2720</v>
      </c>
    </row>
    <row r="3" spans="1:21" s="430" customFormat="1">
      <c r="F3" s="741" t="s">
        <v>2418</v>
      </c>
      <c r="G3" s="797"/>
    </row>
    <row r="4" spans="1:21" s="426" customFormat="1">
      <c r="F4" s="799"/>
      <c r="G4" s="425"/>
    </row>
    <row r="5" spans="1:21" s="426" customFormat="1">
      <c r="F5" s="800" t="s">
        <v>1717</v>
      </c>
      <c r="G5" s="801"/>
    </row>
    <row r="6" spans="1:21" s="426" customFormat="1">
      <c r="A6" s="426" t="str">
        <f t="shared" ref="A6:A76" si="0">MID($F6,4,2)</f>
        <v>KU</v>
      </c>
      <c r="B6" s="426" t="str">
        <f t="shared" ref="B6:B72" si="1">IF(MID($F6,12,2)="- ","KY",IF(MID($F6,12,2)="SY","KY",MID($F6,12,2)))</f>
        <v>KY</v>
      </c>
      <c r="C6" s="426" t="str">
        <f>IF(ISTEXT(MID($F6,SEARCH("FUTURE USE",$F6),3)),"F",IF(MID($F6,7,1)="1","E",IF(MID($F6,7,1)="2","G",IF(MID($F6,7,1)="3","C",""))))</f>
        <v>E</v>
      </c>
      <c r="D6" s="426" t="s">
        <v>2655</v>
      </c>
      <c r="E6" s="426" t="str">
        <f t="shared" ref="E6:E76" si="2">MID($F6,8,3)</f>
        <v>301</v>
      </c>
      <c r="F6" s="741" t="s">
        <v>1718</v>
      </c>
      <c r="G6" s="425" t="str">
        <f t="shared" ref="G6:G69" si="3">IF(ISTEXT(MID($F6,SEARCH("FUTURE USE",$F6),3)),"FUTURE USE",IF(ISTEXT(MID($F6,SEARCH("ECR",$F6),3)),"ECR",IF(ISTEXT(MID($F6,SEARCH("ARO",$F6),3)),"ARO",IF(ISTEXT(MID($F6,SEARCH("DSM",$F6),3)),"DSM",""))))</f>
        <v/>
      </c>
      <c r="H6" s="426">
        <v>39.116889999999998</v>
      </c>
      <c r="I6" s="426">
        <v>39.116889999999998</v>
      </c>
      <c r="J6" s="426">
        <v>39.116889999999998</v>
      </c>
      <c r="K6" s="426">
        <v>39.116889999999998</v>
      </c>
      <c r="L6" s="426">
        <v>39.116889999999998</v>
      </c>
      <c r="M6" s="426">
        <v>39.116889999999998</v>
      </c>
      <c r="N6" s="426">
        <v>39.116889999999998</v>
      </c>
      <c r="O6" s="426">
        <v>39.116889999999998</v>
      </c>
      <c r="P6" s="426">
        <v>39.116889999999998</v>
      </c>
      <c r="Q6" s="426">
        <v>39.116889999999998</v>
      </c>
      <c r="R6" s="426">
        <v>39.116889999999998</v>
      </c>
      <c r="S6" s="426">
        <v>39.116889999999998</v>
      </c>
      <c r="T6" s="426">
        <v>39.116889999999998</v>
      </c>
    </row>
    <row r="7" spans="1:21" s="426" customFormat="1">
      <c r="A7" s="426" t="str">
        <f t="shared" si="0"/>
        <v>KU</v>
      </c>
      <c r="B7" s="426" t="str">
        <f t="shared" si="1"/>
        <v>VA</v>
      </c>
      <c r="C7" s="426" t="str">
        <f t="shared" ref="C7:C77" si="4">IF(ISTEXT(MID($F7,SEARCH("FUTURE USE",$F7),3)),"F",IF(MID($F7,7,1)="1","E",IF(MID($F7,7,1)="2","G",IF(MID($F7,7,1)="3","C",""))))</f>
        <v>E</v>
      </c>
      <c r="D7" s="426" t="s">
        <v>2655</v>
      </c>
      <c r="E7" s="426" t="str">
        <f t="shared" si="2"/>
        <v>301</v>
      </c>
      <c r="F7" s="741" t="s">
        <v>1719</v>
      </c>
      <c r="G7" s="425" t="str">
        <f t="shared" si="3"/>
        <v/>
      </c>
      <c r="H7" s="426">
        <v>5.3386899999999997</v>
      </c>
      <c r="I7" s="426">
        <v>5.3386899999999997</v>
      </c>
      <c r="J7" s="426">
        <v>5.3386899999999997</v>
      </c>
      <c r="K7" s="426">
        <v>5.3386899999999997</v>
      </c>
      <c r="L7" s="426">
        <v>5.3386899999999997</v>
      </c>
      <c r="M7" s="426">
        <v>5.3386899999999997</v>
      </c>
      <c r="N7" s="426">
        <v>5.3386899999999997</v>
      </c>
      <c r="O7" s="426">
        <v>5.3386899999999997</v>
      </c>
      <c r="P7" s="426">
        <v>5.3386899999999997</v>
      </c>
      <c r="Q7" s="426">
        <v>5.3386899999999997</v>
      </c>
      <c r="R7" s="426">
        <v>5.3386899999999997</v>
      </c>
      <c r="S7" s="426">
        <v>5.3386899999999997</v>
      </c>
      <c r="T7" s="426">
        <v>5.3386899999999997</v>
      </c>
    </row>
    <row r="8" spans="1:21" s="426" customFormat="1">
      <c r="A8" s="426" t="str">
        <f t="shared" si="0"/>
        <v>KU</v>
      </c>
      <c r="B8" s="426" t="str">
        <f t="shared" si="1"/>
        <v>KY</v>
      </c>
      <c r="C8" s="426" t="str">
        <f t="shared" si="4"/>
        <v>E</v>
      </c>
      <c r="D8" s="426" t="s">
        <v>2655</v>
      </c>
      <c r="E8" s="426" t="str">
        <f t="shared" si="2"/>
        <v>302</v>
      </c>
      <c r="F8" s="741" t="s">
        <v>1720</v>
      </c>
      <c r="G8" s="425" t="str">
        <f t="shared" si="3"/>
        <v/>
      </c>
      <c r="H8" s="426">
        <v>55.91883</v>
      </c>
      <c r="I8" s="426">
        <v>55.91883</v>
      </c>
      <c r="J8" s="426">
        <v>55.91883</v>
      </c>
      <c r="K8" s="426">
        <v>55.91883</v>
      </c>
      <c r="L8" s="426">
        <v>55.91883</v>
      </c>
      <c r="M8" s="426">
        <v>55.91883</v>
      </c>
      <c r="N8" s="426">
        <v>55.91883</v>
      </c>
      <c r="O8" s="426">
        <v>55.91883</v>
      </c>
      <c r="P8" s="426">
        <v>55.91883</v>
      </c>
      <c r="Q8" s="426">
        <v>55.91883</v>
      </c>
      <c r="R8" s="426">
        <v>144.36866000000001</v>
      </c>
      <c r="S8" s="426">
        <v>144.36866000000001</v>
      </c>
      <c r="T8" s="426">
        <v>144.36866000000001</v>
      </c>
    </row>
    <row r="9" spans="1:21" s="426" customFormat="1">
      <c r="A9" s="426" t="str">
        <f t="shared" si="0"/>
        <v>KU</v>
      </c>
      <c r="B9" s="426" t="str">
        <f t="shared" si="1"/>
        <v>KY</v>
      </c>
      <c r="C9" s="426" t="str">
        <f t="shared" si="4"/>
        <v>E</v>
      </c>
      <c r="D9" s="426" t="s">
        <v>2655</v>
      </c>
      <c r="E9" s="426" t="str">
        <f t="shared" si="2"/>
        <v>303</v>
      </c>
      <c r="F9" s="741" t="s">
        <v>2710</v>
      </c>
      <c r="G9" s="425" t="str">
        <f t="shared" si="3"/>
        <v/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426">
        <v>841.30866000000003</v>
      </c>
      <c r="P9" s="426">
        <v>955.27705000000003</v>
      </c>
      <c r="Q9" s="426">
        <v>967.02705000000003</v>
      </c>
      <c r="R9" s="426">
        <v>1806.6129800000001</v>
      </c>
      <c r="S9" s="426">
        <v>1806.6129800000001</v>
      </c>
      <c r="T9" s="426">
        <v>1806.6129800000001</v>
      </c>
    </row>
    <row r="10" spans="1:21" s="426" customFormat="1">
      <c r="A10" s="426" t="str">
        <f t="shared" si="0"/>
        <v>KU</v>
      </c>
      <c r="B10" s="426" t="str">
        <f t="shared" si="1"/>
        <v>KY</v>
      </c>
      <c r="C10" s="426" t="str">
        <f t="shared" si="4"/>
        <v>E</v>
      </c>
      <c r="D10" s="426" t="s">
        <v>2655</v>
      </c>
      <c r="E10" s="426" t="str">
        <f t="shared" si="2"/>
        <v>303</v>
      </c>
      <c r="F10" s="741" t="s">
        <v>1721</v>
      </c>
      <c r="G10" s="425" t="str">
        <f t="shared" si="3"/>
        <v/>
      </c>
      <c r="H10" s="426">
        <v>70253.972829999999</v>
      </c>
      <c r="I10" s="426">
        <v>70338.035430000004</v>
      </c>
      <c r="J10" s="426">
        <v>70452.477050000001</v>
      </c>
      <c r="K10" s="426">
        <v>70781.610329999996</v>
      </c>
      <c r="L10" s="426">
        <v>70591.537769999995</v>
      </c>
      <c r="M10" s="426">
        <v>70099.625010000003</v>
      </c>
      <c r="N10" s="426">
        <v>67601.74583</v>
      </c>
      <c r="O10" s="426">
        <v>80968.564509999997</v>
      </c>
      <c r="P10" s="426">
        <v>81460.618999999904</v>
      </c>
      <c r="Q10" s="426">
        <v>82424.166839999903</v>
      </c>
      <c r="R10" s="426">
        <v>84226.797479999906</v>
      </c>
      <c r="S10" s="426">
        <v>83375.881469999906</v>
      </c>
      <c r="T10" s="426">
        <v>84942.943089999899</v>
      </c>
    </row>
    <row r="11" spans="1:21" s="426" customFormat="1">
      <c r="A11" s="426" t="str">
        <f t="shared" si="0"/>
        <v>KU</v>
      </c>
      <c r="B11" s="426" t="str">
        <f t="shared" si="1"/>
        <v>KY</v>
      </c>
      <c r="C11" s="426" t="str">
        <f t="shared" si="4"/>
        <v>E</v>
      </c>
      <c r="D11" s="426" t="s">
        <v>2655</v>
      </c>
      <c r="E11" s="426" t="str">
        <f t="shared" si="2"/>
        <v>303</v>
      </c>
      <c r="F11" s="741" t="s">
        <v>1722</v>
      </c>
      <c r="G11" s="425" t="str">
        <f t="shared" si="3"/>
        <v/>
      </c>
      <c r="H11" s="426">
        <v>18744.84288</v>
      </c>
      <c r="I11" s="426">
        <v>18744.84288</v>
      </c>
      <c r="J11" s="426">
        <v>18744.84288</v>
      </c>
      <c r="K11" s="426">
        <v>18744.84288</v>
      </c>
      <c r="L11" s="426">
        <v>18744.84288</v>
      </c>
      <c r="M11" s="426">
        <v>18416.51052</v>
      </c>
      <c r="N11" s="426">
        <v>18416.51052</v>
      </c>
      <c r="O11" s="426">
        <v>18416.51052</v>
      </c>
      <c r="P11" s="426">
        <v>18404.398280000001</v>
      </c>
      <c r="Q11" s="426">
        <v>18404.398280000001</v>
      </c>
      <c r="R11" s="426">
        <v>18404.398280000001</v>
      </c>
      <c r="S11" s="426">
        <v>18404.398280000001</v>
      </c>
      <c r="T11" s="426">
        <v>18258.388429999999</v>
      </c>
    </row>
    <row r="12" spans="1:21" s="426" customFormat="1">
      <c r="A12" s="426" t="str">
        <f t="shared" si="0"/>
        <v>KU</v>
      </c>
      <c r="B12" s="426" t="str">
        <f t="shared" si="1"/>
        <v>KY</v>
      </c>
      <c r="C12" s="426" t="str">
        <f t="shared" si="4"/>
        <v>E</v>
      </c>
      <c r="D12" s="426" t="s">
        <v>2655</v>
      </c>
      <c r="E12" s="426" t="str">
        <f t="shared" si="2"/>
        <v>310</v>
      </c>
      <c r="F12" s="741" t="s">
        <v>1723</v>
      </c>
      <c r="G12" s="425" t="str">
        <f t="shared" si="3"/>
        <v>ECR</v>
      </c>
      <c r="H12" s="426">
        <v>11616.5598299999</v>
      </c>
      <c r="I12" s="426">
        <v>11616.5598299999</v>
      </c>
      <c r="J12" s="426">
        <v>11616.5598299999</v>
      </c>
      <c r="K12" s="426">
        <v>11632.9535399999</v>
      </c>
      <c r="L12" s="426">
        <v>11632.9535399999</v>
      </c>
      <c r="M12" s="426">
        <v>11632.9535399999</v>
      </c>
      <c r="N12" s="426">
        <v>10406.297269999901</v>
      </c>
      <c r="O12" s="426">
        <v>10406.297269999901</v>
      </c>
      <c r="P12" s="426">
        <v>10406.297269999901</v>
      </c>
      <c r="Q12" s="426">
        <v>10406.297269999901</v>
      </c>
      <c r="R12" s="426">
        <v>10406.297269999901</v>
      </c>
      <c r="S12" s="426">
        <v>10406.297269999901</v>
      </c>
      <c r="T12" s="426">
        <v>10406.297269999901</v>
      </c>
    </row>
    <row r="13" spans="1:21" s="426" customFormat="1">
      <c r="A13" s="426" t="str">
        <f t="shared" si="0"/>
        <v>KU</v>
      </c>
      <c r="B13" s="426" t="str">
        <f t="shared" si="1"/>
        <v>KY</v>
      </c>
      <c r="C13" s="426" t="str">
        <f t="shared" si="4"/>
        <v>E</v>
      </c>
      <c r="D13" s="426" t="s">
        <v>2655</v>
      </c>
      <c r="E13" s="426" t="str">
        <f t="shared" si="2"/>
        <v>310</v>
      </c>
      <c r="F13" s="741" t="s">
        <v>2711</v>
      </c>
      <c r="G13" s="425" t="str">
        <f t="shared" si="3"/>
        <v>ECR</v>
      </c>
      <c r="H13" s="426">
        <v>0</v>
      </c>
      <c r="I13" s="426">
        <v>0</v>
      </c>
      <c r="J13" s="426">
        <v>0</v>
      </c>
      <c r="K13" s="426">
        <v>0</v>
      </c>
      <c r="L13" s="426">
        <v>0</v>
      </c>
      <c r="M13" s="426">
        <v>0</v>
      </c>
      <c r="N13" s="426">
        <v>1226.6562699999999</v>
      </c>
      <c r="O13" s="426">
        <v>1226.6562699999999</v>
      </c>
      <c r="P13" s="426">
        <v>1226.6562699999999</v>
      </c>
      <c r="Q13" s="426">
        <v>1226.6562699999999</v>
      </c>
      <c r="R13" s="426">
        <v>1226.6562699999999</v>
      </c>
      <c r="S13" s="426">
        <v>1226.6562699999999</v>
      </c>
      <c r="T13" s="426">
        <v>1226.6562699999999</v>
      </c>
    </row>
    <row r="14" spans="1:21" s="426" customFormat="1">
      <c r="A14" s="426" t="str">
        <f t="shared" si="0"/>
        <v>KU</v>
      </c>
      <c r="B14" s="426" t="str">
        <f t="shared" si="1"/>
        <v>KY</v>
      </c>
      <c r="C14" s="426" t="str">
        <f t="shared" si="4"/>
        <v>E</v>
      </c>
      <c r="D14" s="426" t="s">
        <v>2655</v>
      </c>
      <c r="E14" s="426" t="str">
        <f t="shared" si="2"/>
        <v>310</v>
      </c>
      <c r="F14" s="741" t="s">
        <v>1724</v>
      </c>
      <c r="G14" s="425" t="str">
        <f t="shared" si="3"/>
        <v>ECR</v>
      </c>
      <c r="H14" s="426">
        <v>1406.9974500000001</v>
      </c>
      <c r="I14" s="426">
        <v>1406.9974500000001</v>
      </c>
      <c r="J14" s="426">
        <v>1406.9974500000001</v>
      </c>
      <c r="K14" s="426">
        <v>1406.9974500000001</v>
      </c>
      <c r="L14" s="426">
        <v>1406.9974500000001</v>
      </c>
      <c r="M14" s="426">
        <v>1406.9974500000001</v>
      </c>
      <c r="N14" s="426">
        <v>1406.9974500000001</v>
      </c>
      <c r="O14" s="426">
        <v>1406.9974500000001</v>
      </c>
      <c r="P14" s="426">
        <v>1406.9974500000001</v>
      </c>
      <c r="Q14" s="426">
        <v>1406.9974500000001</v>
      </c>
      <c r="R14" s="426">
        <v>1406.9974500000001</v>
      </c>
      <c r="S14" s="426">
        <v>1406.9974500000001</v>
      </c>
      <c r="T14" s="426">
        <v>1406.9974500000001</v>
      </c>
    </row>
    <row r="15" spans="1:21" s="426" customFormat="1">
      <c r="A15" s="426" t="str">
        <f t="shared" si="0"/>
        <v>KU</v>
      </c>
      <c r="B15" s="426" t="str">
        <f t="shared" si="1"/>
        <v>KY</v>
      </c>
      <c r="C15" s="426" t="str">
        <f t="shared" si="4"/>
        <v>E</v>
      </c>
      <c r="D15" s="426" t="s">
        <v>2655</v>
      </c>
      <c r="E15" s="426" t="str">
        <f t="shared" si="2"/>
        <v>310</v>
      </c>
      <c r="F15" s="741" t="s">
        <v>2397</v>
      </c>
      <c r="G15" s="425" t="str">
        <f t="shared" si="3"/>
        <v>ECR</v>
      </c>
      <c r="H15" s="426">
        <v>521.00043000000005</v>
      </c>
      <c r="I15" s="426">
        <v>521.00043000000005</v>
      </c>
      <c r="J15" s="426">
        <v>521.00043000000005</v>
      </c>
      <c r="K15" s="426">
        <v>521.00043000000005</v>
      </c>
      <c r="L15" s="426">
        <v>521.00043000000005</v>
      </c>
      <c r="M15" s="426">
        <v>521.00043000000005</v>
      </c>
      <c r="N15" s="426">
        <v>0</v>
      </c>
      <c r="O15" s="426">
        <v>0</v>
      </c>
      <c r="P15" s="426">
        <v>0</v>
      </c>
      <c r="Q15" s="426">
        <v>0</v>
      </c>
      <c r="R15" s="426">
        <v>0</v>
      </c>
      <c r="S15" s="426">
        <v>0</v>
      </c>
      <c r="T15" s="426">
        <v>0</v>
      </c>
    </row>
    <row r="16" spans="1:21" s="426" customFormat="1">
      <c r="A16" s="426" t="str">
        <f t="shared" si="0"/>
        <v>KU</v>
      </c>
      <c r="B16" s="426" t="str">
        <f t="shared" si="1"/>
        <v>KY</v>
      </c>
      <c r="C16" s="426" t="str">
        <f t="shared" si="4"/>
        <v>E</v>
      </c>
      <c r="D16" s="426" t="s">
        <v>2655</v>
      </c>
      <c r="E16" s="426" t="str">
        <f t="shared" si="2"/>
        <v>310</v>
      </c>
      <c r="F16" s="741" t="s">
        <v>2712</v>
      </c>
      <c r="G16" s="425" t="str">
        <f t="shared" si="3"/>
        <v>ECR</v>
      </c>
      <c r="H16" s="426">
        <v>0</v>
      </c>
      <c r="I16" s="426">
        <v>0</v>
      </c>
      <c r="J16" s="426">
        <v>0</v>
      </c>
      <c r="K16" s="426">
        <v>0</v>
      </c>
      <c r="L16" s="426">
        <v>0</v>
      </c>
      <c r="M16" s="426">
        <v>0</v>
      </c>
      <c r="N16" s="426">
        <v>521.00043000000005</v>
      </c>
      <c r="O16" s="426">
        <v>521.00043000000005</v>
      </c>
      <c r="P16" s="426">
        <v>521.00043000000005</v>
      </c>
      <c r="Q16" s="426">
        <v>521.00043000000005</v>
      </c>
      <c r="R16" s="426">
        <v>521.00043000000005</v>
      </c>
      <c r="S16" s="426">
        <v>521.00043000000005</v>
      </c>
      <c r="T16" s="426">
        <v>521.00043000000005</v>
      </c>
    </row>
    <row r="17" spans="1:20" s="426" customFormat="1">
      <c r="A17" s="426" t="str">
        <f t="shared" si="0"/>
        <v>KU</v>
      </c>
      <c r="B17" s="426" t="str">
        <f t="shared" si="1"/>
        <v>KY</v>
      </c>
      <c r="C17" s="426" t="str">
        <f t="shared" si="4"/>
        <v>E</v>
      </c>
      <c r="D17" s="426" t="s">
        <v>2655</v>
      </c>
      <c r="E17" s="426" t="str">
        <f t="shared" si="2"/>
        <v>310</v>
      </c>
      <c r="F17" s="741" t="s">
        <v>1725</v>
      </c>
      <c r="G17" s="425" t="str">
        <f t="shared" si="3"/>
        <v/>
      </c>
      <c r="H17" s="426">
        <v>11398.80449</v>
      </c>
      <c r="I17" s="426">
        <v>11426.440419999901</v>
      </c>
      <c r="J17" s="426">
        <v>11426.440419999901</v>
      </c>
      <c r="K17" s="426">
        <v>11426.440419999901</v>
      </c>
      <c r="L17" s="426">
        <v>11426.440419999901</v>
      </c>
      <c r="M17" s="426">
        <v>11426.440419999901</v>
      </c>
      <c r="N17" s="426">
        <v>11426.440419999901</v>
      </c>
      <c r="O17" s="426">
        <v>11432.760989999901</v>
      </c>
      <c r="P17" s="426">
        <v>11432.760989999901</v>
      </c>
      <c r="Q17" s="426">
        <v>11432.760989999901</v>
      </c>
      <c r="R17" s="426">
        <v>11432.760989999901</v>
      </c>
      <c r="S17" s="426">
        <v>11432.760989999901</v>
      </c>
      <c r="T17" s="426">
        <v>11432.760989999901</v>
      </c>
    </row>
    <row r="18" spans="1:20" s="426" customFormat="1">
      <c r="A18" s="426" t="str">
        <f t="shared" si="0"/>
        <v>KU</v>
      </c>
      <c r="B18" s="426" t="str">
        <f t="shared" si="1"/>
        <v>KY</v>
      </c>
      <c r="C18" s="426" t="str">
        <f t="shared" si="4"/>
        <v>E</v>
      </c>
      <c r="D18" s="426" t="s">
        <v>2655</v>
      </c>
      <c r="E18" s="426" t="str">
        <f t="shared" si="2"/>
        <v>311</v>
      </c>
      <c r="F18" s="741" t="s">
        <v>1726</v>
      </c>
      <c r="G18" s="425" t="str">
        <f t="shared" si="3"/>
        <v>ECR</v>
      </c>
      <c r="H18" s="426">
        <v>10530.00556</v>
      </c>
      <c r="I18" s="426">
        <v>10530.00556</v>
      </c>
      <c r="J18" s="426">
        <v>10530.00556</v>
      </c>
      <c r="K18" s="426">
        <v>10530.00556</v>
      </c>
      <c r="L18" s="426">
        <v>10530.00556</v>
      </c>
      <c r="M18" s="426">
        <v>10334.791880000001</v>
      </c>
      <c r="N18" s="426">
        <v>10014.774890000001</v>
      </c>
      <c r="O18" s="426">
        <v>10014.774890000001</v>
      </c>
      <c r="P18" s="426">
        <v>10014.774890000001</v>
      </c>
      <c r="Q18" s="426">
        <v>10014.774890000001</v>
      </c>
      <c r="R18" s="426">
        <v>10014.774890000001</v>
      </c>
      <c r="S18" s="426">
        <v>10014.774890000001</v>
      </c>
      <c r="T18" s="426">
        <v>10014.774890000001</v>
      </c>
    </row>
    <row r="19" spans="1:20" s="426" customFormat="1">
      <c r="A19" s="426" t="str">
        <f t="shared" si="0"/>
        <v>KU</v>
      </c>
      <c r="B19" s="426" t="str">
        <f t="shared" si="1"/>
        <v>KY</v>
      </c>
      <c r="C19" s="426" t="str">
        <f t="shared" si="4"/>
        <v>E</v>
      </c>
      <c r="D19" s="426" t="s">
        <v>2655</v>
      </c>
      <c r="E19" s="426" t="str">
        <f t="shared" si="2"/>
        <v>311</v>
      </c>
      <c r="F19" s="741" t="s">
        <v>2713</v>
      </c>
      <c r="G19" s="425" t="str">
        <f t="shared" si="3"/>
        <v>ECR</v>
      </c>
      <c r="H19" s="426">
        <v>0</v>
      </c>
      <c r="I19" s="426">
        <v>0</v>
      </c>
      <c r="J19" s="426">
        <v>0</v>
      </c>
      <c r="K19" s="426">
        <v>0</v>
      </c>
      <c r="L19" s="426">
        <v>0</v>
      </c>
      <c r="M19" s="426">
        <v>0</v>
      </c>
      <c r="N19" s="426">
        <v>320.01699000000002</v>
      </c>
      <c r="O19" s="426">
        <v>320.01699000000002</v>
      </c>
      <c r="P19" s="426">
        <v>320.01699000000002</v>
      </c>
      <c r="Q19" s="426">
        <v>320.01699000000002</v>
      </c>
      <c r="R19" s="426">
        <v>320.01699000000002</v>
      </c>
      <c r="S19" s="426">
        <v>320.01699000000002</v>
      </c>
      <c r="T19" s="426">
        <v>320.01699000000002</v>
      </c>
    </row>
    <row r="20" spans="1:20" s="426" customFormat="1">
      <c r="A20" s="426" t="str">
        <f t="shared" si="0"/>
        <v>KU</v>
      </c>
      <c r="B20" s="426" t="str">
        <f t="shared" si="1"/>
        <v>KY</v>
      </c>
      <c r="C20" s="426" t="str">
        <f t="shared" si="4"/>
        <v>E</v>
      </c>
      <c r="D20" s="426" t="s">
        <v>2655</v>
      </c>
      <c r="E20" s="426" t="str">
        <f t="shared" si="2"/>
        <v>311</v>
      </c>
      <c r="F20" s="741" t="s">
        <v>2178</v>
      </c>
      <c r="G20" s="425" t="str">
        <f t="shared" si="3"/>
        <v>ECR</v>
      </c>
      <c r="H20" s="426">
        <v>14572.80107</v>
      </c>
      <c r="I20" s="426">
        <v>14572.80107</v>
      </c>
      <c r="J20" s="426">
        <v>14572.80107</v>
      </c>
      <c r="K20" s="426">
        <v>14572.80107</v>
      </c>
      <c r="L20" s="426">
        <v>14572.80107</v>
      </c>
      <c r="M20" s="426">
        <v>14572.80107</v>
      </c>
      <c r="N20" s="426">
        <v>14572.80107</v>
      </c>
      <c r="O20" s="426">
        <v>14572.80107</v>
      </c>
      <c r="P20" s="426">
        <v>14572.80107</v>
      </c>
      <c r="Q20" s="426">
        <v>14572.80107</v>
      </c>
      <c r="R20" s="426">
        <v>14572.80107</v>
      </c>
      <c r="S20" s="426">
        <v>14572.80107</v>
      </c>
      <c r="T20" s="426">
        <v>14572.80107</v>
      </c>
    </row>
    <row r="21" spans="1:20" s="426" customFormat="1">
      <c r="A21" s="426" t="str">
        <f t="shared" si="0"/>
        <v>KU</v>
      </c>
      <c r="B21" s="426" t="str">
        <f t="shared" si="1"/>
        <v>KY</v>
      </c>
      <c r="C21" s="426" t="str">
        <f t="shared" si="4"/>
        <v>E</v>
      </c>
      <c r="D21" s="426" t="s">
        <v>2655</v>
      </c>
      <c r="E21" s="426" t="str">
        <f t="shared" si="2"/>
        <v>311</v>
      </c>
      <c r="F21" s="741" t="s">
        <v>1727</v>
      </c>
      <c r="G21" s="425" t="str">
        <f t="shared" si="3"/>
        <v/>
      </c>
      <c r="H21" s="426">
        <v>326818.59722999902</v>
      </c>
      <c r="I21" s="426">
        <v>326934.37059999898</v>
      </c>
      <c r="J21" s="426">
        <v>326357.09855</v>
      </c>
      <c r="K21" s="426">
        <v>326241.96944999998</v>
      </c>
      <c r="L21" s="426">
        <v>326253.76501999999</v>
      </c>
      <c r="M21" s="426">
        <v>326240.61621000001</v>
      </c>
      <c r="N21" s="426">
        <v>327530.11476000003</v>
      </c>
      <c r="O21" s="426">
        <v>328941.04955</v>
      </c>
      <c r="P21" s="426">
        <v>329466.68861999997</v>
      </c>
      <c r="Q21" s="426">
        <v>329757.91801999998</v>
      </c>
      <c r="R21" s="426">
        <v>331358.21000999998</v>
      </c>
      <c r="S21" s="426">
        <v>331358.21000999998</v>
      </c>
      <c r="T21" s="426">
        <v>331358.21000999998</v>
      </c>
    </row>
    <row r="22" spans="1:20" s="426" customFormat="1">
      <c r="A22" s="426" t="str">
        <f t="shared" si="0"/>
        <v>KU</v>
      </c>
      <c r="B22" s="426" t="str">
        <f t="shared" si="1"/>
        <v>KY</v>
      </c>
      <c r="C22" s="426" t="str">
        <f t="shared" si="4"/>
        <v>E</v>
      </c>
      <c r="D22" s="426" t="s">
        <v>2655</v>
      </c>
      <c r="E22" s="426" t="str">
        <f t="shared" si="2"/>
        <v>312</v>
      </c>
      <c r="F22" s="741" t="s">
        <v>1728</v>
      </c>
      <c r="G22" s="425" t="str">
        <f t="shared" si="3"/>
        <v/>
      </c>
      <c r="H22" s="426">
        <v>2679712.6953099999</v>
      </c>
      <c r="I22" s="426">
        <v>2677636.1703999899</v>
      </c>
      <c r="J22" s="426">
        <v>2681896.3873999901</v>
      </c>
      <c r="K22" s="426">
        <v>2685128.3343499899</v>
      </c>
      <c r="L22" s="426">
        <v>2687849.9572499902</v>
      </c>
      <c r="M22" s="426">
        <v>2691148.4903499899</v>
      </c>
      <c r="N22" s="426">
        <v>2688008.5652499902</v>
      </c>
      <c r="O22" s="426">
        <v>2694209.01818999</v>
      </c>
      <c r="P22" s="426">
        <v>2697518.9348299899</v>
      </c>
      <c r="Q22" s="426">
        <v>2707753.3071899898</v>
      </c>
      <c r="R22" s="426">
        <v>2694050.1195499902</v>
      </c>
      <c r="S22" s="426">
        <v>2692932.4152199901</v>
      </c>
      <c r="T22" s="426">
        <v>2687357.1485299901</v>
      </c>
    </row>
    <row r="23" spans="1:20" s="426" customFormat="1">
      <c r="A23" s="426" t="str">
        <f t="shared" si="0"/>
        <v>KU</v>
      </c>
      <c r="B23" s="426" t="str">
        <f t="shared" si="1"/>
        <v>KY</v>
      </c>
      <c r="C23" s="426" t="str">
        <f t="shared" si="4"/>
        <v>E</v>
      </c>
      <c r="D23" s="426" t="s">
        <v>2655</v>
      </c>
      <c r="E23" s="426" t="str">
        <f t="shared" si="2"/>
        <v>312</v>
      </c>
      <c r="F23" s="741" t="s">
        <v>1729</v>
      </c>
      <c r="G23" s="425" t="str">
        <f t="shared" si="3"/>
        <v>ECR</v>
      </c>
      <c r="H23" s="426">
        <v>533939.10412000003</v>
      </c>
      <c r="I23" s="426">
        <v>533939.10412000003</v>
      </c>
      <c r="J23" s="426">
        <v>533940.50445000001</v>
      </c>
      <c r="K23" s="426">
        <v>537503.423149999</v>
      </c>
      <c r="L23" s="426">
        <v>537503.423149999</v>
      </c>
      <c r="M23" s="426">
        <v>537503.423149999</v>
      </c>
      <c r="N23" s="426">
        <v>442593.40618999902</v>
      </c>
      <c r="O23" s="426">
        <v>442746.21239999903</v>
      </c>
      <c r="P23" s="426">
        <v>446462.03906999901</v>
      </c>
      <c r="Q23" s="426">
        <v>448064.43206999899</v>
      </c>
      <c r="R23" s="426">
        <v>444366.08430999902</v>
      </c>
      <c r="S23" s="426">
        <v>444366.08430999902</v>
      </c>
      <c r="T23" s="426">
        <v>444366.08430999902</v>
      </c>
    </row>
    <row r="24" spans="1:20" s="426" customFormat="1">
      <c r="A24" s="426" t="str">
        <f t="shared" si="0"/>
        <v>KU</v>
      </c>
      <c r="B24" s="426" t="str">
        <f t="shared" si="1"/>
        <v>KY</v>
      </c>
      <c r="C24" s="426" t="str">
        <f t="shared" si="4"/>
        <v>E</v>
      </c>
      <c r="D24" s="426" t="s">
        <v>2655</v>
      </c>
      <c r="E24" s="426" t="str">
        <f t="shared" si="2"/>
        <v>312</v>
      </c>
      <c r="F24" s="741" t="s">
        <v>2714</v>
      </c>
      <c r="G24" s="425" t="str">
        <f t="shared" si="3"/>
        <v>ECR</v>
      </c>
      <c r="H24" s="426">
        <v>0</v>
      </c>
      <c r="I24" s="426">
        <v>0</v>
      </c>
      <c r="J24" s="426">
        <v>0</v>
      </c>
      <c r="K24" s="426">
        <v>0</v>
      </c>
      <c r="L24" s="426">
        <v>0</v>
      </c>
      <c r="M24" s="426">
        <v>0</v>
      </c>
      <c r="N24" s="426">
        <v>94910.016959999994</v>
      </c>
      <c r="O24" s="426">
        <v>97292.381369999901</v>
      </c>
      <c r="P24" s="426">
        <v>97284.781969999894</v>
      </c>
      <c r="Q24" s="426">
        <v>97284.781969999894</v>
      </c>
      <c r="R24" s="426">
        <v>97284.781969999894</v>
      </c>
      <c r="S24" s="426">
        <v>97284.781969999894</v>
      </c>
      <c r="T24" s="426">
        <v>97284.781969999894</v>
      </c>
    </row>
    <row r="25" spans="1:20" s="426" customFormat="1">
      <c r="A25" s="426" t="str">
        <f t="shared" si="0"/>
        <v>KU</v>
      </c>
      <c r="B25" s="426" t="str">
        <f t="shared" si="1"/>
        <v>KY</v>
      </c>
      <c r="C25" s="426" t="str">
        <f t="shared" si="4"/>
        <v>E</v>
      </c>
      <c r="D25" s="426" t="s">
        <v>2655</v>
      </c>
      <c r="E25" s="426" t="str">
        <f t="shared" si="2"/>
        <v>312</v>
      </c>
      <c r="F25" s="741" t="s">
        <v>1730</v>
      </c>
      <c r="G25" s="425" t="str">
        <f t="shared" si="3"/>
        <v>ECR</v>
      </c>
      <c r="H25" s="426">
        <v>825407.46409999998</v>
      </c>
      <c r="I25" s="426">
        <v>825407.46409999998</v>
      </c>
      <c r="J25" s="426">
        <v>825407.46409999998</v>
      </c>
      <c r="K25" s="426">
        <v>825407.46409999998</v>
      </c>
      <c r="L25" s="426">
        <v>825407.46409999998</v>
      </c>
      <c r="M25" s="426">
        <v>825176.5797</v>
      </c>
      <c r="N25" s="426">
        <v>825023.66769999999</v>
      </c>
      <c r="O25" s="426">
        <v>825023.66769999999</v>
      </c>
      <c r="P25" s="426">
        <v>825023.66769999999</v>
      </c>
      <c r="Q25" s="426">
        <v>826147.85872999998</v>
      </c>
      <c r="R25" s="426">
        <v>827644.36473999999</v>
      </c>
      <c r="S25" s="426">
        <v>827644.36473999999</v>
      </c>
      <c r="T25" s="426">
        <v>827644.36473999999</v>
      </c>
    </row>
    <row r="26" spans="1:20" s="426" customFormat="1">
      <c r="A26" s="426" t="str">
        <f t="shared" si="0"/>
        <v>KU</v>
      </c>
      <c r="B26" s="426" t="str">
        <f t="shared" si="1"/>
        <v>KY</v>
      </c>
      <c r="C26" s="426" t="str">
        <f t="shared" si="4"/>
        <v>E</v>
      </c>
      <c r="D26" s="426" t="s">
        <v>2655</v>
      </c>
      <c r="E26" s="426" t="str">
        <f t="shared" si="2"/>
        <v>312</v>
      </c>
      <c r="F26" s="741" t="s">
        <v>2179</v>
      </c>
      <c r="G26" s="425" t="str">
        <f t="shared" si="3"/>
        <v>ECR</v>
      </c>
      <c r="H26" s="426">
        <v>48216.82776</v>
      </c>
      <c r="I26" s="426">
        <v>48216.82776</v>
      </c>
      <c r="J26" s="426">
        <v>202608.62416000001</v>
      </c>
      <c r="K26" s="426">
        <v>227616.46182999999</v>
      </c>
      <c r="L26" s="426">
        <v>227616.46182999999</v>
      </c>
      <c r="M26" s="426">
        <v>227616.46182999999</v>
      </c>
      <c r="N26" s="426">
        <v>7314.1382299999996</v>
      </c>
      <c r="O26" s="426">
        <v>17297.593099999998</v>
      </c>
      <c r="P26" s="426">
        <v>17297.593099999998</v>
      </c>
      <c r="Q26" s="426">
        <v>17297.593099999998</v>
      </c>
      <c r="R26" s="426">
        <v>17297.593099999998</v>
      </c>
      <c r="S26" s="426">
        <v>17297.593099999998</v>
      </c>
      <c r="T26" s="426">
        <v>17297.593099999998</v>
      </c>
    </row>
    <row r="27" spans="1:20" s="426" customFormat="1">
      <c r="A27" s="426" t="str">
        <f t="shared" si="0"/>
        <v>KU</v>
      </c>
      <c r="B27" s="426" t="str">
        <f t="shared" si="1"/>
        <v>KY</v>
      </c>
      <c r="C27" s="426" t="str">
        <f t="shared" si="4"/>
        <v>E</v>
      </c>
      <c r="D27" s="426" t="s">
        <v>2655</v>
      </c>
      <c r="E27" s="426" t="str">
        <f t="shared" si="2"/>
        <v>312</v>
      </c>
      <c r="F27" s="741" t="s">
        <v>2715</v>
      </c>
      <c r="G27" s="425" t="str">
        <f t="shared" si="3"/>
        <v>ECR</v>
      </c>
      <c r="H27" s="426">
        <v>0</v>
      </c>
      <c r="I27" s="426">
        <v>0</v>
      </c>
      <c r="J27" s="426">
        <v>0</v>
      </c>
      <c r="K27" s="426">
        <v>0</v>
      </c>
      <c r="L27" s="426">
        <v>0</v>
      </c>
      <c r="M27" s="426">
        <v>0</v>
      </c>
      <c r="N27" s="426">
        <v>220302.3236</v>
      </c>
      <c r="O27" s="426">
        <v>224562.63083000001</v>
      </c>
      <c r="P27" s="426">
        <v>225623.08661999999</v>
      </c>
      <c r="Q27" s="426">
        <v>239048.55971</v>
      </c>
      <c r="R27" s="426">
        <v>240706.24978000001</v>
      </c>
      <c r="S27" s="426">
        <v>241756.24978000001</v>
      </c>
      <c r="T27" s="426">
        <v>243306.24978000001</v>
      </c>
    </row>
    <row r="28" spans="1:20" s="426" customFormat="1">
      <c r="A28" s="426" t="str">
        <f t="shared" si="0"/>
        <v>KU</v>
      </c>
      <c r="B28" s="426" t="str">
        <f t="shared" si="1"/>
        <v>KY</v>
      </c>
      <c r="C28" s="426" t="str">
        <f t="shared" si="4"/>
        <v>E</v>
      </c>
      <c r="D28" s="426" t="s">
        <v>2655</v>
      </c>
      <c r="E28" s="426" t="str">
        <f t="shared" si="2"/>
        <v>312</v>
      </c>
      <c r="F28" s="741" t="s">
        <v>2716</v>
      </c>
      <c r="G28" s="425" t="str">
        <f t="shared" si="3"/>
        <v>ECR</v>
      </c>
      <c r="H28" s="426">
        <v>0</v>
      </c>
      <c r="I28" s="426">
        <v>0</v>
      </c>
      <c r="J28" s="426">
        <v>0</v>
      </c>
      <c r="K28" s="426">
        <v>0</v>
      </c>
      <c r="L28" s="426">
        <v>0</v>
      </c>
      <c r="M28" s="426">
        <v>0</v>
      </c>
      <c r="N28" s="426">
        <v>0</v>
      </c>
      <c r="O28" s="426">
        <v>0</v>
      </c>
      <c r="P28" s="426">
        <v>0</v>
      </c>
      <c r="Q28" s="426">
        <v>0</v>
      </c>
      <c r="R28" s="426">
        <v>0</v>
      </c>
      <c r="S28" s="426">
        <v>0</v>
      </c>
      <c r="T28" s="426">
        <v>0</v>
      </c>
    </row>
    <row r="29" spans="1:20" s="426" customFormat="1">
      <c r="A29" s="426" t="str">
        <f t="shared" si="0"/>
        <v>KU</v>
      </c>
      <c r="B29" s="426" t="str">
        <f t="shared" si="1"/>
        <v>KY</v>
      </c>
      <c r="C29" s="426" t="str">
        <f t="shared" si="4"/>
        <v>E</v>
      </c>
      <c r="D29" s="426" t="s">
        <v>2655</v>
      </c>
      <c r="E29" s="426" t="str">
        <f t="shared" si="2"/>
        <v>314</v>
      </c>
      <c r="F29" s="741" t="s">
        <v>1732</v>
      </c>
      <c r="G29" s="425" t="str">
        <f t="shared" si="3"/>
        <v/>
      </c>
      <c r="H29" s="426">
        <v>337003.41914999997</v>
      </c>
      <c r="I29" s="426">
        <v>337088.23057999997</v>
      </c>
      <c r="J29" s="426">
        <v>337318.85210000002</v>
      </c>
      <c r="K29" s="426">
        <v>336986.21769000002</v>
      </c>
      <c r="L29" s="426">
        <v>336569.21649999998</v>
      </c>
      <c r="M29" s="426">
        <v>337441.21711999999</v>
      </c>
      <c r="N29" s="426">
        <v>337254.65531</v>
      </c>
      <c r="O29" s="426">
        <v>352778.66817000002</v>
      </c>
      <c r="P29" s="426">
        <v>352695.23622999998</v>
      </c>
      <c r="Q29" s="426">
        <v>352711.59356000001</v>
      </c>
      <c r="R29" s="426">
        <v>352560.81039</v>
      </c>
      <c r="S29" s="426">
        <v>352285.62459000002</v>
      </c>
      <c r="T29" s="426">
        <v>350903.01328999997</v>
      </c>
    </row>
    <row r="30" spans="1:20" s="426" customFormat="1">
      <c r="A30" s="426" t="str">
        <f t="shared" si="0"/>
        <v>KU</v>
      </c>
      <c r="B30" s="426" t="str">
        <f t="shared" si="1"/>
        <v>KY</v>
      </c>
      <c r="C30" s="426" t="str">
        <f t="shared" si="4"/>
        <v>E</v>
      </c>
      <c r="D30" s="426" t="s">
        <v>2655</v>
      </c>
      <c r="E30" s="426" t="str">
        <f t="shared" si="2"/>
        <v>315</v>
      </c>
      <c r="F30" s="741" t="s">
        <v>1733</v>
      </c>
      <c r="G30" s="425" t="str">
        <f t="shared" si="3"/>
        <v/>
      </c>
      <c r="H30" s="426">
        <v>222268.82279999999</v>
      </c>
      <c r="I30" s="426">
        <v>222246.1636</v>
      </c>
      <c r="J30" s="426">
        <v>222229.17749999999</v>
      </c>
      <c r="K30" s="426">
        <v>221396.41217</v>
      </c>
      <c r="L30" s="426">
        <v>221355.99530999901</v>
      </c>
      <c r="M30" s="426">
        <v>221353.16004999899</v>
      </c>
      <c r="N30" s="426">
        <v>221202.13131999999</v>
      </c>
      <c r="O30" s="426">
        <v>221394.99777999899</v>
      </c>
      <c r="P30" s="426">
        <v>221874.26444999999</v>
      </c>
      <c r="Q30" s="426">
        <v>222350.47355999899</v>
      </c>
      <c r="R30" s="426">
        <v>222695.00004999901</v>
      </c>
      <c r="S30" s="426">
        <v>222695.00004999901</v>
      </c>
      <c r="T30" s="426">
        <v>222695.00004999901</v>
      </c>
    </row>
    <row r="31" spans="1:20" s="426" customFormat="1">
      <c r="A31" s="426" t="str">
        <f t="shared" si="0"/>
        <v>KU</v>
      </c>
      <c r="B31" s="426" t="str">
        <f t="shared" si="1"/>
        <v>KY</v>
      </c>
      <c r="C31" s="426" t="str">
        <f t="shared" si="4"/>
        <v>E</v>
      </c>
      <c r="D31" s="426" t="s">
        <v>2655</v>
      </c>
      <c r="E31" s="426" t="str">
        <f t="shared" si="2"/>
        <v>315</v>
      </c>
      <c r="F31" s="741" t="s">
        <v>2180</v>
      </c>
      <c r="G31" s="425" t="str">
        <f t="shared" si="3"/>
        <v>ECR</v>
      </c>
      <c r="H31" s="426">
        <v>24980.346150000001</v>
      </c>
      <c r="I31" s="426">
        <v>24980.346150000001</v>
      </c>
      <c r="J31" s="426">
        <v>24980.346150000001</v>
      </c>
      <c r="K31" s="426">
        <v>21548.085609999998</v>
      </c>
      <c r="L31" s="426">
        <v>21548.085609999998</v>
      </c>
      <c r="M31" s="426">
        <v>21548.085609999998</v>
      </c>
      <c r="N31" s="426">
        <v>20283.650689999999</v>
      </c>
      <c r="O31" s="426">
        <v>20283.650689999999</v>
      </c>
      <c r="P31" s="426">
        <v>20283.650689999999</v>
      </c>
      <c r="Q31" s="426">
        <v>20283.650689999999</v>
      </c>
      <c r="R31" s="426">
        <v>20283.650689999999</v>
      </c>
      <c r="S31" s="426">
        <v>20283.650689999999</v>
      </c>
      <c r="T31" s="426">
        <v>20283.650689999999</v>
      </c>
    </row>
    <row r="32" spans="1:20" s="426" customFormat="1">
      <c r="A32" s="426" t="str">
        <f t="shared" si="0"/>
        <v>KU</v>
      </c>
      <c r="B32" s="426" t="str">
        <f t="shared" si="1"/>
        <v>KY</v>
      </c>
      <c r="C32" s="426" t="str">
        <f t="shared" si="4"/>
        <v>E</v>
      </c>
      <c r="D32" s="426" t="s">
        <v>2655</v>
      </c>
      <c r="E32" s="426" t="str">
        <f t="shared" si="2"/>
        <v>315</v>
      </c>
      <c r="F32" s="741" t="s">
        <v>2717</v>
      </c>
      <c r="G32" s="425" t="str">
        <f t="shared" si="3"/>
        <v>ECR</v>
      </c>
      <c r="H32" s="426">
        <v>0</v>
      </c>
      <c r="I32" s="426">
        <v>0</v>
      </c>
      <c r="J32" s="426">
        <v>0</v>
      </c>
      <c r="K32" s="426">
        <v>0</v>
      </c>
      <c r="L32" s="426">
        <v>0</v>
      </c>
      <c r="M32" s="426">
        <v>0</v>
      </c>
      <c r="N32" s="426">
        <v>1264.4349199999999</v>
      </c>
      <c r="O32" s="426">
        <v>1264.4349199999999</v>
      </c>
      <c r="P32" s="426">
        <v>1264.4349199999999</v>
      </c>
      <c r="Q32" s="426">
        <v>1264.4349199999999</v>
      </c>
      <c r="R32" s="426">
        <v>1264.4349199999999</v>
      </c>
      <c r="S32" s="426">
        <v>1264.4349199999999</v>
      </c>
      <c r="T32" s="426">
        <v>1264.4349199999999</v>
      </c>
    </row>
    <row r="33" spans="1:20" s="426" customFormat="1">
      <c r="A33" s="426" t="str">
        <f t="shared" si="0"/>
        <v>KU</v>
      </c>
      <c r="B33" s="426" t="str">
        <f t="shared" si="1"/>
        <v>KY</v>
      </c>
      <c r="C33" s="426" t="str">
        <f t="shared" si="4"/>
        <v>E</v>
      </c>
      <c r="D33" s="426" t="s">
        <v>2655</v>
      </c>
      <c r="E33" s="426" t="str">
        <f t="shared" si="2"/>
        <v>315</v>
      </c>
      <c r="F33" s="741" t="s">
        <v>1734</v>
      </c>
      <c r="G33" s="425" t="str">
        <f t="shared" si="3"/>
        <v>ECR</v>
      </c>
      <c r="H33" s="426">
        <v>16060.973119999901</v>
      </c>
      <c r="I33" s="426">
        <v>16060.973119999901</v>
      </c>
      <c r="J33" s="426">
        <v>16060.973119999901</v>
      </c>
      <c r="K33" s="426">
        <v>16060.973119999901</v>
      </c>
      <c r="L33" s="426">
        <v>16060.973119999901</v>
      </c>
      <c r="M33" s="426">
        <v>16060.973119999901</v>
      </c>
      <c r="N33" s="426">
        <v>16060.973119999901</v>
      </c>
      <c r="O33" s="426">
        <v>16060.973119999901</v>
      </c>
      <c r="P33" s="426">
        <v>16060.973119999901</v>
      </c>
      <c r="Q33" s="426">
        <v>16060.973119999901</v>
      </c>
      <c r="R33" s="426">
        <v>16060.973119999901</v>
      </c>
      <c r="S33" s="426">
        <v>16060.973119999901</v>
      </c>
      <c r="T33" s="426">
        <v>16060.973119999901</v>
      </c>
    </row>
    <row r="34" spans="1:20" s="426" customFormat="1">
      <c r="A34" s="426" t="str">
        <f t="shared" si="0"/>
        <v>KU</v>
      </c>
      <c r="B34" s="426" t="str">
        <f t="shared" si="1"/>
        <v>KY</v>
      </c>
      <c r="C34" s="426" t="str">
        <f t="shared" si="4"/>
        <v>E</v>
      </c>
      <c r="D34" s="426" t="s">
        <v>2655</v>
      </c>
      <c r="E34" s="426" t="str">
        <f t="shared" si="2"/>
        <v>316</v>
      </c>
      <c r="F34" s="741" t="s">
        <v>2181</v>
      </c>
      <c r="G34" s="425" t="str">
        <f t="shared" si="3"/>
        <v>ECR</v>
      </c>
      <c r="H34" s="426">
        <v>558.11644000000001</v>
      </c>
      <c r="I34" s="426">
        <v>558.11644000000001</v>
      </c>
      <c r="J34" s="426">
        <v>558.11644000000001</v>
      </c>
      <c r="K34" s="426">
        <v>558.11644000000001</v>
      </c>
      <c r="L34" s="426">
        <v>558.11644000000001</v>
      </c>
      <c r="M34" s="426">
        <v>558.11644000000001</v>
      </c>
      <c r="N34" s="426">
        <v>558.11644000000001</v>
      </c>
      <c r="O34" s="426">
        <v>558.11644000000001</v>
      </c>
      <c r="P34" s="426">
        <v>558.11644000000001</v>
      </c>
      <c r="Q34" s="426">
        <v>558.11644000000001</v>
      </c>
      <c r="R34" s="426">
        <v>558.11644000000001</v>
      </c>
      <c r="S34" s="426">
        <v>558.11644000000001</v>
      </c>
      <c r="T34" s="426">
        <v>558.11644000000001</v>
      </c>
    </row>
    <row r="35" spans="1:20" s="426" customFormat="1">
      <c r="A35" s="426" t="str">
        <f t="shared" si="0"/>
        <v>KU</v>
      </c>
      <c r="B35" s="426" t="str">
        <f t="shared" si="1"/>
        <v>KY</v>
      </c>
      <c r="C35" s="426" t="str">
        <f t="shared" si="4"/>
        <v>E</v>
      </c>
      <c r="D35" s="426" t="s">
        <v>2655</v>
      </c>
      <c r="E35" s="426" t="str">
        <f t="shared" si="2"/>
        <v>316</v>
      </c>
      <c r="F35" s="741" t="s">
        <v>1735</v>
      </c>
      <c r="G35" s="425" t="str">
        <f t="shared" si="3"/>
        <v/>
      </c>
      <c r="H35" s="426">
        <v>39912.774839999998</v>
      </c>
      <c r="I35" s="426">
        <v>39916.3799</v>
      </c>
      <c r="J35" s="426">
        <v>40169.517749999999</v>
      </c>
      <c r="K35" s="426">
        <v>40166.294179999997</v>
      </c>
      <c r="L35" s="426">
        <v>39647.005689999998</v>
      </c>
      <c r="M35" s="426">
        <v>40383.082569999999</v>
      </c>
      <c r="N35" s="426">
        <v>40452.803489999998</v>
      </c>
      <c r="O35" s="426">
        <v>41245.18118</v>
      </c>
      <c r="P35" s="426">
        <v>41502.119619999998</v>
      </c>
      <c r="Q35" s="426">
        <v>41881.46456</v>
      </c>
      <c r="R35" s="426">
        <v>42241.222889999997</v>
      </c>
      <c r="S35" s="426">
        <v>42266.71241</v>
      </c>
      <c r="T35" s="426">
        <v>42292.201939999999</v>
      </c>
    </row>
    <row r="36" spans="1:20" s="426" customFormat="1">
      <c r="A36" s="426" t="str">
        <f t="shared" si="0"/>
        <v>KU</v>
      </c>
      <c r="B36" s="426" t="str">
        <f t="shared" si="1"/>
        <v>KY</v>
      </c>
      <c r="C36" s="426" t="str">
        <f t="shared" si="4"/>
        <v>E</v>
      </c>
      <c r="D36" s="426" t="s">
        <v>2655</v>
      </c>
      <c r="E36" s="426" t="str">
        <f t="shared" si="2"/>
        <v>317</v>
      </c>
      <c r="F36" s="741" t="s">
        <v>1736</v>
      </c>
      <c r="G36" s="425" t="str">
        <f t="shared" si="3"/>
        <v>ARO</v>
      </c>
      <c r="H36" s="426">
        <v>18102.06609</v>
      </c>
      <c r="I36" s="426">
        <v>17559.790989999899</v>
      </c>
      <c r="J36" s="426">
        <v>17559.790989999899</v>
      </c>
      <c r="K36" s="426">
        <v>17559.790989999899</v>
      </c>
      <c r="L36" s="426">
        <v>17559.790989999899</v>
      </c>
      <c r="M36" s="426">
        <v>17559.790989999899</v>
      </c>
      <c r="N36" s="426">
        <v>17500.314480000001</v>
      </c>
      <c r="O36" s="426">
        <v>17500.314480000001</v>
      </c>
      <c r="P36" s="426">
        <v>17500.314480000001</v>
      </c>
      <c r="Q36" s="426">
        <v>17500.314480000001</v>
      </c>
      <c r="R36" s="426">
        <v>17500.314480000001</v>
      </c>
      <c r="S36" s="426">
        <v>17500.314480000001</v>
      </c>
      <c r="T36" s="426">
        <v>17500.314480000001</v>
      </c>
    </row>
    <row r="37" spans="1:20" s="426" customFormat="1">
      <c r="A37" s="426" t="str">
        <f t="shared" si="0"/>
        <v>KU</v>
      </c>
      <c r="B37" s="426" t="str">
        <f t="shared" si="1"/>
        <v>KY</v>
      </c>
      <c r="C37" s="426" t="str">
        <f t="shared" si="4"/>
        <v>E</v>
      </c>
      <c r="D37" s="426" t="s">
        <v>2655</v>
      </c>
      <c r="E37" s="426" t="str">
        <f t="shared" si="2"/>
        <v>317</v>
      </c>
      <c r="F37" s="741" t="s">
        <v>2398</v>
      </c>
      <c r="G37" s="425" t="str">
        <f t="shared" si="3"/>
        <v>ARO</v>
      </c>
      <c r="H37" s="426">
        <v>167880.79990000001</v>
      </c>
      <c r="I37" s="426">
        <v>141678.4614</v>
      </c>
      <c r="J37" s="426">
        <v>141678.4614</v>
      </c>
      <c r="K37" s="426">
        <v>141678.4614</v>
      </c>
      <c r="L37" s="426">
        <v>151787.7942</v>
      </c>
      <c r="M37" s="426">
        <v>151787.7942</v>
      </c>
      <c r="N37" s="426">
        <v>151787.7942</v>
      </c>
      <c r="O37" s="426">
        <v>151787.7942</v>
      </c>
      <c r="P37" s="426">
        <v>151787.7942</v>
      </c>
      <c r="Q37" s="426">
        <v>151787.7942</v>
      </c>
      <c r="R37" s="426">
        <v>151787.7942</v>
      </c>
      <c r="S37" s="426">
        <v>151787.7942</v>
      </c>
      <c r="T37" s="426">
        <v>151787.7942</v>
      </c>
    </row>
    <row r="38" spans="1:20" s="426" customFormat="1">
      <c r="A38" s="426" t="str">
        <f t="shared" si="0"/>
        <v>KU</v>
      </c>
      <c r="B38" s="426" t="str">
        <f t="shared" si="1"/>
        <v>KY</v>
      </c>
      <c r="C38" s="426" t="str">
        <f t="shared" si="4"/>
        <v>E</v>
      </c>
      <c r="D38" s="426" t="s">
        <v>2655</v>
      </c>
      <c r="E38" s="426" t="str">
        <f t="shared" si="2"/>
        <v>330</v>
      </c>
      <c r="F38" s="741" t="s">
        <v>1737</v>
      </c>
      <c r="G38" s="425" t="str">
        <f t="shared" si="3"/>
        <v/>
      </c>
      <c r="H38" s="426">
        <v>855.63647000000003</v>
      </c>
      <c r="I38" s="426">
        <v>855.63647000000003</v>
      </c>
      <c r="J38" s="426">
        <v>855.63647000000003</v>
      </c>
      <c r="K38" s="426">
        <v>855.63647000000003</v>
      </c>
      <c r="L38" s="426">
        <v>855.63647000000003</v>
      </c>
      <c r="M38" s="426">
        <v>855.63647000000003</v>
      </c>
      <c r="N38" s="426">
        <v>855.63647000000003</v>
      </c>
      <c r="O38" s="426">
        <v>855.63647000000003</v>
      </c>
      <c r="P38" s="426">
        <v>855.63647000000003</v>
      </c>
      <c r="Q38" s="426">
        <v>855.63647000000003</v>
      </c>
      <c r="R38" s="426">
        <v>855.63647000000003</v>
      </c>
      <c r="S38" s="426">
        <v>855.63647000000003</v>
      </c>
      <c r="T38" s="426">
        <v>855.63647000000003</v>
      </c>
    </row>
    <row r="39" spans="1:20" s="426" customFormat="1">
      <c r="A39" s="426" t="str">
        <f t="shared" si="0"/>
        <v>KU</v>
      </c>
      <c r="B39" s="426" t="str">
        <f t="shared" si="1"/>
        <v>KY</v>
      </c>
      <c r="C39" s="426" t="str">
        <f t="shared" si="4"/>
        <v>E</v>
      </c>
      <c r="D39" s="426" t="s">
        <v>2655</v>
      </c>
      <c r="E39" s="426" t="str">
        <f t="shared" si="2"/>
        <v>331</v>
      </c>
      <c r="F39" s="741" t="s">
        <v>1738</v>
      </c>
      <c r="G39" s="425" t="str">
        <f t="shared" si="3"/>
        <v/>
      </c>
      <c r="H39" s="426">
        <v>4526.6141900000002</v>
      </c>
      <c r="I39" s="426">
        <v>4526.6141900000002</v>
      </c>
      <c r="J39" s="426">
        <v>4526.6141900000002</v>
      </c>
      <c r="K39" s="426">
        <v>4526.6141900000002</v>
      </c>
      <c r="L39" s="426">
        <v>4526.6141900000002</v>
      </c>
      <c r="M39" s="426">
        <v>4526.6141900000002</v>
      </c>
      <c r="N39" s="426">
        <v>4526.6141900000002</v>
      </c>
      <c r="O39" s="426">
        <v>4526.6141900000002</v>
      </c>
      <c r="P39" s="426">
        <v>4526.6141900000002</v>
      </c>
      <c r="Q39" s="426">
        <v>4526.6141900000002</v>
      </c>
      <c r="R39" s="426">
        <v>4526.6141900000002</v>
      </c>
      <c r="S39" s="426">
        <v>4526.6141900000002</v>
      </c>
      <c r="T39" s="426">
        <v>4526.6141900000002</v>
      </c>
    </row>
    <row r="40" spans="1:20" s="426" customFormat="1">
      <c r="A40" s="426" t="str">
        <f t="shared" si="0"/>
        <v>KU</v>
      </c>
      <c r="B40" s="426" t="str">
        <f t="shared" si="1"/>
        <v>KY</v>
      </c>
      <c r="C40" s="426" t="str">
        <f t="shared" si="4"/>
        <v>E</v>
      </c>
      <c r="D40" s="426" t="s">
        <v>2655</v>
      </c>
      <c r="E40" s="426" t="str">
        <f t="shared" si="2"/>
        <v>332</v>
      </c>
      <c r="F40" s="741" t="s">
        <v>1739</v>
      </c>
      <c r="G40" s="425" t="str">
        <f t="shared" si="3"/>
        <v/>
      </c>
      <c r="H40" s="426">
        <v>21885.646369999999</v>
      </c>
      <c r="I40" s="426">
        <v>21885.646369999999</v>
      </c>
      <c r="J40" s="426">
        <v>21885.646369999999</v>
      </c>
      <c r="K40" s="426">
        <v>21884.44486</v>
      </c>
      <c r="L40" s="426">
        <v>21884.44486</v>
      </c>
      <c r="M40" s="426">
        <v>21884.44486</v>
      </c>
      <c r="N40" s="426">
        <v>21884.44486</v>
      </c>
      <c r="O40" s="426">
        <v>21884.44486</v>
      </c>
      <c r="P40" s="426">
        <v>21884.44486</v>
      </c>
      <c r="Q40" s="426">
        <v>21884.44486</v>
      </c>
      <c r="R40" s="426">
        <v>21979.631450000001</v>
      </c>
      <c r="S40" s="426">
        <v>21979.631450000001</v>
      </c>
      <c r="T40" s="426">
        <v>21979.631450000001</v>
      </c>
    </row>
    <row r="41" spans="1:20" s="426" customFormat="1">
      <c r="A41" s="426" t="str">
        <f t="shared" si="0"/>
        <v>KU</v>
      </c>
      <c r="B41" s="426" t="str">
        <f t="shared" si="1"/>
        <v>KY</v>
      </c>
      <c r="C41" s="426" t="str">
        <f t="shared" si="4"/>
        <v>E</v>
      </c>
      <c r="D41" s="426" t="s">
        <v>2655</v>
      </c>
      <c r="E41" s="426" t="str">
        <f t="shared" si="2"/>
        <v>333</v>
      </c>
      <c r="F41" s="741" t="s">
        <v>1740</v>
      </c>
      <c r="G41" s="425" t="str">
        <f t="shared" si="3"/>
        <v/>
      </c>
      <c r="H41" s="426">
        <v>14046.74158</v>
      </c>
      <c r="I41" s="426">
        <v>14046.74158</v>
      </c>
      <c r="J41" s="426">
        <v>14046.74158</v>
      </c>
      <c r="K41" s="426">
        <v>14046.74158</v>
      </c>
      <c r="L41" s="426">
        <v>14046.74158</v>
      </c>
      <c r="M41" s="426">
        <v>14046.74158</v>
      </c>
      <c r="N41" s="426">
        <v>14046.74158</v>
      </c>
      <c r="O41" s="426">
        <v>14046.74158</v>
      </c>
      <c r="P41" s="426">
        <v>14046.74158</v>
      </c>
      <c r="Q41" s="426">
        <v>14046.74158</v>
      </c>
      <c r="R41" s="426">
        <v>14046.74158</v>
      </c>
      <c r="S41" s="426">
        <v>14046.74158</v>
      </c>
      <c r="T41" s="426">
        <v>14046.74158</v>
      </c>
    </row>
    <row r="42" spans="1:20" s="426" customFormat="1">
      <c r="A42" s="426" t="str">
        <f t="shared" si="0"/>
        <v>KU</v>
      </c>
      <c r="B42" s="426" t="str">
        <f t="shared" si="1"/>
        <v>KY</v>
      </c>
      <c r="C42" s="426" t="str">
        <f t="shared" si="4"/>
        <v>E</v>
      </c>
      <c r="D42" s="426" t="s">
        <v>2655</v>
      </c>
      <c r="E42" s="426" t="str">
        <f t="shared" si="2"/>
        <v>334</v>
      </c>
      <c r="F42" s="741" t="s">
        <v>1741</v>
      </c>
      <c r="G42" s="425" t="str">
        <f t="shared" si="3"/>
        <v/>
      </c>
      <c r="H42" s="426">
        <v>1335.60321</v>
      </c>
      <c r="I42" s="426">
        <v>1335.60321</v>
      </c>
      <c r="J42" s="426">
        <v>1335.60321</v>
      </c>
      <c r="K42" s="426">
        <v>1360.64715</v>
      </c>
      <c r="L42" s="426">
        <v>1360.64715</v>
      </c>
      <c r="M42" s="426">
        <v>1360.64715</v>
      </c>
      <c r="N42" s="426">
        <v>1360.64715</v>
      </c>
      <c r="O42" s="426">
        <v>1360.64715</v>
      </c>
      <c r="P42" s="426">
        <v>1360.64715</v>
      </c>
      <c r="Q42" s="426">
        <v>1360.64715</v>
      </c>
      <c r="R42" s="426">
        <v>1360.64715</v>
      </c>
      <c r="S42" s="426">
        <v>1360.64715</v>
      </c>
      <c r="T42" s="426">
        <v>1360.64715</v>
      </c>
    </row>
    <row r="43" spans="1:20" s="426" customFormat="1">
      <c r="A43" s="426" t="str">
        <f t="shared" si="0"/>
        <v>KU</v>
      </c>
      <c r="B43" s="426" t="str">
        <f t="shared" si="1"/>
        <v>KY</v>
      </c>
      <c r="C43" s="426" t="str">
        <f t="shared" si="4"/>
        <v>E</v>
      </c>
      <c r="D43" s="426" t="s">
        <v>2655</v>
      </c>
      <c r="E43" s="426" t="str">
        <f t="shared" si="2"/>
        <v>335</v>
      </c>
      <c r="F43" s="741" t="s">
        <v>1742</v>
      </c>
      <c r="G43" s="425" t="str">
        <f t="shared" si="3"/>
        <v/>
      </c>
      <c r="H43" s="426">
        <v>329.37418000000002</v>
      </c>
      <c r="I43" s="426">
        <v>329.37418000000002</v>
      </c>
      <c r="J43" s="426">
        <v>329.37418000000002</v>
      </c>
      <c r="K43" s="426">
        <v>329.37418000000002</v>
      </c>
      <c r="L43" s="426">
        <v>329.37418000000002</v>
      </c>
      <c r="M43" s="426">
        <v>329.37418000000002</v>
      </c>
      <c r="N43" s="426">
        <v>329.37418000000002</v>
      </c>
      <c r="O43" s="426">
        <v>329.37418000000002</v>
      </c>
      <c r="P43" s="426">
        <v>329.37418000000002</v>
      </c>
      <c r="Q43" s="426">
        <v>329.37418000000002</v>
      </c>
      <c r="R43" s="426">
        <v>329.37418000000002</v>
      </c>
      <c r="S43" s="426">
        <v>329.37418000000002</v>
      </c>
      <c r="T43" s="426">
        <v>329.37418000000002</v>
      </c>
    </row>
    <row r="44" spans="1:20" s="426" customFormat="1">
      <c r="A44" s="426" t="str">
        <f t="shared" si="0"/>
        <v>KU</v>
      </c>
      <c r="B44" s="426" t="str">
        <f t="shared" si="1"/>
        <v>KY</v>
      </c>
      <c r="C44" s="426" t="str">
        <f t="shared" si="4"/>
        <v>E</v>
      </c>
      <c r="D44" s="426" t="s">
        <v>2655</v>
      </c>
      <c r="E44" s="426" t="str">
        <f t="shared" si="2"/>
        <v>336</v>
      </c>
      <c r="F44" s="741" t="s">
        <v>1743</v>
      </c>
      <c r="G44" s="425" t="str">
        <f t="shared" si="3"/>
        <v/>
      </c>
      <c r="H44" s="426">
        <v>234.50913</v>
      </c>
      <c r="I44" s="426">
        <v>234.50913</v>
      </c>
      <c r="J44" s="426">
        <v>234.50913</v>
      </c>
      <c r="K44" s="426">
        <v>198.89982999999901</v>
      </c>
      <c r="L44" s="426">
        <v>198.89982999999901</v>
      </c>
      <c r="M44" s="426">
        <v>198.89982999999901</v>
      </c>
      <c r="N44" s="426">
        <v>198.89982999999901</v>
      </c>
      <c r="O44" s="426">
        <v>198.89982999999901</v>
      </c>
      <c r="P44" s="426">
        <v>198.89982999999901</v>
      </c>
      <c r="Q44" s="426">
        <v>198.89982999999901</v>
      </c>
      <c r="R44" s="426">
        <v>198.89982999999901</v>
      </c>
      <c r="S44" s="426">
        <v>198.89982999999901</v>
      </c>
      <c r="T44" s="426">
        <v>198.89982999999901</v>
      </c>
    </row>
    <row r="45" spans="1:20" s="426" customFormat="1">
      <c r="A45" s="426" t="str">
        <f t="shared" si="0"/>
        <v>KU</v>
      </c>
      <c r="B45" s="426" t="str">
        <f t="shared" si="1"/>
        <v>KY</v>
      </c>
      <c r="C45" s="426" t="str">
        <f t="shared" si="4"/>
        <v>E</v>
      </c>
      <c r="D45" s="426" t="s">
        <v>2655</v>
      </c>
      <c r="E45" s="426" t="str">
        <f t="shared" si="2"/>
        <v>337</v>
      </c>
      <c r="F45" s="741" t="s">
        <v>1744</v>
      </c>
      <c r="G45" s="425" t="str">
        <f t="shared" si="3"/>
        <v>ARO</v>
      </c>
      <c r="H45" s="426">
        <v>645.78799000000004</v>
      </c>
      <c r="I45" s="426">
        <v>645.78799000000004</v>
      </c>
      <c r="J45" s="426">
        <v>645.78799000000004</v>
      </c>
      <c r="K45" s="426">
        <v>645.78799000000004</v>
      </c>
      <c r="L45" s="426">
        <v>645.78799000000004</v>
      </c>
      <c r="M45" s="426">
        <v>645.78799000000004</v>
      </c>
      <c r="N45" s="426">
        <v>645.78799000000004</v>
      </c>
      <c r="O45" s="426">
        <v>645.78799000000004</v>
      </c>
      <c r="P45" s="426">
        <v>645.78799000000004</v>
      </c>
      <c r="Q45" s="426">
        <v>645.78799000000004</v>
      </c>
      <c r="R45" s="426">
        <v>645.78799000000004</v>
      </c>
      <c r="S45" s="426">
        <v>645.78799000000004</v>
      </c>
      <c r="T45" s="426">
        <v>645.78799000000004</v>
      </c>
    </row>
    <row r="46" spans="1:20" s="426" customFormat="1">
      <c r="A46" s="426" t="str">
        <f t="shared" si="0"/>
        <v>KU</v>
      </c>
      <c r="B46" s="426" t="str">
        <f t="shared" si="1"/>
        <v>KY</v>
      </c>
      <c r="C46" s="426" t="str">
        <f t="shared" si="4"/>
        <v>F</v>
      </c>
      <c r="D46" s="426" t="s">
        <v>2655</v>
      </c>
      <c r="E46" s="426" t="str">
        <f t="shared" si="2"/>
        <v>340</v>
      </c>
      <c r="F46" s="741" t="s">
        <v>2182</v>
      </c>
      <c r="G46" s="425" t="str">
        <f t="shared" si="3"/>
        <v>FUTURE USE</v>
      </c>
      <c r="H46" s="426">
        <v>309.54084999999998</v>
      </c>
      <c r="I46" s="426">
        <v>309.54084999999998</v>
      </c>
      <c r="J46" s="426">
        <v>309.54084999999998</v>
      </c>
      <c r="K46" s="426">
        <v>309.541</v>
      </c>
      <c r="L46" s="426">
        <v>309.541</v>
      </c>
      <c r="M46" s="426">
        <v>309.541</v>
      </c>
      <c r="N46" s="426">
        <v>309.541</v>
      </c>
      <c r="O46" s="426">
        <v>309.541</v>
      </c>
      <c r="P46" s="426">
        <v>309.541</v>
      </c>
      <c r="Q46" s="426">
        <v>309.541</v>
      </c>
      <c r="R46" s="426">
        <v>309.541</v>
      </c>
      <c r="S46" s="426">
        <v>309.541</v>
      </c>
      <c r="T46" s="426">
        <v>309.541</v>
      </c>
    </row>
    <row r="47" spans="1:20" s="426" customFormat="1">
      <c r="A47" s="426" t="str">
        <f t="shared" si="0"/>
        <v>KU</v>
      </c>
      <c r="B47" s="426" t="str">
        <f t="shared" si="1"/>
        <v>KY</v>
      </c>
      <c r="C47" s="426" t="str">
        <f t="shared" si="4"/>
        <v>E</v>
      </c>
      <c r="D47" s="426" t="s">
        <v>2655</v>
      </c>
      <c r="E47" s="426" t="str">
        <f t="shared" si="2"/>
        <v>340</v>
      </c>
      <c r="F47" s="741" t="s">
        <v>2183</v>
      </c>
      <c r="G47" s="425" t="str">
        <f t="shared" si="3"/>
        <v/>
      </c>
      <c r="H47" s="426">
        <v>236.73195999999999</v>
      </c>
      <c r="I47" s="426">
        <v>236.73195999999999</v>
      </c>
      <c r="J47" s="426">
        <v>236.73195999999999</v>
      </c>
      <c r="K47" s="426">
        <v>236.73195999999999</v>
      </c>
      <c r="L47" s="426">
        <v>236.73195999999999</v>
      </c>
      <c r="M47" s="426">
        <v>236.73195999999999</v>
      </c>
      <c r="N47" s="426">
        <v>236.73195999999999</v>
      </c>
      <c r="O47" s="426">
        <v>236.73195999999999</v>
      </c>
      <c r="P47" s="426">
        <v>236.73195999999999</v>
      </c>
      <c r="Q47" s="426">
        <v>236.73195999999999</v>
      </c>
      <c r="R47" s="426">
        <v>236.73195999999999</v>
      </c>
      <c r="S47" s="426">
        <v>236.73195999999999</v>
      </c>
      <c r="T47" s="426">
        <v>236.73195999999999</v>
      </c>
    </row>
    <row r="48" spans="1:20" s="426" customFormat="1">
      <c r="A48" s="426" t="str">
        <f t="shared" si="0"/>
        <v>KU</v>
      </c>
      <c r="B48" s="426" t="str">
        <f t="shared" si="1"/>
        <v>KY</v>
      </c>
      <c r="C48" s="426" t="str">
        <f t="shared" si="4"/>
        <v>E</v>
      </c>
      <c r="D48" s="426" t="s">
        <v>2655</v>
      </c>
      <c r="E48" s="426" t="str">
        <f t="shared" si="2"/>
        <v>340</v>
      </c>
      <c r="F48" s="741" t="s">
        <v>1745</v>
      </c>
      <c r="G48" s="425" t="str">
        <f t="shared" si="3"/>
        <v/>
      </c>
      <c r="H48" s="426">
        <v>657.78093999999999</v>
      </c>
      <c r="I48" s="426">
        <v>657.78093999999999</v>
      </c>
      <c r="J48" s="426">
        <v>657.78093999999999</v>
      </c>
      <c r="K48" s="426">
        <v>657.78079000000002</v>
      </c>
      <c r="L48" s="426">
        <v>657.78079000000002</v>
      </c>
      <c r="M48" s="426">
        <v>657.78079000000002</v>
      </c>
      <c r="N48" s="426">
        <v>657.78079000000002</v>
      </c>
      <c r="O48" s="426">
        <v>657.78079000000002</v>
      </c>
      <c r="P48" s="426">
        <v>657.78079000000002</v>
      </c>
      <c r="Q48" s="426">
        <v>657.78079000000002</v>
      </c>
      <c r="R48" s="426">
        <v>657.78079000000002</v>
      </c>
      <c r="S48" s="426">
        <v>657.78079000000002</v>
      </c>
      <c r="T48" s="426">
        <v>657.78079000000002</v>
      </c>
    </row>
    <row r="49" spans="1:20" s="426" customFormat="1">
      <c r="A49" s="426" t="str">
        <f t="shared" si="0"/>
        <v>KU</v>
      </c>
      <c r="B49" s="426" t="str">
        <f t="shared" si="1"/>
        <v>KY</v>
      </c>
      <c r="C49" s="426" t="str">
        <f t="shared" si="4"/>
        <v>E</v>
      </c>
      <c r="D49" s="426" t="s">
        <v>2655</v>
      </c>
      <c r="E49" s="426" t="str">
        <f t="shared" si="2"/>
        <v>341</v>
      </c>
      <c r="F49" s="741" t="s">
        <v>1746</v>
      </c>
      <c r="G49" s="425" t="str">
        <f t="shared" si="3"/>
        <v/>
      </c>
      <c r="H49" s="426">
        <v>37305.796909999997</v>
      </c>
      <c r="I49" s="426">
        <v>37305.796909999997</v>
      </c>
      <c r="J49" s="426">
        <v>37305.796909999997</v>
      </c>
      <c r="K49" s="426">
        <v>37286.237139999997</v>
      </c>
      <c r="L49" s="426">
        <v>37286.237139999997</v>
      </c>
      <c r="M49" s="426">
        <v>37286.237139999997</v>
      </c>
      <c r="N49" s="426">
        <v>37280.195299999999</v>
      </c>
      <c r="O49" s="426">
        <v>37280.195299999999</v>
      </c>
      <c r="P49" s="426">
        <v>37280.195299999999</v>
      </c>
      <c r="Q49" s="426">
        <v>37280.195299999999</v>
      </c>
      <c r="R49" s="426">
        <v>37280.195299999999</v>
      </c>
      <c r="S49" s="426">
        <v>37280.195299999999</v>
      </c>
      <c r="T49" s="426">
        <v>37280.195299999999</v>
      </c>
    </row>
    <row r="50" spans="1:20" s="426" customFormat="1">
      <c r="A50" s="426" t="str">
        <f t="shared" si="0"/>
        <v>KU</v>
      </c>
      <c r="B50" s="426" t="str">
        <f t="shared" si="1"/>
        <v>KY</v>
      </c>
      <c r="C50" s="426" t="str">
        <f t="shared" si="4"/>
        <v>E</v>
      </c>
      <c r="D50" s="426" t="s">
        <v>2655</v>
      </c>
      <c r="E50" s="426" t="str">
        <f t="shared" si="2"/>
        <v>341</v>
      </c>
      <c r="F50" s="741" t="s">
        <v>2184</v>
      </c>
      <c r="G50" s="425" t="str">
        <f t="shared" si="3"/>
        <v/>
      </c>
      <c r="H50" s="426">
        <v>50954.112699999998</v>
      </c>
      <c r="I50" s="426">
        <v>50954.112699999998</v>
      </c>
      <c r="J50" s="426">
        <v>50954.112699999998</v>
      </c>
      <c r="K50" s="426">
        <v>50851.902399999999</v>
      </c>
      <c r="L50" s="426">
        <v>50851.902399999999</v>
      </c>
      <c r="M50" s="426">
        <v>50851.902399999999</v>
      </c>
      <c r="N50" s="426">
        <v>50851.902399999999</v>
      </c>
      <c r="O50" s="426">
        <v>50851.902399999999</v>
      </c>
      <c r="P50" s="426">
        <v>51001.611989999998</v>
      </c>
      <c r="Q50" s="426">
        <v>51001.611989999998</v>
      </c>
      <c r="R50" s="426">
        <v>51001.611989999998</v>
      </c>
      <c r="S50" s="426">
        <v>51001.611989999998</v>
      </c>
      <c r="T50" s="426">
        <v>51001.611989999998</v>
      </c>
    </row>
    <row r="51" spans="1:20" s="426" customFormat="1">
      <c r="A51" s="426" t="str">
        <f t="shared" si="0"/>
        <v>KU</v>
      </c>
      <c r="B51" s="426" t="str">
        <f t="shared" si="1"/>
        <v>KY</v>
      </c>
      <c r="C51" s="426" t="str">
        <f t="shared" si="4"/>
        <v>E</v>
      </c>
      <c r="D51" s="426" t="s">
        <v>2655</v>
      </c>
      <c r="E51" s="426" t="str">
        <f t="shared" si="2"/>
        <v>341</v>
      </c>
      <c r="F51" s="741" t="s">
        <v>2185</v>
      </c>
      <c r="G51" s="425" t="str">
        <f t="shared" si="3"/>
        <v/>
      </c>
      <c r="H51" s="426">
        <v>2244.5909200000001</v>
      </c>
      <c r="I51" s="426">
        <v>2244.5909200000001</v>
      </c>
      <c r="J51" s="426">
        <v>2244.5909200000001</v>
      </c>
      <c r="K51" s="426">
        <v>2244.5909200000001</v>
      </c>
      <c r="L51" s="426">
        <v>2244.5909200000001</v>
      </c>
      <c r="M51" s="426">
        <v>2244.5909200000001</v>
      </c>
      <c r="N51" s="426">
        <v>2244.5909200000001</v>
      </c>
      <c r="O51" s="426">
        <v>2257.4882400000001</v>
      </c>
      <c r="P51" s="426">
        <v>2257.4882400000001</v>
      </c>
      <c r="Q51" s="426">
        <v>2257.4882400000001</v>
      </c>
      <c r="R51" s="426">
        <v>2257.4882400000001</v>
      </c>
      <c r="S51" s="426">
        <v>2257.4882400000001</v>
      </c>
      <c r="T51" s="426">
        <v>2257.4882400000001</v>
      </c>
    </row>
    <row r="52" spans="1:20" s="426" customFormat="1">
      <c r="A52" s="426" t="str">
        <f t="shared" si="0"/>
        <v>KU</v>
      </c>
      <c r="B52" s="426" t="str">
        <f t="shared" si="1"/>
        <v>KY</v>
      </c>
      <c r="C52" s="426" t="str">
        <f t="shared" si="4"/>
        <v>E</v>
      </c>
      <c r="D52" s="426" t="s">
        <v>2655</v>
      </c>
      <c r="E52" s="426" t="str">
        <f t="shared" si="2"/>
        <v>342</v>
      </c>
      <c r="F52" s="741" t="s">
        <v>1747</v>
      </c>
      <c r="G52" s="425" t="str">
        <f t="shared" si="3"/>
        <v/>
      </c>
      <c r="H52" s="426">
        <v>12239.2988</v>
      </c>
      <c r="I52" s="426">
        <v>12239.2988</v>
      </c>
      <c r="J52" s="426">
        <v>12239.2988</v>
      </c>
      <c r="K52" s="426">
        <v>12239.2988</v>
      </c>
      <c r="L52" s="426">
        <v>12239.229160000001</v>
      </c>
      <c r="M52" s="426">
        <v>12239.229160000001</v>
      </c>
      <c r="N52" s="426">
        <v>12239.229160000001</v>
      </c>
      <c r="O52" s="426">
        <v>12239.229160000001</v>
      </c>
      <c r="P52" s="426">
        <v>12239.229160000001</v>
      </c>
      <c r="Q52" s="426">
        <v>12239.229160000001</v>
      </c>
      <c r="R52" s="426">
        <v>12239.229160000001</v>
      </c>
      <c r="S52" s="426">
        <v>12239.229160000001</v>
      </c>
      <c r="T52" s="426">
        <v>12239.229160000001</v>
      </c>
    </row>
    <row r="53" spans="1:20" s="426" customFormat="1">
      <c r="A53" s="426" t="str">
        <f t="shared" si="0"/>
        <v>KU</v>
      </c>
      <c r="B53" s="426" t="str">
        <f t="shared" si="1"/>
        <v>KY</v>
      </c>
      <c r="C53" s="426" t="str">
        <f t="shared" si="4"/>
        <v>E</v>
      </c>
      <c r="D53" s="426" t="s">
        <v>2655</v>
      </c>
      <c r="E53" s="426" t="str">
        <f t="shared" si="2"/>
        <v>342</v>
      </c>
      <c r="F53" s="741" t="s">
        <v>2186</v>
      </c>
      <c r="G53" s="425" t="str">
        <f t="shared" si="3"/>
        <v/>
      </c>
      <c r="H53" s="426">
        <v>6595.5180999999902</v>
      </c>
      <c r="I53" s="426">
        <v>6595.5180999999902</v>
      </c>
      <c r="J53" s="426">
        <v>6595.5180999999902</v>
      </c>
      <c r="K53" s="426">
        <v>6595.5180999999902</v>
      </c>
      <c r="L53" s="426">
        <v>6595.5180999999902</v>
      </c>
      <c r="M53" s="426">
        <v>6595.5180999999902</v>
      </c>
      <c r="N53" s="426">
        <v>6595.5180999999902</v>
      </c>
      <c r="O53" s="426">
        <v>6595.5180999999902</v>
      </c>
      <c r="P53" s="426">
        <v>6595.5180999999902</v>
      </c>
      <c r="Q53" s="426">
        <v>6595.5180999999902</v>
      </c>
      <c r="R53" s="426">
        <v>6595.5180999999902</v>
      </c>
      <c r="S53" s="426">
        <v>6595.5180999999902</v>
      </c>
      <c r="T53" s="426">
        <v>6595.5180999999902</v>
      </c>
    </row>
    <row r="54" spans="1:20" s="426" customFormat="1">
      <c r="A54" s="426" t="str">
        <f t="shared" si="0"/>
        <v>KU</v>
      </c>
      <c r="B54" s="426" t="str">
        <f t="shared" si="1"/>
        <v>KY</v>
      </c>
      <c r="C54" s="426" t="str">
        <f t="shared" si="4"/>
        <v>E</v>
      </c>
      <c r="D54" s="426" t="s">
        <v>2655</v>
      </c>
      <c r="E54" s="426" t="str">
        <f t="shared" si="2"/>
        <v>342</v>
      </c>
      <c r="F54" s="741" t="s">
        <v>2187</v>
      </c>
      <c r="G54" s="425" t="str">
        <f t="shared" si="3"/>
        <v/>
      </c>
      <c r="H54" s="426">
        <v>44250.578119999998</v>
      </c>
      <c r="I54" s="426">
        <v>44250.578119999998</v>
      </c>
      <c r="J54" s="426">
        <v>44250.578119999998</v>
      </c>
      <c r="K54" s="426">
        <v>44250.578119999998</v>
      </c>
      <c r="L54" s="426">
        <v>44250.578119999998</v>
      </c>
      <c r="M54" s="426">
        <v>44250.578119999998</v>
      </c>
      <c r="N54" s="426">
        <v>44250.578119999998</v>
      </c>
      <c r="O54" s="426">
        <v>44490.451609999996</v>
      </c>
      <c r="P54" s="426">
        <v>44919.278879999998</v>
      </c>
      <c r="Q54" s="426">
        <v>65283.764719999999</v>
      </c>
      <c r="R54" s="426">
        <v>65333.67211</v>
      </c>
      <c r="S54" s="426">
        <v>65333.67211</v>
      </c>
      <c r="T54" s="426">
        <v>65333.67211</v>
      </c>
    </row>
    <row r="55" spans="1:20" s="426" customFormat="1">
      <c r="A55" s="426" t="str">
        <f t="shared" si="0"/>
        <v>KU</v>
      </c>
      <c r="B55" s="426" t="str">
        <f t="shared" si="1"/>
        <v>KY</v>
      </c>
      <c r="C55" s="426" t="str">
        <f t="shared" si="4"/>
        <v>E</v>
      </c>
      <c r="D55" s="426" t="s">
        <v>2655</v>
      </c>
      <c r="E55" s="426" t="str">
        <f t="shared" si="2"/>
        <v>343</v>
      </c>
      <c r="F55" s="741" t="s">
        <v>1748</v>
      </c>
      <c r="G55" s="425" t="str">
        <f t="shared" si="3"/>
        <v/>
      </c>
      <c r="H55" s="426">
        <v>410415.60382999899</v>
      </c>
      <c r="I55" s="426">
        <v>410366.33011999901</v>
      </c>
      <c r="J55" s="426">
        <v>410634.84275999898</v>
      </c>
      <c r="K55" s="426">
        <v>410383.88348999998</v>
      </c>
      <c r="L55" s="426">
        <v>410389.44784999901</v>
      </c>
      <c r="M55" s="426">
        <v>410497.80537999899</v>
      </c>
      <c r="N55" s="426">
        <v>410121.01312999998</v>
      </c>
      <c r="O55" s="426">
        <v>410234.69412999903</v>
      </c>
      <c r="P55" s="426">
        <v>411331.80013999902</v>
      </c>
      <c r="Q55" s="426">
        <v>411331.80013999902</v>
      </c>
      <c r="R55" s="426">
        <v>411732.598029999</v>
      </c>
      <c r="S55" s="426">
        <v>411732.598029999</v>
      </c>
      <c r="T55" s="426">
        <v>411732.598029999</v>
      </c>
    </row>
    <row r="56" spans="1:20" s="426" customFormat="1">
      <c r="A56" s="426" t="str">
        <f t="shared" si="0"/>
        <v>KU</v>
      </c>
      <c r="B56" s="426" t="str">
        <f t="shared" si="1"/>
        <v>KY</v>
      </c>
      <c r="C56" s="426" t="str">
        <f t="shared" si="4"/>
        <v>E</v>
      </c>
      <c r="D56" s="426" t="s">
        <v>2655</v>
      </c>
      <c r="E56" s="426" t="str">
        <f t="shared" si="2"/>
        <v>343</v>
      </c>
      <c r="F56" s="741" t="s">
        <v>2188</v>
      </c>
      <c r="G56" s="425" t="str">
        <f t="shared" si="3"/>
        <v/>
      </c>
      <c r="H56" s="426">
        <v>257923.630199999</v>
      </c>
      <c r="I56" s="426">
        <v>258222.9056</v>
      </c>
      <c r="J56" s="426">
        <v>274815.32079999999</v>
      </c>
      <c r="K56" s="426">
        <v>271444.99849999999</v>
      </c>
      <c r="L56" s="426">
        <v>271383.2487</v>
      </c>
      <c r="M56" s="426">
        <v>271413.08980000002</v>
      </c>
      <c r="N56" s="426">
        <v>271024.14049999998</v>
      </c>
      <c r="O56" s="426">
        <v>271128.36442999903</v>
      </c>
      <c r="P56" s="426">
        <v>271601.427209999</v>
      </c>
      <c r="Q56" s="426">
        <v>271698.56189999898</v>
      </c>
      <c r="R56" s="426">
        <v>271692.45059999899</v>
      </c>
      <c r="S56" s="426">
        <v>271692.45059999899</v>
      </c>
      <c r="T56" s="426">
        <v>271692.45059999899</v>
      </c>
    </row>
    <row r="57" spans="1:20" s="426" customFormat="1">
      <c r="A57" s="426" t="str">
        <f t="shared" si="0"/>
        <v>KU</v>
      </c>
      <c r="B57" s="426" t="str">
        <f t="shared" si="1"/>
        <v>KY</v>
      </c>
      <c r="C57" s="426" t="str">
        <f t="shared" si="4"/>
        <v>E</v>
      </c>
      <c r="D57" s="426" t="s">
        <v>2655</v>
      </c>
      <c r="E57" s="426" t="str">
        <f t="shared" si="2"/>
        <v>344</v>
      </c>
      <c r="F57" s="741" t="s">
        <v>1749</v>
      </c>
      <c r="G57" s="425" t="str">
        <f t="shared" si="3"/>
        <v/>
      </c>
      <c r="H57" s="426">
        <v>61032.486089999897</v>
      </c>
      <c r="I57" s="426">
        <v>61032.486089999897</v>
      </c>
      <c r="J57" s="426">
        <v>61032.486089999897</v>
      </c>
      <c r="K57" s="426">
        <v>60402.200870000001</v>
      </c>
      <c r="L57" s="426">
        <v>60402.200870000001</v>
      </c>
      <c r="M57" s="426">
        <v>60402.200870000001</v>
      </c>
      <c r="N57" s="426">
        <v>60524.249499999998</v>
      </c>
      <c r="O57" s="426">
        <v>60524.249499999998</v>
      </c>
      <c r="P57" s="426">
        <v>60524.249499999998</v>
      </c>
      <c r="Q57" s="426">
        <v>60524.249499999998</v>
      </c>
      <c r="R57" s="426">
        <v>60524.249499999998</v>
      </c>
      <c r="S57" s="426">
        <v>60524.249499999998</v>
      </c>
      <c r="T57" s="426">
        <v>60524.249499999998</v>
      </c>
    </row>
    <row r="58" spans="1:20" s="426" customFormat="1">
      <c r="A58" s="426" t="str">
        <f t="shared" si="0"/>
        <v>KU</v>
      </c>
      <c r="B58" s="426" t="str">
        <f t="shared" si="1"/>
        <v>KY</v>
      </c>
      <c r="C58" s="426" t="str">
        <f t="shared" si="4"/>
        <v>E</v>
      </c>
      <c r="D58" s="426" t="s">
        <v>2655</v>
      </c>
      <c r="E58" s="426" t="str">
        <f t="shared" si="2"/>
        <v>344</v>
      </c>
      <c r="F58" s="741" t="s">
        <v>2189</v>
      </c>
      <c r="G58" s="425" t="str">
        <f t="shared" si="3"/>
        <v/>
      </c>
      <c r="H58" s="426">
        <v>62770.267800000001</v>
      </c>
      <c r="I58" s="426">
        <v>62780.878680000002</v>
      </c>
      <c r="J58" s="426">
        <v>62784.1234799999</v>
      </c>
      <c r="K58" s="426">
        <v>62784.1234799999</v>
      </c>
      <c r="L58" s="426">
        <v>62784.586920000002</v>
      </c>
      <c r="M58" s="426">
        <v>62784.586920000002</v>
      </c>
      <c r="N58" s="426">
        <v>62784.586920000002</v>
      </c>
      <c r="O58" s="426">
        <v>62784.586920000002</v>
      </c>
      <c r="P58" s="426">
        <v>62784.586920000002</v>
      </c>
      <c r="Q58" s="426">
        <v>62784.586920000002</v>
      </c>
      <c r="R58" s="426">
        <v>62784.586920000002</v>
      </c>
      <c r="S58" s="426">
        <v>62784.586920000002</v>
      </c>
      <c r="T58" s="426">
        <v>62784.586920000002</v>
      </c>
    </row>
    <row r="59" spans="1:20" s="426" customFormat="1">
      <c r="A59" s="426" t="str">
        <f t="shared" si="0"/>
        <v>KU</v>
      </c>
      <c r="B59" s="426" t="str">
        <f t="shared" si="1"/>
        <v>KY</v>
      </c>
      <c r="C59" s="426" t="str">
        <f t="shared" si="4"/>
        <v>E</v>
      </c>
      <c r="D59" s="426" t="s">
        <v>2655</v>
      </c>
      <c r="E59" s="426" t="str">
        <f t="shared" si="2"/>
        <v>344</v>
      </c>
      <c r="F59" s="741" t="s">
        <v>2190</v>
      </c>
      <c r="G59" s="425" t="str">
        <f t="shared" si="3"/>
        <v/>
      </c>
      <c r="H59" s="426">
        <v>13707.941559999999</v>
      </c>
      <c r="I59" s="426">
        <v>13707.941559999999</v>
      </c>
      <c r="J59" s="426">
        <v>13707.941559999999</v>
      </c>
      <c r="K59" s="426">
        <v>14044.252420000001</v>
      </c>
      <c r="L59" s="426">
        <v>13685.6924</v>
      </c>
      <c r="M59" s="426">
        <v>13695.886490000001</v>
      </c>
      <c r="N59" s="426">
        <v>13753.15245</v>
      </c>
      <c r="O59" s="426">
        <v>13784.648160000001</v>
      </c>
      <c r="P59" s="426">
        <v>13784.648160000001</v>
      </c>
      <c r="Q59" s="426">
        <v>13784.648160000001</v>
      </c>
      <c r="R59" s="426">
        <v>13784.648160000001</v>
      </c>
      <c r="S59" s="426">
        <v>13784.648160000001</v>
      </c>
      <c r="T59" s="426">
        <v>13784.648160000001</v>
      </c>
    </row>
    <row r="60" spans="1:20" s="426" customFormat="1">
      <c r="A60" s="426" t="str">
        <f t="shared" si="0"/>
        <v>KU</v>
      </c>
      <c r="B60" s="426" t="str">
        <f t="shared" si="1"/>
        <v>KY</v>
      </c>
      <c r="C60" s="426" t="str">
        <f t="shared" si="4"/>
        <v>E</v>
      </c>
      <c r="D60" s="426" t="s">
        <v>2655</v>
      </c>
      <c r="E60" s="426" t="str">
        <f t="shared" si="2"/>
        <v>344</v>
      </c>
      <c r="F60" s="741" t="s">
        <v>2718</v>
      </c>
      <c r="G60" s="425" t="str">
        <f t="shared" si="3"/>
        <v/>
      </c>
      <c r="H60" s="426">
        <v>262.50376</v>
      </c>
      <c r="I60" s="426">
        <v>299.05903999999998</v>
      </c>
      <c r="J60" s="426">
        <v>299.05903999999998</v>
      </c>
      <c r="K60" s="426">
        <v>248.07216</v>
      </c>
      <c r="L60" s="426">
        <v>248.07216</v>
      </c>
      <c r="M60" s="426">
        <v>248.07216</v>
      </c>
      <c r="N60" s="426">
        <v>248.07216</v>
      </c>
      <c r="O60" s="426">
        <v>247.88568999999899</v>
      </c>
      <c r="P60" s="426">
        <v>247.88568999999899</v>
      </c>
      <c r="Q60" s="426">
        <v>247.88568999999899</v>
      </c>
      <c r="R60" s="426">
        <v>247.88568999999899</v>
      </c>
      <c r="S60" s="426">
        <v>247.88568999999899</v>
      </c>
      <c r="T60" s="426">
        <v>247.88568999999899</v>
      </c>
    </row>
    <row r="61" spans="1:20" s="426" customFormat="1">
      <c r="A61" s="426" t="str">
        <f t="shared" si="0"/>
        <v>KU</v>
      </c>
      <c r="B61" s="426" t="str">
        <f t="shared" si="1"/>
        <v>KY</v>
      </c>
      <c r="C61" s="426" t="str">
        <f t="shared" si="4"/>
        <v>E</v>
      </c>
      <c r="D61" s="426" t="s">
        <v>2655</v>
      </c>
      <c r="E61" s="426" t="str">
        <f t="shared" si="2"/>
        <v>345</v>
      </c>
      <c r="F61" s="741" t="s">
        <v>1750</v>
      </c>
      <c r="G61" s="425" t="str">
        <f t="shared" si="3"/>
        <v/>
      </c>
      <c r="H61" s="426">
        <v>51331.120470000002</v>
      </c>
      <c r="I61" s="426">
        <v>51331.120470000002</v>
      </c>
      <c r="J61" s="426">
        <v>51331.120470000002</v>
      </c>
      <c r="K61" s="426">
        <v>51331.120470000002</v>
      </c>
      <c r="L61" s="426">
        <v>51331.120470000002</v>
      </c>
      <c r="M61" s="426">
        <v>51331.120470000002</v>
      </c>
      <c r="N61" s="426">
        <v>51331.120470000002</v>
      </c>
      <c r="O61" s="426">
        <v>51331.120470000002</v>
      </c>
      <c r="P61" s="426">
        <v>51371.120470000002</v>
      </c>
      <c r="Q61" s="426">
        <v>51874.12672</v>
      </c>
      <c r="R61" s="426">
        <v>51918.393179999999</v>
      </c>
      <c r="S61" s="426">
        <v>51918.393179999999</v>
      </c>
      <c r="T61" s="426">
        <v>51918.393179999999</v>
      </c>
    </row>
    <row r="62" spans="1:20" s="426" customFormat="1">
      <c r="A62" s="426" t="str">
        <f t="shared" si="0"/>
        <v>KU</v>
      </c>
      <c r="B62" s="426" t="str">
        <f t="shared" si="1"/>
        <v>KY</v>
      </c>
      <c r="C62" s="426" t="str">
        <f t="shared" si="4"/>
        <v>E</v>
      </c>
      <c r="D62" s="426" t="s">
        <v>2655</v>
      </c>
      <c r="E62" s="426" t="str">
        <f t="shared" si="2"/>
        <v>345</v>
      </c>
      <c r="F62" s="741" t="s">
        <v>2191</v>
      </c>
      <c r="G62" s="425" t="str">
        <f t="shared" si="3"/>
        <v/>
      </c>
      <c r="H62" s="426">
        <v>24410.9208</v>
      </c>
      <c r="I62" s="426">
        <v>24410.9208</v>
      </c>
      <c r="J62" s="426">
        <v>24410.9208</v>
      </c>
      <c r="K62" s="426">
        <v>24410.9208</v>
      </c>
      <c r="L62" s="426">
        <v>24588.243869999998</v>
      </c>
      <c r="M62" s="426">
        <v>24588.252179999999</v>
      </c>
      <c r="N62" s="426">
        <v>24588.252179999999</v>
      </c>
      <c r="O62" s="426">
        <v>24588.26153</v>
      </c>
      <c r="P62" s="426">
        <v>24588.26153</v>
      </c>
      <c r="Q62" s="426">
        <v>24588.26153</v>
      </c>
      <c r="R62" s="426">
        <v>24588.26153</v>
      </c>
      <c r="S62" s="426">
        <v>24588.26153</v>
      </c>
      <c r="T62" s="426">
        <v>24588.26153</v>
      </c>
    </row>
    <row r="63" spans="1:20" s="426" customFormat="1">
      <c r="A63" s="426" t="str">
        <f t="shared" si="0"/>
        <v>KU</v>
      </c>
      <c r="B63" s="426" t="str">
        <f t="shared" si="1"/>
        <v>KY</v>
      </c>
      <c r="C63" s="426" t="str">
        <f t="shared" si="4"/>
        <v>E</v>
      </c>
      <c r="D63" s="426" t="s">
        <v>2655</v>
      </c>
      <c r="E63" s="426" t="str">
        <f t="shared" si="2"/>
        <v>345</v>
      </c>
      <c r="F63" s="741" t="s">
        <v>2192</v>
      </c>
      <c r="G63" s="425" t="str">
        <f t="shared" si="3"/>
        <v/>
      </c>
      <c r="H63" s="426">
        <v>537.34603000000004</v>
      </c>
      <c r="I63" s="426">
        <v>550.14038000000005</v>
      </c>
      <c r="J63" s="426">
        <v>550.14038000000005</v>
      </c>
      <c r="K63" s="426">
        <v>601.12725999999998</v>
      </c>
      <c r="L63" s="426">
        <v>930.69529</v>
      </c>
      <c r="M63" s="426">
        <v>930.69529</v>
      </c>
      <c r="N63" s="426">
        <v>930.69529</v>
      </c>
      <c r="O63" s="426">
        <v>930.69529</v>
      </c>
      <c r="P63" s="426">
        <v>930.69529</v>
      </c>
      <c r="Q63" s="426">
        <v>930.69529</v>
      </c>
      <c r="R63" s="426">
        <v>930.69529</v>
      </c>
      <c r="S63" s="426">
        <v>930.69529</v>
      </c>
      <c r="T63" s="426">
        <v>930.69529</v>
      </c>
    </row>
    <row r="64" spans="1:20" s="426" customFormat="1">
      <c r="A64" s="426" t="str">
        <f t="shared" si="0"/>
        <v>KU</v>
      </c>
      <c r="B64" s="426" t="str">
        <f t="shared" si="1"/>
        <v>KY</v>
      </c>
      <c r="C64" s="426" t="str">
        <f t="shared" si="4"/>
        <v>E</v>
      </c>
      <c r="D64" s="426" t="s">
        <v>2655</v>
      </c>
      <c r="E64" s="426" t="str">
        <f t="shared" si="2"/>
        <v>346</v>
      </c>
      <c r="F64" s="741" t="s">
        <v>1751</v>
      </c>
      <c r="G64" s="425" t="str">
        <f t="shared" si="3"/>
        <v/>
      </c>
      <c r="H64" s="426">
        <v>5594.9094400000004</v>
      </c>
      <c r="I64" s="426">
        <v>5594.9094400000004</v>
      </c>
      <c r="J64" s="426">
        <v>5594.9094400000004</v>
      </c>
      <c r="K64" s="426">
        <v>5594.9094400000004</v>
      </c>
      <c r="L64" s="426">
        <v>5594.9094400000004</v>
      </c>
      <c r="M64" s="426">
        <v>5594.9094400000004</v>
      </c>
      <c r="N64" s="426">
        <v>5594.9094400000004</v>
      </c>
      <c r="O64" s="426">
        <v>5594.9094400000004</v>
      </c>
      <c r="P64" s="426">
        <v>5594.9094400000004</v>
      </c>
      <c r="Q64" s="426">
        <v>5594.9094400000004</v>
      </c>
      <c r="R64" s="426">
        <v>5594.9094400000004</v>
      </c>
      <c r="S64" s="426">
        <v>5594.9094400000004</v>
      </c>
      <c r="T64" s="426">
        <v>5594.9094400000004</v>
      </c>
    </row>
    <row r="65" spans="1:20" s="426" customFormat="1">
      <c r="A65" s="426" t="str">
        <f t="shared" si="0"/>
        <v>KU</v>
      </c>
      <c r="B65" s="426" t="str">
        <f t="shared" si="1"/>
        <v>KY</v>
      </c>
      <c r="C65" s="426" t="str">
        <f t="shared" si="4"/>
        <v>E</v>
      </c>
      <c r="D65" s="426" t="s">
        <v>2655</v>
      </c>
      <c r="E65" s="426" t="str">
        <f t="shared" si="2"/>
        <v>346</v>
      </c>
      <c r="F65" s="741" t="s">
        <v>2193</v>
      </c>
      <c r="G65" s="425" t="str">
        <f t="shared" si="3"/>
        <v/>
      </c>
      <c r="H65" s="426">
        <v>3249.1995200000001</v>
      </c>
      <c r="I65" s="426">
        <v>3249.1995200000001</v>
      </c>
      <c r="J65" s="426">
        <v>3249.1995200000001</v>
      </c>
      <c r="K65" s="426">
        <v>3249.1995200000001</v>
      </c>
      <c r="L65" s="426">
        <v>3249.1995200000001</v>
      </c>
      <c r="M65" s="426">
        <v>3249.1995200000001</v>
      </c>
      <c r="N65" s="426">
        <v>3249.1995200000001</v>
      </c>
      <c r="O65" s="426">
        <v>3249.1995200000001</v>
      </c>
      <c r="P65" s="426">
        <v>3249.1995200000001</v>
      </c>
      <c r="Q65" s="426">
        <v>3249.1995200000001</v>
      </c>
      <c r="R65" s="426">
        <v>3249.1995200000001</v>
      </c>
      <c r="S65" s="426">
        <v>3249.1995200000001</v>
      </c>
      <c r="T65" s="426">
        <v>3249.1995200000001</v>
      </c>
    </row>
    <row r="66" spans="1:20" s="426" customFormat="1">
      <c r="A66" s="426" t="str">
        <f t="shared" si="0"/>
        <v>KU</v>
      </c>
      <c r="B66" s="426" t="str">
        <f t="shared" si="1"/>
        <v>KY</v>
      </c>
      <c r="C66" s="426" t="str">
        <f t="shared" si="4"/>
        <v>E</v>
      </c>
      <c r="D66" s="426" t="s">
        <v>2655</v>
      </c>
      <c r="E66" s="426" t="str">
        <f t="shared" si="2"/>
        <v>346</v>
      </c>
      <c r="F66" s="741" t="s">
        <v>2194</v>
      </c>
      <c r="G66" s="425" t="str">
        <f t="shared" si="3"/>
        <v/>
      </c>
      <c r="H66" s="426">
        <v>424.77828</v>
      </c>
      <c r="I66" s="426">
        <v>424.77828</v>
      </c>
      <c r="J66" s="426">
        <v>424.77828</v>
      </c>
      <c r="K66" s="426">
        <v>424.77828</v>
      </c>
      <c r="L66" s="426">
        <v>455.11912999999998</v>
      </c>
      <c r="M66" s="426">
        <v>455.11912999999998</v>
      </c>
      <c r="N66" s="426">
        <v>455.11912999999998</v>
      </c>
      <c r="O66" s="426">
        <v>455.11912999999998</v>
      </c>
      <c r="P66" s="426">
        <v>455.11912999999998</v>
      </c>
      <c r="Q66" s="426">
        <v>455.11912999999998</v>
      </c>
      <c r="R66" s="426">
        <v>555.40098</v>
      </c>
      <c r="S66" s="426">
        <v>555.40098</v>
      </c>
      <c r="T66" s="426">
        <v>555.40098</v>
      </c>
    </row>
    <row r="67" spans="1:20" s="426" customFormat="1">
      <c r="A67" s="426" t="str">
        <f t="shared" si="0"/>
        <v>KU</v>
      </c>
      <c r="B67" s="426" t="str">
        <f t="shared" si="1"/>
        <v>KY</v>
      </c>
      <c r="C67" s="426" t="str">
        <f t="shared" si="4"/>
        <v>E</v>
      </c>
      <c r="D67" s="426" t="s">
        <v>2655</v>
      </c>
      <c r="E67" s="426" t="str">
        <f t="shared" si="2"/>
        <v>347</v>
      </c>
      <c r="F67" s="741" t="s">
        <v>2195</v>
      </c>
      <c r="G67" s="425" t="str">
        <f t="shared" si="3"/>
        <v>ARO</v>
      </c>
      <c r="H67" s="426">
        <v>406.99112000000002</v>
      </c>
      <c r="I67" s="426">
        <v>406.99112000000002</v>
      </c>
      <c r="J67" s="426">
        <v>406.99112000000002</v>
      </c>
      <c r="K67" s="426">
        <v>406.99112000000002</v>
      </c>
      <c r="L67" s="426">
        <v>406.99112000000002</v>
      </c>
      <c r="M67" s="426">
        <v>406.99112000000002</v>
      </c>
      <c r="N67" s="426">
        <v>406.99112000000002</v>
      </c>
      <c r="O67" s="426">
        <v>406.99112000000002</v>
      </c>
      <c r="P67" s="426">
        <v>406.99112000000002</v>
      </c>
      <c r="Q67" s="426">
        <v>406.99112000000002</v>
      </c>
      <c r="R67" s="426">
        <v>406.99112000000002</v>
      </c>
      <c r="S67" s="426">
        <v>406.99112000000002</v>
      </c>
      <c r="T67" s="426">
        <v>406.99112000000002</v>
      </c>
    </row>
    <row r="68" spans="1:20" s="426" customFormat="1">
      <c r="A68" s="426" t="str">
        <f t="shared" si="0"/>
        <v>KU</v>
      </c>
      <c r="B68" s="426" t="str">
        <f t="shared" si="1"/>
        <v>KY</v>
      </c>
      <c r="C68" s="426" t="str">
        <f t="shared" si="4"/>
        <v>E</v>
      </c>
      <c r="D68" s="426" t="s">
        <v>2655</v>
      </c>
      <c r="E68" s="426" t="str">
        <f t="shared" si="2"/>
        <v>350</v>
      </c>
      <c r="F68" s="741" t="s">
        <v>1752</v>
      </c>
      <c r="G68" s="425" t="str">
        <f t="shared" si="3"/>
        <v/>
      </c>
      <c r="H68" s="426">
        <v>29696.953420000002</v>
      </c>
      <c r="I68" s="426">
        <v>29696.953420000002</v>
      </c>
      <c r="J68" s="426">
        <v>29696.953420000002</v>
      </c>
      <c r="K68" s="426">
        <v>29696.953420000002</v>
      </c>
      <c r="L68" s="426">
        <v>29696.953420000002</v>
      </c>
      <c r="M68" s="426">
        <v>29696.953420000002</v>
      </c>
      <c r="N68" s="426">
        <v>29696.953420000002</v>
      </c>
      <c r="O68" s="426">
        <v>30126.616750000001</v>
      </c>
      <c r="P68" s="426">
        <v>30608.772280000001</v>
      </c>
      <c r="Q68" s="426">
        <v>30608.772280000001</v>
      </c>
      <c r="R68" s="426">
        <v>30608.772280000001</v>
      </c>
      <c r="S68" s="426">
        <v>30608.772280000001</v>
      </c>
      <c r="T68" s="426">
        <v>30608.772280000001</v>
      </c>
    </row>
    <row r="69" spans="1:20" s="426" customFormat="1">
      <c r="A69" s="426" t="str">
        <f t="shared" si="0"/>
        <v>KU</v>
      </c>
      <c r="B69" s="426" t="str">
        <f t="shared" si="1"/>
        <v>TN</v>
      </c>
      <c r="C69" s="426" t="str">
        <f t="shared" si="4"/>
        <v>E</v>
      </c>
      <c r="D69" s="426" t="s">
        <v>2655</v>
      </c>
      <c r="E69" s="426" t="str">
        <f t="shared" si="2"/>
        <v>350</v>
      </c>
      <c r="F69" s="741" t="s">
        <v>1753</v>
      </c>
      <c r="G69" s="425" t="str">
        <f t="shared" si="3"/>
        <v/>
      </c>
      <c r="H69" s="426">
        <v>0.43952999999999998</v>
      </c>
      <c r="I69" s="426">
        <v>0.43952999999999998</v>
      </c>
      <c r="J69" s="426">
        <v>0.43952999999999998</v>
      </c>
      <c r="K69" s="426">
        <v>0.43952999999999998</v>
      </c>
      <c r="L69" s="426">
        <v>0.43952999999999998</v>
      </c>
      <c r="M69" s="426">
        <v>0.43952999999999998</v>
      </c>
      <c r="N69" s="426">
        <v>0.43952999999999998</v>
      </c>
      <c r="O69" s="426">
        <v>0.43952999999999998</v>
      </c>
      <c r="P69" s="426">
        <v>0.43952999999999998</v>
      </c>
      <c r="Q69" s="426">
        <v>0.43952999999999998</v>
      </c>
      <c r="R69" s="426">
        <v>0.43952999999999998</v>
      </c>
      <c r="S69" s="426">
        <v>0.43952999999999998</v>
      </c>
      <c r="T69" s="426">
        <v>0.43952999999999998</v>
      </c>
    </row>
    <row r="70" spans="1:20" s="426" customFormat="1">
      <c r="A70" s="426" t="str">
        <f t="shared" si="0"/>
        <v>KU</v>
      </c>
      <c r="B70" s="426" t="str">
        <f t="shared" si="1"/>
        <v>VA</v>
      </c>
      <c r="C70" s="426" t="str">
        <f t="shared" si="4"/>
        <v>E</v>
      </c>
      <c r="D70" s="426" t="s">
        <v>2655</v>
      </c>
      <c r="E70" s="426" t="str">
        <f t="shared" si="2"/>
        <v>350</v>
      </c>
      <c r="F70" s="741" t="s">
        <v>1754</v>
      </c>
      <c r="G70" s="425" t="str">
        <f t="shared" ref="G70:G133" si="5">IF(ISTEXT(MID($F70,SEARCH("FUTURE USE",$F70),3)),"FUTURE USE",IF(ISTEXT(MID($F70,SEARCH("ECR",$F70),3)),"ECR",IF(ISTEXT(MID($F70,SEARCH("ARO",$F70),3)),"ARO",IF(ISTEXT(MID($F70,SEARCH("DSM",$F70),3)),"DSM",""))))</f>
        <v/>
      </c>
      <c r="H70" s="426">
        <v>2217.14923</v>
      </c>
      <c r="I70" s="426">
        <v>2217.14923</v>
      </c>
      <c r="J70" s="426">
        <v>2217.14923</v>
      </c>
      <c r="K70" s="426">
        <v>2217.14923</v>
      </c>
      <c r="L70" s="426">
        <v>2217.14923</v>
      </c>
      <c r="M70" s="426">
        <v>2217.14923</v>
      </c>
      <c r="N70" s="426">
        <v>2217.14923</v>
      </c>
      <c r="O70" s="426">
        <v>2224.9543600000002</v>
      </c>
      <c r="P70" s="426">
        <v>2224.9543600000002</v>
      </c>
      <c r="Q70" s="426">
        <v>2224.9543600000002</v>
      </c>
      <c r="R70" s="426">
        <v>2465.9578000000001</v>
      </c>
      <c r="S70" s="426">
        <v>2465.9578000000001</v>
      </c>
      <c r="T70" s="426">
        <v>2465.9578000000001</v>
      </c>
    </row>
    <row r="71" spans="1:20" s="426" customFormat="1">
      <c r="A71" s="426" t="str">
        <f t="shared" si="0"/>
        <v>KU</v>
      </c>
      <c r="B71" s="426" t="str">
        <f t="shared" si="1"/>
        <v>KY</v>
      </c>
      <c r="C71" s="426" t="str">
        <f t="shared" si="4"/>
        <v>E</v>
      </c>
      <c r="D71" s="426" t="s">
        <v>2655</v>
      </c>
      <c r="E71" s="426" t="str">
        <f t="shared" si="2"/>
        <v>352</v>
      </c>
      <c r="F71" s="741" t="s">
        <v>1755</v>
      </c>
      <c r="G71" s="425" t="str">
        <f t="shared" si="5"/>
        <v/>
      </c>
      <c r="H71" s="426">
        <v>1249.50695</v>
      </c>
      <c r="I71" s="426">
        <v>1249.50695</v>
      </c>
      <c r="J71" s="426">
        <v>1249.50695</v>
      </c>
      <c r="K71" s="426">
        <v>1249.50695</v>
      </c>
      <c r="L71" s="426">
        <v>1249.50695</v>
      </c>
      <c r="M71" s="426">
        <v>1249.50695</v>
      </c>
      <c r="N71" s="426">
        <v>1249.50695</v>
      </c>
      <c r="O71" s="426">
        <v>1256.98396</v>
      </c>
      <c r="P71" s="426">
        <v>1256.98396</v>
      </c>
      <c r="Q71" s="426">
        <v>1256.98396</v>
      </c>
      <c r="R71" s="426">
        <v>1256.98396</v>
      </c>
      <c r="S71" s="426">
        <v>1256.98396</v>
      </c>
      <c r="T71" s="426">
        <v>1256.98396</v>
      </c>
    </row>
    <row r="72" spans="1:20" s="426" customFormat="1">
      <c r="A72" s="426" t="str">
        <f t="shared" si="0"/>
        <v>KU</v>
      </c>
      <c r="B72" s="426" t="str">
        <f t="shared" si="1"/>
        <v>KY</v>
      </c>
      <c r="C72" s="426" t="str">
        <f t="shared" si="4"/>
        <v>E</v>
      </c>
      <c r="D72" s="426" t="s">
        <v>2655</v>
      </c>
      <c r="E72" s="426" t="str">
        <f t="shared" si="2"/>
        <v>352</v>
      </c>
      <c r="F72" s="741" t="s">
        <v>1756</v>
      </c>
      <c r="G72" s="425" t="str">
        <f t="shared" si="5"/>
        <v/>
      </c>
      <c r="H72" s="426">
        <v>31009.304980000001</v>
      </c>
      <c r="I72" s="426">
        <v>30851.735250000002</v>
      </c>
      <c r="J72" s="426">
        <v>30709.333060000001</v>
      </c>
      <c r="K72" s="426">
        <v>30709.333060000001</v>
      </c>
      <c r="L72" s="426">
        <v>30694.594120000002</v>
      </c>
      <c r="M72" s="426">
        <v>30694.594120000002</v>
      </c>
      <c r="N72" s="426">
        <v>30694.594120000002</v>
      </c>
      <c r="O72" s="426">
        <v>30710.491559999999</v>
      </c>
      <c r="P72" s="426">
        <v>30710.491559999999</v>
      </c>
      <c r="Q72" s="426">
        <v>30710.491559999999</v>
      </c>
      <c r="R72" s="426">
        <v>30710.491559999999</v>
      </c>
      <c r="S72" s="426">
        <v>30710.491559999999</v>
      </c>
      <c r="T72" s="426">
        <v>30710.491559999999</v>
      </c>
    </row>
    <row r="73" spans="1:20" s="426" customFormat="1">
      <c r="A73" s="426" t="str">
        <f t="shared" si="0"/>
        <v>KU</v>
      </c>
      <c r="B73" s="426" t="str">
        <f>IF(MID($F73,12,2)="- ","KY",IF(MID($F73,12,2)="SY","KY",MID($F73,12,2)))</f>
        <v>VA</v>
      </c>
      <c r="C73" s="426" t="str">
        <f t="shared" si="4"/>
        <v>E</v>
      </c>
      <c r="D73" s="426" t="s">
        <v>2655</v>
      </c>
      <c r="E73" s="426" t="str">
        <f t="shared" si="2"/>
        <v>352</v>
      </c>
      <c r="F73" s="741" t="s">
        <v>1757</v>
      </c>
      <c r="G73" s="425" t="str">
        <f t="shared" si="5"/>
        <v/>
      </c>
      <c r="H73" s="426">
        <v>1746.4831299999901</v>
      </c>
      <c r="I73" s="426">
        <v>1746.4831299999901</v>
      </c>
      <c r="J73" s="426">
        <v>1746.4831299999901</v>
      </c>
      <c r="K73" s="426">
        <v>1801.9016999999999</v>
      </c>
      <c r="L73" s="426">
        <v>1801.9016999999999</v>
      </c>
      <c r="M73" s="426">
        <v>1801.9016999999999</v>
      </c>
      <c r="N73" s="426">
        <v>1801.9016999999999</v>
      </c>
      <c r="O73" s="426">
        <v>1801.9016999999999</v>
      </c>
      <c r="P73" s="426">
        <v>1801.9016999999999</v>
      </c>
      <c r="Q73" s="426">
        <v>1801.9016999999999</v>
      </c>
      <c r="R73" s="426">
        <v>1801.9016999999999</v>
      </c>
      <c r="S73" s="426">
        <v>1801.9016999999999</v>
      </c>
      <c r="T73" s="426">
        <v>1801.9016999999999</v>
      </c>
    </row>
    <row r="74" spans="1:20" s="426" customFormat="1">
      <c r="A74" s="426" t="str">
        <f t="shared" si="0"/>
        <v>KU</v>
      </c>
      <c r="B74" s="426" t="str">
        <f t="shared" ref="B74:B138" si="6">IF(MID($F74,12,2)="- ","KY",IF(MID($F74,12,2)="SY","KY",MID($F74,12,2)))</f>
        <v>KY</v>
      </c>
      <c r="C74" s="426" t="str">
        <f t="shared" si="4"/>
        <v>E</v>
      </c>
      <c r="D74" s="426" t="s">
        <v>2655</v>
      </c>
      <c r="E74" s="426" t="str">
        <f t="shared" si="2"/>
        <v>353</v>
      </c>
      <c r="F74" s="741" t="s">
        <v>1758</v>
      </c>
      <c r="G74" s="425" t="str">
        <f t="shared" si="5"/>
        <v/>
      </c>
      <c r="H74" s="426">
        <v>336048.84950000001</v>
      </c>
      <c r="I74" s="426">
        <v>336360.97110000002</v>
      </c>
      <c r="J74" s="426">
        <v>336442.32160000002</v>
      </c>
      <c r="K74" s="426">
        <v>336430.69829999999</v>
      </c>
      <c r="L74" s="426">
        <v>338043.92469999997</v>
      </c>
      <c r="M74" s="426">
        <v>339407.701</v>
      </c>
      <c r="N74" s="426">
        <v>345278.98019999999</v>
      </c>
      <c r="O74" s="426">
        <v>345312.97580999997</v>
      </c>
      <c r="P74" s="426">
        <v>346540.30320999998</v>
      </c>
      <c r="Q74" s="426">
        <v>349431.83814000001</v>
      </c>
      <c r="R74" s="426">
        <v>354486.69393000001</v>
      </c>
      <c r="S74" s="426">
        <v>354574.11440999998</v>
      </c>
      <c r="T74" s="426">
        <v>357539.19923000003</v>
      </c>
    </row>
    <row r="75" spans="1:20" s="426" customFormat="1">
      <c r="A75" s="426" t="str">
        <f t="shared" si="0"/>
        <v>KU</v>
      </c>
      <c r="B75" s="426" t="str">
        <f t="shared" si="6"/>
        <v>KY</v>
      </c>
      <c r="C75" s="426" t="str">
        <f t="shared" si="4"/>
        <v>E</v>
      </c>
      <c r="D75" s="426" t="s">
        <v>2655</v>
      </c>
      <c r="E75" s="426" t="str">
        <f t="shared" si="2"/>
        <v>353</v>
      </c>
      <c r="F75" s="741" t="s">
        <v>1759</v>
      </c>
      <c r="G75" s="425" t="str">
        <f t="shared" si="5"/>
        <v/>
      </c>
      <c r="H75" s="426">
        <v>1138.5905499999999</v>
      </c>
      <c r="I75" s="426">
        <v>1138.5905499999999</v>
      </c>
      <c r="J75" s="426">
        <v>1138.5905499999999</v>
      </c>
      <c r="K75" s="426">
        <v>1138.5905499999999</v>
      </c>
      <c r="L75" s="426">
        <v>1138.5905499999999</v>
      </c>
      <c r="M75" s="426">
        <v>1138.5905499999999</v>
      </c>
      <c r="N75" s="426">
        <v>1138.5905499999999</v>
      </c>
      <c r="O75" s="426">
        <v>1138.5905499999999</v>
      </c>
      <c r="P75" s="426">
        <v>1139.23343</v>
      </c>
      <c r="Q75" s="426">
        <v>1144.7664299999999</v>
      </c>
      <c r="R75" s="426">
        <v>1213.62843</v>
      </c>
      <c r="S75" s="426">
        <v>1213.62843</v>
      </c>
      <c r="T75" s="426">
        <v>1213.62843</v>
      </c>
    </row>
    <row r="76" spans="1:20" s="426" customFormat="1">
      <c r="A76" s="426" t="str">
        <f t="shared" si="0"/>
        <v>KU</v>
      </c>
      <c r="B76" s="426" t="str">
        <f t="shared" si="6"/>
        <v>VA</v>
      </c>
      <c r="C76" s="426" t="str">
        <f t="shared" si="4"/>
        <v>E</v>
      </c>
      <c r="D76" s="426" t="s">
        <v>2655</v>
      </c>
      <c r="E76" s="426" t="str">
        <f t="shared" si="2"/>
        <v>353</v>
      </c>
      <c r="F76" s="741" t="s">
        <v>1760</v>
      </c>
      <c r="G76" s="425" t="str">
        <f t="shared" si="5"/>
        <v/>
      </c>
      <c r="H76" s="426">
        <v>24153.48184</v>
      </c>
      <c r="I76" s="426">
        <v>24145.38811</v>
      </c>
      <c r="J76" s="426">
        <v>24144.261770000001</v>
      </c>
      <c r="K76" s="426">
        <v>24204.9804</v>
      </c>
      <c r="L76" s="426">
        <v>24204.9804</v>
      </c>
      <c r="M76" s="426">
        <v>24204.9804</v>
      </c>
      <c r="N76" s="426">
        <v>24204.9804</v>
      </c>
      <c r="O76" s="426">
        <v>24204.9804</v>
      </c>
      <c r="P76" s="426">
        <v>24204.9804</v>
      </c>
      <c r="Q76" s="426">
        <v>24204.9804</v>
      </c>
      <c r="R76" s="426">
        <v>29225.482329999999</v>
      </c>
      <c r="S76" s="426">
        <v>29225.482329999999</v>
      </c>
      <c r="T76" s="426">
        <v>30756.6429299999</v>
      </c>
    </row>
    <row r="77" spans="1:20" s="426" customFormat="1">
      <c r="A77" s="426" t="str">
        <f t="shared" ref="A77:A141" si="7">MID($F77,4,2)</f>
        <v>KU</v>
      </c>
      <c r="B77" s="426" t="str">
        <f t="shared" si="6"/>
        <v>KY</v>
      </c>
      <c r="C77" s="426" t="str">
        <f t="shared" si="4"/>
        <v>E</v>
      </c>
      <c r="D77" s="426" t="s">
        <v>2655</v>
      </c>
      <c r="E77" s="426" t="str">
        <f t="shared" ref="E77:E160" si="8">MID($F77,8,3)</f>
        <v>354</v>
      </c>
      <c r="F77" s="741" t="s">
        <v>1761</v>
      </c>
      <c r="G77" s="425" t="str">
        <f t="shared" si="5"/>
        <v/>
      </c>
      <c r="H77" s="426">
        <v>70786.894579999993</v>
      </c>
      <c r="I77" s="426">
        <v>70786.894579999993</v>
      </c>
      <c r="J77" s="426">
        <v>70786.894579999993</v>
      </c>
      <c r="K77" s="426">
        <v>70786.894579999993</v>
      </c>
      <c r="L77" s="426">
        <v>70786.894579999993</v>
      </c>
      <c r="M77" s="426">
        <v>70786.894579999993</v>
      </c>
      <c r="N77" s="426">
        <v>70786.894579999993</v>
      </c>
      <c r="O77" s="426">
        <v>70786.894579999993</v>
      </c>
      <c r="P77" s="426">
        <v>70786.894579999993</v>
      </c>
      <c r="Q77" s="426">
        <v>70786.894579999993</v>
      </c>
      <c r="R77" s="426">
        <v>70786.894579999993</v>
      </c>
      <c r="S77" s="426">
        <v>70786.894579999993</v>
      </c>
      <c r="T77" s="426">
        <v>70786.894579999993</v>
      </c>
    </row>
    <row r="78" spans="1:20" s="426" customFormat="1">
      <c r="A78" s="426" t="str">
        <f t="shared" si="7"/>
        <v>KU</v>
      </c>
      <c r="B78" s="426" t="str">
        <f t="shared" si="6"/>
        <v>VA</v>
      </c>
      <c r="C78" s="426" t="str">
        <f t="shared" ref="C78:C142" si="9">IF(ISTEXT(MID($F78,SEARCH("FUTURE USE",$F78),3)),"F",IF(MID($F78,7,1)="1","E",IF(MID($F78,7,1)="2","G",IF(MID($F78,7,1)="3","C",""))))</f>
        <v>E</v>
      </c>
      <c r="D78" s="426" t="s">
        <v>2655</v>
      </c>
      <c r="E78" s="426" t="str">
        <f t="shared" si="8"/>
        <v>354</v>
      </c>
      <c r="F78" s="741" t="s">
        <v>1762</v>
      </c>
      <c r="G78" s="425" t="str">
        <f t="shared" si="5"/>
        <v/>
      </c>
      <c r="H78" s="426">
        <v>7181.0812999999998</v>
      </c>
      <c r="I78" s="426">
        <v>7181.0812999999998</v>
      </c>
      <c r="J78" s="426">
        <v>7181.0812999999998</v>
      </c>
      <c r="K78" s="426">
        <v>7181.0812999999998</v>
      </c>
      <c r="L78" s="426">
        <v>7181.0812999999998</v>
      </c>
      <c r="M78" s="426">
        <v>7181.0812999999998</v>
      </c>
      <c r="N78" s="426">
        <v>7181.0812999999998</v>
      </c>
      <c r="O78" s="426">
        <v>7181.0812999999998</v>
      </c>
      <c r="P78" s="426">
        <v>7181.0812999999998</v>
      </c>
      <c r="Q78" s="426">
        <v>7181.0812999999998</v>
      </c>
      <c r="R78" s="426">
        <v>7181.0812999999998</v>
      </c>
      <c r="S78" s="426">
        <v>7181.0812999999998</v>
      </c>
      <c r="T78" s="426">
        <v>7181.0812999999998</v>
      </c>
    </row>
    <row r="79" spans="1:20" s="426" customFormat="1">
      <c r="A79" s="426" t="str">
        <f t="shared" si="7"/>
        <v>KU</v>
      </c>
      <c r="B79" s="426" t="str">
        <f t="shared" si="6"/>
        <v>KY</v>
      </c>
      <c r="C79" s="426" t="str">
        <f t="shared" si="9"/>
        <v>E</v>
      </c>
      <c r="D79" s="426" t="s">
        <v>2655</v>
      </c>
      <c r="E79" s="426" t="str">
        <f t="shared" si="8"/>
        <v>355</v>
      </c>
      <c r="F79" s="741" t="s">
        <v>1763</v>
      </c>
      <c r="G79" s="425" t="str">
        <f t="shared" si="5"/>
        <v/>
      </c>
      <c r="H79" s="426">
        <v>416620.70449999999</v>
      </c>
      <c r="I79" s="426">
        <v>418273.9437</v>
      </c>
      <c r="J79" s="426">
        <v>426832.85800000001</v>
      </c>
      <c r="K79" s="426">
        <v>432689.47839999897</v>
      </c>
      <c r="L79" s="426">
        <v>433611.20970000001</v>
      </c>
      <c r="M79" s="426">
        <v>445192.73119999998</v>
      </c>
      <c r="N79" s="426">
        <v>453523.89159999997</v>
      </c>
      <c r="O79" s="426">
        <v>463777.05664000002</v>
      </c>
      <c r="P79" s="426">
        <v>488704.83409000002</v>
      </c>
      <c r="Q79" s="426">
        <v>492255.76601999998</v>
      </c>
      <c r="R79" s="426">
        <v>507328.38987000001</v>
      </c>
      <c r="S79" s="426">
        <v>507563.30771999998</v>
      </c>
      <c r="T79" s="426">
        <v>509084.05573999998</v>
      </c>
    </row>
    <row r="80" spans="1:20" s="426" customFormat="1">
      <c r="A80" s="426" t="str">
        <f t="shared" si="7"/>
        <v>KU</v>
      </c>
      <c r="B80" s="426" t="str">
        <f t="shared" si="6"/>
        <v>TN</v>
      </c>
      <c r="C80" s="426" t="str">
        <f t="shared" si="9"/>
        <v>E</v>
      </c>
      <c r="D80" s="426" t="s">
        <v>2655</v>
      </c>
      <c r="E80" s="426" t="str">
        <f t="shared" si="8"/>
        <v>355</v>
      </c>
      <c r="F80" s="741" t="s">
        <v>1764</v>
      </c>
      <c r="G80" s="425" t="str">
        <f t="shared" si="5"/>
        <v/>
      </c>
      <c r="H80" s="426">
        <v>128.75153</v>
      </c>
      <c r="I80" s="426">
        <v>128.75153</v>
      </c>
      <c r="J80" s="426">
        <v>128.75153</v>
      </c>
      <c r="K80" s="426">
        <v>128.75153</v>
      </c>
      <c r="L80" s="426">
        <v>128.75153</v>
      </c>
      <c r="M80" s="426">
        <v>128.75153</v>
      </c>
      <c r="N80" s="426">
        <v>128.75153</v>
      </c>
      <c r="O80" s="426">
        <v>128.75153</v>
      </c>
      <c r="P80" s="426">
        <v>128.75153</v>
      </c>
      <c r="Q80" s="426">
        <v>128.75153</v>
      </c>
      <c r="R80" s="426">
        <v>128.75153</v>
      </c>
      <c r="S80" s="426">
        <v>128.75153</v>
      </c>
      <c r="T80" s="426">
        <v>128.75153</v>
      </c>
    </row>
    <row r="81" spans="1:20" s="426" customFormat="1">
      <c r="A81" s="426" t="str">
        <f t="shared" si="7"/>
        <v>KU</v>
      </c>
      <c r="B81" s="426" t="str">
        <f t="shared" si="6"/>
        <v>VA</v>
      </c>
      <c r="C81" s="426" t="str">
        <f t="shared" si="9"/>
        <v>E</v>
      </c>
      <c r="D81" s="426" t="s">
        <v>2655</v>
      </c>
      <c r="E81" s="426" t="str">
        <f t="shared" si="8"/>
        <v>355</v>
      </c>
      <c r="F81" s="741" t="s">
        <v>1765</v>
      </c>
      <c r="G81" s="425" t="str">
        <f t="shared" si="5"/>
        <v/>
      </c>
      <c r="H81" s="426">
        <v>14811.30846</v>
      </c>
      <c r="I81" s="426">
        <v>15820.110619999999</v>
      </c>
      <c r="J81" s="426">
        <v>15913.309740000001</v>
      </c>
      <c r="K81" s="426">
        <v>16584.665059999999</v>
      </c>
      <c r="L81" s="426">
        <v>16590.389589999999</v>
      </c>
      <c r="M81" s="426">
        <v>17576.416209999999</v>
      </c>
      <c r="N81" s="426">
        <v>18628.68807</v>
      </c>
      <c r="O81" s="426">
        <v>18202.097860000002</v>
      </c>
      <c r="P81" s="426">
        <v>18202.097860000002</v>
      </c>
      <c r="Q81" s="426">
        <v>19069.77102</v>
      </c>
      <c r="R81" s="426">
        <v>20214.73792</v>
      </c>
      <c r="S81" s="426">
        <v>20483.472819999999</v>
      </c>
      <c r="T81" s="426">
        <v>20483.472819999999</v>
      </c>
    </row>
    <row r="82" spans="1:20" s="426" customFormat="1">
      <c r="A82" s="426" t="str">
        <f t="shared" si="7"/>
        <v>KU</v>
      </c>
      <c r="B82" s="426" t="str">
        <f t="shared" si="6"/>
        <v>KY</v>
      </c>
      <c r="C82" s="426" t="str">
        <f t="shared" si="9"/>
        <v>E</v>
      </c>
      <c r="D82" s="426" t="s">
        <v>2655</v>
      </c>
      <c r="E82" s="426" t="str">
        <f t="shared" si="8"/>
        <v>356</v>
      </c>
      <c r="F82" s="741" t="s">
        <v>1766</v>
      </c>
      <c r="G82" s="425" t="str">
        <f t="shared" si="5"/>
        <v/>
      </c>
      <c r="H82" s="426">
        <v>196446.2218</v>
      </c>
      <c r="I82" s="426">
        <v>197346.12880000001</v>
      </c>
      <c r="J82" s="426">
        <v>208372.59099999999</v>
      </c>
      <c r="K82" s="426">
        <v>209172.60430000001</v>
      </c>
      <c r="L82" s="426">
        <v>209360.19949999999</v>
      </c>
      <c r="M82" s="426">
        <v>215704.23209999999</v>
      </c>
      <c r="N82" s="426">
        <v>220532.02059999999</v>
      </c>
      <c r="O82" s="426">
        <v>221001.68027000001</v>
      </c>
      <c r="P82" s="426">
        <v>222294.04448000001</v>
      </c>
      <c r="Q82" s="426">
        <v>222088.52916000001</v>
      </c>
      <c r="R82" s="426">
        <v>221932.09869000001</v>
      </c>
      <c r="S82" s="426">
        <v>221908.92640999999</v>
      </c>
      <c r="T82" s="426">
        <v>221839.64824000001</v>
      </c>
    </row>
    <row r="83" spans="1:20" s="426" customFormat="1">
      <c r="A83" s="426" t="str">
        <f t="shared" si="7"/>
        <v>KU</v>
      </c>
      <c r="B83" s="426" t="str">
        <f t="shared" si="6"/>
        <v>TN</v>
      </c>
      <c r="C83" s="426" t="str">
        <f t="shared" si="9"/>
        <v>E</v>
      </c>
      <c r="D83" s="426" t="s">
        <v>2655</v>
      </c>
      <c r="E83" s="426" t="str">
        <f t="shared" si="8"/>
        <v>356</v>
      </c>
      <c r="F83" s="741" t="s">
        <v>1767</v>
      </c>
      <c r="G83" s="425" t="str">
        <f t="shared" si="5"/>
        <v/>
      </c>
      <c r="H83" s="426">
        <v>80.691329999999994</v>
      </c>
      <c r="I83" s="426">
        <v>80.691329999999994</v>
      </c>
      <c r="J83" s="426">
        <v>80.691329999999994</v>
      </c>
      <c r="K83" s="426">
        <v>80.691329999999994</v>
      </c>
      <c r="L83" s="426">
        <v>80.691329999999994</v>
      </c>
      <c r="M83" s="426">
        <v>80.691329999999994</v>
      </c>
      <c r="N83" s="426">
        <v>80.691329999999994</v>
      </c>
      <c r="O83" s="426">
        <v>80.691329999999994</v>
      </c>
      <c r="P83" s="426">
        <v>80.691329999999994</v>
      </c>
      <c r="Q83" s="426">
        <v>80.691329999999994</v>
      </c>
      <c r="R83" s="426">
        <v>80.691329999999994</v>
      </c>
      <c r="S83" s="426">
        <v>80.691329999999994</v>
      </c>
      <c r="T83" s="426">
        <v>80.691329999999994</v>
      </c>
    </row>
    <row r="84" spans="1:20" s="426" customFormat="1">
      <c r="A84" s="426" t="str">
        <f t="shared" si="7"/>
        <v>KU</v>
      </c>
      <c r="B84" s="426" t="str">
        <f t="shared" si="6"/>
        <v>VA</v>
      </c>
      <c r="C84" s="426" t="str">
        <f t="shared" si="9"/>
        <v>E</v>
      </c>
      <c r="D84" s="426" t="s">
        <v>2655</v>
      </c>
      <c r="E84" s="426" t="str">
        <f t="shared" si="8"/>
        <v>356</v>
      </c>
      <c r="F84" s="741" t="s">
        <v>1768</v>
      </c>
      <c r="G84" s="425" t="str">
        <f t="shared" si="5"/>
        <v/>
      </c>
      <c r="H84" s="426">
        <v>19285.041870000001</v>
      </c>
      <c r="I84" s="426">
        <v>19389.60943</v>
      </c>
      <c r="J84" s="426">
        <v>19399.26886</v>
      </c>
      <c r="K84" s="426">
        <v>19492.649229999999</v>
      </c>
      <c r="L84" s="426">
        <v>19493.242539999999</v>
      </c>
      <c r="M84" s="426">
        <v>19607.43461</v>
      </c>
      <c r="N84" s="426">
        <v>19642.292119999998</v>
      </c>
      <c r="O84" s="426">
        <v>19642.292119999998</v>
      </c>
      <c r="P84" s="426">
        <v>19642.292119999998</v>
      </c>
      <c r="Q84" s="426">
        <v>19642.292119999998</v>
      </c>
      <c r="R84" s="426">
        <v>19642.292119999998</v>
      </c>
      <c r="S84" s="426">
        <v>19642.292119999998</v>
      </c>
      <c r="T84" s="426">
        <v>19642.292119999998</v>
      </c>
    </row>
    <row r="85" spans="1:20" s="426" customFormat="1">
      <c r="A85" s="426" t="str">
        <f t="shared" si="7"/>
        <v>KU</v>
      </c>
      <c r="B85" s="426" t="str">
        <f t="shared" si="6"/>
        <v>KY</v>
      </c>
      <c r="C85" s="426" t="str">
        <f t="shared" si="9"/>
        <v>E</v>
      </c>
      <c r="D85" s="426" t="s">
        <v>2655</v>
      </c>
      <c r="E85" s="426" t="str">
        <f t="shared" si="8"/>
        <v>357</v>
      </c>
      <c r="F85" s="741" t="s">
        <v>1769</v>
      </c>
      <c r="G85" s="425" t="str">
        <f t="shared" si="5"/>
        <v/>
      </c>
      <c r="H85" s="426">
        <v>681.78840000000002</v>
      </c>
      <c r="I85" s="426">
        <v>681.87883999999997</v>
      </c>
      <c r="J85" s="426">
        <v>681.87883999999997</v>
      </c>
      <c r="K85" s="426">
        <v>618.49381000000005</v>
      </c>
      <c r="L85" s="426">
        <v>618.49381000000005</v>
      </c>
      <c r="M85" s="426">
        <v>618.49381000000005</v>
      </c>
      <c r="N85" s="426">
        <v>618.49381000000005</v>
      </c>
      <c r="O85" s="426">
        <v>618.49381000000005</v>
      </c>
      <c r="P85" s="426">
        <v>618.49381000000005</v>
      </c>
      <c r="Q85" s="426">
        <v>618.49381000000005</v>
      </c>
      <c r="R85" s="426">
        <v>618.49381000000005</v>
      </c>
      <c r="S85" s="426">
        <v>618.49381000000005</v>
      </c>
      <c r="T85" s="426">
        <v>618.49381000000005</v>
      </c>
    </row>
    <row r="86" spans="1:20" s="426" customFormat="1">
      <c r="A86" s="426" t="str">
        <f t="shared" si="7"/>
        <v>KU</v>
      </c>
      <c r="B86" s="426" t="str">
        <f t="shared" si="6"/>
        <v>KY</v>
      </c>
      <c r="C86" s="426" t="str">
        <f t="shared" si="9"/>
        <v>E</v>
      </c>
      <c r="D86" s="426" t="s">
        <v>2655</v>
      </c>
      <c r="E86" s="426" t="str">
        <f t="shared" si="8"/>
        <v>358</v>
      </c>
      <c r="F86" s="741" t="s">
        <v>1770</v>
      </c>
      <c r="G86" s="425" t="str">
        <f t="shared" si="5"/>
        <v/>
      </c>
      <c r="H86" s="426">
        <v>1365.2902999999999</v>
      </c>
      <c r="I86" s="426">
        <v>1365.3628100000001</v>
      </c>
      <c r="J86" s="426">
        <v>1365.38581</v>
      </c>
      <c r="K86" s="426">
        <v>1277.75137</v>
      </c>
      <c r="L86" s="426">
        <v>1234.9682600000001</v>
      </c>
      <c r="M86" s="426">
        <v>1235.0151699999999</v>
      </c>
      <c r="N86" s="426">
        <v>1235.0151699999999</v>
      </c>
      <c r="O86" s="426">
        <v>1235.0151699999999</v>
      </c>
      <c r="P86" s="426">
        <v>1235.0151699999999</v>
      </c>
      <c r="Q86" s="426">
        <v>1235.0151699999999</v>
      </c>
      <c r="R86" s="426">
        <v>1235.0151699999999</v>
      </c>
      <c r="S86" s="426">
        <v>1235.0151699999999</v>
      </c>
      <c r="T86" s="426">
        <v>1235.0151699999999</v>
      </c>
    </row>
    <row r="87" spans="1:20" s="426" customFormat="1">
      <c r="A87" s="426" t="str">
        <f t="shared" si="7"/>
        <v>KU</v>
      </c>
      <c r="B87" s="426" t="str">
        <f t="shared" si="6"/>
        <v>KY</v>
      </c>
      <c r="C87" s="426" t="str">
        <f t="shared" si="9"/>
        <v>E</v>
      </c>
      <c r="D87" s="426" t="s">
        <v>2655</v>
      </c>
      <c r="E87" s="426" t="str">
        <f t="shared" si="8"/>
        <v>359</v>
      </c>
      <c r="F87" s="741" t="s">
        <v>1771</v>
      </c>
      <c r="G87" s="425" t="str">
        <f t="shared" si="5"/>
        <v>ARO</v>
      </c>
      <c r="H87" s="426">
        <v>254.31741</v>
      </c>
      <c r="I87" s="426">
        <v>254.31741</v>
      </c>
      <c r="J87" s="426">
        <v>254.31741</v>
      </c>
      <c r="K87" s="426">
        <v>254.31741</v>
      </c>
      <c r="L87" s="426">
        <v>254.31741</v>
      </c>
      <c r="M87" s="426">
        <v>254.31741</v>
      </c>
      <c r="N87" s="426">
        <v>254.31741</v>
      </c>
      <c r="O87" s="426">
        <v>254.31741</v>
      </c>
      <c r="P87" s="426">
        <v>254.31741</v>
      </c>
      <c r="Q87" s="426">
        <v>254.31741</v>
      </c>
      <c r="R87" s="426">
        <v>254.31741</v>
      </c>
      <c r="S87" s="426">
        <v>254.31741</v>
      </c>
      <c r="T87" s="426">
        <v>254.31741</v>
      </c>
    </row>
    <row r="88" spans="1:20" s="426" customFormat="1">
      <c r="A88" s="426" t="str">
        <f t="shared" si="7"/>
        <v>KU</v>
      </c>
      <c r="B88" s="426" t="str">
        <f t="shared" si="6"/>
        <v>KY</v>
      </c>
      <c r="C88" s="426" t="str">
        <f t="shared" si="9"/>
        <v>F</v>
      </c>
      <c r="D88" s="426" t="s">
        <v>2655</v>
      </c>
      <c r="E88" s="426" t="str">
        <f t="shared" si="8"/>
        <v>360</v>
      </c>
      <c r="F88" s="741" t="s">
        <v>1772</v>
      </c>
      <c r="G88" s="425" t="str">
        <f t="shared" si="5"/>
        <v>FUTURE USE</v>
      </c>
      <c r="H88" s="426">
        <v>1495.10436</v>
      </c>
      <c r="I88" s="426">
        <v>1495.10436</v>
      </c>
      <c r="J88" s="426">
        <v>1495.10436</v>
      </c>
      <c r="K88" s="426">
        <v>1495.1041299999999</v>
      </c>
      <c r="L88" s="426">
        <v>1495.1041299999999</v>
      </c>
      <c r="M88" s="426">
        <v>1471.4221299999999</v>
      </c>
      <c r="N88" s="426">
        <v>1471.4221299999999</v>
      </c>
      <c r="O88" s="426">
        <v>1471.4221299999999</v>
      </c>
      <c r="P88" s="426">
        <v>1471.4221299999999</v>
      </c>
      <c r="Q88" s="426">
        <v>1471.4221299999999</v>
      </c>
      <c r="R88" s="426">
        <v>1471.4221299999999</v>
      </c>
      <c r="S88" s="426">
        <v>1471.4221299999999</v>
      </c>
      <c r="T88" s="426">
        <v>1471.4221299999999</v>
      </c>
    </row>
    <row r="89" spans="1:20" s="426" customFormat="1">
      <c r="A89" s="426" t="str">
        <f t="shared" si="7"/>
        <v>KU</v>
      </c>
      <c r="B89" s="426" t="str">
        <f t="shared" si="6"/>
        <v>KY</v>
      </c>
      <c r="C89" s="426" t="str">
        <f t="shared" si="9"/>
        <v>E</v>
      </c>
      <c r="D89" s="426" t="s">
        <v>2655</v>
      </c>
      <c r="E89" s="426" t="str">
        <f t="shared" si="8"/>
        <v>360</v>
      </c>
      <c r="F89" s="741" t="s">
        <v>1773</v>
      </c>
      <c r="G89" s="425" t="str">
        <f t="shared" si="5"/>
        <v/>
      </c>
      <c r="H89" s="426">
        <v>8590.9440500000001</v>
      </c>
      <c r="I89" s="426">
        <v>8590.9440500000001</v>
      </c>
      <c r="J89" s="426">
        <v>8590.9440500000001</v>
      </c>
      <c r="K89" s="426">
        <v>8590.9447099999998</v>
      </c>
      <c r="L89" s="426">
        <v>8676.1744199999994</v>
      </c>
      <c r="M89" s="426">
        <v>8675.1826500000006</v>
      </c>
      <c r="N89" s="426">
        <v>8675.1826500000006</v>
      </c>
      <c r="O89" s="426">
        <v>8920.6260199999997</v>
      </c>
      <c r="P89" s="426">
        <v>8920.6260199999997</v>
      </c>
      <c r="Q89" s="426">
        <v>8920.6260199999997</v>
      </c>
      <c r="R89" s="426">
        <v>8925.3310199999996</v>
      </c>
      <c r="S89" s="426">
        <v>8925.3310199999996</v>
      </c>
      <c r="T89" s="426">
        <v>8925.3310199999996</v>
      </c>
    </row>
    <row r="90" spans="1:20" s="426" customFormat="1">
      <c r="A90" s="426" t="str">
        <f t="shared" si="7"/>
        <v>KU</v>
      </c>
      <c r="B90" s="426" t="str">
        <f t="shared" si="6"/>
        <v>TN</v>
      </c>
      <c r="C90" s="426" t="str">
        <f t="shared" si="9"/>
        <v>E</v>
      </c>
      <c r="D90" s="426" t="s">
        <v>2655</v>
      </c>
      <c r="E90" s="426" t="str">
        <f t="shared" si="8"/>
        <v>360</v>
      </c>
      <c r="F90" s="741" t="s">
        <v>1774</v>
      </c>
      <c r="G90" s="425" t="str">
        <f t="shared" si="5"/>
        <v/>
      </c>
      <c r="H90" s="426">
        <v>5.0402300000000002</v>
      </c>
      <c r="I90" s="426">
        <v>5.0402300000000002</v>
      </c>
      <c r="J90" s="426">
        <v>5.0402300000000002</v>
      </c>
      <c r="K90" s="426">
        <v>5.0402300000000002</v>
      </c>
      <c r="L90" s="426">
        <v>5.0402300000000002</v>
      </c>
      <c r="M90" s="426">
        <v>5.0402300000000002</v>
      </c>
      <c r="N90" s="426">
        <v>5.0402300000000002</v>
      </c>
      <c r="O90" s="426">
        <v>5.0402300000000002</v>
      </c>
      <c r="P90" s="426">
        <v>5.0402300000000002</v>
      </c>
      <c r="Q90" s="426">
        <v>5.0402300000000002</v>
      </c>
      <c r="R90" s="426">
        <v>5.0402300000000002</v>
      </c>
      <c r="S90" s="426">
        <v>5.0402300000000002</v>
      </c>
      <c r="T90" s="426">
        <v>5.0402300000000002</v>
      </c>
    </row>
    <row r="91" spans="1:20" s="426" customFormat="1">
      <c r="A91" s="426" t="str">
        <f t="shared" si="7"/>
        <v>KU</v>
      </c>
      <c r="B91" s="426" t="str">
        <f t="shared" si="6"/>
        <v>VA</v>
      </c>
      <c r="C91" s="426" t="str">
        <f t="shared" si="9"/>
        <v>E</v>
      </c>
      <c r="D91" s="426" t="s">
        <v>2655</v>
      </c>
      <c r="E91" s="426" t="str">
        <f t="shared" si="8"/>
        <v>360</v>
      </c>
      <c r="F91" s="741" t="s">
        <v>1775</v>
      </c>
      <c r="G91" s="425" t="str">
        <f t="shared" si="5"/>
        <v/>
      </c>
      <c r="H91" s="426">
        <v>305.48790000000002</v>
      </c>
      <c r="I91" s="426">
        <v>305.48790000000002</v>
      </c>
      <c r="J91" s="426">
        <v>305.48790000000002</v>
      </c>
      <c r="K91" s="426">
        <v>305.48790000000002</v>
      </c>
      <c r="L91" s="426">
        <v>305.48790000000002</v>
      </c>
      <c r="M91" s="426">
        <v>305.48790000000002</v>
      </c>
      <c r="N91" s="426">
        <v>305.48790000000002</v>
      </c>
      <c r="O91" s="426">
        <v>305.48790000000002</v>
      </c>
      <c r="P91" s="426">
        <v>305.48790000000002</v>
      </c>
      <c r="Q91" s="426">
        <v>305.48790000000002</v>
      </c>
      <c r="R91" s="426">
        <v>305.48790000000002</v>
      </c>
      <c r="S91" s="426">
        <v>305.48790000000002</v>
      </c>
      <c r="T91" s="426">
        <v>305.48790000000002</v>
      </c>
    </row>
    <row r="92" spans="1:20" s="426" customFormat="1">
      <c r="A92" s="426" t="str">
        <f t="shared" si="7"/>
        <v>KU</v>
      </c>
      <c r="B92" s="426" t="str">
        <f t="shared" si="6"/>
        <v>KY</v>
      </c>
      <c r="C92" s="426" t="str">
        <f t="shared" si="9"/>
        <v>E</v>
      </c>
      <c r="D92" s="426" t="s">
        <v>2655</v>
      </c>
      <c r="E92" s="426" t="str">
        <f t="shared" si="8"/>
        <v>361</v>
      </c>
      <c r="F92" s="741" t="s">
        <v>1776</v>
      </c>
      <c r="G92" s="425" t="str">
        <f t="shared" si="5"/>
        <v/>
      </c>
      <c r="H92" s="426">
        <v>23318.4789199999</v>
      </c>
      <c r="I92" s="426">
        <v>23318.4789199999</v>
      </c>
      <c r="J92" s="426">
        <v>23318.4789199999</v>
      </c>
      <c r="K92" s="426">
        <v>23844.074229999998</v>
      </c>
      <c r="L92" s="426">
        <v>23789.772999999899</v>
      </c>
      <c r="M92" s="426">
        <v>23789.5649999999</v>
      </c>
      <c r="N92" s="426">
        <v>23788.703219999898</v>
      </c>
      <c r="O92" s="426">
        <v>25090.409209999896</v>
      </c>
      <c r="P92" s="426">
        <v>26398.908029999897</v>
      </c>
      <c r="Q92" s="426">
        <v>27136.781019999897</v>
      </c>
      <c r="R92" s="426">
        <v>27110.966779999897</v>
      </c>
      <c r="S92" s="426">
        <v>27567.015139999898</v>
      </c>
      <c r="T92" s="426">
        <v>28011.801499999896</v>
      </c>
    </row>
    <row r="93" spans="1:20" s="426" customFormat="1">
      <c r="A93" s="426" t="str">
        <f t="shared" si="7"/>
        <v>KU</v>
      </c>
      <c r="B93" s="426" t="str">
        <f t="shared" si="6"/>
        <v>TN</v>
      </c>
      <c r="C93" s="426" t="str">
        <f t="shared" si="9"/>
        <v>E</v>
      </c>
      <c r="D93" s="426" t="s">
        <v>2655</v>
      </c>
      <c r="E93" s="426" t="str">
        <f t="shared" si="8"/>
        <v>361</v>
      </c>
      <c r="F93" s="741" t="s">
        <v>1777</v>
      </c>
      <c r="G93" s="425" t="str">
        <f t="shared" si="5"/>
        <v/>
      </c>
      <c r="H93" s="426">
        <v>2.5451299999999999</v>
      </c>
      <c r="I93" s="426">
        <v>2.5451299999999999</v>
      </c>
      <c r="J93" s="426">
        <v>2.5451299999999999</v>
      </c>
      <c r="K93" s="426">
        <v>2.5451299999999999</v>
      </c>
      <c r="L93" s="426">
        <v>2.5451299999999999</v>
      </c>
      <c r="M93" s="426">
        <v>2.5451299999999999</v>
      </c>
      <c r="N93" s="426">
        <v>2.5451299999999999</v>
      </c>
      <c r="O93" s="426">
        <v>2.5451299999999999</v>
      </c>
      <c r="P93" s="426">
        <v>2.5451299999999999</v>
      </c>
      <c r="Q93" s="426">
        <v>2.5451299999999999</v>
      </c>
      <c r="R93" s="426">
        <v>2.5451299999999999</v>
      </c>
      <c r="S93" s="426">
        <v>2.5451299999999999</v>
      </c>
      <c r="T93" s="426">
        <v>2.5451299999999999</v>
      </c>
    </row>
    <row r="94" spans="1:20" s="426" customFormat="1">
      <c r="A94" s="426" t="str">
        <f t="shared" si="7"/>
        <v>KU</v>
      </c>
      <c r="B94" s="426" t="str">
        <f t="shared" si="6"/>
        <v>VA</v>
      </c>
      <c r="C94" s="426" t="str">
        <f t="shared" si="9"/>
        <v>E</v>
      </c>
      <c r="D94" s="426" t="s">
        <v>2655</v>
      </c>
      <c r="E94" s="426" t="str">
        <f t="shared" si="8"/>
        <v>361</v>
      </c>
      <c r="F94" s="741" t="s">
        <v>1778</v>
      </c>
      <c r="G94" s="425" t="str">
        <f t="shared" si="5"/>
        <v/>
      </c>
      <c r="H94" s="426">
        <v>661.35446000000002</v>
      </c>
      <c r="I94" s="426">
        <v>661.35446000000002</v>
      </c>
      <c r="J94" s="426">
        <v>661.35446000000002</v>
      </c>
      <c r="K94" s="426">
        <v>661.35446000000002</v>
      </c>
      <c r="L94" s="426">
        <v>661.35446000000002</v>
      </c>
      <c r="M94" s="426">
        <v>661.35446000000002</v>
      </c>
      <c r="N94" s="426">
        <v>661.35446000000002</v>
      </c>
      <c r="O94" s="426">
        <v>661.35446000000002</v>
      </c>
      <c r="P94" s="426">
        <v>661.35446000000002</v>
      </c>
      <c r="Q94" s="426">
        <v>661.35446000000002</v>
      </c>
      <c r="R94" s="426">
        <v>652.26545999999996</v>
      </c>
      <c r="S94" s="426">
        <v>652.26545999999996</v>
      </c>
      <c r="T94" s="426">
        <v>652.26545999999996</v>
      </c>
    </row>
    <row r="95" spans="1:20" s="426" customFormat="1">
      <c r="A95" s="426" t="str">
        <f t="shared" si="7"/>
        <v>KU</v>
      </c>
      <c r="B95" s="426" t="str">
        <f t="shared" si="6"/>
        <v>KY</v>
      </c>
      <c r="C95" s="426" t="str">
        <f t="shared" si="9"/>
        <v>E</v>
      </c>
      <c r="D95" s="426" t="s">
        <v>2655</v>
      </c>
      <c r="E95" s="426" t="str">
        <f t="shared" si="8"/>
        <v>362</v>
      </c>
      <c r="F95" s="741" t="s">
        <v>1779</v>
      </c>
      <c r="G95" s="425" t="str">
        <f t="shared" si="5"/>
        <v/>
      </c>
      <c r="H95" s="426">
        <v>242570.9026</v>
      </c>
      <c r="I95" s="426">
        <v>246029.16159999999</v>
      </c>
      <c r="J95" s="426">
        <v>248612.5606</v>
      </c>
      <c r="K95" s="426">
        <v>249999.70879999999</v>
      </c>
      <c r="L95" s="426">
        <v>250148.90580000001</v>
      </c>
      <c r="M95" s="426">
        <v>251364.84669999999</v>
      </c>
      <c r="N95" s="426">
        <v>253959.84700000001</v>
      </c>
      <c r="O95" s="426">
        <v>254417.86314999999</v>
      </c>
      <c r="P95" s="426">
        <v>255485.24687</v>
      </c>
      <c r="Q95" s="426">
        <v>261919.88206</v>
      </c>
      <c r="R95" s="426">
        <v>277543.95053999999</v>
      </c>
      <c r="S95" s="426">
        <v>277865.43196999998</v>
      </c>
      <c r="T95" s="426">
        <v>278162.03460000001</v>
      </c>
    </row>
    <row r="96" spans="1:20" s="426" customFormat="1">
      <c r="A96" s="426" t="str">
        <f t="shared" si="7"/>
        <v>KU</v>
      </c>
      <c r="B96" s="426" t="str">
        <f t="shared" si="6"/>
        <v>TN</v>
      </c>
      <c r="C96" s="426" t="str">
        <f t="shared" si="9"/>
        <v>E</v>
      </c>
      <c r="D96" s="426" t="s">
        <v>2655</v>
      </c>
      <c r="E96" s="426" t="str">
        <f t="shared" si="8"/>
        <v>362</v>
      </c>
      <c r="F96" s="741" t="s">
        <v>1780</v>
      </c>
      <c r="G96" s="425" t="str">
        <f t="shared" si="5"/>
        <v/>
      </c>
      <c r="H96" s="426">
        <v>66.85342</v>
      </c>
      <c r="I96" s="426">
        <v>66.85342</v>
      </c>
      <c r="J96" s="426">
        <v>66.85342</v>
      </c>
      <c r="K96" s="426">
        <v>66.85342</v>
      </c>
      <c r="L96" s="426">
        <v>66.85342</v>
      </c>
      <c r="M96" s="426">
        <v>66.85342</v>
      </c>
      <c r="N96" s="426">
        <v>66.85342</v>
      </c>
      <c r="O96" s="426">
        <v>66.85342</v>
      </c>
      <c r="P96" s="426">
        <v>66.85342</v>
      </c>
      <c r="Q96" s="426">
        <v>66.85342</v>
      </c>
      <c r="R96" s="426">
        <v>66.85342</v>
      </c>
      <c r="S96" s="426">
        <v>66.85342</v>
      </c>
      <c r="T96" s="426">
        <v>66.85342</v>
      </c>
    </row>
    <row r="97" spans="1:20" s="426" customFormat="1">
      <c r="A97" s="426" t="str">
        <f t="shared" si="7"/>
        <v>KU</v>
      </c>
      <c r="B97" s="426" t="str">
        <f t="shared" si="6"/>
        <v>VA</v>
      </c>
      <c r="C97" s="426" t="str">
        <f t="shared" si="9"/>
        <v>E</v>
      </c>
      <c r="D97" s="426" t="s">
        <v>2655</v>
      </c>
      <c r="E97" s="426" t="str">
        <f t="shared" si="8"/>
        <v>362</v>
      </c>
      <c r="F97" s="741" t="s">
        <v>1781</v>
      </c>
      <c r="G97" s="425" t="str">
        <f t="shared" si="5"/>
        <v/>
      </c>
      <c r="H97" s="426">
        <v>8780.32611</v>
      </c>
      <c r="I97" s="426">
        <v>8780.32611</v>
      </c>
      <c r="J97" s="426">
        <v>8780.32611</v>
      </c>
      <c r="K97" s="426">
        <v>9144.5956200000001</v>
      </c>
      <c r="L97" s="426">
        <v>9171.5728299999992</v>
      </c>
      <c r="M97" s="426">
        <v>9176.6672400000007</v>
      </c>
      <c r="N97" s="426">
        <v>9185.4879299999993</v>
      </c>
      <c r="O97" s="426">
        <v>9180.2732299999898</v>
      </c>
      <c r="P97" s="426">
        <v>9180.2732299999898</v>
      </c>
      <c r="Q97" s="426">
        <v>9180.2732299999898</v>
      </c>
      <c r="R97" s="426">
        <v>9218.6846299999997</v>
      </c>
      <c r="S97" s="426">
        <v>9218.6846299999997</v>
      </c>
      <c r="T97" s="426">
        <v>9218.6846299999997</v>
      </c>
    </row>
    <row r="98" spans="1:20" s="426" customFormat="1">
      <c r="A98" s="426" t="str">
        <f t="shared" si="7"/>
        <v>KU</v>
      </c>
      <c r="B98" s="426" t="str">
        <f t="shared" si="6"/>
        <v>KY</v>
      </c>
      <c r="C98" s="426" t="str">
        <f t="shared" si="9"/>
        <v>E</v>
      </c>
      <c r="D98" s="426" t="s">
        <v>2655</v>
      </c>
      <c r="E98" s="426" t="str">
        <f t="shared" si="8"/>
        <v>364</v>
      </c>
      <c r="F98" s="741" t="s">
        <v>2196</v>
      </c>
      <c r="G98" s="425" t="str">
        <f t="shared" si="5"/>
        <v>ECR</v>
      </c>
      <c r="H98" s="426">
        <v>103.64113999999999</v>
      </c>
      <c r="I98" s="426">
        <v>103.64113999999999</v>
      </c>
      <c r="J98" s="426">
        <v>103.64113999999999</v>
      </c>
      <c r="K98" s="426">
        <v>103.64113999999999</v>
      </c>
      <c r="L98" s="426">
        <v>103.64113999999999</v>
      </c>
      <c r="M98" s="426">
        <v>103.64113999999999</v>
      </c>
      <c r="N98" s="426">
        <v>103.64113999999999</v>
      </c>
      <c r="O98" s="426">
        <v>103.64113999999999</v>
      </c>
      <c r="P98" s="426">
        <v>103.64113999999999</v>
      </c>
      <c r="Q98" s="426">
        <v>103.64113999999999</v>
      </c>
      <c r="R98" s="426">
        <v>103.64113999999999</v>
      </c>
      <c r="S98" s="426">
        <v>103.64113999999999</v>
      </c>
      <c r="T98" s="426">
        <v>103.64113999999999</v>
      </c>
    </row>
    <row r="99" spans="1:20" s="426" customFormat="1">
      <c r="A99" s="426" t="str">
        <f t="shared" si="7"/>
        <v>KU</v>
      </c>
      <c r="B99" s="426" t="str">
        <f t="shared" si="6"/>
        <v>KY</v>
      </c>
      <c r="C99" s="426" t="str">
        <f t="shared" si="9"/>
        <v>E</v>
      </c>
      <c r="D99" s="426" t="s">
        <v>2655</v>
      </c>
      <c r="E99" s="426" t="str">
        <f t="shared" si="8"/>
        <v>364</v>
      </c>
      <c r="F99" s="741" t="s">
        <v>1782</v>
      </c>
      <c r="G99" s="425" t="str">
        <f t="shared" si="5"/>
        <v/>
      </c>
      <c r="H99" s="426">
        <v>412985.44939999998</v>
      </c>
      <c r="I99" s="426">
        <v>411959.83269999898</v>
      </c>
      <c r="J99" s="426">
        <v>417254.9106</v>
      </c>
      <c r="K99" s="426">
        <v>418942.10849999997</v>
      </c>
      <c r="L99" s="426">
        <v>419479.78489999898</v>
      </c>
      <c r="M99" s="426">
        <v>422681.46169999999</v>
      </c>
      <c r="N99" s="426">
        <v>424470.12069999898</v>
      </c>
      <c r="O99" s="426">
        <v>425941.11175999901</v>
      </c>
      <c r="P99" s="426">
        <v>427024.31244999898</v>
      </c>
      <c r="Q99" s="426">
        <v>427218.05212999898</v>
      </c>
      <c r="R99" s="426">
        <v>433587.32909999997</v>
      </c>
      <c r="S99" s="426">
        <v>435011.59499999997</v>
      </c>
      <c r="T99" s="426">
        <v>436382.40749999997</v>
      </c>
    </row>
    <row r="100" spans="1:20" s="426" customFormat="1">
      <c r="A100" s="426" t="str">
        <f t="shared" si="7"/>
        <v>KU</v>
      </c>
      <c r="B100" s="426" t="str">
        <f t="shared" si="6"/>
        <v>TN</v>
      </c>
      <c r="C100" s="426" t="str">
        <f t="shared" si="9"/>
        <v>E</v>
      </c>
      <c r="D100" s="426" t="s">
        <v>2655</v>
      </c>
      <c r="E100" s="426" t="str">
        <f t="shared" si="8"/>
        <v>364</v>
      </c>
      <c r="F100" s="741" t="s">
        <v>1783</v>
      </c>
      <c r="G100" s="425" t="str">
        <f t="shared" si="5"/>
        <v/>
      </c>
      <c r="H100" s="426">
        <v>15.95452</v>
      </c>
      <c r="I100" s="426">
        <v>15.95452</v>
      </c>
      <c r="J100" s="426">
        <v>15.95452</v>
      </c>
      <c r="K100" s="426">
        <v>15.95452</v>
      </c>
      <c r="L100" s="426">
        <v>15.95452</v>
      </c>
      <c r="M100" s="426">
        <v>15.95452</v>
      </c>
      <c r="N100" s="426">
        <v>15.95452</v>
      </c>
      <c r="O100" s="426">
        <v>15.95452</v>
      </c>
      <c r="P100" s="426">
        <v>15.95452</v>
      </c>
      <c r="Q100" s="426">
        <v>15.95452</v>
      </c>
      <c r="R100" s="426">
        <v>15.95452</v>
      </c>
      <c r="S100" s="426">
        <v>15.95452</v>
      </c>
      <c r="T100" s="426">
        <v>15.95452</v>
      </c>
    </row>
    <row r="101" spans="1:20" s="426" customFormat="1">
      <c r="A101" s="426" t="str">
        <f t="shared" si="7"/>
        <v>KU</v>
      </c>
      <c r="B101" s="426" t="str">
        <f t="shared" si="6"/>
        <v>VA</v>
      </c>
      <c r="C101" s="426" t="str">
        <f t="shared" si="9"/>
        <v>E</v>
      </c>
      <c r="D101" s="426" t="s">
        <v>2655</v>
      </c>
      <c r="E101" s="426" t="str">
        <f t="shared" si="8"/>
        <v>364</v>
      </c>
      <c r="F101" s="741" t="s">
        <v>1784</v>
      </c>
      <c r="G101" s="425" t="str">
        <f t="shared" si="5"/>
        <v/>
      </c>
      <c r="H101" s="426">
        <v>32501.814470000001</v>
      </c>
      <c r="I101" s="426">
        <v>32501.296490000001</v>
      </c>
      <c r="J101" s="426">
        <v>31877.561610000001</v>
      </c>
      <c r="K101" s="426">
        <v>31980.50649</v>
      </c>
      <c r="L101" s="426">
        <v>31979.53587</v>
      </c>
      <c r="M101" s="426">
        <v>32047.71027</v>
      </c>
      <c r="N101" s="426">
        <v>32075.67873</v>
      </c>
      <c r="O101" s="426">
        <v>32148.943749999999</v>
      </c>
      <c r="P101" s="426">
        <v>32262.45938</v>
      </c>
      <c r="Q101" s="426">
        <v>32336.022659999999</v>
      </c>
      <c r="R101" s="426">
        <v>33085.468909999901</v>
      </c>
      <c r="S101" s="426">
        <v>33113.547099999902</v>
      </c>
      <c r="T101" s="426">
        <v>33137.26902</v>
      </c>
    </row>
    <row r="102" spans="1:20" s="426" customFormat="1">
      <c r="A102" s="426" t="str">
        <f t="shared" si="7"/>
        <v>KU</v>
      </c>
      <c r="B102" s="426" t="str">
        <f t="shared" si="6"/>
        <v>KY</v>
      </c>
      <c r="C102" s="426" t="str">
        <f t="shared" si="9"/>
        <v>E</v>
      </c>
      <c r="D102" s="426" t="s">
        <v>2655</v>
      </c>
      <c r="E102" s="426" t="str">
        <f t="shared" si="8"/>
        <v>365</v>
      </c>
      <c r="F102" s="741" t="s">
        <v>2197</v>
      </c>
      <c r="G102" s="425" t="str">
        <f t="shared" si="5"/>
        <v>ECR</v>
      </c>
      <c r="H102" s="426">
        <v>89.787700000000001</v>
      </c>
      <c r="I102" s="426">
        <v>89.787700000000001</v>
      </c>
      <c r="J102" s="426">
        <v>89.787700000000001</v>
      </c>
      <c r="K102" s="426">
        <v>89.787700000000001</v>
      </c>
      <c r="L102" s="426">
        <v>89.787700000000001</v>
      </c>
      <c r="M102" s="426">
        <v>89.787700000000001</v>
      </c>
      <c r="N102" s="426">
        <v>89.787700000000001</v>
      </c>
      <c r="O102" s="426">
        <v>89.787700000000001</v>
      </c>
      <c r="P102" s="426">
        <v>89.787700000000001</v>
      </c>
      <c r="Q102" s="426">
        <v>89.787700000000001</v>
      </c>
      <c r="R102" s="426">
        <v>89.787700000000001</v>
      </c>
      <c r="S102" s="426">
        <v>89.787700000000001</v>
      </c>
      <c r="T102" s="426">
        <v>89.787700000000001</v>
      </c>
    </row>
    <row r="103" spans="1:20" s="426" customFormat="1">
      <c r="A103" s="426" t="str">
        <f t="shared" si="7"/>
        <v>KU</v>
      </c>
      <c r="B103" s="426" t="str">
        <f t="shared" si="6"/>
        <v>KY</v>
      </c>
      <c r="C103" s="426" t="str">
        <f t="shared" si="9"/>
        <v>E</v>
      </c>
      <c r="D103" s="426" t="s">
        <v>2655</v>
      </c>
      <c r="E103" s="426" t="str">
        <f t="shared" si="8"/>
        <v>365</v>
      </c>
      <c r="F103" s="741" t="s">
        <v>1785</v>
      </c>
      <c r="G103" s="425" t="str">
        <f t="shared" si="5"/>
        <v/>
      </c>
      <c r="H103" s="426">
        <v>417319.8505</v>
      </c>
      <c r="I103" s="426">
        <v>416596.17729999998</v>
      </c>
      <c r="J103" s="426">
        <v>421494.16759999999</v>
      </c>
      <c r="K103" s="426">
        <v>424834.04200000002</v>
      </c>
      <c r="L103" s="426">
        <v>420373.66930000001</v>
      </c>
      <c r="M103" s="426">
        <v>424005.44929999998</v>
      </c>
      <c r="N103" s="426">
        <v>425934.48339999898</v>
      </c>
      <c r="O103" s="426">
        <v>436574.22357999999</v>
      </c>
      <c r="P103" s="426">
        <v>437866.76037999999</v>
      </c>
      <c r="Q103" s="426">
        <v>440801.15699999902</v>
      </c>
      <c r="R103" s="426">
        <v>447078.71506999998</v>
      </c>
      <c r="S103" s="426">
        <v>449287.09654999903</v>
      </c>
      <c r="T103" s="426">
        <v>450928.60566999897</v>
      </c>
    </row>
    <row r="104" spans="1:20" s="426" customFormat="1">
      <c r="A104" s="426" t="str">
        <f t="shared" si="7"/>
        <v>KU</v>
      </c>
      <c r="B104" s="426" t="str">
        <f t="shared" si="6"/>
        <v>TN</v>
      </c>
      <c r="C104" s="426" t="str">
        <f t="shared" si="9"/>
        <v>E</v>
      </c>
      <c r="D104" s="426" t="s">
        <v>2655</v>
      </c>
      <c r="E104" s="426" t="str">
        <f t="shared" si="8"/>
        <v>365</v>
      </c>
      <c r="F104" s="741" t="s">
        <v>1786</v>
      </c>
      <c r="G104" s="425" t="str">
        <f t="shared" si="5"/>
        <v/>
      </c>
      <c r="H104" s="426">
        <v>17.140309999999999</v>
      </c>
      <c r="I104" s="426">
        <v>17.140309999999999</v>
      </c>
      <c r="J104" s="426">
        <v>17.140309999999999</v>
      </c>
      <c r="K104" s="426">
        <v>17.140309999999999</v>
      </c>
      <c r="L104" s="426">
        <v>17.140309999999999</v>
      </c>
      <c r="M104" s="426">
        <v>17.140309999999999</v>
      </c>
      <c r="N104" s="426">
        <v>17.140309999999999</v>
      </c>
      <c r="O104" s="426">
        <v>17.140309999999999</v>
      </c>
      <c r="P104" s="426">
        <v>17.140309999999999</v>
      </c>
      <c r="Q104" s="426">
        <v>17.140309999999999</v>
      </c>
      <c r="R104" s="426">
        <v>17.140309999999999</v>
      </c>
      <c r="S104" s="426">
        <v>17.140309999999999</v>
      </c>
      <c r="T104" s="426">
        <v>17.140309999999999</v>
      </c>
    </row>
    <row r="105" spans="1:20" s="426" customFormat="1">
      <c r="A105" s="426" t="str">
        <f t="shared" si="7"/>
        <v>KU</v>
      </c>
      <c r="B105" s="426" t="str">
        <f t="shared" si="6"/>
        <v>VA</v>
      </c>
      <c r="C105" s="426" t="str">
        <f t="shared" si="9"/>
        <v>E</v>
      </c>
      <c r="D105" s="426" t="s">
        <v>2655</v>
      </c>
      <c r="E105" s="426" t="str">
        <f t="shared" si="8"/>
        <v>365</v>
      </c>
      <c r="F105" s="741" t="s">
        <v>1787</v>
      </c>
      <c r="G105" s="425" t="str">
        <f t="shared" si="5"/>
        <v/>
      </c>
      <c r="H105" s="426">
        <v>28721.594939999999</v>
      </c>
      <c r="I105" s="426">
        <v>28699.616699999999</v>
      </c>
      <c r="J105" s="426">
        <v>28541.48155</v>
      </c>
      <c r="K105" s="426">
        <v>28600.5123299999</v>
      </c>
      <c r="L105" s="426">
        <v>28598.85182</v>
      </c>
      <c r="M105" s="426">
        <v>28668.801079999899</v>
      </c>
      <c r="N105" s="426">
        <v>28745.582060000001</v>
      </c>
      <c r="O105" s="426">
        <v>29187.7988</v>
      </c>
      <c r="P105" s="426">
        <v>29344.464639999998</v>
      </c>
      <c r="Q105" s="426">
        <v>29527.138200000001</v>
      </c>
      <c r="R105" s="426">
        <v>29884.835780000001</v>
      </c>
      <c r="S105" s="426">
        <v>29983.717290000001</v>
      </c>
      <c r="T105" s="426">
        <v>30091.068520000001</v>
      </c>
    </row>
    <row r="106" spans="1:20" s="426" customFormat="1">
      <c r="A106" s="426" t="str">
        <f t="shared" si="7"/>
        <v>KU</v>
      </c>
      <c r="B106" s="426" t="str">
        <f t="shared" si="6"/>
        <v>KY</v>
      </c>
      <c r="C106" s="426" t="str">
        <f t="shared" si="9"/>
        <v>E</v>
      </c>
      <c r="D106" s="426" t="s">
        <v>2655</v>
      </c>
      <c r="E106" s="426" t="str">
        <f t="shared" si="8"/>
        <v>366</v>
      </c>
      <c r="F106" s="741" t="s">
        <v>2198</v>
      </c>
      <c r="G106" s="425" t="str">
        <f t="shared" si="5"/>
        <v>ECR</v>
      </c>
      <c r="H106" s="426">
        <v>216.87010999999899</v>
      </c>
      <c r="I106" s="426">
        <v>216.87010999999899</v>
      </c>
      <c r="J106" s="426">
        <v>216.87010999999899</v>
      </c>
      <c r="K106" s="426">
        <v>216.87010999999899</v>
      </c>
      <c r="L106" s="426">
        <v>216.87010999999899</v>
      </c>
      <c r="M106" s="426">
        <v>216.87010999999899</v>
      </c>
      <c r="N106" s="426">
        <v>216.87010999999899</v>
      </c>
      <c r="O106" s="426">
        <v>216.87010999999899</v>
      </c>
      <c r="P106" s="426">
        <v>216.87010999999899</v>
      </c>
      <c r="Q106" s="426">
        <v>216.87010999999899</v>
      </c>
      <c r="R106" s="426">
        <v>216.87010999999899</v>
      </c>
      <c r="S106" s="426">
        <v>216.87010999999899</v>
      </c>
      <c r="T106" s="426">
        <v>216.87010999999899</v>
      </c>
    </row>
    <row r="107" spans="1:20" s="426" customFormat="1">
      <c r="A107" s="426" t="str">
        <f t="shared" si="7"/>
        <v>KU</v>
      </c>
      <c r="B107" s="426" t="str">
        <f t="shared" si="6"/>
        <v>KY</v>
      </c>
      <c r="C107" s="426" t="str">
        <f t="shared" si="9"/>
        <v>E</v>
      </c>
      <c r="D107" s="426" t="s">
        <v>2655</v>
      </c>
      <c r="E107" s="426" t="str">
        <f t="shared" si="8"/>
        <v>366</v>
      </c>
      <c r="F107" s="741" t="s">
        <v>1788</v>
      </c>
      <c r="G107" s="425" t="str">
        <f t="shared" si="5"/>
        <v/>
      </c>
      <c r="H107" s="426">
        <v>2307.0414799999999</v>
      </c>
      <c r="I107" s="426">
        <v>2307.0414799999999</v>
      </c>
      <c r="J107" s="426">
        <v>2307.0803299999998</v>
      </c>
      <c r="K107" s="426">
        <v>2307.1857300000001</v>
      </c>
      <c r="L107" s="426">
        <v>2307.1857300000001</v>
      </c>
      <c r="M107" s="426">
        <v>2307.2399500000001</v>
      </c>
      <c r="N107" s="426">
        <v>2307.27441</v>
      </c>
      <c r="O107" s="426">
        <v>2307.27441</v>
      </c>
      <c r="P107" s="426">
        <v>2307.27441</v>
      </c>
      <c r="Q107" s="426">
        <v>2307.27441</v>
      </c>
      <c r="R107" s="426">
        <v>2307.27441</v>
      </c>
      <c r="S107" s="426">
        <v>2307.27441</v>
      </c>
      <c r="T107" s="426">
        <v>2307.27441</v>
      </c>
    </row>
    <row r="108" spans="1:20" s="426" customFormat="1">
      <c r="A108" s="426" t="str">
        <f t="shared" si="7"/>
        <v>KU</v>
      </c>
      <c r="B108" s="426" t="str">
        <f t="shared" si="6"/>
        <v>KY</v>
      </c>
      <c r="C108" s="426" t="str">
        <f t="shared" si="9"/>
        <v>E</v>
      </c>
      <c r="D108" s="426" t="s">
        <v>2655</v>
      </c>
      <c r="E108" s="426" t="str">
        <f t="shared" si="8"/>
        <v>367</v>
      </c>
      <c r="F108" s="741" t="s">
        <v>2199</v>
      </c>
      <c r="G108" s="425" t="str">
        <f t="shared" si="5"/>
        <v>ECR</v>
      </c>
      <c r="H108" s="426">
        <v>1176.77197</v>
      </c>
      <c r="I108" s="426">
        <v>1176.77197</v>
      </c>
      <c r="J108" s="426">
        <v>1176.77197</v>
      </c>
      <c r="K108" s="426">
        <v>1176.77197</v>
      </c>
      <c r="L108" s="426">
        <v>1176.77197</v>
      </c>
      <c r="M108" s="426">
        <v>1176.77197</v>
      </c>
      <c r="N108" s="426">
        <v>1176.77197</v>
      </c>
      <c r="O108" s="426">
        <v>1176.77197</v>
      </c>
      <c r="P108" s="426">
        <v>1176.77197</v>
      </c>
      <c r="Q108" s="426">
        <v>1176.77197</v>
      </c>
      <c r="R108" s="426">
        <v>1176.77197</v>
      </c>
      <c r="S108" s="426">
        <v>1176.77197</v>
      </c>
      <c r="T108" s="426">
        <v>1176.77197</v>
      </c>
    </row>
    <row r="109" spans="1:20" s="426" customFormat="1">
      <c r="A109" s="426" t="str">
        <f t="shared" si="7"/>
        <v>KU</v>
      </c>
      <c r="B109" s="426" t="str">
        <f t="shared" si="6"/>
        <v>KY</v>
      </c>
      <c r="C109" s="426" t="str">
        <f t="shared" si="9"/>
        <v>E</v>
      </c>
      <c r="D109" s="426" t="s">
        <v>2655</v>
      </c>
      <c r="E109" s="426" t="str">
        <f t="shared" si="8"/>
        <v>367</v>
      </c>
      <c r="F109" s="741" t="s">
        <v>1789</v>
      </c>
      <c r="G109" s="425" t="str">
        <f t="shared" si="5"/>
        <v/>
      </c>
      <c r="H109" s="426">
        <v>210474.2856</v>
      </c>
      <c r="I109" s="426">
        <v>209514.34650000001</v>
      </c>
      <c r="J109" s="426">
        <v>211740.61619999999</v>
      </c>
      <c r="K109" s="426">
        <v>213008.860599999</v>
      </c>
      <c r="L109" s="426">
        <v>213180.90769999899</v>
      </c>
      <c r="M109" s="426">
        <v>215711.29610000001</v>
      </c>
      <c r="N109" s="426">
        <v>216849.62299999999</v>
      </c>
      <c r="O109" s="426">
        <v>220208.7985</v>
      </c>
      <c r="P109" s="426">
        <v>221797.9981</v>
      </c>
      <c r="Q109" s="426">
        <v>223176.451639999</v>
      </c>
      <c r="R109" s="426">
        <v>224757.70611</v>
      </c>
      <c r="S109" s="426">
        <v>226365.25112999999</v>
      </c>
      <c r="T109" s="426">
        <v>227949.63295999999</v>
      </c>
    </row>
    <row r="110" spans="1:20" s="426" customFormat="1">
      <c r="A110" s="426" t="str">
        <f t="shared" si="7"/>
        <v>KU</v>
      </c>
      <c r="B110" s="426" t="str">
        <f t="shared" si="6"/>
        <v>VA</v>
      </c>
      <c r="C110" s="426" t="str">
        <f t="shared" si="9"/>
        <v>E</v>
      </c>
      <c r="D110" s="426" t="s">
        <v>2655</v>
      </c>
      <c r="E110" s="426" t="str">
        <f t="shared" si="8"/>
        <v>367</v>
      </c>
      <c r="F110" s="741" t="s">
        <v>1790</v>
      </c>
      <c r="G110" s="425" t="str">
        <f t="shared" si="5"/>
        <v/>
      </c>
      <c r="H110" s="426">
        <v>4579.74604</v>
      </c>
      <c r="I110" s="426">
        <v>4581.5775999999996</v>
      </c>
      <c r="J110" s="426">
        <v>4601.6102000000001</v>
      </c>
      <c r="K110" s="426">
        <v>4633.1936299999998</v>
      </c>
      <c r="L110" s="426">
        <v>4638.8895999999904</v>
      </c>
      <c r="M110" s="426">
        <v>4649.9007099999999</v>
      </c>
      <c r="N110" s="426">
        <v>4655.0505999999996</v>
      </c>
      <c r="O110" s="426">
        <v>4690.3771699999998</v>
      </c>
      <c r="P110" s="426">
        <v>4743.7354699999996</v>
      </c>
      <c r="Q110" s="426">
        <v>4815.1069899999902</v>
      </c>
      <c r="R110" s="426">
        <v>4889.23397999999</v>
      </c>
      <c r="S110" s="426">
        <v>4926.4214999999904</v>
      </c>
      <c r="T110" s="426">
        <v>4965.3753199999901</v>
      </c>
    </row>
    <row r="111" spans="1:20" s="426" customFormat="1">
      <c r="A111" s="426" t="str">
        <f t="shared" si="7"/>
        <v>KU</v>
      </c>
      <c r="B111" s="426" t="str">
        <f t="shared" si="6"/>
        <v>KY</v>
      </c>
      <c r="C111" s="426" t="str">
        <f t="shared" si="9"/>
        <v>E</v>
      </c>
      <c r="D111" s="426" t="s">
        <v>2655</v>
      </c>
      <c r="E111" s="426" t="str">
        <f t="shared" si="8"/>
        <v>368</v>
      </c>
      <c r="F111" s="741" t="s">
        <v>1791</v>
      </c>
      <c r="G111" s="425" t="str">
        <f t="shared" si="5"/>
        <v/>
      </c>
      <c r="H111" s="426">
        <v>315722.85849999997</v>
      </c>
      <c r="I111" s="426">
        <v>315726.48420000001</v>
      </c>
      <c r="J111" s="426">
        <v>317035.08279999997</v>
      </c>
      <c r="K111" s="426">
        <v>317980.45630000002</v>
      </c>
      <c r="L111" s="426">
        <v>317980.45630000002</v>
      </c>
      <c r="M111" s="426">
        <v>319964.78200000001</v>
      </c>
      <c r="N111" s="426">
        <v>320558.7341</v>
      </c>
      <c r="O111" s="426">
        <v>320975.29452999902</v>
      </c>
      <c r="P111" s="426">
        <v>320998.09278999898</v>
      </c>
      <c r="Q111" s="426">
        <v>320937.50175999902</v>
      </c>
      <c r="R111" s="426">
        <v>320853.05205999903</v>
      </c>
      <c r="S111" s="426">
        <v>321234.48756999901</v>
      </c>
      <c r="T111" s="426">
        <v>321679.47307999898</v>
      </c>
    </row>
    <row r="112" spans="1:20" s="426" customFormat="1">
      <c r="A112" s="426" t="str">
        <f t="shared" si="7"/>
        <v>KU</v>
      </c>
      <c r="B112" s="426" t="str">
        <f t="shared" si="6"/>
        <v>VA</v>
      </c>
      <c r="C112" s="426" t="str">
        <f t="shared" si="9"/>
        <v>E</v>
      </c>
      <c r="D112" s="426" t="s">
        <v>2655</v>
      </c>
      <c r="E112" s="426" t="str">
        <f t="shared" si="8"/>
        <v>368</v>
      </c>
      <c r="F112" s="741" t="s">
        <v>1793</v>
      </c>
      <c r="G112" s="425" t="str">
        <f t="shared" si="5"/>
        <v/>
      </c>
      <c r="H112" s="426">
        <v>11017.690640000001</v>
      </c>
      <c r="I112" s="426">
        <v>11017.690640000001</v>
      </c>
      <c r="J112" s="426">
        <v>11020.480670000001</v>
      </c>
      <c r="K112" s="426">
        <v>11021.098050000001</v>
      </c>
      <c r="L112" s="426">
        <v>11021.098050000001</v>
      </c>
      <c r="M112" s="426">
        <v>11021.098050000001</v>
      </c>
      <c r="N112" s="426">
        <v>11021.251749999999</v>
      </c>
      <c r="O112" s="426">
        <v>11028.201489999999</v>
      </c>
      <c r="P112" s="426">
        <v>11034.00374</v>
      </c>
      <c r="Q112" s="426">
        <v>11034.00374</v>
      </c>
      <c r="R112" s="426">
        <v>11031.185740000001</v>
      </c>
      <c r="S112" s="426">
        <v>11031.185740000001</v>
      </c>
      <c r="T112" s="426">
        <v>11031.185740000001</v>
      </c>
    </row>
    <row r="113" spans="1:20" s="426" customFormat="1">
      <c r="A113" s="426" t="str">
        <f t="shared" si="7"/>
        <v>KU</v>
      </c>
      <c r="B113" s="426" t="str">
        <f t="shared" si="6"/>
        <v>KY</v>
      </c>
      <c r="C113" s="426" t="str">
        <f t="shared" si="9"/>
        <v>E</v>
      </c>
      <c r="D113" s="426" t="s">
        <v>2655</v>
      </c>
      <c r="E113" s="426" t="str">
        <f t="shared" si="8"/>
        <v>369</v>
      </c>
      <c r="F113" s="741" t="s">
        <v>1794</v>
      </c>
      <c r="G113" s="425" t="str">
        <f t="shared" si="5"/>
        <v/>
      </c>
      <c r="H113" s="426">
        <v>124882.2935</v>
      </c>
      <c r="I113" s="426">
        <v>124882.2935</v>
      </c>
      <c r="J113" s="426">
        <v>124885.87390000001</v>
      </c>
      <c r="K113" s="426">
        <v>124888.424</v>
      </c>
      <c r="L113" s="426">
        <v>124888.424</v>
      </c>
      <c r="M113" s="426">
        <v>124890.98820000001</v>
      </c>
      <c r="N113" s="426">
        <v>124898.4184</v>
      </c>
      <c r="O113" s="426">
        <v>124898.4184</v>
      </c>
      <c r="P113" s="426">
        <v>124898.4184</v>
      </c>
      <c r="Q113" s="426">
        <v>124898.4184</v>
      </c>
      <c r="R113" s="426">
        <v>124898.4184</v>
      </c>
      <c r="S113" s="426">
        <v>124898.4184</v>
      </c>
      <c r="T113" s="426">
        <v>124898.4184</v>
      </c>
    </row>
    <row r="114" spans="1:20" s="426" customFormat="1">
      <c r="A114" s="426" t="str">
        <f t="shared" si="7"/>
        <v>KU</v>
      </c>
      <c r="B114" s="426" t="str">
        <f t="shared" si="6"/>
        <v>VA</v>
      </c>
      <c r="C114" s="426" t="str">
        <f t="shared" si="9"/>
        <v>E</v>
      </c>
      <c r="D114" s="426" t="s">
        <v>2655</v>
      </c>
      <c r="E114" s="426" t="str">
        <f t="shared" si="8"/>
        <v>369</v>
      </c>
      <c r="F114" s="741" t="s">
        <v>1796</v>
      </c>
      <c r="G114" s="425" t="str">
        <f t="shared" si="5"/>
        <v/>
      </c>
      <c r="H114" s="426">
        <v>6306.4732199999999</v>
      </c>
      <c r="I114" s="426">
        <v>6306.4732199999999</v>
      </c>
      <c r="J114" s="426">
        <v>6306.4732199999999</v>
      </c>
      <c r="K114" s="426">
        <v>6306.4732199999999</v>
      </c>
      <c r="L114" s="426">
        <v>6306.4732199999999</v>
      </c>
      <c r="M114" s="426">
        <v>6306.4732199999999</v>
      </c>
      <c r="N114" s="426">
        <v>6306.4732199999999</v>
      </c>
      <c r="O114" s="426">
        <v>6306.4732199999999</v>
      </c>
      <c r="P114" s="426">
        <v>6306.4732199999999</v>
      </c>
      <c r="Q114" s="426">
        <v>6306.4732199999999</v>
      </c>
      <c r="R114" s="426">
        <v>6306.4732199999999</v>
      </c>
      <c r="S114" s="426">
        <v>6306.4732199999999</v>
      </c>
      <c r="T114" s="426">
        <v>6306.4732199999999</v>
      </c>
    </row>
    <row r="115" spans="1:20" s="426" customFormat="1">
      <c r="A115" s="426" t="str">
        <f t="shared" si="7"/>
        <v>KU</v>
      </c>
      <c r="B115" s="426" t="str">
        <f t="shared" si="6"/>
        <v>KY</v>
      </c>
      <c r="C115" s="426" t="str">
        <f t="shared" si="9"/>
        <v>E</v>
      </c>
      <c r="D115" s="426" t="s">
        <v>2655</v>
      </c>
      <c r="E115" s="426" t="str">
        <f t="shared" si="8"/>
        <v>370</v>
      </c>
      <c r="F115" s="741" t="s">
        <v>1797</v>
      </c>
      <c r="G115" s="425" t="str">
        <f t="shared" si="5"/>
        <v/>
      </c>
      <c r="H115" s="426">
        <v>71914.198659999995</v>
      </c>
      <c r="I115" s="426">
        <v>71914.198659999995</v>
      </c>
      <c r="J115" s="426">
        <v>72021.87371</v>
      </c>
      <c r="K115" s="426">
        <v>72099.770229999995</v>
      </c>
      <c r="L115" s="426">
        <v>72099.770229999995</v>
      </c>
      <c r="M115" s="426">
        <v>72432.394130000001</v>
      </c>
      <c r="N115" s="426">
        <v>72524.429550000001</v>
      </c>
      <c r="O115" s="426">
        <v>72433.415359999999</v>
      </c>
      <c r="P115" s="426">
        <v>73307.497929999998</v>
      </c>
      <c r="Q115" s="426">
        <v>73181.900509999905</v>
      </c>
      <c r="R115" s="426">
        <v>72970.093729999993</v>
      </c>
      <c r="S115" s="426">
        <v>73029.135499999902</v>
      </c>
      <c r="T115" s="426">
        <v>73239.198279999895</v>
      </c>
    </row>
    <row r="116" spans="1:20" s="426" customFormat="1">
      <c r="A116" s="426" t="str">
        <f t="shared" si="7"/>
        <v>KU</v>
      </c>
      <c r="B116" s="426" t="str">
        <f t="shared" si="6"/>
        <v>KY</v>
      </c>
      <c r="C116" s="426" t="str">
        <f t="shared" si="9"/>
        <v>E</v>
      </c>
      <c r="D116" s="426" t="s">
        <v>2655</v>
      </c>
      <c r="E116" s="426" t="str">
        <f t="shared" si="8"/>
        <v>370</v>
      </c>
      <c r="F116" s="741" t="s">
        <v>2719</v>
      </c>
      <c r="G116" s="425" t="str">
        <f t="shared" si="5"/>
        <v/>
      </c>
      <c r="H116" s="426">
        <v>0.77041000000000004</v>
      </c>
      <c r="I116" s="426">
        <v>0.77041000000000004</v>
      </c>
      <c r="J116" s="426">
        <v>0.77041000000000004</v>
      </c>
      <c r="K116" s="426">
        <v>0.77041000000000004</v>
      </c>
      <c r="L116" s="426">
        <v>0.77041000000000004</v>
      </c>
      <c r="M116" s="426">
        <v>0.77041000000000004</v>
      </c>
      <c r="N116" s="426">
        <v>0.77041000000000004</v>
      </c>
      <c r="O116" s="426">
        <v>0.77041000000000004</v>
      </c>
      <c r="P116" s="426">
        <v>0.77041000000000004</v>
      </c>
      <c r="Q116" s="426">
        <v>0.77041000000000004</v>
      </c>
      <c r="R116" s="426">
        <v>0.77041000000000004</v>
      </c>
      <c r="S116" s="426">
        <v>0.77041000000000004</v>
      </c>
      <c r="T116" s="426">
        <v>0.77041000000000004</v>
      </c>
    </row>
    <row r="117" spans="1:20" s="426" customFormat="1">
      <c r="A117" s="426" t="str">
        <f t="shared" si="7"/>
        <v>KU</v>
      </c>
      <c r="B117" s="426" t="str">
        <f t="shared" si="6"/>
        <v>KY</v>
      </c>
      <c r="C117" s="426" t="str">
        <f t="shared" si="9"/>
        <v>E</v>
      </c>
      <c r="D117" s="426" t="s">
        <v>2655</v>
      </c>
      <c r="E117" s="426" t="str">
        <f t="shared" si="8"/>
        <v>370</v>
      </c>
      <c r="F117" s="741" t="s">
        <v>2399</v>
      </c>
      <c r="G117" s="425" t="str">
        <f t="shared" si="5"/>
        <v>DSM</v>
      </c>
      <c r="H117" s="426">
        <v>2920.2532900000001</v>
      </c>
      <c r="I117" s="426">
        <v>2921.0901600000002</v>
      </c>
      <c r="J117" s="426">
        <v>2923.2576800000002</v>
      </c>
      <c r="K117" s="426">
        <v>2924.48117</v>
      </c>
      <c r="L117" s="426">
        <v>2928.7149800000002</v>
      </c>
      <c r="M117" s="426">
        <v>2929.4783600000001</v>
      </c>
      <c r="N117" s="426">
        <v>3003.2806799999998</v>
      </c>
      <c r="O117" s="426">
        <v>3003.2806799999998</v>
      </c>
      <c r="P117" s="426">
        <v>3003.2806799999998</v>
      </c>
      <c r="Q117" s="426">
        <v>3003.2806799999998</v>
      </c>
      <c r="R117" s="426">
        <v>3003.2806799999998</v>
      </c>
      <c r="S117" s="426">
        <v>3003.2806799999998</v>
      </c>
      <c r="T117" s="426">
        <v>3003.2806799999998</v>
      </c>
    </row>
    <row r="118" spans="1:20" s="426" customFormat="1">
      <c r="A118" s="426" t="str">
        <f t="shared" si="7"/>
        <v>KU</v>
      </c>
      <c r="B118" s="426" t="str">
        <f t="shared" si="6"/>
        <v>VA</v>
      </c>
      <c r="C118" s="426" t="str">
        <f t="shared" si="9"/>
        <v>E</v>
      </c>
      <c r="D118" s="426" t="s">
        <v>2655</v>
      </c>
      <c r="E118" s="426" t="str">
        <f t="shared" si="8"/>
        <v>370</v>
      </c>
      <c r="F118" s="741" t="s">
        <v>1799</v>
      </c>
      <c r="G118" s="425" t="str">
        <f t="shared" si="5"/>
        <v/>
      </c>
      <c r="H118" s="426">
        <v>3882.36564</v>
      </c>
      <c r="I118" s="426">
        <v>3882.36564</v>
      </c>
      <c r="J118" s="426">
        <v>3936.2031299999999</v>
      </c>
      <c r="K118" s="426">
        <v>3975.1513500000001</v>
      </c>
      <c r="L118" s="426">
        <v>3975.1513500000001</v>
      </c>
      <c r="M118" s="426">
        <v>4141.4631799999997</v>
      </c>
      <c r="N118" s="426">
        <v>4187.4808499999999</v>
      </c>
      <c r="O118" s="426">
        <v>4187.4808499999999</v>
      </c>
      <c r="P118" s="426">
        <v>4187.4808499999999</v>
      </c>
      <c r="Q118" s="426">
        <v>4187.4808499999999</v>
      </c>
      <c r="R118" s="426">
        <v>4187.4808499999999</v>
      </c>
      <c r="S118" s="426">
        <v>4187.4808499999999</v>
      </c>
      <c r="T118" s="426">
        <v>4187.4808499999999</v>
      </c>
    </row>
    <row r="119" spans="1:20" s="426" customFormat="1">
      <c r="A119" s="426" t="str">
        <f t="shared" si="7"/>
        <v>KU</v>
      </c>
      <c r="B119" s="426" t="str">
        <f t="shared" si="6"/>
        <v>KY</v>
      </c>
      <c r="C119" s="426" t="str">
        <f t="shared" si="9"/>
        <v>E</v>
      </c>
      <c r="D119" s="426" t="s">
        <v>2655</v>
      </c>
      <c r="E119" s="426" t="str">
        <f t="shared" si="8"/>
        <v>371</v>
      </c>
      <c r="F119" s="741" t="s">
        <v>2531</v>
      </c>
      <c r="G119" s="425" t="str">
        <f t="shared" si="5"/>
        <v/>
      </c>
      <c r="H119" s="426">
        <v>159.23381000000001</v>
      </c>
      <c r="I119" s="426">
        <v>159.23381000000001</v>
      </c>
      <c r="J119" s="426">
        <v>159.23381000000001</v>
      </c>
      <c r="K119" s="426">
        <v>159.23381000000001</v>
      </c>
      <c r="L119" s="426">
        <v>159.23381000000001</v>
      </c>
      <c r="M119" s="426">
        <v>159.23381000000001</v>
      </c>
      <c r="N119" s="426">
        <v>159.23381000000001</v>
      </c>
      <c r="O119" s="426">
        <v>159.23381000000001</v>
      </c>
      <c r="P119" s="426">
        <v>159.23381000000001</v>
      </c>
      <c r="Q119" s="426">
        <v>159.23381000000001</v>
      </c>
      <c r="R119" s="426">
        <v>159.23381000000001</v>
      </c>
      <c r="S119" s="426">
        <v>159.23381000000001</v>
      </c>
      <c r="T119" s="426">
        <v>159.23381000000001</v>
      </c>
    </row>
    <row r="120" spans="1:20" s="426" customFormat="1">
      <c r="A120" s="426" t="str">
        <f t="shared" si="7"/>
        <v>KU</v>
      </c>
      <c r="B120" s="426" t="str">
        <f t="shared" si="6"/>
        <v>KY</v>
      </c>
      <c r="C120" s="426" t="str">
        <f t="shared" si="9"/>
        <v>E</v>
      </c>
      <c r="D120" s="426" t="s">
        <v>2655</v>
      </c>
      <c r="E120" s="426" t="str">
        <f t="shared" si="8"/>
        <v>373</v>
      </c>
      <c r="F120" s="741" t="s">
        <v>1801</v>
      </c>
      <c r="G120" s="425" t="str">
        <f t="shared" si="5"/>
        <v/>
      </c>
      <c r="H120" s="426">
        <v>126499.55809999999</v>
      </c>
      <c r="I120" s="426">
        <v>129267.9547</v>
      </c>
      <c r="J120" s="426">
        <v>130660.4994</v>
      </c>
      <c r="K120" s="426">
        <v>131228.804</v>
      </c>
      <c r="L120" s="426">
        <v>131318.84289999999</v>
      </c>
      <c r="M120" s="426">
        <v>132636.81940000001</v>
      </c>
      <c r="N120" s="426">
        <v>133087.0301</v>
      </c>
      <c r="O120" s="426">
        <v>133572.22330000001</v>
      </c>
      <c r="P120" s="426">
        <v>134189.25631</v>
      </c>
      <c r="Q120" s="426">
        <v>134699.85889999999</v>
      </c>
      <c r="R120" s="426">
        <v>135439.23824000001</v>
      </c>
      <c r="S120" s="426">
        <v>136197.14303000001</v>
      </c>
      <c r="T120" s="426">
        <v>136881.1911</v>
      </c>
    </row>
    <row r="121" spans="1:20" s="426" customFormat="1">
      <c r="A121" s="426" t="str">
        <f t="shared" si="7"/>
        <v>KU</v>
      </c>
      <c r="B121" s="426" t="str">
        <f t="shared" si="6"/>
        <v>VA</v>
      </c>
      <c r="C121" s="426" t="str">
        <f t="shared" si="9"/>
        <v>E</v>
      </c>
      <c r="D121" s="426" t="s">
        <v>2655</v>
      </c>
      <c r="E121" s="426" t="str">
        <f t="shared" si="8"/>
        <v>373</v>
      </c>
      <c r="F121" s="741" t="s">
        <v>1802</v>
      </c>
      <c r="G121" s="425" t="str">
        <f t="shared" si="5"/>
        <v/>
      </c>
      <c r="H121" s="426">
        <v>3928.0275200000001</v>
      </c>
      <c r="I121" s="426">
        <v>3930.4309400000002</v>
      </c>
      <c r="J121" s="426">
        <v>3910.62626</v>
      </c>
      <c r="K121" s="426">
        <v>3926.6254100000001</v>
      </c>
      <c r="L121" s="426">
        <v>3926.6254100000001</v>
      </c>
      <c r="M121" s="426">
        <v>3946.7276299999999</v>
      </c>
      <c r="N121" s="426">
        <v>3964.75443</v>
      </c>
      <c r="O121" s="426">
        <v>3978.3863799999999</v>
      </c>
      <c r="P121" s="426">
        <v>3998.7115800000001</v>
      </c>
      <c r="Q121" s="426">
        <v>4024.9959899999999</v>
      </c>
      <c r="R121" s="426">
        <v>4051.7574599999998</v>
      </c>
      <c r="S121" s="426">
        <v>4070.6761000000001</v>
      </c>
      <c r="T121" s="426">
        <v>4084.7799199999999</v>
      </c>
    </row>
    <row r="122" spans="1:20" s="426" customFormat="1">
      <c r="A122" s="426" t="str">
        <f t="shared" si="7"/>
        <v>KU</v>
      </c>
      <c r="B122" s="426" t="str">
        <f t="shared" si="6"/>
        <v>KY</v>
      </c>
      <c r="C122" s="426" t="str">
        <f t="shared" si="9"/>
        <v>E</v>
      </c>
      <c r="D122" s="426" t="s">
        <v>2655</v>
      </c>
      <c r="E122" s="426" t="str">
        <f t="shared" si="8"/>
        <v>374</v>
      </c>
      <c r="F122" s="741" t="s">
        <v>1803</v>
      </c>
      <c r="G122" s="425" t="str">
        <f t="shared" si="5"/>
        <v>ARO</v>
      </c>
      <c r="H122" s="426">
        <v>510.37610000000001</v>
      </c>
      <c r="I122" s="426">
        <v>510.37610000000001</v>
      </c>
      <c r="J122" s="426">
        <v>510.37610000000001</v>
      </c>
      <c r="K122" s="426">
        <v>510.37610000000001</v>
      </c>
      <c r="L122" s="426">
        <v>510.37610000000001</v>
      </c>
      <c r="M122" s="426">
        <v>510.37610000000001</v>
      </c>
      <c r="N122" s="426">
        <v>510.37610000000001</v>
      </c>
      <c r="O122" s="426">
        <v>510.37610000000001</v>
      </c>
      <c r="P122" s="426">
        <v>510.37610000000001</v>
      </c>
      <c r="Q122" s="426">
        <v>510.37610000000001</v>
      </c>
      <c r="R122" s="426">
        <v>510.37610000000001</v>
      </c>
      <c r="S122" s="426">
        <v>510.37610000000001</v>
      </c>
      <c r="T122" s="426">
        <v>510.37610000000001</v>
      </c>
    </row>
    <row r="123" spans="1:20" s="426" customFormat="1">
      <c r="A123" s="426" t="str">
        <f t="shared" si="7"/>
        <v>KU</v>
      </c>
      <c r="B123" s="426" t="str">
        <f t="shared" si="6"/>
        <v>KY</v>
      </c>
      <c r="C123" s="426" t="str">
        <f t="shared" si="9"/>
        <v>E</v>
      </c>
      <c r="D123" s="426" t="s">
        <v>2655</v>
      </c>
      <c r="E123" s="426" t="str">
        <f t="shared" si="8"/>
        <v>389</v>
      </c>
      <c r="F123" s="741" t="s">
        <v>1804</v>
      </c>
      <c r="G123" s="425" t="str">
        <f t="shared" si="5"/>
        <v/>
      </c>
      <c r="H123" s="426">
        <v>3047.25245</v>
      </c>
      <c r="I123" s="426">
        <v>3047.25245</v>
      </c>
      <c r="J123" s="426">
        <v>3047.25245</v>
      </c>
      <c r="K123" s="426">
        <v>3046.8497900000002</v>
      </c>
      <c r="L123" s="426">
        <v>3046.8497900000002</v>
      </c>
      <c r="M123" s="426">
        <v>3048.04979</v>
      </c>
      <c r="N123" s="426">
        <v>3048.04979</v>
      </c>
      <c r="O123" s="426">
        <v>3050.7718100000002</v>
      </c>
      <c r="P123" s="426">
        <v>3050.7718100000002</v>
      </c>
      <c r="Q123" s="426">
        <v>3050.7718100000002</v>
      </c>
      <c r="R123" s="426">
        <v>3050.7718100000002</v>
      </c>
      <c r="S123" s="426">
        <v>3050.7718100000002</v>
      </c>
      <c r="T123" s="426">
        <v>3050.7718100000002</v>
      </c>
    </row>
    <row r="124" spans="1:20" s="426" customFormat="1">
      <c r="A124" s="426" t="str">
        <f t="shared" si="7"/>
        <v>KU</v>
      </c>
      <c r="B124" s="426" t="str">
        <f t="shared" si="6"/>
        <v>VA</v>
      </c>
      <c r="C124" s="426" t="str">
        <f t="shared" si="9"/>
        <v>E</v>
      </c>
      <c r="D124" s="426" t="s">
        <v>2655</v>
      </c>
      <c r="E124" s="426" t="str">
        <f t="shared" si="8"/>
        <v>389</v>
      </c>
      <c r="F124" s="741" t="s">
        <v>1805</v>
      </c>
      <c r="G124" s="425" t="str">
        <f t="shared" si="5"/>
        <v/>
      </c>
      <c r="H124" s="426">
        <v>529.73559999999998</v>
      </c>
      <c r="I124" s="426">
        <v>529.73559999999998</v>
      </c>
      <c r="J124" s="426">
        <v>529.73559999999998</v>
      </c>
      <c r="K124" s="426">
        <v>529.73559999999998</v>
      </c>
      <c r="L124" s="426">
        <v>536.36469</v>
      </c>
      <c r="M124" s="426">
        <v>536.36469</v>
      </c>
      <c r="N124" s="426">
        <v>536.36469</v>
      </c>
      <c r="O124" s="426">
        <v>536.36469</v>
      </c>
      <c r="P124" s="426">
        <v>536.36469</v>
      </c>
      <c r="Q124" s="426">
        <v>536.36469</v>
      </c>
      <c r="R124" s="426">
        <v>536.36469</v>
      </c>
      <c r="S124" s="426">
        <v>536.36469</v>
      </c>
      <c r="T124" s="426">
        <v>536.36469</v>
      </c>
    </row>
    <row r="125" spans="1:20" s="426" customFormat="1">
      <c r="A125" s="426" t="str">
        <f t="shared" si="7"/>
        <v>KU</v>
      </c>
      <c r="B125" s="426" t="str">
        <f t="shared" si="6"/>
        <v>KY</v>
      </c>
      <c r="C125" s="426" t="str">
        <f t="shared" si="9"/>
        <v>E</v>
      </c>
      <c r="D125" s="426" t="s">
        <v>2655</v>
      </c>
      <c r="E125" s="426" t="str">
        <f t="shared" si="8"/>
        <v>390</v>
      </c>
      <c r="F125" s="741" t="s">
        <v>1806</v>
      </c>
      <c r="G125" s="425" t="str">
        <f t="shared" si="5"/>
        <v/>
      </c>
      <c r="H125" s="426">
        <v>3165.4330500000001</v>
      </c>
      <c r="I125" s="426">
        <v>3165.4330500000001</v>
      </c>
      <c r="J125" s="426">
        <v>3165.4330500000001</v>
      </c>
      <c r="K125" s="426">
        <v>3165.4330500000001</v>
      </c>
      <c r="L125" s="426">
        <v>2797.0489400000001</v>
      </c>
      <c r="M125" s="426">
        <v>2797.0489400000001</v>
      </c>
      <c r="N125" s="426">
        <v>2797.0489400000001</v>
      </c>
      <c r="O125" s="426">
        <v>2797.0489400000001</v>
      </c>
      <c r="P125" s="426">
        <v>2797.0489400000001</v>
      </c>
      <c r="Q125" s="426">
        <v>2797.0489400000001</v>
      </c>
      <c r="R125" s="426">
        <v>2797.0489400000001</v>
      </c>
      <c r="S125" s="426">
        <v>2797.0489400000001</v>
      </c>
      <c r="T125" s="426">
        <v>2797.0489400000001</v>
      </c>
    </row>
    <row r="126" spans="1:20" s="426" customFormat="1">
      <c r="A126" s="426" t="str">
        <f t="shared" si="7"/>
        <v>KU</v>
      </c>
      <c r="B126" s="426" t="str">
        <f t="shared" si="6"/>
        <v>KY</v>
      </c>
      <c r="C126" s="426" t="str">
        <f t="shared" si="9"/>
        <v>E</v>
      </c>
      <c r="D126" s="426" t="s">
        <v>2655</v>
      </c>
      <c r="E126" s="426" t="str">
        <f t="shared" si="8"/>
        <v>390</v>
      </c>
      <c r="F126" s="741" t="s">
        <v>1807</v>
      </c>
      <c r="G126" s="425" t="str">
        <f t="shared" si="5"/>
        <v/>
      </c>
      <c r="H126" s="426">
        <v>69098.018029999905</v>
      </c>
      <c r="I126" s="426">
        <v>69142.449030000003</v>
      </c>
      <c r="J126" s="426">
        <v>69750.236229999995</v>
      </c>
      <c r="K126" s="426">
        <v>71002.561369999996</v>
      </c>
      <c r="L126" s="426">
        <v>71301.903259999905</v>
      </c>
      <c r="M126" s="426">
        <v>71390.500279999993</v>
      </c>
      <c r="N126" s="426">
        <v>71340.601909999998</v>
      </c>
      <c r="O126" s="426">
        <v>76126.810339999996</v>
      </c>
      <c r="P126" s="426">
        <v>79832.72524</v>
      </c>
      <c r="Q126" s="426">
        <v>82417.989759999997</v>
      </c>
      <c r="R126" s="426">
        <v>88720.415099999998</v>
      </c>
      <c r="S126" s="426">
        <v>89105.321079999994</v>
      </c>
      <c r="T126" s="426">
        <v>89372.445949999994</v>
      </c>
    </row>
    <row r="127" spans="1:20" s="426" customFormat="1">
      <c r="A127" s="426" t="str">
        <f t="shared" si="7"/>
        <v>KU</v>
      </c>
      <c r="B127" s="426" t="str">
        <f t="shared" si="6"/>
        <v>VA</v>
      </c>
      <c r="C127" s="426" t="str">
        <f t="shared" si="9"/>
        <v>E</v>
      </c>
      <c r="D127" s="426" t="s">
        <v>2655</v>
      </c>
      <c r="E127" s="426" t="str">
        <f t="shared" si="8"/>
        <v>390</v>
      </c>
      <c r="F127" s="741" t="s">
        <v>1808</v>
      </c>
      <c r="G127" s="425" t="str">
        <f t="shared" si="5"/>
        <v/>
      </c>
      <c r="H127" s="426">
        <v>6505.7401399999999</v>
      </c>
      <c r="I127" s="426">
        <v>6505.7401399999999</v>
      </c>
      <c r="J127" s="426">
        <v>6505.7401399999999</v>
      </c>
      <c r="K127" s="426">
        <v>6505.7401399999999</v>
      </c>
      <c r="L127" s="426">
        <v>5878.9909600000001</v>
      </c>
      <c r="M127" s="426">
        <v>5938.4656999999997</v>
      </c>
      <c r="N127" s="426">
        <v>5938.4656999999997</v>
      </c>
      <c r="O127" s="426">
        <v>6104.46839</v>
      </c>
      <c r="P127" s="426">
        <v>6104.46839</v>
      </c>
      <c r="Q127" s="426">
        <v>6104.46839</v>
      </c>
      <c r="R127" s="426">
        <v>6104.46839</v>
      </c>
      <c r="S127" s="426">
        <v>6104.46839</v>
      </c>
      <c r="T127" s="426">
        <v>6104.46839</v>
      </c>
    </row>
    <row r="128" spans="1:20" s="426" customFormat="1">
      <c r="A128" s="426" t="str">
        <f t="shared" si="7"/>
        <v>KU</v>
      </c>
      <c r="B128" s="426" t="str">
        <f t="shared" si="6"/>
        <v>KY</v>
      </c>
      <c r="C128" s="426" t="str">
        <f t="shared" si="9"/>
        <v>E</v>
      </c>
      <c r="D128" s="426" t="s">
        <v>2655</v>
      </c>
      <c r="E128" s="426" t="str">
        <f t="shared" si="8"/>
        <v>391</v>
      </c>
      <c r="F128" s="741" t="s">
        <v>1809</v>
      </c>
      <c r="G128" s="425" t="str">
        <f t="shared" si="5"/>
        <v/>
      </c>
      <c r="H128" s="426">
        <v>5135.5609999999997</v>
      </c>
      <c r="I128" s="426">
        <v>5179.9806900000003</v>
      </c>
      <c r="J128" s="426">
        <v>5214.2200400000002</v>
      </c>
      <c r="K128" s="426">
        <v>5214.2200400000002</v>
      </c>
      <c r="L128" s="426">
        <v>6521.6610599999904</v>
      </c>
      <c r="M128" s="426">
        <v>6483.4697200000001</v>
      </c>
      <c r="N128" s="426">
        <v>5519.2657099999997</v>
      </c>
      <c r="O128" s="426">
        <v>5517.5780199999999</v>
      </c>
      <c r="P128" s="426">
        <v>5440.5976899999996</v>
      </c>
      <c r="Q128" s="426">
        <v>6313.8391099999999</v>
      </c>
      <c r="R128" s="426">
        <v>6468.30861</v>
      </c>
      <c r="S128" s="426">
        <v>6470.8006100000002</v>
      </c>
      <c r="T128" s="426">
        <v>6454.0836600000002</v>
      </c>
    </row>
    <row r="129" spans="1:20" s="426" customFormat="1">
      <c r="A129" s="426" t="str">
        <f t="shared" si="7"/>
        <v>KU</v>
      </c>
      <c r="B129" s="426" t="str">
        <f t="shared" si="6"/>
        <v>KY</v>
      </c>
      <c r="C129" s="426" t="str">
        <f t="shared" si="9"/>
        <v>E</v>
      </c>
      <c r="D129" s="426" t="s">
        <v>2655</v>
      </c>
      <c r="E129" s="426" t="str">
        <f t="shared" si="8"/>
        <v>391</v>
      </c>
      <c r="F129" s="741" t="s">
        <v>1810</v>
      </c>
      <c r="G129" s="425" t="str">
        <f t="shared" si="5"/>
        <v/>
      </c>
      <c r="H129" s="426">
        <v>40177.28355</v>
      </c>
      <c r="I129" s="426">
        <v>40612.251609999999</v>
      </c>
      <c r="J129" s="426">
        <v>40758.38798</v>
      </c>
      <c r="K129" s="426">
        <v>40842.602160000002</v>
      </c>
      <c r="L129" s="426">
        <v>39640.428699999997</v>
      </c>
      <c r="M129" s="426">
        <v>39504.92931</v>
      </c>
      <c r="N129" s="426">
        <v>39499.225879999998</v>
      </c>
      <c r="O129" s="426">
        <v>39253.784849999996</v>
      </c>
      <c r="P129" s="426">
        <v>39843.645189999901</v>
      </c>
      <c r="Q129" s="426">
        <v>40103.199449999898</v>
      </c>
      <c r="R129" s="426">
        <v>37289.929429999902</v>
      </c>
      <c r="S129" s="426">
        <v>37261.619049999899</v>
      </c>
      <c r="T129" s="426">
        <v>37323.926539999899</v>
      </c>
    </row>
    <row r="130" spans="1:20" s="426" customFormat="1">
      <c r="A130" s="426" t="str">
        <f t="shared" si="7"/>
        <v>KU</v>
      </c>
      <c r="B130" s="426" t="str">
        <f t="shared" si="6"/>
        <v>VA</v>
      </c>
      <c r="C130" s="426" t="str">
        <f t="shared" si="9"/>
        <v>E</v>
      </c>
      <c r="D130" s="426" t="s">
        <v>2655</v>
      </c>
      <c r="E130" s="426" t="str">
        <f t="shared" si="8"/>
        <v>391</v>
      </c>
      <c r="F130" s="741" t="s">
        <v>1811</v>
      </c>
      <c r="G130" s="425" t="str">
        <f t="shared" si="5"/>
        <v/>
      </c>
      <c r="H130" s="426">
        <v>1.0740999999999901</v>
      </c>
      <c r="I130" s="426">
        <v>1.0740999999999901</v>
      </c>
      <c r="J130" s="426">
        <v>1.0740999999999901</v>
      </c>
      <c r="K130" s="426">
        <v>8.0698600000000003</v>
      </c>
      <c r="L130" s="426">
        <v>316.929229999999</v>
      </c>
      <c r="M130" s="426">
        <v>316.929229999999</v>
      </c>
      <c r="N130" s="426">
        <v>316.929229999999</v>
      </c>
      <c r="O130" s="426">
        <v>316.929229999999</v>
      </c>
      <c r="P130" s="426">
        <v>316.929229999999</v>
      </c>
      <c r="Q130" s="426">
        <v>316.929229999999</v>
      </c>
      <c r="R130" s="426">
        <v>316.929229999999</v>
      </c>
      <c r="S130" s="426">
        <v>316.929229999999</v>
      </c>
      <c r="T130" s="426">
        <v>316.929229999999</v>
      </c>
    </row>
    <row r="131" spans="1:20" s="426" customFormat="1">
      <c r="A131" s="426" t="str">
        <f t="shared" si="7"/>
        <v>KU</v>
      </c>
      <c r="B131" s="426" t="str">
        <f t="shared" si="6"/>
        <v>KY</v>
      </c>
      <c r="C131" s="426" t="str">
        <f t="shared" si="9"/>
        <v>E</v>
      </c>
      <c r="D131" s="426" t="s">
        <v>2655</v>
      </c>
      <c r="E131" s="426" t="str">
        <f t="shared" si="8"/>
        <v>392</v>
      </c>
      <c r="F131" s="741" t="s">
        <v>1813</v>
      </c>
      <c r="G131" s="425" t="str">
        <f t="shared" si="5"/>
        <v/>
      </c>
      <c r="H131" s="426">
        <v>7961.7628199999999</v>
      </c>
      <c r="I131" s="426">
        <v>7976.8379400000003</v>
      </c>
      <c r="J131" s="426">
        <v>7976.8379400000003</v>
      </c>
      <c r="K131" s="426">
        <v>8079.0798299999997</v>
      </c>
      <c r="L131" s="426">
        <v>8540.4316600000002</v>
      </c>
      <c r="M131" s="426">
        <v>8552.7134100000003</v>
      </c>
      <c r="N131" s="426">
        <v>8487.2941499999997</v>
      </c>
      <c r="O131" s="426">
        <v>8517.2941499999997</v>
      </c>
      <c r="P131" s="426">
        <v>8517.2941499999997</v>
      </c>
      <c r="Q131" s="426">
        <v>8517.2941499999997</v>
      </c>
      <c r="R131" s="426">
        <v>8573.8481400000001</v>
      </c>
      <c r="S131" s="426">
        <v>8573.8481400000001</v>
      </c>
      <c r="T131" s="426">
        <v>8573.8481400000001</v>
      </c>
    </row>
    <row r="132" spans="1:20" s="426" customFormat="1">
      <c r="A132" s="426" t="str">
        <f t="shared" si="7"/>
        <v>KU</v>
      </c>
      <c r="B132" s="426" t="str">
        <f t="shared" si="6"/>
        <v>VA</v>
      </c>
      <c r="C132" s="426" t="str">
        <f t="shared" si="9"/>
        <v>E</v>
      </c>
      <c r="D132" s="426" t="s">
        <v>2655</v>
      </c>
      <c r="E132" s="426" t="str">
        <f t="shared" si="8"/>
        <v>392</v>
      </c>
      <c r="F132" s="741" t="s">
        <v>2401</v>
      </c>
      <c r="G132" s="425" t="str">
        <f t="shared" si="5"/>
        <v/>
      </c>
      <c r="H132" s="426">
        <v>53.959919999999997</v>
      </c>
      <c r="I132" s="426">
        <v>50.585059999999999</v>
      </c>
      <c r="J132" s="426">
        <v>87.124650000000003</v>
      </c>
      <c r="K132" s="426">
        <v>50.585059999999999</v>
      </c>
      <c r="L132" s="426">
        <v>50.585059999999999</v>
      </c>
      <c r="M132" s="426">
        <v>50.585059999999999</v>
      </c>
      <c r="N132" s="426">
        <v>50.585059999999999</v>
      </c>
      <c r="O132" s="426">
        <v>50.585059999999999</v>
      </c>
      <c r="P132" s="426">
        <v>50.585059999999999</v>
      </c>
      <c r="Q132" s="426">
        <v>50.585059999999999</v>
      </c>
      <c r="R132" s="426">
        <v>50.585059999999999</v>
      </c>
      <c r="S132" s="426">
        <v>50.585059999999999</v>
      </c>
      <c r="T132" s="426">
        <v>50.585059999999999</v>
      </c>
    </row>
    <row r="133" spans="1:20" s="426" customFormat="1">
      <c r="A133" s="426" t="str">
        <f t="shared" si="7"/>
        <v>KU</v>
      </c>
      <c r="B133" s="426" t="str">
        <f t="shared" si="6"/>
        <v>KY</v>
      </c>
      <c r="C133" s="426" t="str">
        <f t="shared" si="9"/>
        <v>E</v>
      </c>
      <c r="D133" s="426" t="s">
        <v>2655</v>
      </c>
      <c r="E133" s="426" t="str">
        <f t="shared" si="8"/>
        <v>393</v>
      </c>
      <c r="F133" s="741" t="s">
        <v>1814</v>
      </c>
      <c r="G133" s="425" t="str">
        <f t="shared" si="5"/>
        <v/>
      </c>
      <c r="H133" s="426">
        <v>839.05772999999999</v>
      </c>
      <c r="I133" s="426">
        <v>900.37303999999995</v>
      </c>
      <c r="J133" s="426">
        <v>900.37303999999995</v>
      </c>
      <c r="K133" s="426">
        <v>900.37303999999995</v>
      </c>
      <c r="L133" s="426">
        <v>891.69521999999995</v>
      </c>
      <c r="M133" s="426">
        <v>1006.68286</v>
      </c>
      <c r="N133" s="426">
        <v>993.86333999999999</v>
      </c>
      <c r="O133" s="426">
        <v>993.86333999999999</v>
      </c>
      <c r="P133" s="426">
        <v>993.86333999999999</v>
      </c>
      <c r="Q133" s="426">
        <v>1093.8633399999901</v>
      </c>
      <c r="R133" s="426">
        <v>1117.0390399999901</v>
      </c>
      <c r="S133" s="426">
        <v>1117.0390399999901</v>
      </c>
      <c r="T133" s="426">
        <v>1069.95901999999</v>
      </c>
    </row>
    <row r="134" spans="1:20" s="426" customFormat="1">
      <c r="A134" s="426" t="str">
        <f t="shared" si="7"/>
        <v>KU</v>
      </c>
      <c r="B134" s="426" t="str">
        <f t="shared" si="6"/>
        <v>VA</v>
      </c>
      <c r="C134" s="426" t="str">
        <f t="shared" si="9"/>
        <v>E</v>
      </c>
      <c r="D134" s="426" t="s">
        <v>2655</v>
      </c>
      <c r="E134" s="426" t="str">
        <f t="shared" si="8"/>
        <v>393</v>
      </c>
      <c r="F134" s="741" t="s">
        <v>1815</v>
      </c>
      <c r="G134" s="425" t="str">
        <f t="shared" ref="G134:G143" si="10">IF(ISTEXT(MID($F134,SEARCH("FUTURE USE",$F134),3)),"FUTURE USE",IF(ISTEXT(MID($F134,SEARCH("ECR",$F134),3)),"ECR",IF(ISTEXT(MID($F134,SEARCH("ARO",$F134),3)),"ARO",IF(ISTEXT(MID($F134,SEARCH("DSM",$F134),3)),"DSM",""))))</f>
        <v/>
      </c>
      <c r="H134" s="426">
        <v>0.87654999999999905</v>
      </c>
      <c r="I134" s="426">
        <v>0.87654999999999905</v>
      </c>
      <c r="J134" s="426">
        <v>0.87654999999999905</v>
      </c>
      <c r="K134" s="426">
        <v>0.87654999999999905</v>
      </c>
      <c r="L134" s="426">
        <v>0.87654999999999905</v>
      </c>
      <c r="M134" s="426">
        <v>0.87654999999999905</v>
      </c>
      <c r="N134" s="426">
        <v>0.87654999999999905</v>
      </c>
      <c r="O134" s="426">
        <v>0.87654999999999905</v>
      </c>
      <c r="P134" s="426">
        <v>0.87654999999999905</v>
      </c>
      <c r="Q134" s="426">
        <v>0.87654999999999905</v>
      </c>
      <c r="R134" s="426">
        <v>0</v>
      </c>
      <c r="S134" s="426">
        <v>0</v>
      </c>
      <c r="T134" s="426">
        <v>0</v>
      </c>
    </row>
    <row r="135" spans="1:20" s="426" customFormat="1">
      <c r="A135" s="426" t="str">
        <f t="shared" si="7"/>
        <v>KU</v>
      </c>
      <c r="B135" s="426" t="str">
        <f t="shared" si="6"/>
        <v>KY</v>
      </c>
      <c r="C135" s="426" t="str">
        <f t="shared" si="9"/>
        <v>E</v>
      </c>
      <c r="D135" s="426" t="s">
        <v>2655</v>
      </c>
      <c r="E135" s="426" t="str">
        <f t="shared" si="8"/>
        <v>394</v>
      </c>
      <c r="F135" s="741" t="s">
        <v>1816</v>
      </c>
      <c r="G135" s="425" t="str">
        <f t="shared" si="10"/>
        <v/>
      </c>
      <c r="H135" s="426">
        <v>14568.91034</v>
      </c>
      <c r="I135" s="426">
        <v>14671.008589999999</v>
      </c>
      <c r="J135" s="426">
        <v>14920.66005</v>
      </c>
      <c r="K135" s="426">
        <v>14970.75684</v>
      </c>
      <c r="L135" s="426">
        <v>15152.53595</v>
      </c>
      <c r="M135" s="426">
        <v>15136.08088</v>
      </c>
      <c r="N135" s="426">
        <v>15145.810299999999</v>
      </c>
      <c r="O135" s="426">
        <v>15918.81943</v>
      </c>
      <c r="P135" s="426">
        <v>16068.74835</v>
      </c>
      <c r="Q135" s="426">
        <v>16119.44967</v>
      </c>
      <c r="R135" s="426">
        <v>16168.37545</v>
      </c>
      <c r="S135" s="426">
        <v>16179.63545</v>
      </c>
      <c r="T135" s="426">
        <v>16171.82956</v>
      </c>
    </row>
    <row r="136" spans="1:20" s="426" customFormat="1">
      <c r="A136" s="426" t="str">
        <f t="shared" si="7"/>
        <v>KU</v>
      </c>
      <c r="B136" s="426" t="str">
        <f t="shared" si="6"/>
        <v>VA</v>
      </c>
      <c r="C136" s="426" t="str">
        <f t="shared" si="9"/>
        <v>E</v>
      </c>
      <c r="D136" s="426" t="s">
        <v>2655</v>
      </c>
      <c r="E136" s="426" t="str">
        <f t="shared" si="8"/>
        <v>394</v>
      </c>
      <c r="F136" s="741" t="s">
        <v>1817</v>
      </c>
      <c r="G136" s="425" t="str">
        <f t="shared" si="10"/>
        <v/>
      </c>
      <c r="H136" s="426">
        <v>474.77733999999998</v>
      </c>
      <c r="I136" s="426">
        <v>474.77733999999998</v>
      </c>
      <c r="J136" s="426">
        <v>474.77733999999998</v>
      </c>
      <c r="K136" s="426">
        <v>468.68239999999997</v>
      </c>
      <c r="L136" s="426">
        <v>505.84814999999998</v>
      </c>
      <c r="M136" s="426">
        <v>505.84814999999998</v>
      </c>
      <c r="N136" s="426">
        <v>505.84814999999998</v>
      </c>
      <c r="O136" s="426">
        <v>590.78168000000005</v>
      </c>
      <c r="P136" s="426">
        <v>590.78168000000005</v>
      </c>
      <c r="Q136" s="426">
        <v>600.70352000000003</v>
      </c>
      <c r="R136" s="426">
        <v>591.27667999999903</v>
      </c>
      <c r="S136" s="426">
        <v>591.27667999999903</v>
      </c>
      <c r="T136" s="426">
        <v>591.27667999999903</v>
      </c>
    </row>
    <row r="137" spans="1:20" s="426" customFormat="1">
      <c r="A137" s="426" t="str">
        <f t="shared" si="7"/>
        <v>KU</v>
      </c>
      <c r="B137" s="426" t="str">
        <f t="shared" si="6"/>
        <v>KY</v>
      </c>
      <c r="C137" s="426" t="str">
        <f t="shared" si="9"/>
        <v>E</v>
      </c>
      <c r="D137" s="426" t="s">
        <v>2655</v>
      </c>
      <c r="E137" s="426" t="str">
        <f t="shared" si="8"/>
        <v>396</v>
      </c>
      <c r="F137" s="741" t="s">
        <v>1818</v>
      </c>
      <c r="G137" s="425" t="str">
        <f t="shared" si="10"/>
        <v/>
      </c>
      <c r="H137" s="426">
        <v>1044.0511100000001</v>
      </c>
      <c r="I137" s="426">
        <v>1044.0511100000001</v>
      </c>
      <c r="J137" s="426">
        <v>1044.0511100000001</v>
      </c>
      <c r="K137" s="426">
        <v>1044.0511100000001</v>
      </c>
      <c r="L137" s="426">
        <v>1044.0511100000001</v>
      </c>
      <c r="M137" s="426">
        <v>1044.0511100000001</v>
      </c>
      <c r="N137" s="426">
        <v>1044.0511100000001</v>
      </c>
      <c r="O137" s="426">
        <v>1044.0511100000001</v>
      </c>
      <c r="P137" s="426">
        <v>1044.0511100000001</v>
      </c>
      <c r="Q137" s="426">
        <v>1044.0511100000001</v>
      </c>
      <c r="R137" s="426">
        <v>1044.0511100000001</v>
      </c>
      <c r="S137" s="426">
        <v>1044.0511100000001</v>
      </c>
      <c r="T137" s="426">
        <v>1044.0511100000001</v>
      </c>
    </row>
    <row r="138" spans="1:20" s="426" customFormat="1">
      <c r="A138" s="426" t="str">
        <f t="shared" si="7"/>
        <v>KU</v>
      </c>
      <c r="B138" s="426" t="str">
        <f t="shared" si="6"/>
        <v>KY</v>
      </c>
      <c r="C138" s="426" t="str">
        <f t="shared" si="9"/>
        <v>E</v>
      </c>
      <c r="D138" s="426" t="s">
        <v>2655</v>
      </c>
      <c r="E138" s="426" t="str">
        <f t="shared" si="8"/>
        <v>396</v>
      </c>
      <c r="F138" s="741" t="s">
        <v>2402</v>
      </c>
      <c r="G138" s="425" t="str">
        <f t="shared" si="10"/>
        <v/>
      </c>
      <c r="H138" s="426">
        <v>4431.4603699999998</v>
      </c>
      <c r="I138" s="426">
        <v>4136.3134799999998</v>
      </c>
      <c r="J138" s="426">
        <v>4136.3134799999998</v>
      </c>
      <c r="K138" s="426">
        <v>4385.4032999999999</v>
      </c>
      <c r="L138" s="426">
        <v>4428.2881299999999</v>
      </c>
      <c r="M138" s="426">
        <v>4318.8251200000004</v>
      </c>
      <c r="N138" s="426">
        <v>4283.4532499999996</v>
      </c>
      <c r="O138" s="426">
        <v>4283.4532499999996</v>
      </c>
      <c r="P138" s="426">
        <v>4283.4532499999996</v>
      </c>
      <c r="Q138" s="426">
        <v>4283.4532499999996</v>
      </c>
      <c r="R138" s="426">
        <v>4283.4532499999996</v>
      </c>
      <c r="S138" s="426">
        <v>4283.4532499999996</v>
      </c>
      <c r="T138" s="426">
        <v>4283.4532499999996</v>
      </c>
    </row>
    <row r="139" spans="1:20" s="426" customFormat="1">
      <c r="A139" s="426" t="str">
        <f t="shared" si="7"/>
        <v>KU</v>
      </c>
      <c r="B139" s="426" t="str">
        <f t="shared" ref="B139:B198" si="11">IF(MID($F139,12,2)="- ","KY",IF(MID($F139,12,2)="SY","KY",MID($F139,12,2)))</f>
        <v>VA</v>
      </c>
      <c r="C139" s="426" t="str">
        <f t="shared" si="9"/>
        <v>E</v>
      </c>
      <c r="D139" s="426" t="s">
        <v>2655</v>
      </c>
      <c r="E139" s="426" t="str">
        <f t="shared" si="8"/>
        <v>396</v>
      </c>
      <c r="F139" s="741" t="s">
        <v>2403</v>
      </c>
      <c r="G139" s="425" t="str">
        <f t="shared" si="10"/>
        <v/>
      </c>
      <c r="H139" s="426">
        <v>474.22530999999998</v>
      </c>
      <c r="I139" s="426">
        <v>477.60016999999999</v>
      </c>
      <c r="J139" s="426">
        <v>477.60016999999999</v>
      </c>
      <c r="K139" s="426">
        <v>514.13976000000002</v>
      </c>
      <c r="L139" s="426">
        <v>514.13976000000002</v>
      </c>
      <c r="M139" s="426">
        <v>514.13976000000002</v>
      </c>
      <c r="N139" s="426">
        <v>514.13976000000002</v>
      </c>
      <c r="O139" s="426">
        <v>514.13976000000002</v>
      </c>
      <c r="P139" s="426">
        <v>514.13976000000002</v>
      </c>
      <c r="Q139" s="426">
        <v>514.13976000000002</v>
      </c>
      <c r="R139" s="426">
        <v>514.13976000000002</v>
      </c>
      <c r="S139" s="426">
        <v>514.13976000000002</v>
      </c>
      <c r="T139" s="426">
        <v>514.13976000000002</v>
      </c>
    </row>
    <row r="140" spans="1:20" s="426" customFormat="1">
      <c r="A140" s="426" t="str">
        <f t="shared" si="7"/>
        <v>KU</v>
      </c>
      <c r="B140" s="426" t="str">
        <f t="shared" si="11"/>
        <v>KY</v>
      </c>
      <c r="C140" s="426" t="str">
        <f t="shared" si="9"/>
        <v>E</v>
      </c>
      <c r="D140" s="426" t="s">
        <v>2655</v>
      </c>
      <c r="E140" s="426" t="str">
        <f t="shared" si="8"/>
        <v>397</v>
      </c>
      <c r="F140" s="741" t="s">
        <v>1819</v>
      </c>
      <c r="G140" s="425" t="str">
        <f t="shared" si="10"/>
        <v>DSM</v>
      </c>
      <c r="H140" s="426">
        <v>7606.3791199999996</v>
      </c>
      <c r="I140" s="426">
        <v>7606.6917100000001</v>
      </c>
      <c r="J140" s="426">
        <v>7606.6911099999998</v>
      </c>
      <c r="K140" s="426">
        <v>7606.6911099999998</v>
      </c>
      <c r="L140" s="426">
        <v>7606.6911099999998</v>
      </c>
      <c r="M140" s="426">
        <v>7606.6911099999998</v>
      </c>
      <c r="N140" s="426">
        <v>7607.8137200000001</v>
      </c>
      <c r="O140" s="426">
        <v>7568.3903</v>
      </c>
      <c r="P140" s="426">
        <v>7570.1935400000002</v>
      </c>
      <c r="Q140" s="426">
        <v>7572.9009699999997</v>
      </c>
      <c r="R140" s="426">
        <v>7573.9921299999996</v>
      </c>
      <c r="S140" s="426">
        <v>7579.2837600000003</v>
      </c>
      <c r="T140" s="426">
        <v>7584.5754299999999</v>
      </c>
    </row>
    <row r="141" spans="1:20" s="426" customFormat="1">
      <c r="A141" s="426" t="str">
        <f t="shared" si="7"/>
        <v>KU</v>
      </c>
      <c r="B141" s="426" t="str">
        <f t="shared" si="11"/>
        <v>KY</v>
      </c>
      <c r="C141" s="426" t="str">
        <f t="shared" si="9"/>
        <v>E</v>
      </c>
      <c r="D141" s="426" t="s">
        <v>2655</v>
      </c>
      <c r="E141" s="426" t="str">
        <f t="shared" si="8"/>
        <v>397</v>
      </c>
      <c r="F141" s="741" t="s">
        <v>1820</v>
      </c>
      <c r="G141" s="425" t="str">
        <f t="shared" si="10"/>
        <v/>
      </c>
      <c r="H141" s="426">
        <v>58490.719080000003</v>
      </c>
      <c r="I141" s="426">
        <v>58496.248480000002</v>
      </c>
      <c r="J141" s="426">
        <v>58657.63538</v>
      </c>
      <c r="K141" s="426">
        <v>58610.729549999996</v>
      </c>
      <c r="L141" s="426">
        <v>58611.240539999999</v>
      </c>
      <c r="M141" s="426">
        <v>58611.762119999999</v>
      </c>
      <c r="N141" s="426">
        <v>58595.637629999997</v>
      </c>
      <c r="O141" s="426">
        <v>59890.140189999998</v>
      </c>
      <c r="P141" s="426">
        <v>60001.199629999901</v>
      </c>
      <c r="Q141" s="426">
        <v>60525.341679999998</v>
      </c>
      <c r="R141" s="426">
        <v>61598.209969999902</v>
      </c>
      <c r="S141" s="426">
        <v>61598.209969999902</v>
      </c>
      <c r="T141" s="426">
        <v>61598.209969999902</v>
      </c>
    </row>
    <row r="142" spans="1:20" s="426" customFormat="1">
      <c r="A142" s="426" t="str">
        <f t="shared" ref="A142:A201" si="12">MID($F142,4,2)</f>
        <v>KU</v>
      </c>
      <c r="B142" s="426" t="str">
        <f t="shared" si="11"/>
        <v>VA</v>
      </c>
      <c r="C142" s="426" t="str">
        <f t="shared" si="9"/>
        <v>E</v>
      </c>
      <c r="D142" s="426" t="s">
        <v>2655</v>
      </c>
      <c r="E142" s="426" t="str">
        <f t="shared" si="8"/>
        <v>397</v>
      </c>
      <c r="F142" s="741" t="s">
        <v>1821</v>
      </c>
      <c r="G142" s="425" t="str">
        <f t="shared" si="10"/>
        <v/>
      </c>
      <c r="H142" s="426">
        <v>1255.0806399999999</v>
      </c>
      <c r="I142" s="426">
        <v>1255.0806399999999</v>
      </c>
      <c r="J142" s="426">
        <v>1255.0806399999999</v>
      </c>
      <c r="K142" s="426">
        <v>1255.0806399999999</v>
      </c>
      <c r="L142" s="426">
        <v>1538.3272899999999</v>
      </c>
      <c r="M142" s="426">
        <v>1538.3272899999999</v>
      </c>
      <c r="N142" s="426">
        <v>1538.3272899999999</v>
      </c>
      <c r="O142" s="426">
        <v>1538.3272899999999</v>
      </c>
      <c r="P142" s="426">
        <v>1538.3272899999999</v>
      </c>
      <c r="Q142" s="426">
        <v>1538.3272899999999</v>
      </c>
      <c r="R142" s="426">
        <v>1538.3272899999999</v>
      </c>
      <c r="S142" s="426">
        <v>1538.3272899999999</v>
      </c>
      <c r="T142" s="426">
        <v>1538.3272899999999</v>
      </c>
    </row>
    <row r="143" spans="1:20" s="426" customFormat="1">
      <c r="A143" s="426" t="str">
        <f t="shared" si="12"/>
        <v>KU</v>
      </c>
      <c r="B143" s="426" t="str">
        <f t="shared" si="11"/>
        <v>KY</v>
      </c>
      <c r="C143" s="426" t="str">
        <f t="shared" ref="C143:C202" si="13">IF(ISTEXT(MID($F143,SEARCH("FUTURE USE",$F143),3)),"F",IF(MID($F143,7,1)="1","E",IF(MID($F143,7,1)="2","G",IF(MID($F143,7,1)="3","C",""))))</f>
        <v>C</v>
      </c>
      <c r="D143" s="426" t="s">
        <v>2655</v>
      </c>
      <c r="E143" s="426" t="str">
        <f t="shared" si="8"/>
        <v>121</v>
      </c>
      <c r="F143" s="741" t="s">
        <v>1822</v>
      </c>
      <c r="G143" s="425" t="str">
        <f t="shared" si="10"/>
        <v/>
      </c>
      <c r="H143" s="426">
        <v>657.56421</v>
      </c>
      <c r="I143" s="426">
        <v>657.56421</v>
      </c>
      <c r="J143" s="426">
        <v>657.56421</v>
      </c>
      <c r="K143" s="426">
        <v>657.96671000000003</v>
      </c>
      <c r="L143" s="426">
        <v>657.96671000000003</v>
      </c>
      <c r="M143" s="426">
        <v>681.64847999999995</v>
      </c>
      <c r="N143" s="426">
        <v>681.64847999999995</v>
      </c>
      <c r="O143" s="426">
        <v>681.64847999999995</v>
      </c>
      <c r="P143" s="426">
        <v>681.64847999999995</v>
      </c>
      <c r="Q143" s="426">
        <v>681.64847999999995</v>
      </c>
      <c r="R143" s="426">
        <v>681.64847999999995</v>
      </c>
      <c r="S143" s="426">
        <v>681.64847999999995</v>
      </c>
      <c r="T143" s="426">
        <v>681.64847999999995</v>
      </c>
    </row>
    <row r="144" spans="1:20">
      <c r="C144" s="426" t="str">
        <f t="shared" si="13"/>
        <v/>
      </c>
      <c r="F144" s="799" t="s">
        <v>1823</v>
      </c>
      <c r="H144" s="426">
        <f t="shared" ref="H144:T144" si="14">SUM(H6:H143)</f>
        <v>9915201.7850999925</v>
      </c>
      <c r="I144" s="426">
        <f t="shared" si="14"/>
        <v>9894713.6054499894</v>
      </c>
      <c r="J144" s="426">
        <f t="shared" si="14"/>
        <v>10108189.282379989</v>
      </c>
      <c r="K144" s="426">
        <f t="shared" si="14"/>
        <v>10151056.440939985</v>
      </c>
      <c r="L144" s="426">
        <f t="shared" si="14"/>
        <v>10162803.659089984</v>
      </c>
      <c r="M144" s="426">
        <f t="shared" si="14"/>
        <v>10201520.930599986</v>
      </c>
      <c r="N144" s="426">
        <f t="shared" si="14"/>
        <v>10223929.108399987</v>
      </c>
      <c r="O144" s="426">
        <f t="shared" si="14"/>
        <v>10316039.014349988</v>
      </c>
      <c r="P144" s="426">
        <f t="shared" si="14"/>
        <v>10368694.897249984</v>
      </c>
      <c r="Q144" s="426">
        <f t="shared" si="14"/>
        <v>10442057.487599984</v>
      </c>
      <c r="R144" s="426">
        <f t="shared" si="14"/>
        <v>10496169.965289988</v>
      </c>
      <c r="S144" s="426">
        <f t="shared" si="14"/>
        <v>10503344.358969983</v>
      </c>
      <c r="T144" s="426">
        <f t="shared" si="14"/>
        <v>10512455.178309986</v>
      </c>
    </row>
    <row r="145" spans="1:21">
      <c r="A145" s="426" t="str">
        <f t="shared" si="12"/>
        <v/>
      </c>
      <c r="B145" s="426" t="str">
        <f t="shared" si="11"/>
        <v/>
      </c>
      <c r="C145" s="426" t="str">
        <f t="shared" si="13"/>
        <v/>
      </c>
      <c r="G145" s="425" t="str">
        <f t="shared" ref="G145:G156" si="15">IF(ISTEXT(MID($F145,SEARCH("FUTURE USE",$F145),3)),"FUTURE USE",IF(ISTEXT(MID($F145,SEARCH("ECR",$F145),3)),"ECR",IF(ISTEXT(MID($F145,SEARCH("ARO",$F145),3)),"ARO",IF(ISTEXT(MID($F145,SEARCH("DSM",$F145),3)),"DSM",""))))</f>
        <v/>
      </c>
    </row>
    <row r="146" spans="1:21">
      <c r="F146" s="800" t="s">
        <v>7</v>
      </c>
      <c r="G146" s="425" t="str">
        <f t="shared" si="15"/>
        <v/>
      </c>
      <c r="U146" s="426">
        <f>SUM(I146:T146)</f>
        <v>0</v>
      </c>
    </row>
    <row r="147" spans="1:21">
      <c r="A147" s="426" t="str">
        <f t="shared" si="12"/>
        <v>KU</v>
      </c>
      <c r="B147" s="426" t="str">
        <f t="shared" si="11"/>
        <v>KY</v>
      </c>
      <c r="C147" s="426" t="str">
        <f t="shared" si="13"/>
        <v>E</v>
      </c>
      <c r="D147" s="426" t="s">
        <v>2656</v>
      </c>
      <c r="E147" s="426" t="str">
        <f t="shared" si="8"/>
        <v>302</v>
      </c>
      <c r="F147" s="741" t="s">
        <v>1720</v>
      </c>
      <c r="G147" s="425" t="str">
        <f t="shared" si="15"/>
        <v/>
      </c>
      <c r="H147" s="426">
        <v>0</v>
      </c>
      <c r="I147" s="426">
        <v>0</v>
      </c>
      <c r="J147" s="426">
        <v>0</v>
      </c>
      <c r="K147" s="426">
        <v>0</v>
      </c>
      <c r="L147" s="426">
        <v>0</v>
      </c>
      <c r="M147" s="426">
        <v>0</v>
      </c>
      <c r="N147" s="426">
        <v>0</v>
      </c>
      <c r="O147" s="426">
        <v>0</v>
      </c>
      <c r="P147" s="426">
        <v>0</v>
      </c>
      <c r="Q147" s="426">
        <v>0</v>
      </c>
      <c r="R147" s="426">
        <v>88.449830000000006</v>
      </c>
      <c r="S147" s="426">
        <v>0</v>
      </c>
      <c r="T147" s="426">
        <v>0</v>
      </c>
      <c r="U147" s="426">
        <f t="shared" ref="U147:U211" si="16">SUM(I147:T147)</f>
        <v>88.449830000000006</v>
      </c>
    </row>
    <row r="148" spans="1:21">
      <c r="A148" s="426" t="str">
        <f t="shared" si="12"/>
        <v>KU</v>
      </c>
      <c r="B148" s="426" t="str">
        <f t="shared" si="11"/>
        <v>KY</v>
      </c>
      <c r="C148" s="426" t="str">
        <f t="shared" si="13"/>
        <v>E</v>
      </c>
      <c r="D148" s="426" t="s">
        <v>2656</v>
      </c>
      <c r="E148" s="426" t="str">
        <f t="shared" si="8"/>
        <v>303</v>
      </c>
      <c r="F148" s="741" t="s">
        <v>2710</v>
      </c>
      <c r="G148" s="425" t="str">
        <f t="shared" si="15"/>
        <v/>
      </c>
      <c r="H148" s="426">
        <v>0</v>
      </c>
      <c r="I148" s="426">
        <v>0</v>
      </c>
      <c r="J148" s="426">
        <v>0</v>
      </c>
      <c r="K148" s="426">
        <v>0</v>
      </c>
      <c r="L148" s="426">
        <v>0</v>
      </c>
      <c r="M148" s="426">
        <v>0</v>
      </c>
      <c r="N148" s="426">
        <v>0</v>
      </c>
      <c r="O148" s="426">
        <v>841.30866000000003</v>
      </c>
      <c r="P148" s="426">
        <v>113.96839</v>
      </c>
      <c r="Q148" s="426">
        <v>11.75</v>
      </c>
      <c r="R148" s="426">
        <v>839.58592999999996</v>
      </c>
      <c r="S148" s="426">
        <v>0</v>
      </c>
      <c r="T148" s="426">
        <v>0</v>
      </c>
      <c r="U148" s="426">
        <f t="shared" si="16"/>
        <v>1806.6129799999999</v>
      </c>
    </row>
    <row r="149" spans="1:21">
      <c r="A149" s="426" t="str">
        <f t="shared" si="12"/>
        <v>KU</v>
      </c>
      <c r="B149" s="426" t="str">
        <f t="shared" si="11"/>
        <v>KY</v>
      </c>
      <c r="C149" s="426" t="str">
        <f t="shared" si="13"/>
        <v>E</v>
      </c>
      <c r="D149" s="426" t="s">
        <v>2656</v>
      </c>
      <c r="E149" s="426" t="str">
        <f t="shared" si="8"/>
        <v>303</v>
      </c>
      <c r="F149" s="741" t="s">
        <v>1721</v>
      </c>
      <c r="G149" s="425" t="str">
        <f t="shared" si="15"/>
        <v/>
      </c>
      <c r="H149" s="426">
        <v>6231.8305300000002</v>
      </c>
      <c r="I149" s="426">
        <v>345.17401000000001</v>
      </c>
      <c r="J149" s="426">
        <v>140.75056000000001</v>
      </c>
      <c r="K149" s="426">
        <v>329.13328000000001</v>
      </c>
      <c r="L149" s="426">
        <v>155.12394</v>
      </c>
      <c r="M149" s="426">
        <v>409.89143000000001</v>
      </c>
      <c r="N149" s="426">
        <v>217.90564000000001</v>
      </c>
      <c r="O149" s="426">
        <v>13838.239239999901</v>
      </c>
      <c r="P149" s="426">
        <v>586.54068999999902</v>
      </c>
      <c r="Q149" s="426">
        <v>1243.42975</v>
      </c>
      <c r="R149" s="426">
        <v>3764.77891</v>
      </c>
      <c r="S149" s="426">
        <v>22</v>
      </c>
      <c r="T149" s="426">
        <v>1567.0616199999999</v>
      </c>
      <c r="U149" s="426">
        <f t="shared" si="16"/>
        <v>22620.029069999902</v>
      </c>
    </row>
    <row r="150" spans="1:21">
      <c r="A150" s="426" t="str">
        <f t="shared" si="12"/>
        <v>KU</v>
      </c>
      <c r="B150" s="426" t="str">
        <f t="shared" si="11"/>
        <v>KY</v>
      </c>
      <c r="C150" s="426" t="str">
        <f t="shared" si="13"/>
        <v>E</v>
      </c>
      <c r="D150" s="426" t="s">
        <v>2656</v>
      </c>
      <c r="E150" s="426" t="str">
        <f t="shared" si="8"/>
        <v>303</v>
      </c>
      <c r="F150" s="741" t="s">
        <v>1722</v>
      </c>
      <c r="G150" s="425" t="str">
        <f t="shared" si="15"/>
        <v/>
      </c>
      <c r="H150" s="426">
        <v>0.80781999999999998</v>
      </c>
      <c r="I150" s="426">
        <v>0</v>
      </c>
      <c r="J150" s="426">
        <v>0</v>
      </c>
      <c r="K150" s="426">
        <v>0</v>
      </c>
      <c r="L150" s="426">
        <v>0</v>
      </c>
      <c r="M150" s="426">
        <v>-328.33235999999999</v>
      </c>
      <c r="N150" s="426">
        <v>0</v>
      </c>
      <c r="O150" s="426">
        <v>0</v>
      </c>
      <c r="P150" s="426">
        <v>0</v>
      </c>
      <c r="Q150" s="426">
        <v>0</v>
      </c>
      <c r="R150" s="426">
        <v>0</v>
      </c>
      <c r="S150" s="426">
        <v>0</v>
      </c>
      <c r="T150" s="426">
        <v>0</v>
      </c>
      <c r="U150" s="426">
        <f t="shared" si="16"/>
        <v>-328.33235999999999</v>
      </c>
    </row>
    <row r="151" spans="1:21" s="426" customFormat="1">
      <c r="A151" s="426" t="str">
        <f t="shared" si="12"/>
        <v>KU</v>
      </c>
      <c r="B151" s="426" t="str">
        <f t="shared" si="11"/>
        <v>KY</v>
      </c>
      <c r="C151" s="426" t="str">
        <f t="shared" si="13"/>
        <v>E</v>
      </c>
      <c r="D151" s="426" t="s">
        <v>2656</v>
      </c>
      <c r="E151" s="426" t="str">
        <f t="shared" si="8"/>
        <v>310</v>
      </c>
      <c r="F151" s="741" t="s">
        <v>1723</v>
      </c>
      <c r="G151" s="425" t="str">
        <f t="shared" si="15"/>
        <v>ECR</v>
      </c>
      <c r="H151" s="426">
        <v>0</v>
      </c>
      <c r="I151" s="426">
        <v>0</v>
      </c>
      <c r="J151" s="426">
        <v>0</v>
      </c>
      <c r="K151" s="426">
        <v>16.393709999999999</v>
      </c>
      <c r="L151" s="426">
        <v>0</v>
      </c>
      <c r="M151" s="426">
        <v>0</v>
      </c>
      <c r="N151" s="426">
        <v>0</v>
      </c>
      <c r="O151" s="426">
        <v>0</v>
      </c>
      <c r="P151" s="426">
        <v>0</v>
      </c>
      <c r="Q151" s="426">
        <v>0</v>
      </c>
      <c r="R151" s="426">
        <v>0</v>
      </c>
      <c r="S151" s="426">
        <v>0</v>
      </c>
      <c r="T151" s="426">
        <v>0</v>
      </c>
      <c r="U151" s="426">
        <f t="shared" si="16"/>
        <v>16.393709999999999</v>
      </c>
    </row>
    <row r="152" spans="1:21" s="426" customFormat="1">
      <c r="A152" s="426" t="str">
        <f t="shared" si="12"/>
        <v>KU</v>
      </c>
      <c r="B152" s="426" t="str">
        <f t="shared" si="11"/>
        <v>KY</v>
      </c>
      <c r="C152" s="426" t="str">
        <f t="shared" si="13"/>
        <v>E</v>
      </c>
      <c r="D152" s="426" t="s">
        <v>2656</v>
      </c>
      <c r="E152" s="426" t="str">
        <f t="shared" si="8"/>
        <v>310</v>
      </c>
      <c r="F152" s="741" t="s">
        <v>1725</v>
      </c>
      <c r="G152" s="425" t="str">
        <f t="shared" si="15"/>
        <v/>
      </c>
      <c r="H152" s="426">
        <v>0</v>
      </c>
      <c r="I152" s="426">
        <v>27.635929999999998</v>
      </c>
      <c r="J152" s="426">
        <v>0</v>
      </c>
      <c r="K152" s="426">
        <v>0</v>
      </c>
      <c r="L152" s="426">
        <v>0</v>
      </c>
      <c r="M152" s="426">
        <v>0</v>
      </c>
      <c r="N152" s="426">
        <v>0</v>
      </c>
      <c r="O152" s="426">
        <v>6.32057</v>
      </c>
      <c r="P152" s="426">
        <v>0</v>
      </c>
      <c r="Q152" s="426">
        <v>0</v>
      </c>
      <c r="R152" s="426">
        <v>0</v>
      </c>
      <c r="S152" s="426">
        <v>0</v>
      </c>
      <c r="T152" s="426">
        <v>0</v>
      </c>
      <c r="U152" s="426">
        <f t="shared" si="16"/>
        <v>33.956499999999998</v>
      </c>
    </row>
    <row r="153" spans="1:21" s="426" customFormat="1">
      <c r="A153" s="426" t="str">
        <f t="shared" si="12"/>
        <v>KU</v>
      </c>
      <c r="B153" s="426" t="str">
        <f t="shared" si="11"/>
        <v>KY</v>
      </c>
      <c r="C153" s="426" t="str">
        <f t="shared" si="13"/>
        <v>E</v>
      </c>
      <c r="D153" s="426" t="s">
        <v>2656</v>
      </c>
      <c r="E153" s="426" t="str">
        <f t="shared" si="8"/>
        <v>311</v>
      </c>
      <c r="F153" s="741" t="s">
        <v>1727</v>
      </c>
      <c r="G153" s="425" t="str">
        <f t="shared" si="15"/>
        <v/>
      </c>
      <c r="H153" s="426">
        <v>35.850140000000003</v>
      </c>
      <c r="I153" s="426">
        <v>144.9059</v>
      </c>
      <c r="J153" s="426">
        <v>1287.1489300000001</v>
      </c>
      <c r="K153" s="426">
        <v>145.67961</v>
      </c>
      <c r="L153" s="426">
        <v>11.79557</v>
      </c>
      <c r="M153" s="426">
        <v>69.401799999999994</v>
      </c>
      <c r="N153" s="426">
        <v>1289.49855</v>
      </c>
      <c r="O153" s="426">
        <v>1410.93478999999</v>
      </c>
      <c r="P153" s="426">
        <v>525.63906999999995</v>
      </c>
      <c r="Q153" s="426">
        <v>291.2294</v>
      </c>
      <c r="R153" s="426">
        <v>1600.2919899999999</v>
      </c>
      <c r="S153" s="426">
        <v>0</v>
      </c>
      <c r="T153" s="426">
        <v>0</v>
      </c>
      <c r="U153" s="426">
        <f t="shared" si="16"/>
        <v>6776.5256099999906</v>
      </c>
    </row>
    <row r="154" spans="1:21" s="426" customFormat="1">
      <c r="A154" s="426" t="str">
        <f t="shared" si="12"/>
        <v>KU</v>
      </c>
      <c r="B154" s="426" t="str">
        <f t="shared" si="11"/>
        <v>KY</v>
      </c>
      <c r="C154" s="426" t="str">
        <f t="shared" si="13"/>
        <v>E</v>
      </c>
      <c r="D154" s="426" t="s">
        <v>2656</v>
      </c>
      <c r="E154" s="426" t="str">
        <f t="shared" si="8"/>
        <v>312</v>
      </c>
      <c r="F154" s="741" t="s">
        <v>1728</v>
      </c>
      <c r="G154" s="425" t="str">
        <f t="shared" si="15"/>
        <v/>
      </c>
      <c r="H154" s="426">
        <v>798.15769</v>
      </c>
      <c r="I154" s="426">
        <v>812.12855999999999</v>
      </c>
      <c r="J154" s="426">
        <v>4470.4138599999997</v>
      </c>
      <c r="K154" s="426">
        <v>4666.0073400000001</v>
      </c>
      <c r="L154" s="426">
        <v>3656.6216099999901</v>
      </c>
      <c r="M154" s="426">
        <v>5410.9559600000002</v>
      </c>
      <c r="N154" s="426">
        <v>951.63004000000001</v>
      </c>
      <c r="O154" s="426">
        <v>6728.0447199999899</v>
      </c>
      <c r="P154" s="426">
        <v>3648.7867699999902</v>
      </c>
      <c r="Q154" s="426">
        <v>10838.137779999901</v>
      </c>
      <c r="R154" s="426">
        <v>7098.89732</v>
      </c>
      <c r="S154" s="426">
        <v>0</v>
      </c>
      <c r="T154" s="426">
        <v>40.396039999999999</v>
      </c>
      <c r="U154" s="426">
        <f t="shared" si="16"/>
        <v>48322.019999999866</v>
      </c>
    </row>
    <row r="155" spans="1:21" s="426" customFormat="1">
      <c r="A155" s="426" t="str">
        <f t="shared" si="12"/>
        <v>KU</v>
      </c>
      <c r="B155" s="426" t="str">
        <f t="shared" si="11"/>
        <v>KY</v>
      </c>
      <c r="C155" s="426" t="str">
        <f t="shared" si="13"/>
        <v>E</v>
      </c>
      <c r="D155" s="426" t="s">
        <v>2656</v>
      </c>
      <c r="E155" s="426" t="str">
        <f t="shared" si="8"/>
        <v>312</v>
      </c>
      <c r="F155" s="741" t="s">
        <v>1729</v>
      </c>
      <c r="G155" s="425" t="str">
        <f t="shared" si="15"/>
        <v>ECR</v>
      </c>
      <c r="H155" s="426">
        <v>0</v>
      </c>
      <c r="I155" s="426">
        <v>0</v>
      </c>
      <c r="J155" s="426">
        <v>1.4003299999999901</v>
      </c>
      <c r="K155" s="426">
        <v>3562.9186800000002</v>
      </c>
      <c r="L155" s="426">
        <v>0</v>
      </c>
      <c r="M155" s="426">
        <v>0</v>
      </c>
      <c r="N155" s="426">
        <v>0</v>
      </c>
      <c r="O155" s="426">
        <v>152.80620999999999</v>
      </c>
      <c r="P155" s="426">
        <v>3715.8266699999999</v>
      </c>
      <c r="Q155" s="426">
        <v>1602.393</v>
      </c>
      <c r="R155" s="426">
        <v>-3698.3477599999901</v>
      </c>
      <c r="S155" s="426">
        <v>0</v>
      </c>
      <c r="T155" s="426">
        <v>0</v>
      </c>
      <c r="U155" s="426">
        <f t="shared" si="16"/>
        <v>5336.9971300000107</v>
      </c>
    </row>
    <row r="156" spans="1:21" s="426" customFormat="1">
      <c r="A156" s="426" t="str">
        <f t="shared" si="12"/>
        <v>KU</v>
      </c>
      <c r="B156" s="426" t="str">
        <f t="shared" si="11"/>
        <v>KY</v>
      </c>
      <c r="C156" s="426" t="str">
        <f t="shared" si="13"/>
        <v>E</v>
      </c>
      <c r="D156" s="426" t="s">
        <v>2656</v>
      </c>
      <c r="E156" s="426" t="str">
        <f t="shared" si="8"/>
        <v>312</v>
      </c>
      <c r="F156" s="741" t="s">
        <v>2714</v>
      </c>
      <c r="G156" s="425" t="str">
        <f t="shared" si="15"/>
        <v>ECR</v>
      </c>
      <c r="H156" s="426">
        <v>0</v>
      </c>
      <c r="I156" s="426">
        <v>0</v>
      </c>
      <c r="J156" s="426">
        <v>0</v>
      </c>
      <c r="K156" s="426">
        <v>0</v>
      </c>
      <c r="L156" s="426">
        <v>0</v>
      </c>
      <c r="M156" s="426">
        <v>0</v>
      </c>
      <c r="N156" s="426">
        <v>0</v>
      </c>
      <c r="O156" s="426">
        <v>2382.3644100000001</v>
      </c>
      <c r="P156" s="426">
        <v>-7.5993999999999904</v>
      </c>
      <c r="Q156" s="426">
        <v>0</v>
      </c>
      <c r="R156" s="426">
        <v>0</v>
      </c>
      <c r="S156" s="426">
        <v>0</v>
      </c>
      <c r="T156" s="426">
        <v>0</v>
      </c>
      <c r="U156" s="426">
        <f t="shared" si="16"/>
        <v>2374.7650100000001</v>
      </c>
    </row>
    <row r="157" spans="1:21" s="426" customFormat="1">
      <c r="A157" s="426" t="str">
        <f t="shared" si="12"/>
        <v>KU</v>
      </c>
      <c r="B157" s="426" t="str">
        <f t="shared" si="11"/>
        <v>KY</v>
      </c>
      <c r="C157" s="426" t="str">
        <f t="shared" si="13"/>
        <v>E</v>
      </c>
      <c r="D157" s="426" t="s">
        <v>2656</v>
      </c>
      <c r="E157" s="426" t="str">
        <f t="shared" si="8"/>
        <v>312</v>
      </c>
      <c r="F157" s="741" t="s">
        <v>1730</v>
      </c>
      <c r="G157" s="425" t="str">
        <f t="shared" ref="G157:G221" si="17">IF(ISTEXT(MID($F157,SEARCH("FUTURE USE",$F157),3)),"FUTURE USE",IF(ISTEXT(MID($F157,SEARCH("ECR",$F157),3)),"ECR",IF(ISTEXT(MID($F157,SEARCH("ARO",$F157),3)),"ARO",IF(ISTEXT(MID($F157,SEARCH("DSM",$F157),3)),"DSM",""))))</f>
        <v>ECR</v>
      </c>
      <c r="H157" s="426">
        <v>0</v>
      </c>
      <c r="I157" s="426">
        <v>0</v>
      </c>
      <c r="J157" s="426">
        <v>0</v>
      </c>
      <c r="K157" s="426">
        <v>0</v>
      </c>
      <c r="L157" s="426">
        <v>0</v>
      </c>
      <c r="M157" s="426">
        <v>0</v>
      </c>
      <c r="N157" s="426">
        <v>-152.91201999999899</v>
      </c>
      <c r="O157" s="426">
        <v>0</v>
      </c>
      <c r="P157" s="426">
        <v>0</v>
      </c>
      <c r="Q157" s="426">
        <v>1317.22803</v>
      </c>
      <c r="R157" s="426">
        <v>1692.94901</v>
      </c>
      <c r="S157" s="426">
        <v>0</v>
      </c>
      <c r="T157" s="426">
        <v>0</v>
      </c>
      <c r="U157" s="426">
        <f t="shared" si="16"/>
        <v>2857.2650200000007</v>
      </c>
    </row>
    <row r="158" spans="1:21" s="426" customFormat="1">
      <c r="A158" s="426" t="str">
        <f t="shared" si="12"/>
        <v>KU</v>
      </c>
      <c r="B158" s="426" t="str">
        <f t="shared" si="11"/>
        <v>KY</v>
      </c>
      <c r="C158" s="426" t="str">
        <f t="shared" si="13"/>
        <v>E</v>
      </c>
      <c r="D158" s="426" t="s">
        <v>2656</v>
      </c>
      <c r="E158" s="426" t="str">
        <f t="shared" si="8"/>
        <v>312</v>
      </c>
      <c r="F158" s="741" t="s">
        <v>2179</v>
      </c>
      <c r="G158" s="425" t="str">
        <f t="shared" si="17"/>
        <v>ECR</v>
      </c>
      <c r="H158" s="426">
        <v>0</v>
      </c>
      <c r="I158" s="426">
        <v>0</v>
      </c>
      <c r="J158" s="426">
        <v>154391.79639999999</v>
      </c>
      <c r="K158" s="426">
        <v>25007.837670000001</v>
      </c>
      <c r="L158" s="426">
        <v>0</v>
      </c>
      <c r="M158" s="426">
        <v>0</v>
      </c>
      <c r="N158" s="426">
        <v>0</v>
      </c>
      <c r="O158" s="426">
        <v>9983.4548699999996</v>
      </c>
      <c r="P158" s="426">
        <v>0</v>
      </c>
      <c r="Q158" s="426">
        <v>0</v>
      </c>
      <c r="R158" s="426">
        <v>0</v>
      </c>
      <c r="S158" s="426">
        <v>0</v>
      </c>
      <c r="T158" s="426">
        <v>0</v>
      </c>
      <c r="U158" s="426">
        <f t="shared" si="16"/>
        <v>189383.08893999999</v>
      </c>
    </row>
    <row r="159" spans="1:21" s="426" customFormat="1">
      <c r="A159" s="426" t="str">
        <f t="shared" si="12"/>
        <v>KU</v>
      </c>
      <c r="B159" s="426" t="str">
        <f t="shared" si="11"/>
        <v>KY</v>
      </c>
      <c r="C159" s="426" t="str">
        <f t="shared" si="13"/>
        <v>E</v>
      </c>
      <c r="D159" s="426" t="s">
        <v>2656</v>
      </c>
      <c r="E159" s="426" t="str">
        <f t="shared" si="8"/>
        <v>312</v>
      </c>
      <c r="F159" s="741" t="s">
        <v>2715</v>
      </c>
      <c r="G159" s="425" t="str">
        <f t="shared" si="17"/>
        <v>ECR</v>
      </c>
      <c r="H159" s="426">
        <v>0</v>
      </c>
      <c r="I159" s="426">
        <v>0</v>
      </c>
      <c r="J159" s="426">
        <v>0</v>
      </c>
      <c r="K159" s="426">
        <v>0</v>
      </c>
      <c r="L159" s="426">
        <v>0</v>
      </c>
      <c r="M159" s="426">
        <v>0</v>
      </c>
      <c r="N159" s="426">
        <v>0</v>
      </c>
      <c r="O159" s="426">
        <v>4260.3072300000003</v>
      </c>
      <c r="P159" s="426">
        <v>1060.45579</v>
      </c>
      <c r="Q159" s="426">
        <v>13425.47309</v>
      </c>
      <c r="R159" s="426">
        <v>1657.6900700000001</v>
      </c>
      <c r="S159" s="426">
        <v>1050</v>
      </c>
      <c r="T159" s="426">
        <v>1550</v>
      </c>
      <c r="U159" s="426">
        <f t="shared" si="16"/>
        <v>23003.926179999999</v>
      </c>
    </row>
    <row r="160" spans="1:21" s="426" customFormat="1">
      <c r="A160" s="426" t="str">
        <f t="shared" si="12"/>
        <v>KU</v>
      </c>
      <c r="B160" s="426" t="str">
        <f t="shared" si="11"/>
        <v>KY</v>
      </c>
      <c r="C160" s="426" t="str">
        <f t="shared" si="13"/>
        <v>E</v>
      </c>
      <c r="D160" s="426" t="s">
        <v>2656</v>
      </c>
      <c r="E160" s="426" t="str">
        <f t="shared" si="8"/>
        <v>312</v>
      </c>
      <c r="F160" s="741" t="s">
        <v>2716</v>
      </c>
      <c r="G160" s="425" t="str">
        <f t="shared" si="17"/>
        <v>ECR</v>
      </c>
      <c r="H160" s="426">
        <v>0</v>
      </c>
      <c r="I160" s="426">
        <v>0</v>
      </c>
      <c r="J160" s="426">
        <v>0</v>
      </c>
      <c r="K160" s="426">
        <v>0</v>
      </c>
      <c r="L160" s="426">
        <v>0</v>
      </c>
      <c r="M160" s="426">
        <v>0</v>
      </c>
      <c r="N160" s="426">
        <v>0</v>
      </c>
      <c r="O160" s="426">
        <v>0</v>
      </c>
      <c r="P160" s="426">
        <v>0</v>
      </c>
      <c r="Q160" s="426">
        <v>0</v>
      </c>
      <c r="R160" s="426">
        <v>0</v>
      </c>
      <c r="S160" s="426">
        <v>0</v>
      </c>
      <c r="T160" s="426">
        <v>0</v>
      </c>
      <c r="U160" s="426">
        <f t="shared" si="16"/>
        <v>0</v>
      </c>
    </row>
    <row r="161" spans="1:21" s="426" customFormat="1">
      <c r="A161" s="426" t="str">
        <f t="shared" si="12"/>
        <v>KU</v>
      </c>
      <c r="B161" s="426" t="str">
        <f t="shared" si="11"/>
        <v>KY</v>
      </c>
      <c r="C161" s="426" t="str">
        <f t="shared" si="13"/>
        <v>E</v>
      </c>
      <c r="D161" s="426" t="s">
        <v>2656</v>
      </c>
      <c r="E161" s="426" t="str">
        <f t="shared" ref="E161:E242" si="18">MID($F161,8,3)</f>
        <v>314</v>
      </c>
      <c r="F161" s="741" t="s">
        <v>1732</v>
      </c>
      <c r="G161" s="425" t="str">
        <f t="shared" si="17"/>
        <v/>
      </c>
      <c r="H161" s="426">
        <v>1199.7846</v>
      </c>
      <c r="I161" s="426">
        <v>84.811430000000001</v>
      </c>
      <c r="J161" s="426">
        <v>244.69786999999999</v>
      </c>
      <c r="K161" s="426">
        <v>116.34247000000001</v>
      </c>
      <c r="L161" s="426">
        <v>174.28385</v>
      </c>
      <c r="M161" s="426">
        <v>1346.10321</v>
      </c>
      <c r="N161" s="426">
        <v>193.2097</v>
      </c>
      <c r="O161" s="426">
        <v>15653.909249999901</v>
      </c>
      <c r="P161" s="426">
        <v>0</v>
      </c>
      <c r="Q161" s="426">
        <v>165.00815</v>
      </c>
      <c r="R161" s="426">
        <v>95.424239999999998</v>
      </c>
      <c r="S161" s="426">
        <v>0</v>
      </c>
      <c r="T161" s="426">
        <v>0</v>
      </c>
      <c r="U161" s="426">
        <f t="shared" si="16"/>
        <v>18073.790169999902</v>
      </c>
    </row>
    <row r="162" spans="1:21" s="426" customFormat="1">
      <c r="A162" s="426" t="str">
        <f t="shared" si="12"/>
        <v>KU</v>
      </c>
      <c r="B162" s="426" t="str">
        <f t="shared" si="11"/>
        <v>KY</v>
      </c>
      <c r="C162" s="426" t="str">
        <f t="shared" si="13"/>
        <v>E</v>
      </c>
      <c r="D162" s="426" t="s">
        <v>2656</v>
      </c>
      <c r="E162" s="426" t="str">
        <f t="shared" si="18"/>
        <v>315</v>
      </c>
      <c r="F162" s="741" t="s">
        <v>1733</v>
      </c>
      <c r="G162" s="425" t="str">
        <f t="shared" si="17"/>
        <v/>
      </c>
      <c r="H162" s="426">
        <v>-785.78129999999999</v>
      </c>
      <c r="I162" s="426">
        <v>-9.0703200000000006</v>
      </c>
      <c r="J162" s="426">
        <v>-0.98897000000000002</v>
      </c>
      <c r="K162" s="426">
        <v>-579.74268999999902</v>
      </c>
      <c r="L162" s="426">
        <v>0</v>
      </c>
      <c r="M162" s="426">
        <v>-2.8352599999999999</v>
      </c>
      <c r="N162" s="426">
        <v>0</v>
      </c>
      <c r="O162" s="426">
        <v>192.86645999999999</v>
      </c>
      <c r="P162" s="426">
        <v>479.26666999999998</v>
      </c>
      <c r="Q162" s="426">
        <v>476.20911000000001</v>
      </c>
      <c r="R162" s="426">
        <v>344.526489999999</v>
      </c>
      <c r="S162" s="426">
        <v>0</v>
      </c>
      <c r="T162" s="426">
        <v>0</v>
      </c>
      <c r="U162" s="426">
        <f t="shared" si="16"/>
        <v>900.23148999999989</v>
      </c>
    </row>
    <row r="163" spans="1:21" s="426" customFormat="1">
      <c r="A163" s="426" t="str">
        <f t="shared" si="12"/>
        <v>KU</v>
      </c>
      <c r="B163" s="426" t="str">
        <f t="shared" si="11"/>
        <v>KY</v>
      </c>
      <c r="C163" s="426" t="str">
        <f t="shared" si="13"/>
        <v>E</v>
      </c>
      <c r="D163" s="426" t="s">
        <v>2656</v>
      </c>
      <c r="E163" s="426" t="str">
        <f t="shared" si="18"/>
        <v>315</v>
      </c>
      <c r="F163" s="741" t="s">
        <v>2180</v>
      </c>
      <c r="G163" s="425" t="str">
        <f t="shared" si="17"/>
        <v>ECR</v>
      </c>
      <c r="H163" s="426">
        <v>0</v>
      </c>
      <c r="I163" s="426">
        <v>0</v>
      </c>
      <c r="J163" s="426">
        <v>0</v>
      </c>
      <c r="K163" s="426">
        <v>-3432.2605400000002</v>
      </c>
      <c r="L163" s="426">
        <v>0</v>
      </c>
      <c r="M163" s="426">
        <v>0</v>
      </c>
      <c r="N163" s="426">
        <v>0</v>
      </c>
      <c r="O163" s="426">
        <v>0</v>
      </c>
      <c r="P163" s="426">
        <v>0</v>
      </c>
      <c r="Q163" s="426">
        <v>0</v>
      </c>
      <c r="R163" s="426">
        <v>0</v>
      </c>
      <c r="S163" s="426">
        <v>0</v>
      </c>
      <c r="T163" s="426">
        <v>0</v>
      </c>
      <c r="U163" s="426">
        <f t="shared" si="16"/>
        <v>-3432.2605400000002</v>
      </c>
    </row>
    <row r="164" spans="1:21" s="426" customFormat="1">
      <c r="A164" s="426" t="str">
        <f t="shared" si="12"/>
        <v>KU</v>
      </c>
      <c r="B164" s="426" t="str">
        <f t="shared" si="11"/>
        <v>KY</v>
      </c>
      <c r="C164" s="426" t="str">
        <f t="shared" si="13"/>
        <v>E</v>
      </c>
      <c r="D164" s="426" t="s">
        <v>2656</v>
      </c>
      <c r="E164" s="426" t="str">
        <f t="shared" si="18"/>
        <v>316</v>
      </c>
      <c r="F164" s="741" t="s">
        <v>1735</v>
      </c>
      <c r="G164" s="425" t="str">
        <f t="shared" si="17"/>
        <v/>
      </c>
      <c r="H164" s="426">
        <v>99.109309999999994</v>
      </c>
      <c r="I164" s="426">
        <v>8.1054899999999996</v>
      </c>
      <c r="J164" s="426">
        <v>253.13784999999999</v>
      </c>
      <c r="K164" s="426">
        <v>38.026899999999998</v>
      </c>
      <c r="L164" s="426">
        <v>-484.96591000000001</v>
      </c>
      <c r="M164" s="426">
        <v>748.569019999999</v>
      </c>
      <c r="N164" s="426">
        <v>94.839160000000007</v>
      </c>
      <c r="O164" s="426">
        <v>792.37769000000003</v>
      </c>
      <c r="P164" s="426">
        <v>256.93844000000001</v>
      </c>
      <c r="Q164" s="426">
        <v>379.34493999999899</v>
      </c>
      <c r="R164" s="426">
        <v>359.75833</v>
      </c>
      <c r="S164" s="426">
        <v>25.489519999999999</v>
      </c>
      <c r="T164" s="426">
        <v>25.489529999999998</v>
      </c>
      <c r="U164" s="426">
        <f t="shared" si="16"/>
        <v>2497.1109599999982</v>
      </c>
    </row>
    <row r="165" spans="1:21" s="426" customFormat="1">
      <c r="A165" s="426" t="str">
        <f t="shared" si="12"/>
        <v>KU</v>
      </c>
      <c r="B165" s="426" t="str">
        <f t="shared" si="11"/>
        <v>KY</v>
      </c>
      <c r="C165" s="426" t="str">
        <f t="shared" si="13"/>
        <v>E</v>
      </c>
      <c r="D165" s="426" t="s">
        <v>2656</v>
      </c>
      <c r="E165" s="426" t="str">
        <f t="shared" si="18"/>
        <v>317</v>
      </c>
      <c r="F165" s="741" t="s">
        <v>2398</v>
      </c>
      <c r="G165" s="425" t="str">
        <f t="shared" si="17"/>
        <v>ARO</v>
      </c>
      <c r="H165" s="426">
        <v>0</v>
      </c>
      <c r="I165" s="426">
        <v>0</v>
      </c>
      <c r="J165" s="426">
        <v>0</v>
      </c>
      <c r="K165" s="426">
        <v>0</v>
      </c>
      <c r="L165" s="426">
        <v>-9.8225427791476198E-11</v>
      </c>
      <c r="M165" s="426">
        <v>0</v>
      </c>
      <c r="N165" s="426">
        <v>0</v>
      </c>
      <c r="O165" s="426">
        <v>0</v>
      </c>
      <c r="P165" s="426">
        <v>0</v>
      </c>
      <c r="Q165" s="426">
        <v>0</v>
      </c>
      <c r="R165" s="426">
        <v>0</v>
      </c>
      <c r="S165" s="426">
        <v>0</v>
      </c>
      <c r="T165" s="426">
        <v>0</v>
      </c>
      <c r="U165" s="426">
        <f t="shared" si="16"/>
        <v>-9.8225427791476198E-11</v>
      </c>
    </row>
    <row r="166" spans="1:21" s="426" customFormat="1">
      <c r="A166" s="426" t="str">
        <f t="shared" si="12"/>
        <v>KU</v>
      </c>
      <c r="B166" s="426" t="str">
        <f t="shared" si="11"/>
        <v>KY</v>
      </c>
      <c r="C166" s="426" t="str">
        <f t="shared" si="13"/>
        <v>E</v>
      </c>
      <c r="D166" s="426" t="s">
        <v>2656</v>
      </c>
      <c r="E166" s="426" t="str">
        <f t="shared" si="18"/>
        <v>331</v>
      </c>
      <c r="F166" s="741" t="s">
        <v>1738</v>
      </c>
      <c r="G166" s="425" t="str">
        <f t="shared" si="17"/>
        <v/>
      </c>
      <c r="H166" s="426">
        <v>-5.5836600000000001</v>
      </c>
      <c r="I166" s="426">
        <v>0</v>
      </c>
      <c r="J166" s="426">
        <v>0</v>
      </c>
      <c r="K166" s="426">
        <v>0</v>
      </c>
      <c r="L166" s="426">
        <v>0</v>
      </c>
      <c r="M166" s="426">
        <v>0</v>
      </c>
      <c r="N166" s="426">
        <v>0</v>
      </c>
      <c r="O166" s="426">
        <v>0</v>
      </c>
      <c r="P166" s="426">
        <v>0</v>
      </c>
      <c r="Q166" s="426">
        <v>0</v>
      </c>
      <c r="R166" s="426">
        <v>0</v>
      </c>
      <c r="S166" s="426">
        <v>0</v>
      </c>
      <c r="T166" s="426">
        <v>0</v>
      </c>
      <c r="U166" s="426">
        <f t="shared" si="16"/>
        <v>0</v>
      </c>
    </row>
    <row r="167" spans="1:21" s="426" customFormat="1">
      <c r="A167" s="426" t="str">
        <f t="shared" si="12"/>
        <v>KU</v>
      </c>
      <c r="B167" s="426" t="str">
        <f t="shared" si="11"/>
        <v>KY</v>
      </c>
      <c r="C167" s="426" t="str">
        <f t="shared" si="13"/>
        <v>E</v>
      </c>
      <c r="D167" s="426" t="s">
        <v>2656</v>
      </c>
      <c r="E167" s="426" t="str">
        <f t="shared" si="18"/>
        <v>332</v>
      </c>
      <c r="F167" s="741" t="s">
        <v>1739</v>
      </c>
      <c r="G167" s="425" t="str">
        <f t="shared" si="17"/>
        <v/>
      </c>
      <c r="H167" s="426">
        <v>0</v>
      </c>
      <c r="I167" s="426">
        <v>0</v>
      </c>
      <c r="J167" s="426">
        <v>0</v>
      </c>
      <c r="K167" s="426">
        <v>0</v>
      </c>
      <c r="L167" s="426">
        <v>0</v>
      </c>
      <c r="M167" s="426">
        <v>0</v>
      </c>
      <c r="N167" s="426">
        <v>0</v>
      </c>
      <c r="O167" s="426">
        <v>0</v>
      </c>
      <c r="P167" s="426">
        <v>0</v>
      </c>
      <c r="Q167" s="426">
        <v>0</v>
      </c>
      <c r="R167" s="426">
        <v>95.186589999999995</v>
      </c>
      <c r="S167" s="426">
        <v>0</v>
      </c>
      <c r="T167" s="426">
        <v>0</v>
      </c>
      <c r="U167" s="426">
        <f t="shared" si="16"/>
        <v>95.186589999999995</v>
      </c>
    </row>
    <row r="168" spans="1:21" s="426" customFormat="1">
      <c r="A168" s="426" t="str">
        <f t="shared" si="12"/>
        <v>KU</v>
      </c>
      <c r="B168" s="426" t="str">
        <f t="shared" si="11"/>
        <v>KY</v>
      </c>
      <c r="C168" s="426" t="str">
        <f t="shared" si="13"/>
        <v>E</v>
      </c>
      <c r="D168" s="426" t="s">
        <v>2656</v>
      </c>
      <c r="E168" s="426" t="str">
        <f t="shared" si="18"/>
        <v>333</v>
      </c>
      <c r="F168" s="741" t="s">
        <v>1740</v>
      </c>
      <c r="G168" s="425" t="str">
        <f t="shared" si="17"/>
        <v/>
      </c>
      <c r="H168" s="426">
        <v>0</v>
      </c>
      <c r="I168" s="426">
        <v>0</v>
      </c>
      <c r="J168" s="426">
        <v>0</v>
      </c>
      <c r="K168" s="426">
        <v>0</v>
      </c>
      <c r="L168" s="426">
        <v>0</v>
      </c>
      <c r="M168" s="426">
        <v>0</v>
      </c>
      <c r="N168" s="426">
        <v>0</v>
      </c>
      <c r="O168" s="426">
        <v>0</v>
      </c>
      <c r="P168" s="426">
        <v>0</v>
      </c>
      <c r="Q168" s="426">
        <v>0</v>
      </c>
      <c r="R168" s="426">
        <v>0</v>
      </c>
      <c r="S168" s="426">
        <v>0</v>
      </c>
      <c r="T168" s="426">
        <v>0</v>
      </c>
      <c r="U168" s="426">
        <f t="shared" si="16"/>
        <v>0</v>
      </c>
    </row>
    <row r="169" spans="1:21" s="426" customFormat="1">
      <c r="A169" s="426" t="str">
        <f t="shared" si="12"/>
        <v>KU</v>
      </c>
      <c r="B169" s="426" t="str">
        <f t="shared" si="11"/>
        <v>KY</v>
      </c>
      <c r="C169" s="426" t="str">
        <f t="shared" si="13"/>
        <v>E</v>
      </c>
      <c r="D169" s="426" t="s">
        <v>2656</v>
      </c>
      <c r="E169" s="426" t="str">
        <f t="shared" si="18"/>
        <v>334</v>
      </c>
      <c r="F169" s="741" t="s">
        <v>1741</v>
      </c>
      <c r="G169" s="425" t="str">
        <f t="shared" si="17"/>
        <v/>
      </c>
      <c r="H169" s="426">
        <v>0</v>
      </c>
      <c r="I169" s="426">
        <v>0</v>
      </c>
      <c r="J169" s="426">
        <v>0</v>
      </c>
      <c r="K169" s="426">
        <v>25.333939999999998</v>
      </c>
      <c r="L169" s="426">
        <v>0</v>
      </c>
      <c r="M169" s="426">
        <v>0</v>
      </c>
      <c r="N169" s="426">
        <v>0</v>
      </c>
      <c r="O169" s="426">
        <v>0</v>
      </c>
      <c r="P169" s="426">
        <v>0</v>
      </c>
      <c r="Q169" s="426">
        <v>0</v>
      </c>
      <c r="R169" s="426">
        <v>0</v>
      </c>
      <c r="S169" s="426">
        <v>0</v>
      </c>
      <c r="T169" s="426">
        <v>0</v>
      </c>
      <c r="U169" s="426">
        <f t="shared" si="16"/>
        <v>25.333939999999998</v>
      </c>
    </row>
    <row r="170" spans="1:21" s="426" customFormat="1">
      <c r="A170" s="426" t="str">
        <f t="shared" si="12"/>
        <v>KU</v>
      </c>
      <c r="B170" s="426" t="str">
        <f t="shared" si="11"/>
        <v>KY</v>
      </c>
      <c r="C170" s="426" t="str">
        <f t="shared" si="13"/>
        <v>E</v>
      </c>
      <c r="D170" s="426" t="s">
        <v>2656</v>
      </c>
      <c r="E170" s="426" t="str">
        <f t="shared" si="18"/>
        <v>341</v>
      </c>
      <c r="F170" s="741" t="s">
        <v>2184</v>
      </c>
      <c r="G170" s="425" t="str">
        <f t="shared" si="17"/>
        <v/>
      </c>
      <c r="H170" s="426">
        <v>0</v>
      </c>
      <c r="I170" s="426">
        <v>0</v>
      </c>
      <c r="J170" s="426">
        <v>0</v>
      </c>
      <c r="K170" s="426">
        <v>-65.271019999999993</v>
      </c>
      <c r="L170" s="426">
        <v>0</v>
      </c>
      <c r="M170" s="426">
        <v>0</v>
      </c>
      <c r="N170" s="426">
        <v>0</v>
      </c>
      <c r="O170" s="426">
        <v>0</v>
      </c>
      <c r="P170" s="426">
        <v>149.70958999999999</v>
      </c>
      <c r="Q170" s="426">
        <v>0</v>
      </c>
      <c r="R170" s="426">
        <v>0</v>
      </c>
      <c r="S170" s="426">
        <v>0</v>
      </c>
      <c r="T170" s="426">
        <v>0</v>
      </c>
      <c r="U170" s="426">
        <f t="shared" si="16"/>
        <v>84.438569999999999</v>
      </c>
    </row>
    <row r="171" spans="1:21" s="426" customFormat="1">
      <c r="A171" s="426" t="str">
        <f t="shared" si="12"/>
        <v>KU</v>
      </c>
      <c r="B171" s="426" t="str">
        <f t="shared" si="11"/>
        <v>KY</v>
      </c>
      <c r="C171" s="426" t="str">
        <f t="shared" si="13"/>
        <v>E</v>
      </c>
      <c r="D171" s="426" t="s">
        <v>2656</v>
      </c>
      <c r="E171" s="426" t="str">
        <f t="shared" si="18"/>
        <v>341</v>
      </c>
      <c r="F171" s="741" t="s">
        <v>2185</v>
      </c>
      <c r="G171" s="425" t="str">
        <f t="shared" si="17"/>
        <v/>
      </c>
      <c r="H171" s="426">
        <v>0</v>
      </c>
      <c r="I171" s="426">
        <v>0</v>
      </c>
      <c r="J171" s="426">
        <v>0</v>
      </c>
      <c r="K171" s="426">
        <v>0</v>
      </c>
      <c r="L171" s="426">
        <v>0</v>
      </c>
      <c r="M171" s="426">
        <v>0</v>
      </c>
      <c r="N171" s="426">
        <v>0</v>
      </c>
      <c r="O171" s="426">
        <v>12.897320000000001</v>
      </c>
      <c r="P171" s="426">
        <v>0</v>
      </c>
      <c r="Q171" s="426">
        <v>0</v>
      </c>
      <c r="R171" s="426">
        <v>0</v>
      </c>
      <c r="S171" s="426">
        <v>0</v>
      </c>
      <c r="T171" s="426">
        <v>0</v>
      </c>
      <c r="U171" s="426">
        <f t="shared" si="16"/>
        <v>12.897320000000001</v>
      </c>
    </row>
    <row r="172" spans="1:21" s="426" customFormat="1">
      <c r="A172" s="426" t="str">
        <f t="shared" si="12"/>
        <v>KU</v>
      </c>
      <c r="B172" s="426" t="str">
        <f t="shared" si="11"/>
        <v>KY</v>
      </c>
      <c r="C172" s="426" t="str">
        <f t="shared" si="13"/>
        <v>E</v>
      </c>
      <c r="D172" s="426" t="s">
        <v>2656</v>
      </c>
      <c r="E172" s="426" t="str">
        <f t="shared" si="18"/>
        <v>342</v>
      </c>
      <c r="F172" s="741" t="s">
        <v>1747</v>
      </c>
      <c r="G172" s="425" t="str">
        <f t="shared" si="17"/>
        <v/>
      </c>
      <c r="H172" s="426">
        <v>0</v>
      </c>
      <c r="I172" s="426">
        <v>0</v>
      </c>
      <c r="J172" s="426">
        <v>0</v>
      </c>
      <c r="K172" s="426">
        <v>0</v>
      </c>
      <c r="L172" s="426">
        <v>-6.8640000000000007E-2</v>
      </c>
      <c r="M172" s="426">
        <v>0</v>
      </c>
      <c r="N172" s="426">
        <v>0</v>
      </c>
      <c r="O172" s="426">
        <v>0</v>
      </c>
      <c r="P172" s="426">
        <v>0</v>
      </c>
      <c r="Q172" s="426">
        <v>0</v>
      </c>
      <c r="R172" s="426">
        <v>0</v>
      </c>
      <c r="S172" s="426">
        <v>0</v>
      </c>
      <c r="T172" s="426">
        <v>0</v>
      </c>
      <c r="U172" s="426">
        <f t="shared" si="16"/>
        <v>-6.8640000000000007E-2</v>
      </c>
    </row>
    <row r="173" spans="1:21" s="426" customFormat="1">
      <c r="A173" s="426" t="str">
        <f t="shared" si="12"/>
        <v>KU</v>
      </c>
      <c r="B173" s="426" t="str">
        <f t="shared" si="11"/>
        <v>KY</v>
      </c>
      <c r="C173" s="426" t="str">
        <f t="shared" si="13"/>
        <v>E</v>
      </c>
      <c r="D173" s="426" t="s">
        <v>2656</v>
      </c>
      <c r="E173" s="426" t="str">
        <f t="shared" si="18"/>
        <v>342</v>
      </c>
      <c r="F173" s="741" t="s">
        <v>2187</v>
      </c>
      <c r="G173" s="425" t="str">
        <f t="shared" si="17"/>
        <v/>
      </c>
      <c r="H173" s="426">
        <v>0</v>
      </c>
      <c r="I173" s="426">
        <v>0</v>
      </c>
      <c r="J173" s="426">
        <v>0</v>
      </c>
      <c r="K173" s="426">
        <v>0</v>
      </c>
      <c r="L173" s="426">
        <v>0</v>
      </c>
      <c r="M173" s="426">
        <v>0</v>
      </c>
      <c r="N173" s="426">
        <v>0</v>
      </c>
      <c r="O173" s="426">
        <v>239.87349</v>
      </c>
      <c r="P173" s="426">
        <v>428.82727</v>
      </c>
      <c r="Q173" s="426">
        <v>20364.485840000001</v>
      </c>
      <c r="R173" s="426">
        <v>49.907389999999999</v>
      </c>
      <c r="S173" s="426">
        <v>0</v>
      </c>
      <c r="T173" s="426">
        <v>0</v>
      </c>
      <c r="U173" s="426">
        <f t="shared" si="16"/>
        <v>21083.093990000001</v>
      </c>
    </row>
    <row r="174" spans="1:21" s="426" customFormat="1">
      <c r="A174" s="426" t="str">
        <f t="shared" si="12"/>
        <v>KU</v>
      </c>
      <c r="B174" s="426" t="str">
        <f t="shared" si="11"/>
        <v>KY</v>
      </c>
      <c r="C174" s="426" t="str">
        <f t="shared" si="13"/>
        <v>E</v>
      </c>
      <c r="D174" s="426" t="s">
        <v>2656</v>
      </c>
      <c r="E174" s="426" t="str">
        <f t="shared" si="18"/>
        <v>343</v>
      </c>
      <c r="F174" s="741" t="s">
        <v>1748</v>
      </c>
      <c r="G174" s="425" t="str">
        <f t="shared" si="17"/>
        <v/>
      </c>
      <c r="H174" s="426">
        <v>-185.90978999999999</v>
      </c>
      <c r="I174" s="426">
        <v>2.5638200000000002</v>
      </c>
      <c r="J174" s="426">
        <v>268.51263999999998</v>
      </c>
      <c r="K174" s="426">
        <v>221.77652</v>
      </c>
      <c r="L174" s="426">
        <v>5.5643599999999998</v>
      </c>
      <c r="M174" s="426">
        <v>108.35753</v>
      </c>
      <c r="N174" s="426">
        <v>-211.2576</v>
      </c>
      <c r="O174" s="426">
        <v>113.681</v>
      </c>
      <c r="P174" s="426">
        <v>1097.10601</v>
      </c>
      <c r="Q174" s="426">
        <v>0</v>
      </c>
      <c r="R174" s="426">
        <v>400.79789</v>
      </c>
      <c r="S174" s="426">
        <v>0</v>
      </c>
      <c r="T174" s="426">
        <v>0</v>
      </c>
      <c r="U174" s="426">
        <f t="shared" si="16"/>
        <v>2007.1021699999999</v>
      </c>
    </row>
    <row r="175" spans="1:21" s="426" customFormat="1">
      <c r="A175" s="426" t="str">
        <f t="shared" si="12"/>
        <v>KU</v>
      </c>
      <c r="B175" s="426" t="str">
        <f t="shared" si="11"/>
        <v>KY</v>
      </c>
      <c r="C175" s="426" t="str">
        <f t="shared" si="13"/>
        <v>E</v>
      </c>
      <c r="D175" s="426" t="s">
        <v>2656</v>
      </c>
      <c r="E175" s="426" t="str">
        <f t="shared" si="18"/>
        <v>343</v>
      </c>
      <c r="F175" s="741" t="s">
        <v>2188</v>
      </c>
      <c r="G175" s="425" t="str">
        <f t="shared" si="17"/>
        <v/>
      </c>
      <c r="H175" s="426">
        <v>28.378229999999999</v>
      </c>
      <c r="I175" s="426">
        <v>392.18847</v>
      </c>
      <c r="J175" s="426">
        <v>16592.41519</v>
      </c>
      <c r="K175" s="426">
        <v>327.58609000000001</v>
      </c>
      <c r="L175" s="426">
        <v>-61.749830000000003</v>
      </c>
      <c r="M175" s="426">
        <v>29.841139999999999</v>
      </c>
      <c r="N175" s="426">
        <v>25.255880000000001</v>
      </c>
      <c r="O175" s="426">
        <v>104.22393</v>
      </c>
      <c r="P175" s="426">
        <v>473.06277999999998</v>
      </c>
      <c r="Q175" s="426">
        <v>97.134690000000006</v>
      </c>
      <c r="R175" s="426">
        <v>-6.1113</v>
      </c>
      <c r="S175" s="426">
        <v>0</v>
      </c>
      <c r="T175" s="426">
        <v>0</v>
      </c>
      <c r="U175" s="426">
        <f t="shared" si="16"/>
        <v>17973.847040000001</v>
      </c>
    </row>
    <row r="176" spans="1:21" s="426" customFormat="1">
      <c r="A176" s="426" t="str">
        <f t="shared" si="12"/>
        <v>KU</v>
      </c>
      <c r="B176" s="426" t="str">
        <f t="shared" si="11"/>
        <v>KY</v>
      </c>
      <c r="C176" s="426" t="str">
        <f t="shared" si="13"/>
        <v>E</v>
      </c>
      <c r="D176" s="426" t="s">
        <v>2656</v>
      </c>
      <c r="E176" s="426" t="str">
        <f t="shared" si="18"/>
        <v>344</v>
      </c>
      <c r="F176" s="741" t="s">
        <v>1749</v>
      </c>
      <c r="G176" s="425" t="str">
        <f t="shared" si="17"/>
        <v/>
      </c>
      <c r="H176" s="426">
        <v>0</v>
      </c>
      <c r="I176" s="426">
        <v>0</v>
      </c>
      <c r="J176" s="426">
        <v>0</v>
      </c>
      <c r="K176" s="426">
        <v>0</v>
      </c>
      <c r="L176" s="426">
        <v>0</v>
      </c>
      <c r="M176" s="426">
        <v>0</v>
      </c>
      <c r="N176" s="426">
        <v>212.21259000000001</v>
      </c>
      <c r="O176" s="426">
        <v>0</v>
      </c>
      <c r="P176" s="426">
        <v>0</v>
      </c>
      <c r="Q176" s="426">
        <v>0</v>
      </c>
      <c r="R176" s="426">
        <v>0</v>
      </c>
      <c r="S176" s="426">
        <v>0</v>
      </c>
      <c r="T176" s="426">
        <v>0</v>
      </c>
      <c r="U176" s="426">
        <f t="shared" si="16"/>
        <v>212.21259000000001</v>
      </c>
    </row>
    <row r="177" spans="1:21" s="426" customFormat="1">
      <c r="A177" s="426" t="str">
        <f t="shared" si="12"/>
        <v>KU</v>
      </c>
      <c r="B177" s="426" t="str">
        <f t="shared" si="11"/>
        <v>KY</v>
      </c>
      <c r="C177" s="426" t="str">
        <f t="shared" si="13"/>
        <v>E</v>
      </c>
      <c r="D177" s="426" t="s">
        <v>2656</v>
      </c>
      <c r="E177" s="426" t="str">
        <f t="shared" si="18"/>
        <v>344</v>
      </c>
      <c r="F177" s="741" t="s">
        <v>2189</v>
      </c>
      <c r="G177" s="425" t="str">
        <f t="shared" si="17"/>
        <v/>
      </c>
      <c r="H177" s="426">
        <v>0</v>
      </c>
      <c r="I177" s="426">
        <v>10.61088</v>
      </c>
      <c r="J177" s="426">
        <v>3.2448000000000001</v>
      </c>
      <c r="K177" s="426">
        <v>0</v>
      </c>
      <c r="L177" s="426">
        <v>0.46344000000000002</v>
      </c>
      <c r="M177" s="426">
        <v>0</v>
      </c>
      <c r="N177" s="426">
        <v>0</v>
      </c>
      <c r="O177" s="426">
        <v>0</v>
      </c>
      <c r="P177" s="426">
        <v>0</v>
      </c>
      <c r="Q177" s="426">
        <v>0</v>
      </c>
      <c r="R177" s="426">
        <v>0</v>
      </c>
      <c r="S177" s="426">
        <v>0</v>
      </c>
      <c r="T177" s="426">
        <v>0</v>
      </c>
      <c r="U177" s="426">
        <f t="shared" si="16"/>
        <v>14.31912</v>
      </c>
    </row>
    <row r="178" spans="1:21" s="426" customFormat="1">
      <c r="A178" s="426" t="str">
        <f t="shared" si="12"/>
        <v>KU</v>
      </c>
      <c r="B178" s="426" t="str">
        <f t="shared" si="11"/>
        <v>KY</v>
      </c>
      <c r="C178" s="426" t="str">
        <f t="shared" si="13"/>
        <v>E</v>
      </c>
      <c r="D178" s="426" t="s">
        <v>2656</v>
      </c>
      <c r="E178" s="426" t="str">
        <f t="shared" si="18"/>
        <v>344</v>
      </c>
      <c r="F178" s="741" t="s">
        <v>2190</v>
      </c>
      <c r="G178" s="425" t="str">
        <f t="shared" si="17"/>
        <v/>
      </c>
      <c r="H178" s="426">
        <v>0</v>
      </c>
      <c r="I178" s="426">
        <v>0</v>
      </c>
      <c r="J178" s="426">
        <v>0</v>
      </c>
      <c r="K178" s="426">
        <v>336.31085999999999</v>
      </c>
      <c r="L178" s="426">
        <v>-358.56002000000001</v>
      </c>
      <c r="M178" s="426">
        <v>10.194089999999999</v>
      </c>
      <c r="N178" s="426">
        <v>57.26596</v>
      </c>
      <c r="O178" s="426">
        <v>31.495709999999999</v>
      </c>
      <c r="P178" s="426">
        <v>0</v>
      </c>
      <c r="Q178" s="426">
        <v>0</v>
      </c>
      <c r="R178" s="426">
        <v>0</v>
      </c>
      <c r="S178" s="426">
        <v>0</v>
      </c>
      <c r="T178" s="426">
        <v>0</v>
      </c>
      <c r="U178" s="426">
        <f t="shared" si="16"/>
        <v>76.70659999999998</v>
      </c>
    </row>
    <row r="179" spans="1:21" s="426" customFormat="1">
      <c r="A179" s="426" t="str">
        <f t="shared" si="12"/>
        <v>KU</v>
      </c>
      <c r="B179" s="426" t="str">
        <f t="shared" si="11"/>
        <v>KY</v>
      </c>
      <c r="C179" s="426" t="str">
        <f t="shared" si="13"/>
        <v>E</v>
      </c>
      <c r="D179" s="426" t="s">
        <v>2656</v>
      </c>
      <c r="E179" s="426" t="str">
        <f t="shared" si="18"/>
        <v>344</v>
      </c>
      <c r="F179" s="741" t="s">
        <v>2718</v>
      </c>
      <c r="G179" s="425" t="str">
        <f t="shared" si="17"/>
        <v/>
      </c>
      <c r="H179" s="426">
        <v>262.50376</v>
      </c>
      <c r="I179" s="426">
        <v>36.555279999999897</v>
      </c>
      <c r="J179" s="426">
        <v>0</v>
      </c>
      <c r="K179" s="426">
        <v>-50.986879999999999</v>
      </c>
      <c r="L179" s="426">
        <v>0</v>
      </c>
      <c r="M179" s="426">
        <v>0</v>
      </c>
      <c r="N179" s="426">
        <v>0</v>
      </c>
      <c r="O179" s="426">
        <v>-0.18647</v>
      </c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f t="shared" si="16"/>
        <v>-14.618070000000102</v>
      </c>
    </row>
    <row r="180" spans="1:21" s="426" customFormat="1">
      <c r="A180" s="426" t="str">
        <f t="shared" si="12"/>
        <v>KU</v>
      </c>
      <c r="B180" s="426" t="str">
        <f t="shared" si="11"/>
        <v>KY</v>
      </c>
      <c r="C180" s="426" t="str">
        <f t="shared" si="13"/>
        <v>E</v>
      </c>
      <c r="D180" s="426" t="s">
        <v>2656</v>
      </c>
      <c r="E180" s="426" t="str">
        <f t="shared" si="18"/>
        <v>345</v>
      </c>
      <c r="F180" s="741" t="s">
        <v>1750</v>
      </c>
      <c r="G180" s="425" t="str">
        <f t="shared" si="17"/>
        <v/>
      </c>
      <c r="H180" s="426">
        <v>0</v>
      </c>
      <c r="I180" s="426">
        <v>0</v>
      </c>
      <c r="J180" s="426">
        <v>0</v>
      </c>
      <c r="K180" s="426">
        <v>0</v>
      </c>
      <c r="L180" s="426">
        <v>0</v>
      </c>
      <c r="M180" s="426">
        <v>0</v>
      </c>
      <c r="N180" s="426">
        <v>0</v>
      </c>
      <c r="O180" s="426">
        <v>0</v>
      </c>
      <c r="P180" s="426">
        <v>40</v>
      </c>
      <c r="Q180" s="426">
        <v>503.00625000000002</v>
      </c>
      <c r="R180" s="426">
        <v>44.266459999999903</v>
      </c>
      <c r="S180" s="426">
        <v>0</v>
      </c>
      <c r="T180" s="426">
        <v>0</v>
      </c>
      <c r="U180" s="426">
        <f t="shared" si="16"/>
        <v>587.27270999999996</v>
      </c>
    </row>
    <row r="181" spans="1:21" s="426" customFormat="1">
      <c r="A181" s="426" t="str">
        <f t="shared" si="12"/>
        <v>KU</v>
      </c>
      <c r="B181" s="426" t="str">
        <f t="shared" si="11"/>
        <v>KY</v>
      </c>
      <c r="C181" s="426" t="str">
        <f t="shared" si="13"/>
        <v>E</v>
      </c>
      <c r="D181" s="426" t="s">
        <v>2656</v>
      </c>
      <c r="E181" s="426" t="str">
        <f t="shared" si="18"/>
        <v>345</v>
      </c>
      <c r="F181" s="741" t="s">
        <v>2191</v>
      </c>
      <c r="G181" s="425" t="str">
        <f t="shared" si="17"/>
        <v/>
      </c>
      <c r="H181" s="426">
        <v>0</v>
      </c>
      <c r="I181" s="426">
        <v>0</v>
      </c>
      <c r="J181" s="426">
        <v>0</v>
      </c>
      <c r="K181" s="426">
        <v>0</v>
      </c>
      <c r="L181" s="426">
        <v>177.32307</v>
      </c>
      <c r="M181" s="426">
        <v>8.3099999999999997E-3</v>
      </c>
      <c r="N181" s="426">
        <v>0</v>
      </c>
      <c r="O181" s="426">
        <v>9.3500000000000007E-3</v>
      </c>
      <c r="P181" s="426">
        <v>0</v>
      </c>
      <c r="Q181" s="426">
        <v>0</v>
      </c>
      <c r="R181" s="426">
        <v>0</v>
      </c>
      <c r="S181" s="426">
        <v>0</v>
      </c>
      <c r="T181" s="426">
        <v>0</v>
      </c>
      <c r="U181" s="426">
        <f t="shared" si="16"/>
        <v>177.34073000000001</v>
      </c>
    </row>
    <row r="182" spans="1:21" s="426" customFormat="1">
      <c r="A182" s="426" t="str">
        <f t="shared" si="12"/>
        <v>KU</v>
      </c>
      <c r="B182" s="426" t="str">
        <f t="shared" si="11"/>
        <v>KY</v>
      </c>
      <c r="C182" s="426" t="str">
        <f t="shared" si="13"/>
        <v>E</v>
      </c>
      <c r="D182" s="426" t="s">
        <v>2656</v>
      </c>
      <c r="E182" s="426" t="str">
        <f t="shared" si="18"/>
        <v>345</v>
      </c>
      <c r="F182" s="741" t="s">
        <v>2192</v>
      </c>
      <c r="G182" s="425" t="str">
        <f t="shared" si="17"/>
        <v/>
      </c>
      <c r="H182" s="426">
        <v>91.876310000000004</v>
      </c>
      <c r="I182" s="426">
        <v>12.79435</v>
      </c>
      <c r="J182" s="426">
        <v>0</v>
      </c>
      <c r="K182" s="426">
        <v>50.986879999999999</v>
      </c>
      <c r="L182" s="426">
        <v>329.56803000000002</v>
      </c>
      <c r="M182" s="426">
        <v>0</v>
      </c>
      <c r="N182" s="426">
        <v>0</v>
      </c>
      <c r="O182" s="426">
        <v>0</v>
      </c>
      <c r="P182" s="426">
        <v>0</v>
      </c>
      <c r="Q182" s="426">
        <v>0</v>
      </c>
      <c r="R182" s="426">
        <v>0</v>
      </c>
      <c r="S182" s="426">
        <v>0</v>
      </c>
      <c r="T182" s="426">
        <v>0</v>
      </c>
      <c r="U182" s="426">
        <f t="shared" si="16"/>
        <v>393.34926000000002</v>
      </c>
    </row>
    <row r="183" spans="1:21" s="426" customFormat="1">
      <c r="A183" s="426" t="str">
        <f t="shared" si="12"/>
        <v>KU</v>
      </c>
      <c r="B183" s="426" t="str">
        <f t="shared" si="11"/>
        <v>KY</v>
      </c>
      <c r="C183" s="426" t="str">
        <f t="shared" si="13"/>
        <v>E</v>
      </c>
      <c r="D183" s="426" t="s">
        <v>2656</v>
      </c>
      <c r="E183" s="426" t="str">
        <f t="shared" si="18"/>
        <v>346</v>
      </c>
      <c r="F183" s="741" t="s">
        <v>1751</v>
      </c>
      <c r="G183" s="425" t="str">
        <f t="shared" si="17"/>
        <v/>
      </c>
      <c r="H183" s="426">
        <v>0</v>
      </c>
      <c r="I183" s="426">
        <v>0</v>
      </c>
      <c r="J183" s="426">
        <v>0</v>
      </c>
      <c r="K183" s="426">
        <v>0</v>
      </c>
      <c r="L183" s="426">
        <v>0</v>
      </c>
      <c r="M183" s="426">
        <v>0</v>
      </c>
      <c r="N183" s="426">
        <v>0</v>
      </c>
      <c r="O183" s="426">
        <v>0</v>
      </c>
      <c r="P183" s="426">
        <v>0</v>
      </c>
      <c r="Q183" s="426">
        <v>0</v>
      </c>
      <c r="R183" s="426">
        <v>0</v>
      </c>
      <c r="S183" s="426">
        <v>0</v>
      </c>
      <c r="T183" s="426">
        <v>0</v>
      </c>
      <c r="U183" s="426">
        <f t="shared" si="16"/>
        <v>0</v>
      </c>
    </row>
    <row r="184" spans="1:21" s="426" customFormat="1">
      <c r="A184" s="426" t="str">
        <f t="shared" si="12"/>
        <v>KU</v>
      </c>
      <c r="B184" s="426" t="str">
        <f t="shared" si="11"/>
        <v>KY</v>
      </c>
      <c r="C184" s="426" t="str">
        <f t="shared" si="13"/>
        <v>E</v>
      </c>
      <c r="D184" s="426" t="s">
        <v>2656</v>
      </c>
      <c r="E184" s="426" t="str">
        <f t="shared" si="18"/>
        <v>346</v>
      </c>
      <c r="F184" s="741" t="s">
        <v>2193</v>
      </c>
      <c r="G184" s="425" t="str">
        <f t="shared" si="17"/>
        <v/>
      </c>
      <c r="H184" s="426">
        <v>0</v>
      </c>
      <c r="I184" s="426">
        <v>0</v>
      </c>
      <c r="J184" s="426">
        <v>0</v>
      </c>
      <c r="K184" s="426">
        <v>0</v>
      </c>
      <c r="L184" s="426">
        <v>0</v>
      </c>
      <c r="M184" s="426">
        <v>0</v>
      </c>
      <c r="N184" s="426">
        <v>0</v>
      </c>
      <c r="O184" s="426">
        <v>0</v>
      </c>
      <c r="P184" s="426">
        <v>0</v>
      </c>
      <c r="Q184" s="426">
        <v>0</v>
      </c>
      <c r="R184" s="426">
        <v>0</v>
      </c>
      <c r="S184" s="426">
        <v>0</v>
      </c>
      <c r="T184" s="426">
        <v>0</v>
      </c>
      <c r="U184" s="426">
        <f t="shared" si="16"/>
        <v>0</v>
      </c>
    </row>
    <row r="185" spans="1:21" s="426" customFormat="1">
      <c r="A185" s="426" t="str">
        <f t="shared" si="12"/>
        <v>KU</v>
      </c>
      <c r="B185" s="426" t="str">
        <f t="shared" si="11"/>
        <v>KY</v>
      </c>
      <c r="C185" s="426" t="str">
        <f t="shared" si="13"/>
        <v>E</v>
      </c>
      <c r="D185" s="426" t="s">
        <v>2656</v>
      </c>
      <c r="E185" s="426" t="str">
        <f t="shared" si="18"/>
        <v>346</v>
      </c>
      <c r="F185" s="741" t="s">
        <v>2194</v>
      </c>
      <c r="G185" s="425" t="str">
        <f t="shared" si="17"/>
        <v/>
      </c>
      <c r="H185" s="426">
        <v>0</v>
      </c>
      <c r="I185" s="426">
        <v>0</v>
      </c>
      <c r="J185" s="426">
        <v>0</v>
      </c>
      <c r="K185" s="426">
        <v>0</v>
      </c>
      <c r="L185" s="426">
        <v>30.34085</v>
      </c>
      <c r="M185" s="426">
        <v>0</v>
      </c>
      <c r="N185" s="426">
        <v>0</v>
      </c>
      <c r="O185" s="426">
        <v>0</v>
      </c>
      <c r="P185" s="426">
        <v>0</v>
      </c>
      <c r="Q185" s="426">
        <v>0</v>
      </c>
      <c r="R185" s="426">
        <v>100.28185000000001</v>
      </c>
      <c r="S185" s="426">
        <v>0</v>
      </c>
      <c r="T185" s="426">
        <v>0</v>
      </c>
      <c r="U185" s="426">
        <f t="shared" si="16"/>
        <v>130.62270000000001</v>
      </c>
    </row>
    <row r="186" spans="1:21" s="426" customFormat="1">
      <c r="A186" s="426" t="str">
        <f t="shared" si="12"/>
        <v>KU</v>
      </c>
      <c r="B186" s="426" t="str">
        <f t="shared" si="11"/>
        <v>KY</v>
      </c>
      <c r="C186" s="426" t="str">
        <f t="shared" si="13"/>
        <v>E</v>
      </c>
      <c r="D186" s="426" t="s">
        <v>2656</v>
      </c>
      <c r="E186" s="426" t="str">
        <f t="shared" si="18"/>
        <v>350</v>
      </c>
      <c r="F186" s="741" t="s">
        <v>1752</v>
      </c>
      <c r="G186" s="425" t="str">
        <f t="shared" si="17"/>
        <v/>
      </c>
      <c r="H186" s="426">
        <v>0</v>
      </c>
      <c r="I186" s="426">
        <v>0</v>
      </c>
      <c r="J186" s="426">
        <v>0</v>
      </c>
      <c r="K186" s="426">
        <v>0</v>
      </c>
      <c r="L186" s="426">
        <v>0</v>
      </c>
      <c r="M186" s="426">
        <v>0</v>
      </c>
      <c r="N186" s="426">
        <v>0</v>
      </c>
      <c r="O186" s="426">
        <v>429.66332999999997</v>
      </c>
      <c r="P186" s="426">
        <v>482.15553</v>
      </c>
      <c r="Q186" s="426">
        <v>0</v>
      </c>
      <c r="R186" s="426">
        <v>0</v>
      </c>
      <c r="S186" s="426">
        <v>0</v>
      </c>
      <c r="T186" s="426">
        <v>0</v>
      </c>
      <c r="U186" s="426">
        <f t="shared" si="16"/>
        <v>911.81885999999997</v>
      </c>
    </row>
    <row r="187" spans="1:21" s="426" customFormat="1">
      <c r="A187" s="426" t="str">
        <f t="shared" si="12"/>
        <v>KU</v>
      </c>
      <c r="B187" s="426" t="str">
        <f t="shared" si="11"/>
        <v>VA</v>
      </c>
      <c r="C187" s="426" t="str">
        <f t="shared" si="13"/>
        <v>E</v>
      </c>
      <c r="D187" s="426" t="s">
        <v>2656</v>
      </c>
      <c r="E187" s="426" t="str">
        <f t="shared" si="18"/>
        <v>350</v>
      </c>
      <c r="F187" s="741" t="s">
        <v>1754</v>
      </c>
      <c r="G187" s="425" t="str">
        <f t="shared" si="17"/>
        <v/>
      </c>
      <c r="H187" s="426">
        <v>0</v>
      </c>
      <c r="I187" s="426">
        <v>0</v>
      </c>
      <c r="J187" s="426">
        <v>0</v>
      </c>
      <c r="K187" s="426">
        <v>0</v>
      </c>
      <c r="L187" s="426">
        <v>0</v>
      </c>
      <c r="M187" s="426">
        <v>0</v>
      </c>
      <c r="N187" s="426">
        <v>0</v>
      </c>
      <c r="O187" s="426">
        <v>7.8051300000000001</v>
      </c>
      <c r="P187" s="426">
        <v>0</v>
      </c>
      <c r="Q187" s="426">
        <v>0</v>
      </c>
      <c r="R187" s="426">
        <v>241.00344000000001</v>
      </c>
      <c r="S187" s="426">
        <v>0</v>
      </c>
      <c r="T187" s="426">
        <v>0</v>
      </c>
      <c r="U187" s="426">
        <f t="shared" si="16"/>
        <v>248.80857</v>
      </c>
    </row>
    <row r="188" spans="1:21" s="426" customFormat="1">
      <c r="A188" s="426" t="str">
        <f t="shared" si="12"/>
        <v>KU</v>
      </c>
      <c r="B188" s="426" t="str">
        <f t="shared" si="11"/>
        <v>KY</v>
      </c>
      <c r="C188" s="426" t="str">
        <f t="shared" si="13"/>
        <v>E</v>
      </c>
      <c r="D188" s="426" t="s">
        <v>2656</v>
      </c>
      <c r="E188" s="426" t="str">
        <f t="shared" si="18"/>
        <v>352</v>
      </c>
      <c r="F188" s="741" t="s">
        <v>1755</v>
      </c>
      <c r="G188" s="425" t="str">
        <f t="shared" si="17"/>
        <v/>
      </c>
      <c r="H188" s="426">
        <v>0</v>
      </c>
      <c r="I188" s="426">
        <v>0</v>
      </c>
      <c r="J188" s="426">
        <v>0</v>
      </c>
      <c r="K188" s="426">
        <v>0</v>
      </c>
      <c r="L188" s="426">
        <v>0</v>
      </c>
      <c r="M188" s="426">
        <v>0</v>
      </c>
      <c r="N188" s="426">
        <v>0</v>
      </c>
      <c r="O188" s="426">
        <v>7.4770099999999999</v>
      </c>
      <c r="P188" s="426">
        <v>0</v>
      </c>
      <c r="Q188" s="426">
        <v>0</v>
      </c>
      <c r="R188" s="426">
        <v>0</v>
      </c>
      <c r="S188" s="426">
        <v>0</v>
      </c>
      <c r="T188" s="426">
        <v>0</v>
      </c>
      <c r="U188" s="426">
        <f t="shared" si="16"/>
        <v>7.4770099999999999</v>
      </c>
    </row>
    <row r="189" spans="1:21" s="426" customFormat="1">
      <c r="A189" s="426" t="str">
        <f t="shared" si="12"/>
        <v>KU</v>
      </c>
      <c r="B189" s="426" t="str">
        <f t="shared" si="11"/>
        <v>KY</v>
      </c>
      <c r="C189" s="426" t="str">
        <f t="shared" si="13"/>
        <v>E</v>
      </c>
      <c r="D189" s="426" t="s">
        <v>2656</v>
      </c>
      <c r="E189" s="426" t="str">
        <f t="shared" si="18"/>
        <v>352</v>
      </c>
      <c r="F189" s="741" t="s">
        <v>1756</v>
      </c>
      <c r="G189" s="425" t="str">
        <f t="shared" si="17"/>
        <v/>
      </c>
      <c r="H189" s="426">
        <v>224.00620000000001</v>
      </c>
      <c r="I189" s="426">
        <v>-149.15576999999999</v>
      </c>
      <c r="J189" s="426">
        <v>-137.46234000000001</v>
      </c>
      <c r="K189" s="426">
        <v>0</v>
      </c>
      <c r="L189" s="426">
        <v>-14.738939999999999</v>
      </c>
      <c r="M189" s="426">
        <v>0</v>
      </c>
      <c r="N189" s="426">
        <v>0</v>
      </c>
      <c r="O189" s="426">
        <v>15.89744</v>
      </c>
      <c r="P189" s="426">
        <v>0</v>
      </c>
      <c r="Q189" s="426">
        <v>0</v>
      </c>
      <c r="R189" s="426">
        <v>0</v>
      </c>
      <c r="S189" s="426">
        <v>0</v>
      </c>
      <c r="T189" s="426">
        <v>0</v>
      </c>
      <c r="U189" s="426">
        <f t="shared" si="16"/>
        <v>-285.45961</v>
      </c>
    </row>
    <row r="190" spans="1:21" s="426" customFormat="1">
      <c r="A190" s="426" t="str">
        <f t="shared" si="12"/>
        <v>KU</v>
      </c>
      <c r="B190" s="426" t="str">
        <f t="shared" si="11"/>
        <v>VA</v>
      </c>
      <c r="C190" s="426" t="str">
        <f t="shared" si="13"/>
        <v>E</v>
      </c>
      <c r="D190" s="426" t="s">
        <v>2656</v>
      </c>
      <c r="E190" s="426" t="str">
        <f t="shared" si="18"/>
        <v>352</v>
      </c>
      <c r="F190" s="741" t="s">
        <v>1757</v>
      </c>
      <c r="G190" s="425" t="str">
        <f t="shared" si="17"/>
        <v/>
      </c>
      <c r="H190" s="426">
        <v>0</v>
      </c>
      <c r="I190" s="426">
        <v>0</v>
      </c>
      <c r="J190" s="426">
        <v>0</v>
      </c>
      <c r="K190" s="426">
        <v>57.600259999999999</v>
      </c>
      <c r="L190" s="426">
        <v>0</v>
      </c>
      <c r="M190" s="426">
        <v>0</v>
      </c>
      <c r="N190" s="426">
        <v>0</v>
      </c>
      <c r="O190" s="426">
        <v>0</v>
      </c>
      <c r="P190" s="426">
        <v>0</v>
      </c>
      <c r="Q190" s="426">
        <v>0</v>
      </c>
      <c r="R190" s="426">
        <v>0</v>
      </c>
      <c r="S190" s="426">
        <v>0</v>
      </c>
      <c r="T190" s="426">
        <v>0</v>
      </c>
      <c r="U190" s="426">
        <f t="shared" si="16"/>
        <v>57.600259999999999</v>
      </c>
    </row>
    <row r="191" spans="1:21" s="426" customFormat="1">
      <c r="A191" s="426" t="str">
        <f t="shared" si="12"/>
        <v>KU</v>
      </c>
      <c r="B191" s="426" t="str">
        <f t="shared" si="11"/>
        <v>KY</v>
      </c>
      <c r="C191" s="426" t="str">
        <f t="shared" si="13"/>
        <v>E</v>
      </c>
      <c r="D191" s="426" t="s">
        <v>2656</v>
      </c>
      <c r="E191" s="426" t="str">
        <f t="shared" si="18"/>
        <v>353</v>
      </c>
      <c r="F191" s="741" t="s">
        <v>1758</v>
      </c>
      <c r="G191" s="425" t="str">
        <f t="shared" si="17"/>
        <v/>
      </c>
      <c r="H191" s="426">
        <v>-61.267569999999999</v>
      </c>
      <c r="I191" s="426">
        <v>322.88812000000001</v>
      </c>
      <c r="J191" s="426">
        <v>228.94086999999999</v>
      </c>
      <c r="K191" s="426">
        <v>-8.3941599999999994</v>
      </c>
      <c r="L191" s="426">
        <v>1745.7754399999999</v>
      </c>
      <c r="M191" s="426">
        <v>1399.21362</v>
      </c>
      <c r="N191" s="426">
        <v>5733.5693300000003</v>
      </c>
      <c r="O191" s="426">
        <v>213.55520000000001</v>
      </c>
      <c r="P191" s="426">
        <v>1476.2223300000001</v>
      </c>
      <c r="Q191" s="426">
        <v>3280.8504800000001</v>
      </c>
      <c r="R191" s="426">
        <v>5351.1880199999896</v>
      </c>
      <c r="S191" s="426">
        <v>243.32237000000001</v>
      </c>
      <c r="T191" s="426">
        <v>3208.3269399999999</v>
      </c>
      <c r="U191" s="426">
        <f t="shared" si="16"/>
        <v>23195.458559999992</v>
      </c>
    </row>
    <row r="192" spans="1:21" s="426" customFormat="1">
      <c r="A192" s="426" t="str">
        <f t="shared" si="12"/>
        <v>KU</v>
      </c>
      <c r="B192" s="426" t="str">
        <f t="shared" si="11"/>
        <v>KY</v>
      </c>
      <c r="C192" s="426" t="str">
        <f t="shared" si="13"/>
        <v>E</v>
      </c>
      <c r="D192" s="426" t="s">
        <v>2656</v>
      </c>
      <c r="E192" s="426" t="str">
        <f t="shared" si="18"/>
        <v>353</v>
      </c>
      <c r="F192" s="741" t="s">
        <v>1759</v>
      </c>
      <c r="G192" s="425" t="str">
        <f t="shared" si="17"/>
        <v/>
      </c>
      <c r="H192" s="426">
        <v>0</v>
      </c>
      <c r="I192" s="426">
        <v>0</v>
      </c>
      <c r="J192" s="426">
        <v>0</v>
      </c>
      <c r="K192" s="426">
        <v>0</v>
      </c>
      <c r="L192" s="426">
        <v>0</v>
      </c>
      <c r="M192" s="426">
        <v>0</v>
      </c>
      <c r="N192" s="426">
        <v>0</v>
      </c>
      <c r="O192" s="426">
        <v>0</v>
      </c>
      <c r="P192" s="426">
        <v>0.64288000000000001</v>
      </c>
      <c r="Q192" s="426">
        <v>5.5330000000000004</v>
      </c>
      <c r="R192" s="426">
        <v>68.861999999999995</v>
      </c>
      <c r="S192" s="426">
        <v>0</v>
      </c>
      <c r="T192" s="426">
        <v>0</v>
      </c>
      <c r="U192" s="426">
        <f t="shared" si="16"/>
        <v>75.037880000000001</v>
      </c>
    </row>
    <row r="193" spans="1:21" s="426" customFormat="1">
      <c r="A193" s="426" t="str">
        <f t="shared" si="12"/>
        <v>KU</v>
      </c>
      <c r="B193" s="426" t="str">
        <f t="shared" si="11"/>
        <v>VA</v>
      </c>
      <c r="C193" s="426" t="str">
        <f t="shared" si="13"/>
        <v>E</v>
      </c>
      <c r="D193" s="426" t="s">
        <v>2656</v>
      </c>
      <c r="E193" s="426" t="str">
        <f t="shared" si="18"/>
        <v>353</v>
      </c>
      <c r="F193" s="741" t="s">
        <v>1760</v>
      </c>
      <c r="G193" s="425" t="str">
        <f t="shared" si="17"/>
        <v/>
      </c>
      <c r="H193" s="426">
        <v>0</v>
      </c>
      <c r="I193" s="426">
        <v>0</v>
      </c>
      <c r="J193" s="426">
        <v>0</v>
      </c>
      <c r="K193" s="426">
        <v>60.718629999999997</v>
      </c>
      <c r="L193" s="426">
        <v>0</v>
      </c>
      <c r="M193" s="426">
        <v>0</v>
      </c>
      <c r="N193" s="426">
        <v>0</v>
      </c>
      <c r="O193" s="426">
        <v>0</v>
      </c>
      <c r="P193" s="426">
        <v>0</v>
      </c>
      <c r="Q193" s="426">
        <v>0</v>
      </c>
      <c r="R193" s="426">
        <v>5020.5019299999904</v>
      </c>
      <c r="S193" s="426">
        <v>0</v>
      </c>
      <c r="T193" s="426">
        <v>1531.1605999999999</v>
      </c>
      <c r="U193" s="426">
        <f t="shared" si="16"/>
        <v>6612.3811599999908</v>
      </c>
    </row>
    <row r="194" spans="1:21" s="426" customFormat="1">
      <c r="A194" s="426" t="str">
        <f t="shared" si="12"/>
        <v>KU</v>
      </c>
      <c r="B194" s="426" t="str">
        <f t="shared" si="11"/>
        <v>KY</v>
      </c>
      <c r="C194" s="426" t="str">
        <f t="shared" si="13"/>
        <v>E</v>
      </c>
      <c r="D194" s="426" t="s">
        <v>2656</v>
      </c>
      <c r="E194" s="426" t="str">
        <f t="shared" si="18"/>
        <v>355</v>
      </c>
      <c r="F194" s="741" t="s">
        <v>1763</v>
      </c>
      <c r="G194" s="425" t="str">
        <f t="shared" si="17"/>
        <v/>
      </c>
      <c r="H194" s="426">
        <v>470.95451000000003</v>
      </c>
      <c r="I194" s="426">
        <v>1655.1779799999999</v>
      </c>
      <c r="J194" s="426">
        <v>8610.2845399999896</v>
      </c>
      <c r="K194" s="426">
        <v>5896.1130400000002</v>
      </c>
      <c r="L194" s="426">
        <v>963.39737000000002</v>
      </c>
      <c r="M194" s="426">
        <v>11581.521500000001</v>
      </c>
      <c r="N194" s="426">
        <v>8555.7526400000006</v>
      </c>
      <c r="O194" s="426">
        <v>10425.8243699999</v>
      </c>
      <c r="P194" s="426">
        <v>25167.107639999998</v>
      </c>
      <c r="Q194" s="426">
        <v>3925.2865400000001</v>
      </c>
      <c r="R194" s="426">
        <v>15357.56839</v>
      </c>
      <c r="S194" s="426">
        <v>384.828609999999</v>
      </c>
      <c r="T194" s="426">
        <v>1754.6426300000001</v>
      </c>
      <c r="U194" s="426">
        <f t="shared" si="16"/>
        <v>94277.505249999886</v>
      </c>
    </row>
    <row r="195" spans="1:21" s="426" customFormat="1">
      <c r="A195" s="426" t="str">
        <f t="shared" si="12"/>
        <v>KU</v>
      </c>
      <c r="B195" s="426" t="str">
        <f t="shared" si="11"/>
        <v>VA</v>
      </c>
      <c r="C195" s="426" t="str">
        <f t="shared" si="13"/>
        <v>E</v>
      </c>
      <c r="D195" s="426" t="s">
        <v>2656</v>
      </c>
      <c r="E195" s="426" t="str">
        <f t="shared" si="18"/>
        <v>355</v>
      </c>
      <c r="F195" s="741" t="s">
        <v>1765</v>
      </c>
      <c r="G195" s="425" t="str">
        <f t="shared" si="17"/>
        <v/>
      </c>
      <c r="H195" s="426">
        <v>45.663129999999903</v>
      </c>
      <c r="I195" s="426">
        <v>1008.80216</v>
      </c>
      <c r="J195" s="426">
        <v>93.199119999999994</v>
      </c>
      <c r="K195" s="426">
        <v>687.56010000000003</v>
      </c>
      <c r="L195" s="426">
        <v>5.7245299999999997</v>
      </c>
      <c r="M195" s="426">
        <v>986.02661999999998</v>
      </c>
      <c r="N195" s="426">
        <v>1052.2718600000001</v>
      </c>
      <c r="O195" s="426">
        <v>-426.59021000000001</v>
      </c>
      <c r="P195" s="426">
        <v>0</v>
      </c>
      <c r="Q195" s="426">
        <v>867.67316000000005</v>
      </c>
      <c r="R195" s="426">
        <v>1144.9668999999999</v>
      </c>
      <c r="S195" s="426">
        <v>268.73489999999998</v>
      </c>
      <c r="T195" s="426">
        <v>0</v>
      </c>
      <c r="U195" s="426">
        <f t="shared" si="16"/>
        <v>5688.3691399999998</v>
      </c>
    </row>
    <row r="196" spans="1:21" s="426" customFormat="1">
      <c r="A196" s="426" t="str">
        <f t="shared" si="12"/>
        <v>KU</v>
      </c>
      <c r="B196" s="426" t="str">
        <f t="shared" si="11"/>
        <v>KY</v>
      </c>
      <c r="C196" s="426" t="str">
        <f t="shared" si="13"/>
        <v>E</v>
      </c>
      <c r="D196" s="426" t="s">
        <v>2656</v>
      </c>
      <c r="E196" s="426" t="str">
        <f t="shared" si="18"/>
        <v>356</v>
      </c>
      <c r="F196" s="741" t="s">
        <v>1766</v>
      </c>
      <c r="G196" s="425" t="str">
        <f t="shared" si="17"/>
        <v/>
      </c>
      <c r="H196" s="426">
        <v>354.99603999999999</v>
      </c>
      <c r="I196" s="426">
        <v>904.20798000000002</v>
      </c>
      <c r="J196" s="426">
        <v>11063.12521</v>
      </c>
      <c r="K196" s="426">
        <v>802.11577</v>
      </c>
      <c r="L196" s="426">
        <v>202.24361999999999</v>
      </c>
      <c r="M196" s="426">
        <v>6344.0326100000002</v>
      </c>
      <c r="N196" s="426">
        <v>4827.7884699999904</v>
      </c>
      <c r="O196" s="426">
        <v>564.44716000000005</v>
      </c>
      <c r="P196" s="426">
        <v>1423.75306</v>
      </c>
      <c r="Q196" s="426">
        <v>0</v>
      </c>
      <c r="R196" s="426">
        <v>0</v>
      </c>
      <c r="S196" s="426">
        <v>59.126579999999997</v>
      </c>
      <c r="T196" s="426">
        <v>59.126620000000003</v>
      </c>
      <c r="U196" s="426">
        <f t="shared" si="16"/>
        <v>26249.967079999988</v>
      </c>
    </row>
    <row r="197" spans="1:21" s="426" customFormat="1">
      <c r="A197" s="426" t="str">
        <f t="shared" si="12"/>
        <v>KU</v>
      </c>
      <c r="B197" s="426" t="str">
        <f t="shared" si="11"/>
        <v>VA</v>
      </c>
      <c r="C197" s="426" t="str">
        <f t="shared" si="13"/>
        <v>E</v>
      </c>
      <c r="D197" s="426" t="s">
        <v>2656</v>
      </c>
      <c r="E197" s="426" t="str">
        <f t="shared" si="18"/>
        <v>356</v>
      </c>
      <c r="F197" s="741" t="s">
        <v>1768</v>
      </c>
      <c r="G197" s="425" t="str">
        <f t="shared" si="17"/>
        <v/>
      </c>
      <c r="H197" s="426">
        <v>-50.082210000000003</v>
      </c>
      <c r="I197" s="426">
        <v>104.56756</v>
      </c>
      <c r="J197" s="426">
        <v>9.6594300000000004</v>
      </c>
      <c r="K197" s="426">
        <v>93.747709999999998</v>
      </c>
      <c r="L197" s="426">
        <v>0.59331</v>
      </c>
      <c r="M197" s="426">
        <v>114.19207</v>
      </c>
      <c r="N197" s="426">
        <v>34.857509999999998</v>
      </c>
      <c r="O197" s="426">
        <v>0</v>
      </c>
      <c r="P197" s="426">
        <v>0</v>
      </c>
      <c r="Q197" s="426">
        <v>0</v>
      </c>
      <c r="R197" s="426">
        <v>0</v>
      </c>
      <c r="S197" s="426">
        <v>0</v>
      </c>
      <c r="T197" s="426">
        <v>0</v>
      </c>
      <c r="U197" s="426">
        <f t="shared" si="16"/>
        <v>357.61759000000001</v>
      </c>
    </row>
    <row r="198" spans="1:21" s="426" customFormat="1">
      <c r="A198" s="426" t="str">
        <f t="shared" si="12"/>
        <v>KU</v>
      </c>
      <c r="B198" s="426" t="str">
        <f t="shared" si="11"/>
        <v>KY</v>
      </c>
      <c r="C198" s="426" t="str">
        <f t="shared" si="13"/>
        <v>E</v>
      </c>
      <c r="D198" s="426" t="s">
        <v>2656</v>
      </c>
      <c r="E198" s="426" t="str">
        <f t="shared" si="18"/>
        <v>357</v>
      </c>
      <c r="F198" s="741" t="s">
        <v>1769</v>
      </c>
      <c r="G198" s="425" t="str">
        <f t="shared" si="17"/>
        <v/>
      </c>
      <c r="H198" s="426">
        <v>1.5597700000000001</v>
      </c>
      <c r="I198" s="426">
        <v>9.0440000000000006E-2</v>
      </c>
      <c r="J198" s="426">
        <v>0</v>
      </c>
      <c r="K198" s="426">
        <v>0</v>
      </c>
      <c r="L198" s="426">
        <v>0</v>
      </c>
      <c r="M198" s="426">
        <v>0</v>
      </c>
      <c r="N198" s="426">
        <v>0</v>
      </c>
      <c r="O198" s="426">
        <v>0</v>
      </c>
      <c r="P198" s="426">
        <v>0</v>
      </c>
      <c r="Q198" s="426">
        <v>0</v>
      </c>
      <c r="R198" s="426">
        <v>0</v>
      </c>
      <c r="S198" s="426">
        <v>0</v>
      </c>
      <c r="T198" s="426">
        <v>0</v>
      </c>
      <c r="U198" s="426">
        <f t="shared" si="16"/>
        <v>9.0440000000000006E-2</v>
      </c>
    </row>
    <row r="199" spans="1:21" s="426" customFormat="1">
      <c r="A199" s="426" t="str">
        <f t="shared" si="12"/>
        <v>KU</v>
      </c>
      <c r="B199" s="426" t="str">
        <f t="shared" ref="B199:B262" si="19">IF(MID($F199,12,2)="- ","KY",IF(MID($F199,12,2)="SY","KY",MID($F199,12,2)))</f>
        <v>KY</v>
      </c>
      <c r="C199" s="426" t="str">
        <f t="shared" si="13"/>
        <v>E</v>
      </c>
      <c r="D199" s="426" t="s">
        <v>2656</v>
      </c>
      <c r="E199" s="426" t="str">
        <f t="shared" si="18"/>
        <v>358</v>
      </c>
      <c r="F199" s="741" t="s">
        <v>1770</v>
      </c>
      <c r="G199" s="425" t="str">
        <f t="shared" si="17"/>
        <v/>
      </c>
      <c r="H199" s="426">
        <v>3.1620000000000002E-2</v>
      </c>
      <c r="I199" s="426">
        <v>7.2510000000000005E-2</v>
      </c>
      <c r="J199" s="426">
        <v>2.3E-2</v>
      </c>
      <c r="K199" s="426">
        <v>-9.6600000000000002E-3</v>
      </c>
      <c r="L199" s="426">
        <v>-42.783110000000001</v>
      </c>
      <c r="M199" s="426">
        <v>4.691E-2</v>
      </c>
      <c r="N199" s="426">
        <v>0</v>
      </c>
      <c r="O199" s="426">
        <v>0</v>
      </c>
      <c r="P199" s="426">
        <v>0</v>
      </c>
      <c r="Q199" s="426">
        <v>0</v>
      </c>
      <c r="R199" s="426">
        <v>0</v>
      </c>
      <c r="S199" s="426">
        <v>0</v>
      </c>
      <c r="T199" s="426">
        <v>0</v>
      </c>
      <c r="U199" s="426">
        <f t="shared" si="16"/>
        <v>-42.650350000000003</v>
      </c>
    </row>
    <row r="200" spans="1:21" s="426" customFormat="1">
      <c r="A200" s="426" t="str">
        <f t="shared" si="12"/>
        <v>KU</v>
      </c>
      <c r="B200" s="426" t="str">
        <f t="shared" si="19"/>
        <v>KY</v>
      </c>
      <c r="C200" s="426" t="str">
        <f t="shared" si="13"/>
        <v>E</v>
      </c>
      <c r="D200" s="426" t="s">
        <v>2656</v>
      </c>
      <c r="E200" s="426" t="str">
        <f t="shared" si="18"/>
        <v>360</v>
      </c>
      <c r="F200" s="741" t="s">
        <v>1773</v>
      </c>
      <c r="G200" s="425" t="str">
        <f t="shared" si="17"/>
        <v/>
      </c>
      <c r="H200" s="426">
        <v>-166.20973000000001</v>
      </c>
      <c r="I200" s="426">
        <v>0</v>
      </c>
      <c r="J200" s="426">
        <v>0</v>
      </c>
      <c r="K200" s="426">
        <v>0</v>
      </c>
      <c r="L200" s="426">
        <v>85.229709999999997</v>
      </c>
      <c r="M200" s="426">
        <v>0</v>
      </c>
      <c r="N200" s="426">
        <v>0</v>
      </c>
      <c r="O200" s="426">
        <v>245.44336999999999</v>
      </c>
      <c r="P200" s="426">
        <v>0</v>
      </c>
      <c r="Q200" s="426">
        <v>0</v>
      </c>
      <c r="R200" s="426">
        <v>4.7050000000000001</v>
      </c>
      <c r="S200" s="426">
        <v>0</v>
      </c>
      <c r="T200" s="426">
        <v>0</v>
      </c>
      <c r="U200" s="426">
        <f t="shared" si="16"/>
        <v>335.37807999999995</v>
      </c>
    </row>
    <row r="201" spans="1:21" s="426" customFormat="1">
      <c r="A201" s="426" t="str">
        <f t="shared" si="12"/>
        <v>KU</v>
      </c>
      <c r="B201" s="426" t="str">
        <f t="shared" si="19"/>
        <v>KY</v>
      </c>
      <c r="C201" s="426" t="str">
        <f t="shared" si="13"/>
        <v>E</v>
      </c>
      <c r="D201" s="426" t="s">
        <v>2656</v>
      </c>
      <c r="E201" s="426" t="str">
        <f t="shared" si="18"/>
        <v>361</v>
      </c>
      <c r="F201" s="741" t="s">
        <v>1776</v>
      </c>
      <c r="G201" s="425" t="str">
        <f t="shared" si="17"/>
        <v/>
      </c>
      <c r="H201" s="426">
        <v>346.30248</v>
      </c>
      <c r="I201" s="426">
        <v>0</v>
      </c>
      <c r="J201" s="426">
        <v>0</v>
      </c>
      <c r="K201" s="426">
        <v>555.30020000000002</v>
      </c>
      <c r="L201" s="426">
        <v>-45.72296</v>
      </c>
      <c r="M201" s="426">
        <v>0</v>
      </c>
      <c r="N201" s="426">
        <v>-0.86177999999999999</v>
      </c>
      <c r="O201" s="426">
        <v>1301.7059899999999</v>
      </c>
      <c r="P201" s="426">
        <v>1308.49882</v>
      </c>
      <c r="Q201" s="426">
        <v>737.87298999999996</v>
      </c>
      <c r="R201" s="426">
        <v>-25.814240000000002</v>
      </c>
      <c r="S201" s="426">
        <v>456.04836</v>
      </c>
      <c r="T201" s="426">
        <v>444.78636</v>
      </c>
      <c r="U201" s="426">
        <f t="shared" si="16"/>
        <v>4731.8137399999996</v>
      </c>
    </row>
    <row r="202" spans="1:21" s="426" customFormat="1">
      <c r="A202" s="426" t="str">
        <f t="shared" ref="A202:A265" si="20">MID($F202,4,2)</f>
        <v>KU</v>
      </c>
      <c r="B202" s="426" t="str">
        <f t="shared" si="19"/>
        <v>VA</v>
      </c>
      <c r="C202" s="426" t="str">
        <f t="shared" si="13"/>
        <v>E</v>
      </c>
      <c r="D202" s="426" t="s">
        <v>2656</v>
      </c>
      <c r="E202" s="426" t="str">
        <f t="shared" si="18"/>
        <v>361</v>
      </c>
      <c r="F202" s="741" t="s">
        <v>1778</v>
      </c>
      <c r="G202" s="425" t="str">
        <f t="shared" si="17"/>
        <v/>
      </c>
      <c r="H202" s="426">
        <v>0</v>
      </c>
      <c r="I202" s="426">
        <v>0</v>
      </c>
      <c r="J202" s="426">
        <v>0</v>
      </c>
      <c r="K202" s="426">
        <v>0</v>
      </c>
      <c r="L202" s="426">
        <v>0</v>
      </c>
      <c r="M202" s="426">
        <v>0</v>
      </c>
      <c r="N202" s="426">
        <v>0</v>
      </c>
      <c r="O202" s="426">
        <v>0</v>
      </c>
      <c r="P202" s="426">
        <v>0</v>
      </c>
      <c r="Q202" s="426">
        <v>0</v>
      </c>
      <c r="R202" s="426">
        <v>-9.0890000000000004</v>
      </c>
      <c r="S202" s="426">
        <v>0</v>
      </c>
      <c r="T202" s="426">
        <v>0</v>
      </c>
      <c r="U202" s="426">
        <f t="shared" si="16"/>
        <v>-9.0890000000000004</v>
      </c>
    </row>
    <row r="203" spans="1:21" s="426" customFormat="1">
      <c r="A203" s="426" t="str">
        <f t="shared" si="20"/>
        <v>KU</v>
      </c>
      <c r="B203" s="426" t="str">
        <f t="shared" si="19"/>
        <v>KY</v>
      </c>
      <c r="C203" s="426" t="str">
        <f t="shared" ref="C203:C266" si="21">IF(ISTEXT(MID($F203,SEARCH("FUTURE USE",$F203),3)),"F",IF(MID($F203,7,1)="1","E",IF(MID($F203,7,1)="2","G",IF(MID($F203,7,1)="3","C",""))))</f>
        <v>E</v>
      </c>
      <c r="D203" s="426" t="s">
        <v>2656</v>
      </c>
      <c r="E203" s="426" t="str">
        <f t="shared" si="18"/>
        <v>362</v>
      </c>
      <c r="F203" s="741" t="s">
        <v>1779</v>
      </c>
      <c r="G203" s="425" t="str">
        <f t="shared" si="17"/>
        <v/>
      </c>
      <c r="H203" s="426">
        <v>3263.2152099999998</v>
      </c>
      <c r="I203" s="426">
        <v>3458.2589899999998</v>
      </c>
      <c r="J203" s="426">
        <v>2583.3989999999999</v>
      </c>
      <c r="K203" s="426">
        <v>1403.5971</v>
      </c>
      <c r="L203" s="426">
        <v>186.94122999999999</v>
      </c>
      <c r="M203" s="426">
        <v>1226.905</v>
      </c>
      <c r="N203" s="426">
        <v>2793.4520200000002</v>
      </c>
      <c r="O203" s="426">
        <v>528.14876000000004</v>
      </c>
      <c r="P203" s="426">
        <v>1204.73639</v>
      </c>
      <c r="Q203" s="426">
        <v>6582.2332100000003</v>
      </c>
      <c r="R203" s="426">
        <v>15790.308279999999</v>
      </c>
      <c r="S203" s="426">
        <v>334.97385999999898</v>
      </c>
      <c r="T203" s="426">
        <v>365.51685999999899</v>
      </c>
      <c r="U203" s="426">
        <f t="shared" si="16"/>
        <v>36458.470699999991</v>
      </c>
    </row>
    <row r="204" spans="1:21" s="426" customFormat="1">
      <c r="A204" s="426" t="str">
        <f t="shared" si="20"/>
        <v>KU</v>
      </c>
      <c r="B204" s="426" t="str">
        <f t="shared" si="19"/>
        <v>VA</v>
      </c>
      <c r="C204" s="426" t="str">
        <f t="shared" si="21"/>
        <v>E</v>
      </c>
      <c r="D204" s="426" t="s">
        <v>2656</v>
      </c>
      <c r="E204" s="426" t="str">
        <f t="shared" si="18"/>
        <v>362</v>
      </c>
      <c r="F204" s="741" t="s">
        <v>1781</v>
      </c>
      <c r="G204" s="425" t="str">
        <f t="shared" si="17"/>
        <v/>
      </c>
      <c r="H204" s="426">
        <v>0</v>
      </c>
      <c r="I204" s="426">
        <v>0</v>
      </c>
      <c r="J204" s="426">
        <v>0</v>
      </c>
      <c r="K204" s="426">
        <v>364.26951000000003</v>
      </c>
      <c r="L204" s="426">
        <v>37.535919999999997</v>
      </c>
      <c r="M204" s="426">
        <v>5.0944099999999999</v>
      </c>
      <c r="N204" s="426">
        <v>8.8206900000000008</v>
      </c>
      <c r="O204" s="426">
        <v>-5.2146999999999997</v>
      </c>
      <c r="P204" s="426">
        <v>0</v>
      </c>
      <c r="Q204" s="426">
        <v>0</v>
      </c>
      <c r="R204" s="426">
        <v>38.4114</v>
      </c>
      <c r="S204" s="426">
        <v>0</v>
      </c>
      <c r="T204" s="426">
        <v>0</v>
      </c>
      <c r="U204" s="426">
        <f t="shared" si="16"/>
        <v>448.91723000000002</v>
      </c>
    </row>
    <row r="205" spans="1:21" s="426" customFormat="1">
      <c r="A205" s="426" t="str">
        <f t="shared" si="20"/>
        <v>KU</v>
      </c>
      <c r="B205" s="426" t="str">
        <f t="shared" si="19"/>
        <v>KY</v>
      </c>
      <c r="C205" s="426" t="str">
        <f t="shared" si="21"/>
        <v>E</v>
      </c>
      <c r="D205" s="426" t="s">
        <v>2656</v>
      </c>
      <c r="E205" s="426" t="str">
        <f t="shared" si="18"/>
        <v>364</v>
      </c>
      <c r="F205" s="741" t="s">
        <v>1782</v>
      </c>
      <c r="G205" s="425" t="str">
        <f t="shared" si="17"/>
        <v/>
      </c>
      <c r="H205" s="426">
        <v>1717.8243299999999</v>
      </c>
      <c r="I205" s="426">
        <v>-1013.41728</v>
      </c>
      <c r="J205" s="426">
        <v>5551.5817299999999</v>
      </c>
      <c r="K205" s="426">
        <v>1680.6836499999999</v>
      </c>
      <c r="L205" s="426">
        <v>646.78709000000003</v>
      </c>
      <c r="M205" s="426">
        <v>3205.0459700000001</v>
      </c>
      <c r="N205" s="426">
        <v>1819.03217</v>
      </c>
      <c r="O205" s="426">
        <v>1556.2858900000001</v>
      </c>
      <c r="P205" s="426">
        <v>1250.24812</v>
      </c>
      <c r="Q205" s="426">
        <v>373.24743999999998</v>
      </c>
      <c r="R205" s="426">
        <v>6571.4567399999996</v>
      </c>
      <c r="S205" s="426">
        <v>1440.6753100000001</v>
      </c>
      <c r="T205" s="426">
        <v>1454.62554999999</v>
      </c>
      <c r="U205" s="426">
        <f t="shared" si="16"/>
        <v>24536.252379999991</v>
      </c>
    </row>
    <row r="206" spans="1:21" s="426" customFormat="1">
      <c r="A206" s="426" t="str">
        <f t="shared" si="20"/>
        <v>KU</v>
      </c>
      <c r="B206" s="426" t="str">
        <f t="shared" si="19"/>
        <v>VA</v>
      </c>
      <c r="C206" s="426" t="str">
        <f t="shared" si="21"/>
        <v>E</v>
      </c>
      <c r="D206" s="426" t="s">
        <v>2656</v>
      </c>
      <c r="E206" s="426" t="str">
        <f t="shared" si="18"/>
        <v>364</v>
      </c>
      <c r="F206" s="741" t="s">
        <v>1784</v>
      </c>
      <c r="G206" s="425" t="str">
        <f t="shared" si="17"/>
        <v/>
      </c>
      <c r="H206" s="426">
        <v>38.745469999999997</v>
      </c>
      <c r="I206" s="426">
        <v>31.831289999999999</v>
      </c>
      <c r="J206" s="426">
        <v>-609.40057999999999</v>
      </c>
      <c r="K206" s="426">
        <v>110.01956</v>
      </c>
      <c r="L206" s="426">
        <v>-0.97062000000000004</v>
      </c>
      <c r="M206" s="426">
        <v>68.174399999999906</v>
      </c>
      <c r="N206" s="426">
        <v>27.96846</v>
      </c>
      <c r="O206" s="426">
        <v>73.265019999999893</v>
      </c>
      <c r="P206" s="426">
        <v>113.51563</v>
      </c>
      <c r="Q206" s="426">
        <v>73.563280000000006</v>
      </c>
      <c r="R206" s="426">
        <v>749.44624999999996</v>
      </c>
      <c r="S206" s="426">
        <v>28.078189999999999</v>
      </c>
      <c r="T206" s="426">
        <v>23.721920000000001</v>
      </c>
      <c r="U206" s="426">
        <f t="shared" si="16"/>
        <v>689.21279999999956</v>
      </c>
    </row>
    <row r="207" spans="1:21" s="426" customFormat="1">
      <c r="A207" s="426" t="str">
        <f t="shared" si="20"/>
        <v>KU</v>
      </c>
      <c r="B207" s="426" t="str">
        <f t="shared" si="19"/>
        <v>KY</v>
      </c>
      <c r="C207" s="426" t="str">
        <f t="shared" si="21"/>
        <v>E</v>
      </c>
      <c r="D207" s="426" t="s">
        <v>2656</v>
      </c>
      <c r="E207" s="426" t="str">
        <f t="shared" si="18"/>
        <v>365</v>
      </c>
      <c r="F207" s="741" t="s">
        <v>1785</v>
      </c>
      <c r="G207" s="425" t="str">
        <f t="shared" si="17"/>
        <v/>
      </c>
      <c r="H207" s="426">
        <v>2600.2707700000001</v>
      </c>
      <c r="I207" s="426">
        <v>-560.02228000000002</v>
      </c>
      <c r="J207" s="426">
        <v>5655.91885</v>
      </c>
      <c r="K207" s="426">
        <v>3415.6579999999999</v>
      </c>
      <c r="L207" s="426">
        <v>1055.40201</v>
      </c>
      <c r="M207" s="426">
        <v>3638.8986599999998</v>
      </c>
      <c r="N207" s="426">
        <v>2186.0483100000001</v>
      </c>
      <c r="O207" s="426">
        <v>11050.570739999999</v>
      </c>
      <c r="P207" s="426">
        <v>2097.1364199999898</v>
      </c>
      <c r="Q207" s="426">
        <v>3799.0126099999902</v>
      </c>
      <c r="R207" s="426">
        <v>7251.3759200000004</v>
      </c>
      <c r="S207" s="426">
        <v>2287.4189299999998</v>
      </c>
      <c r="T207" s="426">
        <v>2045.20252999999</v>
      </c>
      <c r="U207" s="426">
        <f t="shared" si="16"/>
        <v>43922.620699999963</v>
      </c>
    </row>
    <row r="208" spans="1:21" s="426" customFormat="1">
      <c r="A208" s="426" t="str">
        <f t="shared" si="20"/>
        <v>KU</v>
      </c>
      <c r="B208" s="426" t="str">
        <f t="shared" si="19"/>
        <v>VA</v>
      </c>
      <c r="C208" s="426" t="str">
        <f t="shared" si="21"/>
        <v>E</v>
      </c>
      <c r="D208" s="426" t="s">
        <v>2656</v>
      </c>
      <c r="E208" s="426" t="str">
        <f t="shared" si="18"/>
        <v>365</v>
      </c>
      <c r="F208" s="741" t="s">
        <v>1787</v>
      </c>
      <c r="G208" s="425" t="str">
        <f t="shared" si="17"/>
        <v/>
      </c>
      <c r="H208" s="426">
        <v>16.269089999999998</v>
      </c>
      <c r="I208" s="426">
        <v>126.14429</v>
      </c>
      <c r="J208" s="426">
        <v>-154.97108</v>
      </c>
      <c r="K208" s="426">
        <v>107.88916</v>
      </c>
      <c r="L208" s="426">
        <v>-1.6605099999999999</v>
      </c>
      <c r="M208" s="426">
        <v>69.949259999999995</v>
      </c>
      <c r="N208" s="426">
        <v>76.78098</v>
      </c>
      <c r="O208" s="426">
        <v>442.21674000000002</v>
      </c>
      <c r="P208" s="426">
        <v>156.66584</v>
      </c>
      <c r="Q208" s="426">
        <v>182.67355999999899</v>
      </c>
      <c r="R208" s="426">
        <v>357.69758000000002</v>
      </c>
      <c r="S208" s="426">
        <v>98.881509999999906</v>
      </c>
      <c r="T208" s="426">
        <v>107.35123</v>
      </c>
      <c r="U208" s="426">
        <f t="shared" si="16"/>
        <v>1569.618559999999</v>
      </c>
    </row>
    <row r="209" spans="1:21" s="426" customFormat="1">
      <c r="A209" s="426" t="str">
        <f t="shared" si="20"/>
        <v>KU</v>
      </c>
      <c r="B209" s="426" t="str">
        <f t="shared" si="19"/>
        <v>KY</v>
      </c>
      <c r="C209" s="426" t="str">
        <f t="shared" si="21"/>
        <v>E</v>
      </c>
      <c r="D209" s="426" t="s">
        <v>2656</v>
      </c>
      <c r="E209" s="426" t="str">
        <f t="shared" si="18"/>
        <v>366</v>
      </c>
      <c r="F209" s="741" t="s">
        <v>1788</v>
      </c>
      <c r="G209" s="425" t="str">
        <f t="shared" si="17"/>
        <v/>
      </c>
      <c r="H209" s="426">
        <v>0.45433000000000001</v>
      </c>
      <c r="I209" s="426">
        <v>0</v>
      </c>
      <c r="J209" s="426">
        <v>3.8850000000000003E-2</v>
      </c>
      <c r="K209" s="426">
        <v>0.10539999999999999</v>
      </c>
      <c r="L209" s="426">
        <v>0</v>
      </c>
      <c r="M209" s="426">
        <v>5.4219999999999997E-2</v>
      </c>
      <c r="N209" s="426">
        <v>3.4459999999999998E-2</v>
      </c>
      <c r="O209" s="426">
        <v>0</v>
      </c>
      <c r="P209" s="426">
        <v>0</v>
      </c>
      <c r="Q209" s="426">
        <v>0</v>
      </c>
      <c r="R209" s="426">
        <v>0</v>
      </c>
      <c r="S209" s="426">
        <v>0</v>
      </c>
      <c r="T209" s="426">
        <v>0</v>
      </c>
      <c r="U209" s="426">
        <f t="shared" si="16"/>
        <v>0.23292999999999997</v>
      </c>
    </row>
    <row r="210" spans="1:21" s="426" customFormat="1">
      <c r="A210" s="426" t="str">
        <f t="shared" si="20"/>
        <v>KU</v>
      </c>
      <c r="B210" s="426" t="str">
        <f t="shared" si="19"/>
        <v>KY</v>
      </c>
      <c r="C210" s="426" t="str">
        <f t="shared" si="21"/>
        <v>E</v>
      </c>
      <c r="D210" s="426" t="s">
        <v>2656</v>
      </c>
      <c r="E210" s="426" t="str">
        <f t="shared" si="18"/>
        <v>367</v>
      </c>
      <c r="F210" s="741" t="s">
        <v>1789</v>
      </c>
      <c r="G210" s="425" t="str">
        <f t="shared" si="17"/>
        <v/>
      </c>
      <c r="H210" s="426">
        <v>439.09176000000002</v>
      </c>
      <c r="I210" s="426">
        <v>-946.83139000000006</v>
      </c>
      <c r="J210" s="426">
        <v>2229.4133499999998</v>
      </c>
      <c r="K210" s="426">
        <v>1293.4943499999999</v>
      </c>
      <c r="L210" s="426">
        <v>201.45748</v>
      </c>
      <c r="M210" s="426">
        <v>2568.7831700000002</v>
      </c>
      <c r="N210" s="426">
        <v>1261.8951399999901</v>
      </c>
      <c r="O210" s="426">
        <v>3359.1754999999898</v>
      </c>
      <c r="P210" s="426">
        <v>1589.1995999999999</v>
      </c>
      <c r="Q210" s="426">
        <v>1378.45353999999</v>
      </c>
      <c r="R210" s="426">
        <v>1581.2544700000001</v>
      </c>
      <c r="S210" s="426">
        <v>1607.54502</v>
      </c>
      <c r="T210" s="426">
        <v>1584.38183</v>
      </c>
      <c r="U210" s="426">
        <f t="shared" si="16"/>
        <v>17708.222059999967</v>
      </c>
    </row>
    <row r="211" spans="1:21" s="426" customFormat="1">
      <c r="A211" s="426" t="str">
        <f t="shared" si="20"/>
        <v>KU</v>
      </c>
      <c r="B211" s="426" t="str">
        <f t="shared" si="19"/>
        <v>VA</v>
      </c>
      <c r="C211" s="426" t="str">
        <f t="shared" si="21"/>
        <v>E</v>
      </c>
      <c r="D211" s="426" t="s">
        <v>2656</v>
      </c>
      <c r="E211" s="426" t="str">
        <f t="shared" si="18"/>
        <v>367</v>
      </c>
      <c r="F211" s="741" t="s">
        <v>1790</v>
      </c>
      <c r="G211" s="425" t="str">
        <f t="shared" si="17"/>
        <v/>
      </c>
      <c r="H211" s="426">
        <v>8.0687499999999996</v>
      </c>
      <c r="I211" s="426">
        <v>1.8315600000000001</v>
      </c>
      <c r="J211" s="426">
        <v>20.032599999999999</v>
      </c>
      <c r="K211" s="426">
        <v>32.208750000000002</v>
      </c>
      <c r="L211" s="426">
        <v>7.7394100000000003</v>
      </c>
      <c r="M211" s="426">
        <v>11.01111</v>
      </c>
      <c r="N211" s="426">
        <v>5.1498900000000001</v>
      </c>
      <c r="O211" s="426">
        <v>35.326569999999997</v>
      </c>
      <c r="P211" s="426">
        <v>53.3583</v>
      </c>
      <c r="Q211" s="426">
        <v>71.371519999999904</v>
      </c>
      <c r="R211" s="426">
        <v>74.126989999999907</v>
      </c>
      <c r="S211" s="426">
        <v>37.187519999999999</v>
      </c>
      <c r="T211" s="426">
        <v>38.95382</v>
      </c>
      <c r="U211" s="426">
        <f t="shared" si="16"/>
        <v>388.29803999999984</v>
      </c>
    </row>
    <row r="212" spans="1:21" s="426" customFormat="1">
      <c r="A212" s="426" t="str">
        <f t="shared" si="20"/>
        <v>KU</v>
      </c>
      <c r="B212" s="426" t="str">
        <f t="shared" si="19"/>
        <v>KY</v>
      </c>
      <c r="C212" s="426" t="str">
        <f t="shared" si="21"/>
        <v>E</v>
      </c>
      <c r="D212" s="426" t="s">
        <v>2656</v>
      </c>
      <c r="E212" s="426" t="str">
        <f t="shared" si="18"/>
        <v>368</v>
      </c>
      <c r="F212" s="741" t="s">
        <v>1791</v>
      </c>
      <c r="G212" s="425" t="str">
        <f t="shared" si="17"/>
        <v/>
      </c>
      <c r="H212" s="426">
        <v>722.06871999999998</v>
      </c>
      <c r="I212" s="426">
        <v>3.6256900000000001</v>
      </c>
      <c r="J212" s="426">
        <v>1357.6989599999999</v>
      </c>
      <c r="K212" s="426">
        <v>945.37352999999996</v>
      </c>
      <c r="L212" s="426">
        <v>0</v>
      </c>
      <c r="M212" s="426">
        <v>1984.3257100000001</v>
      </c>
      <c r="N212" s="426">
        <v>593.95205999999996</v>
      </c>
      <c r="O212" s="426">
        <v>575.44226000000003</v>
      </c>
      <c r="P212" s="426">
        <v>333.96366999999998</v>
      </c>
      <c r="Q212" s="426">
        <v>273.78469999999999</v>
      </c>
      <c r="R212" s="426">
        <v>292.15802000000002</v>
      </c>
      <c r="S212" s="426">
        <v>412.00191999999998</v>
      </c>
      <c r="T212" s="426">
        <v>601.107159999999</v>
      </c>
      <c r="U212" s="426">
        <f t="shared" ref="U212:U276" si="22">SUM(I212:T212)</f>
        <v>7373.4336799999983</v>
      </c>
    </row>
    <row r="213" spans="1:21" s="426" customFormat="1">
      <c r="A213" s="426" t="str">
        <f t="shared" si="20"/>
        <v>KU</v>
      </c>
      <c r="B213" s="426" t="str">
        <f t="shared" si="19"/>
        <v>VA</v>
      </c>
      <c r="C213" s="426" t="str">
        <f t="shared" si="21"/>
        <v>E</v>
      </c>
      <c r="D213" s="426" t="s">
        <v>2656</v>
      </c>
      <c r="E213" s="426" t="str">
        <f t="shared" si="18"/>
        <v>368</v>
      </c>
      <c r="F213" s="741" t="s">
        <v>1793</v>
      </c>
      <c r="G213" s="425" t="str">
        <f t="shared" si="17"/>
        <v/>
      </c>
      <c r="H213" s="426">
        <v>-0.60636999999999996</v>
      </c>
      <c r="I213" s="426">
        <v>0</v>
      </c>
      <c r="J213" s="426">
        <v>2.7900299999999998</v>
      </c>
      <c r="K213" s="426">
        <v>0.61738000000000004</v>
      </c>
      <c r="L213" s="426">
        <v>0</v>
      </c>
      <c r="M213" s="426">
        <v>0</v>
      </c>
      <c r="N213" s="426">
        <v>0.1537</v>
      </c>
      <c r="O213" s="426">
        <v>6.9497400000000003</v>
      </c>
      <c r="P213" s="426">
        <v>5.8022499999999999</v>
      </c>
      <c r="Q213" s="426">
        <v>0</v>
      </c>
      <c r="R213" s="426">
        <v>-2.8180000000000001</v>
      </c>
      <c r="S213" s="426">
        <v>0</v>
      </c>
      <c r="T213" s="426">
        <v>0</v>
      </c>
      <c r="U213" s="426">
        <f t="shared" si="22"/>
        <v>13.495099999999999</v>
      </c>
    </row>
    <row r="214" spans="1:21" s="426" customFormat="1">
      <c r="A214" s="426" t="str">
        <f t="shared" si="20"/>
        <v>KU</v>
      </c>
      <c r="B214" s="426" t="str">
        <f t="shared" si="19"/>
        <v>KY</v>
      </c>
      <c r="C214" s="426" t="str">
        <f t="shared" si="21"/>
        <v>E</v>
      </c>
      <c r="D214" s="426" t="s">
        <v>2656</v>
      </c>
      <c r="E214" s="426" t="str">
        <f t="shared" si="18"/>
        <v>369</v>
      </c>
      <c r="F214" s="741" t="s">
        <v>1794</v>
      </c>
      <c r="G214" s="425" t="str">
        <f t="shared" si="17"/>
        <v/>
      </c>
      <c r="H214" s="426">
        <v>28.22898</v>
      </c>
      <c r="I214" s="426">
        <v>0</v>
      </c>
      <c r="J214" s="426">
        <v>3.58039</v>
      </c>
      <c r="K214" s="426">
        <v>2.55003</v>
      </c>
      <c r="L214" s="426">
        <v>0</v>
      </c>
      <c r="M214" s="426">
        <v>2.5642800000000001</v>
      </c>
      <c r="N214" s="426">
        <v>7.4302000000000001</v>
      </c>
      <c r="O214" s="426">
        <v>0</v>
      </c>
      <c r="P214" s="426">
        <v>0</v>
      </c>
      <c r="Q214" s="426">
        <v>0</v>
      </c>
      <c r="R214" s="426">
        <v>0</v>
      </c>
      <c r="S214" s="426">
        <v>0</v>
      </c>
      <c r="T214" s="426">
        <v>0</v>
      </c>
      <c r="U214" s="426">
        <f t="shared" si="22"/>
        <v>16.1249</v>
      </c>
    </row>
    <row r="215" spans="1:21" s="426" customFormat="1">
      <c r="A215" s="426" t="str">
        <f t="shared" si="20"/>
        <v>KU</v>
      </c>
      <c r="B215" s="426" t="str">
        <f t="shared" si="19"/>
        <v>KY</v>
      </c>
      <c r="C215" s="426" t="str">
        <f t="shared" si="21"/>
        <v>E</v>
      </c>
      <c r="D215" s="426" t="s">
        <v>2656</v>
      </c>
      <c r="E215" s="426" t="str">
        <f t="shared" si="18"/>
        <v>370</v>
      </c>
      <c r="F215" s="741" t="s">
        <v>1797</v>
      </c>
      <c r="G215" s="425" t="str">
        <f t="shared" si="17"/>
        <v/>
      </c>
      <c r="H215" s="426">
        <v>107.880929999999</v>
      </c>
      <c r="I215" s="426">
        <v>0</v>
      </c>
      <c r="J215" s="426">
        <v>107.67505</v>
      </c>
      <c r="K215" s="426">
        <v>77.896519999999995</v>
      </c>
      <c r="L215" s="426">
        <v>0</v>
      </c>
      <c r="M215" s="426">
        <v>332.62389999999999</v>
      </c>
      <c r="N215" s="426">
        <v>92.035420000000002</v>
      </c>
      <c r="O215" s="426">
        <v>111.71287</v>
      </c>
      <c r="P215" s="426">
        <v>1059.8251600000001</v>
      </c>
      <c r="Q215" s="426">
        <v>74</v>
      </c>
      <c r="R215" s="426">
        <v>13</v>
      </c>
      <c r="S215" s="426">
        <v>59.04177</v>
      </c>
      <c r="T215" s="426">
        <v>210.06278</v>
      </c>
      <c r="U215" s="426">
        <f t="shared" si="22"/>
        <v>2137.87347</v>
      </c>
    </row>
    <row r="216" spans="1:21" s="426" customFormat="1">
      <c r="A216" s="426" t="str">
        <f t="shared" si="20"/>
        <v>KU</v>
      </c>
      <c r="B216" s="426" t="str">
        <f t="shared" si="19"/>
        <v>KY</v>
      </c>
      <c r="C216" s="426" t="str">
        <f t="shared" si="21"/>
        <v>E</v>
      </c>
      <c r="D216" s="426" t="s">
        <v>2656</v>
      </c>
      <c r="E216" s="426" t="str">
        <f t="shared" si="18"/>
        <v>370</v>
      </c>
      <c r="F216" s="741" t="s">
        <v>2399</v>
      </c>
      <c r="G216" s="425" t="str">
        <f t="shared" si="17"/>
        <v>DSM</v>
      </c>
      <c r="H216" s="426">
        <v>9.2105300000000003</v>
      </c>
      <c r="I216" s="426">
        <v>0.83687</v>
      </c>
      <c r="J216" s="426">
        <v>2.1675200000000001</v>
      </c>
      <c r="K216" s="426">
        <v>1.22349</v>
      </c>
      <c r="L216" s="426">
        <v>4.2338100000000001</v>
      </c>
      <c r="M216" s="426">
        <v>0.76337999999999995</v>
      </c>
      <c r="N216" s="426">
        <v>73.802319999999995</v>
      </c>
      <c r="O216" s="426">
        <v>0</v>
      </c>
      <c r="P216" s="426">
        <v>0</v>
      </c>
      <c r="Q216" s="426">
        <v>0</v>
      </c>
      <c r="R216" s="426">
        <v>0</v>
      </c>
      <c r="S216" s="426">
        <v>0</v>
      </c>
      <c r="T216" s="426">
        <v>0</v>
      </c>
      <c r="U216" s="426">
        <f t="shared" si="22"/>
        <v>83.027389999999997</v>
      </c>
    </row>
    <row r="217" spans="1:21" s="426" customFormat="1">
      <c r="A217" s="426" t="str">
        <f t="shared" si="20"/>
        <v>KU</v>
      </c>
      <c r="B217" s="426" t="str">
        <f t="shared" si="19"/>
        <v>VA</v>
      </c>
      <c r="C217" s="426" t="str">
        <f t="shared" si="21"/>
        <v>E</v>
      </c>
      <c r="D217" s="426" t="s">
        <v>2656</v>
      </c>
      <c r="E217" s="426" t="str">
        <f t="shared" si="18"/>
        <v>370</v>
      </c>
      <c r="F217" s="741" t="s">
        <v>1799</v>
      </c>
      <c r="G217" s="425" t="str">
        <f t="shared" si="17"/>
        <v/>
      </c>
      <c r="H217" s="426">
        <v>53.940419999999897</v>
      </c>
      <c r="I217" s="426">
        <v>0</v>
      </c>
      <c r="J217" s="426">
        <v>53.837490000000003</v>
      </c>
      <c r="K217" s="426">
        <v>38.948219999999999</v>
      </c>
      <c r="L217" s="426">
        <v>0</v>
      </c>
      <c r="M217" s="426">
        <v>166.31182999999999</v>
      </c>
      <c r="N217" s="426">
        <v>46.017670000000003</v>
      </c>
      <c r="O217" s="426">
        <v>0</v>
      </c>
      <c r="P217" s="426">
        <v>0</v>
      </c>
      <c r="Q217" s="426">
        <v>0</v>
      </c>
      <c r="R217" s="426">
        <v>0</v>
      </c>
      <c r="S217" s="426">
        <v>0</v>
      </c>
      <c r="T217" s="426">
        <v>0</v>
      </c>
      <c r="U217" s="426">
        <f t="shared" si="22"/>
        <v>305.11520999999999</v>
      </c>
    </row>
    <row r="218" spans="1:21" s="426" customFormat="1">
      <c r="A218" s="426" t="str">
        <f t="shared" si="20"/>
        <v>KU</v>
      </c>
      <c r="B218" s="426" t="str">
        <f t="shared" si="19"/>
        <v>KY</v>
      </c>
      <c r="C218" s="426" t="str">
        <f t="shared" si="21"/>
        <v>E</v>
      </c>
      <c r="D218" s="426" t="s">
        <v>2656</v>
      </c>
      <c r="E218" s="426" t="str">
        <f t="shared" si="18"/>
        <v>373</v>
      </c>
      <c r="F218" s="741" t="s">
        <v>1801</v>
      </c>
      <c r="G218" s="425" t="str">
        <f t="shared" si="17"/>
        <v/>
      </c>
      <c r="H218" s="426">
        <v>1750.93074</v>
      </c>
      <c r="I218" s="426">
        <v>3346.98405</v>
      </c>
      <c r="J218" s="426">
        <v>1554.36905</v>
      </c>
      <c r="K218" s="426">
        <v>569.18399999999997</v>
      </c>
      <c r="L218" s="426">
        <v>150.74348999999901</v>
      </c>
      <c r="M218" s="426">
        <v>1317.97649</v>
      </c>
      <c r="N218" s="426">
        <v>551.34307000000001</v>
      </c>
      <c r="O218" s="426">
        <v>579.26877999999897</v>
      </c>
      <c r="P218" s="426">
        <v>801.27728000000002</v>
      </c>
      <c r="Q218" s="426">
        <v>708.58993999999996</v>
      </c>
      <c r="R218" s="426">
        <v>962.37267999999995</v>
      </c>
      <c r="S218" s="426">
        <v>776.00347999999997</v>
      </c>
      <c r="T218" s="426">
        <v>776.489319999999</v>
      </c>
      <c r="U218" s="426">
        <f t="shared" si="22"/>
        <v>12094.601629999997</v>
      </c>
    </row>
    <row r="219" spans="1:21" s="426" customFormat="1">
      <c r="A219" s="426" t="str">
        <f t="shared" si="20"/>
        <v>KU</v>
      </c>
      <c r="B219" s="426" t="str">
        <f t="shared" si="19"/>
        <v>VA</v>
      </c>
      <c r="C219" s="426" t="str">
        <f t="shared" si="21"/>
        <v>E</v>
      </c>
      <c r="D219" s="426" t="s">
        <v>2656</v>
      </c>
      <c r="E219" s="426" t="str">
        <f t="shared" si="18"/>
        <v>373</v>
      </c>
      <c r="F219" s="741" t="s">
        <v>1802</v>
      </c>
      <c r="G219" s="425" t="str">
        <f t="shared" si="17"/>
        <v/>
      </c>
      <c r="H219" s="426">
        <v>9.7212499999999995</v>
      </c>
      <c r="I219" s="426">
        <v>2.4034200000000001</v>
      </c>
      <c r="J219" s="426">
        <v>10.72034</v>
      </c>
      <c r="K219" s="426">
        <v>18.876819999999999</v>
      </c>
      <c r="L219" s="426">
        <v>0</v>
      </c>
      <c r="M219" s="426">
        <v>20.102219999999999</v>
      </c>
      <c r="N219" s="426">
        <v>18.026799999999898</v>
      </c>
      <c r="O219" s="426">
        <v>13.63195</v>
      </c>
      <c r="P219" s="426">
        <v>20.325199999999999</v>
      </c>
      <c r="Q219" s="426">
        <v>26.284410000000001</v>
      </c>
      <c r="R219" s="426">
        <v>26.761469999999999</v>
      </c>
      <c r="S219" s="426">
        <v>18.91864</v>
      </c>
      <c r="T219" s="426">
        <v>14.103819999999899</v>
      </c>
      <c r="U219" s="426">
        <f t="shared" si="22"/>
        <v>190.1550899999998</v>
      </c>
    </row>
    <row r="220" spans="1:21" s="426" customFormat="1">
      <c r="A220" s="426" t="str">
        <f t="shared" si="20"/>
        <v>KU</v>
      </c>
      <c r="B220" s="426" t="str">
        <f t="shared" si="19"/>
        <v>KY</v>
      </c>
      <c r="C220" s="426" t="str">
        <f t="shared" si="21"/>
        <v>E</v>
      </c>
      <c r="D220" s="426" t="s">
        <v>2656</v>
      </c>
      <c r="E220" s="426" t="str">
        <f t="shared" si="18"/>
        <v>389</v>
      </c>
      <c r="F220" s="741" t="s">
        <v>1804</v>
      </c>
      <c r="G220" s="425" t="str">
        <f t="shared" si="17"/>
        <v/>
      </c>
      <c r="H220" s="426">
        <v>0</v>
      </c>
      <c r="I220" s="426">
        <v>0</v>
      </c>
      <c r="J220" s="426">
        <v>0</v>
      </c>
      <c r="K220" s="426">
        <v>0</v>
      </c>
      <c r="L220" s="426">
        <v>0</v>
      </c>
      <c r="M220" s="426">
        <v>0</v>
      </c>
      <c r="N220" s="426">
        <v>0</v>
      </c>
      <c r="O220" s="426">
        <v>2.7220200000000001</v>
      </c>
      <c r="P220" s="426">
        <v>0</v>
      </c>
      <c r="Q220" s="426">
        <v>0</v>
      </c>
      <c r="R220" s="426">
        <v>0</v>
      </c>
      <c r="S220" s="426">
        <v>0</v>
      </c>
      <c r="T220" s="426">
        <v>0</v>
      </c>
      <c r="U220" s="426">
        <f t="shared" si="22"/>
        <v>2.7220200000000001</v>
      </c>
    </row>
    <row r="221" spans="1:21" s="426" customFormat="1">
      <c r="A221" s="426" t="str">
        <f t="shared" si="20"/>
        <v>KU</v>
      </c>
      <c r="B221" s="426" t="str">
        <f t="shared" si="19"/>
        <v>VA</v>
      </c>
      <c r="C221" s="426" t="str">
        <f t="shared" si="21"/>
        <v>E</v>
      </c>
      <c r="D221" s="426" t="s">
        <v>2656</v>
      </c>
      <c r="E221" s="426" t="str">
        <f t="shared" si="18"/>
        <v>389</v>
      </c>
      <c r="F221" s="741" t="s">
        <v>1805</v>
      </c>
      <c r="G221" s="425" t="str">
        <f t="shared" si="17"/>
        <v/>
      </c>
      <c r="H221" s="426">
        <v>0</v>
      </c>
      <c r="I221" s="426">
        <v>0</v>
      </c>
      <c r="J221" s="426">
        <v>0</v>
      </c>
      <c r="K221" s="426">
        <v>0</v>
      </c>
      <c r="L221" s="426">
        <v>6.6290899999999997</v>
      </c>
      <c r="M221" s="426">
        <v>0</v>
      </c>
      <c r="N221" s="426">
        <v>0</v>
      </c>
      <c r="O221" s="426">
        <v>0</v>
      </c>
      <c r="P221" s="426">
        <v>0</v>
      </c>
      <c r="Q221" s="426">
        <v>0</v>
      </c>
      <c r="R221" s="426">
        <v>0</v>
      </c>
      <c r="S221" s="426">
        <v>0</v>
      </c>
      <c r="T221" s="426">
        <v>0</v>
      </c>
      <c r="U221" s="426">
        <f t="shared" si="22"/>
        <v>6.6290899999999997</v>
      </c>
    </row>
    <row r="222" spans="1:21" s="426" customFormat="1">
      <c r="A222" s="426" t="str">
        <f t="shared" si="20"/>
        <v>KU</v>
      </c>
      <c r="B222" s="426" t="str">
        <f t="shared" si="19"/>
        <v>KY</v>
      </c>
      <c r="C222" s="426" t="str">
        <f t="shared" si="21"/>
        <v>E</v>
      </c>
      <c r="D222" s="426" t="s">
        <v>2656</v>
      </c>
      <c r="E222" s="426" t="str">
        <f t="shared" si="18"/>
        <v>390</v>
      </c>
      <c r="F222" s="741" t="s">
        <v>1807</v>
      </c>
      <c r="G222" s="425" t="str">
        <f t="shared" ref="G222:G290" si="23">IF(ISTEXT(MID($F222,SEARCH("FUTURE USE",$F222),3)),"FUTURE USE",IF(ISTEXT(MID($F222,SEARCH("ECR",$F222),3)),"ECR",IF(ISTEXT(MID($F222,SEARCH("ARO",$F222),3)),"ARO",IF(ISTEXT(MID($F222,SEARCH("DSM",$F222),3)),"DSM",""))))</f>
        <v/>
      </c>
      <c r="H222" s="426">
        <v>101.52306</v>
      </c>
      <c r="I222" s="426">
        <v>53.770409999999998</v>
      </c>
      <c r="J222" s="426">
        <v>610.62995999999998</v>
      </c>
      <c r="K222" s="426">
        <v>1252.3251399999999</v>
      </c>
      <c r="L222" s="426">
        <v>299.34188999999998</v>
      </c>
      <c r="M222" s="426">
        <v>104.98851999999999</v>
      </c>
      <c r="N222" s="426">
        <v>-42.883459999999999</v>
      </c>
      <c r="O222" s="426">
        <v>4786.2084299999997</v>
      </c>
      <c r="P222" s="426">
        <v>3705.9149000000002</v>
      </c>
      <c r="Q222" s="426">
        <v>2585.2645200000002</v>
      </c>
      <c r="R222" s="426">
        <v>6302.4253399999998</v>
      </c>
      <c r="S222" s="426">
        <v>384.90598</v>
      </c>
      <c r="T222" s="426">
        <v>267.12486999999999</v>
      </c>
      <c r="U222" s="426">
        <f t="shared" si="22"/>
        <v>20310.016500000002</v>
      </c>
    </row>
    <row r="223" spans="1:21" s="426" customFormat="1">
      <c r="A223" s="426" t="str">
        <f t="shared" si="20"/>
        <v>KU</v>
      </c>
      <c r="B223" s="426" t="str">
        <f t="shared" si="19"/>
        <v>VA</v>
      </c>
      <c r="C223" s="426" t="str">
        <f t="shared" si="21"/>
        <v>E</v>
      </c>
      <c r="D223" s="426" t="s">
        <v>2656</v>
      </c>
      <c r="E223" s="426" t="str">
        <f t="shared" si="18"/>
        <v>390</v>
      </c>
      <c r="F223" s="741" t="s">
        <v>1808</v>
      </c>
      <c r="G223" s="425" t="str">
        <f t="shared" si="23"/>
        <v/>
      </c>
      <c r="H223" s="426">
        <v>-40.466839999999998</v>
      </c>
      <c r="I223" s="426">
        <v>0</v>
      </c>
      <c r="J223" s="426">
        <v>0</v>
      </c>
      <c r="K223" s="426">
        <v>0</v>
      </c>
      <c r="L223" s="426">
        <v>-614.35894999999903</v>
      </c>
      <c r="M223" s="426">
        <v>59.474739999999997</v>
      </c>
      <c r="N223" s="426">
        <v>0</v>
      </c>
      <c r="O223" s="426">
        <v>166.00269</v>
      </c>
      <c r="P223" s="426">
        <v>0</v>
      </c>
      <c r="Q223" s="426">
        <v>0</v>
      </c>
      <c r="R223" s="426">
        <v>0</v>
      </c>
      <c r="S223" s="426">
        <v>0</v>
      </c>
      <c r="T223" s="426">
        <v>0</v>
      </c>
      <c r="U223" s="426">
        <f t="shared" si="22"/>
        <v>-388.881519999999</v>
      </c>
    </row>
    <row r="224" spans="1:21" s="426" customFormat="1">
      <c r="A224" s="426" t="str">
        <f t="shared" si="20"/>
        <v>KU</v>
      </c>
      <c r="B224" s="426" t="str">
        <f t="shared" si="19"/>
        <v>KY</v>
      </c>
      <c r="C224" s="426" t="str">
        <f t="shared" si="21"/>
        <v>E</v>
      </c>
      <c r="D224" s="426" t="s">
        <v>2656</v>
      </c>
      <c r="E224" s="426" t="str">
        <f t="shared" si="18"/>
        <v>391</v>
      </c>
      <c r="F224" s="741" t="s">
        <v>1809</v>
      </c>
      <c r="G224" s="425" t="str">
        <f t="shared" si="23"/>
        <v/>
      </c>
      <c r="H224" s="426">
        <v>8.2059999999999994E-2</v>
      </c>
      <c r="I224" s="426">
        <v>44.419690000000003</v>
      </c>
      <c r="J224" s="426">
        <v>34.239350000000002</v>
      </c>
      <c r="K224" s="426">
        <v>0</v>
      </c>
      <c r="L224" s="426">
        <v>1344.5154700000001</v>
      </c>
      <c r="M224" s="426">
        <v>0</v>
      </c>
      <c r="N224" s="426">
        <v>28.330839999999998</v>
      </c>
      <c r="O224" s="426">
        <v>-1.6876899999999999</v>
      </c>
      <c r="P224" s="426">
        <v>0</v>
      </c>
      <c r="Q224" s="426">
        <v>873.24141999999995</v>
      </c>
      <c r="R224" s="426">
        <v>154.46950000000001</v>
      </c>
      <c r="S224" s="426">
        <v>2.492</v>
      </c>
      <c r="T224" s="426">
        <v>12.46</v>
      </c>
      <c r="U224" s="426">
        <f t="shared" si="22"/>
        <v>2492.4805800000004</v>
      </c>
    </row>
    <row r="225" spans="1:21" s="426" customFormat="1">
      <c r="A225" s="426" t="str">
        <f t="shared" si="20"/>
        <v>KU</v>
      </c>
      <c r="B225" s="426" t="str">
        <f t="shared" si="19"/>
        <v>KY</v>
      </c>
      <c r="C225" s="426" t="str">
        <f t="shared" si="21"/>
        <v>E</v>
      </c>
      <c r="D225" s="426" t="s">
        <v>2656</v>
      </c>
      <c r="E225" s="426" t="str">
        <f t="shared" si="18"/>
        <v>391</v>
      </c>
      <c r="F225" s="741" t="s">
        <v>1810</v>
      </c>
      <c r="G225" s="425" t="str">
        <f t="shared" si="23"/>
        <v/>
      </c>
      <c r="H225" s="426">
        <v>408.96251999999998</v>
      </c>
      <c r="I225" s="426">
        <v>682.42732000000001</v>
      </c>
      <c r="J225" s="426">
        <v>188.16901999999999</v>
      </c>
      <c r="K225" s="426">
        <v>84.214179999999999</v>
      </c>
      <c r="L225" s="426">
        <v>-1202.17346</v>
      </c>
      <c r="M225" s="426">
        <v>50.50667</v>
      </c>
      <c r="N225" s="426">
        <v>1081.2477699999999</v>
      </c>
      <c r="O225" s="426">
        <v>1449.0397800000001</v>
      </c>
      <c r="P225" s="426">
        <v>990.09061999999994</v>
      </c>
      <c r="Q225" s="426">
        <v>447.11643999999899</v>
      </c>
      <c r="R225" s="426">
        <v>1633.97687</v>
      </c>
      <c r="S225" s="426">
        <v>62.307490000000001</v>
      </c>
      <c r="T225" s="426">
        <v>62.307490000000001</v>
      </c>
      <c r="U225" s="426">
        <f t="shared" si="22"/>
        <v>5529.2301899999984</v>
      </c>
    </row>
    <row r="226" spans="1:21" s="426" customFormat="1">
      <c r="A226" s="426" t="str">
        <f t="shared" si="20"/>
        <v>KU</v>
      </c>
      <c r="B226" s="426" t="str">
        <f t="shared" si="19"/>
        <v>VA</v>
      </c>
      <c r="C226" s="426" t="str">
        <f t="shared" si="21"/>
        <v>E</v>
      </c>
      <c r="D226" s="426" t="s">
        <v>2656</v>
      </c>
      <c r="E226" s="426" t="str">
        <f t="shared" si="18"/>
        <v>391</v>
      </c>
      <c r="F226" s="741" t="s">
        <v>1811</v>
      </c>
      <c r="G226" s="425" t="str">
        <f t="shared" si="23"/>
        <v/>
      </c>
      <c r="H226" s="426">
        <v>0</v>
      </c>
      <c r="I226" s="426">
        <v>0</v>
      </c>
      <c r="J226" s="426">
        <v>0</v>
      </c>
      <c r="K226" s="426">
        <v>6.9957599999999998</v>
      </c>
      <c r="L226" s="426">
        <v>308.85937000000001</v>
      </c>
      <c r="M226" s="426">
        <v>0</v>
      </c>
      <c r="N226" s="426">
        <v>0</v>
      </c>
      <c r="O226" s="426">
        <v>0</v>
      </c>
      <c r="P226" s="426">
        <v>0</v>
      </c>
      <c r="Q226" s="426">
        <v>0</v>
      </c>
      <c r="R226" s="426">
        <v>0</v>
      </c>
      <c r="S226" s="426">
        <v>0</v>
      </c>
      <c r="T226" s="426">
        <v>0</v>
      </c>
      <c r="U226" s="426">
        <f t="shared" si="22"/>
        <v>315.85513000000003</v>
      </c>
    </row>
    <row r="227" spans="1:21" s="426" customFormat="1">
      <c r="A227" s="426" t="str">
        <f t="shared" si="20"/>
        <v>KU</v>
      </c>
      <c r="B227" s="426" t="str">
        <f t="shared" si="19"/>
        <v>KY</v>
      </c>
      <c r="C227" s="426" t="str">
        <f t="shared" si="21"/>
        <v>E</v>
      </c>
      <c r="D227" s="426" t="s">
        <v>2656</v>
      </c>
      <c r="E227" s="426" t="str">
        <f t="shared" si="18"/>
        <v>392</v>
      </c>
      <c r="F227" s="741" t="s">
        <v>1813</v>
      </c>
      <c r="G227" s="425" t="str">
        <f t="shared" si="23"/>
        <v/>
      </c>
      <c r="H227" s="426">
        <v>0</v>
      </c>
      <c r="I227" s="426">
        <v>15.07512</v>
      </c>
      <c r="J227" s="426">
        <v>0</v>
      </c>
      <c r="K227" s="426">
        <v>102.24189</v>
      </c>
      <c r="L227" s="426">
        <v>480.52231</v>
      </c>
      <c r="M227" s="426">
        <v>12.281750000000001</v>
      </c>
      <c r="N227" s="426">
        <v>0</v>
      </c>
      <c r="O227" s="426">
        <v>30</v>
      </c>
      <c r="P227" s="426">
        <v>0</v>
      </c>
      <c r="Q227" s="426">
        <v>0</v>
      </c>
      <c r="R227" s="426">
        <v>56.553989999999999</v>
      </c>
      <c r="S227" s="426">
        <v>0</v>
      </c>
      <c r="T227" s="426">
        <v>0</v>
      </c>
      <c r="U227" s="426">
        <f t="shared" si="22"/>
        <v>696.67506000000003</v>
      </c>
    </row>
    <row r="228" spans="1:21" s="426" customFormat="1">
      <c r="A228" s="426" t="str">
        <f t="shared" si="20"/>
        <v>KU</v>
      </c>
      <c r="B228" s="426" t="str">
        <f t="shared" si="19"/>
        <v>VA</v>
      </c>
      <c r="C228" s="426" t="str">
        <f t="shared" si="21"/>
        <v>E</v>
      </c>
      <c r="D228" s="426" t="s">
        <v>2656</v>
      </c>
      <c r="E228" s="426" t="str">
        <f t="shared" si="18"/>
        <v>392</v>
      </c>
      <c r="F228" s="741" t="s">
        <v>2401</v>
      </c>
      <c r="G228" s="425" t="str">
        <f t="shared" si="23"/>
        <v/>
      </c>
      <c r="H228" s="426">
        <v>3.37486</v>
      </c>
      <c r="I228" s="426">
        <v>-3.37486</v>
      </c>
      <c r="J228" s="426">
        <v>36.539589999999997</v>
      </c>
      <c r="K228" s="426">
        <v>-36.539589999999997</v>
      </c>
      <c r="L228" s="426">
        <v>0</v>
      </c>
      <c r="M228" s="426">
        <v>0</v>
      </c>
      <c r="N228" s="426">
        <v>0</v>
      </c>
      <c r="O228" s="426">
        <v>0</v>
      </c>
      <c r="P228" s="426">
        <v>0</v>
      </c>
      <c r="Q228" s="426">
        <v>0</v>
      </c>
      <c r="R228" s="426">
        <v>0</v>
      </c>
      <c r="S228" s="426">
        <v>0</v>
      </c>
      <c r="T228" s="426">
        <v>0</v>
      </c>
      <c r="U228" s="426">
        <f t="shared" si="22"/>
        <v>-3.3748599999999982</v>
      </c>
    </row>
    <row r="229" spans="1:21" s="426" customFormat="1">
      <c r="A229" s="426" t="str">
        <f t="shared" si="20"/>
        <v>KU</v>
      </c>
      <c r="B229" s="426" t="str">
        <f t="shared" si="19"/>
        <v>KY</v>
      </c>
      <c r="C229" s="426" t="str">
        <f t="shared" si="21"/>
        <v>E</v>
      </c>
      <c r="D229" s="426" t="s">
        <v>2656</v>
      </c>
      <c r="E229" s="426" t="str">
        <f t="shared" si="18"/>
        <v>393</v>
      </c>
      <c r="F229" s="741" t="s">
        <v>1814</v>
      </c>
      <c r="G229" s="425" t="str">
        <f t="shared" si="23"/>
        <v/>
      </c>
      <c r="H229" s="426">
        <v>0</v>
      </c>
      <c r="I229" s="426">
        <v>61.315309999999997</v>
      </c>
      <c r="J229" s="426">
        <v>0</v>
      </c>
      <c r="K229" s="426">
        <v>0</v>
      </c>
      <c r="L229" s="426">
        <v>0</v>
      </c>
      <c r="M229" s="426">
        <v>116.14391000000001</v>
      </c>
      <c r="N229" s="426">
        <v>-1.10822</v>
      </c>
      <c r="O229" s="426">
        <v>0</v>
      </c>
      <c r="P229" s="426">
        <v>0</v>
      </c>
      <c r="Q229" s="426">
        <v>100</v>
      </c>
      <c r="R229" s="426">
        <v>50</v>
      </c>
      <c r="S229" s="426">
        <v>0</v>
      </c>
      <c r="T229" s="426">
        <v>0</v>
      </c>
      <c r="U229" s="426">
        <f t="shared" si="22"/>
        <v>326.351</v>
      </c>
    </row>
    <row r="230" spans="1:21" s="426" customFormat="1">
      <c r="A230" s="426" t="str">
        <f t="shared" si="20"/>
        <v>KU</v>
      </c>
      <c r="B230" s="426" t="str">
        <f t="shared" si="19"/>
        <v>KY</v>
      </c>
      <c r="C230" s="426" t="str">
        <f t="shared" si="21"/>
        <v>E</v>
      </c>
      <c r="D230" s="426" t="s">
        <v>2656</v>
      </c>
      <c r="E230" s="426" t="str">
        <f t="shared" si="18"/>
        <v>394</v>
      </c>
      <c r="F230" s="741" t="s">
        <v>1816</v>
      </c>
      <c r="G230" s="425" t="str">
        <f t="shared" si="23"/>
        <v/>
      </c>
      <c r="H230" s="426">
        <v>18.023419999999899</v>
      </c>
      <c r="I230" s="426">
        <v>102.09824999999999</v>
      </c>
      <c r="J230" s="426">
        <v>264.681659999999</v>
      </c>
      <c r="K230" s="426">
        <v>53.823839999999997</v>
      </c>
      <c r="L230" s="426">
        <v>187.06030999999999</v>
      </c>
      <c r="M230" s="426">
        <v>0</v>
      </c>
      <c r="N230" s="426">
        <v>38.396790000000003</v>
      </c>
      <c r="O230" s="426">
        <v>779.142099999999</v>
      </c>
      <c r="P230" s="426">
        <v>149.92892000000001</v>
      </c>
      <c r="Q230" s="426">
        <v>68.153109999999998</v>
      </c>
      <c r="R230" s="426">
        <v>77.044550000000001</v>
      </c>
      <c r="S230" s="426">
        <v>11.26</v>
      </c>
      <c r="T230" s="426">
        <v>12.103</v>
      </c>
      <c r="U230" s="426">
        <f t="shared" si="22"/>
        <v>1743.6925299999982</v>
      </c>
    </row>
    <row r="231" spans="1:21" s="426" customFormat="1">
      <c r="A231" s="426" t="str">
        <f t="shared" si="20"/>
        <v>KU</v>
      </c>
      <c r="B231" s="426" t="str">
        <f t="shared" si="19"/>
        <v>VA</v>
      </c>
      <c r="C231" s="426" t="str">
        <f t="shared" si="21"/>
        <v>E</v>
      </c>
      <c r="D231" s="426" t="s">
        <v>2656</v>
      </c>
      <c r="E231" s="426" t="str">
        <f t="shared" si="18"/>
        <v>394</v>
      </c>
      <c r="F231" s="741" t="s">
        <v>1817</v>
      </c>
      <c r="G231" s="425" t="str">
        <f t="shared" si="23"/>
        <v/>
      </c>
      <c r="H231" s="426">
        <v>0</v>
      </c>
      <c r="I231" s="426">
        <v>0</v>
      </c>
      <c r="J231" s="426">
        <v>0</v>
      </c>
      <c r="K231" s="426">
        <v>0</v>
      </c>
      <c r="L231" s="426">
        <v>37.165750000000003</v>
      </c>
      <c r="M231" s="426">
        <v>0</v>
      </c>
      <c r="N231" s="426">
        <v>0</v>
      </c>
      <c r="O231" s="426">
        <v>84.933530000000005</v>
      </c>
      <c r="P231" s="426">
        <v>0</v>
      </c>
      <c r="Q231" s="426">
        <v>9.9218399999999995</v>
      </c>
      <c r="R231" s="426">
        <v>-3.363</v>
      </c>
      <c r="S231" s="426">
        <v>0</v>
      </c>
      <c r="T231" s="426">
        <v>0</v>
      </c>
      <c r="U231" s="426">
        <f t="shared" si="22"/>
        <v>128.65812</v>
      </c>
    </row>
    <row r="232" spans="1:21" s="426" customFormat="1">
      <c r="A232" s="426" t="str">
        <f t="shared" si="20"/>
        <v>KU</v>
      </c>
      <c r="B232" s="426" t="str">
        <f t="shared" si="19"/>
        <v>KY</v>
      </c>
      <c r="C232" s="426" t="str">
        <f t="shared" si="21"/>
        <v>E</v>
      </c>
      <c r="D232" s="426" t="s">
        <v>2656</v>
      </c>
      <c r="E232" s="426" t="str">
        <f t="shared" si="18"/>
        <v>396</v>
      </c>
      <c r="F232" s="741" t="s">
        <v>2402</v>
      </c>
      <c r="G232" s="425" t="str">
        <f t="shared" si="23"/>
        <v/>
      </c>
      <c r="H232" s="426">
        <v>-66.331220000000002</v>
      </c>
      <c r="I232" s="426">
        <v>-295.14688999999998</v>
      </c>
      <c r="J232" s="426">
        <v>0</v>
      </c>
      <c r="K232" s="426">
        <v>249.08982</v>
      </c>
      <c r="L232" s="426">
        <v>42.884830000000001</v>
      </c>
      <c r="M232" s="426">
        <v>-109.46301</v>
      </c>
      <c r="N232" s="426">
        <v>0</v>
      </c>
      <c r="O232" s="426">
        <v>0</v>
      </c>
      <c r="P232" s="426">
        <v>0</v>
      </c>
      <c r="Q232" s="426">
        <v>0</v>
      </c>
      <c r="R232" s="426">
        <v>0</v>
      </c>
      <c r="S232" s="426">
        <v>0</v>
      </c>
      <c r="T232" s="426">
        <v>0</v>
      </c>
      <c r="U232" s="426">
        <f t="shared" si="22"/>
        <v>-112.63524999999998</v>
      </c>
    </row>
    <row r="233" spans="1:21" s="426" customFormat="1">
      <c r="A233" s="426" t="str">
        <f t="shared" si="20"/>
        <v>KU</v>
      </c>
      <c r="B233" s="426" t="str">
        <f t="shared" si="19"/>
        <v>VA</v>
      </c>
      <c r="C233" s="426" t="str">
        <f t="shared" si="21"/>
        <v>E</v>
      </c>
      <c r="D233" s="426" t="s">
        <v>2656</v>
      </c>
      <c r="E233" s="426" t="str">
        <f t="shared" si="18"/>
        <v>396</v>
      </c>
      <c r="F233" s="741" t="s">
        <v>2403</v>
      </c>
      <c r="G233" s="425" t="str">
        <f t="shared" si="23"/>
        <v/>
      </c>
      <c r="H233" s="426">
        <v>182.21145999999999</v>
      </c>
      <c r="I233" s="426">
        <v>3.37486</v>
      </c>
      <c r="J233" s="426">
        <v>0</v>
      </c>
      <c r="K233" s="426">
        <v>36.539589999999997</v>
      </c>
      <c r="L233" s="426">
        <v>0</v>
      </c>
      <c r="M233" s="426">
        <v>0</v>
      </c>
      <c r="N233" s="426">
        <v>0</v>
      </c>
      <c r="O233" s="426">
        <v>0</v>
      </c>
      <c r="P233" s="426">
        <v>0</v>
      </c>
      <c r="Q233" s="426">
        <v>0</v>
      </c>
      <c r="R233" s="426">
        <v>0</v>
      </c>
      <c r="S233" s="426">
        <v>0</v>
      </c>
      <c r="T233" s="426">
        <v>0</v>
      </c>
      <c r="U233" s="426">
        <f t="shared" si="22"/>
        <v>39.914449999999995</v>
      </c>
    </row>
    <row r="234" spans="1:21" s="426" customFormat="1">
      <c r="A234" s="426" t="str">
        <f t="shared" si="20"/>
        <v>KU</v>
      </c>
      <c r="B234" s="426" t="str">
        <f t="shared" si="19"/>
        <v>KY</v>
      </c>
      <c r="C234" s="426" t="str">
        <f t="shared" si="21"/>
        <v>E</v>
      </c>
      <c r="D234" s="426" t="s">
        <v>2656</v>
      </c>
      <c r="E234" s="426" t="str">
        <f t="shared" si="18"/>
        <v>397</v>
      </c>
      <c r="F234" s="741" t="s">
        <v>1819</v>
      </c>
      <c r="G234" s="425" t="str">
        <f t="shared" si="23"/>
        <v>DSM</v>
      </c>
      <c r="H234" s="426">
        <v>0.79532000000000003</v>
      </c>
      <c r="I234" s="426">
        <v>0.31258999999999998</v>
      </c>
      <c r="J234" s="426">
        <v>-5.9999999999999995E-4</v>
      </c>
      <c r="K234" s="426">
        <v>0</v>
      </c>
      <c r="L234" s="426">
        <v>0</v>
      </c>
      <c r="M234" s="426">
        <v>0</v>
      </c>
      <c r="N234" s="426">
        <v>1.1226099999999899</v>
      </c>
      <c r="O234" s="426">
        <v>-39.42342</v>
      </c>
      <c r="P234" s="426">
        <v>1.80324</v>
      </c>
      <c r="Q234" s="426">
        <v>2.70743</v>
      </c>
      <c r="R234" s="426">
        <v>1.0911599999999999</v>
      </c>
      <c r="S234" s="426">
        <v>5.2916299999999996</v>
      </c>
      <c r="T234" s="426">
        <v>5.2916699999999999</v>
      </c>
      <c r="U234" s="426">
        <f t="shared" si="22"/>
        <v>-21.803690000000007</v>
      </c>
    </row>
    <row r="235" spans="1:21" s="426" customFormat="1">
      <c r="A235" s="426" t="str">
        <f t="shared" si="20"/>
        <v>KU</v>
      </c>
      <c r="B235" s="426" t="str">
        <f t="shared" si="19"/>
        <v>KY</v>
      </c>
      <c r="C235" s="426" t="str">
        <f t="shared" si="21"/>
        <v>E</v>
      </c>
      <c r="D235" s="426" t="s">
        <v>2656</v>
      </c>
      <c r="E235" s="426" t="str">
        <f t="shared" si="18"/>
        <v>397</v>
      </c>
      <c r="F235" s="741" t="s">
        <v>1820</v>
      </c>
      <c r="G235" s="425" t="str">
        <f t="shared" si="23"/>
        <v/>
      </c>
      <c r="H235" s="426">
        <v>-1.09592</v>
      </c>
      <c r="I235" s="426">
        <v>5.5293999999999999</v>
      </c>
      <c r="J235" s="426">
        <v>161.3869</v>
      </c>
      <c r="K235" s="426">
        <v>-46.905830000000002</v>
      </c>
      <c r="L235" s="426">
        <v>0.51099000000000006</v>
      </c>
      <c r="M235" s="426">
        <v>0.52158000000000004</v>
      </c>
      <c r="N235" s="426">
        <v>-6.3539999999999902E-2</v>
      </c>
      <c r="O235" s="426">
        <v>1294.5025599999999</v>
      </c>
      <c r="P235" s="426">
        <v>111.05944</v>
      </c>
      <c r="Q235" s="426">
        <v>524.14205000000004</v>
      </c>
      <c r="R235" s="426">
        <v>1072.8682899999999</v>
      </c>
      <c r="S235" s="426">
        <v>0</v>
      </c>
      <c r="T235" s="426">
        <v>0</v>
      </c>
      <c r="U235" s="426">
        <f t="shared" si="22"/>
        <v>3123.5518399999996</v>
      </c>
    </row>
    <row r="236" spans="1:21" s="426" customFormat="1">
      <c r="A236" s="426" t="str">
        <f t="shared" si="20"/>
        <v>KU</v>
      </c>
      <c r="B236" s="426" t="str">
        <f t="shared" si="19"/>
        <v>VA</v>
      </c>
      <c r="C236" s="426" t="str">
        <f t="shared" si="21"/>
        <v>E</v>
      </c>
      <c r="D236" s="426" t="s">
        <v>2656</v>
      </c>
      <c r="E236" s="426" t="str">
        <f t="shared" si="18"/>
        <v>397</v>
      </c>
      <c r="F236" s="741" t="s">
        <v>1821</v>
      </c>
      <c r="G236" s="425" t="str">
        <f t="shared" si="23"/>
        <v/>
      </c>
      <c r="H236" s="426">
        <v>0</v>
      </c>
      <c r="I236" s="426">
        <v>0</v>
      </c>
      <c r="J236" s="426">
        <v>0</v>
      </c>
      <c r="K236" s="426">
        <v>0</v>
      </c>
      <c r="L236" s="426">
        <v>283.24664999999999</v>
      </c>
      <c r="M236" s="426">
        <v>0</v>
      </c>
      <c r="N236" s="426">
        <v>0</v>
      </c>
      <c r="O236" s="426">
        <v>0</v>
      </c>
      <c r="P236" s="426">
        <v>0</v>
      </c>
      <c r="Q236" s="426">
        <v>0</v>
      </c>
      <c r="R236" s="426">
        <v>0</v>
      </c>
      <c r="S236" s="426">
        <v>0</v>
      </c>
      <c r="T236" s="426">
        <v>0</v>
      </c>
      <c r="U236" s="426">
        <f t="shared" si="22"/>
        <v>283.24664999999999</v>
      </c>
    </row>
    <row r="237" spans="1:21" s="426" customFormat="1">
      <c r="F237" s="799" t="s">
        <v>1823</v>
      </c>
      <c r="G237" s="425" t="str">
        <f t="shared" si="23"/>
        <v/>
      </c>
      <c r="H237" s="426">
        <f t="shared" ref="H237:T237" si="24">SUM(H147:H236)</f>
        <v>20309.371509999994</v>
      </c>
      <c r="I237" s="426">
        <f t="shared" si="24"/>
        <v>10836.501189999999</v>
      </c>
      <c r="J237" s="426">
        <f t="shared" si="24"/>
        <v>217184.79671999995</v>
      </c>
      <c r="K237" s="426">
        <f t="shared" si="24"/>
        <v>50625.204979999988</v>
      </c>
      <c r="L237" s="426">
        <f t="shared" si="24"/>
        <v>9997.8728499998924</v>
      </c>
      <c r="M237" s="426">
        <f t="shared" si="24"/>
        <v>43080.226369999997</v>
      </c>
      <c r="N237" s="426">
        <f t="shared" si="24"/>
        <v>33548.012079999971</v>
      </c>
      <c r="O237" s="426">
        <f t="shared" si="24"/>
        <v>96408.377339999628</v>
      </c>
      <c r="P237" s="426">
        <f t="shared" si="24"/>
        <v>56071.759979999981</v>
      </c>
      <c r="Q237" s="426">
        <f t="shared" si="24"/>
        <v>77685.807219999871</v>
      </c>
      <c r="R237" s="426">
        <f t="shared" si="24"/>
        <v>84732.84418</v>
      </c>
      <c r="S237" s="426">
        <f t="shared" si="24"/>
        <v>10076.533589999997</v>
      </c>
      <c r="T237" s="426">
        <f t="shared" si="24"/>
        <v>17761.794189999975</v>
      </c>
      <c r="U237" s="426">
        <f t="shared" si="22"/>
        <v>708009.73068999918</v>
      </c>
    </row>
    <row r="238" spans="1:21" s="426" customFormat="1">
      <c r="F238" s="799"/>
      <c r="G238" s="425" t="str">
        <f t="shared" si="23"/>
        <v/>
      </c>
      <c r="U238" s="426">
        <f t="shared" si="22"/>
        <v>0</v>
      </c>
    </row>
    <row r="239" spans="1:21" s="426" customFormat="1">
      <c r="F239" s="800" t="s">
        <v>1824</v>
      </c>
      <c r="G239" s="425" t="str">
        <f t="shared" si="23"/>
        <v/>
      </c>
      <c r="U239" s="426">
        <f t="shared" si="22"/>
        <v>0</v>
      </c>
    </row>
    <row r="240" spans="1:21" s="426" customFormat="1">
      <c r="A240" s="426" t="str">
        <f t="shared" si="20"/>
        <v>KU</v>
      </c>
      <c r="B240" s="426" t="str">
        <f t="shared" si="19"/>
        <v>KY</v>
      </c>
      <c r="C240" s="426" t="str">
        <f t="shared" si="21"/>
        <v>E</v>
      </c>
      <c r="D240" s="426" t="s">
        <v>2657</v>
      </c>
      <c r="E240" s="426" t="str">
        <f t="shared" si="18"/>
        <v>303</v>
      </c>
      <c r="F240" s="741" t="s">
        <v>1721</v>
      </c>
      <c r="G240" s="425" t="str">
        <f t="shared" si="23"/>
        <v/>
      </c>
      <c r="H240" s="426">
        <v>2635.9066499999999</v>
      </c>
      <c r="I240" s="426">
        <v>261.11140999999998</v>
      </c>
      <c r="J240" s="426">
        <v>26.30894</v>
      </c>
      <c r="K240" s="426">
        <v>0</v>
      </c>
      <c r="L240" s="426">
        <v>345.19650000000001</v>
      </c>
      <c r="M240" s="426">
        <v>901.80418999999995</v>
      </c>
      <c r="N240" s="426">
        <v>2715.7848199999999</v>
      </c>
      <c r="O240" s="426">
        <v>471.42056000000002</v>
      </c>
      <c r="P240" s="426">
        <v>94.486199999999997</v>
      </c>
      <c r="Q240" s="426">
        <v>279.88191</v>
      </c>
      <c r="R240" s="426">
        <v>1962.1482699999999</v>
      </c>
      <c r="S240" s="426">
        <v>872.91601000000003</v>
      </c>
      <c r="T240" s="426">
        <v>0</v>
      </c>
      <c r="U240" s="426">
        <f t="shared" si="22"/>
        <v>7931.0588100000004</v>
      </c>
    </row>
    <row r="241" spans="1:21">
      <c r="A241" s="426" t="str">
        <f t="shared" si="20"/>
        <v>KU</v>
      </c>
      <c r="B241" s="426" t="str">
        <f t="shared" si="19"/>
        <v>KY</v>
      </c>
      <c r="C241" s="426" t="str">
        <f t="shared" si="21"/>
        <v>E</v>
      </c>
      <c r="D241" s="426" t="s">
        <v>2657</v>
      </c>
      <c r="E241" s="426" t="str">
        <f t="shared" si="18"/>
        <v>303</v>
      </c>
      <c r="F241" s="741" t="s">
        <v>1722</v>
      </c>
      <c r="G241" s="425" t="str">
        <f t="shared" si="23"/>
        <v/>
      </c>
      <c r="H241" s="426">
        <v>0</v>
      </c>
      <c r="I241" s="426">
        <v>0</v>
      </c>
      <c r="J241" s="426">
        <v>0</v>
      </c>
      <c r="K241" s="426">
        <v>0</v>
      </c>
      <c r="L241" s="426">
        <v>0</v>
      </c>
      <c r="M241" s="426">
        <v>0</v>
      </c>
      <c r="N241" s="426">
        <v>0</v>
      </c>
      <c r="O241" s="426">
        <v>0</v>
      </c>
      <c r="P241" s="426">
        <v>12.11224</v>
      </c>
      <c r="Q241" s="426">
        <v>0</v>
      </c>
      <c r="R241" s="426">
        <v>0</v>
      </c>
      <c r="S241" s="426">
        <v>0</v>
      </c>
      <c r="T241" s="426">
        <v>146.00985</v>
      </c>
      <c r="U241" s="426">
        <f t="shared" si="22"/>
        <v>158.12209000000001</v>
      </c>
    </row>
    <row r="242" spans="1:21">
      <c r="A242" s="426" t="str">
        <f t="shared" si="20"/>
        <v>KU</v>
      </c>
      <c r="B242" s="426" t="str">
        <f t="shared" si="19"/>
        <v>KY</v>
      </c>
      <c r="C242" s="426" t="str">
        <f t="shared" si="21"/>
        <v>E</v>
      </c>
      <c r="D242" s="426" t="s">
        <v>2657</v>
      </c>
      <c r="E242" s="426" t="str">
        <f t="shared" si="18"/>
        <v>311</v>
      </c>
      <c r="F242" s="741" t="s">
        <v>1726</v>
      </c>
      <c r="G242" s="425" t="str">
        <f t="shared" si="23"/>
        <v>ECR</v>
      </c>
      <c r="H242" s="426">
        <v>0</v>
      </c>
      <c r="I242" s="426">
        <v>0</v>
      </c>
      <c r="J242" s="426">
        <v>0</v>
      </c>
      <c r="K242" s="426">
        <v>0</v>
      </c>
      <c r="L242" s="426">
        <v>0</v>
      </c>
      <c r="M242" s="426">
        <v>195.21368000000001</v>
      </c>
      <c r="N242" s="426">
        <v>0</v>
      </c>
      <c r="O242" s="426">
        <v>0</v>
      </c>
      <c r="P242" s="426">
        <v>0</v>
      </c>
      <c r="Q242" s="426">
        <v>0</v>
      </c>
      <c r="R242" s="426">
        <v>0</v>
      </c>
      <c r="S242" s="426">
        <v>0</v>
      </c>
      <c r="T242" s="426">
        <v>0</v>
      </c>
      <c r="U242" s="426">
        <f t="shared" si="22"/>
        <v>195.21368000000001</v>
      </c>
    </row>
    <row r="243" spans="1:21">
      <c r="A243" s="426" t="str">
        <f t="shared" si="20"/>
        <v>KU</v>
      </c>
      <c r="B243" s="426" t="str">
        <f t="shared" si="19"/>
        <v>KY</v>
      </c>
      <c r="C243" s="426" t="str">
        <f t="shared" si="21"/>
        <v>E</v>
      </c>
      <c r="D243" s="426" t="s">
        <v>2657</v>
      </c>
      <c r="E243" s="426" t="str">
        <f t="shared" ref="E243:E336" si="25">MID($F243,8,3)</f>
        <v>311</v>
      </c>
      <c r="F243" s="741" t="s">
        <v>1727</v>
      </c>
      <c r="G243" s="425" t="str">
        <f t="shared" si="23"/>
        <v/>
      </c>
      <c r="H243" s="426">
        <v>56.29233</v>
      </c>
      <c r="I243" s="426">
        <v>29.132529999999999</v>
      </c>
      <c r="J243" s="426">
        <v>1864.4209800000001</v>
      </c>
      <c r="K243" s="426">
        <v>260.80871000000002</v>
      </c>
      <c r="L243" s="426">
        <v>0</v>
      </c>
      <c r="M243" s="426">
        <v>82.550610000000006</v>
      </c>
      <c r="N243" s="426">
        <v>0</v>
      </c>
      <c r="O243" s="426">
        <v>0</v>
      </c>
      <c r="P243" s="426">
        <v>0</v>
      </c>
      <c r="Q243" s="426">
        <v>0</v>
      </c>
      <c r="R243" s="426">
        <v>0</v>
      </c>
      <c r="S243" s="426">
        <v>0</v>
      </c>
      <c r="T243" s="426">
        <v>0</v>
      </c>
      <c r="U243" s="426">
        <f t="shared" si="22"/>
        <v>2236.9128300000002</v>
      </c>
    </row>
    <row r="244" spans="1:21">
      <c r="A244" s="426" t="str">
        <f t="shared" si="20"/>
        <v>KU</v>
      </c>
      <c r="B244" s="426" t="str">
        <f t="shared" si="19"/>
        <v>KY</v>
      </c>
      <c r="C244" s="426" t="str">
        <f t="shared" si="21"/>
        <v>E</v>
      </c>
      <c r="D244" s="426" t="s">
        <v>2657</v>
      </c>
      <c r="E244" s="426" t="str">
        <f t="shared" si="25"/>
        <v>312</v>
      </c>
      <c r="F244" s="741" t="s">
        <v>1728</v>
      </c>
      <c r="G244" s="425" t="str">
        <f t="shared" si="23"/>
        <v/>
      </c>
      <c r="H244" s="426">
        <v>13458.5677</v>
      </c>
      <c r="I244" s="426">
        <v>2888.65355</v>
      </c>
      <c r="J244" s="426">
        <v>210.19673</v>
      </c>
      <c r="K244" s="426">
        <v>1434.0603999999901</v>
      </c>
      <c r="L244" s="426">
        <v>934.99866999999995</v>
      </c>
      <c r="M244" s="426">
        <v>2112.4228199999998</v>
      </c>
      <c r="N244" s="426">
        <v>4091.5551699999901</v>
      </c>
      <c r="O244" s="426">
        <v>527.59177999999997</v>
      </c>
      <c r="P244" s="426">
        <v>338.87012999999899</v>
      </c>
      <c r="Q244" s="426">
        <v>603.76541999999995</v>
      </c>
      <c r="R244" s="426">
        <v>20802.08496</v>
      </c>
      <c r="S244" s="426">
        <v>1117.70433</v>
      </c>
      <c r="T244" s="426">
        <v>5615.66272999999</v>
      </c>
      <c r="U244" s="426">
        <f t="shared" si="22"/>
        <v>40677.566689999971</v>
      </c>
    </row>
    <row r="245" spans="1:21">
      <c r="A245" s="426" t="str">
        <f t="shared" si="20"/>
        <v>KU</v>
      </c>
      <c r="B245" s="426" t="str">
        <f t="shared" si="19"/>
        <v>KY</v>
      </c>
      <c r="C245" s="426" t="str">
        <f t="shared" si="21"/>
        <v>E</v>
      </c>
      <c r="D245" s="426" t="s">
        <v>2657</v>
      </c>
      <c r="E245" s="426" t="str">
        <f t="shared" si="25"/>
        <v>312</v>
      </c>
      <c r="F245" s="741" t="s">
        <v>1730</v>
      </c>
      <c r="G245" s="425" t="str">
        <f t="shared" si="23"/>
        <v>ECR</v>
      </c>
      <c r="H245" s="426">
        <v>0</v>
      </c>
      <c r="I245" s="426">
        <v>0</v>
      </c>
      <c r="J245" s="426">
        <v>0</v>
      </c>
      <c r="K245" s="426">
        <v>0</v>
      </c>
      <c r="L245" s="426">
        <v>0</v>
      </c>
      <c r="M245" s="426">
        <v>230.88435999999999</v>
      </c>
      <c r="N245" s="426">
        <v>0</v>
      </c>
      <c r="O245" s="426">
        <v>0</v>
      </c>
      <c r="P245" s="426">
        <v>0</v>
      </c>
      <c r="Q245" s="426">
        <v>193.03700000000001</v>
      </c>
      <c r="R245" s="426">
        <v>196.44300000000001</v>
      </c>
      <c r="S245" s="426">
        <v>0</v>
      </c>
      <c r="T245" s="426">
        <v>0</v>
      </c>
      <c r="U245" s="426">
        <f t="shared" si="22"/>
        <v>620.36436000000003</v>
      </c>
    </row>
    <row r="246" spans="1:21" s="426" customFormat="1">
      <c r="A246" s="426" t="str">
        <f t="shared" si="20"/>
        <v>KU</v>
      </c>
      <c r="B246" s="426" t="str">
        <f t="shared" si="19"/>
        <v>KY</v>
      </c>
      <c r="C246" s="426" t="str">
        <f t="shared" si="21"/>
        <v>E</v>
      </c>
      <c r="D246" s="426" t="s">
        <v>2657</v>
      </c>
      <c r="E246" s="426" t="str">
        <f t="shared" si="25"/>
        <v>314</v>
      </c>
      <c r="F246" s="741" t="s">
        <v>1732</v>
      </c>
      <c r="G246" s="425" t="str">
        <f t="shared" si="23"/>
        <v/>
      </c>
      <c r="H246" s="426">
        <v>1764.50945</v>
      </c>
      <c r="I246" s="426">
        <v>0</v>
      </c>
      <c r="J246" s="426">
        <v>14.07635</v>
      </c>
      <c r="K246" s="426">
        <v>448.97687999999999</v>
      </c>
      <c r="L246" s="426">
        <v>591.28503999999998</v>
      </c>
      <c r="M246" s="426">
        <v>474.102589999999</v>
      </c>
      <c r="N246" s="426">
        <v>379.77150999999998</v>
      </c>
      <c r="O246" s="426">
        <v>129.89639</v>
      </c>
      <c r="P246" s="426">
        <v>83.431939999999997</v>
      </c>
      <c r="Q246" s="426">
        <v>148.65082000000001</v>
      </c>
      <c r="R246" s="426">
        <v>246.20741000000001</v>
      </c>
      <c r="S246" s="426">
        <v>275.18579999999997</v>
      </c>
      <c r="T246" s="426">
        <v>1382.6113</v>
      </c>
      <c r="U246" s="426">
        <f t="shared" si="22"/>
        <v>4174.1960299999992</v>
      </c>
    </row>
    <row r="247" spans="1:21" s="426" customFormat="1">
      <c r="A247" s="426" t="str">
        <f t="shared" si="20"/>
        <v>KU</v>
      </c>
      <c r="B247" s="426" t="str">
        <f t="shared" si="19"/>
        <v>KY</v>
      </c>
      <c r="C247" s="426" t="str">
        <f t="shared" si="21"/>
        <v>E</v>
      </c>
      <c r="D247" s="426" t="s">
        <v>2657</v>
      </c>
      <c r="E247" s="426" t="str">
        <f t="shared" si="25"/>
        <v>315</v>
      </c>
      <c r="F247" s="741" t="s">
        <v>1733</v>
      </c>
      <c r="G247" s="425" t="str">
        <f t="shared" si="23"/>
        <v/>
      </c>
      <c r="H247" s="426">
        <v>406.44256000000001</v>
      </c>
      <c r="I247" s="426">
        <v>13.58888</v>
      </c>
      <c r="J247" s="426">
        <v>15.99713</v>
      </c>
      <c r="K247" s="426">
        <v>253.02264</v>
      </c>
      <c r="L247" s="426">
        <v>40.41686</v>
      </c>
      <c r="M247" s="426">
        <v>0</v>
      </c>
      <c r="N247" s="426">
        <v>151.02873</v>
      </c>
      <c r="O247" s="426">
        <v>0</v>
      </c>
      <c r="P247" s="426">
        <v>0</v>
      </c>
      <c r="Q247" s="426">
        <v>0</v>
      </c>
      <c r="R247" s="426">
        <v>0</v>
      </c>
      <c r="S247" s="426">
        <v>0</v>
      </c>
      <c r="T247" s="426">
        <v>0</v>
      </c>
      <c r="U247" s="426">
        <f t="shared" si="22"/>
        <v>474.05423999999999</v>
      </c>
    </row>
    <row r="248" spans="1:21" s="426" customFormat="1">
      <c r="A248" s="426" t="str">
        <f t="shared" si="20"/>
        <v>KU</v>
      </c>
      <c r="B248" s="426" t="str">
        <f t="shared" si="19"/>
        <v>KY</v>
      </c>
      <c r="C248" s="426" t="str">
        <f t="shared" si="21"/>
        <v>E</v>
      </c>
      <c r="D248" s="426" t="s">
        <v>2657</v>
      </c>
      <c r="E248" s="426" t="str">
        <f t="shared" si="25"/>
        <v>316</v>
      </c>
      <c r="F248" s="741" t="s">
        <v>1735</v>
      </c>
      <c r="G248" s="425" t="str">
        <f t="shared" si="23"/>
        <v/>
      </c>
      <c r="H248" s="426">
        <v>95.628069999999994</v>
      </c>
      <c r="I248" s="426">
        <v>4.5004299999999997</v>
      </c>
      <c r="J248" s="426">
        <v>0</v>
      </c>
      <c r="K248" s="426">
        <v>41.25047</v>
      </c>
      <c r="L248" s="426">
        <v>34.322580000000002</v>
      </c>
      <c r="M248" s="426">
        <v>12.492139999999999</v>
      </c>
      <c r="N248" s="426">
        <v>25.11824</v>
      </c>
      <c r="O248" s="426">
        <v>0</v>
      </c>
      <c r="P248" s="426">
        <v>0</v>
      </c>
      <c r="Q248" s="426">
        <v>0</v>
      </c>
      <c r="R248" s="426">
        <v>0</v>
      </c>
      <c r="S248" s="426">
        <v>0</v>
      </c>
      <c r="T248" s="426">
        <v>0</v>
      </c>
      <c r="U248" s="426">
        <f t="shared" si="22"/>
        <v>117.68386</v>
      </c>
    </row>
    <row r="249" spans="1:21" s="426" customFormat="1">
      <c r="A249" s="426" t="str">
        <f t="shared" si="20"/>
        <v>KU</v>
      </c>
      <c r="B249" s="426" t="str">
        <f t="shared" si="19"/>
        <v>KY</v>
      </c>
      <c r="C249" s="426" t="str">
        <f t="shared" si="21"/>
        <v>E</v>
      </c>
      <c r="D249" s="426" t="s">
        <v>2657</v>
      </c>
      <c r="E249" s="426" t="str">
        <f t="shared" si="25"/>
        <v>317</v>
      </c>
      <c r="F249" s="741" t="s">
        <v>1736</v>
      </c>
      <c r="G249" s="425" t="str">
        <f t="shared" si="23"/>
        <v>ARO</v>
      </c>
      <c r="H249" s="426">
        <v>0</v>
      </c>
      <c r="I249" s="426">
        <v>542.27509999999995</v>
      </c>
      <c r="J249" s="426">
        <v>0</v>
      </c>
      <c r="K249" s="426">
        <v>0</v>
      </c>
      <c r="L249" s="426">
        <v>0</v>
      </c>
      <c r="M249" s="426">
        <v>0</v>
      </c>
      <c r="N249" s="426">
        <v>59.476509999999998</v>
      </c>
      <c r="O249" s="426">
        <v>0</v>
      </c>
      <c r="P249" s="426">
        <v>0</v>
      </c>
      <c r="Q249" s="426">
        <v>0</v>
      </c>
      <c r="R249" s="426">
        <v>0</v>
      </c>
      <c r="S249" s="426">
        <v>0</v>
      </c>
      <c r="T249" s="426">
        <v>0</v>
      </c>
      <c r="U249" s="426">
        <f t="shared" si="22"/>
        <v>601.75160999999991</v>
      </c>
    </row>
    <row r="250" spans="1:21" s="426" customFormat="1">
      <c r="A250" s="426" t="str">
        <f t="shared" si="20"/>
        <v>KU</v>
      </c>
      <c r="B250" s="426" t="str">
        <f t="shared" si="19"/>
        <v>KY</v>
      </c>
      <c r="C250" s="426" t="str">
        <f t="shared" si="21"/>
        <v>E</v>
      </c>
      <c r="D250" s="426" t="s">
        <v>2657</v>
      </c>
      <c r="E250" s="426" t="str">
        <f t="shared" si="25"/>
        <v>317</v>
      </c>
      <c r="F250" s="741" t="s">
        <v>2398</v>
      </c>
      <c r="G250" s="425" t="str">
        <f t="shared" si="23"/>
        <v>ARO</v>
      </c>
      <c r="H250" s="426">
        <v>0</v>
      </c>
      <c r="I250" s="426">
        <v>43913.603409999901</v>
      </c>
      <c r="J250" s="426">
        <v>0</v>
      </c>
      <c r="K250" s="426">
        <v>0</v>
      </c>
      <c r="L250" s="426">
        <v>0</v>
      </c>
      <c r="M250" s="426">
        <v>0</v>
      </c>
      <c r="N250" s="426">
        <v>0</v>
      </c>
      <c r="O250" s="426">
        <v>0</v>
      </c>
      <c r="P250" s="426">
        <v>0</v>
      </c>
      <c r="Q250" s="426">
        <v>0</v>
      </c>
      <c r="R250" s="426">
        <v>0</v>
      </c>
      <c r="S250" s="426">
        <v>0</v>
      </c>
      <c r="T250" s="426">
        <v>0</v>
      </c>
      <c r="U250" s="426">
        <f t="shared" si="22"/>
        <v>43913.603409999901</v>
      </c>
    </row>
    <row r="251" spans="1:21" s="426" customFormat="1">
      <c r="A251" s="426" t="str">
        <f t="shared" si="20"/>
        <v>KU</v>
      </c>
      <c r="B251" s="426" t="str">
        <f t="shared" si="19"/>
        <v>KY</v>
      </c>
      <c r="C251" s="426" t="str">
        <f t="shared" si="21"/>
        <v>E</v>
      </c>
      <c r="D251" s="426" t="s">
        <v>2657</v>
      </c>
      <c r="E251" s="426" t="str">
        <f t="shared" si="25"/>
        <v>332</v>
      </c>
      <c r="F251" s="741" t="s">
        <v>1739</v>
      </c>
      <c r="G251" s="425" t="str">
        <f t="shared" si="23"/>
        <v/>
      </c>
      <c r="H251" s="426">
        <v>0</v>
      </c>
      <c r="I251" s="426">
        <v>0</v>
      </c>
      <c r="J251" s="426">
        <v>0</v>
      </c>
      <c r="K251" s="426">
        <v>1.2015100000000001</v>
      </c>
      <c r="L251" s="426">
        <v>0</v>
      </c>
      <c r="M251" s="426">
        <v>0</v>
      </c>
      <c r="N251" s="426">
        <v>0</v>
      </c>
      <c r="O251" s="426">
        <v>0</v>
      </c>
      <c r="P251" s="426">
        <v>0</v>
      </c>
      <c r="Q251" s="426">
        <v>0</v>
      </c>
      <c r="R251" s="426">
        <v>0</v>
      </c>
      <c r="S251" s="426">
        <v>0</v>
      </c>
      <c r="T251" s="426">
        <v>0</v>
      </c>
      <c r="U251" s="426">
        <f t="shared" si="22"/>
        <v>1.2015100000000001</v>
      </c>
    </row>
    <row r="252" spans="1:21" s="426" customFormat="1">
      <c r="A252" s="426" t="str">
        <f t="shared" si="20"/>
        <v>KU</v>
      </c>
      <c r="B252" s="426" t="str">
        <f t="shared" si="19"/>
        <v>KY</v>
      </c>
      <c r="C252" s="426" t="str">
        <f t="shared" si="21"/>
        <v>E</v>
      </c>
      <c r="D252" s="426" t="s">
        <v>2657</v>
      </c>
      <c r="E252" s="426" t="str">
        <f t="shared" si="25"/>
        <v>334</v>
      </c>
      <c r="F252" s="741" t="s">
        <v>1741</v>
      </c>
      <c r="G252" s="425" t="str">
        <f t="shared" si="23"/>
        <v/>
      </c>
      <c r="H252" s="426">
        <v>0</v>
      </c>
      <c r="I252" s="426">
        <v>0</v>
      </c>
      <c r="J252" s="426">
        <v>0</v>
      </c>
      <c r="K252" s="426">
        <v>0.28999999999999998</v>
      </c>
      <c r="L252" s="426">
        <v>0</v>
      </c>
      <c r="M252" s="426">
        <v>0</v>
      </c>
      <c r="N252" s="426">
        <v>0</v>
      </c>
      <c r="O252" s="426">
        <v>0</v>
      </c>
      <c r="P252" s="426">
        <v>0</v>
      </c>
      <c r="Q252" s="426">
        <v>0</v>
      </c>
      <c r="R252" s="426">
        <v>0</v>
      </c>
      <c r="S252" s="426">
        <v>0</v>
      </c>
      <c r="T252" s="426">
        <v>0</v>
      </c>
      <c r="U252" s="426">
        <f t="shared" si="22"/>
        <v>0.28999999999999998</v>
      </c>
    </row>
    <row r="253" spans="1:21" s="426" customFormat="1">
      <c r="A253" s="426" t="str">
        <f t="shared" si="20"/>
        <v>KU</v>
      </c>
      <c r="B253" s="426" t="str">
        <f t="shared" si="19"/>
        <v>KY</v>
      </c>
      <c r="C253" s="426" t="str">
        <f t="shared" si="21"/>
        <v>E</v>
      </c>
      <c r="D253" s="426" t="s">
        <v>2657</v>
      </c>
      <c r="E253" s="426" t="str">
        <f t="shared" si="25"/>
        <v>336</v>
      </c>
      <c r="F253" s="741" t="s">
        <v>1743</v>
      </c>
      <c r="G253" s="425" t="str">
        <f t="shared" si="23"/>
        <v/>
      </c>
      <c r="H253" s="426">
        <v>0</v>
      </c>
      <c r="I253" s="426">
        <v>0</v>
      </c>
      <c r="J253" s="426">
        <v>0</v>
      </c>
      <c r="K253" s="426">
        <v>35.609299999999998</v>
      </c>
      <c r="L253" s="426">
        <v>0</v>
      </c>
      <c r="M253" s="426">
        <v>0</v>
      </c>
      <c r="N253" s="426">
        <v>0</v>
      </c>
      <c r="O253" s="426">
        <v>0</v>
      </c>
      <c r="P253" s="426">
        <v>0</v>
      </c>
      <c r="Q253" s="426">
        <v>0</v>
      </c>
      <c r="R253" s="426">
        <v>0</v>
      </c>
      <c r="S253" s="426">
        <v>0</v>
      </c>
      <c r="T253" s="426">
        <v>0</v>
      </c>
      <c r="U253" s="426">
        <f t="shared" si="22"/>
        <v>35.609299999999998</v>
      </c>
    </row>
    <row r="254" spans="1:21" s="426" customFormat="1">
      <c r="A254" s="426" t="str">
        <f t="shared" si="20"/>
        <v>KU</v>
      </c>
      <c r="B254" s="426" t="str">
        <f t="shared" si="19"/>
        <v>KY</v>
      </c>
      <c r="C254" s="426" t="str">
        <f t="shared" si="21"/>
        <v>E</v>
      </c>
      <c r="D254" s="426" t="s">
        <v>2657</v>
      </c>
      <c r="E254" s="426" t="str">
        <f t="shared" si="25"/>
        <v>341</v>
      </c>
      <c r="F254" s="741" t="s">
        <v>1746</v>
      </c>
      <c r="G254" s="425" t="str">
        <f t="shared" si="23"/>
        <v/>
      </c>
      <c r="H254" s="426">
        <v>0</v>
      </c>
      <c r="I254" s="426">
        <v>0</v>
      </c>
      <c r="J254" s="426">
        <v>0</v>
      </c>
      <c r="K254" s="426">
        <v>19.55977</v>
      </c>
      <c r="L254" s="426">
        <v>0</v>
      </c>
      <c r="M254" s="426">
        <v>0</v>
      </c>
      <c r="N254" s="426">
        <v>6.0418399999999997</v>
      </c>
      <c r="O254" s="426">
        <v>0</v>
      </c>
      <c r="P254" s="426">
        <v>0</v>
      </c>
      <c r="Q254" s="426">
        <v>0</v>
      </c>
      <c r="R254" s="426">
        <v>0</v>
      </c>
      <c r="S254" s="426">
        <v>0</v>
      </c>
      <c r="T254" s="426">
        <v>0</v>
      </c>
      <c r="U254" s="426">
        <f t="shared" si="22"/>
        <v>25.601610000000001</v>
      </c>
    </row>
    <row r="255" spans="1:21" s="426" customFormat="1">
      <c r="A255" s="426" t="str">
        <f t="shared" si="20"/>
        <v>KU</v>
      </c>
      <c r="B255" s="426" t="str">
        <f t="shared" si="19"/>
        <v>KY</v>
      </c>
      <c r="C255" s="426" t="str">
        <f t="shared" si="21"/>
        <v>E</v>
      </c>
      <c r="D255" s="426" t="s">
        <v>2657</v>
      </c>
      <c r="E255" s="426" t="str">
        <f t="shared" si="25"/>
        <v>341</v>
      </c>
      <c r="F255" s="741" t="s">
        <v>2184</v>
      </c>
      <c r="G255" s="425" t="str">
        <f t="shared" si="23"/>
        <v/>
      </c>
      <c r="H255" s="426">
        <v>0</v>
      </c>
      <c r="I255" s="426">
        <v>0</v>
      </c>
      <c r="J255" s="426">
        <v>0</v>
      </c>
      <c r="K255" s="426">
        <v>36.939279999999997</v>
      </c>
      <c r="L255" s="426">
        <v>0</v>
      </c>
      <c r="M255" s="426">
        <v>0</v>
      </c>
      <c r="N255" s="426">
        <v>0</v>
      </c>
      <c r="O255" s="426">
        <v>0</v>
      </c>
      <c r="P255" s="426">
        <v>0</v>
      </c>
      <c r="Q255" s="426">
        <v>0</v>
      </c>
      <c r="R255" s="426">
        <v>0</v>
      </c>
      <c r="S255" s="426">
        <v>0</v>
      </c>
      <c r="T255" s="426">
        <v>0</v>
      </c>
      <c r="U255" s="426">
        <f t="shared" si="22"/>
        <v>36.939279999999997</v>
      </c>
    </row>
    <row r="256" spans="1:21" s="426" customFormat="1">
      <c r="A256" s="426" t="str">
        <f t="shared" si="20"/>
        <v>KU</v>
      </c>
      <c r="B256" s="426" t="str">
        <f t="shared" si="19"/>
        <v>KY</v>
      </c>
      <c r="C256" s="426" t="str">
        <f t="shared" si="21"/>
        <v>E</v>
      </c>
      <c r="D256" s="426" t="s">
        <v>2657</v>
      </c>
      <c r="E256" s="426" t="str">
        <f t="shared" si="25"/>
        <v>342</v>
      </c>
      <c r="F256" s="741" t="s">
        <v>1747</v>
      </c>
      <c r="G256" s="425" t="str">
        <f t="shared" si="23"/>
        <v/>
      </c>
      <c r="H256" s="426">
        <v>0</v>
      </c>
      <c r="I256" s="426">
        <v>0</v>
      </c>
      <c r="J256" s="426">
        <v>0</v>
      </c>
      <c r="K256" s="426">
        <v>0</v>
      </c>
      <c r="L256" s="426">
        <v>1E-3</v>
      </c>
      <c r="M256" s="426">
        <v>0</v>
      </c>
      <c r="N256" s="426">
        <v>0</v>
      </c>
      <c r="O256" s="426">
        <v>0</v>
      </c>
      <c r="P256" s="426">
        <v>0</v>
      </c>
      <c r="Q256" s="426">
        <v>0</v>
      </c>
      <c r="R256" s="426">
        <v>0</v>
      </c>
      <c r="S256" s="426">
        <v>0</v>
      </c>
      <c r="T256" s="426">
        <v>0</v>
      </c>
      <c r="U256" s="426">
        <f t="shared" si="22"/>
        <v>1E-3</v>
      </c>
    </row>
    <row r="257" spans="1:21" s="426" customFormat="1">
      <c r="A257" s="426" t="str">
        <f t="shared" si="20"/>
        <v>KU</v>
      </c>
      <c r="B257" s="426" t="str">
        <f t="shared" si="19"/>
        <v>KY</v>
      </c>
      <c r="C257" s="426" t="str">
        <f t="shared" si="21"/>
        <v>E</v>
      </c>
      <c r="D257" s="426" t="s">
        <v>2657</v>
      </c>
      <c r="E257" s="426" t="str">
        <f t="shared" si="25"/>
        <v>343</v>
      </c>
      <c r="F257" s="741" t="s">
        <v>1748</v>
      </c>
      <c r="G257" s="425" t="str">
        <f t="shared" si="23"/>
        <v/>
      </c>
      <c r="H257" s="426">
        <v>0</v>
      </c>
      <c r="I257" s="426">
        <v>51.837530000000001</v>
      </c>
      <c r="J257" s="426">
        <v>0</v>
      </c>
      <c r="K257" s="426">
        <v>472.73579000000001</v>
      </c>
      <c r="L257" s="426">
        <v>0</v>
      </c>
      <c r="M257" s="426">
        <v>0</v>
      </c>
      <c r="N257" s="426">
        <v>165.53465</v>
      </c>
      <c r="O257" s="426">
        <v>0</v>
      </c>
      <c r="P257" s="426">
        <v>0</v>
      </c>
      <c r="Q257" s="426">
        <v>0</v>
      </c>
      <c r="R257" s="426">
        <v>0</v>
      </c>
      <c r="S257" s="426">
        <v>0</v>
      </c>
      <c r="T257" s="426">
        <v>0</v>
      </c>
      <c r="U257" s="426">
        <f t="shared" si="22"/>
        <v>690.10797000000002</v>
      </c>
    </row>
    <row r="258" spans="1:21" s="426" customFormat="1">
      <c r="A258" s="426" t="str">
        <f t="shared" si="20"/>
        <v>KU</v>
      </c>
      <c r="B258" s="426" t="str">
        <f t="shared" si="19"/>
        <v>KY</v>
      </c>
      <c r="C258" s="426" t="str">
        <f t="shared" si="21"/>
        <v>E</v>
      </c>
      <c r="D258" s="426" t="s">
        <v>2657</v>
      </c>
      <c r="E258" s="426" t="str">
        <f t="shared" si="25"/>
        <v>343</v>
      </c>
      <c r="F258" s="741" t="s">
        <v>2188</v>
      </c>
      <c r="G258" s="425" t="str">
        <f t="shared" si="23"/>
        <v/>
      </c>
      <c r="H258" s="426">
        <v>0</v>
      </c>
      <c r="I258" s="426">
        <v>92.913139999999999</v>
      </c>
      <c r="J258" s="426">
        <v>0</v>
      </c>
      <c r="K258" s="426">
        <v>3697.9083700000001</v>
      </c>
      <c r="L258" s="426">
        <v>0</v>
      </c>
      <c r="M258" s="426">
        <v>0</v>
      </c>
      <c r="N258" s="426">
        <v>414.20517999999998</v>
      </c>
      <c r="O258" s="426">
        <v>0</v>
      </c>
      <c r="P258" s="426">
        <v>0</v>
      </c>
      <c r="Q258" s="426">
        <v>0</v>
      </c>
      <c r="R258" s="426">
        <v>0</v>
      </c>
      <c r="S258" s="426">
        <v>0</v>
      </c>
      <c r="T258" s="426">
        <v>0</v>
      </c>
      <c r="U258" s="426">
        <f t="shared" si="22"/>
        <v>4205.0266900000006</v>
      </c>
    </row>
    <row r="259" spans="1:21" s="426" customFormat="1">
      <c r="A259" s="426" t="str">
        <f t="shared" si="20"/>
        <v>KU</v>
      </c>
      <c r="B259" s="426" t="str">
        <f t="shared" si="19"/>
        <v>KY</v>
      </c>
      <c r="C259" s="426" t="str">
        <f t="shared" si="21"/>
        <v>E</v>
      </c>
      <c r="D259" s="426" t="s">
        <v>2657</v>
      </c>
      <c r="E259" s="426" t="str">
        <f t="shared" si="25"/>
        <v>344</v>
      </c>
      <c r="F259" s="741" t="s">
        <v>1749</v>
      </c>
      <c r="G259" s="425" t="str">
        <f t="shared" si="23"/>
        <v/>
      </c>
      <c r="H259" s="426">
        <v>0</v>
      </c>
      <c r="I259" s="426">
        <v>0</v>
      </c>
      <c r="J259" s="426">
        <v>0</v>
      </c>
      <c r="K259" s="426">
        <v>630.28521999999998</v>
      </c>
      <c r="L259" s="426">
        <v>0</v>
      </c>
      <c r="M259" s="426">
        <v>0</v>
      </c>
      <c r="N259" s="426">
        <v>90.163960000000003</v>
      </c>
      <c r="O259" s="426">
        <v>0</v>
      </c>
      <c r="P259" s="426">
        <v>0</v>
      </c>
      <c r="Q259" s="426">
        <v>0</v>
      </c>
      <c r="R259" s="426">
        <v>0</v>
      </c>
      <c r="S259" s="426">
        <v>0</v>
      </c>
      <c r="T259" s="426">
        <v>0</v>
      </c>
      <c r="U259" s="426">
        <f t="shared" si="22"/>
        <v>720.44917999999996</v>
      </c>
    </row>
    <row r="260" spans="1:21" s="426" customFormat="1">
      <c r="A260" s="426" t="str">
        <f t="shared" si="20"/>
        <v>KU</v>
      </c>
      <c r="B260" s="426" t="str">
        <f t="shared" si="19"/>
        <v>KY</v>
      </c>
      <c r="C260" s="426" t="str">
        <f t="shared" si="21"/>
        <v>E</v>
      </c>
      <c r="D260" s="426" t="s">
        <v>2657</v>
      </c>
      <c r="E260" s="426" t="str">
        <f t="shared" si="25"/>
        <v>352</v>
      </c>
      <c r="F260" s="741" t="s">
        <v>1756</v>
      </c>
      <c r="G260" s="425" t="str">
        <f t="shared" si="23"/>
        <v/>
      </c>
      <c r="H260" s="426">
        <v>0.30451</v>
      </c>
      <c r="I260" s="426">
        <v>8.4139599999999994</v>
      </c>
      <c r="J260" s="426">
        <v>4.9398499999999999</v>
      </c>
      <c r="K260" s="426">
        <v>0</v>
      </c>
      <c r="L260" s="426">
        <v>0</v>
      </c>
      <c r="M260" s="426">
        <v>0</v>
      </c>
      <c r="N260" s="426">
        <v>0</v>
      </c>
      <c r="O260" s="426">
        <v>0</v>
      </c>
      <c r="P260" s="426">
        <v>0</v>
      </c>
      <c r="Q260" s="426">
        <v>0</v>
      </c>
      <c r="R260" s="426">
        <v>0</v>
      </c>
      <c r="S260" s="426">
        <v>0</v>
      </c>
      <c r="T260" s="426">
        <v>0</v>
      </c>
      <c r="U260" s="426">
        <f t="shared" si="22"/>
        <v>13.353809999999999</v>
      </c>
    </row>
    <row r="261" spans="1:21" s="426" customFormat="1">
      <c r="A261" s="426" t="str">
        <f t="shared" si="20"/>
        <v>KU</v>
      </c>
      <c r="B261" s="426" t="str">
        <f t="shared" si="19"/>
        <v>VA</v>
      </c>
      <c r="C261" s="426" t="str">
        <f t="shared" si="21"/>
        <v>E</v>
      </c>
      <c r="D261" s="426" t="s">
        <v>2657</v>
      </c>
      <c r="E261" s="426" t="str">
        <f t="shared" si="25"/>
        <v>352</v>
      </c>
      <c r="F261" s="741" t="s">
        <v>1757</v>
      </c>
      <c r="G261" s="425" t="str">
        <f t="shared" si="23"/>
        <v/>
      </c>
      <c r="H261" s="426">
        <v>0</v>
      </c>
      <c r="I261" s="426">
        <v>0</v>
      </c>
      <c r="J261" s="426">
        <v>0</v>
      </c>
      <c r="K261" s="426">
        <v>2.1816900000000001</v>
      </c>
      <c r="L261" s="426">
        <v>0</v>
      </c>
      <c r="M261" s="426">
        <v>0</v>
      </c>
      <c r="N261" s="426">
        <v>0</v>
      </c>
      <c r="O261" s="426">
        <v>0</v>
      </c>
      <c r="P261" s="426">
        <v>0</v>
      </c>
      <c r="Q261" s="426">
        <v>0</v>
      </c>
      <c r="R261" s="426">
        <v>0</v>
      </c>
      <c r="S261" s="426">
        <v>0</v>
      </c>
      <c r="T261" s="426">
        <v>0</v>
      </c>
      <c r="U261" s="426">
        <f t="shared" si="22"/>
        <v>2.1816900000000001</v>
      </c>
    </row>
    <row r="262" spans="1:21" s="426" customFormat="1">
      <c r="A262" s="426" t="str">
        <f t="shared" si="20"/>
        <v>KU</v>
      </c>
      <c r="B262" s="426" t="str">
        <f t="shared" si="19"/>
        <v>KY</v>
      </c>
      <c r="C262" s="426" t="str">
        <f t="shared" si="21"/>
        <v>E</v>
      </c>
      <c r="D262" s="426" t="s">
        <v>2657</v>
      </c>
      <c r="E262" s="426" t="str">
        <f t="shared" si="25"/>
        <v>353</v>
      </c>
      <c r="F262" s="741" t="s">
        <v>1758</v>
      </c>
      <c r="G262" s="425" t="str">
        <f t="shared" si="23"/>
        <v/>
      </c>
      <c r="H262" s="426">
        <v>0</v>
      </c>
      <c r="I262" s="426">
        <v>10.766450000000001</v>
      </c>
      <c r="J262" s="426">
        <v>147.59039999999999</v>
      </c>
      <c r="K262" s="426">
        <v>3.2291500000000002</v>
      </c>
      <c r="L262" s="426">
        <v>132.54901999999899</v>
      </c>
      <c r="M262" s="426">
        <v>35.43732</v>
      </c>
      <c r="N262" s="426">
        <v>60.741959999999999</v>
      </c>
      <c r="O262" s="426">
        <v>179.55958999999999</v>
      </c>
      <c r="P262" s="426">
        <v>248.89492999999999</v>
      </c>
      <c r="Q262" s="426">
        <v>389.31554999999997</v>
      </c>
      <c r="R262" s="426">
        <v>296.33222999999998</v>
      </c>
      <c r="S262" s="426">
        <v>155.90189000000001</v>
      </c>
      <c r="T262" s="426">
        <v>243.24212</v>
      </c>
      <c r="U262" s="426">
        <f t="shared" si="22"/>
        <v>1903.5606099999991</v>
      </c>
    </row>
    <row r="263" spans="1:21" s="426" customFormat="1">
      <c r="A263" s="426" t="str">
        <f t="shared" si="20"/>
        <v>KU</v>
      </c>
      <c r="B263" s="426" t="str">
        <f t="shared" ref="B263:B381" si="26">IF(MID($F263,12,2)="- ","KY",IF(MID($F263,12,2)="SY","KY",MID($F263,12,2)))</f>
        <v>VA</v>
      </c>
      <c r="C263" s="426" t="str">
        <f t="shared" si="21"/>
        <v>E</v>
      </c>
      <c r="D263" s="426" t="s">
        <v>2657</v>
      </c>
      <c r="E263" s="426" t="str">
        <f t="shared" si="25"/>
        <v>353</v>
      </c>
      <c r="F263" s="741" t="s">
        <v>1760</v>
      </c>
      <c r="G263" s="425" t="str">
        <f t="shared" si="23"/>
        <v/>
      </c>
      <c r="H263" s="426">
        <v>0</v>
      </c>
      <c r="I263" s="426">
        <v>8.0937299999999901</v>
      </c>
      <c r="J263" s="426">
        <v>1.1263399999999999</v>
      </c>
      <c r="K263" s="426">
        <v>0</v>
      </c>
      <c r="L263" s="426">
        <v>0</v>
      </c>
      <c r="M263" s="426">
        <v>0</v>
      </c>
      <c r="N263" s="426">
        <v>0</v>
      </c>
      <c r="O263" s="426">
        <v>0</v>
      </c>
      <c r="P263" s="426">
        <v>0</v>
      </c>
      <c r="Q263" s="426">
        <v>0</v>
      </c>
      <c r="R263" s="426">
        <v>0</v>
      </c>
      <c r="S263" s="426">
        <v>0</v>
      </c>
      <c r="T263" s="426">
        <v>0</v>
      </c>
      <c r="U263" s="426">
        <f t="shared" si="22"/>
        <v>9.2200699999999891</v>
      </c>
    </row>
    <row r="264" spans="1:21" s="426" customFormat="1">
      <c r="A264" s="426" t="str">
        <f t="shared" si="20"/>
        <v>KU</v>
      </c>
      <c r="B264" s="426" t="str">
        <f t="shared" si="26"/>
        <v>KY</v>
      </c>
      <c r="C264" s="426" t="str">
        <f t="shared" si="21"/>
        <v>E</v>
      </c>
      <c r="D264" s="426" t="s">
        <v>2657</v>
      </c>
      <c r="E264" s="426" t="str">
        <f t="shared" si="25"/>
        <v>355</v>
      </c>
      <c r="F264" s="741" t="s">
        <v>1763</v>
      </c>
      <c r="G264" s="425" t="str">
        <f t="shared" si="23"/>
        <v/>
      </c>
      <c r="H264" s="426">
        <v>117.38705</v>
      </c>
      <c r="I264" s="426">
        <v>1.9387799999999999</v>
      </c>
      <c r="J264" s="426">
        <v>51.370229999999999</v>
      </c>
      <c r="K264" s="426">
        <v>39.492690000000003</v>
      </c>
      <c r="L264" s="426">
        <v>41.666080000000001</v>
      </c>
      <c r="M264" s="426">
        <v>0</v>
      </c>
      <c r="N264" s="426">
        <v>224.59217999999899</v>
      </c>
      <c r="O264" s="426">
        <v>172.65932999999899</v>
      </c>
      <c r="P264" s="426">
        <v>239.33018999999999</v>
      </c>
      <c r="Q264" s="426">
        <v>374.35460999999998</v>
      </c>
      <c r="R264" s="426">
        <v>284.94453999999899</v>
      </c>
      <c r="S264" s="426">
        <v>149.91076000000001</v>
      </c>
      <c r="T264" s="426">
        <v>233.89461</v>
      </c>
      <c r="U264" s="426">
        <f t="shared" si="22"/>
        <v>1814.153999999997</v>
      </c>
    </row>
    <row r="265" spans="1:21" s="426" customFormat="1">
      <c r="A265" s="426" t="str">
        <f t="shared" si="20"/>
        <v>KU</v>
      </c>
      <c r="B265" s="426" t="str">
        <f t="shared" si="26"/>
        <v>VA</v>
      </c>
      <c r="C265" s="426" t="str">
        <f t="shared" si="21"/>
        <v>E</v>
      </c>
      <c r="D265" s="426" t="s">
        <v>2657</v>
      </c>
      <c r="E265" s="426" t="str">
        <f t="shared" si="25"/>
        <v>355</v>
      </c>
      <c r="F265" s="741" t="s">
        <v>1765</v>
      </c>
      <c r="G265" s="425" t="str">
        <f t="shared" si="23"/>
        <v/>
      </c>
      <c r="H265" s="426">
        <v>4.0063599999999999</v>
      </c>
      <c r="I265" s="426">
        <v>0</v>
      </c>
      <c r="J265" s="426">
        <v>0</v>
      </c>
      <c r="K265" s="426">
        <v>16.20478</v>
      </c>
      <c r="L265" s="426">
        <v>0</v>
      </c>
      <c r="M265" s="426">
        <v>0</v>
      </c>
      <c r="N265" s="426">
        <v>0</v>
      </c>
      <c r="O265" s="426">
        <v>0</v>
      </c>
      <c r="P265" s="426">
        <v>0</v>
      </c>
      <c r="Q265" s="426">
        <v>0</v>
      </c>
      <c r="R265" s="426">
        <v>0</v>
      </c>
      <c r="S265" s="426">
        <v>0</v>
      </c>
      <c r="T265" s="426">
        <v>0</v>
      </c>
      <c r="U265" s="426">
        <f t="shared" si="22"/>
        <v>16.20478</v>
      </c>
    </row>
    <row r="266" spans="1:21" s="426" customFormat="1">
      <c r="A266" s="426" t="str">
        <f t="shared" ref="A266:A368" si="27">MID($F266,4,2)</f>
        <v>KU</v>
      </c>
      <c r="B266" s="426" t="str">
        <f t="shared" si="26"/>
        <v>KY</v>
      </c>
      <c r="C266" s="426" t="str">
        <f t="shared" si="21"/>
        <v>E</v>
      </c>
      <c r="D266" s="426" t="s">
        <v>2657</v>
      </c>
      <c r="E266" s="426" t="str">
        <f t="shared" si="25"/>
        <v>356</v>
      </c>
      <c r="F266" s="741" t="s">
        <v>1766</v>
      </c>
      <c r="G266" s="425" t="str">
        <f t="shared" si="23"/>
        <v/>
      </c>
      <c r="H266" s="426">
        <v>8.3819599999999994</v>
      </c>
      <c r="I266" s="426">
        <v>4.3009300000000001</v>
      </c>
      <c r="J266" s="426">
        <v>36.663060000000002</v>
      </c>
      <c r="K266" s="426">
        <v>2.1024600000000002</v>
      </c>
      <c r="L266" s="426">
        <v>14.64841</v>
      </c>
      <c r="M266" s="426">
        <v>0</v>
      </c>
      <c r="N266" s="426">
        <v>0</v>
      </c>
      <c r="O266" s="426">
        <v>94.787490000000005</v>
      </c>
      <c r="P266" s="426">
        <v>131.38884999999999</v>
      </c>
      <c r="Q266" s="426">
        <v>205.51532</v>
      </c>
      <c r="R266" s="426">
        <v>156.43047000000001</v>
      </c>
      <c r="S266" s="426">
        <v>82.298860000000005</v>
      </c>
      <c r="T266" s="426">
        <v>128.40478999999999</v>
      </c>
      <c r="U266" s="426">
        <f t="shared" si="22"/>
        <v>856.54063999999994</v>
      </c>
    </row>
    <row r="267" spans="1:21" s="426" customFormat="1">
      <c r="A267" s="426" t="str">
        <f t="shared" si="27"/>
        <v>KU</v>
      </c>
      <c r="B267" s="426" t="str">
        <f t="shared" si="26"/>
        <v>VA</v>
      </c>
      <c r="C267" s="426" t="str">
        <f t="shared" ref="C267:C385" si="28">IF(ISTEXT(MID($F267,SEARCH("FUTURE USE",$F267),3)),"F",IF(MID($F267,7,1)="1","E",IF(MID($F267,7,1)="2","G",IF(MID($F267,7,1)="3","C",""))))</f>
        <v>E</v>
      </c>
      <c r="D267" s="426" t="s">
        <v>2657</v>
      </c>
      <c r="E267" s="426" t="str">
        <f t="shared" si="25"/>
        <v>356</v>
      </c>
      <c r="F267" s="741" t="s">
        <v>1768</v>
      </c>
      <c r="G267" s="425" t="str">
        <f t="shared" si="23"/>
        <v/>
      </c>
      <c r="H267" s="426">
        <v>0.63832</v>
      </c>
      <c r="I267" s="426">
        <v>0</v>
      </c>
      <c r="J267" s="426">
        <v>0</v>
      </c>
      <c r="K267" s="426">
        <v>0.36734</v>
      </c>
      <c r="L267" s="426">
        <v>0</v>
      </c>
      <c r="M267" s="426">
        <v>0</v>
      </c>
      <c r="N267" s="426">
        <v>0</v>
      </c>
      <c r="O267" s="426">
        <v>0</v>
      </c>
      <c r="P267" s="426">
        <v>0</v>
      </c>
      <c r="Q267" s="426">
        <v>0</v>
      </c>
      <c r="R267" s="426">
        <v>0</v>
      </c>
      <c r="S267" s="426">
        <v>0</v>
      </c>
      <c r="T267" s="426">
        <v>0</v>
      </c>
      <c r="U267" s="426">
        <f t="shared" si="22"/>
        <v>0.36734</v>
      </c>
    </row>
    <row r="268" spans="1:21" s="426" customFormat="1">
      <c r="A268" s="426" t="str">
        <f t="shared" si="27"/>
        <v>KU</v>
      </c>
      <c r="B268" s="426" t="str">
        <f t="shared" si="26"/>
        <v>KY</v>
      </c>
      <c r="C268" s="426" t="str">
        <f t="shared" si="28"/>
        <v>E</v>
      </c>
      <c r="D268" s="426" t="s">
        <v>2657</v>
      </c>
      <c r="E268" s="426" t="str">
        <f t="shared" si="25"/>
        <v>357</v>
      </c>
      <c r="F268" s="741" t="s">
        <v>1769</v>
      </c>
      <c r="G268" s="425" t="str">
        <f t="shared" si="23"/>
        <v/>
      </c>
      <c r="H268" s="426">
        <v>0</v>
      </c>
      <c r="I268" s="426">
        <v>0</v>
      </c>
      <c r="J268" s="426">
        <v>0</v>
      </c>
      <c r="K268" s="426">
        <v>63.38503</v>
      </c>
      <c r="L268" s="426">
        <v>0</v>
      </c>
      <c r="M268" s="426">
        <v>0</v>
      </c>
      <c r="N268" s="426">
        <v>0</v>
      </c>
      <c r="O268" s="426">
        <v>0</v>
      </c>
      <c r="P268" s="426">
        <v>0</v>
      </c>
      <c r="Q268" s="426">
        <v>0</v>
      </c>
      <c r="R268" s="426">
        <v>0</v>
      </c>
      <c r="S268" s="426">
        <v>0</v>
      </c>
      <c r="T268" s="426">
        <v>0</v>
      </c>
      <c r="U268" s="426">
        <f t="shared" si="22"/>
        <v>63.38503</v>
      </c>
    </row>
    <row r="269" spans="1:21" s="426" customFormat="1">
      <c r="A269" s="426" t="str">
        <f t="shared" si="27"/>
        <v>KU</v>
      </c>
      <c r="B269" s="426" t="str">
        <f t="shared" si="26"/>
        <v>KY</v>
      </c>
      <c r="C269" s="426" t="str">
        <f t="shared" si="28"/>
        <v>E</v>
      </c>
      <c r="D269" s="426" t="s">
        <v>2657</v>
      </c>
      <c r="E269" s="426" t="str">
        <f t="shared" si="25"/>
        <v>358</v>
      </c>
      <c r="F269" s="741" t="s">
        <v>1770</v>
      </c>
      <c r="G269" s="425" t="str">
        <f t="shared" si="23"/>
        <v/>
      </c>
      <c r="H269" s="426">
        <v>0</v>
      </c>
      <c r="I269" s="426">
        <v>0</v>
      </c>
      <c r="J269" s="426">
        <v>0</v>
      </c>
      <c r="K269" s="426">
        <v>87.624780000000001</v>
      </c>
      <c r="L269" s="426">
        <v>0</v>
      </c>
      <c r="M269" s="426">
        <v>0</v>
      </c>
      <c r="N269" s="426">
        <v>0</v>
      </c>
      <c r="O269" s="426">
        <v>0</v>
      </c>
      <c r="P269" s="426">
        <v>0</v>
      </c>
      <c r="Q269" s="426">
        <v>0</v>
      </c>
      <c r="R269" s="426">
        <v>0</v>
      </c>
      <c r="S269" s="426">
        <v>0</v>
      </c>
      <c r="T269" s="426">
        <v>0</v>
      </c>
      <c r="U269" s="426">
        <f t="shared" si="22"/>
        <v>87.624780000000001</v>
      </c>
    </row>
    <row r="270" spans="1:21" s="426" customFormat="1">
      <c r="A270" s="426" t="str">
        <f t="shared" si="27"/>
        <v>KU</v>
      </c>
      <c r="B270" s="426" t="str">
        <f t="shared" si="26"/>
        <v>KY</v>
      </c>
      <c r="C270" s="426" t="str">
        <f t="shared" si="28"/>
        <v>E</v>
      </c>
      <c r="D270" s="426" t="s">
        <v>2657</v>
      </c>
      <c r="E270" s="426" t="str">
        <f t="shared" si="25"/>
        <v>361</v>
      </c>
      <c r="F270" s="741" t="s">
        <v>1776</v>
      </c>
      <c r="G270" s="425" t="str">
        <f t="shared" si="23"/>
        <v/>
      </c>
      <c r="H270" s="426">
        <v>0</v>
      </c>
      <c r="I270" s="426">
        <v>0</v>
      </c>
      <c r="J270" s="426">
        <v>0</v>
      </c>
      <c r="K270" s="426">
        <v>29.704619999999998</v>
      </c>
      <c r="L270" s="426">
        <v>8.5782699999999998</v>
      </c>
      <c r="M270" s="426">
        <v>0</v>
      </c>
      <c r="N270" s="426">
        <v>0</v>
      </c>
      <c r="O270" s="426">
        <v>0</v>
      </c>
      <c r="P270" s="426">
        <v>0</v>
      </c>
      <c r="Q270" s="426">
        <v>0</v>
      </c>
      <c r="R270" s="426">
        <v>0</v>
      </c>
      <c r="S270" s="426">
        <v>0</v>
      </c>
      <c r="T270" s="426">
        <v>0</v>
      </c>
      <c r="U270" s="426">
        <f t="shared" si="22"/>
        <v>38.282889999999995</v>
      </c>
    </row>
    <row r="271" spans="1:21" s="426" customFormat="1">
      <c r="A271" s="426" t="str">
        <f t="shared" si="27"/>
        <v>KU</v>
      </c>
      <c r="B271" s="426" t="str">
        <f t="shared" si="26"/>
        <v>KY</v>
      </c>
      <c r="C271" s="426" t="str">
        <f t="shared" si="28"/>
        <v>E</v>
      </c>
      <c r="D271" s="426" t="s">
        <v>2657</v>
      </c>
      <c r="E271" s="426" t="str">
        <f t="shared" si="25"/>
        <v>362</v>
      </c>
      <c r="F271" s="741" t="s">
        <v>1779</v>
      </c>
      <c r="G271" s="425" t="str">
        <f t="shared" si="23"/>
        <v/>
      </c>
      <c r="H271" s="426">
        <v>446.78746999999998</v>
      </c>
      <c r="I271" s="426">
        <v>0</v>
      </c>
      <c r="J271" s="426">
        <v>0</v>
      </c>
      <c r="K271" s="426">
        <v>16.44894</v>
      </c>
      <c r="L271" s="426">
        <v>37.744250000000001</v>
      </c>
      <c r="M271" s="426">
        <v>10.964040000000001</v>
      </c>
      <c r="N271" s="426">
        <v>0</v>
      </c>
      <c r="O271" s="426">
        <v>70.13261</v>
      </c>
      <c r="P271" s="426">
        <v>137.35266999999999</v>
      </c>
      <c r="Q271" s="426">
        <v>147.59801999999999</v>
      </c>
      <c r="R271" s="426">
        <v>166.2398</v>
      </c>
      <c r="S271" s="426">
        <v>13.492430000000001</v>
      </c>
      <c r="T271" s="426">
        <v>68.914230000000003</v>
      </c>
      <c r="U271" s="426">
        <f t="shared" si="22"/>
        <v>668.88699000000008</v>
      </c>
    </row>
    <row r="272" spans="1:21" s="426" customFormat="1">
      <c r="A272" s="426" t="str">
        <f t="shared" si="27"/>
        <v>KU</v>
      </c>
      <c r="B272" s="426" t="str">
        <f t="shared" si="26"/>
        <v>VA</v>
      </c>
      <c r="C272" s="426" t="str">
        <f t="shared" si="28"/>
        <v>E</v>
      </c>
      <c r="D272" s="426" t="s">
        <v>2657</v>
      </c>
      <c r="E272" s="426" t="str">
        <f t="shared" si="25"/>
        <v>362</v>
      </c>
      <c r="F272" s="741" t="s">
        <v>1781</v>
      </c>
      <c r="G272" s="425" t="str">
        <f t="shared" si="23"/>
        <v/>
      </c>
      <c r="H272" s="426">
        <v>0</v>
      </c>
      <c r="I272" s="426">
        <v>0</v>
      </c>
      <c r="J272" s="426">
        <v>0</v>
      </c>
      <c r="K272" s="426">
        <v>0</v>
      </c>
      <c r="L272" s="426">
        <v>10.55871</v>
      </c>
      <c r="M272" s="426">
        <v>0</v>
      </c>
      <c r="N272" s="426">
        <v>0</v>
      </c>
      <c r="O272" s="426">
        <v>0</v>
      </c>
      <c r="P272" s="426">
        <v>0</v>
      </c>
      <c r="Q272" s="426">
        <v>0</v>
      </c>
      <c r="R272" s="426">
        <v>0</v>
      </c>
      <c r="S272" s="426">
        <v>0</v>
      </c>
      <c r="T272" s="426">
        <v>0</v>
      </c>
      <c r="U272" s="426">
        <f t="shared" si="22"/>
        <v>10.55871</v>
      </c>
    </row>
    <row r="273" spans="1:21" s="426" customFormat="1">
      <c r="A273" s="426" t="str">
        <f t="shared" si="27"/>
        <v>KU</v>
      </c>
      <c r="B273" s="426" t="str">
        <f t="shared" si="26"/>
        <v>KY</v>
      </c>
      <c r="C273" s="426" t="str">
        <f t="shared" si="28"/>
        <v>E</v>
      </c>
      <c r="D273" s="426" t="s">
        <v>2657</v>
      </c>
      <c r="E273" s="426" t="str">
        <f t="shared" si="25"/>
        <v>364</v>
      </c>
      <c r="F273" s="741" t="s">
        <v>1782</v>
      </c>
      <c r="G273" s="425" t="str">
        <f t="shared" si="23"/>
        <v/>
      </c>
      <c r="H273" s="426">
        <v>48.665349999999997</v>
      </c>
      <c r="I273" s="426">
        <v>12.19936</v>
      </c>
      <c r="J273" s="426">
        <v>256.50387000000001</v>
      </c>
      <c r="K273" s="426">
        <v>-6.5142100000000003</v>
      </c>
      <c r="L273" s="426">
        <v>109.11067</v>
      </c>
      <c r="M273" s="426">
        <v>3.3691599999999999</v>
      </c>
      <c r="N273" s="426">
        <v>30.373169999999998</v>
      </c>
      <c r="O273" s="426">
        <v>85.294830000000005</v>
      </c>
      <c r="P273" s="426">
        <v>167.04742999999999</v>
      </c>
      <c r="Q273" s="426">
        <v>179.50775999999999</v>
      </c>
      <c r="R273" s="426">
        <v>202.17976999999999</v>
      </c>
      <c r="S273" s="426">
        <v>16.409410000000001</v>
      </c>
      <c r="T273" s="426">
        <v>83.813050000000004</v>
      </c>
      <c r="U273" s="426">
        <f t="shared" si="22"/>
        <v>1139.2942700000001</v>
      </c>
    </row>
    <row r="274" spans="1:21" s="426" customFormat="1">
      <c r="A274" s="426" t="str">
        <f t="shared" si="27"/>
        <v>KU</v>
      </c>
      <c r="B274" s="426" t="str">
        <f t="shared" si="26"/>
        <v>VA</v>
      </c>
      <c r="C274" s="426" t="str">
        <f t="shared" si="28"/>
        <v>E</v>
      </c>
      <c r="D274" s="426" t="s">
        <v>2657</v>
      </c>
      <c r="E274" s="426" t="str">
        <f t="shared" si="25"/>
        <v>364</v>
      </c>
      <c r="F274" s="741" t="s">
        <v>1784</v>
      </c>
      <c r="G274" s="425" t="str">
        <f t="shared" si="23"/>
        <v/>
      </c>
      <c r="H274" s="426">
        <v>0</v>
      </c>
      <c r="I274" s="426">
        <v>32.349269999999997</v>
      </c>
      <c r="J274" s="426">
        <v>14.334299999999899</v>
      </c>
      <c r="K274" s="426">
        <v>7.0746799999999999</v>
      </c>
      <c r="L274" s="426">
        <v>0</v>
      </c>
      <c r="M274" s="426">
        <v>0</v>
      </c>
      <c r="N274" s="426">
        <v>0</v>
      </c>
      <c r="O274" s="426">
        <v>0</v>
      </c>
      <c r="P274" s="426">
        <v>0</v>
      </c>
      <c r="Q274" s="426">
        <v>0</v>
      </c>
      <c r="R274" s="426">
        <v>0</v>
      </c>
      <c r="S274" s="426">
        <v>0</v>
      </c>
      <c r="T274" s="426">
        <v>0</v>
      </c>
      <c r="U274" s="426">
        <f t="shared" si="22"/>
        <v>53.758249999999897</v>
      </c>
    </row>
    <row r="275" spans="1:21" s="426" customFormat="1">
      <c r="A275" s="426" t="str">
        <f t="shared" si="27"/>
        <v>KU</v>
      </c>
      <c r="B275" s="426" t="str">
        <f t="shared" si="26"/>
        <v>KY</v>
      </c>
      <c r="C275" s="426" t="str">
        <f t="shared" si="28"/>
        <v>E</v>
      </c>
      <c r="D275" s="426" t="s">
        <v>2657</v>
      </c>
      <c r="E275" s="426" t="str">
        <f t="shared" si="25"/>
        <v>365</v>
      </c>
      <c r="F275" s="741" t="s">
        <v>1785</v>
      </c>
      <c r="G275" s="425" t="str">
        <f t="shared" si="23"/>
        <v/>
      </c>
      <c r="H275" s="426">
        <v>250.86507</v>
      </c>
      <c r="I275" s="426">
        <v>163.65098</v>
      </c>
      <c r="J275" s="426">
        <v>757.92849000000001</v>
      </c>
      <c r="K275" s="426">
        <v>75.783609999999996</v>
      </c>
      <c r="L275" s="426">
        <v>5515.7746900000002</v>
      </c>
      <c r="M275" s="426">
        <v>7.1186800000000003</v>
      </c>
      <c r="N275" s="426">
        <v>257.01418999999999</v>
      </c>
      <c r="O275" s="426">
        <v>410.83055999999999</v>
      </c>
      <c r="P275" s="426">
        <v>804.59961999999996</v>
      </c>
      <c r="Q275" s="426">
        <v>864.61599000000001</v>
      </c>
      <c r="R275" s="426">
        <v>973.81785000000002</v>
      </c>
      <c r="S275" s="426">
        <v>79.037449999999893</v>
      </c>
      <c r="T275" s="426">
        <v>403.69340999999997</v>
      </c>
      <c r="U275" s="426">
        <f t="shared" si="22"/>
        <v>10313.865519999999</v>
      </c>
    </row>
    <row r="276" spans="1:21" s="426" customFormat="1">
      <c r="A276" s="426" t="str">
        <f t="shared" si="27"/>
        <v>KU</v>
      </c>
      <c r="B276" s="426" t="str">
        <f t="shared" si="26"/>
        <v>VA</v>
      </c>
      <c r="C276" s="426" t="str">
        <f t="shared" si="28"/>
        <v>E</v>
      </c>
      <c r="D276" s="426" t="s">
        <v>2657</v>
      </c>
      <c r="E276" s="426" t="str">
        <f t="shared" si="25"/>
        <v>365</v>
      </c>
      <c r="F276" s="741" t="s">
        <v>1787</v>
      </c>
      <c r="G276" s="425" t="str">
        <f t="shared" si="23"/>
        <v/>
      </c>
      <c r="H276" s="426">
        <v>0</v>
      </c>
      <c r="I276" s="426">
        <v>148.12253000000001</v>
      </c>
      <c r="J276" s="426">
        <v>3.1640700000000002</v>
      </c>
      <c r="K276" s="426">
        <v>48.858379999999997</v>
      </c>
      <c r="L276" s="426">
        <v>0</v>
      </c>
      <c r="M276" s="426">
        <v>0</v>
      </c>
      <c r="N276" s="426">
        <v>0</v>
      </c>
      <c r="O276" s="426">
        <v>0</v>
      </c>
      <c r="P276" s="426">
        <v>0</v>
      </c>
      <c r="Q276" s="426">
        <v>0</v>
      </c>
      <c r="R276" s="426">
        <v>0</v>
      </c>
      <c r="S276" s="426">
        <v>0</v>
      </c>
      <c r="T276" s="426">
        <v>0</v>
      </c>
      <c r="U276" s="426">
        <f t="shared" si="22"/>
        <v>200.14498000000003</v>
      </c>
    </row>
    <row r="277" spans="1:21" s="426" customFormat="1">
      <c r="A277" s="426" t="str">
        <f t="shared" si="27"/>
        <v>KU</v>
      </c>
      <c r="B277" s="426" t="str">
        <f t="shared" si="26"/>
        <v>KY</v>
      </c>
      <c r="C277" s="426" t="str">
        <f t="shared" si="28"/>
        <v>E</v>
      </c>
      <c r="D277" s="426" t="s">
        <v>2657</v>
      </c>
      <c r="E277" s="426" t="str">
        <f t="shared" si="25"/>
        <v>367</v>
      </c>
      <c r="F277" s="741" t="s">
        <v>1789</v>
      </c>
      <c r="G277" s="425" t="str">
        <f t="shared" si="23"/>
        <v/>
      </c>
      <c r="H277" s="426">
        <v>7.5902900000000004</v>
      </c>
      <c r="I277" s="426">
        <v>13.10774</v>
      </c>
      <c r="J277" s="426">
        <v>3.1436099999999998</v>
      </c>
      <c r="K277" s="426">
        <v>25.25001</v>
      </c>
      <c r="L277" s="426">
        <v>29.410309999999999</v>
      </c>
      <c r="M277" s="426">
        <v>38.394799999999996</v>
      </c>
      <c r="N277" s="426">
        <v>123.56827</v>
      </c>
      <c r="O277" s="426">
        <v>0</v>
      </c>
      <c r="P277" s="426">
        <v>0</v>
      </c>
      <c r="Q277" s="426">
        <v>0</v>
      </c>
      <c r="R277" s="426">
        <v>0</v>
      </c>
      <c r="S277" s="426">
        <v>0</v>
      </c>
      <c r="T277" s="426">
        <v>0</v>
      </c>
      <c r="U277" s="426">
        <f t="shared" ref="U277:U280" si="29">SUM(I277:T277)</f>
        <v>232.87473999999997</v>
      </c>
    </row>
    <row r="278" spans="1:21" s="426" customFormat="1">
      <c r="A278" s="426" t="str">
        <f t="shared" si="27"/>
        <v>KU</v>
      </c>
      <c r="B278" s="426" t="str">
        <f t="shared" si="26"/>
        <v>VA</v>
      </c>
      <c r="C278" s="426" t="str">
        <f t="shared" si="28"/>
        <v>E</v>
      </c>
      <c r="D278" s="426" t="s">
        <v>2657</v>
      </c>
      <c r="E278" s="426" t="str">
        <f t="shared" si="25"/>
        <v>367</v>
      </c>
      <c r="F278" s="741" t="s">
        <v>1790</v>
      </c>
      <c r="G278" s="425" t="str">
        <f t="shared" si="23"/>
        <v/>
      </c>
      <c r="H278" s="426">
        <v>0</v>
      </c>
      <c r="I278" s="426">
        <v>0</v>
      </c>
      <c r="J278" s="426">
        <v>0</v>
      </c>
      <c r="K278" s="426">
        <v>0.62531999999999999</v>
      </c>
      <c r="L278" s="426">
        <v>2.0434399999999999</v>
      </c>
      <c r="M278" s="426">
        <v>0</v>
      </c>
      <c r="N278" s="426">
        <v>0</v>
      </c>
      <c r="O278" s="426">
        <v>0</v>
      </c>
      <c r="P278" s="426">
        <v>0</v>
      </c>
      <c r="Q278" s="426">
        <v>0</v>
      </c>
      <c r="R278" s="426">
        <v>0</v>
      </c>
      <c r="S278" s="426">
        <v>0</v>
      </c>
      <c r="T278" s="426">
        <v>0</v>
      </c>
      <c r="U278" s="426">
        <f t="shared" si="29"/>
        <v>2.6687599999999998</v>
      </c>
    </row>
    <row r="279" spans="1:21" s="426" customFormat="1">
      <c r="A279" s="426" t="str">
        <f t="shared" si="27"/>
        <v>KU</v>
      </c>
      <c r="B279" s="426" t="str">
        <f t="shared" si="26"/>
        <v>KY</v>
      </c>
      <c r="C279" s="426" t="str">
        <f t="shared" si="28"/>
        <v>E</v>
      </c>
      <c r="D279" s="426" t="s">
        <v>2657</v>
      </c>
      <c r="E279" s="426" t="str">
        <f t="shared" si="25"/>
        <v>368</v>
      </c>
      <c r="F279" s="741" t="s">
        <v>1791</v>
      </c>
      <c r="G279" s="425" t="str">
        <f t="shared" si="23"/>
        <v/>
      </c>
      <c r="H279" s="426">
        <v>0</v>
      </c>
      <c r="I279" s="426">
        <v>0</v>
      </c>
      <c r="J279" s="426">
        <v>49.100360000000002</v>
      </c>
      <c r="K279" s="426">
        <v>0</v>
      </c>
      <c r="L279" s="426">
        <v>0</v>
      </c>
      <c r="M279" s="426">
        <v>0</v>
      </c>
      <c r="N279" s="426">
        <v>0</v>
      </c>
      <c r="O279" s="426">
        <v>158.88182999999901</v>
      </c>
      <c r="P279" s="426">
        <v>311.16541000000001</v>
      </c>
      <c r="Q279" s="426">
        <v>334.37572999999998</v>
      </c>
      <c r="R279" s="426">
        <v>376.60771999999997</v>
      </c>
      <c r="S279" s="426">
        <v>30.566410000000001</v>
      </c>
      <c r="T279" s="426">
        <v>156.12164999999999</v>
      </c>
      <c r="U279" s="426">
        <f t="shared" si="29"/>
        <v>1416.819109999999</v>
      </c>
    </row>
    <row r="280" spans="1:21" s="426" customFormat="1">
      <c r="A280" s="426" t="str">
        <f t="shared" si="27"/>
        <v>KU</v>
      </c>
      <c r="B280" s="426" t="str">
        <f t="shared" si="26"/>
        <v>KY</v>
      </c>
      <c r="C280" s="426" t="str">
        <f t="shared" si="28"/>
        <v>E</v>
      </c>
      <c r="D280" s="426" t="s">
        <v>2657</v>
      </c>
      <c r="E280" s="426" t="str">
        <f t="shared" si="25"/>
        <v>370</v>
      </c>
      <c r="F280" s="741" t="s">
        <v>1797</v>
      </c>
      <c r="G280" s="425" t="str">
        <f t="shared" si="23"/>
        <v/>
      </c>
      <c r="H280" s="426">
        <v>65.232739999999893</v>
      </c>
      <c r="I280" s="426">
        <v>0</v>
      </c>
      <c r="J280" s="426">
        <v>0</v>
      </c>
      <c r="K280" s="426">
        <v>0</v>
      </c>
      <c r="L280" s="426">
        <v>0</v>
      </c>
      <c r="M280" s="426">
        <v>0</v>
      </c>
      <c r="N280" s="426">
        <v>0</v>
      </c>
      <c r="O280" s="426">
        <v>202.72705999999999</v>
      </c>
      <c r="P280" s="426">
        <v>185.74259000000001</v>
      </c>
      <c r="Q280" s="426">
        <v>199.59742</v>
      </c>
      <c r="R280" s="426">
        <v>224.80678</v>
      </c>
      <c r="S280" s="426">
        <v>0</v>
      </c>
      <c r="T280" s="426">
        <v>0</v>
      </c>
      <c r="U280" s="426">
        <f t="shared" si="29"/>
        <v>812.87385000000006</v>
      </c>
    </row>
    <row r="281" spans="1:21" s="426" customFormat="1">
      <c r="A281" s="426" t="str">
        <f t="shared" si="27"/>
        <v>KU</v>
      </c>
      <c r="B281" s="426" t="str">
        <f t="shared" si="26"/>
        <v>KY</v>
      </c>
      <c r="C281" s="426" t="str">
        <f t="shared" si="28"/>
        <v>E</v>
      </c>
      <c r="D281" s="426" t="s">
        <v>2657</v>
      </c>
      <c r="E281" s="426" t="str">
        <f t="shared" si="25"/>
        <v>373</v>
      </c>
      <c r="F281" s="741" t="s">
        <v>1801</v>
      </c>
      <c r="G281" s="425" t="str">
        <f t="shared" si="23"/>
        <v/>
      </c>
      <c r="H281" s="426">
        <v>1133.5334800000001</v>
      </c>
      <c r="I281" s="426">
        <v>578.58740999999998</v>
      </c>
      <c r="J281" s="426">
        <v>161.82441</v>
      </c>
      <c r="K281" s="426">
        <v>0.87931999999999999</v>
      </c>
      <c r="L281" s="426">
        <v>60.704599999999999</v>
      </c>
      <c r="M281" s="426">
        <v>0</v>
      </c>
      <c r="N281" s="426">
        <v>101.132399999999</v>
      </c>
      <c r="O281" s="426">
        <v>94.075580000000002</v>
      </c>
      <c r="P281" s="426">
        <v>184.24427</v>
      </c>
      <c r="Q281" s="426">
        <v>197.98734999999999</v>
      </c>
      <c r="R281" s="426">
        <v>222.99333999999999</v>
      </c>
      <c r="S281" s="426">
        <v>18.098689999999898</v>
      </c>
      <c r="T281" s="426">
        <v>92.441249999999997</v>
      </c>
      <c r="U281" s="426">
        <f t="shared" ref="U281:U338" si="30">SUM(I281:T281)</f>
        <v>1712.968619999999</v>
      </c>
    </row>
    <row r="282" spans="1:21" s="426" customFormat="1">
      <c r="A282" s="426" t="str">
        <f t="shared" si="27"/>
        <v>KU</v>
      </c>
      <c r="B282" s="426" t="str">
        <f t="shared" si="26"/>
        <v>VA</v>
      </c>
      <c r="C282" s="426" t="str">
        <f t="shared" si="28"/>
        <v>E</v>
      </c>
      <c r="D282" s="426" t="s">
        <v>2657</v>
      </c>
      <c r="E282" s="426" t="str">
        <f t="shared" si="25"/>
        <v>373</v>
      </c>
      <c r="F282" s="741" t="s">
        <v>1802</v>
      </c>
      <c r="G282" s="425" t="str">
        <f t="shared" si="23"/>
        <v/>
      </c>
      <c r="H282" s="426">
        <v>0</v>
      </c>
      <c r="I282" s="426">
        <v>0</v>
      </c>
      <c r="J282" s="426">
        <v>30.525020000000001</v>
      </c>
      <c r="K282" s="426">
        <v>2.8776700000000002</v>
      </c>
      <c r="L282" s="426">
        <v>0</v>
      </c>
      <c r="M282" s="426">
        <v>0</v>
      </c>
      <c r="N282" s="426">
        <v>0</v>
      </c>
      <c r="O282" s="426">
        <v>0</v>
      </c>
      <c r="P282" s="426">
        <v>0</v>
      </c>
      <c r="Q282" s="426">
        <v>0</v>
      </c>
      <c r="R282" s="426">
        <v>0</v>
      </c>
      <c r="S282" s="426">
        <v>0</v>
      </c>
      <c r="T282" s="426">
        <v>0</v>
      </c>
      <c r="U282" s="426">
        <f t="shared" si="30"/>
        <v>33.40269</v>
      </c>
    </row>
    <row r="283" spans="1:21" s="426" customFormat="1">
      <c r="A283" s="426" t="str">
        <f t="shared" si="27"/>
        <v>KU</v>
      </c>
      <c r="B283" s="426" t="str">
        <f t="shared" si="26"/>
        <v>KY</v>
      </c>
      <c r="C283" s="426" t="str">
        <f t="shared" si="28"/>
        <v>E</v>
      </c>
      <c r="D283" s="426" t="s">
        <v>2657</v>
      </c>
      <c r="E283" s="426" t="str">
        <f t="shared" si="25"/>
        <v>390</v>
      </c>
      <c r="F283" s="741" t="s">
        <v>1806</v>
      </c>
      <c r="G283" s="425" t="str">
        <f t="shared" si="23"/>
        <v/>
      </c>
      <c r="H283" s="426">
        <v>0</v>
      </c>
      <c r="I283" s="426">
        <v>0</v>
      </c>
      <c r="J283" s="426">
        <v>0</v>
      </c>
      <c r="K283" s="426">
        <v>0</v>
      </c>
      <c r="L283" s="426">
        <v>368.384109999999</v>
      </c>
      <c r="M283" s="426">
        <v>0</v>
      </c>
      <c r="N283" s="426">
        <v>0</v>
      </c>
      <c r="O283" s="426">
        <v>0</v>
      </c>
      <c r="P283" s="426">
        <v>0</v>
      </c>
      <c r="Q283" s="426">
        <v>0</v>
      </c>
      <c r="R283" s="426">
        <v>0</v>
      </c>
      <c r="S283" s="426">
        <v>0</v>
      </c>
      <c r="T283" s="426">
        <v>0</v>
      </c>
      <c r="U283" s="426">
        <f t="shared" si="30"/>
        <v>368.384109999999</v>
      </c>
    </row>
    <row r="284" spans="1:21" s="426" customFormat="1">
      <c r="A284" s="426" t="str">
        <f t="shared" si="27"/>
        <v>KU</v>
      </c>
      <c r="B284" s="426" t="str">
        <f t="shared" si="26"/>
        <v>KY</v>
      </c>
      <c r="C284" s="426" t="str">
        <f t="shared" si="28"/>
        <v>E</v>
      </c>
      <c r="D284" s="426" t="s">
        <v>2657</v>
      </c>
      <c r="E284" s="426" t="str">
        <f t="shared" si="25"/>
        <v>390</v>
      </c>
      <c r="F284" s="741" t="s">
        <v>1807</v>
      </c>
      <c r="G284" s="425" t="str">
        <f t="shared" si="23"/>
        <v/>
      </c>
      <c r="H284" s="426">
        <v>8.1737099999999998</v>
      </c>
      <c r="I284" s="426">
        <v>9.3394100000000009</v>
      </c>
      <c r="J284" s="426">
        <v>2.8427600000000002</v>
      </c>
      <c r="K284" s="426">
        <v>0</v>
      </c>
      <c r="L284" s="426">
        <v>0</v>
      </c>
      <c r="M284" s="426">
        <v>16.391500000000001</v>
      </c>
      <c r="N284" s="426">
        <v>7.0149100000000004</v>
      </c>
      <c r="O284" s="426">
        <v>0</v>
      </c>
      <c r="P284" s="426">
        <v>0</v>
      </c>
      <c r="Q284" s="426">
        <v>0</v>
      </c>
      <c r="R284" s="426">
        <v>0</v>
      </c>
      <c r="S284" s="426">
        <v>0</v>
      </c>
      <c r="T284" s="426">
        <v>0</v>
      </c>
      <c r="U284" s="426">
        <f t="shared" si="30"/>
        <v>35.58858</v>
      </c>
    </row>
    <row r="285" spans="1:21" s="426" customFormat="1">
      <c r="A285" s="426" t="str">
        <f t="shared" si="27"/>
        <v>KU</v>
      </c>
      <c r="B285" s="426" t="str">
        <f t="shared" si="26"/>
        <v>VA</v>
      </c>
      <c r="C285" s="426" t="str">
        <f t="shared" si="28"/>
        <v>E</v>
      </c>
      <c r="D285" s="426" t="s">
        <v>2657</v>
      </c>
      <c r="E285" s="426" t="str">
        <f t="shared" si="25"/>
        <v>390</v>
      </c>
      <c r="F285" s="741" t="s">
        <v>1808</v>
      </c>
      <c r="G285" s="425" t="str">
        <f t="shared" si="23"/>
        <v/>
      </c>
      <c r="H285" s="426">
        <v>0</v>
      </c>
      <c r="I285" s="426">
        <v>0</v>
      </c>
      <c r="J285" s="426">
        <v>0</v>
      </c>
      <c r="K285" s="426">
        <v>0</v>
      </c>
      <c r="L285" s="426">
        <v>12.390229999999899</v>
      </c>
      <c r="M285" s="426">
        <v>0</v>
      </c>
      <c r="N285" s="426">
        <v>0</v>
      </c>
      <c r="O285" s="426">
        <v>0</v>
      </c>
      <c r="P285" s="426">
        <v>0</v>
      </c>
      <c r="Q285" s="426">
        <v>0</v>
      </c>
      <c r="R285" s="426">
        <v>0</v>
      </c>
      <c r="S285" s="426">
        <v>0</v>
      </c>
      <c r="T285" s="426">
        <v>0</v>
      </c>
      <c r="U285" s="426">
        <f t="shared" si="30"/>
        <v>12.390229999999899</v>
      </c>
    </row>
    <row r="286" spans="1:21" s="426" customFormat="1">
      <c r="A286" s="426" t="str">
        <f t="shared" si="27"/>
        <v>KU</v>
      </c>
      <c r="B286" s="426" t="str">
        <f t="shared" si="26"/>
        <v>KY</v>
      </c>
      <c r="C286" s="426" t="str">
        <f t="shared" si="28"/>
        <v>E</v>
      </c>
      <c r="D286" s="426" t="s">
        <v>2657</v>
      </c>
      <c r="E286" s="426" t="str">
        <f t="shared" si="25"/>
        <v>391</v>
      </c>
      <c r="F286" s="741" t="s">
        <v>1809</v>
      </c>
      <c r="G286" s="425" t="str">
        <f t="shared" si="23"/>
        <v/>
      </c>
      <c r="H286" s="426">
        <v>0</v>
      </c>
      <c r="I286" s="426">
        <v>0</v>
      </c>
      <c r="J286" s="426">
        <v>0</v>
      </c>
      <c r="K286" s="426">
        <v>0</v>
      </c>
      <c r="L286" s="426">
        <v>37.074449999999999</v>
      </c>
      <c r="M286" s="426">
        <v>38.191339999999997</v>
      </c>
      <c r="N286" s="426">
        <v>992.53485000000001</v>
      </c>
      <c r="O286" s="426">
        <v>0</v>
      </c>
      <c r="P286" s="426">
        <v>76.980329999999995</v>
      </c>
      <c r="Q286" s="426">
        <v>0</v>
      </c>
      <c r="R286" s="426">
        <v>0</v>
      </c>
      <c r="S286" s="426">
        <v>0</v>
      </c>
      <c r="T286" s="426">
        <v>29.176950000000001</v>
      </c>
      <c r="U286" s="426">
        <f t="shared" si="30"/>
        <v>1173.9579200000001</v>
      </c>
    </row>
    <row r="287" spans="1:21" s="426" customFormat="1">
      <c r="A287" s="426" t="str">
        <f t="shared" si="27"/>
        <v>KU</v>
      </c>
      <c r="B287" s="426" t="str">
        <f t="shared" si="26"/>
        <v>KY</v>
      </c>
      <c r="C287" s="426" t="str">
        <f t="shared" si="28"/>
        <v>E</v>
      </c>
      <c r="D287" s="426" t="s">
        <v>2657</v>
      </c>
      <c r="E287" s="426" t="str">
        <f t="shared" si="25"/>
        <v>391</v>
      </c>
      <c r="F287" s="741" t="s">
        <v>1810</v>
      </c>
      <c r="G287" s="425" t="str">
        <f t="shared" si="23"/>
        <v/>
      </c>
      <c r="H287" s="426">
        <v>1710.08977</v>
      </c>
      <c r="I287" s="426">
        <v>247.45926</v>
      </c>
      <c r="J287" s="426">
        <v>42.032649999999997</v>
      </c>
      <c r="K287" s="426">
        <v>0</v>
      </c>
      <c r="L287" s="426">
        <v>0</v>
      </c>
      <c r="M287" s="426">
        <v>186.00605999999999</v>
      </c>
      <c r="N287" s="426">
        <v>1086.9512</v>
      </c>
      <c r="O287" s="426">
        <v>1694.48081</v>
      </c>
      <c r="P287" s="426">
        <v>400.23027999999999</v>
      </c>
      <c r="Q287" s="426">
        <v>187.56217999999899</v>
      </c>
      <c r="R287" s="426">
        <v>4447.2468900000003</v>
      </c>
      <c r="S287" s="426">
        <v>90.617869999999996</v>
      </c>
      <c r="T287" s="426">
        <v>0</v>
      </c>
      <c r="U287" s="426">
        <f t="shared" si="30"/>
        <v>8382.5871999999999</v>
      </c>
    </row>
    <row r="288" spans="1:21" s="426" customFormat="1">
      <c r="A288" s="426" t="str">
        <f t="shared" si="27"/>
        <v>KU</v>
      </c>
      <c r="B288" s="426" t="str">
        <f t="shared" si="26"/>
        <v>KY</v>
      </c>
      <c r="C288" s="426" t="str">
        <f t="shared" si="28"/>
        <v>E</v>
      </c>
      <c r="D288" s="426" t="s">
        <v>2657</v>
      </c>
      <c r="E288" s="426" t="str">
        <f t="shared" si="25"/>
        <v>392</v>
      </c>
      <c r="F288" s="741" t="s">
        <v>1813</v>
      </c>
      <c r="G288" s="425" t="str">
        <f t="shared" si="23"/>
        <v/>
      </c>
      <c r="H288" s="426">
        <v>0</v>
      </c>
      <c r="I288" s="426">
        <v>0</v>
      </c>
      <c r="J288" s="426">
        <v>0</v>
      </c>
      <c r="K288" s="426">
        <v>0</v>
      </c>
      <c r="L288" s="426">
        <v>19.170480000000001</v>
      </c>
      <c r="M288" s="426">
        <v>0</v>
      </c>
      <c r="N288" s="426">
        <v>65.419259999999994</v>
      </c>
      <c r="O288" s="426">
        <v>0</v>
      </c>
      <c r="P288" s="426">
        <v>0</v>
      </c>
      <c r="Q288" s="426">
        <v>0</v>
      </c>
      <c r="R288" s="426">
        <v>0</v>
      </c>
      <c r="S288" s="426">
        <v>0</v>
      </c>
      <c r="T288" s="426">
        <v>0</v>
      </c>
      <c r="U288" s="426">
        <f t="shared" si="30"/>
        <v>84.589739999999992</v>
      </c>
    </row>
    <row r="289" spans="1:21" s="426" customFormat="1">
      <c r="A289" s="426" t="str">
        <f t="shared" si="27"/>
        <v>KU</v>
      </c>
      <c r="B289" s="426" t="str">
        <f t="shared" si="26"/>
        <v>KY</v>
      </c>
      <c r="C289" s="426" t="str">
        <f t="shared" si="28"/>
        <v>E</v>
      </c>
      <c r="D289" s="426" t="s">
        <v>2657</v>
      </c>
      <c r="E289" s="426" t="str">
        <f t="shared" si="25"/>
        <v>393</v>
      </c>
      <c r="F289" s="741" t="s">
        <v>1814</v>
      </c>
      <c r="G289" s="425" t="str">
        <f t="shared" si="23"/>
        <v/>
      </c>
      <c r="H289" s="426">
        <v>0</v>
      </c>
      <c r="I289" s="426">
        <v>0</v>
      </c>
      <c r="J289" s="426">
        <v>0</v>
      </c>
      <c r="K289" s="426">
        <v>0</v>
      </c>
      <c r="L289" s="426">
        <v>8.6778200000000005</v>
      </c>
      <c r="M289" s="426">
        <v>1.1562699999999999</v>
      </c>
      <c r="N289" s="426">
        <v>11.7113</v>
      </c>
      <c r="O289" s="426">
        <v>0</v>
      </c>
      <c r="P289" s="426">
        <v>0</v>
      </c>
      <c r="Q289" s="426">
        <v>0</v>
      </c>
      <c r="R289" s="426">
        <v>26.824300000000001</v>
      </c>
      <c r="S289" s="426">
        <v>0</v>
      </c>
      <c r="T289" s="426">
        <v>47.080019999999998</v>
      </c>
      <c r="U289" s="426">
        <f t="shared" si="30"/>
        <v>95.449709999999996</v>
      </c>
    </row>
    <row r="290" spans="1:21" s="426" customFormat="1">
      <c r="A290" s="426" t="str">
        <f t="shared" si="27"/>
        <v>KU</v>
      </c>
      <c r="B290" s="426" t="str">
        <f t="shared" si="26"/>
        <v>VA</v>
      </c>
      <c r="C290" s="426" t="str">
        <f t="shared" si="28"/>
        <v>E</v>
      </c>
      <c r="D290" s="426" t="s">
        <v>2657</v>
      </c>
      <c r="E290" s="426" t="str">
        <f t="shared" si="25"/>
        <v>393</v>
      </c>
      <c r="F290" s="741" t="s">
        <v>1815</v>
      </c>
      <c r="G290" s="425" t="str">
        <f t="shared" si="23"/>
        <v/>
      </c>
      <c r="H290" s="426">
        <v>0</v>
      </c>
      <c r="I290" s="426">
        <v>0</v>
      </c>
      <c r="J290" s="426">
        <v>0</v>
      </c>
      <c r="K290" s="426">
        <v>0</v>
      </c>
      <c r="L290" s="426">
        <v>0</v>
      </c>
      <c r="M290" s="426">
        <v>0</v>
      </c>
      <c r="N290" s="426">
        <v>0</v>
      </c>
      <c r="O290" s="426">
        <v>0</v>
      </c>
      <c r="P290" s="426">
        <v>0</v>
      </c>
      <c r="Q290" s="426">
        <v>0</v>
      </c>
      <c r="R290" s="426">
        <v>0.87654999999999905</v>
      </c>
      <c r="S290" s="426">
        <v>0</v>
      </c>
      <c r="T290" s="426">
        <v>0</v>
      </c>
      <c r="U290" s="426">
        <f t="shared" si="30"/>
        <v>0.87654999999999905</v>
      </c>
    </row>
    <row r="291" spans="1:21" s="426" customFormat="1">
      <c r="A291" s="426" t="str">
        <f t="shared" si="27"/>
        <v>KU</v>
      </c>
      <c r="B291" s="426" t="str">
        <f t="shared" si="26"/>
        <v>KY</v>
      </c>
      <c r="C291" s="426" t="str">
        <f t="shared" si="28"/>
        <v>E</v>
      </c>
      <c r="D291" s="426" t="s">
        <v>2657</v>
      </c>
      <c r="E291" s="426" t="str">
        <f t="shared" si="25"/>
        <v>394</v>
      </c>
      <c r="F291" s="741" t="s">
        <v>1816</v>
      </c>
      <c r="G291" s="425" t="str">
        <f t="shared" ref="G291:G388" si="31">IF(ISTEXT(MID($F291,SEARCH("FUTURE USE",$F291),3)),"FUTURE USE",IF(ISTEXT(MID($F291,SEARCH("ECR",$F291),3)),"ECR",IF(ISTEXT(MID($F291,SEARCH("ARO",$F291),3)),"ARO",IF(ISTEXT(MID($F291,SEARCH("DSM",$F291),3)),"DSM",""))))</f>
        <v/>
      </c>
      <c r="H291" s="426">
        <v>1.25709</v>
      </c>
      <c r="I291" s="426">
        <v>0</v>
      </c>
      <c r="J291" s="426">
        <v>15.030200000000001</v>
      </c>
      <c r="K291" s="426">
        <v>3.7270500000000002</v>
      </c>
      <c r="L291" s="426">
        <v>5.2812000000000001</v>
      </c>
      <c r="M291" s="426">
        <v>16.455069999999999</v>
      </c>
      <c r="N291" s="426">
        <v>28.667369999999998</v>
      </c>
      <c r="O291" s="426">
        <v>6.1329700000000003</v>
      </c>
      <c r="P291" s="426">
        <v>0</v>
      </c>
      <c r="Q291" s="426">
        <v>17.451789999999999</v>
      </c>
      <c r="R291" s="426">
        <v>28.118770000000001</v>
      </c>
      <c r="S291" s="426">
        <v>0</v>
      </c>
      <c r="T291" s="426">
        <v>19.90889</v>
      </c>
      <c r="U291" s="426">
        <f t="shared" si="30"/>
        <v>140.77330999999998</v>
      </c>
    </row>
    <row r="292" spans="1:21" s="426" customFormat="1">
      <c r="A292" s="426" t="str">
        <f t="shared" si="27"/>
        <v>KU</v>
      </c>
      <c r="B292" s="426" t="str">
        <f t="shared" si="26"/>
        <v>VA</v>
      </c>
      <c r="C292" s="426" t="str">
        <f t="shared" si="28"/>
        <v>E</v>
      </c>
      <c r="D292" s="426" t="s">
        <v>2657</v>
      </c>
      <c r="E292" s="426" t="str">
        <f t="shared" si="25"/>
        <v>394</v>
      </c>
      <c r="F292" s="741" t="s">
        <v>1817</v>
      </c>
      <c r="G292" s="425" t="str">
        <f t="shared" si="31"/>
        <v/>
      </c>
      <c r="H292" s="426">
        <v>0</v>
      </c>
      <c r="I292" s="426">
        <v>0</v>
      </c>
      <c r="J292" s="426">
        <v>0</v>
      </c>
      <c r="K292" s="426">
        <v>6.0949399999999896</v>
      </c>
      <c r="L292" s="426">
        <v>0</v>
      </c>
      <c r="M292" s="426">
        <v>0</v>
      </c>
      <c r="N292" s="426">
        <v>0</v>
      </c>
      <c r="O292" s="426">
        <v>0</v>
      </c>
      <c r="P292" s="426">
        <v>0</v>
      </c>
      <c r="Q292" s="426">
        <v>0</v>
      </c>
      <c r="R292" s="426">
        <v>6.0638399999999999</v>
      </c>
      <c r="S292" s="426">
        <v>0</v>
      </c>
      <c r="T292" s="426">
        <v>0</v>
      </c>
      <c r="U292" s="426">
        <f t="shared" si="30"/>
        <v>12.158779999999989</v>
      </c>
    </row>
    <row r="293" spans="1:21" s="426" customFormat="1">
      <c r="A293" s="426" t="str">
        <f t="shared" si="27"/>
        <v>KU</v>
      </c>
      <c r="B293" s="426" t="str">
        <f t="shared" si="26"/>
        <v>KY</v>
      </c>
      <c r="C293" s="426" t="str">
        <f t="shared" si="28"/>
        <v>E</v>
      </c>
      <c r="D293" s="426" t="s">
        <v>2657</v>
      </c>
      <c r="E293" s="426" t="str">
        <f t="shared" si="25"/>
        <v>396</v>
      </c>
      <c r="F293" s="741" t="s">
        <v>2402</v>
      </c>
      <c r="G293" s="425" t="str">
        <f t="shared" si="31"/>
        <v/>
      </c>
      <c r="H293" s="426">
        <v>0</v>
      </c>
      <c r="I293" s="426">
        <v>0</v>
      </c>
      <c r="J293" s="426">
        <v>0</v>
      </c>
      <c r="K293" s="426">
        <v>0</v>
      </c>
      <c r="L293" s="426">
        <v>0</v>
      </c>
      <c r="M293" s="426">
        <v>0</v>
      </c>
      <c r="N293" s="426">
        <v>35.371870000000001</v>
      </c>
      <c r="O293" s="426">
        <v>0</v>
      </c>
      <c r="P293" s="426">
        <v>0</v>
      </c>
      <c r="Q293" s="426">
        <v>0</v>
      </c>
      <c r="R293" s="426">
        <v>0</v>
      </c>
      <c r="S293" s="426">
        <v>0</v>
      </c>
      <c r="T293" s="426">
        <v>0</v>
      </c>
      <c r="U293" s="426">
        <f t="shared" si="30"/>
        <v>35.371870000000001</v>
      </c>
    </row>
    <row r="294" spans="1:21" s="426" customFormat="1">
      <c r="A294" s="426" t="str">
        <f t="shared" si="27"/>
        <v>KU</v>
      </c>
      <c r="B294" s="426" t="str">
        <f t="shared" si="26"/>
        <v>KY</v>
      </c>
      <c r="C294" s="426" t="str">
        <f t="shared" si="28"/>
        <v>E</v>
      </c>
      <c r="D294" s="426" t="s">
        <v>2657</v>
      </c>
      <c r="E294" s="426" t="str">
        <f t="shared" si="25"/>
        <v>397</v>
      </c>
      <c r="F294" s="741" t="s">
        <v>1820</v>
      </c>
      <c r="G294" s="425" t="str">
        <f t="shared" si="31"/>
        <v/>
      </c>
      <c r="H294" s="426">
        <v>0</v>
      </c>
      <c r="I294" s="426">
        <v>0</v>
      </c>
      <c r="J294" s="426">
        <v>0</v>
      </c>
      <c r="K294" s="426">
        <v>0</v>
      </c>
      <c r="L294" s="426">
        <v>0</v>
      </c>
      <c r="M294" s="426">
        <v>0</v>
      </c>
      <c r="N294" s="426">
        <v>16.060949999999998</v>
      </c>
      <c r="O294" s="426">
        <v>0</v>
      </c>
      <c r="P294" s="426">
        <v>0</v>
      </c>
      <c r="Q294" s="426">
        <v>0</v>
      </c>
      <c r="R294" s="426">
        <v>0</v>
      </c>
      <c r="S294" s="426">
        <v>0</v>
      </c>
      <c r="T294" s="426">
        <v>0</v>
      </c>
      <c r="U294" s="426">
        <f t="shared" si="30"/>
        <v>16.060949999999998</v>
      </c>
    </row>
    <row r="295" spans="1:21" s="426" customFormat="1">
      <c r="F295" s="799" t="s">
        <v>1823</v>
      </c>
      <c r="G295" s="425" t="str">
        <f t="shared" si="31"/>
        <v/>
      </c>
      <c r="H295" s="426">
        <f>SUM(H240:H294)</f>
        <v>22220.259929999997</v>
      </c>
      <c r="I295" s="426">
        <f t="shared" ref="I295:T295" si="32">SUM(I240:I294)</f>
        <v>49035.945789999889</v>
      </c>
      <c r="J295" s="426">
        <f t="shared" si="32"/>
        <v>3709.1197499999998</v>
      </c>
      <c r="K295" s="426">
        <f t="shared" si="32"/>
        <v>7758.0465899999917</v>
      </c>
      <c r="L295" s="426">
        <f t="shared" si="32"/>
        <v>8359.9873899999984</v>
      </c>
      <c r="M295" s="426">
        <f t="shared" si="32"/>
        <v>4362.9546299999984</v>
      </c>
      <c r="N295" s="426">
        <f t="shared" si="32"/>
        <v>11139.834489999987</v>
      </c>
      <c r="O295" s="426">
        <f t="shared" si="32"/>
        <v>4298.4713899999979</v>
      </c>
      <c r="P295" s="426">
        <f t="shared" si="32"/>
        <v>3415.8770799999984</v>
      </c>
      <c r="Q295" s="426">
        <f t="shared" si="32"/>
        <v>4323.2168699999993</v>
      </c>
      <c r="R295" s="426">
        <f t="shared" si="32"/>
        <v>30620.366489999997</v>
      </c>
      <c r="S295" s="426">
        <f t="shared" si="32"/>
        <v>2902.1399099999994</v>
      </c>
      <c r="T295" s="426">
        <f t="shared" si="32"/>
        <v>8650.9748499999878</v>
      </c>
      <c r="U295" s="426">
        <f t="shared" si="30"/>
        <v>138576.93522999983</v>
      </c>
    </row>
    <row r="296" spans="1:21" s="426" customFormat="1">
      <c r="F296" s="799"/>
      <c r="G296" s="425" t="str">
        <f t="shared" si="31"/>
        <v/>
      </c>
      <c r="U296" s="426">
        <f t="shared" si="30"/>
        <v>0</v>
      </c>
    </row>
    <row r="297" spans="1:21" s="426" customFormat="1">
      <c r="F297" s="800" t="s">
        <v>2669</v>
      </c>
      <c r="G297" s="425" t="str">
        <f t="shared" si="31"/>
        <v/>
      </c>
      <c r="U297" s="426">
        <f t="shared" si="30"/>
        <v>0</v>
      </c>
    </row>
    <row r="298" spans="1:21" s="426" customFormat="1">
      <c r="A298" s="426" t="str">
        <f t="shared" si="27"/>
        <v>KU</v>
      </c>
      <c r="B298" s="426" t="str">
        <f t="shared" si="26"/>
        <v>KY</v>
      </c>
      <c r="C298" s="426" t="str">
        <f t="shared" si="28"/>
        <v>E</v>
      </c>
      <c r="D298" s="426" t="s">
        <v>2658</v>
      </c>
      <c r="E298" s="426" t="str">
        <f t="shared" si="25"/>
        <v>310</v>
      </c>
      <c r="F298" s="741" t="s">
        <v>1723</v>
      </c>
      <c r="G298" s="425" t="str">
        <f t="shared" si="31"/>
        <v>ECR</v>
      </c>
      <c r="H298" s="426">
        <v>0</v>
      </c>
      <c r="I298" s="426">
        <v>0</v>
      </c>
      <c r="J298" s="426">
        <v>0</v>
      </c>
      <c r="K298" s="426">
        <v>0</v>
      </c>
      <c r="L298" s="426">
        <v>0</v>
      </c>
      <c r="M298" s="426">
        <v>0</v>
      </c>
      <c r="N298" s="426">
        <v>-1210.2625599999999</v>
      </c>
      <c r="O298" s="426">
        <v>0</v>
      </c>
      <c r="P298" s="426">
        <v>0</v>
      </c>
      <c r="Q298" s="426">
        <v>0</v>
      </c>
      <c r="R298" s="426">
        <v>0</v>
      </c>
      <c r="S298" s="426">
        <v>0</v>
      </c>
      <c r="T298" s="426">
        <v>0</v>
      </c>
      <c r="U298" s="426">
        <f t="shared" si="30"/>
        <v>-1210.2625599999999</v>
      </c>
    </row>
    <row r="299" spans="1:21" s="426" customFormat="1">
      <c r="A299" s="426" t="str">
        <f t="shared" si="27"/>
        <v>KU</v>
      </c>
      <c r="B299" s="426" t="str">
        <f t="shared" si="26"/>
        <v>KY</v>
      </c>
      <c r="C299" s="426" t="str">
        <f t="shared" si="28"/>
        <v>E</v>
      </c>
      <c r="D299" s="426" t="s">
        <v>2658</v>
      </c>
      <c r="E299" s="426" t="str">
        <f t="shared" si="25"/>
        <v>310</v>
      </c>
      <c r="F299" s="741" t="s">
        <v>2711</v>
      </c>
      <c r="G299" s="425" t="str">
        <f t="shared" si="31"/>
        <v>ECR</v>
      </c>
      <c r="H299" s="426">
        <v>0</v>
      </c>
      <c r="I299" s="426">
        <v>0</v>
      </c>
      <c r="J299" s="426">
        <v>0</v>
      </c>
      <c r="K299" s="426">
        <v>0</v>
      </c>
      <c r="L299" s="426">
        <v>0</v>
      </c>
      <c r="M299" s="426">
        <v>0</v>
      </c>
      <c r="N299" s="426">
        <v>1210.2625599999999</v>
      </c>
      <c r="O299" s="426">
        <v>0</v>
      </c>
      <c r="P299" s="426">
        <v>0</v>
      </c>
      <c r="Q299" s="426">
        <v>0</v>
      </c>
      <c r="R299" s="426">
        <v>0</v>
      </c>
      <c r="S299" s="426">
        <v>0</v>
      </c>
      <c r="T299" s="426">
        <v>0</v>
      </c>
      <c r="U299" s="426">
        <f t="shared" si="30"/>
        <v>1210.2625599999999</v>
      </c>
    </row>
    <row r="300" spans="1:21" s="426" customFormat="1">
      <c r="A300" s="426" t="str">
        <f t="shared" si="27"/>
        <v>KU</v>
      </c>
      <c r="B300" s="426" t="str">
        <f t="shared" si="26"/>
        <v>KY</v>
      </c>
      <c r="C300" s="426" t="str">
        <f t="shared" si="28"/>
        <v>E</v>
      </c>
      <c r="D300" s="426" t="s">
        <v>2658</v>
      </c>
      <c r="E300" s="426" t="str">
        <f t="shared" si="25"/>
        <v>310</v>
      </c>
      <c r="F300" s="741" t="s">
        <v>1724</v>
      </c>
      <c r="G300" s="425" t="str">
        <f t="shared" si="31"/>
        <v>ECR</v>
      </c>
      <c r="H300" s="426">
        <v>0</v>
      </c>
      <c r="I300" s="426">
        <v>0</v>
      </c>
      <c r="J300" s="426">
        <v>0</v>
      </c>
      <c r="K300" s="426">
        <v>0</v>
      </c>
      <c r="L300" s="426">
        <v>0</v>
      </c>
      <c r="M300" s="426">
        <v>0</v>
      </c>
      <c r="N300" s="426">
        <v>0</v>
      </c>
      <c r="O300" s="426">
        <v>0</v>
      </c>
      <c r="P300" s="426">
        <v>0</v>
      </c>
      <c r="Q300" s="426">
        <v>0</v>
      </c>
      <c r="R300" s="426">
        <v>0</v>
      </c>
      <c r="S300" s="426">
        <v>0</v>
      </c>
      <c r="T300" s="426">
        <v>0</v>
      </c>
      <c r="U300" s="426">
        <f t="shared" si="30"/>
        <v>0</v>
      </c>
    </row>
    <row r="301" spans="1:21" s="426" customFormat="1">
      <c r="A301" s="426" t="str">
        <f t="shared" si="27"/>
        <v>KU</v>
      </c>
      <c r="B301" s="426" t="str">
        <f t="shared" si="26"/>
        <v>KY</v>
      </c>
      <c r="C301" s="426" t="str">
        <f t="shared" si="28"/>
        <v>E</v>
      </c>
      <c r="D301" s="426" t="s">
        <v>2658</v>
      </c>
      <c r="E301" s="426" t="str">
        <f t="shared" si="25"/>
        <v>310</v>
      </c>
      <c r="F301" s="741" t="s">
        <v>2397</v>
      </c>
      <c r="G301" s="425" t="str">
        <f t="shared" si="31"/>
        <v>ECR</v>
      </c>
      <c r="H301" s="426">
        <v>0</v>
      </c>
      <c r="I301" s="426">
        <v>0</v>
      </c>
      <c r="J301" s="426">
        <v>0</v>
      </c>
      <c r="K301" s="426">
        <v>0</v>
      </c>
      <c r="L301" s="426">
        <v>0</v>
      </c>
      <c r="M301" s="426">
        <v>0</v>
      </c>
      <c r="N301" s="426">
        <v>-521.00043000000005</v>
      </c>
      <c r="O301" s="426">
        <v>0</v>
      </c>
      <c r="P301" s="426">
        <v>0</v>
      </c>
      <c r="Q301" s="426">
        <v>0</v>
      </c>
      <c r="R301" s="426">
        <v>0</v>
      </c>
      <c r="S301" s="426">
        <v>0</v>
      </c>
      <c r="T301" s="426">
        <v>0</v>
      </c>
      <c r="U301" s="426">
        <f t="shared" si="30"/>
        <v>-521.00043000000005</v>
      </c>
    </row>
    <row r="302" spans="1:21" s="426" customFormat="1">
      <c r="A302" s="426" t="str">
        <f t="shared" si="27"/>
        <v>KU</v>
      </c>
      <c r="B302" s="426" t="str">
        <f t="shared" si="26"/>
        <v>KY</v>
      </c>
      <c r="C302" s="426" t="str">
        <f t="shared" si="28"/>
        <v>E</v>
      </c>
      <c r="D302" s="426" t="s">
        <v>2658</v>
      </c>
      <c r="E302" s="426" t="str">
        <f t="shared" si="25"/>
        <v>310</v>
      </c>
      <c r="F302" s="741" t="s">
        <v>2712</v>
      </c>
      <c r="G302" s="425" t="str">
        <f t="shared" si="31"/>
        <v>ECR</v>
      </c>
      <c r="I302" s="426">
        <v>0</v>
      </c>
      <c r="J302" s="426">
        <v>0</v>
      </c>
      <c r="K302" s="426">
        <v>0</v>
      </c>
      <c r="L302" s="426">
        <v>0</v>
      </c>
      <c r="M302" s="426">
        <v>0</v>
      </c>
      <c r="N302" s="426">
        <v>521.00043000000005</v>
      </c>
      <c r="O302" s="426">
        <v>0</v>
      </c>
      <c r="P302" s="426">
        <v>0</v>
      </c>
      <c r="Q302" s="426">
        <v>0</v>
      </c>
      <c r="R302" s="426">
        <v>0</v>
      </c>
      <c r="S302" s="426">
        <v>0</v>
      </c>
      <c r="T302" s="426">
        <v>0</v>
      </c>
      <c r="U302" s="426">
        <f t="shared" si="30"/>
        <v>521.00043000000005</v>
      </c>
    </row>
    <row r="303" spans="1:21" s="426" customFormat="1">
      <c r="A303" s="426" t="str">
        <f t="shared" si="27"/>
        <v>KU</v>
      </c>
      <c r="B303" s="426" t="str">
        <f t="shared" si="26"/>
        <v>KY</v>
      </c>
      <c r="C303" s="426" t="str">
        <f t="shared" si="28"/>
        <v>E</v>
      </c>
      <c r="D303" s="426" t="s">
        <v>2658</v>
      </c>
      <c r="E303" s="426" t="str">
        <f t="shared" si="25"/>
        <v>310</v>
      </c>
      <c r="F303" s="741" t="s">
        <v>1725</v>
      </c>
      <c r="G303" s="425" t="str">
        <f t="shared" si="31"/>
        <v/>
      </c>
      <c r="I303" s="426">
        <v>0</v>
      </c>
      <c r="J303" s="426">
        <v>0</v>
      </c>
      <c r="K303" s="426">
        <v>0</v>
      </c>
      <c r="L303" s="426">
        <v>0</v>
      </c>
      <c r="M303" s="426">
        <v>0</v>
      </c>
      <c r="N303" s="426">
        <v>0</v>
      </c>
      <c r="O303" s="426">
        <v>0</v>
      </c>
      <c r="P303" s="426">
        <v>0</v>
      </c>
      <c r="Q303" s="426">
        <v>0</v>
      </c>
      <c r="R303" s="426">
        <v>0</v>
      </c>
      <c r="S303" s="426">
        <v>0</v>
      </c>
      <c r="T303" s="426">
        <v>0</v>
      </c>
      <c r="U303" s="426">
        <f t="shared" si="30"/>
        <v>0</v>
      </c>
    </row>
    <row r="304" spans="1:21" s="426" customFormat="1">
      <c r="A304" s="426" t="str">
        <f t="shared" si="27"/>
        <v>KU</v>
      </c>
      <c r="B304" s="426" t="str">
        <f t="shared" si="26"/>
        <v>KY</v>
      </c>
      <c r="C304" s="426" t="str">
        <f t="shared" si="28"/>
        <v>E</v>
      </c>
      <c r="D304" s="426" t="s">
        <v>2658</v>
      </c>
      <c r="E304" s="426" t="str">
        <f t="shared" si="25"/>
        <v>311</v>
      </c>
      <c r="F304" s="741" t="s">
        <v>1726</v>
      </c>
      <c r="G304" s="425" t="str">
        <f t="shared" si="31"/>
        <v>ECR</v>
      </c>
      <c r="I304" s="426">
        <v>0</v>
      </c>
      <c r="J304" s="426">
        <v>0</v>
      </c>
      <c r="K304" s="426">
        <v>0</v>
      </c>
      <c r="L304" s="426">
        <v>0</v>
      </c>
      <c r="M304" s="426">
        <v>0</v>
      </c>
      <c r="N304" s="426">
        <v>-320.01699000000002</v>
      </c>
      <c r="O304" s="426">
        <v>0</v>
      </c>
      <c r="P304" s="426">
        <v>0</v>
      </c>
      <c r="Q304" s="426">
        <v>0</v>
      </c>
      <c r="R304" s="426">
        <v>0</v>
      </c>
      <c r="S304" s="426">
        <v>0</v>
      </c>
      <c r="T304" s="426">
        <v>0</v>
      </c>
      <c r="U304" s="426">
        <f t="shared" si="30"/>
        <v>-320.01699000000002</v>
      </c>
    </row>
    <row r="305" spans="1:21" s="426" customFormat="1">
      <c r="A305" s="426" t="str">
        <f t="shared" si="27"/>
        <v>KU</v>
      </c>
      <c r="B305" s="426" t="str">
        <f t="shared" si="26"/>
        <v>KY</v>
      </c>
      <c r="C305" s="426" t="str">
        <f t="shared" si="28"/>
        <v>E</v>
      </c>
      <c r="D305" s="426" t="s">
        <v>2658</v>
      </c>
      <c r="E305" s="426" t="str">
        <f t="shared" si="25"/>
        <v>311</v>
      </c>
      <c r="F305" s="741" t="s">
        <v>2713</v>
      </c>
      <c r="G305" s="425" t="str">
        <f t="shared" si="31"/>
        <v>ECR</v>
      </c>
      <c r="I305" s="426">
        <v>0</v>
      </c>
      <c r="J305" s="426">
        <v>0</v>
      </c>
      <c r="K305" s="426">
        <v>0</v>
      </c>
      <c r="L305" s="426">
        <v>0</v>
      </c>
      <c r="M305" s="426">
        <v>0</v>
      </c>
      <c r="N305" s="426">
        <v>320.01699000000002</v>
      </c>
      <c r="O305" s="426">
        <v>0</v>
      </c>
      <c r="P305" s="426">
        <v>0</v>
      </c>
      <c r="Q305" s="426">
        <v>0</v>
      </c>
      <c r="R305" s="426">
        <v>0</v>
      </c>
      <c r="S305" s="426">
        <v>0</v>
      </c>
      <c r="T305" s="426">
        <v>0</v>
      </c>
      <c r="U305" s="426">
        <f t="shared" si="30"/>
        <v>320.01699000000002</v>
      </c>
    </row>
    <row r="306" spans="1:21" s="426" customFormat="1">
      <c r="A306" s="426" t="str">
        <f t="shared" si="27"/>
        <v>KU</v>
      </c>
      <c r="B306" s="426" t="str">
        <f t="shared" si="26"/>
        <v>KY</v>
      </c>
      <c r="C306" s="426" t="str">
        <f t="shared" si="28"/>
        <v>E</v>
      </c>
      <c r="D306" s="426" t="s">
        <v>2658</v>
      </c>
      <c r="E306" s="426" t="str">
        <f t="shared" si="25"/>
        <v>311</v>
      </c>
      <c r="F306" s="741" t="s">
        <v>2178</v>
      </c>
      <c r="G306" s="425" t="str">
        <f t="shared" si="31"/>
        <v>ECR</v>
      </c>
      <c r="I306" s="426">
        <v>0</v>
      </c>
      <c r="J306" s="426">
        <v>0</v>
      </c>
      <c r="K306" s="426">
        <v>0</v>
      </c>
      <c r="L306" s="426">
        <v>0</v>
      </c>
      <c r="M306" s="426">
        <v>0</v>
      </c>
      <c r="N306" s="426">
        <v>0</v>
      </c>
      <c r="O306" s="426">
        <v>0</v>
      </c>
      <c r="P306" s="426">
        <v>0</v>
      </c>
      <c r="Q306" s="426">
        <v>0</v>
      </c>
      <c r="R306" s="426">
        <v>0</v>
      </c>
      <c r="S306" s="426">
        <v>0</v>
      </c>
      <c r="T306" s="426">
        <v>0</v>
      </c>
      <c r="U306" s="426">
        <f t="shared" si="30"/>
        <v>0</v>
      </c>
    </row>
    <row r="307" spans="1:21" s="426" customFormat="1">
      <c r="A307" s="426" t="str">
        <f t="shared" si="27"/>
        <v>KU</v>
      </c>
      <c r="B307" s="426" t="str">
        <f t="shared" si="26"/>
        <v>KY</v>
      </c>
      <c r="C307" s="426" t="str">
        <f t="shared" si="28"/>
        <v>E</v>
      </c>
      <c r="D307" s="426" t="s">
        <v>2658</v>
      </c>
      <c r="E307" s="426" t="str">
        <f t="shared" si="25"/>
        <v>311</v>
      </c>
      <c r="F307" s="741" t="s">
        <v>1727</v>
      </c>
      <c r="G307" s="425" t="str">
        <f t="shared" si="31"/>
        <v/>
      </c>
      <c r="I307" s="426">
        <v>0</v>
      </c>
      <c r="J307" s="426">
        <v>0</v>
      </c>
      <c r="K307" s="426">
        <v>0</v>
      </c>
      <c r="L307" s="426">
        <v>0</v>
      </c>
      <c r="M307" s="426">
        <v>0</v>
      </c>
      <c r="N307" s="426">
        <v>0</v>
      </c>
      <c r="O307" s="426">
        <v>0</v>
      </c>
      <c r="P307" s="426">
        <v>0</v>
      </c>
      <c r="Q307" s="426">
        <v>0</v>
      </c>
      <c r="R307" s="426">
        <v>0</v>
      </c>
      <c r="S307" s="426">
        <v>0</v>
      </c>
      <c r="T307" s="426">
        <v>0</v>
      </c>
      <c r="U307" s="426">
        <f t="shared" si="30"/>
        <v>0</v>
      </c>
    </row>
    <row r="308" spans="1:21" s="426" customFormat="1">
      <c r="A308" s="426" t="str">
        <f t="shared" si="27"/>
        <v>KU</v>
      </c>
      <c r="B308" s="426" t="str">
        <f t="shared" si="26"/>
        <v>KY</v>
      </c>
      <c r="C308" s="426" t="str">
        <f t="shared" si="28"/>
        <v>E</v>
      </c>
      <c r="D308" s="426" t="s">
        <v>2658</v>
      </c>
      <c r="E308" s="426" t="str">
        <f t="shared" si="25"/>
        <v>312</v>
      </c>
      <c r="F308" s="741" t="s">
        <v>1728</v>
      </c>
      <c r="G308" s="425" t="str">
        <f t="shared" si="31"/>
        <v/>
      </c>
      <c r="I308" s="426">
        <v>0</v>
      </c>
      <c r="J308" s="426">
        <v>0</v>
      </c>
      <c r="K308" s="426">
        <v>0</v>
      </c>
      <c r="L308" s="426">
        <v>0</v>
      </c>
      <c r="M308" s="426">
        <v>0</v>
      </c>
      <c r="N308" s="426">
        <v>0</v>
      </c>
      <c r="O308" s="426">
        <v>0</v>
      </c>
      <c r="P308" s="426">
        <v>0</v>
      </c>
      <c r="Q308" s="426">
        <v>0</v>
      </c>
      <c r="R308" s="426">
        <v>0</v>
      </c>
      <c r="S308" s="426">
        <v>0</v>
      </c>
      <c r="T308" s="426">
        <v>0</v>
      </c>
      <c r="U308" s="426">
        <f t="shared" si="30"/>
        <v>0</v>
      </c>
    </row>
    <row r="309" spans="1:21" s="426" customFormat="1">
      <c r="A309" s="426" t="str">
        <f t="shared" si="27"/>
        <v>KU</v>
      </c>
      <c r="B309" s="426" t="str">
        <f t="shared" si="26"/>
        <v>KY</v>
      </c>
      <c r="C309" s="426" t="str">
        <f t="shared" si="28"/>
        <v>E</v>
      </c>
      <c r="D309" s="426" t="s">
        <v>2658</v>
      </c>
      <c r="E309" s="426" t="str">
        <f t="shared" si="25"/>
        <v>312</v>
      </c>
      <c r="F309" s="741" t="s">
        <v>1729</v>
      </c>
      <c r="G309" s="425" t="str">
        <f t="shared" si="31"/>
        <v>ECR</v>
      </c>
      <c r="I309" s="426">
        <v>0</v>
      </c>
      <c r="J309" s="426">
        <v>0</v>
      </c>
      <c r="K309" s="426">
        <v>0</v>
      </c>
      <c r="L309" s="426">
        <v>0</v>
      </c>
      <c r="M309" s="426">
        <v>0</v>
      </c>
      <c r="N309" s="426">
        <v>-68400.818350000001</v>
      </c>
      <c r="O309" s="426">
        <v>0</v>
      </c>
      <c r="P309" s="426">
        <v>0</v>
      </c>
      <c r="Q309" s="426">
        <v>0</v>
      </c>
      <c r="R309" s="426">
        <v>0</v>
      </c>
      <c r="S309" s="426">
        <v>0</v>
      </c>
      <c r="T309" s="426">
        <v>0</v>
      </c>
      <c r="U309" s="426">
        <f t="shared" si="30"/>
        <v>-68400.818350000001</v>
      </c>
    </row>
    <row r="310" spans="1:21" s="426" customFormat="1">
      <c r="A310" s="426" t="str">
        <f t="shared" si="27"/>
        <v>KU</v>
      </c>
      <c r="B310" s="426" t="str">
        <f t="shared" si="26"/>
        <v>KY</v>
      </c>
      <c r="C310" s="426" t="str">
        <f t="shared" si="28"/>
        <v>E</v>
      </c>
      <c r="D310" s="426" t="s">
        <v>2658</v>
      </c>
      <c r="E310" s="426" t="str">
        <f t="shared" si="25"/>
        <v>312</v>
      </c>
      <c r="F310" s="741" t="s">
        <v>2714</v>
      </c>
      <c r="G310" s="425" t="str">
        <f t="shared" si="31"/>
        <v>ECR</v>
      </c>
      <c r="I310" s="426">
        <v>0</v>
      </c>
      <c r="J310" s="426">
        <v>0</v>
      </c>
      <c r="K310" s="426">
        <v>0</v>
      </c>
      <c r="L310" s="426">
        <v>0</v>
      </c>
      <c r="M310" s="426">
        <v>0</v>
      </c>
      <c r="N310" s="426">
        <v>68400.818350000001</v>
      </c>
      <c r="O310" s="426">
        <v>0</v>
      </c>
      <c r="P310" s="426">
        <v>0</v>
      </c>
      <c r="Q310" s="426">
        <v>0</v>
      </c>
      <c r="R310" s="426">
        <v>0</v>
      </c>
      <c r="S310" s="426">
        <v>0</v>
      </c>
      <c r="T310" s="426">
        <v>0</v>
      </c>
      <c r="U310" s="426">
        <f t="shared" si="30"/>
        <v>68400.818350000001</v>
      </c>
    </row>
    <row r="311" spans="1:21" s="426" customFormat="1">
      <c r="A311" s="426" t="str">
        <f t="shared" si="27"/>
        <v>KU</v>
      </c>
      <c r="B311" s="426" t="str">
        <f t="shared" si="26"/>
        <v>KY</v>
      </c>
      <c r="C311" s="426" t="str">
        <f t="shared" si="28"/>
        <v>E</v>
      </c>
      <c r="D311" s="426" t="s">
        <v>2658</v>
      </c>
      <c r="E311" s="426" t="str">
        <f t="shared" si="25"/>
        <v>312</v>
      </c>
      <c r="F311" s="741" t="s">
        <v>1730</v>
      </c>
      <c r="G311" s="425" t="str">
        <f t="shared" si="31"/>
        <v>ECR</v>
      </c>
      <c r="I311" s="426">
        <v>0</v>
      </c>
      <c r="J311" s="426">
        <v>0</v>
      </c>
      <c r="K311" s="426">
        <v>0</v>
      </c>
      <c r="L311" s="426">
        <v>0</v>
      </c>
      <c r="M311" s="426">
        <v>0</v>
      </c>
      <c r="N311" s="426">
        <v>0</v>
      </c>
      <c r="O311" s="426">
        <v>0</v>
      </c>
      <c r="P311" s="426">
        <v>0</v>
      </c>
      <c r="Q311" s="426">
        <v>0</v>
      </c>
      <c r="R311" s="426">
        <v>0</v>
      </c>
      <c r="S311" s="426">
        <v>0</v>
      </c>
      <c r="T311" s="426">
        <v>0</v>
      </c>
      <c r="U311" s="426">
        <f t="shared" si="30"/>
        <v>0</v>
      </c>
    </row>
    <row r="312" spans="1:21" s="426" customFormat="1">
      <c r="A312" s="426" t="str">
        <f t="shared" si="27"/>
        <v>KU</v>
      </c>
      <c r="B312" s="426" t="str">
        <f t="shared" si="26"/>
        <v>KY</v>
      </c>
      <c r="C312" s="426" t="str">
        <f t="shared" si="28"/>
        <v>E</v>
      </c>
      <c r="D312" s="426" t="s">
        <v>2658</v>
      </c>
      <c r="E312" s="426" t="str">
        <f t="shared" si="25"/>
        <v>312</v>
      </c>
      <c r="F312" s="741" t="s">
        <v>2179</v>
      </c>
      <c r="G312" s="425" t="str">
        <f t="shared" si="31"/>
        <v>ECR</v>
      </c>
      <c r="I312" s="426">
        <v>0</v>
      </c>
      <c r="J312" s="426">
        <v>0</v>
      </c>
      <c r="K312" s="426">
        <v>0</v>
      </c>
      <c r="L312" s="426">
        <v>0</v>
      </c>
      <c r="M312" s="426">
        <v>0</v>
      </c>
      <c r="N312" s="426">
        <v>-40902.689530000003</v>
      </c>
      <c r="O312" s="426">
        <v>0</v>
      </c>
      <c r="P312" s="426">
        <v>0</v>
      </c>
      <c r="Q312" s="426">
        <v>0</v>
      </c>
      <c r="R312" s="426">
        <v>0</v>
      </c>
      <c r="S312" s="426">
        <v>0</v>
      </c>
      <c r="T312" s="426">
        <v>0</v>
      </c>
      <c r="U312" s="426">
        <f t="shared" si="30"/>
        <v>-40902.689530000003</v>
      </c>
    </row>
    <row r="313" spans="1:21" s="426" customFormat="1">
      <c r="A313" s="426" t="str">
        <f t="shared" si="27"/>
        <v>KU</v>
      </c>
      <c r="B313" s="426" t="str">
        <f t="shared" si="26"/>
        <v>KY</v>
      </c>
      <c r="C313" s="426" t="str">
        <f t="shared" si="28"/>
        <v>E</v>
      </c>
      <c r="D313" s="426" t="s">
        <v>2658</v>
      </c>
      <c r="E313" s="426" t="str">
        <f t="shared" si="25"/>
        <v>312</v>
      </c>
      <c r="F313" s="741" t="s">
        <v>2715</v>
      </c>
      <c r="G313" s="425" t="str">
        <f t="shared" si="31"/>
        <v>ECR</v>
      </c>
      <c r="I313" s="426">
        <v>0</v>
      </c>
      <c r="J313" s="426">
        <v>0</v>
      </c>
      <c r="K313" s="426">
        <v>0</v>
      </c>
      <c r="L313" s="426">
        <v>0</v>
      </c>
      <c r="M313" s="426">
        <v>0</v>
      </c>
      <c r="N313" s="426">
        <v>40902.689530000003</v>
      </c>
      <c r="O313" s="426">
        <v>0</v>
      </c>
      <c r="P313" s="426">
        <v>0</v>
      </c>
      <c r="Q313" s="426">
        <v>0</v>
      </c>
      <c r="R313" s="426">
        <v>0</v>
      </c>
      <c r="S313" s="426">
        <v>0</v>
      </c>
      <c r="T313" s="426">
        <v>0</v>
      </c>
      <c r="U313" s="426">
        <f t="shared" si="30"/>
        <v>40902.689530000003</v>
      </c>
    </row>
    <row r="314" spans="1:21" s="426" customFormat="1">
      <c r="A314" s="426" t="str">
        <f t="shared" si="27"/>
        <v>KU</v>
      </c>
      <c r="B314" s="426" t="str">
        <f t="shared" si="26"/>
        <v>KY</v>
      </c>
      <c r="C314" s="426" t="str">
        <f t="shared" si="28"/>
        <v>E</v>
      </c>
      <c r="D314" s="426" t="s">
        <v>2658</v>
      </c>
      <c r="E314" s="426" t="str">
        <f t="shared" si="25"/>
        <v>315</v>
      </c>
      <c r="F314" s="741" t="s">
        <v>1733</v>
      </c>
      <c r="G314" s="425" t="str">
        <f t="shared" si="31"/>
        <v/>
      </c>
      <c r="I314" s="426">
        <v>0</v>
      </c>
      <c r="J314" s="426">
        <v>0</v>
      </c>
      <c r="K314" s="426">
        <v>0</v>
      </c>
      <c r="L314" s="426">
        <v>0</v>
      </c>
      <c r="M314" s="426">
        <v>0</v>
      </c>
      <c r="N314" s="426">
        <v>0</v>
      </c>
      <c r="O314" s="426">
        <v>0</v>
      </c>
      <c r="P314" s="426">
        <v>0</v>
      </c>
      <c r="Q314" s="426">
        <v>0</v>
      </c>
      <c r="R314" s="426">
        <v>0</v>
      </c>
      <c r="S314" s="426">
        <v>0</v>
      </c>
      <c r="T314" s="426">
        <v>0</v>
      </c>
      <c r="U314" s="426">
        <f t="shared" si="30"/>
        <v>0</v>
      </c>
    </row>
    <row r="315" spans="1:21" s="426" customFormat="1">
      <c r="A315" s="426" t="str">
        <f t="shared" si="27"/>
        <v>KU</v>
      </c>
      <c r="B315" s="426" t="str">
        <f t="shared" si="26"/>
        <v>KY</v>
      </c>
      <c r="C315" s="426" t="str">
        <f t="shared" si="28"/>
        <v>E</v>
      </c>
      <c r="D315" s="426" t="s">
        <v>2658</v>
      </c>
      <c r="E315" s="426" t="str">
        <f t="shared" si="25"/>
        <v>315</v>
      </c>
      <c r="F315" s="741" t="s">
        <v>2180</v>
      </c>
      <c r="G315" s="425" t="str">
        <f t="shared" si="31"/>
        <v>ECR</v>
      </c>
      <c r="I315" s="426">
        <v>0</v>
      </c>
      <c r="J315" s="426">
        <v>0</v>
      </c>
      <c r="K315" s="426">
        <v>0</v>
      </c>
      <c r="L315" s="426">
        <v>0</v>
      </c>
      <c r="M315" s="426">
        <v>0</v>
      </c>
      <c r="N315" s="426">
        <v>-1264.4349199999999</v>
      </c>
      <c r="O315" s="426">
        <v>0</v>
      </c>
      <c r="P315" s="426">
        <v>0</v>
      </c>
      <c r="Q315" s="426">
        <v>0</v>
      </c>
      <c r="R315" s="426">
        <v>0</v>
      </c>
      <c r="S315" s="426">
        <v>0</v>
      </c>
      <c r="T315" s="426">
        <v>0</v>
      </c>
      <c r="U315" s="426">
        <f t="shared" si="30"/>
        <v>-1264.4349199999999</v>
      </c>
    </row>
    <row r="316" spans="1:21" s="426" customFormat="1">
      <c r="A316" s="426" t="str">
        <f t="shared" si="27"/>
        <v>KU</v>
      </c>
      <c r="B316" s="426" t="str">
        <f t="shared" si="26"/>
        <v>KY</v>
      </c>
      <c r="C316" s="426" t="str">
        <f t="shared" si="28"/>
        <v>E</v>
      </c>
      <c r="D316" s="426" t="s">
        <v>2658</v>
      </c>
      <c r="E316" s="426" t="str">
        <f t="shared" si="25"/>
        <v>315</v>
      </c>
      <c r="F316" s="741" t="s">
        <v>2717</v>
      </c>
      <c r="G316" s="425" t="str">
        <f t="shared" si="31"/>
        <v>ECR</v>
      </c>
      <c r="I316" s="426">
        <v>0</v>
      </c>
      <c r="J316" s="426">
        <v>0</v>
      </c>
      <c r="K316" s="426">
        <v>0</v>
      </c>
      <c r="L316" s="426">
        <v>0</v>
      </c>
      <c r="M316" s="426">
        <v>0</v>
      </c>
      <c r="N316" s="426">
        <v>1264.4349199999999</v>
      </c>
      <c r="O316" s="426">
        <v>0</v>
      </c>
      <c r="P316" s="426">
        <v>0</v>
      </c>
      <c r="Q316" s="426">
        <v>0</v>
      </c>
      <c r="R316" s="426">
        <v>0</v>
      </c>
      <c r="S316" s="426">
        <v>0</v>
      </c>
      <c r="T316" s="426">
        <v>0</v>
      </c>
      <c r="U316" s="426">
        <f t="shared" si="30"/>
        <v>1264.4349199999999</v>
      </c>
    </row>
    <row r="317" spans="1:21" s="426" customFormat="1">
      <c r="A317" s="426" t="str">
        <f t="shared" si="27"/>
        <v>KU</v>
      </c>
      <c r="B317" s="426" t="str">
        <f t="shared" si="26"/>
        <v>KY</v>
      </c>
      <c r="C317" s="426" t="str">
        <f t="shared" si="28"/>
        <v>E</v>
      </c>
      <c r="D317" s="426" t="s">
        <v>2658</v>
      </c>
      <c r="E317" s="426" t="str">
        <f t="shared" si="25"/>
        <v>315</v>
      </c>
      <c r="F317" s="741" t="s">
        <v>1734</v>
      </c>
      <c r="G317" s="425" t="str">
        <f t="shared" si="31"/>
        <v>ECR</v>
      </c>
      <c r="I317" s="426">
        <v>0</v>
      </c>
      <c r="J317" s="426">
        <v>0</v>
      </c>
      <c r="K317" s="426">
        <v>0</v>
      </c>
      <c r="L317" s="426">
        <v>0</v>
      </c>
      <c r="M317" s="426">
        <v>0</v>
      </c>
      <c r="N317" s="426">
        <v>0</v>
      </c>
      <c r="O317" s="426">
        <v>0</v>
      </c>
      <c r="P317" s="426">
        <v>0</v>
      </c>
      <c r="Q317" s="426">
        <v>0</v>
      </c>
      <c r="R317" s="426">
        <v>0</v>
      </c>
      <c r="S317" s="426">
        <v>0</v>
      </c>
      <c r="T317" s="426">
        <v>0</v>
      </c>
      <c r="U317" s="426">
        <f t="shared" si="30"/>
        <v>0</v>
      </c>
    </row>
    <row r="318" spans="1:21" s="426" customFormat="1">
      <c r="A318" s="426" t="str">
        <f t="shared" si="27"/>
        <v>KU</v>
      </c>
      <c r="B318" s="426" t="str">
        <f t="shared" si="26"/>
        <v>KY</v>
      </c>
      <c r="C318" s="426" t="str">
        <f t="shared" si="28"/>
        <v>E</v>
      </c>
      <c r="D318" s="426" t="s">
        <v>2658</v>
      </c>
      <c r="E318" s="426" t="str">
        <f t="shared" si="25"/>
        <v>316</v>
      </c>
      <c r="F318" s="741" t="s">
        <v>2181</v>
      </c>
      <c r="G318" s="425" t="str">
        <f t="shared" si="31"/>
        <v>ECR</v>
      </c>
      <c r="I318" s="426">
        <v>0</v>
      </c>
      <c r="J318" s="426">
        <v>0</v>
      </c>
      <c r="K318" s="426">
        <v>0</v>
      </c>
      <c r="L318" s="426">
        <v>0</v>
      </c>
      <c r="M318" s="426">
        <v>0</v>
      </c>
      <c r="N318" s="426">
        <v>0</v>
      </c>
      <c r="O318" s="426">
        <v>0</v>
      </c>
      <c r="P318" s="426">
        <v>0</v>
      </c>
      <c r="Q318" s="426">
        <v>0</v>
      </c>
      <c r="R318" s="426">
        <v>0</v>
      </c>
      <c r="S318" s="426">
        <v>0</v>
      </c>
      <c r="T318" s="426">
        <v>0</v>
      </c>
      <c r="U318" s="426">
        <f t="shared" si="30"/>
        <v>0</v>
      </c>
    </row>
    <row r="319" spans="1:21" s="426" customFormat="1">
      <c r="A319" s="426" t="str">
        <f t="shared" si="27"/>
        <v>KU</v>
      </c>
      <c r="B319" s="426" t="str">
        <f t="shared" si="26"/>
        <v>KY</v>
      </c>
      <c r="C319" s="426" t="str">
        <f t="shared" si="28"/>
        <v>E</v>
      </c>
      <c r="D319" s="426" t="s">
        <v>2658</v>
      </c>
      <c r="E319" s="426" t="str">
        <f t="shared" si="25"/>
        <v>316</v>
      </c>
      <c r="F319" s="741" t="s">
        <v>1735</v>
      </c>
      <c r="G319" s="425" t="str">
        <f t="shared" si="31"/>
        <v/>
      </c>
      <c r="I319" s="426">
        <v>0</v>
      </c>
      <c r="J319" s="426">
        <v>0</v>
      </c>
      <c r="K319" s="426">
        <v>0</v>
      </c>
      <c r="L319" s="426">
        <v>0</v>
      </c>
      <c r="M319" s="426">
        <v>0</v>
      </c>
      <c r="N319" s="426">
        <v>0</v>
      </c>
      <c r="O319" s="426">
        <v>0</v>
      </c>
      <c r="P319" s="426">
        <v>0</v>
      </c>
      <c r="Q319" s="426">
        <v>0</v>
      </c>
      <c r="R319" s="426">
        <v>0</v>
      </c>
      <c r="S319" s="426">
        <v>0</v>
      </c>
      <c r="T319" s="426">
        <v>0</v>
      </c>
      <c r="U319" s="426">
        <f t="shared" si="30"/>
        <v>0</v>
      </c>
    </row>
    <row r="320" spans="1:21" s="426" customFormat="1">
      <c r="A320" s="426" t="str">
        <f t="shared" si="27"/>
        <v>KU</v>
      </c>
      <c r="B320" s="426" t="str">
        <f t="shared" si="26"/>
        <v>KY</v>
      </c>
      <c r="C320" s="426" t="str">
        <f t="shared" si="28"/>
        <v>E</v>
      </c>
      <c r="D320" s="426" t="s">
        <v>2658</v>
      </c>
      <c r="E320" s="426" t="str">
        <f t="shared" si="25"/>
        <v>317</v>
      </c>
      <c r="F320" s="741" t="s">
        <v>2398</v>
      </c>
      <c r="G320" s="425" t="str">
        <f t="shared" si="31"/>
        <v>ARO</v>
      </c>
      <c r="I320" s="426">
        <v>17711.264930000001</v>
      </c>
      <c r="J320" s="426">
        <v>0</v>
      </c>
      <c r="K320" s="426">
        <v>0</v>
      </c>
      <c r="L320" s="426">
        <v>10109.332770000001</v>
      </c>
      <c r="M320" s="426">
        <v>0</v>
      </c>
      <c r="N320" s="426">
        <v>0</v>
      </c>
      <c r="O320" s="426">
        <v>0</v>
      </c>
      <c r="P320" s="426">
        <v>0</v>
      </c>
      <c r="Q320" s="426">
        <v>0</v>
      </c>
      <c r="R320" s="426">
        <v>0</v>
      </c>
      <c r="S320" s="426">
        <v>0</v>
      </c>
      <c r="T320" s="426">
        <v>0</v>
      </c>
      <c r="U320" s="426">
        <f t="shared" si="30"/>
        <v>27820.597700000002</v>
      </c>
    </row>
    <row r="321" spans="1:21" s="426" customFormat="1">
      <c r="A321" s="426" t="str">
        <f t="shared" si="27"/>
        <v>KU</v>
      </c>
      <c r="B321" s="426" t="str">
        <f t="shared" si="26"/>
        <v>KY</v>
      </c>
      <c r="C321" s="426" t="str">
        <f t="shared" si="28"/>
        <v>E</v>
      </c>
      <c r="D321" s="426" t="s">
        <v>2658</v>
      </c>
      <c r="E321" s="426" t="str">
        <f t="shared" si="25"/>
        <v>353</v>
      </c>
      <c r="F321" s="741" t="s">
        <v>1758</v>
      </c>
      <c r="G321" s="425" t="str">
        <f t="shared" si="31"/>
        <v/>
      </c>
      <c r="I321" s="426">
        <v>0</v>
      </c>
      <c r="J321" s="426">
        <v>0</v>
      </c>
      <c r="K321" s="426">
        <v>0</v>
      </c>
      <c r="L321" s="426">
        <v>0</v>
      </c>
      <c r="M321" s="426">
        <v>0</v>
      </c>
      <c r="N321" s="426">
        <v>198.45179999999999</v>
      </c>
      <c r="O321" s="426">
        <v>0</v>
      </c>
      <c r="P321" s="426">
        <v>0</v>
      </c>
      <c r="Q321" s="426">
        <v>0</v>
      </c>
      <c r="R321" s="426">
        <v>0</v>
      </c>
      <c r="S321" s="426">
        <v>0</v>
      </c>
      <c r="T321" s="426">
        <v>0</v>
      </c>
      <c r="U321" s="426">
        <f t="shared" si="30"/>
        <v>198.45179999999999</v>
      </c>
    </row>
    <row r="322" spans="1:21" s="426" customFormat="1">
      <c r="A322" s="426" t="str">
        <f t="shared" si="27"/>
        <v>KU</v>
      </c>
      <c r="B322" s="426" t="str">
        <f t="shared" si="26"/>
        <v>KY</v>
      </c>
      <c r="C322" s="426" t="str">
        <f t="shared" si="28"/>
        <v>F</v>
      </c>
      <c r="D322" s="426" t="s">
        <v>2658</v>
      </c>
      <c r="E322" s="426" t="str">
        <f t="shared" si="25"/>
        <v>360</v>
      </c>
      <c r="F322" s="741" t="s">
        <v>3734</v>
      </c>
      <c r="G322" s="425" t="str">
        <f t="shared" si="31"/>
        <v>FUTURE USE</v>
      </c>
      <c r="M322" s="426">
        <v>-23.681999999999999</v>
      </c>
      <c r="U322" s="426">
        <f t="shared" si="30"/>
        <v>-23.681999999999999</v>
      </c>
    </row>
    <row r="323" spans="1:21" s="426" customFormat="1">
      <c r="A323" s="426" t="str">
        <f t="shared" si="27"/>
        <v>KU</v>
      </c>
      <c r="B323" s="426" t="str">
        <f t="shared" si="26"/>
        <v>KY</v>
      </c>
      <c r="C323" s="426" t="str">
        <f t="shared" si="28"/>
        <v>E</v>
      </c>
      <c r="D323" s="426" t="s">
        <v>2658</v>
      </c>
      <c r="E323" s="426" t="str">
        <f t="shared" si="25"/>
        <v>360</v>
      </c>
      <c r="F323" s="741" t="s">
        <v>1773</v>
      </c>
      <c r="G323" s="425" t="str">
        <f t="shared" si="31"/>
        <v/>
      </c>
      <c r="I323" s="426">
        <v>0</v>
      </c>
      <c r="J323" s="426">
        <v>0</v>
      </c>
      <c r="K323" s="426">
        <v>0</v>
      </c>
      <c r="L323" s="426">
        <v>0</v>
      </c>
      <c r="M323" s="426">
        <v>-0.99176999999999993</v>
      </c>
      <c r="N323" s="426">
        <v>0</v>
      </c>
      <c r="O323" s="426">
        <v>0</v>
      </c>
      <c r="P323" s="426">
        <v>0</v>
      </c>
      <c r="Q323" s="426">
        <v>0</v>
      </c>
      <c r="R323" s="426">
        <v>0</v>
      </c>
      <c r="S323" s="426">
        <v>0</v>
      </c>
      <c r="T323" s="426">
        <v>0</v>
      </c>
      <c r="U323" s="426">
        <f t="shared" si="30"/>
        <v>-0.99176999999999993</v>
      </c>
    </row>
    <row r="324" spans="1:21" s="426" customFormat="1">
      <c r="A324" s="426" t="str">
        <f t="shared" si="27"/>
        <v>KU</v>
      </c>
      <c r="B324" s="426" t="str">
        <f t="shared" si="26"/>
        <v>KY</v>
      </c>
      <c r="C324" s="426" t="str">
        <f t="shared" si="28"/>
        <v>E</v>
      </c>
      <c r="D324" s="426" t="s">
        <v>2658</v>
      </c>
      <c r="E324" s="426" t="str">
        <f t="shared" si="25"/>
        <v>361</v>
      </c>
      <c r="F324" s="741" t="s">
        <v>3735</v>
      </c>
      <c r="G324" s="425" t="str">
        <f t="shared" si="31"/>
        <v/>
      </c>
      <c r="M324" s="426">
        <v>-0.20799999999999999</v>
      </c>
    </row>
    <row r="325" spans="1:21" s="426" customFormat="1">
      <c r="A325" s="426" t="str">
        <f t="shared" si="27"/>
        <v>KU</v>
      </c>
      <c r="B325" s="426" t="str">
        <f t="shared" si="26"/>
        <v>KY</v>
      </c>
      <c r="C325" s="426" t="str">
        <f t="shared" si="28"/>
        <v>E</v>
      </c>
      <c r="D325" s="426" t="s">
        <v>2658</v>
      </c>
      <c r="E325" s="426" t="str">
        <f t="shared" si="25"/>
        <v>362</v>
      </c>
      <c r="F325" s="741" t="s">
        <v>1779</v>
      </c>
      <c r="G325" s="425" t="str">
        <f t="shared" si="31"/>
        <v/>
      </c>
      <c r="I325" s="426">
        <v>0</v>
      </c>
      <c r="J325" s="426">
        <v>0</v>
      </c>
      <c r="K325" s="426">
        <v>0</v>
      </c>
      <c r="L325" s="426">
        <v>0</v>
      </c>
      <c r="M325" s="426">
        <v>0</v>
      </c>
      <c r="N325" s="426">
        <v>-198.45179999999999</v>
      </c>
      <c r="O325" s="426">
        <v>0</v>
      </c>
      <c r="P325" s="426">
        <v>0</v>
      </c>
      <c r="Q325" s="426">
        <v>0</v>
      </c>
      <c r="R325" s="426">
        <v>0</v>
      </c>
      <c r="S325" s="426">
        <v>0</v>
      </c>
      <c r="T325" s="426">
        <v>0</v>
      </c>
      <c r="U325" s="426">
        <f t="shared" si="30"/>
        <v>-198.45179999999999</v>
      </c>
    </row>
    <row r="326" spans="1:21" s="426" customFormat="1">
      <c r="A326" s="426" t="str">
        <f t="shared" si="27"/>
        <v>KU</v>
      </c>
      <c r="B326" s="426" t="str">
        <f t="shared" si="26"/>
        <v>KY</v>
      </c>
      <c r="C326" s="426" t="str">
        <f t="shared" si="28"/>
        <v>E</v>
      </c>
      <c r="D326" s="426" t="s">
        <v>2658</v>
      </c>
      <c r="E326" s="426" t="str">
        <f t="shared" si="25"/>
        <v>364</v>
      </c>
      <c r="F326" s="741" t="s">
        <v>2196</v>
      </c>
      <c r="G326" s="425" t="str">
        <f t="shared" si="31"/>
        <v>ECR</v>
      </c>
      <c r="I326" s="426">
        <v>0</v>
      </c>
      <c r="J326" s="426">
        <v>0</v>
      </c>
      <c r="K326" s="426">
        <v>0</v>
      </c>
      <c r="L326" s="426">
        <v>0</v>
      </c>
      <c r="M326" s="426">
        <v>0</v>
      </c>
      <c r="N326" s="426">
        <v>0</v>
      </c>
      <c r="O326" s="426">
        <v>0</v>
      </c>
      <c r="P326" s="426">
        <v>0</v>
      </c>
      <c r="Q326" s="426">
        <v>0</v>
      </c>
      <c r="R326" s="426">
        <v>0</v>
      </c>
      <c r="S326" s="426">
        <v>0</v>
      </c>
      <c r="T326" s="426">
        <v>0</v>
      </c>
      <c r="U326" s="426">
        <f t="shared" si="30"/>
        <v>0</v>
      </c>
    </row>
    <row r="327" spans="1:21" s="426" customFormat="1">
      <c r="A327" s="426" t="str">
        <f t="shared" si="27"/>
        <v>KU</v>
      </c>
      <c r="B327" s="426" t="str">
        <f t="shared" si="26"/>
        <v>KY</v>
      </c>
      <c r="C327" s="426" t="str">
        <f t="shared" si="28"/>
        <v>E</v>
      </c>
      <c r="D327" s="426" t="s">
        <v>2658</v>
      </c>
      <c r="E327" s="426" t="str">
        <f t="shared" si="25"/>
        <v>364</v>
      </c>
      <c r="F327" s="741" t="s">
        <v>1782</v>
      </c>
      <c r="G327" s="425" t="str">
        <f t="shared" si="31"/>
        <v/>
      </c>
      <c r="I327" s="426">
        <v>0</v>
      </c>
      <c r="J327" s="426">
        <v>0</v>
      </c>
      <c r="K327" s="426">
        <v>0</v>
      </c>
      <c r="L327" s="426">
        <v>0</v>
      </c>
      <c r="M327" s="426">
        <v>0</v>
      </c>
      <c r="N327" s="426">
        <v>0</v>
      </c>
      <c r="O327" s="426">
        <v>0</v>
      </c>
      <c r="P327" s="426">
        <v>0</v>
      </c>
      <c r="Q327" s="426">
        <v>0</v>
      </c>
      <c r="R327" s="426">
        <v>0</v>
      </c>
      <c r="S327" s="426">
        <v>0</v>
      </c>
      <c r="T327" s="426">
        <v>0</v>
      </c>
      <c r="U327" s="426">
        <f t="shared" si="30"/>
        <v>0</v>
      </c>
    </row>
    <row r="328" spans="1:21" s="426" customFormat="1">
      <c r="A328" s="426" t="str">
        <f t="shared" si="27"/>
        <v>KU</v>
      </c>
      <c r="B328" s="426" t="str">
        <f t="shared" si="26"/>
        <v>KY</v>
      </c>
      <c r="C328" s="426" t="str">
        <f t="shared" si="28"/>
        <v>E</v>
      </c>
      <c r="D328" s="426" t="s">
        <v>2658</v>
      </c>
      <c r="E328" s="426" t="str">
        <f t="shared" si="25"/>
        <v>365</v>
      </c>
      <c r="F328" s="741" t="s">
        <v>2197</v>
      </c>
      <c r="G328" s="425" t="str">
        <f t="shared" si="31"/>
        <v>ECR</v>
      </c>
      <c r="I328" s="426">
        <v>0</v>
      </c>
      <c r="J328" s="426">
        <v>0</v>
      </c>
      <c r="K328" s="426">
        <v>0</v>
      </c>
      <c r="L328" s="426">
        <v>0</v>
      </c>
      <c r="M328" s="426">
        <v>0</v>
      </c>
      <c r="N328" s="426">
        <v>0</v>
      </c>
      <c r="O328" s="426">
        <v>0</v>
      </c>
      <c r="P328" s="426">
        <v>0</v>
      </c>
      <c r="Q328" s="426">
        <v>0</v>
      </c>
      <c r="R328" s="426">
        <v>0</v>
      </c>
      <c r="S328" s="426">
        <v>0</v>
      </c>
      <c r="T328" s="426">
        <v>0</v>
      </c>
      <c r="U328" s="426">
        <f t="shared" si="30"/>
        <v>0</v>
      </c>
    </row>
    <row r="329" spans="1:21" s="426" customFormat="1">
      <c r="A329" s="426" t="str">
        <f t="shared" si="27"/>
        <v>KU</v>
      </c>
      <c r="B329" s="426" t="str">
        <f t="shared" si="26"/>
        <v>KY</v>
      </c>
      <c r="C329" s="426" t="str">
        <f t="shared" si="28"/>
        <v>E</v>
      </c>
      <c r="D329" s="426" t="s">
        <v>2658</v>
      </c>
      <c r="E329" s="426" t="str">
        <f t="shared" si="25"/>
        <v>365</v>
      </c>
      <c r="F329" s="741" t="s">
        <v>1785</v>
      </c>
      <c r="G329" s="425" t="str">
        <f t="shared" si="31"/>
        <v/>
      </c>
      <c r="I329" s="426">
        <v>0</v>
      </c>
      <c r="J329" s="426">
        <v>0</v>
      </c>
      <c r="K329" s="426">
        <v>0</v>
      </c>
      <c r="L329" s="426">
        <v>0</v>
      </c>
      <c r="M329" s="426">
        <v>0</v>
      </c>
      <c r="N329" s="426">
        <v>0</v>
      </c>
      <c r="O329" s="426">
        <v>0</v>
      </c>
      <c r="P329" s="426">
        <v>0</v>
      </c>
      <c r="Q329" s="426">
        <v>0</v>
      </c>
      <c r="R329" s="426">
        <v>0</v>
      </c>
      <c r="S329" s="426">
        <v>0</v>
      </c>
      <c r="T329" s="426">
        <v>0</v>
      </c>
      <c r="U329" s="426">
        <f t="shared" si="30"/>
        <v>0</v>
      </c>
    </row>
    <row r="330" spans="1:21" s="426" customFormat="1">
      <c r="A330" s="426" t="str">
        <f t="shared" si="27"/>
        <v>KU</v>
      </c>
      <c r="B330" s="426" t="str">
        <f t="shared" si="26"/>
        <v>KY</v>
      </c>
      <c r="C330" s="426" t="str">
        <f t="shared" si="28"/>
        <v>E</v>
      </c>
      <c r="D330" s="426" t="s">
        <v>2658</v>
      </c>
      <c r="E330" s="426" t="str">
        <f t="shared" si="25"/>
        <v>366</v>
      </c>
      <c r="F330" s="741" t="s">
        <v>2198</v>
      </c>
      <c r="G330" s="425" t="str">
        <f t="shared" si="31"/>
        <v>ECR</v>
      </c>
      <c r="H330" s="426">
        <v>0</v>
      </c>
      <c r="I330" s="426">
        <v>0</v>
      </c>
      <c r="J330" s="426">
        <v>0</v>
      </c>
      <c r="K330" s="426">
        <v>0</v>
      </c>
      <c r="L330" s="426">
        <v>0</v>
      </c>
      <c r="M330" s="426">
        <v>0</v>
      </c>
      <c r="N330" s="426">
        <v>0</v>
      </c>
      <c r="O330" s="426">
        <v>0</v>
      </c>
      <c r="P330" s="426">
        <v>0</v>
      </c>
      <c r="Q330" s="426">
        <v>0</v>
      </c>
      <c r="R330" s="426">
        <v>0</v>
      </c>
      <c r="S330" s="426">
        <v>0</v>
      </c>
      <c r="T330" s="426">
        <v>0</v>
      </c>
      <c r="U330" s="426">
        <f t="shared" si="30"/>
        <v>0</v>
      </c>
    </row>
    <row r="331" spans="1:21" s="426" customFormat="1">
      <c r="A331" s="426" t="str">
        <f t="shared" si="27"/>
        <v>KU</v>
      </c>
      <c r="B331" s="426" t="str">
        <f t="shared" si="26"/>
        <v>KY</v>
      </c>
      <c r="C331" s="426" t="str">
        <f t="shared" si="28"/>
        <v>E</v>
      </c>
      <c r="D331" s="426" t="s">
        <v>2658</v>
      </c>
      <c r="E331" s="426" t="str">
        <f t="shared" si="25"/>
        <v>366</v>
      </c>
      <c r="F331" s="741" t="s">
        <v>1788</v>
      </c>
      <c r="G331" s="425" t="str">
        <f t="shared" si="31"/>
        <v/>
      </c>
      <c r="H331" s="426">
        <v>0</v>
      </c>
      <c r="I331" s="426">
        <v>0</v>
      </c>
      <c r="J331" s="426">
        <v>0</v>
      </c>
      <c r="K331" s="426">
        <v>0</v>
      </c>
      <c r="L331" s="426">
        <v>0</v>
      </c>
      <c r="M331" s="426">
        <v>0</v>
      </c>
      <c r="N331" s="426">
        <v>0</v>
      </c>
      <c r="O331" s="426">
        <v>0</v>
      </c>
      <c r="P331" s="426">
        <v>0</v>
      </c>
      <c r="Q331" s="426">
        <v>0</v>
      </c>
      <c r="R331" s="426">
        <v>0</v>
      </c>
      <c r="S331" s="426">
        <v>0</v>
      </c>
      <c r="T331" s="426">
        <v>0</v>
      </c>
      <c r="U331" s="426">
        <f t="shared" si="30"/>
        <v>0</v>
      </c>
    </row>
    <row r="332" spans="1:21" s="426" customFormat="1">
      <c r="A332" s="426" t="str">
        <f t="shared" si="27"/>
        <v>KU</v>
      </c>
      <c r="B332" s="426" t="str">
        <f t="shared" si="26"/>
        <v>KY</v>
      </c>
      <c r="C332" s="426" t="str">
        <f t="shared" si="28"/>
        <v>E</v>
      </c>
      <c r="D332" s="426" t="s">
        <v>2658</v>
      </c>
      <c r="E332" s="426" t="str">
        <f t="shared" si="25"/>
        <v>367</v>
      </c>
      <c r="F332" s="741" t="s">
        <v>2199</v>
      </c>
      <c r="G332" s="425" t="str">
        <f t="shared" si="31"/>
        <v>ECR</v>
      </c>
      <c r="H332" s="426">
        <v>0</v>
      </c>
      <c r="I332" s="426">
        <v>0</v>
      </c>
      <c r="J332" s="426">
        <v>0</v>
      </c>
      <c r="K332" s="426">
        <v>0</v>
      </c>
      <c r="L332" s="426">
        <v>0</v>
      </c>
      <c r="M332" s="426">
        <v>0</v>
      </c>
      <c r="N332" s="426">
        <v>0</v>
      </c>
      <c r="O332" s="426">
        <v>0</v>
      </c>
      <c r="P332" s="426">
        <v>0</v>
      </c>
      <c r="Q332" s="426">
        <v>0</v>
      </c>
      <c r="R332" s="426">
        <v>0</v>
      </c>
      <c r="S332" s="426">
        <v>0</v>
      </c>
      <c r="T332" s="426">
        <v>0</v>
      </c>
      <c r="U332" s="426">
        <f t="shared" si="30"/>
        <v>0</v>
      </c>
    </row>
    <row r="333" spans="1:21" s="426" customFormat="1">
      <c r="A333" s="426" t="str">
        <f t="shared" si="27"/>
        <v>KU</v>
      </c>
      <c r="B333" s="426" t="str">
        <f t="shared" si="26"/>
        <v>KY</v>
      </c>
      <c r="C333" s="426" t="str">
        <f t="shared" si="28"/>
        <v>E</v>
      </c>
      <c r="D333" s="426" t="s">
        <v>2658</v>
      </c>
      <c r="E333" s="426" t="str">
        <f t="shared" si="25"/>
        <v>367</v>
      </c>
      <c r="F333" s="741" t="s">
        <v>1789</v>
      </c>
      <c r="G333" s="425" t="str">
        <f t="shared" si="31"/>
        <v/>
      </c>
      <c r="H333" s="426">
        <v>0</v>
      </c>
      <c r="I333" s="426">
        <v>0</v>
      </c>
      <c r="J333" s="426">
        <v>0</v>
      </c>
      <c r="K333" s="426">
        <v>0</v>
      </c>
      <c r="L333" s="426">
        <v>0</v>
      </c>
      <c r="M333" s="426">
        <v>0</v>
      </c>
      <c r="N333" s="426">
        <v>0</v>
      </c>
      <c r="O333" s="426">
        <v>0</v>
      </c>
      <c r="P333" s="426">
        <v>0</v>
      </c>
      <c r="Q333" s="426">
        <v>0</v>
      </c>
      <c r="R333" s="426">
        <v>0</v>
      </c>
      <c r="S333" s="426">
        <v>0</v>
      </c>
      <c r="T333" s="426">
        <v>0</v>
      </c>
      <c r="U333" s="426">
        <f t="shared" si="30"/>
        <v>0</v>
      </c>
    </row>
    <row r="334" spans="1:21" s="426" customFormat="1">
      <c r="A334" s="426" t="str">
        <f t="shared" si="27"/>
        <v>KU</v>
      </c>
      <c r="B334" s="426" t="str">
        <f t="shared" si="26"/>
        <v>KY</v>
      </c>
      <c r="C334" s="426" t="str">
        <f t="shared" si="28"/>
        <v>F</v>
      </c>
      <c r="D334" s="426" t="s">
        <v>2658</v>
      </c>
      <c r="E334" s="426" t="str">
        <f t="shared" si="25"/>
        <v>389</v>
      </c>
      <c r="F334" s="741" t="s">
        <v>2400</v>
      </c>
      <c r="G334" s="425" t="str">
        <f t="shared" si="31"/>
        <v>FUTURE USE</v>
      </c>
      <c r="H334" s="426">
        <v>0</v>
      </c>
      <c r="I334" s="426">
        <v>0</v>
      </c>
      <c r="J334" s="426">
        <v>0</v>
      </c>
      <c r="K334" s="426">
        <v>0</v>
      </c>
      <c r="L334" s="426">
        <v>0</v>
      </c>
      <c r="M334" s="426">
        <v>0</v>
      </c>
      <c r="N334" s="426">
        <v>0</v>
      </c>
      <c r="O334" s="426">
        <v>0</v>
      </c>
      <c r="P334" s="426">
        <v>0</v>
      </c>
      <c r="Q334" s="426">
        <v>0</v>
      </c>
      <c r="R334" s="426">
        <v>0</v>
      </c>
      <c r="S334" s="426">
        <v>0</v>
      </c>
      <c r="T334" s="426">
        <v>0</v>
      </c>
      <c r="U334" s="426">
        <f t="shared" si="30"/>
        <v>0</v>
      </c>
    </row>
    <row r="335" spans="1:21" s="426" customFormat="1">
      <c r="A335" s="426" t="str">
        <f t="shared" si="27"/>
        <v>KU</v>
      </c>
      <c r="B335" s="426" t="str">
        <f t="shared" si="26"/>
        <v>KY</v>
      </c>
      <c r="C335" s="426" t="str">
        <f t="shared" si="28"/>
        <v>E</v>
      </c>
      <c r="D335" s="426" t="s">
        <v>2658</v>
      </c>
      <c r="E335" s="426" t="str">
        <f t="shared" si="25"/>
        <v>389</v>
      </c>
      <c r="F335" s="741" t="s">
        <v>1804</v>
      </c>
      <c r="G335" s="425" t="str">
        <f t="shared" si="31"/>
        <v/>
      </c>
      <c r="H335" s="426">
        <v>0</v>
      </c>
      <c r="I335" s="426">
        <v>0</v>
      </c>
      <c r="J335" s="426">
        <v>0</v>
      </c>
      <c r="K335" s="426">
        <v>-0.40250000000000002</v>
      </c>
      <c r="L335" s="426">
        <v>0</v>
      </c>
      <c r="M335" s="426">
        <v>1.2</v>
      </c>
      <c r="N335" s="426">
        <v>0</v>
      </c>
      <c r="O335" s="426">
        <v>0</v>
      </c>
      <c r="P335" s="426">
        <v>0</v>
      </c>
      <c r="Q335" s="426">
        <v>0</v>
      </c>
      <c r="R335" s="426">
        <v>0</v>
      </c>
      <c r="S335" s="426">
        <v>0</v>
      </c>
      <c r="T335" s="426">
        <v>0</v>
      </c>
      <c r="U335" s="426">
        <f t="shared" si="30"/>
        <v>0.79749999999999988</v>
      </c>
    </row>
    <row r="336" spans="1:21">
      <c r="A336" s="426" t="str">
        <f t="shared" si="27"/>
        <v>KU</v>
      </c>
      <c r="B336" s="426" t="str">
        <f t="shared" si="26"/>
        <v>KY</v>
      </c>
      <c r="C336" s="426" t="str">
        <f t="shared" si="28"/>
        <v>C</v>
      </c>
      <c r="D336" s="426" t="s">
        <v>2658</v>
      </c>
      <c r="E336" s="426" t="str">
        <f t="shared" si="25"/>
        <v>121</v>
      </c>
      <c r="F336" s="741" t="s">
        <v>1822</v>
      </c>
      <c r="G336" s="425" t="str">
        <f t="shared" si="31"/>
        <v/>
      </c>
      <c r="H336" s="426">
        <v>0</v>
      </c>
      <c r="I336" s="426">
        <v>0</v>
      </c>
      <c r="J336" s="426">
        <v>0</v>
      </c>
      <c r="K336" s="426">
        <v>0.40250000000000002</v>
      </c>
      <c r="L336" s="426">
        <v>0</v>
      </c>
      <c r="M336" s="426">
        <v>23.68177</v>
      </c>
      <c r="N336" s="426">
        <v>0</v>
      </c>
      <c r="O336" s="426">
        <v>0</v>
      </c>
      <c r="P336" s="426">
        <v>0</v>
      </c>
      <c r="Q336" s="426">
        <v>0</v>
      </c>
      <c r="R336" s="426">
        <v>0</v>
      </c>
      <c r="S336" s="426">
        <v>0</v>
      </c>
      <c r="T336" s="426">
        <v>0</v>
      </c>
      <c r="U336" s="426">
        <f t="shared" si="30"/>
        <v>24.08427</v>
      </c>
    </row>
    <row r="337" spans="1:21" s="426" customFormat="1">
      <c r="F337" s="799" t="s">
        <v>1823</v>
      </c>
      <c r="G337" s="425" t="str">
        <f t="shared" si="31"/>
        <v/>
      </c>
      <c r="H337" s="426">
        <f t="shared" ref="H337:T337" si="33">SUM(H298:H336)</f>
        <v>0</v>
      </c>
      <c r="I337" s="426">
        <f t="shared" si="33"/>
        <v>17711.264930000001</v>
      </c>
      <c r="J337" s="426">
        <f t="shared" si="33"/>
        <v>0</v>
      </c>
      <c r="K337" s="426">
        <f t="shared" si="33"/>
        <v>0</v>
      </c>
      <c r="L337" s="426">
        <f t="shared" si="33"/>
        <v>10109.332770000001</v>
      </c>
      <c r="M337" s="426">
        <f t="shared" si="33"/>
        <v>0</v>
      </c>
      <c r="N337" s="426">
        <f t="shared" si="33"/>
        <v>0</v>
      </c>
      <c r="O337" s="426">
        <f t="shared" si="33"/>
        <v>0</v>
      </c>
      <c r="P337" s="426">
        <f t="shared" si="33"/>
        <v>0</v>
      </c>
      <c r="Q337" s="426">
        <f t="shared" si="33"/>
        <v>0</v>
      </c>
      <c r="R337" s="426">
        <f t="shared" si="33"/>
        <v>0</v>
      </c>
      <c r="S337" s="426">
        <f t="shared" si="33"/>
        <v>0</v>
      </c>
      <c r="T337" s="426">
        <f t="shared" si="33"/>
        <v>0</v>
      </c>
      <c r="U337" s="426">
        <f t="shared" si="30"/>
        <v>27820.597700000002</v>
      </c>
    </row>
    <row r="338" spans="1:21" s="426" customFormat="1">
      <c r="F338" s="799"/>
      <c r="G338" s="425" t="str">
        <f t="shared" si="31"/>
        <v/>
      </c>
      <c r="U338" s="426">
        <f t="shared" si="30"/>
        <v>0</v>
      </c>
    </row>
    <row r="339" spans="1:21" s="426" customFormat="1">
      <c r="F339" s="800" t="s">
        <v>1825</v>
      </c>
      <c r="G339" s="425" t="str">
        <f t="shared" si="31"/>
        <v/>
      </c>
    </row>
    <row r="340" spans="1:21" s="426" customFormat="1">
      <c r="A340" s="426" t="str">
        <f t="shared" si="27"/>
        <v>KU</v>
      </c>
      <c r="B340" s="426" t="str">
        <f t="shared" si="26"/>
        <v>KY</v>
      </c>
      <c r="C340" s="426" t="str">
        <f t="shared" si="28"/>
        <v>E</v>
      </c>
      <c r="D340" s="426" t="s">
        <v>2659</v>
      </c>
      <c r="E340" s="426" t="str">
        <f t="shared" ref="E340:E409" si="34">MID($F340,8,3)</f>
        <v>302</v>
      </c>
      <c r="F340" s="741" t="s">
        <v>1720</v>
      </c>
      <c r="G340" s="425" t="str">
        <f t="shared" si="31"/>
        <v/>
      </c>
      <c r="H340" s="426">
        <v>73.743369999999999</v>
      </c>
      <c r="I340" s="426">
        <v>73.912520000000001</v>
      </c>
      <c r="J340" s="426">
        <v>74.081670000000003</v>
      </c>
      <c r="K340" s="426">
        <v>74.250820000000004</v>
      </c>
      <c r="L340" s="426">
        <v>74.419970000000006</v>
      </c>
      <c r="M340" s="426">
        <v>74.589119999999994</v>
      </c>
      <c r="N340" s="426">
        <v>74.758269999999996</v>
      </c>
      <c r="O340" s="426">
        <v>74.927424460799998</v>
      </c>
      <c r="P340" s="426">
        <v>75.096578921599999</v>
      </c>
      <c r="Q340" s="426">
        <v>75.265733382400001</v>
      </c>
      <c r="R340" s="426">
        <v>59.773198211</v>
      </c>
      <c r="S340" s="426">
        <v>60.209913407499997</v>
      </c>
      <c r="T340" s="426">
        <v>60.646628604</v>
      </c>
    </row>
    <row r="341" spans="1:21" s="426" customFormat="1">
      <c r="A341" s="426" t="str">
        <f t="shared" si="27"/>
        <v>KU</v>
      </c>
      <c r="B341" s="426" t="str">
        <f t="shared" si="26"/>
        <v>KY</v>
      </c>
      <c r="C341" s="426" t="str">
        <f t="shared" si="28"/>
        <v>E</v>
      </c>
      <c r="D341" s="426" t="s">
        <v>2659</v>
      </c>
      <c r="E341" s="426" t="str">
        <f t="shared" si="34"/>
        <v>303</v>
      </c>
      <c r="F341" s="741" t="s">
        <v>2710</v>
      </c>
      <c r="G341" s="425" t="str">
        <f t="shared" si="31"/>
        <v/>
      </c>
      <c r="H341" s="426">
        <v>0</v>
      </c>
      <c r="I341" s="426">
        <v>0</v>
      </c>
      <c r="J341" s="426">
        <v>0</v>
      </c>
      <c r="K341" s="426">
        <v>0</v>
      </c>
      <c r="L341" s="426">
        <v>0</v>
      </c>
      <c r="M341" s="426">
        <v>0</v>
      </c>
      <c r="N341" s="426">
        <v>0</v>
      </c>
      <c r="O341" s="426">
        <v>7.3474289639999997</v>
      </c>
      <c r="P341" s="426">
        <v>23.037610833999999</v>
      </c>
      <c r="Q341" s="426">
        <v>39.825733303999897</v>
      </c>
      <c r="R341" s="426">
        <v>64.048856233999999</v>
      </c>
      <c r="S341" s="426">
        <v>95.604362953999996</v>
      </c>
      <c r="T341" s="426">
        <v>127.159869673999</v>
      </c>
    </row>
    <row r="342" spans="1:21" s="426" customFormat="1">
      <c r="A342" s="426" t="str">
        <f t="shared" si="27"/>
        <v>KU</v>
      </c>
      <c r="B342" s="426" t="str">
        <f t="shared" si="26"/>
        <v>KY</v>
      </c>
      <c r="C342" s="426" t="str">
        <f t="shared" si="28"/>
        <v>E</v>
      </c>
      <c r="D342" s="426" t="s">
        <v>2659</v>
      </c>
      <c r="E342" s="426" t="str">
        <f t="shared" si="34"/>
        <v>303</v>
      </c>
      <c r="F342" s="741" t="s">
        <v>1721</v>
      </c>
      <c r="G342" s="425" t="str">
        <f t="shared" si="31"/>
        <v/>
      </c>
      <c r="H342" s="426">
        <v>29779.417870000001</v>
      </c>
      <c r="I342" s="426">
        <v>30746.143329999999</v>
      </c>
      <c r="J342" s="426">
        <v>31949.404869999998</v>
      </c>
      <c r="K342" s="426">
        <v>33182.84923</v>
      </c>
      <c r="L342" s="426">
        <v>34072.311560000002</v>
      </c>
      <c r="M342" s="426">
        <v>34399.210189999998</v>
      </c>
      <c r="N342" s="426">
        <v>32886.017339999999</v>
      </c>
      <c r="O342" s="426">
        <v>33712.110824000003</v>
      </c>
      <c r="P342" s="426">
        <v>35036.172827000002</v>
      </c>
      <c r="Q342" s="426">
        <v>36187.551379999997</v>
      </c>
      <c r="R342" s="426">
        <v>35680.821532000002</v>
      </c>
      <c r="S342" s="426">
        <v>36271.635585000004</v>
      </c>
      <c r="T342" s="426">
        <v>37741.619985999998</v>
      </c>
    </row>
    <row r="343" spans="1:21" s="426" customFormat="1">
      <c r="A343" s="426" t="str">
        <f t="shared" si="27"/>
        <v>KU</v>
      </c>
      <c r="B343" s="426" t="str">
        <f t="shared" si="26"/>
        <v>KY</v>
      </c>
      <c r="C343" s="426" t="str">
        <f t="shared" si="28"/>
        <v>E</v>
      </c>
      <c r="D343" s="426" t="s">
        <v>2659</v>
      </c>
      <c r="E343" s="426" t="str">
        <f t="shared" si="34"/>
        <v>303</v>
      </c>
      <c r="F343" s="741" t="s">
        <v>1722</v>
      </c>
      <c r="G343" s="425" t="str">
        <f t="shared" si="31"/>
        <v/>
      </c>
      <c r="H343" s="426">
        <v>7460.0324600000004</v>
      </c>
      <c r="I343" s="426">
        <v>7617.1767300000001</v>
      </c>
      <c r="J343" s="426">
        <v>7774.3209999999999</v>
      </c>
      <c r="K343" s="426">
        <v>7931.4652699999997</v>
      </c>
      <c r="L343" s="426">
        <v>8088.6095400000004</v>
      </c>
      <c r="M343" s="426">
        <v>8244.3775499999992</v>
      </c>
      <c r="N343" s="426">
        <v>8398.7692999999999</v>
      </c>
      <c r="O343" s="426">
        <v>8553.1610464999994</v>
      </c>
      <c r="P343" s="426">
        <v>8695.3897825999993</v>
      </c>
      <c r="Q343" s="426">
        <v>8849.6799881999996</v>
      </c>
      <c r="R343" s="426">
        <v>9003.9701937999998</v>
      </c>
      <c r="S343" s="426">
        <v>9158.2603994000001</v>
      </c>
      <c r="T343" s="426">
        <v>9165.9287304000009</v>
      </c>
    </row>
    <row r="344" spans="1:21" s="426" customFormat="1">
      <c r="A344" s="426" t="str">
        <f t="shared" si="27"/>
        <v>KU</v>
      </c>
      <c r="B344" s="426" t="str">
        <f t="shared" si="26"/>
        <v>KY</v>
      </c>
      <c r="C344" s="426" t="str">
        <f t="shared" si="28"/>
        <v>E</v>
      </c>
      <c r="D344" s="426" t="s">
        <v>2659</v>
      </c>
      <c r="E344" s="426" t="str">
        <f t="shared" si="34"/>
        <v>311</v>
      </c>
      <c r="F344" s="741" t="s">
        <v>1726</v>
      </c>
      <c r="G344" s="425" t="str">
        <f t="shared" si="31"/>
        <v>ECR</v>
      </c>
      <c r="H344" s="426">
        <v>922.50368000000003</v>
      </c>
      <c r="I344" s="426">
        <v>952.04244000000006</v>
      </c>
      <c r="J344" s="426">
        <v>981.58119999999997</v>
      </c>
      <c r="K344" s="426">
        <v>1011.11996</v>
      </c>
      <c r="L344" s="426">
        <v>1040.6587199999999</v>
      </c>
      <c r="M344" s="426">
        <v>843.22789999999998</v>
      </c>
      <c r="N344" s="426">
        <v>862.13282000000004</v>
      </c>
      <c r="O344" s="426">
        <v>890.62926272375</v>
      </c>
      <c r="P344" s="426">
        <v>919.12570544749997</v>
      </c>
      <c r="Q344" s="426">
        <v>947.62214817124902</v>
      </c>
      <c r="R344" s="426">
        <v>976.11859089499899</v>
      </c>
      <c r="S344" s="426">
        <v>1004.615033618749</v>
      </c>
      <c r="T344" s="426">
        <v>1033.1114763424901</v>
      </c>
    </row>
    <row r="345" spans="1:21" s="426" customFormat="1">
      <c r="A345" s="426" t="str">
        <f t="shared" si="27"/>
        <v>KU</v>
      </c>
      <c r="B345" s="426" t="str">
        <f t="shared" si="26"/>
        <v>KY</v>
      </c>
      <c r="C345" s="426" t="str">
        <f t="shared" si="28"/>
        <v>E</v>
      </c>
      <c r="D345" s="426" t="s">
        <v>2659</v>
      </c>
      <c r="E345" s="426" t="str">
        <f t="shared" si="34"/>
        <v>311</v>
      </c>
      <c r="F345" s="741" t="s">
        <v>3665</v>
      </c>
      <c r="G345" s="425" t="str">
        <f t="shared" si="31"/>
        <v/>
      </c>
      <c r="N345" s="426">
        <v>-31.476089999999999</v>
      </c>
      <c r="O345" s="426">
        <v>-31.476089999999999</v>
      </c>
      <c r="P345" s="426">
        <v>-31.476089999999999</v>
      </c>
      <c r="Q345" s="426">
        <v>-31.476089999999999</v>
      </c>
      <c r="R345" s="426">
        <v>-31.476089999999999</v>
      </c>
      <c r="S345" s="426">
        <v>-31.476089999999999</v>
      </c>
      <c r="T345" s="426">
        <v>-31.476089999999999</v>
      </c>
    </row>
    <row r="346" spans="1:21" s="426" customFormat="1">
      <c r="A346" s="426" t="str">
        <f t="shared" si="27"/>
        <v>KU</v>
      </c>
      <c r="B346" s="426" t="str">
        <f t="shared" si="26"/>
        <v>KY</v>
      </c>
      <c r="C346" s="426" t="str">
        <f t="shared" si="28"/>
        <v>E</v>
      </c>
      <c r="D346" s="426" t="s">
        <v>2659</v>
      </c>
      <c r="E346" s="426" t="str">
        <f t="shared" si="34"/>
        <v>311</v>
      </c>
      <c r="F346" s="741" t="s">
        <v>2713</v>
      </c>
      <c r="G346" s="425" t="str">
        <f t="shared" si="31"/>
        <v>ECR</v>
      </c>
      <c r="H346" s="426">
        <v>0</v>
      </c>
      <c r="I346" s="426">
        <v>0</v>
      </c>
      <c r="J346" s="426">
        <v>0</v>
      </c>
      <c r="K346" s="426">
        <v>0</v>
      </c>
      <c r="L346" s="426">
        <v>0</v>
      </c>
      <c r="M346" s="426">
        <v>0</v>
      </c>
      <c r="N346" s="426">
        <v>41.550310000000003</v>
      </c>
      <c r="O346" s="426">
        <v>42.03300229325</v>
      </c>
      <c r="P346" s="426">
        <v>42.515694586499997</v>
      </c>
      <c r="Q346" s="426">
        <v>42.998386879750001</v>
      </c>
      <c r="R346" s="426">
        <v>43.481079172999998</v>
      </c>
      <c r="S346" s="426">
        <v>43.963771466250002</v>
      </c>
      <c r="T346" s="426">
        <v>44.446463759499999</v>
      </c>
    </row>
    <row r="347" spans="1:21" s="426" customFormat="1">
      <c r="A347" s="426" t="str">
        <f t="shared" si="27"/>
        <v>KU</v>
      </c>
      <c r="B347" s="426" t="str">
        <f t="shared" si="26"/>
        <v>KY</v>
      </c>
      <c r="C347" s="426" t="str">
        <f t="shared" si="28"/>
        <v>E</v>
      </c>
      <c r="D347" s="426" t="s">
        <v>2659</v>
      </c>
      <c r="E347" s="426" t="str">
        <f t="shared" si="34"/>
        <v>311</v>
      </c>
      <c r="F347" s="741" t="s">
        <v>2178</v>
      </c>
      <c r="G347" s="425" t="str">
        <f t="shared" si="31"/>
        <v>ECR</v>
      </c>
      <c r="H347" s="426">
        <v>980.22941000000003</v>
      </c>
      <c r="I347" s="426">
        <v>1010.7971700000001</v>
      </c>
      <c r="J347" s="426">
        <v>1041.36493</v>
      </c>
      <c r="K347" s="426">
        <v>1071.9326900000001</v>
      </c>
      <c r="L347" s="426">
        <v>1102.50045</v>
      </c>
      <c r="M347" s="426">
        <v>1133.0682099999999</v>
      </c>
      <c r="N347" s="426">
        <v>1163.63597</v>
      </c>
      <c r="O347" s="426">
        <v>1194.203734985</v>
      </c>
      <c r="P347" s="426">
        <v>1224.7714999699999</v>
      </c>
      <c r="Q347" s="426">
        <v>1255.3392649550001</v>
      </c>
      <c r="R347" s="426">
        <v>1285.90702994</v>
      </c>
      <c r="S347" s="426">
        <v>1316.474794925</v>
      </c>
      <c r="T347" s="426">
        <v>1347.0425599099999</v>
      </c>
    </row>
    <row r="348" spans="1:21" s="426" customFormat="1">
      <c r="A348" s="426" t="str">
        <f t="shared" si="27"/>
        <v>KU</v>
      </c>
      <c r="B348" s="426" t="str">
        <f t="shared" si="26"/>
        <v>KY</v>
      </c>
      <c r="C348" s="426" t="str">
        <f t="shared" si="28"/>
        <v>E</v>
      </c>
      <c r="D348" s="426" t="s">
        <v>2659</v>
      </c>
      <c r="E348" s="426" t="str">
        <f t="shared" si="34"/>
        <v>311</v>
      </c>
      <c r="F348" s="427" t="s">
        <v>1727</v>
      </c>
      <c r="G348" s="425" t="str">
        <f t="shared" si="31"/>
        <v/>
      </c>
      <c r="H348" s="426">
        <v>161995.78693999999</v>
      </c>
      <c r="I348" s="426">
        <v>162606.41633000001</v>
      </c>
      <c r="J348" s="426">
        <v>154982.78675999999</v>
      </c>
      <c r="K348" s="426">
        <v>155365.12951</v>
      </c>
      <c r="L348" s="426">
        <v>156013.70306999999</v>
      </c>
      <c r="M348" s="426">
        <v>156552.46064999999</v>
      </c>
      <c r="N348" s="426">
        <v>157176.47571999999</v>
      </c>
      <c r="O348" s="426">
        <v>157645.93712087799</v>
      </c>
      <c r="P348" s="426">
        <v>158299.27847555099</v>
      </c>
      <c r="Q348" s="426">
        <v>158951.71054308399</v>
      </c>
      <c r="R348" s="426">
        <v>159552.92768711899</v>
      </c>
      <c r="S348" s="426">
        <v>160212.946023264</v>
      </c>
      <c r="T348" s="426">
        <v>160872.96435940801</v>
      </c>
    </row>
    <row r="349" spans="1:21" s="426" customFormat="1">
      <c r="A349" s="426" t="str">
        <f t="shared" si="27"/>
        <v>KU</v>
      </c>
      <c r="B349" s="426" t="str">
        <f t="shared" si="26"/>
        <v>KY</v>
      </c>
      <c r="C349" s="426" t="str">
        <f t="shared" si="28"/>
        <v>E</v>
      </c>
      <c r="D349" s="426" t="s">
        <v>2659</v>
      </c>
      <c r="E349" s="426" t="str">
        <f t="shared" si="34"/>
        <v>312</v>
      </c>
      <c r="F349" s="427" t="s">
        <v>1728</v>
      </c>
      <c r="G349" s="425" t="str">
        <f t="shared" si="31"/>
        <v/>
      </c>
      <c r="H349" s="426">
        <v>1163391.3760899999</v>
      </c>
      <c r="I349" s="426">
        <v>1166979.72761999</v>
      </c>
      <c r="J349" s="426">
        <v>1175014.5757199901</v>
      </c>
      <c r="K349" s="426">
        <v>1181895.7357899901</v>
      </c>
      <c r="L349" s="426">
        <v>1187357.0744499899</v>
      </c>
      <c r="M349" s="426">
        <v>1188540.4254699999</v>
      </c>
      <c r="N349" s="426">
        <v>1192328.6086800001</v>
      </c>
      <c r="O349" s="426">
        <v>1193817.36370429</v>
      </c>
      <c r="P349" s="426">
        <v>1201902.6802286699</v>
      </c>
      <c r="Q349" s="426">
        <v>1209211.2130814099</v>
      </c>
      <c r="R349" s="426">
        <v>1195726.8598506299</v>
      </c>
      <c r="S349" s="426">
        <v>1202948.4662896299</v>
      </c>
      <c r="T349" s="426">
        <v>1205656.8235860199</v>
      </c>
    </row>
    <row r="350" spans="1:21" s="426" customFormat="1">
      <c r="A350" s="426" t="str">
        <f t="shared" si="27"/>
        <v>KU</v>
      </c>
      <c r="B350" s="426" t="str">
        <f t="shared" si="26"/>
        <v>KY</v>
      </c>
      <c r="C350" s="426" t="str">
        <f t="shared" si="28"/>
        <v>E</v>
      </c>
      <c r="D350" s="426" t="s">
        <v>2659</v>
      </c>
      <c r="E350" s="426" t="str">
        <f t="shared" si="34"/>
        <v>312</v>
      </c>
      <c r="F350" s="427" t="s">
        <v>1729</v>
      </c>
      <c r="G350" s="425" t="str">
        <f t="shared" si="31"/>
        <v>ECR</v>
      </c>
      <c r="H350" s="426">
        <v>62118.476869999999</v>
      </c>
      <c r="I350" s="426">
        <v>63935.861290000001</v>
      </c>
      <c r="J350" s="426">
        <v>65753.246979999996</v>
      </c>
      <c r="K350" s="426">
        <v>67577.091700000004</v>
      </c>
      <c r="L350" s="426">
        <v>69407.394230000005</v>
      </c>
      <c r="M350" s="426">
        <v>74942.111759999898</v>
      </c>
      <c r="N350" s="426">
        <v>74951.992209999997</v>
      </c>
      <c r="O350" s="426">
        <v>76610.996246060895</v>
      </c>
      <c r="P350" s="426">
        <v>78277.065662171895</v>
      </c>
      <c r="Q350" s="426">
        <v>79952.774351302898</v>
      </c>
      <c r="R350" s="426">
        <v>81624.684122773993</v>
      </c>
      <c r="S350" s="426">
        <v>83289.890638224999</v>
      </c>
      <c r="T350" s="426">
        <v>84955.09715367599</v>
      </c>
    </row>
    <row r="351" spans="1:21" s="426" customFormat="1">
      <c r="A351" s="426" t="str">
        <f t="shared" si="27"/>
        <v>KU</v>
      </c>
      <c r="B351" s="426" t="str">
        <f t="shared" si="26"/>
        <v>KY</v>
      </c>
      <c r="C351" s="426" t="str">
        <f t="shared" si="28"/>
        <v>E</v>
      </c>
      <c r="D351" s="426" t="s">
        <v>2659</v>
      </c>
      <c r="E351" s="426" t="str">
        <f t="shared" si="34"/>
        <v>312</v>
      </c>
      <c r="F351" s="427" t="s">
        <v>3666</v>
      </c>
      <c r="G351" s="425" t="str">
        <f t="shared" si="31"/>
        <v/>
      </c>
      <c r="N351" s="426">
        <v>-515.44051999999999</v>
      </c>
      <c r="O351" s="426">
        <v>-597.23296000000005</v>
      </c>
      <c r="P351" s="426">
        <v>-2211.4515099999999</v>
      </c>
      <c r="Q351" s="426">
        <v>-2211.4515099999999</v>
      </c>
      <c r="R351" s="426">
        <v>-1533.54108</v>
      </c>
      <c r="S351" s="426">
        <v>-1533.54108</v>
      </c>
      <c r="T351" s="426">
        <v>-1533.54108</v>
      </c>
    </row>
    <row r="352" spans="1:21" s="426" customFormat="1">
      <c r="A352" s="426" t="str">
        <f t="shared" si="27"/>
        <v>KU</v>
      </c>
      <c r="B352" s="426" t="str">
        <f t="shared" si="26"/>
        <v>KY</v>
      </c>
      <c r="C352" s="426" t="str">
        <f t="shared" si="28"/>
        <v>E</v>
      </c>
      <c r="D352" s="426" t="s">
        <v>2659</v>
      </c>
      <c r="E352" s="426" t="str">
        <f t="shared" si="34"/>
        <v>312</v>
      </c>
      <c r="F352" s="427" t="s">
        <v>2714</v>
      </c>
      <c r="G352" s="425" t="str">
        <f t="shared" si="31"/>
        <v>ECR</v>
      </c>
      <c r="H352" s="426">
        <v>0</v>
      </c>
      <c r="I352" s="426">
        <v>0</v>
      </c>
      <c r="J352" s="426">
        <v>0</v>
      </c>
      <c r="K352" s="426">
        <v>0</v>
      </c>
      <c r="L352" s="426">
        <v>0</v>
      </c>
      <c r="N352" s="426">
        <v>2335.8625999999999</v>
      </c>
      <c r="O352" s="426">
        <v>2509.6456017957798</v>
      </c>
      <c r="P352" s="426">
        <v>2685.5757869465601</v>
      </c>
      <c r="Q352" s="426">
        <v>2861.4991009923401</v>
      </c>
      <c r="R352" s="426">
        <v>3037.4224150381301</v>
      </c>
      <c r="S352" s="426">
        <v>3213.3457290839101</v>
      </c>
      <c r="T352" s="426">
        <v>3389.2690431296901</v>
      </c>
    </row>
    <row r="353" spans="1:20" s="426" customFormat="1">
      <c r="A353" s="426" t="str">
        <f t="shared" si="27"/>
        <v>KU</v>
      </c>
      <c r="B353" s="426" t="str">
        <f t="shared" si="26"/>
        <v>KY</v>
      </c>
      <c r="C353" s="426" t="str">
        <f t="shared" si="28"/>
        <v>E</v>
      </c>
      <c r="D353" s="426" t="s">
        <v>2659</v>
      </c>
      <c r="E353" s="426" t="str">
        <f t="shared" si="34"/>
        <v>312</v>
      </c>
      <c r="F353" s="427" t="s">
        <v>3667</v>
      </c>
      <c r="G353" s="425" t="str">
        <f t="shared" si="31"/>
        <v/>
      </c>
      <c r="N353" s="426">
        <v>0</v>
      </c>
      <c r="O353" s="426">
        <v>0</v>
      </c>
      <c r="P353" s="426">
        <v>0</v>
      </c>
      <c r="Q353" s="426">
        <v>0</v>
      </c>
      <c r="R353" s="426">
        <v>0</v>
      </c>
      <c r="S353" s="426">
        <v>0</v>
      </c>
      <c r="T353" s="426">
        <v>0</v>
      </c>
    </row>
    <row r="354" spans="1:20" s="426" customFormat="1">
      <c r="A354" s="426" t="str">
        <f t="shared" si="27"/>
        <v>KU</v>
      </c>
      <c r="B354" s="426" t="str">
        <f t="shared" si="26"/>
        <v>KY</v>
      </c>
      <c r="C354" s="426" t="str">
        <f t="shared" si="28"/>
        <v>E</v>
      </c>
      <c r="D354" s="426" t="s">
        <v>2659</v>
      </c>
      <c r="E354" s="426" t="str">
        <f t="shared" si="34"/>
        <v>312</v>
      </c>
      <c r="F354" s="741" t="s">
        <v>1730</v>
      </c>
      <c r="G354" s="425" t="str">
        <f t="shared" si="31"/>
        <v>ECR</v>
      </c>
      <c r="H354" s="426">
        <v>103759.33985</v>
      </c>
      <c r="I354" s="426">
        <v>106926.39605</v>
      </c>
      <c r="J354" s="426">
        <v>110093.45225</v>
      </c>
      <c r="K354" s="426">
        <v>113260.50844999999</v>
      </c>
      <c r="L354" s="426">
        <v>116427.564649999</v>
      </c>
      <c r="M354" s="426">
        <v>119342.36606</v>
      </c>
      <c r="N354" s="426">
        <v>122601.56031</v>
      </c>
      <c r="O354" s="426">
        <v>125767.15201589001</v>
      </c>
      <c r="P354" s="426">
        <v>128932.74372178</v>
      </c>
      <c r="Q354" s="426">
        <v>131907.72949072</v>
      </c>
      <c r="R354" s="426">
        <v>134883.96673097002</v>
      </c>
      <c r="S354" s="426">
        <v>138058.87337938001</v>
      </c>
      <c r="T354" s="426">
        <v>141233.78002779</v>
      </c>
    </row>
    <row r="355" spans="1:20" s="426" customFormat="1">
      <c r="A355" s="426" t="str">
        <f t="shared" si="27"/>
        <v>KU</v>
      </c>
      <c r="B355" s="426" t="str">
        <f t="shared" si="26"/>
        <v>KY</v>
      </c>
      <c r="C355" s="426" t="str">
        <f t="shared" si="28"/>
        <v>E</v>
      </c>
      <c r="D355" s="426" t="s">
        <v>2659</v>
      </c>
      <c r="E355" s="426" t="str">
        <f t="shared" si="34"/>
        <v>312</v>
      </c>
      <c r="F355" s="741" t="s">
        <v>3668</v>
      </c>
      <c r="G355" s="425" t="str">
        <f t="shared" si="31"/>
        <v/>
      </c>
      <c r="N355" s="426">
        <v>-264.93588</v>
      </c>
      <c r="O355" s="426">
        <v>-264.93588</v>
      </c>
      <c r="P355" s="426">
        <v>-264.93588</v>
      </c>
      <c r="Q355" s="426">
        <v>-407.56110999999999</v>
      </c>
      <c r="R355" s="426">
        <v>-605.69646</v>
      </c>
      <c r="S355" s="426">
        <v>-605.69646</v>
      </c>
      <c r="T355" s="426">
        <v>-605.69646</v>
      </c>
    </row>
    <row r="356" spans="1:20" s="426" customFormat="1">
      <c r="A356" s="426" t="str">
        <f t="shared" si="27"/>
        <v>KU</v>
      </c>
      <c r="B356" s="426" t="str">
        <f t="shared" si="26"/>
        <v>KY</v>
      </c>
      <c r="C356" s="426" t="str">
        <f t="shared" si="28"/>
        <v>E</v>
      </c>
      <c r="D356" s="426" t="s">
        <v>2659</v>
      </c>
      <c r="E356" s="426" t="str">
        <f t="shared" si="34"/>
        <v>312</v>
      </c>
      <c r="F356" s="741" t="s">
        <v>2179</v>
      </c>
      <c r="G356" s="425" t="str">
        <f t="shared" si="31"/>
        <v>ECR</v>
      </c>
      <c r="H356" s="426">
        <v>809.31593999999996</v>
      </c>
      <c r="I356" s="426">
        <v>897.08504000000005</v>
      </c>
      <c r="J356" s="426">
        <v>1264.6892700000001</v>
      </c>
      <c r="K356" s="426">
        <v>1966.2080900000001</v>
      </c>
      <c r="L356" s="426">
        <v>2721.80636</v>
      </c>
      <c r="M356" s="426">
        <v>3477.40462999999</v>
      </c>
      <c r="N356" s="426">
        <v>537.22859999999002</v>
      </c>
      <c r="O356" s="426">
        <v>572.62123105711999</v>
      </c>
      <c r="P356" s="426">
        <v>629.60308326364998</v>
      </c>
      <c r="Q356" s="426">
        <v>686.58493547017997</v>
      </c>
      <c r="R356" s="426">
        <v>743.56678767670905</v>
      </c>
      <c r="S356" s="426">
        <v>800.54863988323905</v>
      </c>
      <c r="T356" s="426">
        <v>857.53049208976904</v>
      </c>
    </row>
    <row r="357" spans="1:20" s="426" customFormat="1">
      <c r="A357" s="426" t="str">
        <f t="shared" si="27"/>
        <v>KU</v>
      </c>
      <c r="B357" s="426" t="str">
        <f t="shared" si="26"/>
        <v>KY</v>
      </c>
      <c r="C357" s="426" t="str">
        <f t="shared" si="28"/>
        <v>E</v>
      </c>
      <c r="D357" s="426" t="s">
        <v>2659</v>
      </c>
      <c r="E357" s="426" t="str">
        <f t="shared" si="34"/>
        <v>312</v>
      </c>
      <c r="F357" s="741" t="s">
        <v>3669</v>
      </c>
      <c r="G357" s="425" t="str">
        <f t="shared" si="31"/>
        <v/>
      </c>
      <c r="N357" s="426">
        <v>0</v>
      </c>
      <c r="O357" s="426">
        <v>0</v>
      </c>
      <c r="P357" s="426">
        <v>-100</v>
      </c>
      <c r="Q357" s="426">
        <v>-150</v>
      </c>
      <c r="R357" s="426">
        <v>-490.87918999999999</v>
      </c>
      <c r="S357" s="426">
        <v>-490.87918999999999</v>
      </c>
      <c r="T357" s="426">
        <v>-490.87918999999999</v>
      </c>
    </row>
    <row r="358" spans="1:20" s="426" customFormat="1">
      <c r="A358" s="426" t="str">
        <f t="shared" si="27"/>
        <v>KU</v>
      </c>
      <c r="B358" s="426" t="str">
        <f t="shared" si="26"/>
        <v>KY</v>
      </c>
      <c r="C358" s="426" t="str">
        <f t="shared" si="28"/>
        <v>E</v>
      </c>
      <c r="D358" s="426" t="s">
        <v>2659</v>
      </c>
      <c r="E358" s="426" t="str">
        <f t="shared" si="34"/>
        <v>312</v>
      </c>
      <c r="F358" s="741" t="s">
        <v>2715</v>
      </c>
      <c r="G358" s="425" t="str">
        <f t="shared" si="31"/>
        <v>ECR</v>
      </c>
      <c r="H358" s="426">
        <v>0</v>
      </c>
      <c r="I358" s="426">
        <v>0</v>
      </c>
      <c r="J358" s="426">
        <v>0</v>
      </c>
      <c r="K358" s="426">
        <v>0</v>
      </c>
      <c r="L358" s="426">
        <v>0</v>
      </c>
      <c r="M358" s="426">
        <v>0</v>
      </c>
      <c r="N358" s="426">
        <v>3695.7743</v>
      </c>
      <c r="O358" s="426">
        <v>4444.52852678412</v>
      </c>
      <c r="P358" s="426">
        <v>5202.1547021480601</v>
      </c>
      <c r="Q358" s="426">
        <v>5990.3585418361599</v>
      </c>
      <c r="R358" s="426">
        <v>6810.2320303226697</v>
      </c>
      <c r="S358" s="426">
        <v>7635.0132070616701</v>
      </c>
      <c r="T358" s="426">
        <v>8464.5068838066709</v>
      </c>
    </row>
    <row r="359" spans="1:20" s="426" customFormat="1">
      <c r="A359" s="426" t="str">
        <f t="shared" si="27"/>
        <v>KU</v>
      </c>
      <c r="B359" s="426" t="str">
        <f t="shared" si="26"/>
        <v>KY</v>
      </c>
      <c r="C359" s="426" t="str">
        <f t="shared" si="28"/>
        <v>E</v>
      </c>
      <c r="D359" s="426" t="s">
        <v>2659</v>
      </c>
      <c r="E359" s="426" t="str">
        <f t="shared" si="34"/>
        <v>312</v>
      </c>
      <c r="F359" s="741" t="s">
        <v>3670</v>
      </c>
      <c r="G359" s="425" t="str">
        <f t="shared" si="31"/>
        <v/>
      </c>
      <c r="N359" s="426">
        <v>0</v>
      </c>
      <c r="O359" s="426">
        <v>-3.9699399999999998</v>
      </c>
      <c r="P359" s="426">
        <v>-3.9699399999999998</v>
      </c>
      <c r="Q359" s="426">
        <v>-3.9699399999999998</v>
      </c>
      <c r="R359" s="426">
        <v>-3.9699399999999998</v>
      </c>
      <c r="S359" s="426">
        <v>-3.9699399999999998</v>
      </c>
      <c r="T359" s="426">
        <v>-3.9699399999999998</v>
      </c>
    </row>
    <row r="360" spans="1:20" s="426" customFormat="1">
      <c r="A360" s="426" t="str">
        <f t="shared" si="27"/>
        <v>KU</v>
      </c>
      <c r="B360" s="426" t="str">
        <f t="shared" si="26"/>
        <v>KY</v>
      </c>
      <c r="C360" s="426" t="str">
        <f t="shared" si="28"/>
        <v>E</v>
      </c>
      <c r="D360" s="426" t="s">
        <v>2659</v>
      </c>
      <c r="E360" s="426" t="str">
        <f t="shared" si="34"/>
        <v>312</v>
      </c>
      <c r="F360" s="427" t="s">
        <v>2716</v>
      </c>
      <c r="G360" s="425" t="str">
        <f t="shared" si="31"/>
        <v>ECR</v>
      </c>
      <c r="H360" s="426">
        <v>0</v>
      </c>
      <c r="I360" s="426">
        <v>0</v>
      </c>
      <c r="J360" s="426">
        <v>0</v>
      </c>
      <c r="K360" s="426">
        <v>0</v>
      </c>
      <c r="L360" s="426">
        <v>0</v>
      </c>
      <c r="M360" s="426">
        <v>0</v>
      </c>
      <c r="N360" s="426">
        <v>0</v>
      </c>
      <c r="O360" s="426">
        <v>0</v>
      </c>
      <c r="P360" s="426">
        <v>0</v>
      </c>
      <c r="Q360" s="426">
        <v>0</v>
      </c>
      <c r="R360" s="426">
        <v>0</v>
      </c>
      <c r="S360" s="426">
        <v>0</v>
      </c>
      <c r="T360" s="426">
        <v>0</v>
      </c>
    </row>
    <row r="361" spans="1:20" s="426" customFormat="1">
      <c r="A361" s="426" t="str">
        <f t="shared" si="27"/>
        <v>KU</v>
      </c>
      <c r="B361" s="426" t="str">
        <f t="shared" si="26"/>
        <v>KY</v>
      </c>
      <c r="C361" s="426" t="str">
        <f t="shared" si="28"/>
        <v>E</v>
      </c>
      <c r="D361" s="426" t="s">
        <v>2659</v>
      </c>
      <c r="E361" s="426" t="str">
        <f t="shared" si="34"/>
        <v>314</v>
      </c>
      <c r="F361" s="427" t="s">
        <v>1732</v>
      </c>
      <c r="G361" s="425" t="str">
        <f t="shared" si="31"/>
        <v/>
      </c>
      <c r="H361" s="426">
        <v>142300.28851000001</v>
      </c>
      <c r="I361" s="426">
        <v>143119.07397999999</v>
      </c>
      <c r="J361" s="426">
        <v>143922.53972</v>
      </c>
      <c r="K361" s="426">
        <v>144222.57582999999</v>
      </c>
      <c r="L361" s="426">
        <v>143190.34622000001</v>
      </c>
      <c r="M361" s="426">
        <v>143258.60141999999</v>
      </c>
      <c r="N361" s="426">
        <v>143341.03868</v>
      </c>
      <c r="O361" s="426">
        <v>141293.643865024</v>
      </c>
      <c r="P361" s="426">
        <v>142062.334917359</v>
      </c>
      <c r="Q361" s="426">
        <v>142745.582552782</v>
      </c>
      <c r="R361" s="426">
        <v>143345.26890555801</v>
      </c>
      <c r="S361" s="426">
        <v>143921.64843099899</v>
      </c>
      <c r="T361" s="426">
        <v>143389.133157264</v>
      </c>
    </row>
    <row r="362" spans="1:20" s="426" customFormat="1">
      <c r="A362" s="426" t="str">
        <f t="shared" si="27"/>
        <v>KU</v>
      </c>
      <c r="B362" s="426" t="str">
        <f t="shared" si="26"/>
        <v>KY</v>
      </c>
      <c r="C362" s="426" t="str">
        <f t="shared" si="28"/>
        <v>E</v>
      </c>
      <c r="D362" s="426" t="s">
        <v>2659</v>
      </c>
      <c r="E362" s="426" t="str">
        <f t="shared" si="34"/>
        <v>315</v>
      </c>
      <c r="F362" s="741" t="s">
        <v>1733</v>
      </c>
      <c r="G362" s="425" t="str">
        <f t="shared" si="31"/>
        <v/>
      </c>
      <c r="H362" s="426">
        <v>116414.56711</v>
      </c>
      <c r="I362" s="426">
        <v>116939.57163999999</v>
      </c>
      <c r="J362" s="426">
        <v>117460.10389</v>
      </c>
      <c r="K362" s="426">
        <v>117747.87025000001</v>
      </c>
      <c r="L362" s="426">
        <v>118247.4889</v>
      </c>
      <c r="M362" s="426">
        <v>118787.45995999999</v>
      </c>
      <c r="N362" s="426">
        <v>119164.20282999999</v>
      </c>
      <c r="O362" s="426">
        <v>119708.23007690199</v>
      </c>
      <c r="P362" s="426">
        <v>120248.545548988</v>
      </c>
      <c r="Q362" s="426">
        <v>120769.40138728901</v>
      </c>
      <c r="R362" s="426">
        <v>121311.60954523001</v>
      </c>
      <c r="S362" s="426">
        <v>121854.299902789</v>
      </c>
      <c r="T362" s="426">
        <v>122396.990260348</v>
      </c>
    </row>
    <row r="363" spans="1:20" s="426" customFormat="1">
      <c r="A363" s="426" t="str">
        <f t="shared" si="27"/>
        <v>KU</v>
      </c>
      <c r="B363" s="426" t="str">
        <f t="shared" si="26"/>
        <v>KY</v>
      </c>
      <c r="C363" s="426" t="str">
        <f t="shared" si="28"/>
        <v>E</v>
      </c>
      <c r="D363" s="426" t="s">
        <v>2659</v>
      </c>
      <c r="E363" s="426" t="str">
        <f t="shared" si="34"/>
        <v>315</v>
      </c>
      <c r="F363" s="741" t="s">
        <v>2180</v>
      </c>
      <c r="G363" s="425" t="str">
        <f t="shared" si="31"/>
        <v>ECR</v>
      </c>
      <c r="H363" s="426">
        <v>1324.23974</v>
      </c>
      <c r="I363" s="426">
        <v>1396.69379</v>
      </c>
      <c r="J363" s="426">
        <v>1469.1478399999901</v>
      </c>
      <c r="K363" s="426">
        <v>1536.51072</v>
      </c>
      <c r="L363" s="426">
        <v>1598.7824000000001</v>
      </c>
      <c r="M363" s="426">
        <v>1661.0540800000001</v>
      </c>
      <c r="N363" s="426">
        <v>1582.29892</v>
      </c>
      <c r="O363" s="426">
        <v>1642.4737503857</v>
      </c>
      <c r="P363" s="426">
        <v>1702.6485807714</v>
      </c>
      <c r="Q363" s="426">
        <v>1762.8234111571001</v>
      </c>
      <c r="R363" s="426">
        <v>1822.9982415428001</v>
      </c>
      <c r="S363" s="426">
        <v>1883.1730719284999</v>
      </c>
      <c r="T363" s="426">
        <v>1943.3479023141999</v>
      </c>
    </row>
    <row r="364" spans="1:20" s="426" customFormat="1">
      <c r="A364" s="426" t="str">
        <f t="shared" si="27"/>
        <v>KU</v>
      </c>
      <c r="B364" s="426" t="str">
        <f t="shared" si="26"/>
        <v>KY</v>
      </c>
      <c r="C364" s="426" t="str">
        <f t="shared" si="28"/>
        <v>E</v>
      </c>
      <c r="D364" s="426" t="s">
        <v>2659</v>
      </c>
      <c r="E364" s="426" t="str">
        <f t="shared" si="34"/>
        <v>315</v>
      </c>
      <c r="F364" s="741" t="s">
        <v>2717</v>
      </c>
      <c r="G364" s="425" t="str">
        <f t="shared" si="31"/>
        <v>ECR</v>
      </c>
      <c r="H364" s="426">
        <v>0</v>
      </c>
      <c r="I364" s="426">
        <v>0</v>
      </c>
      <c r="J364" s="426">
        <v>0</v>
      </c>
      <c r="K364" s="426">
        <v>0</v>
      </c>
      <c r="L364" s="426">
        <v>0</v>
      </c>
      <c r="M364" s="426">
        <v>0</v>
      </c>
      <c r="N364" s="426">
        <v>141.02683999999999</v>
      </c>
      <c r="O364" s="426">
        <v>143.12369457537</v>
      </c>
      <c r="P364" s="426">
        <v>145.22054915074</v>
      </c>
      <c r="Q364" s="426">
        <v>147.31740372611</v>
      </c>
      <c r="R364" s="426">
        <v>149.41425830148</v>
      </c>
      <c r="S364" s="426">
        <v>151.51111287685001</v>
      </c>
      <c r="T364" s="426">
        <v>153.60796745222001</v>
      </c>
    </row>
    <row r="365" spans="1:20" s="426" customFormat="1">
      <c r="A365" s="426" t="str">
        <f t="shared" si="27"/>
        <v>KU</v>
      </c>
      <c r="B365" s="426" t="str">
        <f t="shared" si="26"/>
        <v>KY</v>
      </c>
      <c r="C365" s="426" t="str">
        <f t="shared" si="28"/>
        <v>E</v>
      </c>
      <c r="D365" s="426" t="s">
        <v>2659</v>
      </c>
      <c r="E365" s="426" t="str">
        <f t="shared" si="34"/>
        <v>315</v>
      </c>
      <c r="F365" s="741" t="s">
        <v>1734</v>
      </c>
      <c r="G365" s="425" t="str">
        <f t="shared" si="31"/>
        <v>ECR</v>
      </c>
      <c r="H365" s="426">
        <v>978.82839999999999</v>
      </c>
      <c r="I365" s="426">
        <v>1017.67772999999</v>
      </c>
      <c r="J365" s="426">
        <v>1056.5270599999999</v>
      </c>
      <c r="K365" s="426">
        <v>1095.3763899999999</v>
      </c>
      <c r="L365" s="426">
        <v>1134.2257199999999</v>
      </c>
      <c r="M365" s="426">
        <v>1173.0750499999999</v>
      </c>
      <c r="N365" s="426">
        <v>1211.9243799999999</v>
      </c>
      <c r="O365" s="426">
        <v>1250.77372168684</v>
      </c>
      <c r="P365" s="426">
        <v>1289.62306337368</v>
      </c>
      <c r="Q365" s="426">
        <v>1328.47240506052</v>
      </c>
      <c r="R365" s="426">
        <v>1367.3217467473601</v>
      </c>
      <c r="S365" s="426">
        <v>1406.1710884342001</v>
      </c>
      <c r="T365" s="426">
        <v>1445.0204301210399</v>
      </c>
    </row>
    <row r="366" spans="1:20" s="426" customFormat="1">
      <c r="A366" s="426" t="str">
        <f t="shared" si="27"/>
        <v>KU</v>
      </c>
      <c r="B366" s="426" t="str">
        <f t="shared" si="26"/>
        <v>KY</v>
      </c>
      <c r="C366" s="426" t="str">
        <f t="shared" si="28"/>
        <v>E</v>
      </c>
      <c r="D366" s="426" t="s">
        <v>2659</v>
      </c>
      <c r="E366" s="426" t="str">
        <f t="shared" si="34"/>
        <v>316</v>
      </c>
      <c r="F366" s="741" t="s">
        <v>2181</v>
      </c>
      <c r="G366" s="425" t="str">
        <f t="shared" si="31"/>
        <v>ECR</v>
      </c>
      <c r="H366" s="426">
        <v>46.731670000000001</v>
      </c>
      <c r="I366" s="426">
        <v>47.740940000000002</v>
      </c>
      <c r="J366" s="426">
        <v>48.750210000000003</v>
      </c>
      <c r="K366" s="426">
        <v>49.759480000000003</v>
      </c>
      <c r="L366" s="426">
        <v>50.768749999999997</v>
      </c>
      <c r="M366" s="426">
        <v>51.778019999999998</v>
      </c>
      <c r="N366" s="426">
        <v>52.787289999999999</v>
      </c>
      <c r="O366" s="426">
        <v>53.796550562333003</v>
      </c>
      <c r="P366" s="426">
        <v>54.805811124666</v>
      </c>
      <c r="Q366" s="426">
        <v>55.815071686998998</v>
      </c>
      <c r="R366" s="426">
        <v>56.824332249332002</v>
      </c>
      <c r="S366" s="426">
        <v>57.833592811665</v>
      </c>
      <c r="T366" s="426">
        <v>58.842853373997997</v>
      </c>
    </row>
    <row r="367" spans="1:20" s="426" customFormat="1">
      <c r="A367" s="426" t="str">
        <f t="shared" si="27"/>
        <v>KU</v>
      </c>
      <c r="B367" s="426" t="str">
        <f t="shared" si="26"/>
        <v>KY</v>
      </c>
      <c r="C367" s="426" t="str">
        <f t="shared" si="28"/>
        <v>E</v>
      </c>
      <c r="D367" s="426" t="s">
        <v>2659</v>
      </c>
      <c r="E367" s="426" t="str">
        <f t="shared" si="34"/>
        <v>316</v>
      </c>
      <c r="F367" s="741" t="s">
        <v>1735</v>
      </c>
      <c r="G367" s="425" t="str">
        <f t="shared" si="31"/>
        <v/>
      </c>
      <c r="H367" s="426">
        <v>17076.312779999898</v>
      </c>
      <c r="I367" s="426">
        <v>17166.787810000002</v>
      </c>
      <c r="J367" s="426">
        <v>17262.127339999999</v>
      </c>
      <c r="K367" s="426">
        <v>17316.575000000001</v>
      </c>
      <c r="L367" s="426">
        <v>17377.190559999999</v>
      </c>
      <c r="M367" s="426">
        <v>17459.955030000001</v>
      </c>
      <c r="N367" s="426">
        <v>17535.530269999999</v>
      </c>
      <c r="O367" s="426">
        <v>17261.952448345499</v>
      </c>
      <c r="P367" s="426">
        <v>17361.119812944598</v>
      </c>
      <c r="Q367" s="426">
        <v>17440.3454988468</v>
      </c>
      <c r="R367" s="426">
        <v>17540.023743246798</v>
      </c>
      <c r="S367" s="426">
        <v>17641.175793864601</v>
      </c>
      <c r="T367" s="426">
        <v>17742.401339272401</v>
      </c>
    </row>
    <row r="368" spans="1:20" s="426" customFormat="1">
      <c r="A368" s="426" t="str">
        <f t="shared" si="27"/>
        <v>KU</v>
      </c>
      <c r="B368" s="426" t="str">
        <f t="shared" si="26"/>
        <v>KY</v>
      </c>
      <c r="C368" s="426" t="str">
        <f t="shared" si="28"/>
        <v>E</v>
      </c>
      <c r="D368" s="426" t="s">
        <v>2659</v>
      </c>
      <c r="E368" s="426" t="str">
        <f t="shared" si="34"/>
        <v>317</v>
      </c>
      <c r="F368" s="741" t="s">
        <v>1736</v>
      </c>
      <c r="G368" s="425" t="str">
        <f t="shared" si="31"/>
        <v>ARO</v>
      </c>
      <c r="H368" s="426">
        <v>4190.1958800000002</v>
      </c>
      <c r="I368" s="426">
        <v>3901.58691</v>
      </c>
      <c r="J368" s="426">
        <v>3953.74512</v>
      </c>
      <c r="K368" s="426">
        <v>4005.90335</v>
      </c>
      <c r="L368" s="426">
        <v>4058.0615899999998</v>
      </c>
      <c r="M368" s="426">
        <v>4110.21983</v>
      </c>
      <c r="N368" s="426">
        <v>4139.2117900000003</v>
      </c>
      <c r="O368" s="426">
        <v>4190.8135054983504</v>
      </c>
      <c r="P368" s="426">
        <v>4242.4152209966996</v>
      </c>
      <c r="Q368" s="426">
        <v>4294.0169364950498</v>
      </c>
      <c r="R368" s="426">
        <v>4345.6186519933999</v>
      </c>
      <c r="S368" s="426">
        <v>4397.22036749175</v>
      </c>
      <c r="T368" s="426">
        <v>4448.8220829901002</v>
      </c>
    </row>
    <row r="369" spans="1:20" s="426" customFormat="1">
      <c r="A369" s="426" t="str">
        <f t="shared" ref="A369:A432" si="35">MID($F369,4,2)</f>
        <v>KU</v>
      </c>
      <c r="B369" s="426" t="str">
        <f t="shared" si="26"/>
        <v>KY</v>
      </c>
      <c r="C369" s="426" t="str">
        <f t="shared" si="28"/>
        <v>E</v>
      </c>
      <c r="D369" s="426" t="s">
        <v>2659</v>
      </c>
      <c r="E369" s="426" t="str">
        <f t="shared" si="34"/>
        <v>317</v>
      </c>
      <c r="F369" s="741" t="s">
        <v>2398</v>
      </c>
      <c r="G369" s="425" t="str">
        <f t="shared" si="31"/>
        <v>ARO</v>
      </c>
      <c r="H369" s="426">
        <v>140266.71769999899</v>
      </c>
      <c r="I369" s="426">
        <v>97285.033069999903</v>
      </c>
      <c r="J369" s="426">
        <v>98372.313869999998</v>
      </c>
      <c r="K369" s="426">
        <v>99459.594559999998</v>
      </c>
      <c r="L369" s="426">
        <v>100498.42819999999</v>
      </c>
      <c r="M369" s="426">
        <v>101758.71799999999</v>
      </c>
      <c r="N369" s="426">
        <v>103019.0076</v>
      </c>
      <c r="O369" s="426">
        <v>104279.0076</v>
      </c>
      <c r="P369" s="426">
        <v>105539.0076</v>
      </c>
      <c r="Q369" s="426">
        <v>106799.0076</v>
      </c>
      <c r="R369" s="426">
        <v>108059.0076</v>
      </c>
      <c r="S369" s="426">
        <v>109319.0076</v>
      </c>
      <c r="T369" s="426">
        <v>110579.0076</v>
      </c>
    </row>
    <row r="370" spans="1:20" s="426" customFormat="1">
      <c r="A370" s="426" t="str">
        <f t="shared" si="35"/>
        <v>KU</v>
      </c>
      <c r="B370" s="426" t="str">
        <f t="shared" si="26"/>
        <v>KY</v>
      </c>
      <c r="C370" s="426" t="str">
        <f t="shared" si="28"/>
        <v>E</v>
      </c>
      <c r="D370" s="426" t="s">
        <v>2659</v>
      </c>
      <c r="E370" s="426" t="str">
        <f t="shared" si="34"/>
        <v>330</v>
      </c>
      <c r="F370" s="741" t="s">
        <v>1737</v>
      </c>
      <c r="G370" s="425" t="str">
        <f t="shared" si="31"/>
        <v/>
      </c>
      <c r="H370" s="426">
        <v>912.33259999999996</v>
      </c>
      <c r="I370" s="426">
        <v>912.33259999999996</v>
      </c>
      <c r="J370" s="426">
        <v>912.33259999999996</v>
      </c>
      <c r="K370" s="426">
        <v>912.33259999999996</v>
      </c>
      <c r="L370" s="426">
        <v>855.63559999999995</v>
      </c>
      <c r="M370" s="426">
        <v>855.63559999999995</v>
      </c>
      <c r="N370" s="426">
        <v>855.63559999999995</v>
      </c>
      <c r="O370" s="426">
        <v>855.63559999999995</v>
      </c>
      <c r="P370" s="426">
        <v>855.63559999999995</v>
      </c>
      <c r="Q370" s="426">
        <v>855.63559999999995</v>
      </c>
      <c r="R370" s="426">
        <v>855.63559999999995</v>
      </c>
      <c r="S370" s="426">
        <v>855.63559999999995</v>
      </c>
      <c r="T370" s="426">
        <v>855.63559999999995</v>
      </c>
    </row>
    <row r="371" spans="1:20" s="426" customFormat="1">
      <c r="A371" s="426" t="str">
        <f t="shared" si="35"/>
        <v>KU</v>
      </c>
      <c r="B371" s="426" t="str">
        <f t="shared" si="26"/>
        <v>KY</v>
      </c>
      <c r="C371" s="426" t="str">
        <f t="shared" si="28"/>
        <v>E</v>
      </c>
      <c r="D371" s="426" t="s">
        <v>2659</v>
      </c>
      <c r="E371" s="426" t="str">
        <f t="shared" si="34"/>
        <v>331</v>
      </c>
      <c r="F371" s="741" t="s">
        <v>1738</v>
      </c>
      <c r="G371" s="425" t="str">
        <f t="shared" si="31"/>
        <v/>
      </c>
      <c r="H371" s="426">
        <v>432.67491999999999</v>
      </c>
      <c r="I371" s="426">
        <v>442.02992</v>
      </c>
      <c r="J371" s="426">
        <v>451.384919999999</v>
      </c>
      <c r="K371" s="426">
        <v>460.73991999999998</v>
      </c>
      <c r="L371" s="426">
        <v>526.79192</v>
      </c>
      <c r="M371" s="426">
        <v>536.14692000000002</v>
      </c>
      <c r="N371" s="426">
        <v>545.50192000000004</v>
      </c>
      <c r="O371" s="426">
        <v>554.45542265939901</v>
      </c>
      <c r="P371" s="426">
        <v>563.81042531879905</v>
      </c>
      <c r="Q371" s="426">
        <v>573.16542797819898</v>
      </c>
      <c r="R371" s="426">
        <v>582.52043063759902</v>
      </c>
      <c r="S371" s="426">
        <v>591.87543329699895</v>
      </c>
      <c r="T371" s="426">
        <v>601.23043595639899</v>
      </c>
    </row>
    <row r="372" spans="1:20" s="426" customFormat="1">
      <c r="A372" s="426" t="str">
        <f t="shared" si="35"/>
        <v>KU</v>
      </c>
      <c r="B372" s="426" t="str">
        <f t="shared" si="26"/>
        <v>KY</v>
      </c>
      <c r="C372" s="426" t="str">
        <f t="shared" si="28"/>
        <v>E</v>
      </c>
      <c r="D372" s="426" t="s">
        <v>2659</v>
      </c>
      <c r="E372" s="426" t="str">
        <f t="shared" si="34"/>
        <v>332</v>
      </c>
      <c r="F372" s="741" t="s">
        <v>1739</v>
      </c>
      <c r="G372" s="425" t="str">
        <f t="shared" si="31"/>
        <v/>
      </c>
      <c r="H372" s="426">
        <v>10554.00733</v>
      </c>
      <c r="I372" s="426">
        <v>10601.608609999999</v>
      </c>
      <c r="J372" s="426">
        <v>10649.20989</v>
      </c>
      <c r="K372" s="426">
        <v>10686.84866</v>
      </c>
      <c r="L372" s="426">
        <v>10734.447319999999</v>
      </c>
      <c r="M372" s="426">
        <v>10782.045980000001</v>
      </c>
      <c r="N372" s="426">
        <v>10698.91964</v>
      </c>
      <c r="O372" s="426">
        <v>10746.518307570999</v>
      </c>
      <c r="P372" s="426">
        <v>10794.116975142</v>
      </c>
      <c r="Q372" s="426">
        <v>10841.715642712999</v>
      </c>
      <c r="R372" s="426">
        <v>10884.6044157</v>
      </c>
      <c r="S372" s="426">
        <v>10932.410114103001</v>
      </c>
      <c r="T372" s="426">
        <v>10980.215812506</v>
      </c>
    </row>
    <row r="373" spans="1:20" s="426" customFormat="1">
      <c r="A373" s="426" t="str">
        <f t="shared" si="35"/>
        <v>KU</v>
      </c>
      <c r="B373" s="426" t="str">
        <f t="shared" si="26"/>
        <v>KY</v>
      </c>
      <c r="C373" s="426" t="str">
        <f t="shared" si="28"/>
        <v>E</v>
      </c>
      <c r="D373" s="426" t="s">
        <v>2659</v>
      </c>
      <c r="E373" s="426" t="str">
        <f t="shared" si="34"/>
        <v>333</v>
      </c>
      <c r="F373" s="741" t="s">
        <v>1740</v>
      </c>
      <c r="G373" s="425" t="str">
        <f t="shared" si="31"/>
        <v/>
      </c>
      <c r="H373" s="426">
        <v>3021.9840899999999</v>
      </c>
      <c r="I373" s="426">
        <v>3067.1677799999902</v>
      </c>
      <c r="J373" s="426">
        <v>3112.3514700000001</v>
      </c>
      <c r="K373" s="426">
        <v>3157.5351599999999</v>
      </c>
      <c r="L373" s="426">
        <v>3202.7188500000002</v>
      </c>
      <c r="M373" s="426">
        <v>3247.90254</v>
      </c>
      <c r="N373" s="426">
        <v>3293.0862299999999</v>
      </c>
      <c r="O373" s="426">
        <v>3338.2699154186998</v>
      </c>
      <c r="P373" s="426">
        <v>3383.4536008373998</v>
      </c>
      <c r="Q373" s="426">
        <v>3428.6372862560902</v>
      </c>
      <c r="R373" s="426">
        <v>3473.8209716747901</v>
      </c>
      <c r="S373" s="426">
        <v>3519.0046570934901</v>
      </c>
      <c r="T373" s="426">
        <v>3564.18834251219</v>
      </c>
    </row>
    <row r="374" spans="1:20" s="426" customFormat="1">
      <c r="A374" s="426" t="str">
        <f t="shared" si="35"/>
        <v>KU</v>
      </c>
      <c r="B374" s="426" t="str">
        <f t="shared" si="26"/>
        <v>KY</v>
      </c>
      <c r="C374" s="426" t="str">
        <f t="shared" si="28"/>
        <v>E</v>
      </c>
      <c r="D374" s="426" t="s">
        <v>2659</v>
      </c>
      <c r="E374" s="426" t="str">
        <f t="shared" si="34"/>
        <v>334</v>
      </c>
      <c r="F374" s="741" t="s">
        <v>1741</v>
      </c>
      <c r="G374" s="425" t="str">
        <f t="shared" si="31"/>
        <v/>
      </c>
      <c r="H374" s="426">
        <v>378.24775</v>
      </c>
      <c r="I374" s="426">
        <v>382.48829000000001</v>
      </c>
      <c r="J374" s="426">
        <v>386.72883000000002</v>
      </c>
      <c r="K374" s="426">
        <v>380.46113000000003</v>
      </c>
      <c r="L374" s="426">
        <v>384.78118999999998</v>
      </c>
      <c r="M374" s="426">
        <v>389.10124999999999</v>
      </c>
      <c r="N374" s="426">
        <v>393.42131000000001</v>
      </c>
      <c r="O374" s="426">
        <v>393.58746470179898</v>
      </c>
      <c r="P374" s="426">
        <v>397.907519403599</v>
      </c>
      <c r="Q374" s="426">
        <v>402.22757410539901</v>
      </c>
      <c r="R374" s="426">
        <v>406.54762880719898</v>
      </c>
      <c r="S374" s="426">
        <v>410.86768350899899</v>
      </c>
      <c r="T374" s="426">
        <v>415.18773821079901</v>
      </c>
    </row>
    <row r="375" spans="1:20" s="426" customFormat="1">
      <c r="A375" s="426" t="str">
        <f t="shared" si="35"/>
        <v>KU</v>
      </c>
      <c r="B375" s="426" t="str">
        <f t="shared" si="26"/>
        <v>KY</v>
      </c>
      <c r="C375" s="426" t="str">
        <f t="shared" si="28"/>
        <v>E</v>
      </c>
      <c r="D375" s="426" t="s">
        <v>2659</v>
      </c>
      <c r="E375" s="426" t="str">
        <f t="shared" si="34"/>
        <v>335</v>
      </c>
      <c r="F375" s="741" t="s">
        <v>1742</v>
      </c>
      <c r="G375" s="425" t="str">
        <f t="shared" si="31"/>
        <v/>
      </c>
      <c r="H375" s="426">
        <v>170.38685000000001</v>
      </c>
      <c r="I375" s="426">
        <v>171.41889</v>
      </c>
      <c r="J375" s="426">
        <v>172.45093</v>
      </c>
      <c r="K375" s="426">
        <v>173.48296999999999</v>
      </c>
      <c r="L375" s="426">
        <v>174.51500999999999</v>
      </c>
      <c r="M375" s="426">
        <v>175.54704999999899</v>
      </c>
      <c r="N375" s="426">
        <v>176.57909000000001</v>
      </c>
      <c r="O375" s="426">
        <v>177.61112909716999</v>
      </c>
      <c r="P375" s="426">
        <v>178.64316819434001</v>
      </c>
      <c r="Q375" s="426">
        <v>179.67520729150999</v>
      </c>
      <c r="R375" s="426">
        <v>180.70724638868001</v>
      </c>
      <c r="S375" s="426">
        <v>181.73928548584999</v>
      </c>
      <c r="T375" s="426">
        <v>182.77132458302</v>
      </c>
    </row>
    <row r="376" spans="1:20" s="426" customFormat="1">
      <c r="A376" s="426" t="str">
        <f t="shared" si="35"/>
        <v>KU</v>
      </c>
      <c r="B376" s="426" t="str">
        <f t="shared" si="26"/>
        <v>KY</v>
      </c>
      <c r="C376" s="426" t="str">
        <f t="shared" si="28"/>
        <v>E</v>
      </c>
      <c r="D376" s="426" t="s">
        <v>2659</v>
      </c>
      <c r="E376" s="426" t="str">
        <f t="shared" si="34"/>
        <v>336</v>
      </c>
      <c r="F376" s="741" t="s">
        <v>1743</v>
      </c>
      <c r="G376" s="425" t="str">
        <f t="shared" si="31"/>
        <v/>
      </c>
      <c r="H376" s="426">
        <v>104.93456</v>
      </c>
      <c r="I376" s="426">
        <v>105.58532</v>
      </c>
      <c r="J376" s="426">
        <v>106.23608</v>
      </c>
      <c r="K376" s="426">
        <v>-65.914419999999893</v>
      </c>
      <c r="L376" s="426">
        <v>-65.362480000000005</v>
      </c>
      <c r="M376" s="426">
        <v>-64.810540000000003</v>
      </c>
      <c r="N376" s="426">
        <v>66.466399999999993</v>
      </c>
      <c r="O376" s="426">
        <v>67.018347028229996</v>
      </c>
      <c r="P376" s="426">
        <v>67.57029405646</v>
      </c>
      <c r="Q376" s="426">
        <v>68.122241084690003</v>
      </c>
      <c r="R376" s="426">
        <v>68.674188112920007</v>
      </c>
      <c r="S376" s="426">
        <v>69.226135141149996</v>
      </c>
      <c r="T376" s="426">
        <v>69.778082169379999</v>
      </c>
    </row>
    <row r="377" spans="1:20" s="426" customFormat="1">
      <c r="A377" s="426" t="str">
        <f t="shared" si="35"/>
        <v>KU</v>
      </c>
      <c r="B377" s="426" t="str">
        <f t="shared" si="26"/>
        <v>KY</v>
      </c>
      <c r="C377" s="426" t="str">
        <f t="shared" si="28"/>
        <v>E</v>
      </c>
      <c r="D377" s="426" t="s">
        <v>2659</v>
      </c>
      <c r="E377" s="426" t="str">
        <f t="shared" si="34"/>
        <v>337</v>
      </c>
      <c r="F377" s="741" t="s">
        <v>1744</v>
      </c>
      <c r="G377" s="425" t="str">
        <f t="shared" si="31"/>
        <v>ARO</v>
      </c>
      <c r="H377" s="426">
        <v>76.347629999999995</v>
      </c>
      <c r="I377" s="426">
        <v>77.838309999999893</v>
      </c>
      <c r="J377" s="426">
        <v>79.328990000000005</v>
      </c>
      <c r="K377" s="426">
        <v>80.819670000000002</v>
      </c>
      <c r="L377" s="426">
        <v>82.31035</v>
      </c>
      <c r="M377" s="426">
        <v>83.801029999999997</v>
      </c>
      <c r="N377" s="426">
        <v>85.291709999999995</v>
      </c>
      <c r="O377" s="426">
        <v>86.766484556409097</v>
      </c>
      <c r="P377" s="426">
        <v>88.241259112818199</v>
      </c>
      <c r="Q377" s="426">
        <v>89.7160336692274</v>
      </c>
      <c r="R377" s="426">
        <v>91.190808225636502</v>
      </c>
      <c r="S377" s="426">
        <v>92.665582782045604</v>
      </c>
      <c r="T377" s="426">
        <v>94.140357338454706</v>
      </c>
    </row>
    <row r="378" spans="1:20" s="426" customFormat="1">
      <c r="A378" s="426" t="str">
        <f t="shared" si="35"/>
        <v>KU</v>
      </c>
      <c r="B378" s="426" t="str">
        <f t="shared" si="26"/>
        <v>KY</v>
      </c>
      <c r="C378" s="426" t="str">
        <f t="shared" si="28"/>
        <v>E</v>
      </c>
      <c r="D378" s="426" t="s">
        <v>2659</v>
      </c>
      <c r="E378" s="426" t="str">
        <f t="shared" si="34"/>
        <v>340</v>
      </c>
      <c r="F378" s="741" t="s">
        <v>2183</v>
      </c>
      <c r="G378" s="425" t="str">
        <f t="shared" si="31"/>
        <v/>
      </c>
      <c r="H378" s="426">
        <v>132.76220000000001</v>
      </c>
      <c r="I378" s="426">
        <v>133.08414999999999</v>
      </c>
      <c r="J378" s="426">
        <v>133.40610000000001</v>
      </c>
      <c r="K378" s="426">
        <v>133.72805</v>
      </c>
      <c r="L378" s="426">
        <v>134.05000000000001</v>
      </c>
      <c r="M378" s="426">
        <v>134.37195</v>
      </c>
      <c r="N378" s="426">
        <v>134.69389999999899</v>
      </c>
      <c r="O378" s="426">
        <v>135.01584699079999</v>
      </c>
      <c r="P378" s="426">
        <v>135.33779398159999</v>
      </c>
      <c r="Q378" s="426">
        <v>135.65974097239999</v>
      </c>
      <c r="R378" s="426">
        <v>135.98168796319999</v>
      </c>
      <c r="S378" s="426">
        <v>136.30363495399999</v>
      </c>
      <c r="T378" s="426">
        <v>136.62558194479999</v>
      </c>
    </row>
    <row r="379" spans="1:20" s="426" customFormat="1">
      <c r="A379" s="426" t="str">
        <f t="shared" si="35"/>
        <v>KU</v>
      </c>
      <c r="B379" s="426" t="str">
        <f t="shared" si="26"/>
        <v>KY</v>
      </c>
      <c r="C379" s="426" t="str">
        <f t="shared" si="28"/>
        <v>E</v>
      </c>
      <c r="D379" s="426" t="s">
        <v>2659</v>
      </c>
      <c r="E379" s="426" t="str">
        <f t="shared" si="34"/>
        <v>341</v>
      </c>
      <c r="F379" s="741" t="s">
        <v>1746</v>
      </c>
      <c r="G379" s="425" t="str">
        <f t="shared" si="31"/>
        <v/>
      </c>
      <c r="H379" s="426">
        <v>23459.63121</v>
      </c>
      <c r="I379" s="426">
        <v>23578.557639999999</v>
      </c>
      <c r="J379" s="426">
        <v>23697.484069999999</v>
      </c>
      <c r="K379" s="426">
        <v>23794.9021599999</v>
      </c>
      <c r="L379" s="426">
        <v>23913.7578499999</v>
      </c>
      <c r="M379" s="426">
        <v>24032.613539999998</v>
      </c>
      <c r="N379" s="426">
        <v>24143.50848</v>
      </c>
      <c r="O379" s="426">
        <v>24262.342312421399</v>
      </c>
      <c r="P379" s="426">
        <v>24381.176144842801</v>
      </c>
      <c r="Q379" s="426">
        <v>24500.009977264199</v>
      </c>
      <c r="R379" s="426">
        <v>24618.843809685601</v>
      </c>
      <c r="S379" s="426">
        <v>24737.677642106999</v>
      </c>
      <c r="T379" s="426">
        <v>24856.511474528401</v>
      </c>
    </row>
    <row r="380" spans="1:20" s="426" customFormat="1">
      <c r="A380" s="426" t="str">
        <f t="shared" si="35"/>
        <v>KU</v>
      </c>
      <c r="B380" s="426" t="str">
        <f t="shared" si="26"/>
        <v>KY</v>
      </c>
      <c r="C380" s="426" t="str">
        <f t="shared" si="28"/>
        <v>E</v>
      </c>
      <c r="D380" s="426" t="s">
        <v>2659</v>
      </c>
      <c r="E380" s="426" t="str">
        <f t="shared" si="34"/>
        <v>341</v>
      </c>
      <c r="F380" s="741" t="s">
        <v>2184</v>
      </c>
      <c r="G380" s="425" t="str">
        <f t="shared" si="31"/>
        <v/>
      </c>
      <c r="H380" s="426">
        <v>6397.1930899999998</v>
      </c>
      <c r="I380" s="426">
        <v>6525.8522199999998</v>
      </c>
      <c r="J380" s="426">
        <v>6654.5113499999998</v>
      </c>
      <c r="K380" s="426">
        <v>6734.9310100000002</v>
      </c>
      <c r="L380" s="426">
        <v>6863.3320700000004</v>
      </c>
      <c r="M380" s="426">
        <v>6991.7331299999996</v>
      </c>
      <c r="N380" s="426">
        <v>7120.1341899999998</v>
      </c>
      <c r="O380" s="426">
        <v>7248.5352436100002</v>
      </c>
      <c r="P380" s="426">
        <v>7374.7378454999998</v>
      </c>
      <c r="Q380" s="426">
        <v>7503.5169157600003</v>
      </c>
      <c r="R380" s="426">
        <v>7632.2959860199999</v>
      </c>
      <c r="S380" s="426">
        <v>7761.0750562800004</v>
      </c>
      <c r="T380" s="426">
        <v>7889.8541265399999</v>
      </c>
    </row>
    <row r="381" spans="1:20" s="426" customFormat="1">
      <c r="A381" s="426" t="str">
        <f t="shared" si="35"/>
        <v>KU</v>
      </c>
      <c r="B381" s="426" t="str">
        <f t="shared" si="26"/>
        <v>KY</v>
      </c>
      <c r="C381" s="426" t="str">
        <f t="shared" si="28"/>
        <v>E</v>
      </c>
      <c r="D381" s="426" t="s">
        <v>2659</v>
      </c>
      <c r="E381" s="426" t="str">
        <f t="shared" si="34"/>
        <v>341</v>
      </c>
      <c r="F381" s="741" t="s">
        <v>2185</v>
      </c>
      <c r="G381" s="425" t="str">
        <f t="shared" si="31"/>
        <v/>
      </c>
      <c r="H381" s="426">
        <v>208.73564999999999</v>
      </c>
      <c r="I381" s="426">
        <v>216.66654</v>
      </c>
      <c r="J381" s="426">
        <v>224.59742999999901</v>
      </c>
      <c r="K381" s="426">
        <v>232.52831999999901</v>
      </c>
      <c r="L381" s="426">
        <v>240.45920999999899</v>
      </c>
      <c r="M381" s="426">
        <v>248.39009999999999</v>
      </c>
      <c r="N381" s="426">
        <v>256.32098999999999</v>
      </c>
      <c r="O381" s="426">
        <v>264.27466318339998</v>
      </c>
      <c r="P381" s="426">
        <v>272.2511216314</v>
      </c>
      <c r="Q381" s="426">
        <v>280.22758007940001</v>
      </c>
      <c r="R381" s="426">
        <v>288.20403852739997</v>
      </c>
      <c r="S381" s="426">
        <v>296.18049697539999</v>
      </c>
      <c r="T381" s="426">
        <v>304.15695542340001</v>
      </c>
    </row>
    <row r="382" spans="1:20" s="426" customFormat="1">
      <c r="A382" s="426" t="str">
        <f t="shared" si="35"/>
        <v>KU</v>
      </c>
      <c r="B382" s="426" t="str">
        <f t="shared" ref="B382:B445" si="36">IF(MID($F382,12,2)="- ","KY",IF(MID($F382,12,2)="SY","KY",MID($F382,12,2)))</f>
        <v>KY</v>
      </c>
      <c r="C382" s="426" t="str">
        <f t="shared" si="28"/>
        <v>E</v>
      </c>
      <c r="D382" s="426" t="s">
        <v>2659</v>
      </c>
      <c r="E382" s="426" t="str">
        <f t="shared" si="34"/>
        <v>342</v>
      </c>
      <c r="F382" s="741" t="s">
        <v>1747</v>
      </c>
      <c r="G382" s="425" t="str">
        <f t="shared" si="31"/>
        <v/>
      </c>
      <c r="H382" s="426">
        <v>6754.6919099999996</v>
      </c>
      <c r="I382" s="426">
        <v>6808.7258499999998</v>
      </c>
      <c r="J382" s="426">
        <v>6862.7597900000001</v>
      </c>
      <c r="K382" s="426">
        <v>6916.7937300000003</v>
      </c>
      <c r="L382" s="426">
        <v>6970.7642899999901</v>
      </c>
      <c r="M382" s="426">
        <v>7024.7973099999899</v>
      </c>
      <c r="N382" s="426">
        <v>7078.8303299999998</v>
      </c>
      <c r="O382" s="426">
        <v>7132.8633508372004</v>
      </c>
      <c r="P382" s="426">
        <v>7186.8963716744001</v>
      </c>
      <c r="Q382" s="426">
        <v>7240.9293925115999</v>
      </c>
      <c r="R382" s="426">
        <v>7294.9624133487996</v>
      </c>
      <c r="S382" s="426">
        <v>7348.9954341860002</v>
      </c>
      <c r="T382" s="426">
        <v>7403.0284550232</v>
      </c>
    </row>
    <row r="383" spans="1:20" s="426" customFormat="1">
      <c r="A383" s="426" t="str">
        <f t="shared" si="35"/>
        <v>KU</v>
      </c>
      <c r="B383" s="426" t="str">
        <f t="shared" si="36"/>
        <v>KY</v>
      </c>
      <c r="C383" s="426" t="str">
        <f t="shared" si="28"/>
        <v>E</v>
      </c>
      <c r="D383" s="426" t="s">
        <v>2659</v>
      </c>
      <c r="E383" s="426" t="str">
        <f t="shared" si="34"/>
        <v>342</v>
      </c>
      <c r="F383" s="741" t="s">
        <v>2186</v>
      </c>
      <c r="G383" s="425" t="str">
        <f t="shared" si="31"/>
        <v/>
      </c>
      <c r="H383" s="426">
        <v>4000.7154599999999</v>
      </c>
      <c r="I383" s="426">
        <v>4017.7538799999902</v>
      </c>
      <c r="J383" s="426">
        <v>4034.7923000000001</v>
      </c>
      <c r="K383" s="426">
        <v>4051.8307199999999</v>
      </c>
      <c r="L383" s="426">
        <v>4068.8691399999998</v>
      </c>
      <c r="M383" s="426">
        <v>4085.9075600000001</v>
      </c>
      <c r="N383" s="426">
        <v>4102.9459800000004</v>
      </c>
      <c r="O383" s="426">
        <v>4119.9844017579999</v>
      </c>
      <c r="P383" s="426">
        <v>4137.0228235160002</v>
      </c>
      <c r="Q383" s="426">
        <v>4154.0612452739997</v>
      </c>
      <c r="R383" s="426">
        <v>4171.0996670320001</v>
      </c>
      <c r="S383" s="426">
        <v>4188.1380887900004</v>
      </c>
      <c r="T383" s="426">
        <v>4205.1765105479999</v>
      </c>
    </row>
    <row r="384" spans="1:20" s="426" customFormat="1">
      <c r="A384" s="426" t="str">
        <f t="shared" si="35"/>
        <v>KU</v>
      </c>
      <c r="B384" s="426" t="str">
        <f t="shared" si="36"/>
        <v>KY</v>
      </c>
      <c r="C384" s="426" t="str">
        <f t="shared" si="28"/>
        <v>E</v>
      </c>
      <c r="D384" s="426" t="s">
        <v>2659</v>
      </c>
      <c r="E384" s="426" t="str">
        <f t="shared" si="34"/>
        <v>342</v>
      </c>
      <c r="F384" s="741" t="s">
        <v>2187</v>
      </c>
      <c r="G384" s="425" t="str">
        <f t="shared" si="31"/>
        <v/>
      </c>
      <c r="H384" s="426">
        <v>13217.42841</v>
      </c>
      <c r="I384" s="426">
        <v>13333.27715</v>
      </c>
      <c r="J384" s="426">
        <v>13449.125889999999</v>
      </c>
      <c r="K384" s="426">
        <v>13564.974630000001</v>
      </c>
      <c r="L384" s="426">
        <v>13680.82337</v>
      </c>
      <c r="M384" s="426">
        <v>13796.67211</v>
      </c>
      <c r="N384" s="426">
        <v>13912.520850000001</v>
      </c>
      <c r="O384" s="426">
        <v>14028.672422292</v>
      </c>
      <c r="P384" s="426">
        <v>14127.520089288</v>
      </c>
      <c r="Q384" s="426">
        <v>14270.767454086001</v>
      </c>
      <c r="R384" s="426">
        <v>14439.787990340001</v>
      </c>
      <c r="S384" s="426">
        <v>14608.871534673</v>
      </c>
      <c r="T384" s="426">
        <v>14777.955079006</v>
      </c>
    </row>
    <row r="385" spans="1:20" s="426" customFormat="1">
      <c r="A385" s="426" t="str">
        <f t="shared" si="35"/>
        <v>KU</v>
      </c>
      <c r="B385" s="426" t="str">
        <f t="shared" si="36"/>
        <v>KY</v>
      </c>
      <c r="C385" s="426" t="str">
        <f t="shared" si="28"/>
        <v>E</v>
      </c>
      <c r="D385" s="426" t="s">
        <v>2659</v>
      </c>
      <c r="E385" s="426" t="str">
        <f t="shared" si="34"/>
        <v>343</v>
      </c>
      <c r="F385" s="741" t="s">
        <v>1748</v>
      </c>
      <c r="G385" s="425" t="str">
        <f t="shared" si="31"/>
        <v/>
      </c>
      <c r="H385" s="426">
        <v>225355.87617999999</v>
      </c>
      <c r="I385" s="426">
        <v>226817.31494000001</v>
      </c>
      <c r="J385" s="426">
        <v>228485.9534</v>
      </c>
      <c r="K385" s="426">
        <v>229264.18539</v>
      </c>
      <c r="L385" s="426">
        <v>230932.1299</v>
      </c>
      <c r="M385" s="426">
        <v>232431.87019999899</v>
      </c>
      <c r="N385" s="426">
        <v>233916.53737000001</v>
      </c>
      <c r="O385" s="426">
        <v>235600.76019352599</v>
      </c>
      <c r="P385" s="426">
        <v>237252.61494337101</v>
      </c>
      <c r="Q385" s="426">
        <v>238924.720974275</v>
      </c>
      <c r="R385" s="426">
        <v>240597.58387669901</v>
      </c>
      <c r="S385" s="426">
        <v>242271.203650763</v>
      </c>
      <c r="T385" s="426">
        <v>243944.823424826</v>
      </c>
    </row>
    <row r="386" spans="1:20" s="426" customFormat="1">
      <c r="A386" s="426" t="str">
        <f t="shared" si="35"/>
        <v>KU</v>
      </c>
      <c r="B386" s="426" t="str">
        <f t="shared" si="36"/>
        <v>KY</v>
      </c>
      <c r="C386" s="426" t="str">
        <f t="shared" ref="C386:C449" si="37">IF(ISTEXT(MID($F386,SEARCH("FUTURE USE",$F386),3)),"F",IF(MID($F386,7,1)="1","E",IF(MID($F386,7,1)="2","G",IF(MID($F386,7,1)="3","C",""))))</f>
        <v>E</v>
      </c>
      <c r="D386" s="426" t="s">
        <v>2659</v>
      </c>
      <c r="E386" s="426" t="str">
        <f t="shared" si="34"/>
        <v>343</v>
      </c>
      <c r="F386" s="741" t="s">
        <v>2188</v>
      </c>
      <c r="G386" s="425" t="str">
        <f t="shared" si="31"/>
        <v/>
      </c>
      <c r="H386" s="426">
        <v>24134.822970000001</v>
      </c>
      <c r="I386" s="426">
        <v>24780.28184</v>
      </c>
      <c r="J386" s="426">
        <v>25573.1761999999</v>
      </c>
      <c r="K386" s="426">
        <v>22683.308690000002</v>
      </c>
      <c r="L386" s="426">
        <v>23490.76571</v>
      </c>
      <c r="M386" s="426">
        <v>24298.17527</v>
      </c>
      <c r="N386" s="426">
        <v>24690.84547</v>
      </c>
      <c r="O386" s="426">
        <v>22133.911161078999</v>
      </c>
      <c r="P386" s="426">
        <v>22939.271726084</v>
      </c>
      <c r="Q386" s="426">
        <v>23745.480459859999</v>
      </c>
      <c r="R386" s="426">
        <v>24554.209730973998</v>
      </c>
      <c r="S386" s="426">
        <v>25362.494771459002</v>
      </c>
      <c r="T386" s="426">
        <v>26170.779811944001</v>
      </c>
    </row>
    <row r="387" spans="1:20" s="426" customFormat="1">
      <c r="A387" s="426" t="str">
        <f t="shared" si="35"/>
        <v>KU</v>
      </c>
      <c r="B387" s="426" t="str">
        <f t="shared" si="36"/>
        <v>KY</v>
      </c>
      <c r="C387" s="426" t="str">
        <f t="shared" si="37"/>
        <v>E</v>
      </c>
      <c r="D387" s="426" t="s">
        <v>2659</v>
      </c>
      <c r="E387" s="426" t="str">
        <f t="shared" si="34"/>
        <v>344</v>
      </c>
      <c r="F387" s="741" t="s">
        <v>1749</v>
      </c>
      <c r="G387" s="425" t="str">
        <f t="shared" si="31"/>
        <v/>
      </c>
      <c r="H387" s="426">
        <v>38362.118739999998</v>
      </c>
      <c r="I387" s="426">
        <v>38563.734060000003</v>
      </c>
      <c r="J387" s="426">
        <v>38765.34938</v>
      </c>
      <c r="K387" s="426">
        <v>38247.716079999998</v>
      </c>
      <c r="L387" s="426">
        <v>38447.141680000001</v>
      </c>
      <c r="M387" s="426">
        <v>38646.567280000003</v>
      </c>
      <c r="N387" s="426">
        <v>38756.020120000001</v>
      </c>
      <c r="O387" s="426">
        <v>38955.828139553902</v>
      </c>
      <c r="P387" s="426">
        <v>39155.636159107897</v>
      </c>
      <c r="Q387" s="426">
        <v>39355.444178661899</v>
      </c>
      <c r="R387" s="426">
        <v>39555.252198215901</v>
      </c>
      <c r="S387" s="426">
        <v>39755.060217769897</v>
      </c>
      <c r="T387" s="426">
        <v>39954.868237323899</v>
      </c>
    </row>
    <row r="388" spans="1:20" s="426" customFormat="1">
      <c r="A388" s="426" t="str">
        <f t="shared" si="35"/>
        <v>KU</v>
      </c>
      <c r="B388" s="426" t="str">
        <f t="shared" si="36"/>
        <v>KY</v>
      </c>
      <c r="C388" s="426" t="str">
        <f t="shared" si="37"/>
        <v>E</v>
      </c>
      <c r="D388" s="426" t="s">
        <v>2659</v>
      </c>
      <c r="E388" s="426" t="str">
        <f t="shared" si="34"/>
        <v>344</v>
      </c>
      <c r="F388" s="741" t="s">
        <v>2189</v>
      </c>
      <c r="G388" s="425" t="str">
        <f t="shared" si="31"/>
        <v/>
      </c>
      <c r="H388" s="426">
        <v>10227.132750000001</v>
      </c>
      <c r="I388" s="426">
        <v>10378.31725</v>
      </c>
      <c r="J388" s="426">
        <v>10529.51844</v>
      </c>
      <c r="K388" s="426">
        <v>10680.723539999901</v>
      </c>
      <c r="L388" s="426">
        <v>10831.9291999999</v>
      </c>
      <c r="M388" s="426">
        <v>10983.135420000001</v>
      </c>
      <c r="N388" s="426">
        <v>11134.341640000001</v>
      </c>
      <c r="O388" s="426">
        <v>11285.547853525</v>
      </c>
      <c r="P388" s="426">
        <v>11436.75406705</v>
      </c>
      <c r="Q388" s="426">
        <v>11587.960280575</v>
      </c>
      <c r="R388" s="426">
        <v>11739.1664941</v>
      </c>
      <c r="S388" s="426">
        <v>11890.372707625</v>
      </c>
      <c r="T388" s="426">
        <v>12041.57892115</v>
      </c>
    </row>
    <row r="389" spans="1:20" s="426" customFormat="1">
      <c r="A389" s="426" t="str">
        <f t="shared" si="35"/>
        <v>KU</v>
      </c>
      <c r="B389" s="426" t="str">
        <f t="shared" si="36"/>
        <v>KY</v>
      </c>
      <c r="C389" s="426" t="str">
        <f t="shared" si="37"/>
        <v>E</v>
      </c>
      <c r="D389" s="426" t="s">
        <v>2659</v>
      </c>
      <c r="E389" s="426" t="str">
        <f t="shared" si="34"/>
        <v>344</v>
      </c>
      <c r="F389" s="741" t="s">
        <v>2190</v>
      </c>
      <c r="G389" s="425" t="str">
        <f t="shared" ref="G389:G452" si="38">IF(ISTEXT(MID($F389,SEARCH("FUTURE USE",$F389),3)),"FUTURE USE",IF(ISTEXT(MID($F389,SEARCH("ECR",$F389),3)),"ECR",IF(ISTEXT(MID($F389,SEARCH("ARO",$F389),3)),"ARO",IF(ISTEXT(MID($F389,SEARCH("DSM",$F389),3)),"DSM",""))))</f>
        <v/>
      </c>
      <c r="H389" s="426">
        <v>2265.7321499999998</v>
      </c>
      <c r="I389" s="426">
        <v>2318.3934899999999</v>
      </c>
      <c r="J389" s="426">
        <v>2371.05483</v>
      </c>
      <c r="K389" s="426">
        <v>2424.3621699999999</v>
      </c>
      <c r="L389" s="426">
        <v>2477.6267699999999</v>
      </c>
      <c r="M389" s="426">
        <v>2530.2222099999999</v>
      </c>
      <c r="N389" s="426">
        <v>2582.94724</v>
      </c>
      <c r="O389" s="426">
        <v>2635.8427653349599</v>
      </c>
      <c r="P389" s="426">
        <v>2688.79878867959</v>
      </c>
      <c r="Q389" s="426">
        <v>2741.75481202422</v>
      </c>
      <c r="R389" s="426">
        <v>2794.71083536885</v>
      </c>
      <c r="S389" s="426">
        <v>2847.66685871348</v>
      </c>
      <c r="T389" s="426">
        <v>2900.62288205811</v>
      </c>
    </row>
    <row r="390" spans="1:20" s="426" customFormat="1">
      <c r="A390" s="426" t="str">
        <f t="shared" si="35"/>
        <v>KU</v>
      </c>
      <c r="B390" s="426" t="str">
        <f t="shared" si="36"/>
        <v>KY</v>
      </c>
      <c r="C390" s="426" t="str">
        <f t="shared" si="37"/>
        <v>E</v>
      </c>
      <c r="D390" s="426" t="s">
        <v>2659</v>
      </c>
      <c r="E390" s="426" t="str">
        <f t="shared" si="34"/>
        <v>344</v>
      </c>
      <c r="F390" s="741" t="s">
        <v>2718</v>
      </c>
      <c r="G390" s="425" t="str">
        <f t="shared" si="38"/>
        <v/>
      </c>
      <c r="H390" s="426">
        <v>0.50422</v>
      </c>
      <c r="I390" s="426">
        <v>1.5828899999999999</v>
      </c>
      <c r="J390" s="426">
        <v>2.7317800000000001</v>
      </c>
      <c r="K390" s="426">
        <v>3.7827199999999999</v>
      </c>
      <c r="L390" s="426">
        <v>4.7357299999999896</v>
      </c>
      <c r="M390" s="426">
        <v>5.6887400000000001</v>
      </c>
      <c r="N390" s="426">
        <v>6.64175</v>
      </c>
      <c r="O390" s="426">
        <v>7.5944023702129897</v>
      </c>
      <c r="P390" s="426">
        <v>8.5466965626500002</v>
      </c>
      <c r="Q390" s="426">
        <v>9.4989907550870001</v>
      </c>
      <c r="R390" s="426">
        <v>10.451284947524</v>
      </c>
      <c r="S390" s="426">
        <v>11.403579139961</v>
      </c>
      <c r="T390" s="426">
        <v>12.355873332398</v>
      </c>
    </row>
    <row r="391" spans="1:20" s="426" customFormat="1">
      <c r="A391" s="426" t="str">
        <f t="shared" si="35"/>
        <v>KU</v>
      </c>
      <c r="B391" s="426" t="str">
        <f t="shared" si="36"/>
        <v>KY</v>
      </c>
      <c r="C391" s="426" t="str">
        <f t="shared" si="37"/>
        <v>E</v>
      </c>
      <c r="D391" s="426" t="s">
        <v>2659</v>
      </c>
      <c r="E391" s="426" t="str">
        <f t="shared" si="34"/>
        <v>345</v>
      </c>
      <c r="F391" s="741" t="s">
        <v>1750</v>
      </c>
      <c r="G391" s="425" t="str">
        <f t="shared" si="38"/>
        <v/>
      </c>
      <c r="H391" s="426">
        <v>28793.883750000001</v>
      </c>
      <c r="I391" s="426">
        <v>28985.60441</v>
      </c>
      <c r="J391" s="426">
        <v>29177.325069999999</v>
      </c>
      <c r="K391" s="426">
        <v>29369.045730000002</v>
      </c>
      <c r="L391" s="426">
        <v>29560.766390000001</v>
      </c>
      <c r="M391" s="426">
        <v>29752.487049999902</v>
      </c>
      <c r="N391" s="426">
        <v>29944.207709999999</v>
      </c>
      <c r="O391" s="426">
        <v>30135.9283618015</v>
      </c>
      <c r="P391" s="426">
        <v>30327.718680269001</v>
      </c>
      <c r="Q391" s="426">
        <v>30515.656218870099</v>
      </c>
      <c r="R391" s="426">
        <v>30708.495557824099</v>
      </c>
      <c r="S391" s="426">
        <v>30902.6305636545</v>
      </c>
      <c r="T391" s="426">
        <v>31096.765569484902</v>
      </c>
    </row>
    <row r="392" spans="1:20" s="426" customFormat="1">
      <c r="A392" s="426" t="str">
        <f t="shared" si="35"/>
        <v>KU</v>
      </c>
      <c r="B392" s="426" t="str">
        <f t="shared" si="36"/>
        <v>KY</v>
      </c>
      <c r="C392" s="426" t="str">
        <f t="shared" si="37"/>
        <v>E</v>
      </c>
      <c r="D392" s="426" t="s">
        <v>2659</v>
      </c>
      <c r="E392" s="426" t="str">
        <f t="shared" si="34"/>
        <v>345</v>
      </c>
      <c r="F392" s="741" t="s">
        <v>2191</v>
      </c>
      <c r="G392" s="425" t="str">
        <f t="shared" si="38"/>
        <v/>
      </c>
      <c r="H392" s="426">
        <v>3190.4690000000001</v>
      </c>
      <c r="I392" s="426">
        <v>3250.6826099999998</v>
      </c>
      <c r="J392" s="426">
        <v>3310.8962200000001</v>
      </c>
      <c r="K392" s="426">
        <v>3371.1098299999999</v>
      </c>
      <c r="L392" s="426">
        <v>3431.5421299999998</v>
      </c>
      <c r="M392" s="426">
        <v>3492.1931500000001</v>
      </c>
      <c r="N392" s="426">
        <v>3552.8441699999998</v>
      </c>
      <c r="O392" s="426">
        <v>3613.4952035749998</v>
      </c>
      <c r="P392" s="426">
        <v>3674.14624868599</v>
      </c>
      <c r="Q392" s="426">
        <v>3734.7972937969898</v>
      </c>
      <c r="R392" s="426">
        <v>3795.4483389079901</v>
      </c>
      <c r="S392" s="426">
        <v>3856.0993840189899</v>
      </c>
      <c r="T392" s="426">
        <v>3916.7504291299902</v>
      </c>
    </row>
    <row r="393" spans="1:20" s="426" customFormat="1">
      <c r="A393" s="426" t="str">
        <f t="shared" si="35"/>
        <v>KU</v>
      </c>
      <c r="B393" s="426" t="str">
        <f t="shared" si="36"/>
        <v>KY</v>
      </c>
      <c r="C393" s="426" t="str">
        <f t="shared" si="37"/>
        <v>E</v>
      </c>
      <c r="D393" s="426" t="s">
        <v>2659</v>
      </c>
      <c r="E393" s="426" t="str">
        <f t="shared" si="34"/>
        <v>345</v>
      </c>
      <c r="F393" s="741" t="s">
        <v>2192</v>
      </c>
      <c r="G393" s="425" t="str">
        <f t="shared" si="38"/>
        <v/>
      </c>
      <c r="H393" s="426">
        <v>88.101770000000002</v>
      </c>
      <c r="I393" s="426">
        <v>90.077370000000002</v>
      </c>
      <c r="J393" s="426">
        <v>92.076220000000006</v>
      </c>
      <c r="K393" s="426">
        <v>94.167689999999993</v>
      </c>
      <c r="L393" s="426">
        <v>96.950509999999994</v>
      </c>
      <c r="M393" s="426">
        <v>100.332039999999</v>
      </c>
      <c r="N393" s="426">
        <v>103.71357</v>
      </c>
      <c r="O393" s="426">
        <v>107.09509622095</v>
      </c>
      <c r="P393" s="426">
        <v>110.476622441899</v>
      </c>
      <c r="Q393" s="426">
        <v>113.858148662849</v>
      </c>
      <c r="R393" s="426">
        <v>117.239674883799</v>
      </c>
      <c r="S393" s="426">
        <v>120.62120110474901</v>
      </c>
      <c r="T393" s="426">
        <v>124.002727325699</v>
      </c>
    </row>
    <row r="394" spans="1:20" s="426" customFormat="1">
      <c r="A394" s="426" t="str">
        <f t="shared" si="35"/>
        <v>KU</v>
      </c>
      <c r="B394" s="426" t="str">
        <f t="shared" si="36"/>
        <v>KY</v>
      </c>
      <c r="C394" s="426" t="str">
        <f t="shared" si="37"/>
        <v>E</v>
      </c>
      <c r="D394" s="426" t="s">
        <v>2659</v>
      </c>
      <c r="E394" s="426" t="str">
        <f t="shared" si="34"/>
        <v>346</v>
      </c>
      <c r="F394" s="741" t="s">
        <v>1751</v>
      </c>
      <c r="G394" s="425" t="str">
        <f t="shared" si="38"/>
        <v/>
      </c>
      <c r="H394" s="426">
        <v>3713.7434899999998</v>
      </c>
      <c r="I394" s="426">
        <v>3734.2379500000002</v>
      </c>
      <c r="J394" s="426">
        <v>3754.7324100000001</v>
      </c>
      <c r="K394" s="426">
        <v>3775.22687</v>
      </c>
      <c r="L394" s="426">
        <v>3795.7213299999999</v>
      </c>
      <c r="M394" s="426">
        <v>3816.2157899999902</v>
      </c>
      <c r="N394" s="426">
        <v>3836.7102500000001</v>
      </c>
      <c r="O394" s="426">
        <v>3857.2046989371202</v>
      </c>
      <c r="P394" s="426">
        <v>3877.6991478742402</v>
      </c>
      <c r="Q394" s="426">
        <v>3898.1935968113698</v>
      </c>
      <c r="R394" s="426">
        <v>3918.6880457484899</v>
      </c>
      <c r="S394" s="426">
        <v>3939.18249468561</v>
      </c>
      <c r="T394" s="426">
        <v>3959.6769436227401</v>
      </c>
    </row>
    <row r="395" spans="1:20" s="426" customFormat="1">
      <c r="A395" s="426" t="str">
        <f t="shared" si="35"/>
        <v>KU</v>
      </c>
      <c r="B395" s="426" t="str">
        <f t="shared" si="36"/>
        <v>KY</v>
      </c>
      <c r="C395" s="426" t="str">
        <f t="shared" si="37"/>
        <v>E</v>
      </c>
      <c r="D395" s="426" t="s">
        <v>2659</v>
      </c>
      <c r="E395" s="426" t="str">
        <f t="shared" si="34"/>
        <v>346</v>
      </c>
      <c r="F395" s="741" t="s">
        <v>2193</v>
      </c>
      <c r="G395" s="425" t="str">
        <f t="shared" si="38"/>
        <v/>
      </c>
      <c r="H395" s="426">
        <v>347.72739000000001</v>
      </c>
      <c r="I395" s="426">
        <v>356.71683999999999</v>
      </c>
      <c r="J395" s="426">
        <v>365.706289999999</v>
      </c>
      <c r="K395" s="426">
        <v>374.69574</v>
      </c>
      <c r="L395" s="426">
        <v>383.68518999999998</v>
      </c>
      <c r="M395" s="426">
        <v>392.67464000000001</v>
      </c>
      <c r="N395" s="426">
        <v>401.66408999999999</v>
      </c>
      <c r="O395" s="426">
        <v>410.65354200500002</v>
      </c>
      <c r="P395" s="426">
        <v>419.64299401</v>
      </c>
      <c r="Q395" s="426">
        <v>428.632446014999</v>
      </c>
      <c r="R395" s="426">
        <v>437.62189801999898</v>
      </c>
      <c r="S395" s="426">
        <v>446.61135002499901</v>
      </c>
      <c r="T395" s="426">
        <v>455.60080202999899</v>
      </c>
    </row>
    <row r="396" spans="1:20" s="426" customFormat="1">
      <c r="A396" s="426" t="str">
        <f t="shared" si="35"/>
        <v>KU</v>
      </c>
      <c r="B396" s="426" t="str">
        <f t="shared" si="36"/>
        <v>KY</v>
      </c>
      <c r="C396" s="426" t="str">
        <f t="shared" si="37"/>
        <v>E</v>
      </c>
      <c r="D396" s="426" t="s">
        <v>2659</v>
      </c>
      <c r="E396" s="426" t="str">
        <f t="shared" si="34"/>
        <v>346</v>
      </c>
      <c r="F396" s="741" t="s">
        <v>2194</v>
      </c>
      <c r="G396" s="425" t="str">
        <f t="shared" si="38"/>
        <v/>
      </c>
      <c r="H396" s="426">
        <v>59.223750000000003</v>
      </c>
      <c r="I396" s="426">
        <v>60.728169999999999</v>
      </c>
      <c r="J396" s="426">
        <v>62.232589999999902</v>
      </c>
      <c r="K396" s="426">
        <v>63.737009999999998</v>
      </c>
      <c r="L396" s="426">
        <v>65.295159999999996</v>
      </c>
      <c r="M396" s="426">
        <v>66.907039999999995</v>
      </c>
      <c r="N396" s="426">
        <v>68.518919999999994</v>
      </c>
      <c r="O396" s="426">
        <v>70.130800252099903</v>
      </c>
      <c r="P396" s="426">
        <v>71.742680504199896</v>
      </c>
      <c r="Q396" s="426">
        <v>73.354560756299904</v>
      </c>
      <c r="R396" s="426">
        <v>75.144023451399903</v>
      </c>
      <c r="S396" s="426">
        <v>77.111068588499904</v>
      </c>
      <c r="T396" s="426">
        <v>79.078113725599906</v>
      </c>
    </row>
    <row r="397" spans="1:20" s="426" customFormat="1">
      <c r="A397" s="426" t="str">
        <f t="shared" si="35"/>
        <v>KU</v>
      </c>
      <c r="B397" s="426" t="str">
        <f t="shared" si="36"/>
        <v>KY</v>
      </c>
      <c r="C397" s="426" t="str">
        <f t="shared" si="37"/>
        <v>E</v>
      </c>
      <c r="D397" s="426" t="s">
        <v>2659</v>
      </c>
      <c r="E397" s="426" t="str">
        <f t="shared" si="34"/>
        <v>347</v>
      </c>
      <c r="F397" s="741" t="s">
        <v>2195</v>
      </c>
      <c r="G397" s="425" t="str">
        <f t="shared" si="38"/>
        <v>ARO</v>
      </c>
      <c r="H397" s="426">
        <v>97.034700000000001</v>
      </c>
      <c r="I397" s="426">
        <v>98.713819999999998</v>
      </c>
      <c r="J397" s="426">
        <v>100.39294</v>
      </c>
      <c r="K397" s="426">
        <v>102.07205999999999</v>
      </c>
      <c r="L397" s="426">
        <v>103.751179999999</v>
      </c>
      <c r="M397" s="426">
        <v>105.4303</v>
      </c>
      <c r="N397" s="426">
        <v>107.10942</v>
      </c>
      <c r="O397" s="426">
        <v>108.770623915768</v>
      </c>
      <c r="P397" s="426">
        <v>110.431827831536</v>
      </c>
      <c r="Q397" s="426">
        <v>112.09303174730501</v>
      </c>
      <c r="R397" s="426">
        <v>113.754235663073</v>
      </c>
      <c r="S397" s="426">
        <v>115.415439578842</v>
      </c>
      <c r="T397" s="426">
        <v>117.07664349461</v>
      </c>
    </row>
    <row r="398" spans="1:20" s="426" customFormat="1">
      <c r="A398" s="426" t="str">
        <f t="shared" si="35"/>
        <v>KU</v>
      </c>
      <c r="B398" s="426" t="str">
        <f t="shared" si="36"/>
        <v>KY</v>
      </c>
      <c r="C398" s="426" t="str">
        <f t="shared" si="37"/>
        <v>E</v>
      </c>
      <c r="D398" s="426" t="s">
        <v>2659</v>
      </c>
      <c r="E398" s="426" t="str">
        <f t="shared" si="34"/>
        <v>350</v>
      </c>
      <c r="F398" s="741" t="s">
        <v>1752</v>
      </c>
      <c r="G398" s="425" t="str">
        <f t="shared" si="38"/>
        <v/>
      </c>
      <c r="H398" s="426">
        <v>16158.13609</v>
      </c>
      <c r="I398" s="426">
        <v>16177.708199999999</v>
      </c>
      <c r="J398" s="426">
        <v>16197.28031</v>
      </c>
      <c r="K398" s="426">
        <v>16216.852419999999</v>
      </c>
      <c r="L398" s="426">
        <v>16236.42453</v>
      </c>
      <c r="M398" s="426">
        <v>16255.996639999999</v>
      </c>
      <c r="N398" s="426">
        <v>16275.56875</v>
      </c>
      <c r="O398" s="426">
        <v>16295.29154389</v>
      </c>
      <c r="P398" s="426">
        <v>16315.33779147</v>
      </c>
      <c r="Q398" s="426">
        <v>16335.556811439999</v>
      </c>
      <c r="R398" s="426">
        <v>16355.775831409999</v>
      </c>
      <c r="S398" s="426">
        <v>16375.994851380001</v>
      </c>
      <c r="T398" s="426">
        <v>16396.213871349999</v>
      </c>
    </row>
    <row r="399" spans="1:20" s="426" customFormat="1">
      <c r="A399" s="426" t="str">
        <f t="shared" si="35"/>
        <v>KU</v>
      </c>
      <c r="B399" s="426" t="str">
        <f t="shared" si="36"/>
        <v>TN</v>
      </c>
      <c r="C399" s="426" t="str">
        <f t="shared" si="37"/>
        <v>E</v>
      </c>
      <c r="D399" s="426" t="s">
        <v>2659</v>
      </c>
      <c r="E399" s="426" t="str">
        <f t="shared" si="34"/>
        <v>350</v>
      </c>
      <c r="F399" s="741" t="s">
        <v>1753</v>
      </c>
      <c r="G399" s="425" t="str">
        <f t="shared" si="38"/>
        <v/>
      </c>
      <c r="H399" s="426">
        <v>0.37728</v>
      </c>
      <c r="I399" s="426">
        <v>0.37758999999999998</v>
      </c>
      <c r="J399" s="426">
        <v>0.37789999999999901</v>
      </c>
      <c r="K399" s="426">
        <v>0.37820999999999999</v>
      </c>
      <c r="L399" s="426">
        <v>0.37851999999999902</v>
      </c>
      <c r="M399" s="426">
        <v>0.37883</v>
      </c>
      <c r="N399" s="426">
        <v>0.37913999999999998</v>
      </c>
      <c r="O399" s="426">
        <v>0.37945499649999997</v>
      </c>
      <c r="P399" s="426">
        <v>0.37976999299999997</v>
      </c>
      <c r="Q399" s="426">
        <v>0.38008498949999903</v>
      </c>
      <c r="R399" s="426">
        <v>0.38039998599999902</v>
      </c>
      <c r="S399" s="426">
        <v>0.38071498249999902</v>
      </c>
      <c r="T399" s="426">
        <v>0.38102997899999902</v>
      </c>
    </row>
    <row r="400" spans="1:20" s="426" customFormat="1">
      <c r="A400" s="426" t="str">
        <f t="shared" si="35"/>
        <v>KU</v>
      </c>
      <c r="B400" s="426" t="str">
        <f t="shared" si="36"/>
        <v>VA</v>
      </c>
      <c r="C400" s="426" t="str">
        <f t="shared" si="37"/>
        <v>E</v>
      </c>
      <c r="D400" s="426" t="s">
        <v>2659</v>
      </c>
      <c r="E400" s="426" t="str">
        <f t="shared" si="34"/>
        <v>350</v>
      </c>
      <c r="F400" s="741" t="s">
        <v>1754</v>
      </c>
      <c r="G400" s="425" t="str">
        <f t="shared" si="38"/>
        <v/>
      </c>
      <c r="H400" s="426">
        <v>1987.48777</v>
      </c>
      <c r="I400" s="426">
        <v>1989.09431</v>
      </c>
      <c r="J400" s="426">
        <v>1990.7008499999999</v>
      </c>
      <c r="K400" s="426">
        <v>1992.3073899999999</v>
      </c>
      <c r="L400" s="426">
        <v>1993.9139299999999</v>
      </c>
      <c r="M400" s="426">
        <v>1995.5204699999999</v>
      </c>
      <c r="N400" s="426">
        <v>1997.1270099999999</v>
      </c>
      <c r="O400" s="426">
        <v>1998.733548337</v>
      </c>
      <c r="P400" s="426">
        <v>2000.3400866740001</v>
      </c>
      <c r="Q400" s="426">
        <v>2001.9466250109999</v>
      </c>
      <c r="R400" s="426">
        <v>2003.553163348</v>
      </c>
      <c r="S400" s="426">
        <v>2005.1597016850001</v>
      </c>
      <c r="T400" s="426">
        <v>2006.7662400219999</v>
      </c>
    </row>
    <row r="401" spans="1:20" s="426" customFormat="1">
      <c r="A401" s="426" t="str">
        <f t="shared" si="35"/>
        <v>KU</v>
      </c>
      <c r="B401" s="426" t="str">
        <f t="shared" si="36"/>
        <v>KY</v>
      </c>
      <c r="C401" s="426" t="str">
        <f t="shared" si="37"/>
        <v>E</v>
      </c>
      <c r="D401" s="426" t="s">
        <v>2659</v>
      </c>
      <c r="E401" s="426" t="str">
        <f t="shared" si="34"/>
        <v>352</v>
      </c>
      <c r="F401" s="741" t="s">
        <v>1755</v>
      </c>
      <c r="G401" s="425" t="str">
        <f t="shared" si="38"/>
        <v/>
      </c>
      <c r="H401" s="426">
        <v>859.39085</v>
      </c>
      <c r="I401" s="426">
        <v>861.11932999999999</v>
      </c>
      <c r="J401" s="426">
        <v>862.84780999999998</v>
      </c>
      <c r="K401" s="426">
        <v>864.57628999999997</v>
      </c>
      <c r="L401" s="426">
        <v>910.93376999999998</v>
      </c>
      <c r="M401" s="426">
        <v>912.66224999999997</v>
      </c>
      <c r="N401" s="426">
        <v>914.39072999999996</v>
      </c>
      <c r="O401" s="426">
        <v>916.124915834425</v>
      </c>
      <c r="P401" s="426">
        <v>917.86480288897496</v>
      </c>
      <c r="Q401" s="426">
        <v>919.60468994352505</v>
      </c>
      <c r="R401" s="426">
        <v>921.34457699807501</v>
      </c>
      <c r="S401" s="426">
        <v>923.08446405262498</v>
      </c>
      <c r="T401" s="426">
        <v>924.82435110717495</v>
      </c>
    </row>
    <row r="402" spans="1:20" s="426" customFormat="1">
      <c r="A402" s="426" t="str">
        <f t="shared" si="35"/>
        <v>KU</v>
      </c>
      <c r="B402" s="426" t="str">
        <f t="shared" si="36"/>
        <v>KY</v>
      </c>
      <c r="C402" s="426" t="str">
        <f t="shared" si="37"/>
        <v>E</v>
      </c>
      <c r="D402" s="426" t="s">
        <v>2659</v>
      </c>
      <c r="E402" s="426" t="str">
        <f t="shared" si="34"/>
        <v>352</v>
      </c>
      <c r="F402" s="741" t="s">
        <v>1756</v>
      </c>
      <c r="G402" s="425" t="str">
        <f t="shared" si="38"/>
        <v/>
      </c>
      <c r="H402" s="426">
        <v>6415.77034</v>
      </c>
      <c r="I402" s="426">
        <v>6443.2337100000004</v>
      </c>
      <c r="J402" s="426">
        <v>6476.4651999999996</v>
      </c>
      <c r="K402" s="426">
        <v>6518.9464500000004</v>
      </c>
      <c r="L402" s="426">
        <v>6516.7884999999997</v>
      </c>
      <c r="M402" s="426">
        <v>6559.24935</v>
      </c>
      <c r="N402" s="426">
        <v>6601.7102000000004</v>
      </c>
      <c r="O402" s="426">
        <v>6644.182050931</v>
      </c>
      <c r="P402" s="426">
        <v>6686.6648975899998</v>
      </c>
      <c r="Q402" s="426">
        <v>6729.1477442490004</v>
      </c>
      <c r="R402" s="426">
        <v>6771.6305909080002</v>
      </c>
      <c r="S402" s="426">
        <v>6814.1134375669999</v>
      </c>
      <c r="T402" s="426">
        <v>6856.5962842259996</v>
      </c>
    </row>
    <row r="403" spans="1:20" s="426" customFormat="1">
      <c r="A403" s="426" t="str">
        <f t="shared" si="35"/>
        <v>KU</v>
      </c>
      <c r="B403" s="426" t="str">
        <f t="shared" si="36"/>
        <v>VA</v>
      </c>
      <c r="C403" s="426" t="str">
        <f t="shared" si="37"/>
        <v>E</v>
      </c>
      <c r="D403" s="426" t="s">
        <v>2659</v>
      </c>
      <c r="E403" s="426" t="str">
        <f t="shared" si="34"/>
        <v>352</v>
      </c>
      <c r="F403" s="741" t="s">
        <v>1757</v>
      </c>
      <c r="G403" s="425" t="str">
        <f t="shared" si="38"/>
        <v/>
      </c>
      <c r="H403" s="426">
        <v>849.64400999999998</v>
      </c>
      <c r="I403" s="426">
        <v>852.05998</v>
      </c>
      <c r="J403" s="426">
        <v>854.47595000000001</v>
      </c>
      <c r="K403" s="426">
        <v>837.17442000000005</v>
      </c>
      <c r="L403" s="426">
        <v>839.66705000000002</v>
      </c>
      <c r="M403" s="426">
        <v>842.15967999999998</v>
      </c>
      <c r="N403" s="426">
        <v>844.65231000000006</v>
      </c>
      <c r="O403" s="426">
        <v>847.14494068550005</v>
      </c>
      <c r="P403" s="426">
        <v>849.63757137100004</v>
      </c>
      <c r="Q403" s="426">
        <v>852.13020205650002</v>
      </c>
      <c r="R403" s="426">
        <v>854.62283274200001</v>
      </c>
      <c r="S403" s="426">
        <v>857.1154634275</v>
      </c>
      <c r="T403" s="426">
        <v>859.60809411299999</v>
      </c>
    </row>
    <row r="404" spans="1:20" s="426" customFormat="1">
      <c r="A404" s="426" t="str">
        <f t="shared" si="35"/>
        <v>KU</v>
      </c>
      <c r="B404" s="426" t="str">
        <f t="shared" si="36"/>
        <v>KY</v>
      </c>
      <c r="C404" s="426" t="str">
        <f t="shared" si="37"/>
        <v>E</v>
      </c>
      <c r="D404" s="426" t="s">
        <v>2659</v>
      </c>
      <c r="E404" s="426" t="str">
        <f t="shared" si="34"/>
        <v>353</v>
      </c>
      <c r="F404" s="741" t="s">
        <v>1758</v>
      </c>
      <c r="G404" s="425" t="str">
        <f t="shared" si="38"/>
        <v/>
      </c>
      <c r="H404" s="426">
        <v>71747.853369999997</v>
      </c>
      <c r="I404" s="426">
        <v>72226.374819999997</v>
      </c>
      <c r="J404" s="426">
        <v>72598.420270000002</v>
      </c>
      <c r="K404" s="426">
        <v>73109.339739999996</v>
      </c>
      <c r="L404" s="426">
        <v>75066.295389999999</v>
      </c>
      <c r="M404" s="426">
        <v>75548.629130000001</v>
      </c>
      <c r="N404" s="426">
        <v>76026.485119999998</v>
      </c>
      <c r="O404" s="426">
        <v>75117.448611779997</v>
      </c>
      <c r="P404" s="426">
        <v>75416.270860980003</v>
      </c>
      <c r="Q404" s="426">
        <v>75481.069036240006</v>
      </c>
      <c r="R404" s="426">
        <v>75622.869404130004</v>
      </c>
      <c r="S404" s="426">
        <v>76028.307320699998</v>
      </c>
      <c r="T404" s="426">
        <v>76309.707283969998</v>
      </c>
    </row>
    <row r="405" spans="1:20" s="426" customFormat="1">
      <c r="A405" s="426" t="str">
        <f t="shared" si="35"/>
        <v>KU</v>
      </c>
      <c r="B405" s="426" t="str">
        <f t="shared" si="36"/>
        <v>KY</v>
      </c>
      <c r="C405" s="426" t="str">
        <f t="shared" si="37"/>
        <v>E</v>
      </c>
      <c r="D405" s="426" t="s">
        <v>2659</v>
      </c>
      <c r="E405" s="426" t="str">
        <f t="shared" si="34"/>
        <v>353</v>
      </c>
      <c r="F405" s="741" t="s">
        <v>1759</v>
      </c>
      <c r="G405" s="425" t="str">
        <f t="shared" si="38"/>
        <v/>
      </c>
      <c r="H405" s="426">
        <v>2875.9316199999998</v>
      </c>
      <c r="I405" s="426">
        <v>2875.9316199999998</v>
      </c>
      <c r="J405" s="426">
        <v>2875.9316199999998</v>
      </c>
      <c r="K405" s="426">
        <v>2875.9316199999998</v>
      </c>
      <c r="L405" s="426">
        <v>1251.8806199999999</v>
      </c>
      <c r="M405" s="426">
        <v>1251.8806199999999</v>
      </c>
      <c r="N405" s="426">
        <v>1251.8806199999999</v>
      </c>
      <c r="O405" s="426">
        <v>1251.8806199999999</v>
      </c>
      <c r="P405" s="426">
        <v>1251.8806199999999</v>
      </c>
      <c r="Q405" s="426">
        <v>1251.8806199999999</v>
      </c>
      <c r="R405" s="426">
        <v>1251.8806199999999</v>
      </c>
      <c r="S405" s="426">
        <v>1251.8806199999999</v>
      </c>
      <c r="T405" s="426">
        <v>1251.8806199999999</v>
      </c>
    </row>
    <row r="406" spans="1:20" s="426" customFormat="1">
      <c r="A406" s="426" t="str">
        <f t="shared" si="35"/>
        <v>KU</v>
      </c>
      <c r="B406" s="426" t="str">
        <f t="shared" si="36"/>
        <v>VA</v>
      </c>
      <c r="C406" s="426" t="str">
        <f t="shared" si="37"/>
        <v>E</v>
      </c>
      <c r="D406" s="426" t="s">
        <v>2659</v>
      </c>
      <c r="E406" s="426" t="str">
        <f t="shared" si="34"/>
        <v>353</v>
      </c>
      <c r="F406" s="741" t="s">
        <v>1760</v>
      </c>
      <c r="G406" s="425" t="str">
        <f t="shared" si="38"/>
        <v/>
      </c>
      <c r="H406" s="426">
        <v>8578.1464099999994</v>
      </c>
      <c r="I406" s="426">
        <v>8555.0838800000001</v>
      </c>
      <c r="J406" s="426">
        <v>8591.9936500000003</v>
      </c>
      <c r="K406" s="426">
        <v>8630.2701300000008</v>
      </c>
      <c r="L406" s="426">
        <v>8668.5946899999999</v>
      </c>
      <c r="M406" s="426">
        <v>8706.9192500000008</v>
      </c>
      <c r="N406" s="426">
        <v>8745.2438099999999</v>
      </c>
      <c r="O406" s="426">
        <v>8783.5683622999895</v>
      </c>
      <c r="P406" s="426">
        <v>8821.89291459999</v>
      </c>
      <c r="Q406" s="426">
        <v>8860.2174668999905</v>
      </c>
      <c r="R406" s="426">
        <v>8835.2776832309901</v>
      </c>
      <c r="S406" s="426">
        <v>8881.5513635839907</v>
      </c>
      <c r="T406" s="426">
        <v>8886.83781275199</v>
      </c>
    </row>
    <row r="407" spans="1:20" s="426" customFormat="1">
      <c r="A407" s="426" t="str">
        <f t="shared" si="35"/>
        <v>KU</v>
      </c>
      <c r="B407" s="426" t="str">
        <f t="shared" si="36"/>
        <v>KY</v>
      </c>
      <c r="C407" s="426" t="str">
        <f t="shared" si="37"/>
        <v>E</v>
      </c>
      <c r="D407" s="426" t="s">
        <v>2659</v>
      </c>
      <c r="E407" s="426" t="str">
        <f t="shared" si="34"/>
        <v>354</v>
      </c>
      <c r="F407" s="741" t="s">
        <v>1761</v>
      </c>
      <c r="G407" s="425" t="str">
        <f t="shared" si="38"/>
        <v/>
      </c>
      <c r="H407" s="426">
        <v>48534.592499999999</v>
      </c>
      <c r="I407" s="426">
        <v>48634.2840499999</v>
      </c>
      <c r="J407" s="426">
        <v>48733.975599999998</v>
      </c>
      <c r="K407" s="426">
        <v>48833.667150000001</v>
      </c>
      <c r="L407" s="426">
        <v>48933.358699999997</v>
      </c>
      <c r="M407" s="426">
        <v>49033.05025</v>
      </c>
      <c r="N407" s="426">
        <v>49132.741799999902</v>
      </c>
      <c r="O407" s="426">
        <v>49232.433343200901</v>
      </c>
      <c r="P407" s="426">
        <v>49332.1248864019</v>
      </c>
      <c r="Q407" s="426">
        <v>49431.816429602899</v>
      </c>
      <c r="R407" s="426">
        <v>49531.507972803898</v>
      </c>
      <c r="S407" s="426">
        <v>49631.199516004897</v>
      </c>
      <c r="T407" s="426">
        <v>49730.891059205896</v>
      </c>
    </row>
    <row r="408" spans="1:20" s="426" customFormat="1">
      <c r="A408" s="426" t="str">
        <f t="shared" si="35"/>
        <v>KU</v>
      </c>
      <c r="B408" s="426" t="str">
        <f t="shared" si="36"/>
        <v>VA</v>
      </c>
      <c r="C408" s="426" t="str">
        <f t="shared" si="37"/>
        <v>E</v>
      </c>
      <c r="D408" s="426" t="s">
        <v>2659</v>
      </c>
      <c r="E408" s="426" t="str">
        <f t="shared" si="34"/>
        <v>354</v>
      </c>
      <c r="F408" s="741" t="s">
        <v>1762</v>
      </c>
      <c r="G408" s="425" t="str">
        <f t="shared" si="38"/>
        <v/>
      </c>
      <c r="H408" s="426">
        <v>5297.5095700000002</v>
      </c>
      <c r="I408" s="426">
        <v>5307.6229299999904</v>
      </c>
      <c r="J408" s="426">
        <v>5317.7362899999998</v>
      </c>
      <c r="K408" s="426">
        <v>5327.8496500000001</v>
      </c>
      <c r="L408" s="426">
        <v>5337.9630099999904</v>
      </c>
      <c r="M408" s="426">
        <v>5348.0763699999998</v>
      </c>
      <c r="N408" s="426">
        <v>5358.1897300000001</v>
      </c>
      <c r="O408" s="426">
        <v>5368.303086164</v>
      </c>
      <c r="P408" s="426">
        <v>5378.4164423279999</v>
      </c>
      <c r="Q408" s="426">
        <v>5388.5297984919998</v>
      </c>
      <c r="R408" s="426">
        <v>5398.6431546559998</v>
      </c>
      <c r="S408" s="426">
        <v>5408.7565108199997</v>
      </c>
      <c r="T408" s="426">
        <v>5418.8698669839996</v>
      </c>
    </row>
    <row r="409" spans="1:20" s="426" customFormat="1">
      <c r="A409" s="426" t="str">
        <f t="shared" si="35"/>
        <v>KU</v>
      </c>
      <c r="B409" s="426" t="str">
        <f t="shared" si="36"/>
        <v>KY</v>
      </c>
      <c r="C409" s="426" t="str">
        <f t="shared" si="37"/>
        <v>E</v>
      </c>
      <c r="D409" s="426" t="s">
        <v>2659</v>
      </c>
      <c r="E409" s="426" t="str">
        <f t="shared" si="34"/>
        <v>355</v>
      </c>
      <c r="F409" s="741" t="s">
        <v>1763</v>
      </c>
      <c r="G409" s="425" t="str">
        <f t="shared" si="38"/>
        <v/>
      </c>
      <c r="H409" s="426">
        <v>79422.778209999902</v>
      </c>
      <c r="I409" s="426">
        <v>80426.211649999997</v>
      </c>
      <c r="J409" s="426">
        <v>81238.494869999995</v>
      </c>
      <c r="K409" s="426">
        <v>82092.315799999997</v>
      </c>
      <c r="L409" s="426">
        <v>82988.618600000002</v>
      </c>
      <c r="M409" s="426">
        <v>84061.491750000001</v>
      </c>
      <c r="N409" s="426">
        <v>84934.08279</v>
      </c>
      <c r="O409" s="426">
        <v>81944.736584359998</v>
      </c>
      <c r="P409" s="426">
        <v>81578.719725999996</v>
      </c>
      <c r="Q409" s="426">
        <v>82139.952035320006</v>
      </c>
      <c r="R409" s="426">
        <v>82107.217412409998</v>
      </c>
      <c r="S409" s="426">
        <v>83189.043506589995</v>
      </c>
      <c r="T409" s="426">
        <v>84127.579716210006</v>
      </c>
    </row>
    <row r="410" spans="1:20" s="426" customFormat="1">
      <c r="A410" s="426" t="str">
        <f t="shared" si="35"/>
        <v>KU</v>
      </c>
      <c r="B410" s="426" t="str">
        <f t="shared" si="36"/>
        <v>TN</v>
      </c>
      <c r="C410" s="426" t="str">
        <f t="shared" si="37"/>
        <v>E</v>
      </c>
      <c r="D410" s="426" t="s">
        <v>2659</v>
      </c>
      <c r="E410" s="426" t="str">
        <f t="shared" ref="E410:E471" si="39">MID($F410,8,3)</f>
        <v>355</v>
      </c>
      <c r="F410" s="741" t="s">
        <v>1764</v>
      </c>
      <c r="G410" s="425" t="str">
        <f t="shared" si="38"/>
        <v/>
      </c>
      <c r="H410" s="426">
        <v>96.371949999999998</v>
      </c>
      <c r="I410" s="426">
        <v>96.686319999999995</v>
      </c>
      <c r="J410" s="426">
        <v>97.000690000000006</v>
      </c>
      <c r="K410" s="426">
        <v>97.315060000000003</v>
      </c>
      <c r="L410" s="426">
        <v>97.629429999999999</v>
      </c>
      <c r="M410" s="426">
        <v>97.943799999999996</v>
      </c>
      <c r="N410" s="426">
        <v>98.258170000000007</v>
      </c>
      <c r="O410" s="426">
        <v>98.57253831912</v>
      </c>
      <c r="P410" s="426">
        <v>98.886906638240006</v>
      </c>
      <c r="Q410" s="426">
        <v>99.201274957359999</v>
      </c>
      <c r="R410" s="426">
        <v>99.515643276480006</v>
      </c>
      <c r="S410" s="426">
        <v>99.830011595599998</v>
      </c>
      <c r="T410" s="426">
        <v>100.14437991472001</v>
      </c>
    </row>
    <row r="411" spans="1:20" s="426" customFormat="1">
      <c r="A411" s="426" t="str">
        <f t="shared" si="35"/>
        <v>KU</v>
      </c>
      <c r="B411" s="426" t="str">
        <f t="shared" si="36"/>
        <v>VA</v>
      </c>
      <c r="C411" s="426" t="str">
        <f t="shared" si="37"/>
        <v>E</v>
      </c>
      <c r="D411" s="426" t="s">
        <v>2659</v>
      </c>
      <c r="E411" s="426" t="str">
        <f t="shared" si="39"/>
        <v>355</v>
      </c>
      <c r="F411" s="741" t="s">
        <v>1765</v>
      </c>
      <c r="G411" s="425" t="str">
        <f t="shared" si="38"/>
        <v/>
      </c>
      <c r="H411" s="426">
        <v>5227.4401799999996</v>
      </c>
      <c r="I411" s="426">
        <v>5264.8360300000004</v>
      </c>
      <c r="J411" s="426">
        <v>5303.5772500000003</v>
      </c>
      <c r="K411" s="426">
        <v>5292.5942400000004</v>
      </c>
      <c r="L411" s="426">
        <v>5333.0954499999998</v>
      </c>
      <c r="M411" s="426">
        <v>5374.8074200000001</v>
      </c>
      <c r="N411" s="426">
        <v>5419.0078100000001</v>
      </c>
      <c r="O411" s="426">
        <v>5323.1842511530003</v>
      </c>
      <c r="P411" s="426">
        <v>5367.627706753</v>
      </c>
      <c r="Q411" s="426">
        <v>5405.6182466809996</v>
      </c>
      <c r="R411" s="426">
        <v>5271.125994684</v>
      </c>
      <c r="S411" s="426">
        <v>5320.8117269670001</v>
      </c>
      <c r="T411" s="426">
        <v>5370.825539771</v>
      </c>
    </row>
    <row r="412" spans="1:20" s="426" customFormat="1">
      <c r="A412" s="426" t="str">
        <f t="shared" si="35"/>
        <v>KU</v>
      </c>
      <c r="B412" s="426" t="str">
        <f t="shared" si="36"/>
        <v>KY</v>
      </c>
      <c r="C412" s="426" t="str">
        <f t="shared" si="37"/>
        <v>E</v>
      </c>
      <c r="D412" s="426" t="s">
        <v>2659</v>
      </c>
      <c r="E412" s="426" t="str">
        <f t="shared" si="39"/>
        <v>356</v>
      </c>
      <c r="F412" s="741" t="s">
        <v>1766</v>
      </c>
      <c r="G412" s="425" t="str">
        <f t="shared" si="38"/>
        <v/>
      </c>
      <c r="H412" s="426">
        <v>109023.18180000001</v>
      </c>
      <c r="I412" s="426">
        <v>109407.0723</v>
      </c>
      <c r="J412" s="426">
        <v>109743.48940000001</v>
      </c>
      <c r="K412" s="426">
        <v>110159.5782</v>
      </c>
      <c r="L412" s="426">
        <v>110565.1058</v>
      </c>
      <c r="M412" s="426">
        <v>111014.9657</v>
      </c>
      <c r="N412" s="426">
        <v>111476.649</v>
      </c>
      <c r="O412" s="426">
        <v>110963.7673234</v>
      </c>
      <c r="P412" s="426">
        <v>111301.533115399</v>
      </c>
      <c r="Q412" s="426">
        <v>111566.32268584899</v>
      </c>
      <c r="R412" s="426">
        <v>111879.814047009</v>
      </c>
      <c r="S412" s="426">
        <v>112254.122638639</v>
      </c>
      <c r="T412" s="426">
        <v>112582.227506829</v>
      </c>
    </row>
    <row r="413" spans="1:20" s="426" customFormat="1">
      <c r="A413" s="426" t="str">
        <f t="shared" si="35"/>
        <v>KU</v>
      </c>
      <c r="B413" s="426" t="str">
        <f t="shared" si="36"/>
        <v>TN</v>
      </c>
      <c r="C413" s="426" t="str">
        <f t="shared" si="37"/>
        <v>E</v>
      </c>
      <c r="D413" s="426" t="s">
        <v>2659</v>
      </c>
      <c r="E413" s="426" t="str">
        <f t="shared" si="39"/>
        <v>356</v>
      </c>
      <c r="F413" s="741" t="s">
        <v>1767</v>
      </c>
      <c r="G413" s="425" t="str">
        <f t="shared" si="38"/>
        <v/>
      </c>
      <c r="H413" s="426">
        <v>57.042529999999999</v>
      </c>
      <c r="I413" s="426">
        <v>57.213320000000003</v>
      </c>
      <c r="J413" s="426">
        <v>57.38411</v>
      </c>
      <c r="K413" s="426">
        <v>57.554900000000004</v>
      </c>
      <c r="L413" s="426">
        <v>57.72569</v>
      </c>
      <c r="M413" s="426">
        <v>57.896479999999997</v>
      </c>
      <c r="N413" s="426">
        <v>58.067270000000001</v>
      </c>
      <c r="O413" s="426">
        <v>58.238066648500002</v>
      </c>
      <c r="P413" s="426">
        <v>58.408863297000003</v>
      </c>
      <c r="Q413" s="426">
        <v>58.579659945499998</v>
      </c>
      <c r="R413" s="426">
        <v>58.750456593999999</v>
      </c>
      <c r="S413" s="426">
        <v>58.921253242500001</v>
      </c>
      <c r="T413" s="426">
        <v>59.092049891000002</v>
      </c>
    </row>
    <row r="414" spans="1:20" s="426" customFormat="1">
      <c r="A414" s="426" t="str">
        <f t="shared" si="35"/>
        <v>KU</v>
      </c>
      <c r="B414" s="426" t="str">
        <f t="shared" si="36"/>
        <v>VA</v>
      </c>
      <c r="C414" s="426" t="str">
        <f t="shared" si="37"/>
        <v>E</v>
      </c>
      <c r="D414" s="426" t="s">
        <v>2659</v>
      </c>
      <c r="E414" s="426" t="str">
        <f t="shared" si="39"/>
        <v>356</v>
      </c>
      <c r="F414" s="741" t="s">
        <v>1768</v>
      </c>
      <c r="G414" s="425" t="str">
        <f t="shared" si="38"/>
        <v/>
      </c>
      <c r="H414" s="426">
        <v>11029.24706</v>
      </c>
      <c r="I414" s="426">
        <v>11070.177729999999</v>
      </c>
      <c r="J414" s="426">
        <v>11111.229300000001</v>
      </c>
      <c r="K414" s="426">
        <v>11151.30702</v>
      </c>
      <c r="L414" s="426">
        <v>11192.56709</v>
      </c>
      <c r="M414" s="426">
        <v>11233.94865</v>
      </c>
      <c r="N414" s="426">
        <v>11275.487939999901</v>
      </c>
      <c r="O414" s="426">
        <v>11317.064124985</v>
      </c>
      <c r="P414" s="426">
        <v>11358.64030997</v>
      </c>
      <c r="Q414" s="426">
        <v>11400.216494955001</v>
      </c>
      <c r="R414" s="426">
        <v>11441.792679939999</v>
      </c>
      <c r="S414" s="426">
        <v>11483.368864925</v>
      </c>
      <c r="T414" s="426">
        <v>11524.94504991</v>
      </c>
    </row>
    <row r="415" spans="1:20" s="426" customFormat="1">
      <c r="A415" s="426" t="str">
        <f t="shared" si="35"/>
        <v>KU</v>
      </c>
      <c r="B415" s="426" t="str">
        <f t="shared" si="36"/>
        <v>KY</v>
      </c>
      <c r="C415" s="426" t="str">
        <f t="shared" si="37"/>
        <v>E</v>
      </c>
      <c r="D415" s="426" t="s">
        <v>2659</v>
      </c>
      <c r="E415" s="426" t="str">
        <f t="shared" si="39"/>
        <v>357</v>
      </c>
      <c r="F415" s="741" t="s">
        <v>1769</v>
      </c>
      <c r="G415" s="425" t="str">
        <f t="shared" si="38"/>
        <v/>
      </c>
      <c r="H415" s="426">
        <v>266.08679999999998</v>
      </c>
      <c r="I415" s="426">
        <v>267.05273</v>
      </c>
      <c r="J415" s="426">
        <v>268.01873000000001</v>
      </c>
      <c r="K415" s="426">
        <v>205.5548</v>
      </c>
      <c r="L415" s="426">
        <v>206.43100000000001</v>
      </c>
      <c r="M415" s="426">
        <v>207.30719999999999</v>
      </c>
      <c r="N415" s="426">
        <v>208.18340000000001</v>
      </c>
      <c r="O415" s="426">
        <v>209.0595995642</v>
      </c>
      <c r="P415" s="426">
        <v>209.93579912839999</v>
      </c>
      <c r="Q415" s="426">
        <v>210.81199869259899</v>
      </c>
      <c r="R415" s="426">
        <v>211.68819825679901</v>
      </c>
      <c r="S415" s="426">
        <v>212.56439782099901</v>
      </c>
      <c r="T415" s="426">
        <v>213.440597385199</v>
      </c>
    </row>
    <row r="416" spans="1:20" s="426" customFormat="1">
      <c r="A416" s="426" t="str">
        <f t="shared" si="35"/>
        <v>KU</v>
      </c>
      <c r="B416" s="426" t="str">
        <f t="shared" si="36"/>
        <v>KY</v>
      </c>
      <c r="C416" s="426" t="str">
        <f t="shared" si="37"/>
        <v>E</v>
      </c>
      <c r="D416" s="426" t="s">
        <v>2659</v>
      </c>
      <c r="E416" s="426" t="str">
        <f t="shared" si="39"/>
        <v>358</v>
      </c>
      <c r="F416" s="741" t="s">
        <v>1770</v>
      </c>
      <c r="G416" s="425" t="str">
        <f t="shared" si="38"/>
        <v/>
      </c>
      <c r="H416" s="426">
        <v>969.97284000000002</v>
      </c>
      <c r="I416" s="426">
        <v>970.81479000000002</v>
      </c>
      <c r="J416" s="426">
        <v>971.65677000000005</v>
      </c>
      <c r="K416" s="426">
        <v>884.84695999999997</v>
      </c>
      <c r="L416" s="426">
        <v>885.62171999999998</v>
      </c>
      <c r="M416" s="426">
        <v>886.38329999999996</v>
      </c>
      <c r="N416" s="426">
        <v>887.14489000000003</v>
      </c>
      <c r="O416" s="426">
        <v>816.05575268819996</v>
      </c>
      <c r="P416" s="426">
        <v>816.8173453764</v>
      </c>
      <c r="Q416" s="426">
        <v>817.57893806460004</v>
      </c>
      <c r="R416" s="426">
        <v>818.34053075279996</v>
      </c>
      <c r="S416" s="426">
        <v>819.102123441</v>
      </c>
      <c r="T416" s="426">
        <v>819.86371612920004</v>
      </c>
    </row>
    <row r="417" spans="1:20" s="426" customFormat="1">
      <c r="A417" s="426" t="str">
        <f t="shared" si="35"/>
        <v>KU</v>
      </c>
      <c r="B417" s="426" t="str">
        <f t="shared" si="36"/>
        <v>KY</v>
      </c>
      <c r="C417" s="426" t="str">
        <f t="shared" si="37"/>
        <v>E</v>
      </c>
      <c r="D417" s="426" t="s">
        <v>2659</v>
      </c>
      <c r="E417" s="426" t="str">
        <f t="shared" si="39"/>
        <v>359</v>
      </c>
      <c r="F417" s="741" t="s">
        <v>1771</v>
      </c>
      <c r="G417" s="425" t="str">
        <f t="shared" si="38"/>
        <v>ARO</v>
      </c>
      <c r="H417" s="426">
        <v>107.77131</v>
      </c>
      <c r="I417" s="426">
        <v>108.3854</v>
      </c>
      <c r="J417" s="426">
        <v>108.99948999999999</v>
      </c>
      <c r="K417" s="426">
        <v>109.61358</v>
      </c>
      <c r="L417" s="426">
        <v>110.22767</v>
      </c>
      <c r="M417" s="426">
        <v>110.84175999999999</v>
      </c>
      <c r="N417" s="426">
        <v>111.45585</v>
      </c>
      <c r="O417" s="426">
        <v>112.063387705842</v>
      </c>
      <c r="P417" s="426">
        <v>112.670925411684</v>
      </c>
      <c r="Q417" s="426">
        <v>113.278463117527</v>
      </c>
      <c r="R417" s="426">
        <v>113.886000823369</v>
      </c>
      <c r="S417" s="426">
        <v>114.493538529212</v>
      </c>
      <c r="T417" s="426">
        <v>115.10107623505399</v>
      </c>
    </row>
    <row r="418" spans="1:20" s="426" customFormat="1">
      <c r="A418" s="426" t="str">
        <f t="shared" si="35"/>
        <v>KU</v>
      </c>
      <c r="B418" s="426" t="str">
        <f t="shared" si="36"/>
        <v>KY</v>
      </c>
      <c r="C418" s="426" t="str">
        <f t="shared" si="37"/>
        <v>E</v>
      </c>
      <c r="D418" s="426" t="s">
        <v>2659</v>
      </c>
      <c r="E418" s="426" t="str">
        <f t="shared" si="39"/>
        <v>360</v>
      </c>
      <c r="F418" s="741" t="s">
        <v>1773</v>
      </c>
      <c r="G418" s="425" t="str">
        <f t="shared" si="38"/>
        <v/>
      </c>
      <c r="H418" s="426">
        <v>1442.6420700000001</v>
      </c>
      <c r="I418" s="426">
        <v>1443.9262699999999</v>
      </c>
      <c r="J418" s="426">
        <v>1445.21047</v>
      </c>
      <c r="K418" s="426">
        <v>1446.49467</v>
      </c>
      <c r="L418" s="426">
        <v>1447.7788700000001</v>
      </c>
      <c r="M418" s="426">
        <v>1449.0630699999999</v>
      </c>
      <c r="N418" s="426">
        <v>1450.34727</v>
      </c>
      <c r="O418" s="426">
        <v>1440.65691181899</v>
      </c>
      <c r="P418" s="426">
        <v>1441.9411136379899</v>
      </c>
      <c r="Q418" s="426">
        <v>1443.2253154569901</v>
      </c>
      <c r="R418" s="426">
        <v>1444.50951727599</v>
      </c>
      <c r="S418" s="426">
        <v>1445.7937190949899</v>
      </c>
      <c r="T418" s="426">
        <v>1447.0779209139901</v>
      </c>
    </row>
    <row r="419" spans="1:20" s="426" customFormat="1">
      <c r="A419" s="426" t="str">
        <f t="shared" si="35"/>
        <v>KU</v>
      </c>
      <c r="B419" s="426" t="str">
        <f t="shared" si="36"/>
        <v>TN</v>
      </c>
      <c r="C419" s="426" t="str">
        <f t="shared" si="37"/>
        <v>E</v>
      </c>
      <c r="D419" s="426" t="s">
        <v>2659</v>
      </c>
      <c r="E419" s="426" t="str">
        <f t="shared" si="39"/>
        <v>360</v>
      </c>
      <c r="F419" s="741" t="s">
        <v>1774</v>
      </c>
      <c r="G419" s="425" t="str">
        <f t="shared" si="38"/>
        <v/>
      </c>
      <c r="H419" s="426">
        <v>2.5055499999999999</v>
      </c>
      <c r="I419" s="426">
        <v>2.5069499999999998</v>
      </c>
      <c r="J419" s="426">
        <v>2.5083500000000001</v>
      </c>
      <c r="K419" s="426">
        <v>2.5097499999999999</v>
      </c>
      <c r="L419" s="426">
        <v>2.5111500000000002</v>
      </c>
      <c r="M419" s="426">
        <v>2.5125500000000001</v>
      </c>
      <c r="N419" s="426">
        <v>2.5139499999999999</v>
      </c>
      <c r="O419" s="426">
        <v>2.5153512853329998</v>
      </c>
      <c r="P419" s="426">
        <v>2.5167525706659899</v>
      </c>
      <c r="Q419" s="426">
        <v>2.5181538559989902</v>
      </c>
      <c r="R419" s="426">
        <v>2.5195551413319901</v>
      </c>
      <c r="S419" s="426">
        <v>2.52095642666499</v>
      </c>
      <c r="T419" s="426">
        <v>2.5223577119979899</v>
      </c>
    </row>
    <row r="420" spans="1:20" s="426" customFormat="1">
      <c r="A420" s="426" t="str">
        <f t="shared" si="35"/>
        <v>KU</v>
      </c>
      <c r="B420" s="426" t="str">
        <f t="shared" si="36"/>
        <v>VA</v>
      </c>
      <c r="C420" s="426" t="str">
        <f t="shared" si="37"/>
        <v>E</v>
      </c>
      <c r="D420" s="426" t="s">
        <v>2659</v>
      </c>
      <c r="E420" s="426" t="str">
        <f t="shared" si="39"/>
        <v>360</v>
      </c>
      <c r="F420" s="741" t="s">
        <v>1775</v>
      </c>
      <c r="G420" s="425" t="str">
        <f t="shared" si="38"/>
        <v/>
      </c>
      <c r="H420" s="426">
        <v>70.859710000000007</v>
      </c>
      <c r="I420" s="426">
        <v>70.968100000000007</v>
      </c>
      <c r="J420" s="426">
        <v>71.076490000000007</v>
      </c>
      <c r="K420" s="426">
        <v>71.184880000000007</v>
      </c>
      <c r="L420" s="426">
        <v>71.293270000000007</v>
      </c>
      <c r="M420" s="426">
        <v>71.401660000000007</v>
      </c>
      <c r="N420" s="426">
        <v>71.510050000000007</v>
      </c>
      <c r="O420" s="426">
        <v>71.618444288000006</v>
      </c>
      <c r="P420" s="426">
        <v>71.726838576000006</v>
      </c>
      <c r="Q420" s="426">
        <v>71.835232864000005</v>
      </c>
      <c r="R420" s="426">
        <v>71.943627152000005</v>
      </c>
      <c r="S420" s="426">
        <v>72.052021440000004</v>
      </c>
      <c r="T420" s="426">
        <v>72.160415728000004</v>
      </c>
    </row>
    <row r="421" spans="1:20" s="426" customFormat="1">
      <c r="A421" s="426" t="str">
        <f t="shared" si="35"/>
        <v>KU</v>
      </c>
      <c r="B421" s="426" t="str">
        <f t="shared" si="36"/>
        <v>KY</v>
      </c>
      <c r="C421" s="426" t="str">
        <f t="shared" si="37"/>
        <v>E</v>
      </c>
      <c r="D421" s="426" t="s">
        <v>2659</v>
      </c>
      <c r="E421" s="426" t="str">
        <f t="shared" si="39"/>
        <v>361</v>
      </c>
      <c r="F421" s="741" t="s">
        <v>1776</v>
      </c>
      <c r="G421" s="425" t="str">
        <f t="shared" si="38"/>
        <v/>
      </c>
      <c r="H421" s="426">
        <v>3043.6713599999998</v>
      </c>
      <c r="I421" s="426">
        <v>3085.44992</v>
      </c>
      <c r="J421" s="426">
        <v>3127.2284800000002</v>
      </c>
      <c r="K421" s="426">
        <v>3139.6345299999998</v>
      </c>
      <c r="L421" s="426">
        <v>3152.9317000000001</v>
      </c>
      <c r="M421" s="426">
        <v>3195.55467</v>
      </c>
      <c r="N421" s="426">
        <v>3238.1768699999998</v>
      </c>
      <c r="O421" s="426">
        <v>3273.160038214</v>
      </c>
      <c r="P421" s="426">
        <v>4154.4671149129999</v>
      </c>
      <c r="Q421" s="426">
        <v>4154.4931596879997</v>
      </c>
      <c r="R421" s="426">
        <v>4162.0784204259999</v>
      </c>
      <c r="S421" s="426">
        <v>4211.0607792270002</v>
      </c>
      <c r="T421" s="426">
        <v>4260.8501358020003</v>
      </c>
    </row>
    <row r="422" spans="1:20" s="426" customFormat="1">
      <c r="A422" s="426" t="str">
        <f t="shared" si="35"/>
        <v>KU</v>
      </c>
      <c r="B422" s="426" t="str">
        <f t="shared" si="36"/>
        <v>TN</v>
      </c>
      <c r="C422" s="426" t="str">
        <f t="shared" si="37"/>
        <v>E</v>
      </c>
      <c r="D422" s="426" t="s">
        <v>2659</v>
      </c>
      <c r="E422" s="426" t="str">
        <f t="shared" si="39"/>
        <v>361</v>
      </c>
      <c r="F422" s="741" t="s">
        <v>1777</v>
      </c>
      <c r="G422" s="425" t="str">
        <f t="shared" si="38"/>
        <v/>
      </c>
      <c r="H422" s="426">
        <v>2.5764200000000002</v>
      </c>
      <c r="I422" s="426">
        <v>2.5809799999999998</v>
      </c>
      <c r="J422" s="426">
        <v>2.5855399999999999</v>
      </c>
      <c r="K422" s="426">
        <v>2.5901000000000001</v>
      </c>
      <c r="L422" s="426">
        <v>2.59465999999999</v>
      </c>
      <c r="M422" s="426">
        <v>2.5992199999999999</v>
      </c>
      <c r="N422" s="426">
        <v>2.60378</v>
      </c>
      <c r="O422" s="426">
        <v>2.6083400245839998</v>
      </c>
      <c r="P422" s="426">
        <v>2.6129000491680001</v>
      </c>
      <c r="Q422" s="426">
        <v>2.617460073752</v>
      </c>
      <c r="R422" s="426">
        <v>2.6220200983359998</v>
      </c>
      <c r="S422" s="426">
        <v>2.6265801229200001</v>
      </c>
      <c r="T422" s="426">
        <v>2.6311401475039999</v>
      </c>
    </row>
    <row r="423" spans="1:20" s="426" customFormat="1">
      <c r="A423" s="426" t="str">
        <f t="shared" si="35"/>
        <v>KU</v>
      </c>
      <c r="B423" s="426" t="str">
        <f t="shared" si="36"/>
        <v>VA</v>
      </c>
      <c r="C423" s="426" t="str">
        <f t="shared" si="37"/>
        <v>E</v>
      </c>
      <c r="D423" s="426" t="s">
        <v>2659</v>
      </c>
      <c r="E423" s="426" t="str">
        <f t="shared" si="39"/>
        <v>361</v>
      </c>
      <c r="F423" s="741" t="s">
        <v>1778</v>
      </c>
      <c r="G423" s="425" t="str">
        <f t="shared" si="38"/>
        <v/>
      </c>
      <c r="H423" s="426">
        <v>161.25297</v>
      </c>
      <c r="I423" s="426">
        <v>162.43789999999899</v>
      </c>
      <c r="J423" s="426">
        <v>163.62282999999999</v>
      </c>
      <c r="K423" s="426">
        <v>164.80776</v>
      </c>
      <c r="L423" s="426">
        <v>165.99269000000001</v>
      </c>
      <c r="M423" s="426">
        <v>167.17761999999999</v>
      </c>
      <c r="N423" s="426">
        <v>168.36255</v>
      </c>
      <c r="O423" s="426">
        <v>169.54747674089899</v>
      </c>
      <c r="P423" s="426">
        <v>170.732403481799</v>
      </c>
      <c r="Q423" s="426">
        <v>171.91733022269901</v>
      </c>
      <c r="R423" s="426">
        <v>173.09411473429901</v>
      </c>
      <c r="S423" s="426">
        <v>174.26275701679899</v>
      </c>
      <c r="T423" s="426">
        <v>175.43139929929899</v>
      </c>
    </row>
    <row r="424" spans="1:20" s="426" customFormat="1">
      <c r="A424" s="426" t="str">
        <f t="shared" si="35"/>
        <v>KU</v>
      </c>
      <c r="B424" s="426" t="str">
        <f t="shared" si="36"/>
        <v>KY</v>
      </c>
      <c r="C424" s="426" t="str">
        <f t="shared" si="37"/>
        <v>E</v>
      </c>
      <c r="D424" s="426" t="s">
        <v>2659</v>
      </c>
      <c r="E424" s="426" t="str">
        <f t="shared" si="39"/>
        <v>362</v>
      </c>
      <c r="F424" s="741" t="s">
        <v>1779</v>
      </c>
      <c r="G424" s="425" t="str">
        <f t="shared" si="38"/>
        <v/>
      </c>
      <c r="H424" s="426">
        <v>53825.309500000003</v>
      </c>
      <c r="I424" s="426">
        <v>54142.899539999999</v>
      </c>
      <c r="J424" s="426">
        <v>54464.416669999999</v>
      </c>
      <c r="K424" s="426">
        <v>54744.8825499999</v>
      </c>
      <c r="L424" s="426">
        <v>54998.472520000003</v>
      </c>
      <c r="M424" s="426">
        <v>55312.209170000002</v>
      </c>
      <c r="N424" s="426">
        <v>55594.69311</v>
      </c>
      <c r="O424" s="426">
        <v>53311.120671552897</v>
      </c>
      <c r="P424" s="426">
        <v>53369.013082999903</v>
      </c>
      <c r="Q424" s="426">
        <v>53483.648556722997</v>
      </c>
      <c r="R424" s="426">
        <v>53206.334987834904</v>
      </c>
      <c r="S424" s="426">
        <v>53553.858656394899</v>
      </c>
      <c r="T424" s="426">
        <v>53846.362279553898</v>
      </c>
    </row>
    <row r="425" spans="1:20" s="426" customFormat="1">
      <c r="A425" s="426" t="str">
        <f t="shared" si="35"/>
        <v>KU</v>
      </c>
      <c r="B425" s="426" t="str">
        <f t="shared" si="36"/>
        <v>TN</v>
      </c>
      <c r="C425" s="426" t="str">
        <f t="shared" si="37"/>
        <v>E</v>
      </c>
      <c r="D425" s="426" t="s">
        <v>2659</v>
      </c>
      <c r="E425" s="426" t="str">
        <f t="shared" si="39"/>
        <v>362</v>
      </c>
      <c r="F425" s="741" t="s">
        <v>1780</v>
      </c>
      <c r="G425" s="425" t="str">
        <f t="shared" si="38"/>
        <v/>
      </c>
      <c r="H425" s="426">
        <v>36.800059999999903</v>
      </c>
      <c r="I425" s="426">
        <v>36.886980000000001</v>
      </c>
      <c r="J425" s="426">
        <v>36.9739</v>
      </c>
      <c r="K425" s="426">
        <v>37.06082</v>
      </c>
      <c r="L425" s="426">
        <v>37.147739999999999</v>
      </c>
      <c r="M425" s="426">
        <v>37.234659999999998</v>
      </c>
      <c r="N425" s="426">
        <v>37.321579999999997</v>
      </c>
      <c r="O425" s="426">
        <v>37.408489445999997</v>
      </c>
      <c r="P425" s="426">
        <v>37.495398891999997</v>
      </c>
      <c r="Q425" s="426">
        <v>37.582308337999997</v>
      </c>
      <c r="R425" s="426">
        <v>37.669217783999997</v>
      </c>
      <c r="S425" s="426">
        <v>37.756127229999997</v>
      </c>
      <c r="T425" s="426">
        <v>37.843036675999997</v>
      </c>
    </row>
    <row r="426" spans="1:20" s="426" customFormat="1">
      <c r="A426" s="426" t="str">
        <f t="shared" si="35"/>
        <v>KU</v>
      </c>
      <c r="B426" s="426" t="str">
        <f t="shared" si="36"/>
        <v>VA</v>
      </c>
      <c r="C426" s="426" t="str">
        <f t="shared" si="37"/>
        <v>E</v>
      </c>
      <c r="D426" s="426" t="s">
        <v>2659</v>
      </c>
      <c r="E426" s="426" t="str">
        <f t="shared" si="39"/>
        <v>362</v>
      </c>
      <c r="F426" s="741" t="s">
        <v>1781</v>
      </c>
      <c r="G426" s="425" t="str">
        <f t="shared" si="38"/>
        <v/>
      </c>
      <c r="H426" s="426">
        <v>3451.8352300000001</v>
      </c>
      <c r="I426" s="426">
        <v>3463.2496599999999</v>
      </c>
      <c r="J426" s="426">
        <v>3474.6640899999902</v>
      </c>
      <c r="K426" s="426">
        <v>3486.3152999999902</v>
      </c>
      <c r="L426" s="426">
        <v>3484.39192</v>
      </c>
      <c r="M426" s="426">
        <v>3496.31828</v>
      </c>
      <c r="N426" s="426">
        <v>3508.2536799999998</v>
      </c>
      <c r="O426" s="426">
        <v>3413.7264747590002</v>
      </c>
      <c r="P426" s="426">
        <v>3425.6608299605</v>
      </c>
      <c r="Q426" s="426">
        <v>3437.5951851619998</v>
      </c>
      <c r="R426" s="426">
        <v>3398.21979776849</v>
      </c>
      <c r="S426" s="426">
        <v>3410.2040877899899</v>
      </c>
      <c r="T426" s="426">
        <v>3422.1883778114902</v>
      </c>
    </row>
    <row r="427" spans="1:20" s="426" customFormat="1">
      <c r="A427" s="426" t="str">
        <f t="shared" si="35"/>
        <v>KU</v>
      </c>
      <c r="B427" s="426" t="str">
        <f t="shared" si="36"/>
        <v>KY</v>
      </c>
      <c r="C427" s="426" t="str">
        <f t="shared" si="37"/>
        <v>E</v>
      </c>
      <c r="D427" s="426" t="s">
        <v>2659</v>
      </c>
      <c r="E427" s="426" t="str">
        <f t="shared" si="39"/>
        <v>364</v>
      </c>
      <c r="F427" s="741" t="s">
        <v>2196</v>
      </c>
      <c r="G427" s="425" t="str">
        <f t="shared" si="38"/>
        <v>ECR</v>
      </c>
      <c r="H427" s="426">
        <v>4.12127</v>
      </c>
      <c r="I427" s="426">
        <v>4.2560000000000002</v>
      </c>
      <c r="J427" s="426">
        <v>4.3907299999999996</v>
      </c>
      <c r="K427" s="426">
        <v>4.5254599999999998</v>
      </c>
      <c r="L427" s="426">
        <v>4.6601900000000001</v>
      </c>
      <c r="M427" s="426">
        <v>4.7949200000000003</v>
      </c>
      <c r="N427" s="426">
        <v>4.9296499999999996</v>
      </c>
      <c r="O427" s="426">
        <v>5.0643834820069999</v>
      </c>
      <c r="P427" s="426">
        <v>5.1991169640140003</v>
      </c>
      <c r="Q427" s="426">
        <v>5.3338504460209997</v>
      </c>
      <c r="R427" s="426">
        <v>5.468583928028</v>
      </c>
      <c r="S427" s="426">
        <v>5.6033174100350003</v>
      </c>
      <c r="T427" s="426">
        <v>5.7380508920419997</v>
      </c>
    </row>
    <row r="428" spans="1:20" s="426" customFormat="1">
      <c r="A428" s="426" t="str">
        <f t="shared" si="35"/>
        <v>KU</v>
      </c>
      <c r="B428" s="426" t="str">
        <f t="shared" si="36"/>
        <v>KY</v>
      </c>
      <c r="C428" s="426" t="str">
        <f t="shared" si="37"/>
        <v>E</v>
      </c>
      <c r="D428" s="426" t="s">
        <v>2659</v>
      </c>
      <c r="E428" s="426" t="str">
        <f t="shared" si="39"/>
        <v>364</v>
      </c>
      <c r="F428" s="741" t="s">
        <v>1782</v>
      </c>
      <c r="G428" s="425" t="str">
        <f t="shared" si="38"/>
        <v/>
      </c>
      <c r="H428" s="426">
        <v>163720.90798999899</v>
      </c>
      <c r="I428" s="426">
        <v>164233.15909</v>
      </c>
      <c r="J428" s="426">
        <v>164374.92228999999</v>
      </c>
      <c r="K428" s="426">
        <v>164904.16678999999</v>
      </c>
      <c r="L428" s="426">
        <v>165312.20588999899</v>
      </c>
      <c r="M428" s="426">
        <v>165855.86019000001</v>
      </c>
      <c r="N428" s="426">
        <v>166345.83439</v>
      </c>
      <c r="O428" s="426">
        <v>166233.18894101999</v>
      </c>
      <c r="P428" s="426">
        <v>166579.30887671901</v>
      </c>
      <c r="Q428" s="426">
        <v>166918.66466368901</v>
      </c>
      <c r="R428" s="426">
        <v>166141.70654144901</v>
      </c>
      <c r="S428" s="426">
        <v>166474.62305212999</v>
      </c>
      <c r="T428" s="426">
        <v>166745.35200370901</v>
      </c>
    </row>
    <row r="429" spans="1:20" s="426" customFormat="1">
      <c r="A429" s="426" t="str">
        <f t="shared" si="35"/>
        <v>KU</v>
      </c>
      <c r="B429" s="426" t="str">
        <f t="shared" si="36"/>
        <v>TN</v>
      </c>
      <c r="C429" s="426" t="str">
        <f t="shared" si="37"/>
        <v>E</v>
      </c>
      <c r="D429" s="426" t="s">
        <v>2659</v>
      </c>
      <c r="E429" s="426" t="str">
        <f t="shared" si="39"/>
        <v>364</v>
      </c>
      <c r="F429" s="741" t="s">
        <v>1783</v>
      </c>
      <c r="G429" s="425" t="str">
        <f t="shared" si="38"/>
        <v/>
      </c>
      <c r="H429" s="426">
        <v>-13.3772</v>
      </c>
      <c r="I429" s="426">
        <v>-13.35646</v>
      </c>
      <c r="J429" s="426">
        <v>-13.33572</v>
      </c>
      <c r="K429" s="426">
        <v>-13.31498</v>
      </c>
      <c r="L429" s="426">
        <v>-13.29424</v>
      </c>
      <c r="M429" s="426">
        <v>-13.2735</v>
      </c>
      <c r="N429" s="426">
        <v>-13.25276</v>
      </c>
      <c r="O429" s="426">
        <v>-13.232019124003999</v>
      </c>
      <c r="P429" s="426">
        <v>-13.211278248007901</v>
      </c>
      <c r="Q429" s="426">
        <v>-13.190537372011899</v>
      </c>
      <c r="R429" s="426">
        <v>-13.1697964960159</v>
      </c>
      <c r="S429" s="426">
        <v>-13.149055620019899</v>
      </c>
      <c r="T429" s="426">
        <v>-13.1283147440239</v>
      </c>
    </row>
    <row r="430" spans="1:20" s="426" customFormat="1">
      <c r="A430" s="426" t="str">
        <f t="shared" si="35"/>
        <v>KU</v>
      </c>
      <c r="B430" s="426" t="str">
        <f t="shared" si="36"/>
        <v>VA</v>
      </c>
      <c r="C430" s="426" t="str">
        <f t="shared" si="37"/>
        <v>E</v>
      </c>
      <c r="D430" s="426" t="s">
        <v>2659</v>
      </c>
      <c r="E430" s="426" t="str">
        <f t="shared" si="39"/>
        <v>364</v>
      </c>
      <c r="F430" s="741" t="s">
        <v>1784</v>
      </c>
      <c r="G430" s="425" t="str">
        <f t="shared" si="38"/>
        <v/>
      </c>
      <c r="H430" s="426">
        <v>13541.426740000001</v>
      </c>
      <c r="I430" s="426">
        <v>13536.16906</v>
      </c>
      <c r="J430" s="426">
        <v>13561.16863</v>
      </c>
      <c r="K430" s="426">
        <v>13584.75497</v>
      </c>
      <c r="L430" s="426">
        <v>13626.329</v>
      </c>
      <c r="M430" s="426">
        <v>13667.94671</v>
      </c>
      <c r="N430" s="426">
        <v>13709.626920000001</v>
      </c>
      <c r="O430" s="426">
        <v>13735.2639846119</v>
      </c>
      <c r="P430" s="426">
        <v>13775.446346639899</v>
      </c>
      <c r="Q430" s="426">
        <v>13815.750309970899</v>
      </c>
      <c r="R430" s="426">
        <v>13712.9569094899</v>
      </c>
      <c r="S430" s="426">
        <v>13753.6634599029</v>
      </c>
      <c r="T430" s="426">
        <v>13792.0808703769</v>
      </c>
    </row>
    <row r="431" spans="1:20" s="426" customFormat="1">
      <c r="A431" s="426" t="str">
        <f t="shared" si="35"/>
        <v>KU</v>
      </c>
      <c r="B431" s="426" t="str">
        <f t="shared" si="36"/>
        <v>KY</v>
      </c>
      <c r="C431" s="426" t="str">
        <f t="shared" si="37"/>
        <v>E</v>
      </c>
      <c r="D431" s="426" t="s">
        <v>2659</v>
      </c>
      <c r="E431" s="426" t="str">
        <f t="shared" si="39"/>
        <v>365</v>
      </c>
      <c r="F431" s="741" t="s">
        <v>2197</v>
      </c>
      <c r="G431" s="425" t="str">
        <f t="shared" si="38"/>
        <v>ECR</v>
      </c>
      <c r="H431" s="426">
        <v>4.1491199999999999</v>
      </c>
      <c r="I431" s="426">
        <v>4.2658399999999999</v>
      </c>
      <c r="J431" s="426">
        <v>4.3825599999999998</v>
      </c>
      <c r="K431" s="426">
        <v>4.4992799999999997</v>
      </c>
      <c r="L431" s="426">
        <v>4.6159999999999997</v>
      </c>
      <c r="M431" s="426">
        <v>4.7327199999999996</v>
      </c>
      <c r="N431" s="426">
        <v>4.8494399999999898</v>
      </c>
      <c r="O431" s="426">
        <v>4.9661640099999902</v>
      </c>
      <c r="P431" s="426">
        <v>5.0828880199999897</v>
      </c>
      <c r="Q431" s="426">
        <v>5.1996120299999902</v>
      </c>
      <c r="R431" s="426">
        <v>5.3163360399999897</v>
      </c>
      <c r="S431" s="426">
        <v>5.4330600499999901</v>
      </c>
      <c r="T431" s="426">
        <v>5.5497840599999897</v>
      </c>
    </row>
    <row r="432" spans="1:20" s="426" customFormat="1">
      <c r="A432" s="426" t="str">
        <f t="shared" si="35"/>
        <v>KU</v>
      </c>
      <c r="B432" s="426" t="str">
        <f t="shared" si="36"/>
        <v>KY</v>
      </c>
      <c r="C432" s="426" t="str">
        <f t="shared" si="37"/>
        <v>E</v>
      </c>
      <c r="D432" s="426" t="s">
        <v>2659</v>
      </c>
      <c r="E432" s="426" t="str">
        <f t="shared" si="39"/>
        <v>365</v>
      </c>
      <c r="F432" s="741" t="s">
        <v>1785</v>
      </c>
      <c r="G432" s="425" t="str">
        <f t="shared" si="38"/>
        <v/>
      </c>
      <c r="H432" s="426">
        <v>102179.88139</v>
      </c>
      <c r="I432" s="426">
        <v>102510.27198999999</v>
      </c>
      <c r="J432" s="426">
        <v>101461.72429</v>
      </c>
      <c r="K432" s="426">
        <v>101860.13318999999</v>
      </c>
      <c r="L432" s="426">
        <v>95818.049129999999</v>
      </c>
      <c r="M432" s="426">
        <v>96359.006720000005</v>
      </c>
      <c r="N432" s="426">
        <v>96607.339319999999</v>
      </c>
      <c r="O432" s="426">
        <v>94372.247829519998</v>
      </c>
      <c r="P432" s="426">
        <v>94071.728919119996</v>
      </c>
      <c r="Q432" s="426">
        <v>93487.509825479894</v>
      </c>
      <c r="R432" s="426">
        <v>92498.552212379902</v>
      </c>
      <c r="S432" s="426">
        <v>92848.098549989896</v>
      </c>
      <c r="T432" s="426">
        <v>92902.235616429898</v>
      </c>
    </row>
    <row r="433" spans="1:20" s="426" customFormat="1">
      <c r="A433" s="426" t="str">
        <f t="shared" ref="A433:A499" si="40">MID($F433,4,2)</f>
        <v>KU</v>
      </c>
      <c r="B433" s="426" t="str">
        <f t="shared" si="36"/>
        <v>TN</v>
      </c>
      <c r="C433" s="426" t="str">
        <f t="shared" si="37"/>
        <v>E</v>
      </c>
      <c r="D433" s="426" t="s">
        <v>2659</v>
      </c>
      <c r="E433" s="426" t="str">
        <f t="shared" si="39"/>
        <v>365</v>
      </c>
      <c r="F433" s="741" t="s">
        <v>1786</v>
      </c>
      <c r="G433" s="425" t="str">
        <f t="shared" si="38"/>
        <v/>
      </c>
      <c r="H433" s="426">
        <v>-5.1013999999999999</v>
      </c>
      <c r="I433" s="426">
        <v>-5.0791199999999996</v>
      </c>
      <c r="J433" s="426">
        <v>-5.0568400000000002</v>
      </c>
      <c r="K433" s="426">
        <v>-5.0345599999999999</v>
      </c>
      <c r="L433" s="426">
        <v>-5.0122799999999996</v>
      </c>
      <c r="M433" s="426">
        <v>-4.99</v>
      </c>
      <c r="N433" s="426">
        <v>-4.9677199999999999</v>
      </c>
      <c r="O433" s="426">
        <v>-4.9454375969999997</v>
      </c>
      <c r="P433" s="426">
        <v>-4.9231551939999996</v>
      </c>
      <c r="Q433" s="426">
        <v>-4.9008727910000003</v>
      </c>
      <c r="R433" s="426">
        <v>-4.8785903880000001</v>
      </c>
      <c r="S433" s="426">
        <v>-4.8563079849999999</v>
      </c>
      <c r="T433" s="426">
        <v>-4.8340255819999998</v>
      </c>
    </row>
    <row r="434" spans="1:20" s="426" customFormat="1">
      <c r="A434" s="426" t="str">
        <f t="shared" si="40"/>
        <v>KU</v>
      </c>
      <c r="B434" s="426" t="str">
        <f t="shared" si="36"/>
        <v>VA</v>
      </c>
      <c r="C434" s="426" t="str">
        <f t="shared" si="37"/>
        <v>E</v>
      </c>
      <c r="D434" s="426" t="s">
        <v>2659</v>
      </c>
      <c r="E434" s="426" t="str">
        <f t="shared" si="39"/>
        <v>365</v>
      </c>
      <c r="F434" s="741" t="s">
        <v>1787</v>
      </c>
      <c r="G434" s="425" t="str">
        <f t="shared" si="38"/>
        <v/>
      </c>
      <c r="H434" s="426">
        <v>8733.9376099999899</v>
      </c>
      <c r="I434" s="426">
        <v>8571.2993100000003</v>
      </c>
      <c r="J434" s="426">
        <v>8597.1920100000007</v>
      </c>
      <c r="K434" s="426">
        <v>8577.7532300000003</v>
      </c>
      <c r="L434" s="426">
        <v>8614.93282</v>
      </c>
      <c r="M434" s="426">
        <v>8652.1567899999991</v>
      </c>
      <c r="N434" s="426">
        <v>8689.4761400000007</v>
      </c>
      <c r="O434" s="426">
        <v>8665.2985275579995</v>
      </c>
      <c r="P434" s="426">
        <v>8693.1854687909999</v>
      </c>
      <c r="Q434" s="426">
        <v>8724.9990606419997</v>
      </c>
      <c r="R434" s="426">
        <v>8761.3358337239897</v>
      </c>
      <c r="S434" s="426">
        <v>8795.60477322099</v>
      </c>
      <c r="T434" s="426">
        <v>8829.1706639999993</v>
      </c>
    </row>
    <row r="435" spans="1:20" s="426" customFormat="1">
      <c r="A435" s="426" t="str">
        <f t="shared" si="40"/>
        <v>KU</v>
      </c>
      <c r="B435" s="426" t="str">
        <f t="shared" si="36"/>
        <v>KY</v>
      </c>
      <c r="C435" s="426" t="str">
        <f t="shared" si="37"/>
        <v>E</v>
      </c>
      <c r="D435" s="426" t="s">
        <v>2659</v>
      </c>
      <c r="E435" s="426" t="str">
        <f t="shared" si="39"/>
        <v>366</v>
      </c>
      <c r="F435" s="741" t="s">
        <v>2198</v>
      </c>
      <c r="G435" s="425" t="str">
        <f t="shared" si="38"/>
        <v>ECR</v>
      </c>
      <c r="H435" s="426">
        <v>24.133759999999999</v>
      </c>
      <c r="I435" s="426">
        <v>24.553039999999999</v>
      </c>
      <c r="J435" s="426">
        <v>24.97232</v>
      </c>
      <c r="K435" s="426">
        <v>25.3916</v>
      </c>
      <c r="L435" s="426">
        <v>25.810880000000001</v>
      </c>
      <c r="M435" s="426">
        <v>26.230160000000001</v>
      </c>
      <c r="N435" s="426">
        <v>26.649439999999998</v>
      </c>
      <c r="O435" s="426">
        <v>27.068722212699999</v>
      </c>
      <c r="P435" s="426">
        <v>27.4880044254</v>
      </c>
      <c r="Q435" s="426">
        <v>27.9072866381</v>
      </c>
      <c r="R435" s="426">
        <v>28.326568850800001</v>
      </c>
      <c r="S435" s="426">
        <v>28.745851063500002</v>
      </c>
      <c r="T435" s="426">
        <v>29.165133276199999</v>
      </c>
    </row>
    <row r="436" spans="1:20" s="426" customFormat="1">
      <c r="A436" s="426" t="str">
        <f t="shared" si="40"/>
        <v>KU</v>
      </c>
      <c r="B436" s="426" t="str">
        <f t="shared" si="36"/>
        <v>KY</v>
      </c>
      <c r="C436" s="426" t="str">
        <f t="shared" si="37"/>
        <v>E</v>
      </c>
      <c r="D436" s="426" t="s">
        <v>2659</v>
      </c>
      <c r="E436" s="426" t="str">
        <f t="shared" si="39"/>
        <v>366</v>
      </c>
      <c r="F436" s="741" t="s">
        <v>1788</v>
      </c>
      <c r="G436" s="425" t="str">
        <f t="shared" si="38"/>
        <v/>
      </c>
      <c r="H436" s="426">
        <v>1045.4175700000001</v>
      </c>
      <c r="I436" s="426">
        <v>1049.8778500000001</v>
      </c>
      <c r="J436" s="426">
        <v>1054.33817</v>
      </c>
      <c r="K436" s="426">
        <v>1058.79863</v>
      </c>
      <c r="L436" s="426">
        <v>1063.25919</v>
      </c>
      <c r="M436" s="426">
        <v>1067.7198000000001</v>
      </c>
      <c r="N436" s="426">
        <v>1072.1804999999999</v>
      </c>
      <c r="O436" s="426">
        <v>1076.6412305259901</v>
      </c>
      <c r="P436" s="426">
        <v>1081.10196105199</v>
      </c>
      <c r="Q436" s="426">
        <v>1085.5626915779901</v>
      </c>
      <c r="R436" s="426">
        <v>1090.02342210399</v>
      </c>
      <c r="S436" s="426">
        <v>1094.4841526299899</v>
      </c>
      <c r="T436" s="426">
        <v>1098.9448831559901</v>
      </c>
    </row>
    <row r="437" spans="1:20" s="426" customFormat="1">
      <c r="A437" s="426" t="str">
        <f t="shared" si="40"/>
        <v>KU</v>
      </c>
      <c r="B437" s="426" t="str">
        <f t="shared" si="36"/>
        <v>KY</v>
      </c>
      <c r="C437" s="426" t="str">
        <f t="shared" si="37"/>
        <v>E</v>
      </c>
      <c r="D437" s="426" t="s">
        <v>2659</v>
      </c>
      <c r="E437" s="426" t="str">
        <f t="shared" si="39"/>
        <v>367</v>
      </c>
      <c r="F437" s="741" t="s">
        <v>2199</v>
      </c>
      <c r="G437" s="425" t="str">
        <f t="shared" si="38"/>
        <v>ECR</v>
      </c>
      <c r="H437" s="426">
        <v>162.60099</v>
      </c>
      <c r="I437" s="426">
        <v>164.13079999999999</v>
      </c>
      <c r="J437" s="426">
        <v>165.66060999999999</v>
      </c>
      <c r="K437" s="426">
        <v>167.19041999999999</v>
      </c>
      <c r="L437" s="426">
        <v>168.72022999999999</v>
      </c>
      <c r="M437" s="426">
        <v>170.25004000000001</v>
      </c>
      <c r="N437" s="426">
        <v>171.77985000000001</v>
      </c>
      <c r="O437" s="426">
        <v>173.3096535615</v>
      </c>
      <c r="P437" s="426">
        <v>174.83945712299999</v>
      </c>
      <c r="Q437" s="426">
        <v>176.36926068449901</v>
      </c>
      <c r="R437" s="426">
        <v>177.899064245999</v>
      </c>
      <c r="S437" s="426">
        <v>179.42886780749899</v>
      </c>
      <c r="T437" s="426">
        <v>180.95867136899901</v>
      </c>
    </row>
    <row r="438" spans="1:20" s="426" customFormat="1">
      <c r="A438" s="426" t="str">
        <f t="shared" si="40"/>
        <v>KU</v>
      </c>
      <c r="B438" s="426" t="str">
        <f t="shared" si="36"/>
        <v>KY</v>
      </c>
      <c r="C438" s="426" t="str">
        <f t="shared" si="37"/>
        <v>E</v>
      </c>
      <c r="D438" s="426" t="s">
        <v>2659</v>
      </c>
      <c r="E438" s="426" t="str">
        <f t="shared" si="39"/>
        <v>367</v>
      </c>
      <c r="F438" s="741" t="s">
        <v>1789</v>
      </c>
      <c r="G438" s="425" t="str">
        <f t="shared" si="38"/>
        <v/>
      </c>
      <c r="H438" s="426">
        <v>54266.54651</v>
      </c>
      <c r="I438" s="426">
        <v>54521.407520000001</v>
      </c>
      <c r="J438" s="426">
        <v>54791.760419999999</v>
      </c>
      <c r="K438" s="426">
        <v>55030.01468</v>
      </c>
      <c r="L438" s="426">
        <v>55266.709580000002</v>
      </c>
      <c r="M438" s="426">
        <v>55504.867509999996</v>
      </c>
      <c r="N438" s="426">
        <v>55622.677450000003</v>
      </c>
      <c r="O438" s="426">
        <v>55490.863163909999</v>
      </c>
      <c r="P438" s="426">
        <v>55745.014121649998</v>
      </c>
      <c r="Q438" s="426">
        <v>56007.926883979999</v>
      </c>
      <c r="R438" s="426">
        <v>56269.804516509997</v>
      </c>
      <c r="S438" s="426">
        <v>56541.724238700001</v>
      </c>
      <c r="T438" s="426">
        <v>56814.932263299997</v>
      </c>
    </row>
    <row r="439" spans="1:20" s="426" customFormat="1">
      <c r="A439" s="426" t="str">
        <f t="shared" si="40"/>
        <v>KU</v>
      </c>
      <c r="B439" s="426" t="str">
        <f t="shared" si="36"/>
        <v>VA</v>
      </c>
      <c r="C439" s="426" t="str">
        <f t="shared" si="37"/>
        <v>E</v>
      </c>
      <c r="D439" s="426" t="s">
        <v>2659</v>
      </c>
      <c r="E439" s="426" t="str">
        <f t="shared" si="39"/>
        <v>367</v>
      </c>
      <c r="F439" s="741" t="s">
        <v>1790</v>
      </c>
      <c r="G439" s="425" t="str">
        <f t="shared" si="38"/>
        <v/>
      </c>
      <c r="H439" s="426">
        <v>847.91144999999995</v>
      </c>
      <c r="I439" s="426">
        <v>853.86631</v>
      </c>
      <c r="J439" s="426">
        <v>859.83537999999999</v>
      </c>
      <c r="K439" s="426">
        <v>865.21267999999998</v>
      </c>
      <c r="L439" s="426">
        <v>868.05900999999994</v>
      </c>
      <c r="M439" s="426">
        <v>874.09672</v>
      </c>
      <c r="N439" s="426">
        <v>880.144939999999</v>
      </c>
      <c r="O439" s="426">
        <v>862.80951805079906</v>
      </c>
      <c r="P439" s="426">
        <v>868.94169126679901</v>
      </c>
      <c r="Q439" s="426">
        <v>872.87392886629902</v>
      </c>
      <c r="R439" s="426">
        <v>879.18175049709896</v>
      </c>
      <c r="S439" s="426">
        <v>885.56192655909899</v>
      </c>
      <c r="T439" s="426">
        <v>889.668784492599</v>
      </c>
    </row>
    <row r="440" spans="1:20" s="426" customFormat="1">
      <c r="A440" s="426" t="str">
        <f t="shared" si="40"/>
        <v>KU</v>
      </c>
      <c r="B440" s="426" t="str">
        <f t="shared" si="36"/>
        <v>KY</v>
      </c>
      <c r="C440" s="426" t="str">
        <f t="shared" si="37"/>
        <v>E</v>
      </c>
      <c r="D440" s="426" t="s">
        <v>2659</v>
      </c>
      <c r="E440" s="426" t="str">
        <f t="shared" si="39"/>
        <v>368</v>
      </c>
      <c r="F440" s="741" t="s">
        <v>1791</v>
      </c>
      <c r="G440" s="425" t="str">
        <f t="shared" si="38"/>
        <v/>
      </c>
      <c r="H440" s="426">
        <v>146512.79939999999</v>
      </c>
      <c r="I440" s="426">
        <v>146983.75539999999</v>
      </c>
      <c r="J440" s="426">
        <v>147384.1012</v>
      </c>
      <c r="K440" s="426">
        <v>147857.717</v>
      </c>
      <c r="L440" s="426">
        <v>148332.03779999999</v>
      </c>
      <c r="M440" s="426">
        <v>148807.83859999999</v>
      </c>
      <c r="N440" s="426">
        <v>149285.5624</v>
      </c>
      <c r="O440" s="426">
        <v>149466.43055297001</v>
      </c>
      <c r="P440" s="426">
        <v>149627.00326428999</v>
      </c>
      <c r="Q440" s="426">
        <v>149767.66264848001</v>
      </c>
      <c r="R440" s="426">
        <v>149897.87823644001</v>
      </c>
      <c r="S440" s="426">
        <v>150342.18526637001</v>
      </c>
      <c r="T440" s="426">
        <v>150662.15179859</v>
      </c>
    </row>
    <row r="441" spans="1:20" s="426" customFormat="1">
      <c r="A441" s="426" t="str">
        <f t="shared" si="40"/>
        <v>KU</v>
      </c>
      <c r="B441" s="426" t="str">
        <f t="shared" si="36"/>
        <v>TN</v>
      </c>
      <c r="C441" s="426" t="str">
        <f t="shared" si="37"/>
        <v>E</v>
      </c>
      <c r="D441" s="426" t="s">
        <v>2659</v>
      </c>
      <c r="E441" s="426" t="str">
        <f t="shared" si="39"/>
        <v>368</v>
      </c>
      <c r="F441" s="741" t="s">
        <v>1792</v>
      </c>
      <c r="G441" s="425" t="str">
        <f t="shared" si="38"/>
        <v/>
      </c>
      <c r="H441" s="426">
        <v>6.3000000000000003E-4</v>
      </c>
      <c r="I441" s="426">
        <v>6.3000000000000003E-4</v>
      </c>
      <c r="J441" s="426">
        <v>6.3000000000000003E-4</v>
      </c>
      <c r="K441" s="426">
        <v>6.3000000000000003E-4</v>
      </c>
      <c r="L441" s="426">
        <v>6.3000000000000003E-4</v>
      </c>
      <c r="M441" s="426">
        <v>6.3000000000000003E-4</v>
      </c>
      <c r="N441" s="426">
        <v>6.3000000000000003E-4</v>
      </c>
      <c r="O441" s="426">
        <v>6.3000000000000003E-4</v>
      </c>
      <c r="P441" s="426">
        <v>6.3000000000000003E-4</v>
      </c>
      <c r="Q441" s="426">
        <v>6.3000000000000003E-4</v>
      </c>
      <c r="R441" s="426">
        <v>6.3000000000000003E-4</v>
      </c>
      <c r="S441" s="426">
        <v>6.3000000000000003E-4</v>
      </c>
      <c r="T441" s="426">
        <v>6.3000000000000003E-4</v>
      </c>
    </row>
    <row r="442" spans="1:20" s="426" customFormat="1">
      <c r="A442" s="426" t="str">
        <f t="shared" si="40"/>
        <v>KU</v>
      </c>
      <c r="B442" s="426" t="str">
        <f t="shared" si="36"/>
        <v>VA</v>
      </c>
      <c r="C442" s="426" t="str">
        <f t="shared" si="37"/>
        <v>E</v>
      </c>
      <c r="D442" s="426" t="s">
        <v>2659</v>
      </c>
      <c r="E442" s="426" t="str">
        <f t="shared" si="39"/>
        <v>368</v>
      </c>
      <c r="F442" s="741" t="s">
        <v>1793</v>
      </c>
      <c r="G442" s="425" t="str">
        <f t="shared" si="38"/>
        <v/>
      </c>
      <c r="H442" s="426">
        <v>5632.49622</v>
      </c>
      <c r="I442" s="426">
        <v>5648.9309499999999</v>
      </c>
      <c r="J442" s="426">
        <v>5665.3677500000003</v>
      </c>
      <c r="K442" s="426">
        <v>5681.8070900000002</v>
      </c>
      <c r="L442" s="426">
        <v>5698.2468899999903</v>
      </c>
      <c r="M442" s="426">
        <v>5714.6866900000005</v>
      </c>
      <c r="N442" s="426">
        <v>5731.1265999999996</v>
      </c>
      <c r="O442" s="426">
        <v>5735.3476572067902</v>
      </c>
      <c r="P442" s="426">
        <v>5749.5213752731997</v>
      </c>
      <c r="Q442" s="426">
        <v>5765.9804308534003</v>
      </c>
      <c r="R442" s="426">
        <v>5782.4373846789003</v>
      </c>
      <c r="S442" s="426">
        <v>5798.8922367396999</v>
      </c>
      <c r="T442" s="426">
        <v>5815.3470888004904</v>
      </c>
    </row>
    <row r="443" spans="1:20" s="426" customFormat="1">
      <c r="A443" s="426" t="str">
        <f t="shared" si="40"/>
        <v>KU</v>
      </c>
      <c r="B443" s="426" t="str">
        <f t="shared" si="36"/>
        <v>KY</v>
      </c>
      <c r="C443" s="426" t="str">
        <f t="shared" si="37"/>
        <v>E</v>
      </c>
      <c r="D443" s="426" t="s">
        <v>2659</v>
      </c>
      <c r="E443" s="426" t="str">
        <f t="shared" si="39"/>
        <v>369</v>
      </c>
      <c r="F443" s="741" t="s">
        <v>1794</v>
      </c>
      <c r="G443" s="425" t="str">
        <f t="shared" si="38"/>
        <v/>
      </c>
      <c r="H443" s="426">
        <v>62457.115140000002</v>
      </c>
      <c r="I443" s="426">
        <v>62626.746919999998</v>
      </c>
      <c r="J443" s="426">
        <v>62796.381130000002</v>
      </c>
      <c r="K443" s="426">
        <v>62966.019509999998</v>
      </c>
      <c r="L443" s="426">
        <v>63135.659619999999</v>
      </c>
      <c r="M443" s="426">
        <v>63305.301469999999</v>
      </c>
      <c r="N443" s="426">
        <v>63474.950109999998</v>
      </c>
      <c r="O443" s="426">
        <v>63644.603795069997</v>
      </c>
      <c r="P443" s="426">
        <v>63814.257480139997</v>
      </c>
      <c r="Q443" s="426">
        <v>63983.911165209996</v>
      </c>
      <c r="R443" s="426">
        <v>64153.564850279901</v>
      </c>
      <c r="S443" s="426">
        <v>64323.218535349901</v>
      </c>
      <c r="T443" s="426">
        <v>64492.8722204199</v>
      </c>
    </row>
    <row r="444" spans="1:20" s="426" customFormat="1">
      <c r="A444" s="426" t="str">
        <f t="shared" si="40"/>
        <v>KU</v>
      </c>
      <c r="B444" s="426" t="str">
        <f t="shared" si="36"/>
        <v>TN</v>
      </c>
      <c r="C444" s="426" t="str">
        <f t="shared" si="37"/>
        <v>E</v>
      </c>
      <c r="D444" s="426" t="s">
        <v>2659</v>
      </c>
      <c r="E444" s="426" t="str">
        <f t="shared" si="39"/>
        <v>369</v>
      </c>
      <c r="F444" s="741" t="s">
        <v>1795</v>
      </c>
      <c r="G444" s="425" t="str">
        <f t="shared" si="38"/>
        <v/>
      </c>
      <c r="H444" s="426">
        <v>0.65083000000000002</v>
      </c>
      <c r="I444" s="426">
        <v>0.65083000000000002</v>
      </c>
      <c r="J444" s="426">
        <v>0.65083000000000002</v>
      </c>
      <c r="K444" s="426">
        <v>0.65083000000000002</v>
      </c>
      <c r="L444" s="426">
        <v>0.65083000000000002</v>
      </c>
      <c r="M444" s="426">
        <v>0.65083000000000002</v>
      </c>
      <c r="N444" s="426">
        <v>0.65083000000000002</v>
      </c>
      <c r="O444" s="426">
        <v>0.65083000000000002</v>
      </c>
      <c r="P444" s="426">
        <v>0.65083000000000002</v>
      </c>
      <c r="Q444" s="426">
        <v>0.65083000000000002</v>
      </c>
      <c r="R444" s="426">
        <v>0.65083000000000002</v>
      </c>
      <c r="S444" s="426">
        <v>0.65083000000000002</v>
      </c>
      <c r="T444" s="426">
        <v>0.65083000000000002</v>
      </c>
    </row>
    <row r="445" spans="1:20" s="426" customFormat="1">
      <c r="A445" s="426" t="str">
        <f t="shared" si="40"/>
        <v>KU</v>
      </c>
      <c r="B445" s="426" t="str">
        <f t="shared" si="36"/>
        <v>VA</v>
      </c>
      <c r="C445" s="426" t="str">
        <f t="shared" si="37"/>
        <v>E</v>
      </c>
      <c r="D445" s="426" t="s">
        <v>2659</v>
      </c>
      <c r="E445" s="426" t="str">
        <f t="shared" si="39"/>
        <v>369</v>
      </c>
      <c r="F445" s="741" t="s">
        <v>1796</v>
      </c>
      <c r="G445" s="425" t="str">
        <f t="shared" si="38"/>
        <v/>
      </c>
      <c r="H445" s="426">
        <v>4427.6121700000003</v>
      </c>
      <c r="I445" s="426">
        <v>4436.1784600000001</v>
      </c>
      <c r="J445" s="426">
        <v>4444.7447499999998</v>
      </c>
      <c r="K445" s="426">
        <v>4453.3110399999996</v>
      </c>
      <c r="L445" s="426">
        <v>4461.8773300000003</v>
      </c>
      <c r="M445" s="426">
        <v>4470.44362</v>
      </c>
      <c r="N445" s="426">
        <v>4479.0099099999998</v>
      </c>
      <c r="O445" s="426">
        <v>4487.5762027909996</v>
      </c>
      <c r="P445" s="426">
        <v>4496.1424955820003</v>
      </c>
      <c r="Q445" s="426">
        <v>4504.7087883730001</v>
      </c>
      <c r="R445" s="426">
        <v>4513.2750811639999</v>
      </c>
      <c r="S445" s="426">
        <v>4521.8413739549997</v>
      </c>
      <c r="T445" s="426">
        <v>4530.4076667459904</v>
      </c>
    </row>
    <row r="446" spans="1:20" s="426" customFormat="1">
      <c r="A446" s="426" t="str">
        <f t="shared" si="40"/>
        <v>KU</v>
      </c>
      <c r="B446" s="426" t="str">
        <f t="shared" ref="B446:B512" si="41">IF(MID($F446,12,2)="- ","KY",IF(MID($F446,12,2)="SY","KY",MID($F446,12,2)))</f>
        <v>KY</v>
      </c>
      <c r="C446" s="426" t="str">
        <f t="shared" si="37"/>
        <v>E</v>
      </c>
      <c r="D446" s="426" t="s">
        <v>2659</v>
      </c>
      <c r="E446" s="426" t="str">
        <f t="shared" si="39"/>
        <v>370</v>
      </c>
      <c r="F446" s="741" t="s">
        <v>1797</v>
      </c>
      <c r="G446" s="425" t="str">
        <f t="shared" si="38"/>
        <v/>
      </c>
      <c r="H446" s="426">
        <v>36915.28327</v>
      </c>
      <c r="I446" s="426">
        <v>37132.607960000001</v>
      </c>
      <c r="J446" s="426">
        <v>37350.090119999899</v>
      </c>
      <c r="K446" s="426">
        <v>37567.843679999998</v>
      </c>
      <c r="L446" s="426">
        <v>37785.711159999999</v>
      </c>
      <c r="M446" s="426">
        <v>38004.0651</v>
      </c>
      <c r="N446" s="426">
        <v>38223.040110000002</v>
      </c>
      <c r="O446" s="426">
        <v>38239.28954836</v>
      </c>
      <c r="P446" s="426">
        <v>38273.668694220003</v>
      </c>
      <c r="Q446" s="426">
        <v>38295.287669580001</v>
      </c>
      <c r="R446" s="426">
        <v>38291.203831339997</v>
      </c>
      <c r="S446" s="426">
        <v>38511.703354199999</v>
      </c>
      <c r="T446" s="426">
        <v>38732.596442560003</v>
      </c>
    </row>
    <row r="447" spans="1:20" s="426" customFormat="1">
      <c r="A447" s="426" t="str">
        <f t="shared" si="40"/>
        <v>KU</v>
      </c>
      <c r="B447" s="426" t="str">
        <f t="shared" si="41"/>
        <v>KY</v>
      </c>
      <c r="C447" s="426" t="str">
        <f t="shared" si="37"/>
        <v>E</v>
      </c>
      <c r="D447" s="426" t="s">
        <v>2659</v>
      </c>
      <c r="E447" s="426" t="str">
        <f t="shared" si="39"/>
        <v>370</v>
      </c>
      <c r="F447" s="741" t="s">
        <v>2719</v>
      </c>
      <c r="G447" s="425" t="str">
        <f t="shared" si="38"/>
        <v/>
      </c>
      <c r="H447" s="426">
        <v>6.4479999999999996E-2</v>
      </c>
      <c r="I447" s="426">
        <v>6.8879999999999997E-2</v>
      </c>
      <c r="J447" s="426">
        <v>7.3279999999999998E-2</v>
      </c>
      <c r="K447" s="426">
        <v>7.7679999999999999E-2</v>
      </c>
      <c r="L447" s="426">
        <v>8.208E-2</v>
      </c>
      <c r="M447" s="426">
        <v>8.6480000000000001E-2</v>
      </c>
      <c r="N447" s="426">
        <v>9.0880000000000002E-2</v>
      </c>
      <c r="O447" s="426">
        <v>9.5277757083E-2</v>
      </c>
      <c r="P447" s="426">
        <v>9.9675514165999998E-2</v>
      </c>
      <c r="Q447" s="426">
        <v>0.104073271249</v>
      </c>
      <c r="R447" s="426">
        <v>0.10847102833199999</v>
      </c>
      <c r="S447" s="426">
        <v>0.11286878541499901</v>
      </c>
      <c r="T447" s="426">
        <v>0.117266542497999</v>
      </c>
    </row>
    <row r="448" spans="1:20" s="426" customFormat="1">
      <c r="A448" s="426" t="str">
        <f t="shared" si="40"/>
        <v>KU</v>
      </c>
      <c r="B448" s="426" t="str">
        <f t="shared" si="41"/>
        <v>KY</v>
      </c>
      <c r="C448" s="426" t="str">
        <f t="shared" si="37"/>
        <v>E</v>
      </c>
      <c r="D448" s="426" t="s">
        <v>2659</v>
      </c>
      <c r="E448" s="426" t="str">
        <f t="shared" si="39"/>
        <v>370</v>
      </c>
      <c r="F448" s="741" t="s">
        <v>2399</v>
      </c>
      <c r="G448" s="425" t="str">
        <f t="shared" si="38"/>
        <v>DSM</v>
      </c>
      <c r="H448" s="426">
        <v>366.46037000000001</v>
      </c>
      <c r="I448" s="426">
        <v>383.13254000000001</v>
      </c>
      <c r="J448" s="426">
        <v>399.81328000000002</v>
      </c>
      <c r="K448" s="426">
        <v>416.50369999999998</v>
      </c>
      <c r="L448" s="426">
        <v>433.2097</v>
      </c>
      <c r="M448" s="426">
        <v>449.92995999999999</v>
      </c>
      <c r="N448" s="426">
        <v>466.86304000000001</v>
      </c>
      <c r="O448" s="426">
        <v>484.00676721999997</v>
      </c>
      <c r="P448" s="426">
        <v>501.15049443999999</v>
      </c>
      <c r="Q448" s="426">
        <v>518.29422165999995</v>
      </c>
      <c r="R448" s="426">
        <v>535.43794888000002</v>
      </c>
      <c r="S448" s="426">
        <v>552.58167609999998</v>
      </c>
      <c r="T448" s="426">
        <v>569.72540331999903</v>
      </c>
    </row>
    <row r="449" spans="1:20" s="426" customFormat="1">
      <c r="A449" s="426" t="str">
        <f t="shared" si="40"/>
        <v>KU</v>
      </c>
      <c r="B449" s="426" t="str">
        <f t="shared" si="41"/>
        <v>TN</v>
      </c>
      <c r="C449" s="426" t="str">
        <f t="shared" si="37"/>
        <v>E</v>
      </c>
      <c r="D449" s="426" t="s">
        <v>2659</v>
      </c>
      <c r="E449" s="426" t="str">
        <f t="shared" si="39"/>
        <v>370</v>
      </c>
      <c r="F449" s="741" t="s">
        <v>1798</v>
      </c>
      <c r="G449" s="425" t="str">
        <f t="shared" si="38"/>
        <v/>
      </c>
      <c r="H449" s="426">
        <v>-7.63103</v>
      </c>
      <c r="I449" s="426">
        <v>-7.63103</v>
      </c>
      <c r="J449" s="426">
        <v>-7.63103</v>
      </c>
      <c r="K449" s="426">
        <v>-7.63103</v>
      </c>
      <c r="L449" s="426">
        <v>-7.63103</v>
      </c>
      <c r="M449" s="426">
        <v>-7.63103</v>
      </c>
      <c r="N449" s="426">
        <v>-7.63103</v>
      </c>
      <c r="O449" s="426">
        <v>-7.63103</v>
      </c>
      <c r="P449" s="426">
        <v>-7.63103</v>
      </c>
      <c r="Q449" s="426">
        <v>-7.63103</v>
      </c>
      <c r="R449" s="426">
        <v>-7.63103</v>
      </c>
      <c r="S449" s="426">
        <v>-7.63103</v>
      </c>
      <c r="T449" s="426">
        <v>-7.63103</v>
      </c>
    </row>
    <row r="450" spans="1:20" s="426" customFormat="1">
      <c r="A450" s="426" t="str">
        <f t="shared" si="40"/>
        <v>KU</v>
      </c>
      <c r="B450" s="426" t="str">
        <f t="shared" si="41"/>
        <v>VA</v>
      </c>
      <c r="C450" s="426" t="str">
        <f t="shared" ref="C450:C516" si="42">IF(ISTEXT(MID($F450,SEARCH("FUTURE USE",$F450),3)),"F",IF(MID($F450,7,1)="1","E",IF(MID($F450,7,1)="2","G",IF(MID($F450,7,1)="3","C",""))))</f>
        <v>E</v>
      </c>
      <c r="D450" s="426" t="s">
        <v>2659</v>
      </c>
      <c r="E450" s="426" t="str">
        <f t="shared" si="39"/>
        <v>370</v>
      </c>
      <c r="F450" s="741" t="s">
        <v>1799</v>
      </c>
      <c r="G450" s="425" t="str">
        <f t="shared" si="38"/>
        <v/>
      </c>
      <c r="H450" s="426">
        <v>2807.2417599999999</v>
      </c>
      <c r="I450" s="426">
        <v>2819.12925</v>
      </c>
      <c r="J450" s="426">
        <v>2831.09548</v>
      </c>
      <c r="K450" s="426">
        <v>2843.1974099999902</v>
      </c>
      <c r="L450" s="426">
        <v>2855.3562999999999</v>
      </c>
      <c r="M450" s="426">
        <v>2867.7584200000001</v>
      </c>
      <c r="N450" s="426">
        <v>2880.47106999999</v>
      </c>
      <c r="O450" s="426">
        <v>2893.2510246909901</v>
      </c>
      <c r="P450" s="426">
        <v>2906.0309793819902</v>
      </c>
      <c r="Q450" s="426">
        <v>2918.8109340729902</v>
      </c>
      <c r="R450" s="426">
        <v>2931.5908887639998</v>
      </c>
      <c r="S450" s="426">
        <v>2944.3708434549999</v>
      </c>
      <c r="T450" s="426">
        <v>2957.1507981459999</v>
      </c>
    </row>
    <row r="451" spans="1:20" s="426" customFormat="1">
      <c r="A451" s="426" t="str">
        <f t="shared" si="40"/>
        <v>KU</v>
      </c>
      <c r="B451" s="426" t="str">
        <f t="shared" si="41"/>
        <v>KY</v>
      </c>
      <c r="C451" s="426" t="str">
        <f t="shared" si="42"/>
        <v>E</v>
      </c>
      <c r="D451" s="426" t="s">
        <v>2659</v>
      </c>
      <c r="E451" s="426" t="str">
        <f t="shared" si="39"/>
        <v>371</v>
      </c>
      <c r="F451" s="741" t="s">
        <v>1800</v>
      </c>
      <c r="G451" s="425" t="str">
        <f t="shared" si="38"/>
        <v/>
      </c>
      <c r="H451" s="426">
        <v>7.6079999999999995E-2</v>
      </c>
      <c r="I451" s="426">
        <v>7.6079999999999995E-2</v>
      </c>
      <c r="J451" s="426">
        <v>7.6079999999999995E-2</v>
      </c>
      <c r="K451" s="426">
        <v>7.6079999999999995E-2</v>
      </c>
      <c r="L451" s="426">
        <v>8.0000000000000007E-5</v>
      </c>
      <c r="M451" s="426">
        <v>8.0000000000000007E-5</v>
      </c>
      <c r="N451" s="426">
        <v>8.0000000000000007E-5</v>
      </c>
      <c r="O451" s="426">
        <v>8.0000000000000007E-5</v>
      </c>
      <c r="P451" s="426">
        <v>8.0000000000000007E-5</v>
      </c>
      <c r="Q451" s="426">
        <v>8.0000000000000007E-5</v>
      </c>
      <c r="R451" s="426">
        <v>8.0000000000000007E-5</v>
      </c>
      <c r="S451" s="426">
        <v>8.0000000000000007E-5</v>
      </c>
      <c r="T451" s="426">
        <v>8.0000000000000007E-5</v>
      </c>
    </row>
    <row r="452" spans="1:20" s="426" customFormat="1">
      <c r="A452" s="426" t="str">
        <f t="shared" si="40"/>
        <v>KU</v>
      </c>
      <c r="B452" s="426" t="str">
        <f t="shared" si="41"/>
        <v>KY</v>
      </c>
      <c r="C452" s="426" t="str">
        <f t="shared" si="42"/>
        <v>E</v>
      </c>
      <c r="D452" s="426" t="s">
        <v>2659</v>
      </c>
      <c r="E452" s="426" t="str">
        <f t="shared" si="39"/>
        <v>371</v>
      </c>
      <c r="F452" s="741" t="s">
        <v>2531</v>
      </c>
      <c r="G452" s="425" t="str">
        <f t="shared" si="38"/>
        <v/>
      </c>
      <c r="H452" s="426">
        <v>9.9521200000000007</v>
      </c>
      <c r="I452" s="426">
        <v>11.279070000000001</v>
      </c>
      <c r="J452" s="426">
        <v>12.606019999999999</v>
      </c>
      <c r="K452" s="426">
        <v>13.932969999999999</v>
      </c>
      <c r="L452" s="426">
        <v>15.33592</v>
      </c>
      <c r="M452" s="426">
        <v>16.662869999999899</v>
      </c>
      <c r="N452" s="426">
        <v>17.989820000000002</v>
      </c>
      <c r="O452" s="426">
        <v>19.316768416999999</v>
      </c>
      <c r="P452" s="426">
        <v>20.643716833999999</v>
      </c>
      <c r="Q452" s="426">
        <v>21.970665251</v>
      </c>
      <c r="R452" s="426">
        <v>23.297613668</v>
      </c>
      <c r="S452" s="426">
        <v>24.624562085000001</v>
      </c>
      <c r="T452" s="426">
        <v>25.951510502000001</v>
      </c>
    </row>
    <row r="453" spans="1:20" s="426" customFormat="1">
      <c r="A453" s="426" t="str">
        <f t="shared" si="40"/>
        <v>KU</v>
      </c>
      <c r="B453" s="426" t="str">
        <f t="shared" si="41"/>
        <v>KY</v>
      </c>
      <c r="C453" s="426" t="str">
        <f t="shared" si="42"/>
        <v>E</v>
      </c>
      <c r="D453" s="426" t="s">
        <v>2659</v>
      </c>
      <c r="E453" s="426" t="str">
        <f t="shared" si="39"/>
        <v>373</v>
      </c>
      <c r="F453" s="741" t="s">
        <v>1801</v>
      </c>
      <c r="G453" s="425" t="str">
        <f t="shared" ref="G453:G519" si="43">IF(ISTEXT(MID($F453,SEARCH("FUTURE USE",$F453),3)),"FUTURE USE",IF(ISTEXT(MID($F453,SEARCH("ECR",$F453),3)),"ECR",IF(ISTEXT(MID($F453,SEARCH("ARO",$F453),3)),"ARO",IF(ISTEXT(MID($F453,SEARCH("DSM",$F453),3)),"DSM",""))))</f>
        <v/>
      </c>
      <c r="H453" s="426">
        <v>45675.269359999998</v>
      </c>
      <c r="I453" s="426">
        <v>45353.289629999999</v>
      </c>
      <c r="J453" s="426">
        <v>45536.92942</v>
      </c>
      <c r="K453" s="426">
        <v>45972.397199999999</v>
      </c>
      <c r="L453" s="426">
        <v>46341.449990000001</v>
      </c>
      <c r="M453" s="426">
        <v>46781.376089999998</v>
      </c>
      <c r="N453" s="426">
        <v>47110.813170000001</v>
      </c>
      <c r="O453" s="426">
        <v>47265.156789000001</v>
      </c>
      <c r="P453" s="426">
        <v>47492.852941639998</v>
      </c>
      <c r="Q453" s="426">
        <v>47725.090866909901</v>
      </c>
      <c r="R453" s="426">
        <v>47931.041095479901</v>
      </c>
      <c r="S453" s="426">
        <v>48333.813637559899</v>
      </c>
      <c r="T453" s="426">
        <v>48670.393104379902</v>
      </c>
    </row>
    <row r="454" spans="1:20" s="426" customFormat="1">
      <c r="A454" s="426" t="str">
        <f t="shared" si="40"/>
        <v>KU</v>
      </c>
      <c r="B454" s="426" t="str">
        <f t="shared" si="41"/>
        <v>VA</v>
      </c>
      <c r="C454" s="426" t="str">
        <f t="shared" si="42"/>
        <v>E</v>
      </c>
      <c r="D454" s="426" t="s">
        <v>2659</v>
      </c>
      <c r="E454" s="426" t="str">
        <f t="shared" si="39"/>
        <v>373</v>
      </c>
      <c r="F454" s="741" t="s">
        <v>1802</v>
      </c>
      <c r="G454" s="425" t="str">
        <f t="shared" si="43"/>
        <v/>
      </c>
      <c r="H454" s="426">
        <v>2021.68806</v>
      </c>
      <c r="I454" s="426">
        <v>2034.78549</v>
      </c>
      <c r="J454" s="426">
        <v>2012.0933399999999</v>
      </c>
      <c r="K454" s="426">
        <v>2021.9401499999999</v>
      </c>
      <c r="L454" s="426">
        <v>2035.0289</v>
      </c>
      <c r="M454" s="426">
        <v>2048.1511500000001</v>
      </c>
      <c r="N454" s="426">
        <v>2061.3369499999999</v>
      </c>
      <c r="O454" s="426">
        <v>2059.01215802149</v>
      </c>
      <c r="P454" s="426">
        <v>2070.0263112856901</v>
      </c>
      <c r="Q454" s="426">
        <v>2083.3991572310902</v>
      </c>
      <c r="R454" s="426">
        <v>2094.5794029789899</v>
      </c>
      <c r="S454" s="426">
        <v>2105.7939822431899</v>
      </c>
      <c r="T454" s="426">
        <v>2114.74078894589</v>
      </c>
    </row>
    <row r="455" spans="1:20" s="426" customFormat="1">
      <c r="A455" s="426" t="str">
        <f t="shared" si="40"/>
        <v>KU</v>
      </c>
      <c r="B455" s="426" t="str">
        <f t="shared" si="41"/>
        <v>KY</v>
      </c>
      <c r="C455" s="426" t="str">
        <f t="shared" si="42"/>
        <v>E</v>
      </c>
      <c r="D455" s="426" t="s">
        <v>2659</v>
      </c>
      <c r="E455" s="426" t="str">
        <f t="shared" si="39"/>
        <v>374</v>
      </c>
      <c r="F455" s="741" t="s">
        <v>1803</v>
      </c>
      <c r="G455" s="425" t="str">
        <f t="shared" si="43"/>
        <v>ARO</v>
      </c>
      <c r="H455" s="426">
        <v>129.74966000000001</v>
      </c>
      <c r="I455" s="426">
        <v>130.41148999999999</v>
      </c>
      <c r="J455" s="426">
        <v>131.07332</v>
      </c>
      <c r="K455" s="426">
        <v>131.73514999999901</v>
      </c>
      <c r="L455" s="426">
        <v>132.39698000000001</v>
      </c>
      <c r="M455" s="426">
        <v>133.05880999999999</v>
      </c>
      <c r="N455" s="426">
        <v>133.72064</v>
      </c>
      <c r="O455" s="426">
        <v>134.37540832362899</v>
      </c>
      <c r="P455" s="426">
        <v>135.030176647259</v>
      </c>
      <c r="Q455" s="426">
        <v>135.68494497088901</v>
      </c>
      <c r="R455" s="426">
        <v>136.33971329451799</v>
      </c>
      <c r="S455" s="426">
        <v>136.994481618148</v>
      </c>
      <c r="T455" s="426">
        <v>137.64924994177801</v>
      </c>
    </row>
    <row r="456" spans="1:20" s="426" customFormat="1">
      <c r="A456" s="426" t="str">
        <f t="shared" si="40"/>
        <v>KU</v>
      </c>
      <c r="B456" s="426" t="str">
        <f t="shared" si="41"/>
        <v>KY</v>
      </c>
      <c r="C456" s="426" t="str">
        <f t="shared" si="42"/>
        <v>E</v>
      </c>
      <c r="D456" s="426" t="s">
        <v>2659</v>
      </c>
      <c r="E456" s="426" t="str">
        <f t="shared" si="39"/>
        <v>390</v>
      </c>
      <c r="F456" s="741" t="s">
        <v>1806</v>
      </c>
      <c r="G456" s="425" t="str">
        <f t="shared" si="43"/>
        <v/>
      </c>
      <c r="H456" s="426">
        <v>774.80552</v>
      </c>
      <c r="I456" s="426">
        <v>780.88765999999998</v>
      </c>
      <c r="J456" s="426">
        <v>786.96979999999996</v>
      </c>
      <c r="K456" s="426">
        <v>793.05193999999995</v>
      </c>
      <c r="L456" s="426">
        <v>430.53050000000002</v>
      </c>
      <c r="M456" s="426">
        <v>436.17365999999998</v>
      </c>
      <c r="N456" s="426">
        <v>500.89181999999897</v>
      </c>
      <c r="O456" s="426">
        <v>506.53497236157801</v>
      </c>
      <c r="P456" s="426">
        <v>512.178124723157</v>
      </c>
      <c r="Q456" s="426">
        <v>517.82127708473695</v>
      </c>
      <c r="R456" s="426">
        <v>523.46442944631599</v>
      </c>
      <c r="S456" s="426">
        <v>529.10758180789503</v>
      </c>
      <c r="T456" s="426">
        <v>534.75073416947396</v>
      </c>
    </row>
    <row r="457" spans="1:20" s="426" customFormat="1">
      <c r="A457" s="426" t="str">
        <f t="shared" si="40"/>
        <v>KU</v>
      </c>
      <c r="B457" s="426" t="str">
        <f t="shared" si="41"/>
        <v>KY</v>
      </c>
      <c r="C457" s="426" t="str">
        <f t="shared" si="42"/>
        <v>E</v>
      </c>
      <c r="D457" s="426" t="s">
        <v>2659</v>
      </c>
      <c r="E457" s="426" t="str">
        <f t="shared" si="39"/>
        <v>390</v>
      </c>
      <c r="F457" s="741" t="s">
        <v>1807</v>
      </c>
      <c r="G457" s="425" t="str">
        <f t="shared" si="43"/>
        <v/>
      </c>
      <c r="H457" s="426">
        <v>13561.81014</v>
      </c>
      <c r="I457" s="426">
        <v>13692.439200000001</v>
      </c>
      <c r="J457" s="426">
        <v>13830.225279999901</v>
      </c>
      <c r="K457" s="426">
        <v>13972.73749</v>
      </c>
      <c r="L457" s="426">
        <v>14116.8207699999</v>
      </c>
      <c r="M457" s="426">
        <v>14242.89273</v>
      </c>
      <c r="N457" s="426">
        <v>14295.80125</v>
      </c>
      <c r="O457" s="426">
        <v>14038.2561548905</v>
      </c>
      <c r="P457" s="426">
        <v>13986.098224665</v>
      </c>
      <c r="Q457" s="426">
        <v>14135.777943647499</v>
      </c>
      <c r="R457" s="426">
        <v>14270.80126855</v>
      </c>
      <c r="S457" s="426">
        <v>14450.8498264225</v>
      </c>
      <c r="T457" s="426">
        <v>14631.558565545</v>
      </c>
    </row>
    <row r="458" spans="1:20" s="426" customFormat="1">
      <c r="A458" s="426" t="str">
        <f t="shared" si="40"/>
        <v>KU</v>
      </c>
      <c r="B458" s="426" t="str">
        <f t="shared" si="41"/>
        <v>VA</v>
      </c>
      <c r="C458" s="426" t="str">
        <f t="shared" si="42"/>
        <v>E</v>
      </c>
      <c r="D458" s="426" t="s">
        <v>2659</v>
      </c>
      <c r="E458" s="426" t="str">
        <f t="shared" si="39"/>
        <v>390</v>
      </c>
      <c r="F458" s="741" t="s">
        <v>1808</v>
      </c>
      <c r="G458" s="425" t="str">
        <f t="shared" si="43"/>
        <v/>
      </c>
      <c r="H458" s="426">
        <v>448.88798000000003</v>
      </c>
      <c r="I458" s="426">
        <v>462.05176999999998</v>
      </c>
      <c r="J458" s="426">
        <v>475.21555999999998</v>
      </c>
      <c r="K458" s="426">
        <v>488.37934999999999</v>
      </c>
      <c r="L458" s="426">
        <v>488.52349999999899</v>
      </c>
      <c r="M458" s="426">
        <v>500.48867000000001</v>
      </c>
      <c r="N458" s="426">
        <v>512.51405999999997</v>
      </c>
      <c r="O458" s="426">
        <v>521.48254076499995</v>
      </c>
      <c r="P458" s="426">
        <v>533.844089252</v>
      </c>
      <c r="Q458" s="426">
        <v>546.20563773900005</v>
      </c>
      <c r="R458" s="426">
        <v>558.56718622599999</v>
      </c>
      <c r="S458" s="426">
        <v>570.92873471300004</v>
      </c>
      <c r="T458" s="426">
        <v>583.29028319999998</v>
      </c>
    </row>
    <row r="459" spans="1:20" s="426" customFormat="1">
      <c r="A459" s="426" t="str">
        <f t="shared" si="40"/>
        <v>KU</v>
      </c>
      <c r="B459" s="426" t="str">
        <f t="shared" si="41"/>
        <v>KY</v>
      </c>
      <c r="C459" s="426" t="str">
        <f t="shared" si="42"/>
        <v>E</v>
      </c>
      <c r="D459" s="426" t="s">
        <v>2659</v>
      </c>
      <c r="E459" s="426" t="str">
        <f t="shared" si="39"/>
        <v>391</v>
      </c>
      <c r="F459" s="741" t="s">
        <v>1809</v>
      </c>
      <c r="G459" s="425" t="str">
        <f t="shared" si="43"/>
        <v/>
      </c>
      <c r="H459" s="426">
        <v>1254.0408199999999</v>
      </c>
      <c r="I459" s="426">
        <v>1361.58034</v>
      </c>
      <c r="J459" s="426">
        <v>1469.9398799999999</v>
      </c>
      <c r="K459" s="426">
        <v>1578.6563699999999</v>
      </c>
      <c r="L459" s="426">
        <v>1663.92848</v>
      </c>
      <c r="M459" s="426">
        <v>1761.3156299999901</v>
      </c>
      <c r="N459" s="426">
        <v>893.90930000000003</v>
      </c>
      <c r="O459" s="426">
        <v>1008.9683959</v>
      </c>
      <c r="P459" s="426">
        <v>1046.2270477</v>
      </c>
      <c r="Q459" s="426">
        <v>1168.7670513</v>
      </c>
      <c r="R459" s="426">
        <v>1302.0209413</v>
      </c>
      <c r="S459" s="426">
        <v>1436.9111548999999</v>
      </c>
      <c r="T459" s="426">
        <v>1542.47612339999</v>
      </c>
    </row>
    <row r="460" spans="1:20" s="426" customFormat="1">
      <c r="A460" s="426" t="str">
        <f t="shared" si="40"/>
        <v>KU</v>
      </c>
      <c r="B460" s="426" t="str">
        <f t="shared" si="41"/>
        <v>KY</v>
      </c>
      <c r="C460" s="426" t="str">
        <f t="shared" si="42"/>
        <v>E</v>
      </c>
      <c r="D460" s="426" t="s">
        <v>2659</v>
      </c>
      <c r="E460" s="426" t="str">
        <f t="shared" si="39"/>
        <v>391</v>
      </c>
      <c r="F460" s="741" t="s">
        <v>1810</v>
      </c>
      <c r="G460" s="425" t="str">
        <f t="shared" si="43"/>
        <v/>
      </c>
      <c r="H460" s="426">
        <v>17534.626799999998</v>
      </c>
      <c r="I460" s="426">
        <v>17604.326949999999</v>
      </c>
      <c r="J460" s="426">
        <v>17882.25056</v>
      </c>
      <c r="K460" s="426">
        <v>18203.110509999999</v>
      </c>
      <c r="L460" s="426">
        <v>18517.96572</v>
      </c>
      <c r="M460" s="426">
        <v>18639.818240000001</v>
      </c>
      <c r="N460" s="426">
        <v>17859.558639999999</v>
      </c>
      <c r="O460" s="426">
        <v>16467.910638779998</v>
      </c>
      <c r="P460" s="426">
        <v>16369.9524633</v>
      </c>
      <c r="Q460" s="426">
        <v>16488.481056979999</v>
      </c>
      <c r="R460" s="426">
        <v>12344.808306360001</v>
      </c>
      <c r="S460" s="426">
        <v>12553.919201889999</v>
      </c>
      <c r="T460" s="426">
        <v>12853.432966799999</v>
      </c>
    </row>
    <row r="461" spans="1:20" s="426" customFormat="1">
      <c r="A461" s="426" t="str">
        <f t="shared" si="40"/>
        <v>KU</v>
      </c>
      <c r="B461" s="426" t="str">
        <f t="shared" si="41"/>
        <v>VA</v>
      </c>
      <c r="C461" s="426" t="str">
        <f t="shared" si="42"/>
        <v>E</v>
      </c>
      <c r="D461" s="426" t="s">
        <v>2659</v>
      </c>
      <c r="E461" s="426" t="str">
        <f t="shared" si="39"/>
        <v>391</v>
      </c>
      <c r="F461" s="741" t="s">
        <v>1811</v>
      </c>
      <c r="G461" s="425" t="str">
        <f t="shared" si="43"/>
        <v/>
      </c>
      <c r="H461" s="426">
        <v>-0.240399999999999</v>
      </c>
      <c r="I461" s="426">
        <v>-0.23649999999999999</v>
      </c>
      <c r="J461" s="426">
        <v>-0.232599999999999</v>
      </c>
      <c r="K461" s="426">
        <v>-0.21598999999999999</v>
      </c>
      <c r="L461" s="426">
        <v>0.37442999999999999</v>
      </c>
      <c r="M461" s="426">
        <v>1.5259399999999901</v>
      </c>
      <c r="N461" s="426">
        <v>2.6774499999999999</v>
      </c>
      <c r="O461" s="426">
        <v>3.8289595360000002</v>
      </c>
      <c r="P461" s="426">
        <v>4.980469072</v>
      </c>
      <c r="Q461" s="426">
        <v>6.1319786079999998</v>
      </c>
      <c r="R461" s="426">
        <v>7.2834881439999997</v>
      </c>
      <c r="S461" s="426">
        <v>8.4349976800000004</v>
      </c>
      <c r="T461" s="426">
        <v>9.5865072159999993</v>
      </c>
    </row>
    <row r="462" spans="1:20" s="426" customFormat="1">
      <c r="A462" s="426" t="str">
        <f t="shared" si="40"/>
        <v>KU</v>
      </c>
      <c r="B462" s="426" t="str">
        <f t="shared" si="41"/>
        <v>KY</v>
      </c>
      <c r="C462" s="426" t="str">
        <f t="shared" si="42"/>
        <v>E</v>
      </c>
      <c r="D462" s="426" t="s">
        <v>2659</v>
      </c>
      <c r="E462" s="426" t="str">
        <f t="shared" si="39"/>
        <v>392</v>
      </c>
      <c r="F462" s="741" t="s">
        <v>1813</v>
      </c>
      <c r="G462" s="425" t="str">
        <f t="shared" si="43"/>
        <v/>
      </c>
      <c r="H462" s="426">
        <v>4344.1254399999998</v>
      </c>
      <c r="I462" s="426">
        <v>4363.3688099999999</v>
      </c>
      <c r="J462" s="426">
        <v>4382.6245600000002</v>
      </c>
      <c r="K462" s="426">
        <v>4401.9642299999996</v>
      </c>
      <c r="L462" s="426">
        <v>4402.8248100000001</v>
      </c>
      <c r="M462" s="426">
        <v>4423.4733999999999</v>
      </c>
      <c r="N462" s="426">
        <v>4389.8171000000002</v>
      </c>
      <c r="O462" s="426">
        <v>4409.5866109360004</v>
      </c>
      <c r="P462" s="426">
        <v>4430.6311218720002</v>
      </c>
      <c r="Q462" s="426">
        <v>4451.675632808</v>
      </c>
      <c r="R462" s="426">
        <v>4471.1914269939998</v>
      </c>
      <c r="S462" s="426">
        <v>4493.1785044299904</v>
      </c>
      <c r="T462" s="426">
        <v>4515.1655818659901</v>
      </c>
    </row>
    <row r="463" spans="1:20" s="426" customFormat="1">
      <c r="A463" s="426" t="str">
        <f t="shared" si="40"/>
        <v>KU</v>
      </c>
      <c r="B463" s="426" t="str">
        <f t="shared" si="41"/>
        <v>VA</v>
      </c>
      <c r="C463" s="426" t="str">
        <f t="shared" si="42"/>
        <v>E</v>
      </c>
      <c r="D463" s="426" t="s">
        <v>2659</v>
      </c>
      <c r="E463" s="426" t="str">
        <f t="shared" si="39"/>
        <v>392</v>
      </c>
      <c r="F463" s="741" t="s">
        <v>2401</v>
      </c>
      <c r="G463" s="425" t="str">
        <f t="shared" si="43"/>
        <v/>
      </c>
      <c r="H463" s="426">
        <v>1.8407</v>
      </c>
      <c r="I463" s="426">
        <v>1.9265099999999999</v>
      </c>
      <c r="J463" s="426">
        <v>2.0395500000000002</v>
      </c>
      <c r="K463" s="426">
        <v>2.15259</v>
      </c>
      <c r="L463" s="426">
        <v>2.23563</v>
      </c>
      <c r="M463" s="426">
        <v>2.31867</v>
      </c>
      <c r="N463" s="426">
        <v>2.40171</v>
      </c>
      <c r="O463" s="426">
        <v>2.4847538068300001</v>
      </c>
      <c r="P463" s="426">
        <v>2.5677976136599998</v>
      </c>
      <c r="Q463" s="426">
        <v>2.6508414204899999</v>
      </c>
      <c r="R463" s="426">
        <v>2.7338852273200001</v>
      </c>
      <c r="S463" s="426">
        <v>2.8169290341500002</v>
      </c>
      <c r="T463" s="426">
        <v>2.8999728409799999</v>
      </c>
    </row>
    <row r="464" spans="1:20" s="426" customFormat="1">
      <c r="A464" s="426" t="str">
        <f t="shared" si="40"/>
        <v>KU</v>
      </c>
      <c r="B464" s="426" t="str">
        <f t="shared" si="41"/>
        <v>KY</v>
      </c>
      <c r="C464" s="426" t="str">
        <f t="shared" si="42"/>
        <v>E</v>
      </c>
      <c r="D464" s="426" t="s">
        <v>2659</v>
      </c>
      <c r="E464" s="426" t="str">
        <f t="shared" si="39"/>
        <v>393</v>
      </c>
      <c r="F464" s="741" t="s">
        <v>1814</v>
      </c>
      <c r="G464" s="425" t="str">
        <f t="shared" si="43"/>
        <v/>
      </c>
      <c r="H464" s="426">
        <v>436.05831999999998</v>
      </c>
      <c r="I464" s="426">
        <v>439.24727999999999</v>
      </c>
      <c r="J464" s="426">
        <v>442.54865000000001</v>
      </c>
      <c r="K464" s="426">
        <v>445.85001999999997</v>
      </c>
      <c r="L464" s="426">
        <v>440.45765999999998</v>
      </c>
      <c r="M464" s="426">
        <v>442.78174999999999</v>
      </c>
      <c r="N464" s="426">
        <v>434.73811999999998</v>
      </c>
      <c r="O464" s="426">
        <v>438.38228557999997</v>
      </c>
      <c r="P464" s="426">
        <v>442.026451159999</v>
      </c>
      <c r="Q464" s="426">
        <v>445.853950072999</v>
      </c>
      <c r="R464" s="426">
        <v>423.08297110299998</v>
      </c>
      <c r="S464" s="426">
        <v>427.17878091599999</v>
      </c>
      <c r="T464" s="426">
        <v>384.10825735899999</v>
      </c>
    </row>
    <row r="465" spans="1:21" s="426" customFormat="1">
      <c r="A465" s="426" t="str">
        <f t="shared" si="40"/>
        <v>KU</v>
      </c>
      <c r="B465" s="426" t="str">
        <f t="shared" si="41"/>
        <v>VA</v>
      </c>
      <c r="C465" s="426" t="str">
        <f t="shared" si="42"/>
        <v>E</v>
      </c>
      <c r="D465" s="426" t="s">
        <v>2659</v>
      </c>
      <c r="E465" s="426" t="str">
        <f t="shared" si="39"/>
        <v>393</v>
      </c>
      <c r="F465" s="741" t="s">
        <v>1815</v>
      </c>
      <c r="G465" s="425" t="str">
        <f t="shared" si="43"/>
        <v/>
      </c>
      <c r="H465" s="426">
        <v>0.25418000000000002</v>
      </c>
      <c r="I465" s="426">
        <v>0.25739000000000001</v>
      </c>
      <c r="J465" s="426">
        <v>0.2606</v>
      </c>
      <c r="K465" s="426">
        <v>0.26380999999999999</v>
      </c>
      <c r="L465" s="426">
        <v>0.26701999999999998</v>
      </c>
      <c r="M465" s="426">
        <v>0.27023000000000003</v>
      </c>
      <c r="N465" s="426">
        <v>0.27344000000000002</v>
      </c>
      <c r="O465" s="426">
        <v>0.27665401666700001</v>
      </c>
      <c r="P465" s="426">
        <v>0.27986803333400001</v>
      </c>
      <c r="Q465" s="426">
        <v>0.28308205000100001</v>
      </c>
      <c r="R465" s="426">
        <v>-0.59186094166599901</v>
      </c>
      <c r="S465" s="426">
        <v>-0.59186094166599901</v>
      </c>
      <c r="T465" s="426">
        <v>-0.59186094166599901</v>
      </c>
    </row>
    <row r="466" spans="1:21" s="426" customFormat="1">
      <c r="A466" s="426" t="str">
        <f t="shared" si="40"/>
        <v>KU</v>
      </c>
      <c r="B466" s="426" t="str">
        <f t="shared" si="41"/>
        <v>KY</v>
      </c>
      <c r="C466" s="426" t="str">
        <f t="shared" si="42"/>
        <v>E</v>
      </c>
      <c r="D466" s="426" t="s">
        <v>2659</v>
      </c>
      <c r="E466" s="426" t="str">
        <f t="shared" si="39"/>
        <v>394</v>
      </c>
      <c r="F466" s="741" t="s">
        <v>1816</v>
      </c>
      <c r="G466" s="425" t="str">
        <f t="shared" si="43"/>
        <v/>
      </c>
      <c r="H466" s="426">
        <v>5013.6043600000003</v>
      </c>
      <c r="I466" s="426">
        <v>5062.58122</v>
      </c>
      <c r="J466" s="426">
        <v>5097.1170599999996</v>
      </c>
      <c r="K466" s="426">
        <v>5143.45813</v>
      </c>
      <c r="L466" s="426">
        <v>5188.6334500000003</v>
      </c>
      <c r="M466" s="426">
        <v>5222.9118099999996</v>
      </c>
      <c r="N466" s="426">
        <v>5245.6824500000002</v>
      </c>
      <c r="O466" s="426">
        <v>5291.5827348000003</v>
      </c>
      <c r="P466" s="426">
        <v>5345.1619108300001</v>
      </c>
      <c r="Q466" s="426">
        <v>5381.6253525100001</v>
      </c>
      <c r="R466" s="426">
        <v>5407.5886895900003</v>
      </c>
      <c r="S466" s="426">
        <v>5461.7716078499998</v>
      </c>
      <c r="T466" s="426">
        <v>5496.0514217399996</v>
      </c>
    </row>
    <row r="467" spans="1:21" s="426" customFormat="1">
      <c r="A467" s="426" t="str">
        <f t="shared" si="40"/>
        <v>KU</v>
      </c>
      <c r="B467" s="426" t="str">
        <f t="shared" si="41"/>
        <v>VA</v>
      </c>
      <c r="C467" s="426" t="str">
        <f t="shared" si="42"/>
        <v>E</v>
      </c>
      <c r="D467" s="426" t="s">
        <v>2659</v>
      </c>
      <c r="E467" s="426" t="str">
        <f t="shared" si="39"/>
        <v>394</v>
      </c>
      <c r="F467" s="741" t="s">
        <v>1817</v>
      </c>
      <c r="G467" s="425" t="str">
        <f t="shared" si="43"/>
        <v/>
      </c>
      <c r="H467" s="426">
        <v>226.99010999999999</v>
      </c>
      <c r="I467" s="426">
        <v>228.58060999999901</v>
      </c>
      <c r="J467" s="426">
        <v>230.17111</v>
      </c>
      <c r="K467" s="426">
        <v>225.65647000000001</v>
      </c>
      <c r="L467" s="426">
        <v>227.28881000000001</v>
      </c>
      <c r="M467" s="426">
        <v>228.98339999999999</v>
      </c>
      <c r="N467" s="426">
        <v>230.67798999999999</v>
      </c>
      <c r="O467" s="426">
        <v>232.51484496499901</v>
      </c>
      <c r="P467" s="426">
        <v>234.49396359299999</v>
      </c>
      <c r="Q467" s="426">
        <v>236.489701303</v>
      </c>
      <c r="R467" s="426">
        <v>232.42242813799999</v>
      </c>
      <c r="S467" s="426">
        <v>234.40320501599999</v>
      </c>
      <c r="T467" s="426">
        <v>236.38398189399999</v>
      </c>
    </row>
    <row r="468" spans="1:21" s="426" customFormat="1">
      <c r="A468" s="426" t="str">
        <f t="shared" si="40"/>
        <v>KU</v>
      </c>
      <c r="B468" s="426" t="str">
        <f t="shared" si="41"/>
        <v>KY</v>
      </c>
      <c r="C468" s="426" t="str">
        <f t="shared" si="42"/>
        <v>E</v>
      </c>
      <c r="D468" s="426" t="s">
        <v>2659</v>
      </c>
      <c r="E468" s="426" t="str">
        <f t="shared" si="39"/>
        <v>396</v>
      </c>
      <c r="F468" s="741" t="s">
        <v>1818</v>
      </c>
      <c r="G468" s="425" t="str">
        <f t="shared" si="43"/>
        <v/>
      </c>
      <c r="H468" s="426">
        <v>329.39679000000001</v>
      </c>
      <c r="I468" s="426">
        <v>334.31252999999998</v>
      </c>
      <c r="J468" s="426">
        <v>339.22827000000001</v>
      </c>
      <c r="K468" s="426">
        <v>344.14400999999998</v>
      </c>
      <c r="L468" s="426">
        <v>349.05975000000001</v>
      </c>
      <c r="M468" s="426">
        <v>353.97548999999998</v>
      </c>
      <c r="N468" s="426">
        <v>358.89123000000001</v>
      </c>
      <c r="O468" s="426">
        <v>363.806970643</v>
      </c>
      <c r="P468" s="426">
        <v>368.72271128599999</v>
      </c>
      <c r="Q468" s="426">
        <v>373.63845192899998</v>
      </c>
      <c r="R468" s="426">
        <v>378.55419257199998</v>
      </c>
      <c r="S468" s="426">
        <v>383.469933214999</v>
      </c>
      <c r="T468" s="426">
        <v>388.385673857999</v>
      </c>
    </row>
    <row r="469" spans="1:21" s="426" customFormat="1">
      <c r="A469" s="426" t="str">
        <f t="shared" si="40"/>
        <v>KU</v>
      </c>
      <c r="B469" s="426" t="str">
        <f t="shared" si="41"/>
        <v>KY</v>
      </c>
      <c r="C469" s="426" t="str">
        <f t="shared" si="42"/>
        <v>E</v>
      </c>
      <c r="D469" s="426" t="s">
        <v>2659</v>
      </c>
      <c r="E469" s="426" t="str">
        <f t="shared" si="39"/>
        <v>396</v>
      </c>
      <c r="F469" s="741" t="s">
        <v>2402</v>
      </c>
      <c r="G469" s="425" t="str">
        <f t="shared" si="43"/>
        <v/>
      </c>
      <c r="H469" s="426">
        <v>1199.47165</v>
      </c>
      <c r="I469" s="426">
        <v>1219.6416200000001</v>
      </c>
      <c r="J469" s="426">
        <v>1239.1167600000001</v>
      </c>
      <c r="K469" s="426">
        <v>1259.1783</v>
      </c>
      <c r="L469" s="426">
        <v>1279.9272000000001</v>
      </c>
      <c r="M469" s="426">
        <v>1300.51936</v>
      </c>
      <c r="N469" s="426">
        <v>1290.3909799999999</v>
      </c>
      <c r="O469" s="426">
        <v>1310.55890572</v>
      </c>
      <c r="P469" s="426">
        <v>1330.7268314400001</v>
      </c>
      <c r="Q469" s="426">
        <v>1350.8947571599999</v>
      </c>
      <c r="R469" s="426">
        <v>1371.06268288</v>
      </c>
      <c r="S469" s="426">
        <v>1391.2306086000001</v>
      </c>
      <c r="T469" s="426">
        <v>1411.39853432</v>
      </c>
    </row>
    <row r="470" spans="1:21" s="426" customFormat="1">
      <c r="A470" s="426" t="str">
        <f t="shared" si="40"/>
        <v>KU</v>
      </c>
      <c r="B470" s="426" t="str">
        <f t="shared" si="41"/>
        <v>VA</v>
      </c>
      <c r="C470" s="426" t="str">
        <f t="shared" si="42"/>
        <v>E</v>
      </c>
      <c r="D470" s="426" t="s">
        <v>2659</v>
      </c>
      <c r="E470" s="426" t="str">
        <f t="shared" si="39"/>
        <v>396</v>
      </c>
      <c r="F470" s="741" t="s">
        <v>2403</v>
      </c>
      <c r="G470" s="425" t="str">
        <f t="shared" si="43"/>
        <v/>
      </c>
      <c r="H470" s="426">
        <v>149.59741</v>
      </c>
      <c r="I470" s="426">
        <v>151.83816999999999</v>
      </c>
      <c r="J470" s="426">
        <v>154.08687</v>
      </c>
      <c r="K470" s="426">
        <v>156.42159000000001</v>
      </c>
      <c r="L470" s="426">
        <v>158.84233</v>
      </c>
      <c r="M470" s="426">
        <v>161.26307</v>
      </c>
      <c r="N470" s="426">
        <v>163.68380999999999</v>
      </c>
      <c r="O470" s="426">
        <v>166.10455137</v>
      </c>
      <c r="P470" s="426">
        <v>168.52529274</v>
      </c>
      <c r="Q470" s="426">
        <v>170.94603411</v>
      </c>
      <c r="R470" s="426">
        <v>173.36677548</v>
      </c>
      <c r="S470" s="426">
        <v>175.78751685</v>
      </c>
      <c r="T470" s="426">
        <v>178.20825822</v>
      </c>
    </row>
    <row r="471" spans="1:21" s="426" customFormat="1">
      <c r="A471" s="426" t="str">
        <f t="shared" si="40"/>
        <v>KU</v>
      </c>
      <c r="B471" s="426" t="str">
        <f t="shared" si="41"/>
        <v>KY</v>
      </c>
      <c r="C471" s="426" t="str">
        <f t="shared" si="42"/>
        <v>E</v>
      </c>
      <c r="D471" s="426" t="s">
        <v>2659</v>
      </c>
      <c r="E471" s="426" t="str">
        <f t="shared" si="39"/>
        <v>397</v>
      </c>
      <c r="F471" s="741" t="s">
        <v>1819</v>
      </c>
      <c r="G471" s="425" t="str">
        <f t="shared" si="43"/>
        <v>DSM</v>
      </c>
      <c r="H471" s="426">
        <v>3904.1482000000001</v>
      </c>
      <c r="I471" s="426">
        <v>3993.39822</v>
      </c>
      <c r="J471" s="426">
        <v>4082.6500700000001</v>
      </c>
      <c r="K471" s="426">
        <v>4171.9019099999996</v>
      </c>
      <c r="L471" s="426">
        <v>4261.1537500000004</v>
      </c>
      <c r="M471" s="426">
        <v>4350.4055900000003</v>
      </c>
      <c r="N471" s="426">
        <v>4439.6640199999902</v>
      </c>
      <c r="O471" s="426">
        <v>4528.6977502499903</v>
      </c>
      <c r="P471" s="426">
        <v>4617.5107754399996</v>
      </c>
      <c r="Q471" s="426">
        <v>4706.3502632299997</v>
      </c>
      <c r="R471" s="426">
        <v>4795.21203608</v>
      </c>
      <c r="S471" s="426">
        <v>4884.1112546300001</v>
      </c>
      <c r="T471" s="426">
        <v>4973.0725618799997</v>
      </c>
    </row>
    <row r="472" spans="1:21" s="426" customFormat="1">
      <c r="A472" s="426" t="str">
        <f t="shared" si="40"/>
        <v>KU</v>
      </c>
      <c r="B472" s="426" t="str">
        <f t="shared" si="41"/>
        <v>KY</v>
      </c>
      <c r="C472" s="426" t="str">
        <f t="shared" si="42"/>
        <v>E</v>
      </c>
      <c r="D472" s="426" t="s">
        <v>2659</v>
      </c>
      <c r="E472" s="426" t="str">
        <f t="shared" ref="E472:E535" si="44">MID($F472,8,3)</f>
        <v>397</v>
      </c>
      <c r="F472" s="741" t="s">
        <v>1820</v>
      </c>
      <c r="G472" s="425" t="str">
        <f t="shared" si="43"/>
        <v/>
      </c>
      <c r="H472" s="426">
        <v>27971.539789999999</v>
      </c>
      <c r="I472" s="426">
        <v>28329.60671</v>
      </c>
      <c r="J472" s="426">
        <v>28688.028109999999</v>
      </c>
      <c r="K472" s="426">
        <v>29046.567149999999</v>
      </c>
      <c r="L472" s="426">
        <v>29404.896639999999</v>
      </c>
      <c r="M472" s="426">
        <v>29763.010029999899</v>
      </c>
      <c r="N472" s="426">
        <v>30103.765739999999</v>
      </c>
      <c r="O472" s="426">
        <v>30464.240120300001</v>
      </c>
      <c r="P472" s="426">
        <v>30827.584189699999</v>
      </c>
      <c r="Q472" s="426">
        <v>31192.225128800001</v>
      </c>
      <c r="R472" s="426">
        <v>31560.126630700001</v>
      </c>
      <c r="S472" s="426">
        <v>31930.218572000002</v>
      </c>
      <c r="T472" s="426">
        <v>32300.310513299999</v>
      </c>
    </row>
    <row r="473" spans="1:21" s="426" customFormat="1">
      <c r="A473" s="426" t="str">
        <f t="shared" si="40"/>
        <v>KU</v>
      </c>
      <c r="B473" s="426" t="str">
        <f t="shared" si="41"/>
        <v>VA</v>
      </c>
      <c r="C473" s="426" t="str">
        <f t="shared" si="42"/>
        <v>E</v>
      </c>
      <c r="D473" s="426" t="s">
        <v>2659</v>
      </c>
      <c r="E473" s="426" t="str">
        <f t="shared" si="44"/>
        <v>397</v>
      </c>
      <c r="F473" s="741" t="s">
        <v>1821</v>
      </c>
      <c r="G473" s="425" t="str">
        <f t="shared" si="43"/>
        <v/>
      </c>
      <c r="H473" s="426">
        <v>671.87136999999996</v>
      </c>
      <c r="I473" s="426">
        <v>676.99627999999996</v>
      </c>
      <c r="J473" s="426">
        <v>682.12118999999996</v>
      </c>
      <c r="K473" s="426">
        <v>687.24609999999996</v>
      </c>
      <c r="L473" s="426">
        <v>693.65034000000003</v>
      </c>
      <c r="M473" s="426">
        <v>701.33390999999995</v>
      </c>
      <c r="N473" s="426">
        <v>709.01747999999998</v>
      </c>
      <c r="O473" s="426">
        <v>716.70105401799901</v>
      </c>
      <c r="P473" s="426">
        <v>724.38462803599896</v>
      </c>
      <c r="Q473" s="426">
        <v>732.06820205399902</v>
      </c>
      <c r="R473" s="426">
        <v>739.75177607199896</v>
      </c>
      <c r="S473" s="426">
        <v>747.43535008999902</v>
      </c>
      <c r="T473" s="426">
        <v>755.11892410799896</v>
      </c>
    </row>
    <row r="474" spans="1:21">
      <c r="F474" s="799" t="s">
        <v>1823</v>
      </c>
      <c r="G474" s="425" t="str">
        <f t="shared" si="43"/>
        <v/>
      </c>
      <c r="H474" s="426">
        <f>SUM(H340:H473)</f>
        <v>3521172.9476499995</v>
      </c>
      <c r="I474" s="426">
        <f t="shared" ref="I474:T474" si="45">SUM(I340:I473)</f>
        <v>3498143.7827199921</v>
      </c>
      <c r="J474" s="426">
        <f t="shared" si="45"/>
        <v>3515404.7307199906</v>
      </c>
      <c r="K474" s="426">
        <f t="shared" si="45"/>
        <v>3535698.2337699919</v>
      </c>
      <c r="L474" s="426">
        <f t="shared" si="45"/>
        <v>3552009.4449599893</v>
      </c>
      <c r="M474" s="426">
        <f t="shared" si="45"/>
        <v>3575281.2775199967</v>
      </c>
      <c r="N474" s="426">
        <f t="shared" si="45"/>
        <v>3592495.6094200015</v>
      </c>
      <c r="O474" s="426">
        <f t="shared" si="45"/>
        <v>3591645.7115931655</v>
      </c>
      <c r="P474" s="426">
        <f t="shared" si="45"/>
        <v>3615581.6649309574</v>
      </c>
      <c r="Q474" s="426">
        <f t="shared" si="45"/>
        <v>3639865.0790000125</v>
      </c>
      <c r="R474" s="426">
        <f t="shared" si="45"/>
        <v>3634815.3015333503</v>
      </c>
      <c r="S474" s="426">
        <f t="shared" si="45"/>
        <v>3661908.0844591209</v>
      </c>
      <c r="T474" s="426">
        <f t="shared" si="45"/>
        <v>3683148.4027935159</v>
      </c>
    </row>
    <row r="475" spans="1:21">
      <c r="G475" s="425" t="str">
        <f t="shared" si="43"/>
        <v/>
      </c>
      <c r="U475" s="426">
        <f t="shared" ref="U475:U538" si="46">SUM(I475:T475)</f>
        <v>0</v>
      </c>
    </row>
    <row r="476" spans="1:21">
      <c r="F476" s="800" t="s">
        <v>1826</v>
      </c>
      <c r="G476" s="425" t="str">
        <f t="shared" si="43"/>
        <v/>
      </c>
      <c r="U476" s="426">
        <f t="shared" si="46"/>
        <v>0</v>
      </c>
    </row>
    <row r="477" spans="1:21" s="426" customFormat="1">
      <c r="A477" s="426" t="str">
        <f t="shared" si="40"/>
        <v>KU</v>
      </c>
      <c r="B477" s="426" t="str">
        <f t="shared" si="41"/>
        <v>KY</v>
      </c>
      <c r="C477" s="426" t="str">
        <f t="shared" si="42"/>
        <v>E</v>
      </c>
      <c r="D477" s="426" t="s">
        <v>2670</v>
      </c>
      <c r="E477" s="426" t="str">
        <f t="shared" si="44"/>
        <v>302</v>
      </c>
      <c r="F477" s="741" t="s">
        <v>1720</v>
      </c>
      <c r="G477" s="425" t="str">
        <f t="shared" si="43"/>
        <v/>
      </c>
      <c r="I477" s="426">
        <v>0.16914999999999999</v>
      </c>
      <c r="J477" s="426">
        <v>0.16914999999999999</v>
      </c>
      <c r="K477" s="426">
        <v>0.16914999999999999</v>
      </c>
      <c r="L477" s="426">
        <v>0.16914999999999999</v>
      </c>
      <c r="M477" s="426">
        <v>0.16914999999999999</v>
      </c>
      <c r="N477" s="426">
        <v>0.16914999999999999</v>
      </c>
      <c r="O477" s="426">
        <v>0.16915446079999999</v>
      </c>
      <c r="P477" s="426">
        <v>0.16915446079999999</v>
      </c>
      <c r="Q477" s="426">
        <v>0.16915446079999999</v>
      </c>
      <c r="R477" s="426">
        <v>0.30293482859999998</v>
      </c>
      <c r="S477" s="426">
        <v>0.43671519650000001</v>
      </c>
      <c r="T477" s="426">
        <v>0.43671519650000001</v>
      </c>
      <c r="U477" s="426">
        <f t="shared" si="46"/>
        <v>2.6987286039999994</v>
      </c>
    </row>
    <row r="478" spans="1:21" s="426" customFormat="1">
      <c r="A478" s="426" t="str">
        <f t="shared" si="40"/>
        <v>KU</v>
      </c>
      <c r="B478" s="426" t="str">
        <f t="shared" si="41"/>
        <v>KY</v>
      </c>
      <c r="C478" s="426" t="str">
        <f t="shared" si="42"/>
        <v>E</v>
      </c>
      <c r="D478" s="426" t="s">
        <v>2670</v>
      </c>
      <c r="E478" s="426" t="str">
        <f t="shared" si="44"/>
        <v>303</v>
      </c>
      <c r="F478" s="741" t="s">
        <v>2710</v>
      </c>
      <c r="G478" s="425" t="str">
        <f t="shared" si="43"/>
        <v/>
      </c>
      <c r="I478" s="426">
        <v>0</v>
      </c>
      <c r="J478" s="426">
        <v>0</v>
      </c>
      <c r="K478" s="426">
        <v>0</v>
      </c>
      <c r="L478" s="426">
        <v>0</v>
      </c>
      <c r="M478" s="426">
        <v>0</v>
      </c>
      <c r="N478" s="426">
        <v>0</v>
      </c>
      <c r="O478" s="426">
        <v>7.3474289639999997</v>
      </c>
      <c r="P478" s="426">
        <v>15.69018187</v>
      </c>
      <c r="Q478" s="426">
        <v>16.788122469999902</v>
      </c>
      <c r="R478" s="426">
        <v>24.223122929999999</v>
      </c>
      <c r="S478" s="426">
        <v>31.55550672</v>
      </c>
      <c r="T478" s="426">
        <v>31.55550672</v>
      </c>
      <c r="U478" s="426">
        <f t="shared" si="46"/>
        <v>127.15986967399989</v>
      </c>
    </row>
    <row r="479" spans="1:21" s="426" customFormat="1">
      <c r="A479" s="426" t="str">
        <f t="shared" si="40"/>
        <v>KU</v>
      </c>
      <c r="B479" s="426" t="str">
        <f t="shared" si="41"/>
        <v>KY</v>
      </c>
      <c r="C479" s="426" t="str">
        <f t="shared" si="42"/>
        <v>E</v>
      </c>
      <c r="D479" s="426" t="s">
        <v>2670</v>
      </c>
      <c r="E479" s="426" t="str">
        <f t="shared" si="44"/>
        <v>303</v>
      </c>
      <c r="F479" s="741" t="s">
        <v>1721</v>
      </c>
      <c r="G479" s="425" t="str">
        <f t="shared" si="43"/>
        <v/>
      </c>
      <c r="I479" s="426">
        <v>1227.8368700000001</v>
      </c>
      <c r="J479" s="426">
        <v>1229.5704800000001</v>
      </c>
      <c r="K479" s="426">
        <v>1233.44436</v>
      </c>
      <c r="L479" s="426">
        <v>1234.6588300000001</v>
      </c>
      <c r="M479" s="426">
        <v>1228.70282</v>
      </c>
      <c r="N479" s="426">
        <v>1202.5919699999999</v>
      </c>
      <c r="O479" s="426">
        <v>1297.514044</v>
      </c>
      <c r="P479" s="426">
        <v>1418.5482030000001</v>
      </c>
      <c r="Q479" s="426">
        <v>1431.2604630000001</v>
      </c>
      <c r="R479" s="426">
        <v>1455.418422</v>
      </c>
      <c r="S479" s="426">
        <v>1463.730063</v>
      </c>
      <c r="T479" s="426">
        <v>1469.9844009999999</v>
      </c>
      <c r="U479" s="426">
        <f t="shared" si="46"/>
        <v>15893.260926000001</v>
      </c>
    </row>
    <row r="480" spans="1:21" s="426" customFormat="1">
      <c r="A480" s="426" t="str">
        <f t="shared" si="40"/>
        <v>KU</v>
      </c>
      <c r="B480" s="426" t="str">
        <f t="shared" si="41"/>
        <v>KY</v>
      </c>
      <c r="C480" s="426" t="str">
        <f t="shared" si="42"/>
        <v>E</v>
      </c>
      <c r="D480" s="426" t="s">
        <v>2670</v>
      </c>
      <c r="E480" s="426" t="str">
        <f t="shared" si="44"/>
        <v>303</v>
      </c>
      <c r="F480" s="741" t="s">
        <v>1722</v>
      </c>
      <c r="G480" s="425" t="str">
        <f t="shared" si="43"/>
        <v/>
      </c>
      <c r="I480" s="426">
        <v>157.14427000000001</v>
      </c>
      <c r="J480" s="426">
        <v>157.14427000000001</v>
      </c>
      <c r="K480" s="426">
        <v>157.14427000000001</v>
      </c>
      <c r="L480" s="426">
        <v>157.14427000000001</v>
      </c>
      <c r="M480" s="426">
        <v>155.76801</v>
      </c>
      <c r="N480" s="426">
        <v>154.39175</v>
      </c>
      <c r="O480" s="426">
        <v>154.39174650000001</v>
      </c>
      <c r="P480" s="426">
        <v>154.34097610000001</v>
      </c>
      <c r="Q480" s="426">
        <v>154.29020559999901</v>
      </c>
      <c r="R480" s="426">
        <v>154.29020559999901</v>
      </c>
      <c r="S480" s="426">
        <v>154.29020559999901</v>
      </c>
      <c r="T480" s="426">
        <v>153.678181</v>
      </c>
      <c r="U480" s="426">
        <f t="shared" si="46"/>
        <v>1864.0183603999969</v>
      </c>
    </row>
    <row r="481" spans="1:21" s="426" customFormat="1">
      <c r="A481" s="426" t="str">
        <f t="shared" si="40"/>
        <v>KU</v>
      </c>
      <c r="B481" s="426" t="str">
        <f t="shared" si="41"/>
        <v>KY</v>
      </c>
      <c r="C481" s="426" t="str">
        <f t="shared" si="42"/>
        <v>E</v>
      </c>
      <c r="D481" s="426" t="s">
        <v>2670</v>
      </c>
      <c r="E481" s="426" t="str">
        <f>MID($F481,8,3)</f>
        <v>311</v>
      </c>
      <c r="F481" s="741" t="s">
        <v>1726</v>
      </c>
      <c r="G481" s="425" t="str">
        <f t="shared" si="43"/>
        <v>ECR</v>
      </c>
      <c r="I481" s="426">
        <v>29.53876</v>
      </c>
      <c r="J481" s="426">
        <v>29.53876</v>
      </c>
      <c r="K481" s="426">
        <v>29.53876</v>
      </c>
      <c r="L481" s="426">
        <v>29.53876</v>
      </c>
      <c r="M481" s="426">
        <v>29.258949999999999</v>
      </c>
      <c r="N481" s="426">
        <v>28.979140000000001</v>
      </c>
      <c r="O481" s="426">
        <v>28.49644272375</v>
      </c>
      <c r="P481" s="426">
        <v>28.49644272375</v>
      </c>
      <c r="Q481" s="426">
        <v>28.49644272375</v>
      </c>
      <c r="R481" s="426">
        <v>28.49644272375</v>
      </c>
      <c r="S481" s="426">
        <v>28.49644272375</v>
      </c>
      <c r="T481" s="426">
        <v>28.49644272375</v>
      </c>
      <c r="U481" s="426">
        <f t="shared" si="46"/>
        <v>347.37178634250006</v>
      </c>
    </row>
    <row r="482" spans="1:21" s="426" customFormat="1">
      <c r="A482" s="426" t="str">
        <f t="shared" si="40"/>
        <v>KU</v>
      </c>
      <c r="B482" s="426" t="str">
        <f t="shared" si="41"/>
        <v>KY</v>
      </c>
      <c r="C482" s="426" t="str">
        <f t="shared" si="42"/>
        <v>E</v>
      </c>
      <c r="D482" s="426" t="s">
        <v>2670</v>
      </c>
      <c r="E482" s="426" t="str">
        <f t="shared" si="44"/>
        <v>311</v>
      </c>
      <c r="F482" s="741" t="s">
        <v>2713</v>
      </c>
      <c r="G482" s="425" t="str">
        <f t="shared" si="43"/>
        <v>ECR</v>
      </c>
      <c r="I482" s="426">
        <v>0</v>
      </c>
      <c r="J482" s="426">
        <v>0</v>
      </c>
      <c r="K482" s="426">
        <v>0</v>
      </c>
      <c r="L482" s="426">
        <v>0</v>
      </c>
      <c r="M482" s="426">
        <v>0</v>
      </c>
      <c r="N482" s="426">
        <v>0</v>
      </c>
      <c r="O482" s="426">
        <v>0.48269229325000002</v>
      </c>
      <c r="P482" s="426">
        <v>0.48269229325000002</v>
      </c>
      <c r="Q482" s="426">
        <v>0.48269229325000002</v>
      </c>
      <c r="R482" s="426">
        <v>0.48269229325000002</v>
      </c>
      <c r="S482" s="426">
        <v>0.48269229325000002</v>
      </c>
      <c r="T482" s="426">
        <v>0.48269229325000002</v>
      </c>
      <c r="U482" s="426">
        <f t="shared" si="46"/>
        <v>2.8961537595000002</v>
      </c>
    </row>
    <row r="483" spans="1:21" s="426" customFormat="1">
      <c r="A483" s="426" t="str">
        <f t="shared" si="40"/>
        <v>KU</v>
      </c>
      <c r="B483" s="426" t="str">
        <f t="shared" si="41"/>
        <v>KY</v>
      </c>
      <c r="C483" s="426" t="str">
        <f t="shared" si="42"/>
        <v>E</v>
      </c>
      <c r="D483" s="426" t="s">
        <v>2670</v>
      </c>
      <c r="E483" s="426" t="str">
        <f t="shared" si="44"/>
        <v>311</v>
      </c>
      <c r="F483" s="741" t="s">
        <v>2178</v>
      </c>
      <c r="G483" s="425" t="str">
        <f t="shared" si="43"/>
        <v>ECR</v>
      </c>
      <c r="I483" s="426">
        <v>30.56776</v>
      </c>
      <c r="J483" s="426">
        <v>30.56776</v>
      </c>
      <c r="K483" s="426">
        <v>30.56776</v>
      </c>
      <c r="L483" s="426">
        <v>30.56776</v>
      </c>
      <c r="M483" s="426">
        <v>30.56776</v>
      </c>
      <c r="N483" s="426">
        <v>30.56776</v>
      </c>
      <c r="O483" s="426">
        <v>30.567764985</v>
      </c>
      <c r="P483" s="426">
        <v>30.567764985</v>
      </c>
      <c r="Q483" s="426">
        <v>30.567764985</v>
      </c>
      <c r="R483" s="426">
        <v>30.567764985</v>
      </c>
      <c r="S483" s="426">
        <v>30.567764985</v>
      </c>
      <c r="T483" s="426">
        <v>30.567764985</v>
      </c>
      <c r="U483" s="426">
        <f t="shared" si="46"/>
        <v>366.81314990999999</v>
      </c>
    </row>
    <row r="484" spans="1:21" s="426" customFormat="1">
      <c r="A484" s="426" t="str">
        <f t="shared" si="40"/>
        <v>KU</v>
      </c>
      <c r="B484" s="426" t="str">
        <f t="shared" si="41"/>
        <v>KY</v>
      </c>
      <c r="C484" s="426" t="str">
        <f t="shared" si="42"/>
        <v>E</v>
      </c>
      <c r="D484" s="426" t="s">
        <v>2670</v>
      </c>
      <c r="E484" s="426" t="str">
        <f t="shared" si="44"/>
        <v>311</v>
      </c>
      <c r="F484" s="741" t="s">
        <v>1727</v>
      </c>
      <c r="G484" s="425" t="str">
        <f t="shared" si="43"/>
        <v/>
      </c>
      <c r="I484" s="426">
        <v>646.26156000000003</v>
      </c>
      <c r="J484" s="426">
        <v>647.56637000000001</v>
      </c>
      <c r="K484" s="426">
        <v>648.68079</v>
      </c>
      <c r="L484" s="426">
        <v>648.57356000000004</v>
      </c>
      <c r="M484" s="426">
        <v>648.55414999999903</v>
      </c>
      <c r="N484" s="426">
        <v>649.67706999999996</v>
      </c>
      <c r="O484" s="426">
        <v>652.23773087852999</v>
      </c>
      <c r="P484" s="426">
        <v>654.34958467263004</v>
      </c>
      <c r="Q484" s="426">
        <v>655.45675753363003</v>
      </c>
      <c r="R484" s="426">
        <v>657.93989403463002</v>
      </c>
      <c r="S484" s="426">
        <v>660.01833614462998</v>
      </c>
      <c r="T484" s="426">
        <v>660.01833614462998</v>
      </c>
      <c r="U484" s="426">
        <f t="shared" si="46"/>
        <v>7829.3341394086774</v>
      </c>
    </row>
    <row r="485" spans="1:21" s="426" customFormat="1">
      <c r="A485" s="426" t="str">
        <f t="shared" si="40"/>
        <v>KU</v>
      </c>
      <c r="B485" s="426" t="str">
        <f t="shared" si="41"/>
        <v>KY</v>
      </c>
      <c r="C485" s="426" t="str">
        <f t="shared" si="42"/>
        <v>E</v>
      </c>
      <c r="D485" s="426" t="s">
        <v>2670</v>
      </c>
      <c r="E485" s="426" t="str">
        <f t="shared" si="44"/>
        <v>312</v>
      </c>
      <c r="F485" s="741" t="s">
        <v>1728</v>
      </c>
      <c r="G485" s="425" t="str">
        <f t="shared" si="43"/>
        <v/>
      </c>
      <c r="I485" s="426">
        <v>8295.1098000000002</v>
      </c>
      <c r="J485" s="426">
        <v>8304.0047500000001</v>
      </c>
      <c r="K485" s="426">
        <v>8317.7877700000008</v>
      </c>
      <c r="L485" s="426">
        <v>8327.8076999999994</v>
      </c>
      <c r="M485" s="426">
        <v>8338.4856899999995</v>
      </c>
      <c r="N485" s="426">
        <v>8338.73109999999</v>
      </c>
      <c r="O485" s="426">
        <v>8341.724894297</v>
      </c>
      <c r="P485" s="426">
        <v>8354.8989543770003</v>
      </c>
      <c r="Q485" s="426">
        <v>8376.4897527369994</v>
      </c>
      <c r="R485" s="426">
        <v>8367.2557892219993</v>
      </c>
      <c r="S485" s="426">
        <v>8339.3107690019897</v>
      </c>
      <c r="T485" s="426">
        <v>8328.9527163919993</v>
      </c>
      <c r="U485" s="426">
        <f t="shared" si="46"/>
        <v>100030.55968602697</v>
      </c>
    </row>
    <row r="486" spans="1:21" s="426" customFormat="1">
      <c r="A486" s="426" t="str">
        <f t="shared" si="40"/>
        <v>KU</v>
      </c>
      <c r="B486" s="426" t="str">
        <f t="shared" si="41"/>
        <v>KY</v>
      </c>
      <c r="C486" s="426" t="str">
        <f t="shared" si="42"/>
        <v>E</v>
      </c>
      <c r="D486" s="426" t="s">
        <v>2670</v>
      </c>
      <c r="E486" s="426" t="str">
        <f t="shared" si="44"/>
        <v>312</v>
      </c>
      <c r="F486" s="741" t="s">
        <v>1729</v>
      </c>
      <c r="G486" s="425" t="str">
        <f t="shared" si="43"/>
        <v>ECR</v>
      </c>
      <c r="I486" s="426">
        <v>1817.3844200000001</v>
      </c>
      <c r="J486" s="426">
        <v>1817.3856900000001</v>
      </c>
      <c r="K486" s="426">
        <v>1823.8447200000001</v>
      </c>
      <c r="L486" s="426">
        <v>1830.3025299999999</v>
      </c>
      <c r="M486" s="426">
        <v>1830.3025299999999</v>
      </c>
      <c r="N486" s="426">
        <v>1782.36508</v>
      </c>
      <c r="O486" s="426">
        <v>1659.0040360609901</v>
      </c>
      <c r="P486" s="426">
        <v>1666.06941611099</v>
      </c>
      <c r="Q486" s="426">
        <v>1675.70868913099</v>
      </c>
      <c r="R486" s="426">
        <v>1671.9097714709901</v>
      </c>
      <c r="S486" s="426">
        <v>1665.2065154509901</v>
      </c>
      <c r="T486" s="426">
        <v>1665.2065154509901</v>
      </c>
      <c r="U486" s="426">
        <f t="shared" si="46"/>
        <v>20904.689913675942</v>
      </c>
    </row>
    <row r="487" spans="1:21" s="426" customFormat="1">
      <c r="A487" s="426" t="str">
        <f t="shared" si="40"/>
        <v>KU</v>
      </c>
      <c r="B487" s="426" t="str">
        <f t="shared" si="41"/>
        <v>KY</v>
      </c>
      <c r="C487" s="426" t="str">
        <f t="shared" si="42"/>
        <v>E</v>
      </c>
      <c r="D487" s="426" t="s">
        <v>2670</v>
      </c>
      <c r="E487" s="426" t="str">
        <f t="shared" si="44"/>
        <v>312</v>
      </c>
      <c r="F487" s="741" t="s">
        <v>2714</v>
      </c>
      <c r="G487" s="425" t="str">
        <f t="shared" si="43"/>
        <v>ECR</v>
      </c>
      <c r="I487" s="426">
        <v>0</v>
      </c>
      <c r="J487" s="426">
        <v>0</v>
      </c>
      <c r="K487" s="426">
        <v>0</v>
      </c>
      <c r="L487" s="426">
        <v>0</v>
      </c>
      <c r="M487" s="426">
        <v>0</v>
      </c>
      <c r="N487" s="426">
        <v>47.937449999999998</v>
      </c>
      <c r="O487" s="426">
        <v>173.78300179578201</v>
      </c>
      <c r="P487" s="426">
        <v>175.93018515078299</v>
      </c>
      <c r="Q487" s="426">
        <v>175.923314045783</v>
      </c>
      <c r="R487" s="426">
        <v>175.923314045783</v>
      </c>
      <c r="S487" s="426">
        <v>175.923314045783</v>
      </c>
      <c r="T487" s="426">
        <v>175.923314045783</v>
      </c>
      <c r="U487" s="426">
        <f t="shared" si="46"/>
        <v>1101.3438931296969</v>
      </c>
    </row>
    <row r="488" spans="1:21" s="426" customFormat="1">
      <c r="A488" s="426" t="str">
        <f t="shared" si="40"/>
        <v>KU</v>
      </c>
      <c r="B488" s="426" t="str">
        <f t="shared" si="41"/>
        <v>KY</v>
      </c>
      <c r="C488" s="426" t="str">
        <f t="shared" si="42"/>
        <v>E</v>
      </c>
      <c r="D488" s="426" t="s">
        <v>2670</v>
      </c>
      <c r="E488" s="426" t="str">
        <f t="shared" si="44"/>
        <v>312</v>
      </c>
      <c r="F488" s="741" t="s">
        <v>1730</v>
      </c>
      <c r="G488" s="425" t="str">
        <f t="shared" si="43"/>
        <v>ECR</v>
      </c>
      <c r="I488" s="426">
        <v>3167.0562</v>
      </c>
      <c r="J488" s="426">
        <v>3167.0562</v>
      </c>
      <c r="K488" s="426">
        <v>3167.0562</v>
      </c>
      <c r="L488" s="426">
        <v>3167.0562</v>
      </c>
      <c r="M488" s="426">
        <v>3166.6011199999998</v>
      </c>
      <c r="N488" s="426">
        <v>3165.86886</v>
      </c>
      <c r="O488" s="426">
        <v>3165.59170589</v>
      </c>
      <c r="P488" s="426">
        <v>3165.59170589</v>
      </c>
      <c r="Q488" s="426">
        <v>3168.0227689399999</v>
      </c>
      <c r="R488" s="426">
        <v>3172.6802402499902</v>
      </c>
      <c r="S488" s="426">
        <v>3174.9066484099999</v>
      </c>
      <c r="T488" s="426">
        <v>3174.9066484099999</v>
      </c>
      <c r="U488" s="426">
        <f t="shared" si="46"/>
        <v>38022.394497789981</v>
      </c>
    </row>
    <row r="489" spans="1:21" s="426" customFormat="1">
      <c r="A489" s="426" t="str">
        <f t="shared" si="40"/>
        <v>KU</v>
      </c>
      <c r="B489" s="426" t="str">
        <f t="shared" si="41"/>
        <v>KY</v>
      </c>
      <c r="C489" s="426" t="str">
        <f t="shared" si="42"/>
        <v>E</v>
      </c>
      <c r="D489" s="426" t="s">
        <v>2670</v>
      </c>
      <c r="E489" s="426" t="str">
        <f t="shared" si="44"/>
        <v>312</v>
      </c>
      <c r="F489" s="741" t="s">
        <v>2179</v>
      </c>
      <c r="G489" s="425" t="str">
        <f t="shared" si="43"/>
        <v>ECR</v>
      </c>
      <c r="I489" s="426">
        <v>87.769099999999995</v>
      </c>
      <c r="J489" s="426">
        <v>367.60422999999997</v>
      </c>
      <c r="K489" s="426">
        <v>701.51882000000001</v>
      </c>
      <c r="L489" s="426">
        <v>755.59826999999996</v>
      </c>
      <c r="M489" s="426">
        <v>755.59826999999996</v>
      </c>
      <c r="N489" s="426">
        <v>87.769099999999995</v>
      </c>
      <c r="O489" s="426">
        <v>35.392631057129996</v>
      </c>
      <c r="P489" s="426">
        <v>56.981852206529901</v>
      </c>
      <c r="Q489" s="426">
        <v>56.981852206529901</v>
      </c>
      <c r="R489" s="426">
        <v>56.981852206529901</v>
      </c>
      <c r="S489" s="426">
        <v>56.981852206529901</v>
      </c>
      <c r="T489" s="426">
        <v>56.981852206529901</v>
      </c>
      <c r="U489" s="426">
        <f>SUM(I489:T489)</f>
        <v>3076.1596820897785</v>
      </c>
    </row>
    <row r="490" spans="1:21" s="426" customFormat="1">
      <c r="A490" s="426" t="str">
        <f t="shared" si="40"/>
        <v>KU</v>
      </c>
      <c r="B490" s="426" t="str">
        <f t="shared" si="41"/>
        <v>KY</v>
      </c>
      <c r="C490" s="426" t="str">
        <f t="shared" si="42"/>
        <v>E</v>
      </c>
      <c r="D490" s="426" t="s">
        <v>2670</v>
      </c>
      <c r="E490" s="426" t="str">
        <f t="shared" si="44"/>
        <v>312</v>
      </c>
      <c r="F490" s="741" t="s">
        <v>2715</v>
      </c>
      <c r="G490" s="425" t="str">
        <f t="shared" si="43"/>
        <v>ECR</v>
      </c>
      <c r="I490" s="426">
        <v>0</v>
      </c>
      <c r="J490" s="426">
        <v>0</v>
      </c>
      <c r="K490" s="426">
        <v>0</v>
      </c>
      <c r="L490" s="426">
        <v>0</v>
      </c>
      <c r="M490" s="426">
        <v>0</v>
      </c>
      <c r="N490" s="426">
        <v>667.82916999999998</v>
      </c>
      <c r="O490" s="426">
        <v>748.75422678411996</v>
      </c>
      <c r="P490" s="426">
        <v>757.62617536394998</v>
      </c>
      <c r="Q490" s="426">
        <v>788.20383968809995</v>
      </c>
      <c r="R490" s="426">
        <v>819.87348848650004</v>
      </c>
      <c r="S490" s="426">
        <v>824.78117673899999</v>
      </c>
      <c r="T490" s="426">
        <v>829.49367674500002</v>
      </c>
      <c r="U490" s="426">
        <f t="shared" si="46"/>
        <v>5436.5617538066699</v>
      </c>
    </row>
    <row r="491" spans="1:21" s="426" customFormat="1">
      <c r="A491" s="426" t="str">
        <f t="shared" si="40"/>
        <v>KU</v>
      </c>
      <c r="B491" s="426" t="str">
        <f t="shared" si="41"/>
        <v>KY</v>
      </c>
      <c r="C491" s="426" t="str">
        <f t="shared" si="42"/>
        <v>E</v>
      </c>
      <c r="D491" s="426" t="s">
        <v>2670</v>
      </c>
      <c r="E491" s="426" t="str">
        <f t="shared" si="44"/>
        <v>312</v>
      </c>
      <c r="F491" s="741" t="s">
        <v>2716</v>
      </c>
      <c r="G491" s="425" t="str">
        <f t="shared" si="43"/>
        <v>ECR</v>
      </c>
      <c r="I491" s="426">
        <v>0</v>
      </c>
      <c r="J491" s="426">
        <v>0</v>
      </c>
      <c r="K491" s="426">
        <v>0</v>
      </c>
      <c r="L491" s="426">
        <v>0</v>
      </c>
      <c r="M491" s="426">
        <v>0</v>
      </c>
      <c r="N491" s="426">
        <v>0</v>
      </c>
      <c r="O491" s="426">
        <v>0</v>
      </c>
      <c r="P491" s="426">
        <v>0</v>
      </c>
      <c r="Q491" s="426">
        <v>0</v>
      </c>
      <c r="R491" s="426">
        <v>0</v>
      </c>
      <c r="S491" s="426">
        <v>0</v>
      </c>
      <c r="T491" s="426">
        <v>0</v>
      </c>
      <c r="U491" s="426">
        <f t="shared" si="46"/>
        <v>0</v>
      </c>
    </row>
    <row r="492" spans="1:21" s="426" customFormat="1">
      <c r="A492" s="426" t="str">
        <f t="shared" si="40"/>
        <v>KU</v>
      </c>
      <c r="B492" s="426" t="str">
        <f t="shared" si="41"/>
        <v>KY</v>
      </c>
      <c r="C492" s="426" t="str">
        <f t="shared" si="42"/>
        <v>E</v>
      </c>
      <c r="D492" s="426" t="s">
        <v>2670</v>
      </c>
      <c r="E492" s="426" t="str">
        <f t="shared" si="44"/>
        <v>314</v>
      </c>
      <c r="F492" s="741" t="s">
        <v>1732</v>
      </c>
      <c r="G492" s="425" t="str">
        <f t="shared" si="43"/>
        <v/>
      </c>
      <c r="I492" s="426">
        <v>818.78547000000003</v>
      </c>
      <c r="J492" s="426">
        <v>819.10487000000001</v>
      </c>
      <c r="K492" s="426">
        <v>819.00872000000004</v>
      </c>
      <c r="L492" s="426">
        <v>817.83567000000005</v>
      </c>
      <c r="M492" s="426">
        <v>817.91502000000003</v>
      </c>
      <c r="N492" s="426">
        <v>818.55490999999995</v>
      </c>
      <c r="O492" s="426">
        <v>835.23065502457996</v>
      </c>
      <c r="P492" s="426">
        <v>852.12299233457998</v>
      </c>
      <c r="Q492" s="426">
        <v>852.06305542357995</v>
      </c>
      <c r="R492" s="426">
        <v>851.94314277557999</v>
      </c>
      <c r="S492" s="426">
        <v>851.56532544157994</v>
      </c>
      <c r="T492" s="426">
        <v>850.09602626458002</v>
      </c>
      <c r="U492" s="426">
        <f t="shared" si="46"/>
        <v>10004.225857264481</v>
      </c>
    </row>
    <row r="493" spans="1:21" s="426" customFormat="1">
      <c r="A493" s="426" t="str">
        <f t="shared" si="40"/>
        <v>KU</v>
      </c>
      <c r="B493" s="426" t="str">
        <f t="shared" si="41"/>
        <v>KY</v>
      </c>
      <c r="C493" s="426" t="str">
        <f t="shared" si="42"/>
        <v>E</v>
      </c>
      <c r="D493" s="426" t="s">
        <v>2670</v>
      </c>
      <c r="E493" s="426" t="str">
        <f t="shared" si="44"/>
        <v>315</v>
      </c>
      <c r="F493" s="741" t="s">
        <v>1733</v>
      </c>
      <c r="G493" s="425" t="str">
        <f t="shared" si="43"/>
        <v/>
      </c>
      <c r="I493" s="426">
        <v>541.52616999999998</v>
      </c>
      <c r="J493" s="426">
        <v>541.4914</v>
      </c>
      <c r="K493" s="426">
        <v>540.78899999999999</v>
      </c>
      <c r="L493" s="426">
        <v>540.03551000000004</v>
      </c>
      <c r="M493" s="426">
        <v>539.97105999999997</v>
      </c>
      <c r="N493" s="426">
        <v>539.67718000000002</v>
      </c>
      <c r="O493" s="426">
        <v>539.54790690288996</v>
      </c>
      <c r="P493" s="426">
        <v>540.315472085789</v>
      </c>
      <c r="Q493" s="426">
        <v>541.32290830038903</v>
      </c>
      <c r="R493" s="426">
        <v>542.20815794109001</v>
      </c>
      <c r="S493" s="426">
        <v>542.69035755898994</v>
      </c>
      <c r="T493" s="426">
        <v>542.69035755898994</v>
      </c>
      <c r="U493" s="426">
        <f t="shared" si="46"/>
        <v>6492.2654803481364</v>
      </c>
    </row>
    <row r="494" spans="1:21" s="426" customFormat="1">
      <c r="A494" s="426" t="str">
        <f t="shared" si="40"/>
        <v>KU</v>
      </c>
      <c r="B494" s="426" t="str">
        <f t="shared" si="41"/>
        <v>KY</v>
      </c>
      <c r="C494" s="426" t="str">
        <f t="shared" si="42"/>
        <v>E</v>
      </c>
      <c r="D494" s="426" t="s">
        <v>2670</v>
      </c>
      <c r="E494" s="426" t="str">
        <f t="shared" si="44"/>
        <v>315</v>
      </c>
      <c r="F494" s="741" t="s">
        <v>2180</v>
      </c>
      <c r="G494" s="425" t="str">
        <f t="shared" si="43"/>
        <v>ECR</v>
      </c>
      <c r="I494" s="426">
        <v>72.454049999999995</v>
      </c>
      <c r="J494" s="426">
        <v>72.454049999999995</v>
      </c>
      <c r="K494" s="426">
        <v>67.362880000000004</v>
      </c>
      <c r="L494" s="426">
        <v>62.271680000000003</v>
      </c>
      <c r="M494" s="426">
        <v>62.271680000000003</v>
      </c>
      <c r="N494" s="426">
        <v>62.271680000000003</v>
      </c>
      <c r="O494" s="426">
        <v>60.174830385699998</v>
      </c>
      <c r="P494" s="426">
        <v>60.174830385699998</v>
      </c>
      <c r="Q494" s="426">
        <v>60.174830385699998</v>
      </c>
      <c r="R494" s="426">
        <v>60.174830385699998</v>
      </c>
      <c r="S494" s="426">
        <v>60.174830385699998</v>
      </c>
      <c r="T494" s="426">
        <v>60.174830385699998</v>
      </c>
      <c r="U494" s="426">
        <f t="shared" si="46"/>
        <v>760.13500231420016</v>
      </c>
    </row>
    <row r="495" spans="1:21" s="426" customFormat="1">
      <c r="A495" s="426" t="str">
        <f t="shared" si="40"/>
        <v>KU</v>
      </c>
      <c r="B495" s="426" t="str">
        <f t="shared" si="41"/>
        <v>KY</v>
      </c>
      <c r="C495" s="426" t="str">
        <f t="shared" si="42"/>
        <v>E</v>
      </c>
      <c r="D495" s="426" t="s">
        <v>2670</v>
      </c>
      <c r="E495" s="426" t="str">
        <f t="shared" si="44"/>
        <v>315</v>
      </c>
      <c r="F495" s="741" t="s">
        <v>2717</v>
      </c>
      <c r="G495" s="425" t="str">
        <f t="shared" si="43"/>
        <v>ECR</v>
      </c>
      <c r="I495" s="426">
        <v>0</v>
      </c>
      <c r="J495" s="426">
        <v>0</v>
      </c>
      <c r="K495" s="426">
        <v>0</v>
      </c>
      <c r="L495" s="426">
        <v>0</v>
      </c>
      <c r="M495" s="426">
        <v>0</v>
      </c>
      <c r="N495" s="426">
        <v>0</v>
      </c>
      <c r="O495" s="426">
        <v>2.0968545753700001</v>
      </c>
      <c r="P495" s="426">
        <v>2.0968545753700001</v>
      </c>
      <c r="Q495" s="426">
        <v>2.0968545753700001</v>
      </c>
      <c r="R495" s="426">
        <v>2.0968545753700001</v>
      </c>
      <c r="S495" s="426">
        <v>2.0968545753700001</v>
      </c>
      <c r="T495" s="426">
        <v>2.0968545753700001</v>
      </c>
      <c r="U495" s="426">
        <f t="shared" si="46"/>
        <v>12.581127452219999</v>
      </c>
    </row>
    <row r="496" spans="1:21" s="426" customFormat="1">
      <c r="A496" s="426" t="str">
        <f t="shared" si="40"/>
        <v>KU</v>
      </c>
      <c r="B496" s="426" t="str">
        <f t="shared" si="41"/>
        <v>KY</v>
      </c>
      <c r="C496" s="426" t="str">
        <f t="shared" si="42"/>
        <v>E</v>
      </c>
      <c r="D496" s="426" t="s">
        <v>2670</v>
      </c>
      <c r="E496" s="426" t="str">
        <f t="shared" si="44"/>
        <v>315</v>
      </c>
      <c r="F496" s="741" t="s">
        <v>1734</v>
      </c>
      <c r="G496" s="425" t="str">
        <f t="shared" si="43"/>
        <v>ECR</v>
      </c>
      <c r="I496" s="426">
        <v>38.849330000000002</v>
      </c>
      <c r="J496" s="426">
        <v>38.849330000000002</v>
      </c>
      <c r="K496" s="426">
        <v>38.849330000000002</v>
      </c>
      <c r="L496" s="426">
        <v>38.849330000000002</v>
      </c>
      <c r="M496" s="426">
        <v>38.849330000000002</v>
      </c>
      <c r="N496" s="426">
        <v>38.849330000000002</v>
      </c>
      <c r="O496" s="426">
        <v>38.849341686839999</v>
      </c>
      <c r="P496" s="426">
        <v>38.849341686839999</v>
      </c>
      <c r="Q496" s="426">
        <v>38.849341686839999</v>
      </c>
      <c r="R496" s="426">
        <v>38.849341686839999</v>
      </c>
      <c r="S496" s="426">
        <v>38.849341686839999</v>
      </c>
      <c r="T496" s="426">
        <v>38.849341686839999</v>
      </c>
      <c r="U496" s="426">
        <f t="shared" si="46"/>
        <v>466.19203012103992</v>
      </c>
    </row>
    <row r="497" spans="1:21" s="426" customFormat="1">
      <c r="A497" s="426" t="str">
        <f t="shared" si="40"/>
        <v>KU</v>
      </c>
      <c r="B497" s="426" t="str">
        <f t="shared" si="41"/>
        <v>KY</v>
      </c>
      <c r="C497" s="426" t="str">
        <f t="shared" si="42"/>
        <v>E</v>
      </c>
      <c r="D497" s="426" t="s">
        <v>2670</v>
      </c>
      <c r="E497" s="426" t="str">
        <f t="shared" si="44"/>
        <v>316</v>
      </c>
      <c r="F497" s="741" t="s">
        <v>2181</v>
      </c>
      <c r="G497" s="425" t="str">
        <f t="shared" si="43"/>
        <v>ECR</v>
      </c>
      <c r="I497" s="426">
        <v>1.0092699999999999</v>
      </c>
      <c r="J497" s="426">
        <v>1.0092699999999999</v>
      </c>
      <c r="K497" s="426">
        <v>1.0092699999999999</v>
      </c>
      <c r="L497" s="426">
        <v>1.0092699999999999</v>
      </c>
      <c r="M497" s="426">
        <v>1.0092699999999999</v>
      </c>
      <c r="N497" s="426">
        <v>1.0092699999999999</v>
      </c>
      <c r="O497" s="426">
        <v>1.009260562333</v>
      </c>
      <c r="P497" s="426">
        <v>1.009260562333</v>
      </c>
      <c r="Q497" s="426">
        <v>1.009260562333</v>
      </c>
      <c r="R497" s="426">
        <v>1.009260562333</v>
      </c>
      <c r="S497" s="426">
        <v>1.009260562333</v>
      </c>
      <c r="T497" s="426">
        <v>1.009260562333</v>
      </c>
      <c r="U497" s="426">
        <f t="shared" si="46"/>
        <v>12.111183373998003</v>
      </c>
    </row>
    <row r="498" spans="1:21" s="426" customFormat="1">
      <c r="A498" s="426" t="str">
        <f t="shared" si="40"/>
        <v>KU</v>
      </c>
      <c r="B498" s="426" t="str">
        <f t="shared" si="41"/>
        <v>KY</v>
      </c>
      <c r="C498" s="426" t="str">
        <f t="shared" si="42"/>
        <v>E</v>
      </c>
      <c r="D498" s="426" t="s">
        <v>2670</v>
      </c>
      <c r="E498" s="426" t="str">
        <f t="shared" si="44"/>
        <v>316</v>
      </c>
      <c r="F498" s="741" t="s">
        <v>1735</v>
      </c>
      <c r="G498" s="425" t="str">
        <f t="shared" si="43"/>
        <v/>
      </c>
      <c r="I498" s="426">
        <v>94.975459999999998</v>
      </c>
      <c r="J498" s="426">
        <v>95.339529999999996</v>
      </c>
      <c r="K498" s="426">
        <v>95.698130000000006</v>
      </c>
      <c r="L498" s="426">
        <v>94.938140000000004</v>
      </c>
      <c r="M498" s="426">
        <v>95.256609999999995</v>
      </c>
      <c r="N498" s="426">
        <v>96.407979999999995</v>
      </c>
      <c r="O498" s="426">
        <v>97.644428345530002</v>
      </c>
      <c r="P498" s="426">
        <v>99.167364599129996</v>
      </c>
      <c r="Q498" s="426">
        <v>99.894405902149899</v>
      </c>
      <c r="R498" s="426">
        <v>100.68647439999999</v>
      </c>
      <c r="S498" s="426">
        <v>101.15205061783</v>
      </c>
      <c r="T498" s="426">
        <v>101.22554540783</v>
      </c>
      <c r="U498" s="426">
        <f t="shared" si="46"/>
        <v>1172.3861192724696</v>
      </c>
    </row>
    <row r="499" spans="1:21" s="426" customFormat="1">
      <c r="A499" s="426" t="str">
        <f t="shared" si="40"/>
        <v>KU</v>
      </c>
      <c r="B499" s="426" t="str">
        <f t="shared" si="41"/>
        <v>KY</v>
      </c>
      <c r="C499" s="426" t="str">
        <f t="shared" si="42"/>
        <v>E</v>
      </c>
      <c r="D499" s="426" t="s">
        <v>2670</v>
      </c>
      <c r="E499" s="426" t="str">
        <f t="shared" si="44"/>
        <v>317</v>
      </c>
      <c r="F499" s="741" t="s">
        <v>1736</v>
      </c>
      <c r="G499" s="425" t="str">
        <f t="shared" si="43"/>
        <v>ARO</v>
      </c>
      <c r="I499" s="426">
        <v>253.66613000000001</v>
      </c>
      <c r="J499" s="426">
        <v>52.158209999999997</v>
      </c>
      <c r="K499" s="426">
        <v>52.158230000000003</v>
      </c>
      <c r="L499" s="426">
        <v>52.158239999999999</v>
      </c>
      <c r="M499" s="426">
        <v>52.158239999999999</v>
      </c>
      <c r="N499" s="426">
        <v>88.468469999999996</v>
      </c>
      <c r="O499" s="426">
        <v>51.601715498350302</v>
      </c>
      <c r="P499" s="426">
        <v>51.601715498350302</v>
      </c>
      <c r="Q499" s="426">
        <v>51.601715498350302</v>
      </c>
      <c r="R499" s="426">
        <v>51.601715498350302</v>
      </c>
      <c r="S499" s="426">
        <v>51.601715498350302</v>
      </c>
      <c r="T499" s="426">
        <v>51.601715498350302</v>
      </c>
      <c r="U499" s="426">
        <f t="shared" si="46"/>
        <v>860.37781299010203</v>
      </c>
    </row>
    <row r="500" spans="1:21" s="426" customFormat="1">
      <c r="A500" s="426" t="str">
        <f t="shared" ref="A500:A563" si="47">MID($F500,4,2)</f>
        <v>KU</v>
      </c>
      <c r="B500" s="426" t="str">
        <f t="shared" si="41"/>
        <v>KY</v>
      </c>
      <c r="C500" s="426" t="str">
        <f t="shared" si="42"/>
        <v>E</v>
      </c>
      <c r="D500" s="426" t="s">
        <v>2670</v>
      </c>
      <c r="E500" s="426" t="str">
        <f t="shared" si="44"/>
        <v>317</v>
      </c>
      <c r="F500" s="741" t="s">
        <v>2398</v>
      </c>
      <c r="G500" s="425" t="str">
        <f t="shared" si="43"/>
        <v>ARO</v>
      </c>
      <c r="I500" s="426">
        <v>931.91881999999998</v>
      </c>
      <c r="J500" s="426">
        <v>1087.2808</v>
      </c>
      <c r="K500" s="426">
        <v>1087.28069</v>
      </c>
      <c r="L500" s="426">
        <v>1038.8336200000001</v>
      </c>
      <c r="M500" s="426">
        <v>1260.28981</v>
      </c>
      <c r="N500" s="426">
        <v>1260.2895599999999</v>
      </c>
      <c r="O500" s="426">
        <v>1260</v>
      </c>
      <c r="P500" s="426">
        <v>1260</v>
      </c>
      <c r="Q500" s="426">
        <v>1260</v>
      </c>
      <c r="R500" s="426">
        <v>1260</v>
      </c>
      <c r="S500" s="426">
        <v>1260</v>
      </c>
      <c r="T500" s="426">
        <v>1260</v>
      </c>
      <c r="U500" s="426">
        <f t="shared" si="46"/>
        <v>14225.8933</v>
      </c>
    </row>
    <row r="501" spans="1:21" s="426" customFormat="1">
      <c r="A501" s="426" t="str">
        <f t="shared" si="47"/>
        <v>KU</v>
      </c>
      <c r="B501" s="426" t="str">
        <f t="shared" si="41"/>
        <v>KY</v>
      </c>
      <c r="C501" s="426" t="str">
        <f t="shared" si="42"/>
        <v>E</v>
      </c>
      <c r="D501" s="426" t="s">
        <v>2670</v>
      </c>
      <c r="E501" s="426" t="str">
        <f t="shared" si="44"/>
        <v>331</v>
      </c>
      <c r="F501" s="741" t="s">
        <v>1738</v>
      </c>
      <c r="G501" s="425" t="str">
        <f t="shared" si="43"/>
        <v/>
      </c>
      <c r="I501" s="426">
        <v>9.3550000000000004</v>
      </c>
      <c r="J501" s="426">
        <v>9.3550000000000004</v>
      </c>
      <c r="K501" s="426">
        <v>9.3550000000000004</v>
      </c>
      <c r="L501" s="426">
        <v>9.3550000000000004</v>
      </c>
      <c r="M501" s="426">
        <v>9.3550000000000004</v>
      </c>
      <c r="N501" s="426">
        <v>9.3550000000000004</v>
      </c>
      <c r="O501" s="426">
        <v>9.3550026594000002</v>
      </c>
      <c r="P501" s="426">
        <v>9.3550026594000002</v>
      </c>
      <c r="Q501" s="426">
        <v>9.3550026594000002</v>
      </c>
      <c r="R501" s="426">
        <v>9.3550026594000002</v>
      </c>
      <c r="S501" s="426">
        <v>9.3550026594000002</v>
      </c>
      <c r="T501" s="426">
        <v>9.3550026594000002</v>
      </c>
      <c r="U501" s="426">
        <f t="shared" si="46"/>
        <v>112.26001595640001</v>
      </c>
    </row>
    <row r="502" spans="1:21" s="426" customFormat="1">
      <c r="A502" s="426" t="str">
        <f t="shared" si="47"/>
        <v>KU</v>
      </c>
      <c r="B502" s="426" t="str">
        <f t="shared" si="41"/>
        <v>KY</v>
      </c>
      <c r="C502" s="426" t="str">
        <f t="shared" si="42"/>
        <v>E</v>
      </c>
      <c r="D502" s="426" t="s">
        <v>2670</v>
      </c>
      <c r="E502" s="426" t="str">
        <f t="shared" si="44"/>
        <v>332</v>
      </c>
      <c r="F502" s="741" t="s">
        <v>1739</v>
      </c>
      <c r="G502" s="425" t="str">
        <f t="shared" si="43"/>
        <v/>
      </c>
      <c r="I502" s="426">
        <v>47.601280000000003</v>
      </c>
      <c r="J502" s="426">
        <v>47.601280000000003</v>
      </c>
      <c r="K502" s="426">
        <v>47.599969999999999</v>
      </c>
      <c r="L502" s="426">
        <v>47.598660000000002</v>
      </c>
      <c r="M502" s="426">
        <v>47.598660000000002</v>
      </c>
      <c r="N502" s="426">
        <v>47.598660000000002</v>
      </c>
      <c r="O502" s="426">
        <v>47.598667571</v>
      </c>
      <c r="P502" s="426">
        <v>47.598667571</v>
      </c>
      <c r="Q502" s="426">
        <v>47.598667571</v>
      </c>
      <c r="R502" s="426">
        <v>47.702182987</v>
      </c>
      <c r="S502" s="426">
        <v>47.805698403000001</v>
      </c>
      <c r="T502" s="426">
        <v>47.805698403000001</v>
      </c>
      <c r="U502" s="426">
        <f t="shared" si="46"/>
        <v>571.70809250599996</v>
      </c>
    </row>
    <row r="503" spans="1:21" s="426" customFormat="1">
      <c r="A503" s="426" t="str">
        <f t="shared" si="47"/>
        <v>KU</v>
      </c>
      <c r="B503" s="426" t="str">
        <f t="shared" si="41"/>
        <v>KY</v>
      </c>
      <c r="C503" s="426" t="str">
        <f t="shared" si="42"/>
        <v>E</v>
      </c>
      <c r="D503" s="426" t="s">
        <v>2670</v>
      </c>
      <c r="E503" s="426" t="str">
        <f t="shared" si="44"/>
        <v>333</v>
      </c>
      <c r="F503" s="741" t="s">
        <v>1740</v>
      </c>
      <c r="G503" s="425" t="str">
        <f t="shared" si="43"/>
        <v/>
      </c>
      <c r="I503" s="426">
        <v>45.183689999999999</v>
      </c>
      <c r="J503" s="426">
        <v>45.183689999999999</v>
      </c>
      <c r="K503" s="426">
        <v>45.183689999999999</v>
      </c>
      <c r="L503" s="426">
        <v>45.183689999999999</v>
      </c>
      <c r="M503" s="426">
        <v>45.183689999999999</v>
      </c>
      <c r="N503" s="426">
        <v>45.183689999999999</v>
      </c>
      <c r="O503" s="426">
        <v>45.183685418700001</v>
      </c>
      <c r="P503" s="426">
        <v>45.183685418700001</v>
      </c>
      <c r="Q503" s="426">
        <v>45.183685418700001</v>
      </c>
      <c r="R503" s="426">
        <v>45.183685418700001</v>
      </c>
      <c r="S503" s="426">
        <v>45.183685418700001</v>
      </c>
      <c r="T503" s="426">
        <v>45.183685418700001</v>
      </c>
      <c r="U503" s="426">
        <f t="shared" si="46"/>
        <v>542.20425251220001</v>
      </c>
    </row>
    <row r="504" spans="1:21" s="426" customFormat="1">
      <c r="A504" s="426" t="str">
        <f t="shared" si="47"/>
        <v>KU</v>
      </c>
      <c r="B504" s="426" t="str">
        <f t="shared" si="41"/>
        <v>KY</v>
      </c>
      <c r="C504" s="426" t="str">
        <f t="shared" si="42"/>
        <v>E</v>
      </c>
      <c r="D504" s="426" t="s">
        <v>2670</v>
      </c>
      <c r="E504" s="426" t="str">
        <f t="shared" si="44"/>
        <v>334</v>
      </c>
      <c r="F504" s="741" t="s">
        <v>1741</v>
      </c>
      <c r="G504" s="425" t="str">
        <f t="shared" si="43"/>
        <v/>
      </c>
      <c r="I504" s="426">
        <v>4.2405400000000002</v>
      </c>
      <c r="J504" s="426">
        <v>4.2405400000000002</v>
      </c>
      <c r="K504" s="426">
        <v>4.2803000000000004</v>
      </c>
      <c r="L504" s="426">
        <v>4.3200599999999998</v>
      </c>
      <c r="M504" s="426">
        <v>4.3200599999999998</v>
      </c>
      <c r="N504" s="426">
        <v>4.3200599999999998</v>
      </c>
      <c r="O504" s="426">
        <v>4.3200547018000002</v>
      </c>
      <c r="P504" s="426">
        <v>4.3200547018000002</v>
      </c>
      <c r="Q504" s="426">
        <v>4.3200547018000002</v>
      </c>
      <c r="R504" s="426">
        <v>4.3200547018000002</v>
      </c>
      <c r="S504" s="426">
        <v>4.3200547018000002</v>
      </c>
      <c r="T504" s="426">
        <v>4.3200547018000002</v>
      </c>
      <c r="U504" s="426">
        <f t="shared" si="46"/>
        <v>51.641888210800005</v>
      </c>
    </row>
    <row r="505" spans="1:21" s="426" customFormat="1">
      <c r="A505" s="426" t="str">
        <f t="shared" si="47"/>
        <v>KU</v>
      </c>
      <c r="B505" s="426" t="str">
        <f t="shared" si="41"/>
        <v>KY</v>
      </c>
      <c r="C505" s="426" t="str">
        <f t="shared" si="42"/>
        <v>E</v>
      </c>
      <c r="D505" s="426" t="s">
        <v>2670</v>
      </c>
      <c r="E505" s="426" t="str">
        <f t="shared" si="44"/>
        <v>335</v>
      </c>
      <c r="F505" s="741" t="s">
        <v>1742</v>
      </c>
      <c r="G505" s="425" t="str">
        <f t="shared" si="43"/>
        <v/>
      </c>
      <c r="I505" s="426">
        <v>1.0320400000000001</v>
      </c>
      <c r="J505" s="426">
        <v>1.0320400000000001</v>
      </c>
      <c r="K505" s="426">
        <v>1.0320400000000001</v>
      </c>
      <c r="L505" s="426">
        <v>1.0320400000000001</v>
      </c>
      <c r="M505" s="426">
        <v>1.0320400000000001</v>
      </c>
      <c r="N505" s="426">
        <v>1.0320400000000001</v>
      </c>
      <c r="O505" s="426">
        <v>1.03203909717</v>
      </c>
      <c r="P505" s="426">
        <v>1.03203909717</v>
      </c>
      <c r="Q505" s="426">
        <v>1.03203909717</v>
      </c>
      <c r="R505" s="426">
        <v>1.03203909717</v>
      </c>
      <c r="S505" s="426">
        <v>1.03203909717</v>
      </c>
      <c r="T505" s="426">
        <v>1.03203909717</v>
      </c>
      <c r="U505" s="426">
        <f t="shared" si="46"/>
        <v>12.384474583019998</v>
      </c>
    </row>
    <row r="506" spans="1:21" s="426" customFormat="1">
      <c r="A506" s="426" t="str">
        <f t="shared" si="47"/>
        <v>KU</v>
      </c>
      <c r="B506" s="426" t="str">
        <f t="shared" si="41"/>
        <v>KY</v>
      </c>
      <c r="C506" s="426" t="str">
        <f t="shared" si="42"/>
        <v>E</v>
      </c>
      <c r="D506" s="426" t="s">
        <v>2670</v>
      </c>
      <c r="E506" s="426" t="str">
        <f t="shared" si="44"/>
        <v>336</v>
      </c>
      <c r="F506" s="741" t="s">
        <v>1743</v>
      </c>
      <c r="G506" s="425" t="str">
        <f t="shared" si="43"/>
        <v/>
      </c>
      <c r="I506" s="426">
        <v>0.65076000000000001</v>
      </c>
      <c r="J506" s="426">
        <v>0.65076000000000001</v>
      </c>
      <c r="K506" s="426">
        <v>0.60136000000000001</v>
      </c>
      <c r="L506" s="426">
        <v>0.55193999999999999</v>
      </c>
      <c r="M506" s="426">
        <v>0.55193999999999999</v>
      </c>
      <c r="N506" s="426">
        <v>0.55193999999999999</v>
      </c>
      <c r="O506" s="426">
        <v>0.55194702822999997</v>
      </c>
      <c r="P506" s="426">
        <v>0.55194702822999997</v>
      </c>
      <c r="Q506" s="426">
        <v>0.55194702822999997</v>
      </c>
      <c r="R506" s="426">
        <v>0.55194702822999997</v>
      </c>
      <c r="S506" s="426">
        <v>0.55194702822999997</v>
      </c>
      <c r="T506" s="426">
        <v>0.55194702822999997</v>
      </c>
      <c r="U506" s="426">
        <f t="shared" si="46"/>
        <v>6.87038216938</v>
      </c>
    </row>
    <row r="507" spans="1:21" s="426" customFormat="1">
      <c r="A507" s="426" t="str">
        <f t="shared" si="47"/>
        <v>KU</v>
      </c>
      <c r="B507" s="426" t="str">
        <f t="shared" si="41"/>
        <v>KY</v>
      </c>
      <c r="C507" s="426" t="str">
        <f t="shared" si="42"/>
        <v>E</v>
      </c>
      <c r="D507" s="426" t="s">
        <v>2670</v>
      </c>
      <c r="E507" s="426" t="str">
        <f t="shared" si="44"/>
        <v>337</v>
      </c>
      <c r="F507" s="741" t="s">
        <v>1744</v>
      </c>
      <c r="G507" s="425" t="str">
        <f t="shared" si="43"/>
        <v>ARO</v>
      </c>
      <c r="I507" s="426">
        <v>1.49068</v>
      </c>
      <c r="J507" s="426">
        <v>1.49068</v>
      </c>
      <c r="K507" s="426">
        <v>1.49068</v>
      </c>
      <c r="L507" s="426">
        <v>1.49068</v>
      </c>
      <c r="M507" s="426">
        <v>1.49068</v>
      </c>
      <c r="N507" s="426">
        <v>1.49068</v>
      </c>
      <c r="O507" s="426">
        <v>1.4747745564091299</v>
      </c>
      <c r="P507" s="426">
        <v>1.4747745564091299</v>
      </c>
      <c r="Q507" s="426">
        <v>1.4747745564091299</v>
      </c>
      <c r="R507" s="426">
        <v>1.4747745564091299</v>
      </c>
      <c r="S507" s="426">
        <v>1.4747745564091299</v>
      </c>
      <c r="T507" s="426">
        <v>1.4747745564091299</v>
      </c>
      <c r="U507" s="426">
        <f t="shared" si="46"/>
        <v>17.792727338454782</v>
      </c>
    </row>
    <row r="508" spans="1:21" s="426" customFormat="1">
      <c r="A508" s="426" t="str">
        <f t="shared" si="47"/>
        <v>KU</v>
      </c>
      <c r="B508" s="426" t="str">
        <f t="shared" si="41"/>
        <v>KY</v>
      </c>
      <c r="C508" s="426" t="str">
        <f t="shared" si="42"/>
        <v>E</v>
      </c>
      <c r="D508" s="426" t="s">
        <v>2670</v>
      </c>
      <c r="E508" s="426" t="str">
        <f t="shared" si="44"/>
        <v>340</v>
      </c>
      <c r="F508" s="741" t="s">
        <v>2183</v>
      </c>
      <c r="G508" s="425" t="str">
        <f t="shared" si="43"/>
        <v/>
      </c>
      <c r="I508" s="426">
        <v>0.32195000000000001</v>
      </c>
      <c r="J508" s="426">
        <v>0.32195000000000001</v>
      </c>
      <c r="K508" s="426">
        <v>0.32195000000000001</v>
      </c>
      <c r="L508" s="426">
        <v>0.32195000000000001</v>
      </c>
      <c r="M508" s="426">
        <v>0.32195000000000001</v>
      </c>
      <c r="N508" s="426">
        <v>0.32195000000000001</v>
      </c>
      <c r="O508" s="426">
        <v>0.3219469908</v>
      </c>
      <c r="P508" s="426">
        <v>0.3219469908</v>
      </c>
      <c r="Q508" s="426">
        <v>0.3219469908</v>
      </c>
      <c r="R508" s="426">
        <v>0.3219469908</v>
      </c>
      <c r="S508" s="426">
        <v>0.3219469908</v>
      </c>
      <c r="T508" s="426">
        <v>0.3219469908</v>
      </c>
      <c r="U508" s="426">
        <f t="shared" si="46"/>
        <v>3.8633819447999995</v>
      </c>
    </row>
    <row r="509" spans="1:21" s="426" customFormat="1">
      <c r="A509" s="426" t="str">
        <f t="shared" si="47"/>
        <v>KU</v>
      </c>
      <c r="B509" s="426" t="str">
        <f t="shared" si="41"/>
        <v>KY</v>
      </c>
      <c r="C509" s="426" t="str">
        <f t="shared" si="42"/>
        <v>E</v>
      </c>
      <c r="D509" s="426" t="s">
        <v>2670</v>
      </c>
      <c r="E509" s="426" t="str">
        <f t="shared" si="44"/>
        <v>341</v>
      </c>
      <c r="F509" s="741" t="s">
        <v>1746</v>
      </c>
      <c r="G509" s="425" t="str">
        <f t="shared" si="43"/>
        <v/>
      </c>
      <c r="I509" s="426">
        <v>118.92643</v>
      </c>
      <c r="J509" s="426">
        <v>118.92643</v>
      </c>
      <c r="K509" s="426">
        <v>118.89106</v>
      </c>
      <c r="L509" s="426">
        <v>118.85569</v>
      </c>
      <c r="M509" s="426">
        <v>118.85569</v>
      </c>
      <c r="N509" s="426">
        <v>118.84475999999999</v>
      </c>
      <c r="O509" s="426">
        <v>118.8338324214</v>
      </c>
      <c r="P509" s="426">
        <v>118.8338324214</v>
      </c>
      <c r="Q509" s="426">
        <v>118.8338324214</v>
      </c>
      <c r="R509" s="426">
        <v>118.8338324214</v>
      </c>
      <c r="S509" s="426">
        <v>118.8338324214</v>
      </c>
      <c r="T509" s="426">
        <v>118.8338324214</v>
      </c>
      <c r="U509" s="426">
        <f t="shared" si="46"/>
        <v>1426.3030545284</v>
      </c>
    </row>
    <row r="510" spans="1:21" s="426" customFormat="1">
      <c r="A510" s="426" t="str">
        <f t="shared" si="47"/>
        <v>KU</v>
      </c>
      <c r="B510" s="426" t="str">
        <f t="shared" si="41"/>
        <v>KY</v>
      </c>
      <c r="C510" s="426" t="str">
        <f t="shared" si="42"/>
        <v>E</v>
      </c>
      <c r="D510" s="426" t="s">
        <v>2670</v>
      </c>
      <c r="E510" s="426" t="str">
        <f t="shared" si="44"/>
        <v>341</v>
      </c>
      <c r="F510" s="741" t="s">
        <v>2184</v>
      </c>
      <c r="G510" s="425" t="str">
        <f t="shared" si="43"/>
        <v/>
      </c>
      <c r="I510" s="426">
        <v>128.65913</v>
      </c>
      <c r="J510" s="426">
        <v>128.65913</v>
      </c>
      <c r="K510" s="426">
        <v>128.5301</v>
      </c>
      <c r="L510" s="426">
        <v>128.40106</v>
      </c>
      <c r="M510" s="426">
        <v>128.40106</v>
      </c>
      <c r="N510" s="426">
        <v>128.40106</v>
      </c>
      <c r="O510" s="426">
        <v>128.40105360999999</v>
      </c>
      <c r="P510" s="426">
        <v>128.59006188999999</v>
      </c>
      <c r="Q510" s="426">
        <v>128.77907026</v>
      </c>
      <c r="R510" s="426">
        <v>128.77907026</v>
      </c>
      <c r="S510" s="426">
        <v>128.77907026</v>
      </c>
      <c r="T510" s="426">
        <v>128.77907026</v>
      </c>
      <c r="U510" s="426">
        <f t="shared" si="46"/>
        <v>1543.15893654</v>
      </c>
    </row>
    <row r="511" spans="1:21" s="426" customFormat="1">
      <c r="A511" s="426" t="str">
        <f t="shared" si="47"/>
        <v>KU</v>
      </c>
      <c r="B511" s="426" t="str">
        <f t="shared" si="41"/>
        <v>KY</v>
      </c>
      <c r="C511" s="426" t="str">
        <f t="shared" si="42"/>
        <v>E</v>
      </c>
      <c r="D511" s="426" t="s">
        <v>2670</v>
      </c>
      <c r="E511" s="426" t="str">
        <f t="shared" si="44"/>
        <v>341</v>
      </c>
      <c r="F511" s="741" t="s">
        <v>2185</v>
      </c>
      <c r="G511" s="425" t="str">
        <f t="shared" si="43"/>
        <v/>
      </c>
      <c r="I511" s="426">
        <v>7.9308899999999998</v>
      </c>
      <c r="J511" s="426">
        <v>7.9308899999999998</v>
      </c>
      <c r="K511" s="426">
        <v>7.9308899999999998</v>
      </c>
      <c r="L511" s="426">
        <v>7.9308899999999998</v>
      </c>
      <c r="M511" s="426">
        <v>7.9308899999999998</v>
      </c>
      <c r="N511" s="426">
        <v>7.9308899999999998</v>
      </c>
      <c r="O511" s="426">
        <v>7.9536731834000003</v>
      </c>
      <c r="P511" s="426">
        <v>7.9764584479999998</v>
      </c>
      <c r="Q511" s="426">
        <v>7.9764584479999998</v>
      </c>
      <c r="R511" s="426">
        <v>7.9764584479999998</v>
      </c>
      <c r="S511" s="426">
        <v>7.9764584479999998</v>
      </c>
      <c r="T511" s="426">
        <v>7.9764584479999998</v>
      </c>
      <c r="U511" s="426">
        <f t="shared" si="46"/>
        <v>95.4213054234</v>
      </c>
    </row>
    <row r="512" spans="1:21" s="426" customFormat="1">
      <c r="A512" s="426" t="str">
        <f t="shared" si="47"/>
        <v>KU</v>
      </c>
      <c r="B512" s="426" t="str">
        <f t="shared" si="41"/>
        <v>KY</v>
      </c>
      <c r="C512" s="426" t="str">
        <f t="shared" si="42"/>
        <v>E</v>
      </c>
      <c r="D512" s="426" t="s">
        <v>2670</v>
      </c>
      <c r="E512" s="426" t="str">
        <f t="shared" si="44"/>
        <v>342</v>
      </c>
      <c r="F512" s="741" t="s">
        <v>1747</v>
      </c>
      <c r="G512" s="425" t="str">
        <f t="shared" si="43"/>
        <v/>
      </c>
      <c r="I512" s="426">
        <v>54.033940000000001</v>
      </c>
      <c r="J512" s="426">
        <v>54.033940000000001</v>
      </c>
      <c r="K512" s="426">
        <v>54.033940000000001</v>
      </c>
      <c r="L512" s="426">
        <v>54.033479999999997</v>
      </c>
      <c r="M512" s="426">
        <v>54.03302</v>
      </c>
      <c r="N512" s="426">
        <v>54.03302</v>
      </c>
      <c r="O512" s="426">
        <v>54.033020837199999</v>
      </c>
      <c r="P512" s="426">
        <v>54.033020837199999</v>
      </c>
      <c r="Q512" s="426">
        <v>54.033020837199999</v>
      </c>
      <c r="R512" s="426">
        <v>54.033020837199999</v>
      </c>
      <c r="S512" s="426">
        <v>54.033020837199999</v>
      </c>
      <c r="T512" s="426">
        <v>54.033020837199999</v>
      </c>
      <c r="U512" s="426">
        <f t="shared" si="46"/>
        <v>648.39946502319992</v>
      </c>
    </row>
    <row r="513" spans="1:21" s="426" customFormat="1">
      <c r="A513" s="426" t="str">
        <f t="shared" si="47"/>
        <v>KU</v>
      </c>
      <c r="B513" s="426" t="str">
        <f t="shared" ref="B513:B576" si="48">IF(MID($F513,12,2)="- ","KY",IF(MID($F513,12,2)="SY","KY",MID($F513,12,2)))</f>
        <v>KY</v>
      </c>
      <c r="C513" s="426" t="str">
        <f t="shared" si="42"/>
        <v>E</v>
      </c>
      <c r="D513" s="426" t="s">
        <v>2670</v>
      </c>
      <c r="E513" s="426" t="str">
        <f t="shared" si="44"/>
        <v>342</v>
      </c>
      <c r="F513" s="741" t="s">
        <v>2186</v>
      </c>
      <c r="G513" s="425" t="str">
        <f t="shared" si="43"/>
        <v/>
      </c>
      <c r="I513" s="426">
        <v>17.038419999999999</v>
      </c>
      <c r="J513" s="426">
        <v>17.038419999999999</v>
      </c>
      <c r="K513" s="426">
        <v>17.038419999999999</v>
      </c>
      <c r="L513" s="426">
        <v>17.038419999999999</v>
      </c>
      <c r="M513" s="426">
        <v>17.038419999999999</v>
      </c>
      <c r="N513" s="426">
        <v>17.038419999999999</v>
      </c>
      <c r="O513" s="426">
        <v>17.038421757999998</v>
      </c>
      <c r="P513" s="426">
        <v>17.038421757999998</v>
      </c>
      <c r="Q513" s="426">
        <v>17.038421757999998</v>
      </c>
      <c r="R513" s="426">
        <v>17.038421757999998</v>
      </c>
      <c r="S513" s="426">
        <v>17.038421757999998</v>
      </c>
      <c r="T513" s="426">
        <v>17.038421757999998</v>
      </c>
      <c r="U513" s="426">
        <f t="shared" si="46"/>
        <v>204.461050548</v>
      </c>
    </row>
    <row r="514" spans="1:21" s="426" customFormat="1">
      <c r="A514" s="426" t="str">
        <f t="shared" si="47"/>
        <v>KU</v>
      </c>
      <c r="B514" s="426" t="str">
        <f t="shared" si="48"/>
        <v>KY</v>
      </c>
      <c r="C514" s="426" t="str">
        <f t="shared" si="42"/>
        <v>E</v>
      </c>
      <c r="D514" s="426" t="s">
        <v>2670</v>
      </c>
      <c r="E514" s="426" t="str">
        <f t="shared" si="44"/>
        <v>342</v>
      </c>
      <c r="F514" s="741" t="s">
        <v>2187</v>
      </c>
      <c r="G514" s="425" t="str">
        <f t="shared" si="43"/>
        <v/>
      </c>
      <c r="I514" s="426">
        <v>115.848739999999</v>
      </c>
      <c r="J514" s="426">
        <v>115.848739999999</v>
      </c>
      <c r="K514" s="426">
        <v>115.848739999999</v>
      </c>
      <c r="L514" s="426">
        <v>115.848739999999</v>
      </c>
      <c r="M514" s="426">
        <v>115.848739999999</v>
      </c>
      <c r="N514" s="426">
        <v>115.848739999999</v>
      </c>
      <c r="O514" s="426">
        <v>116.151572291999</v>
      </c>
      <c r="P514" s="426">
        <v>116.995806995999</v>
      </c>
      <c r="Q514" s="426">
        <v>143.24736479799901</v>
      </c>
      <c r="R514" s="426">
        <v>169.02053625400001</v>
      </c>
      <c r="S514" s="426">
        <v>169.08354433299999</v>
      </c>
      <c r="T514" s="426">
        <v>169.08354433299999</v>
      </c>
      <c r="U514" s="426">
        <f t="shared" si="46"/>
        <v>1578.6748090059909</v>
      </c>
    </row>
    <row r="515" spans="1:21" s="426" customFormat="1">
      <c r="A515" s="426" t="str">
        <f t="shared" si="47"/>
        <v>KU</v>
      </c>
      <c r="B515" s="426" t="str">
        <f t="shared" si="48"/>
        <v>KY</v>
      </c>
      <c r="C515" s="426" t="str">
        <f t="shared" si="42"/>
        <v>E</v>
      </c>
      <c r="D515" s="426" t="s">
        <v>2670</v>
      </c>
      <c r="E515" s="426" t="str">
        <f t="shared" si="44"/>
        <v>343</v>
      </c>
      <c r="F515" s="741" t="s">
        <v>1748</v>
      </c>
      <c r="G515" s="425" t="str">
        <f t="shared" si="43"/>
        <v/>
      </c>
      <c r="I515" s="426">
        <v>1668.23831</v>
      </c>
      <c r="J515" s="426">
        <v>1668.6384599999999</v>
      </c>
      <c r="K515" s="426">
        <v>1668.54250999999</v>
      </c>
      <c r="L515" s="426">
        <v>1667.94450999999</v>
      </c>
      <c r="M515" s="426">
        <v>1668.1757399999999</v>
      </c>
      <c r="N515" s="426">
        <v>1667.69181999999</v>
      </c>
      <c r="O515" s="426">
        <v>1667.2369435265</v>
      </c>
      <c r="P515" s="426">
        <v>1669.7963798454</v>
      </c>
      <c r="Q515" s="426">
        <v>1672.10603090369</v>
      </c>
      <c r="R515" s="426">
        <v>1672.86290242369</v>
      </c>
      <c r="S515" s="426">
        <v>1673.6197740636901</v>
      </c>
      <c r="T515" s="426">
        <v>1673.6197740636901</v>
      </c>
      <c r="U515" s="426">
        <f t="shared" si="46"/>
        <v>20038.473154826625</v>
      </c>
    </row>
    <row r="516" spans="1:21" s="426" customFormat="1">
      <c r="A516" s="426" t="str">
        <f t="shared" si="47"/>
        <v>KU</v>
      </c>
      <c r="B516" s="426" t="str">
        <f t="shared" si="48"/>
        <v>KY</v>
      </c>
      <c r="C516" s="426" t="str">
        <f t="shared" si="42"/>
        <v>E</v>
      </c>
      <c r="D516" s="426" t="s">
        <v>2670</v>
      </c>
      <c r="E516" s="426" t="str">
        <f t="shared" si="44"/>
        <v>343</v>
      </c>
      <c r="F516" s="741" t="s">
        <v>2188</v>
      </c>
      <c r="G516" s="425" t="str">
        <f t="shared" si="43"/>
        <v/>
      </c>
      <c r="I516" s="426">
        <v>767.76796999999999</v>
      </c>
      <c r="J516" s="426">
        <v>792.89436000000001</v>
      </c>
      <c r="K516" s="426">
        <v>812.56223</v>
      </c>
      <c r="L516" s="426">
        <v>807.45702000000006</v>
      </c>
      <c r="M516" s="426">
        <v>807.40956000000006</v>
      </c>
      <c r="N516" s="426">
        <v>806.87537999999995</v>
      </c>
      <c r="O516" s="426">
        <v>806.45185107899999</v>
      </c>
      <c r="P516" s="426">
        <v>807.31056500499994</v>
      </c>
      <c r="Q516" s="426">
        <v>808.15873377599996</v>
      </c>
      <c r="R516" s="426">
        <v>808.29413111400004</v>
      </c>
      <c r="S516" s="426">
        <v>808.28504048499997</v>
      </c>
      <c r="T516" s="426">
        <v>808.28504048499997</v>
      </c>
      <c r="U516" s="426">
        <f t="shared" si="46"/>
        <v>9641.7518819440011</v>
      </c>
    </row>
    <row r="517" spans="1:21" s="426" customFormat="1">
      <c r="A517" s="426" t="str">
        <f t="shared" si="47"/>
        <v>KU</v>
      </c>
      <c r="B517" s="426" t="str">
        <f t="shared" si="48"/>
        <v>KY</v>
      </c>
      <c r="C517" s="426" t="str">
        <f t="shared" ref="C517:C580" si="49">IF(ISTEXT(MID($F517,SEARCH("FUTURE USE",$F517),3)),"F",IF(MID($F517,7,1)="1","E",IF(MID($F517,7,1)="2","G",IF(MID($F517,7,1)="3","C",""))))</f>
        <v>E</v>
      </c>
      <c r="D517" s="426" t="s">
        <v>2670</v>
      </c>
      <c r="E517" s="426" t="str">
        <f t="shared" si="44"/>
        <v>344</v>
      </c>
      <c r="F517" s="741" t="s">
        <v>1749</v>
      </c>
      <c r="G517" s="425" t="str">
        <f t="shared" si="43"/>
        <v/>
      </c>
      <c r="I517" s="426">
        <v>201.61532</v>
      </c>
      <c r="J517" s="426">
        <v>201.61532</v>
      </c>
      <c r="K517" s="426">
        <v>200.52046999999999</v>
      </c>
      <c r="L517" s="426">
        <v>199.4256</v>
      </c>
      <c r="M517" s="426">
        <v>199.4256</v>
      </c>
      <c r="N517" s="426">
        <v>199.61680000000001</v>
      </c>
      <c r="O517" s="426">
        <v>199.808019554</v>
      </c>
      <c r="P517" s="426">
        <v>199.808019554</v>
      </c>
      <c r="Q517" s="426">
        <v>199.808019554</v>
      </c>
      <c r="R517" s="426">
        <v>199.808019554</v>
      </c>
      <c r="S517" s="426">
        <v>199.808019554</v>
      </c>
      <c r="T517" s="426">
        <v>199.808019554</v>
      </c>
      <c r="U517" s="426">
        <f t="shared" si="46"/>
        <v>2401.0672273240007</v>
      </c>
    </row>
    <row r="518" spans="1:21" s="426" customFormat="1">
      <c r="A518" s="426" t="str">
        <f t="shared" si="47"/>
        <v>KU</v>
      </c>
      <c r="B518" s="426" t="str">
        <f t="shared" si="48"/>
        <v>KY</v>
      </c>
      <c r="C518" s="426" t="str">
        <f t="shared" si="49"/>
        <v>E</v>
      </c>
      <c r="D518" s="426" t="s">
        <v>2670</v>
      </c>
      <c r="E518" s="426" t="str">
        <f t="shared" si="44"/>
        <v>344</v>
      </c>
      <c r="F518" s="741" t="s">
        <v>2189</v>
      </c>
      <c r="G518" s="425" t="str">
        <f t="shared" si="43"/>
        <v/>
      </c>
      <c r="I518" s="426">
        <v>151.18450000000001</v>
      </c>
      <c r="J518" s="426">
        <v>151.20119</v>
      </c>
      <c r="K518" s="426">
        <v>151.20509999999999</v>
      </c>
      <c r="L518" s="426">
        <v>151.20565999999999</v>
      </c>
      <c r="M518" s="426">
        <v>151.20622</v>
      </c>
      <c r="N518" s="426">
        <v>151.20622</v>
      </c>
      <c r="O518" s="426">
        <v>151.20621352499899</v>
      </c>
      <c r="P518" s="426">
        <v>151.20621352499899</v>
      </c>
      <c r="Q518" s="426">
        <v>151.20621352499899</v>
      </c>
      <c r="R518" s="426">
        <v>151.20621352499899</v>
      </c>
      <c r="S518" s="426">
        <v>151.20621352499899</v>
      </c>
      <c r="T518" s="426">
        <v>151.20621352499899</v>
      </c>
      <c r="U518" s="426">
        <f t="shared" si="46"/>
        <v>1814.4461711499937</v>
      </c>
    </row>
    <row r="519" spans="1:21" s="426" customFormat="1">
      <c r="A519" s="426" t="str">
        <f t="shared" si="47"/>
        <v>KU</v>
      </c>
      <c r="B519" s="426" t="str">
        <f t="shared" si="48"/>
        <v>KY</v>
      </c>
      <c r="C519" s="426" t="str">
        <f t="shared" si="49"/>
        <v>E</v>
      </c>
      <c r="D519" s="426" t="s">
        <v>2670</v>
      </c>
      <c r="E519" s="426" t="str">
        <f t="shared" si="44"/>
        <v>344</v>
      </c>
      <c r="F519" s="741" t="s">
        <v>2190</v>
      </c>
      <c r="G519" s="425" t="str">
        <f t="shared" si="43"/>
        <v/>
      </c>
      <c r="I519" s="426">
        <v>52.661340000000003</v>
      </c>
      <c r="J519" s="426">
        <v>52.661340000000003</v>
      </c>
      <c r="K519" s="426">
        <v>53.307339999999897</v>
      </c>
      <c r="L519" s="426">
        <v>53.264600000000002</v>
      </c>
      <c r="M519" s="426">
        <v>52.595439999999897</v>
      </c>
      <c r="N519" s="426">
        <v>52.725029999999997</v>
      </c>
      <c r="O519" s="426">
        <v>52.895525334959999</v>
      </c>
      <c r="P519" s="426">
        <v>52.956023344629997</v>
      </c>
      <c r="Q519" s="426">
        <v>52.956023344629997</v>
      </c>
      <c r="R519" s="426">
        <v>52.956023344629997</v>
      </c>
      <c r="S519" s="426">
        <v>52.956023344629997</v>
      </c>
      <c r="T519" s="426">
        <v>52.956023344629997</v>
      </c>
      <c r="U519" s="426">
        <f t="shared" si="46"/>
        <v>634.89073205810985</v>
      </c>
    </row>
    <row r="520" spans="1:21" s="426" customFormat="1">
      <c r="A520" s="426" t="str">
        <f t="shared" si="47"/>
        <v>KU</v>
      </c>
      <c r="B520" s="426" t="str">
        <f t="shared" si="48"/>
        <v>KY</v>
      </c>
      <c r="C520" s="426" t="str">
        <f t="shared" si="49"/>
        <v>E</v>
      </c>
      <c r="D520" s="426" t="s">
        <v>2670</v>
      </c>
      <c r="E520" s="426" t="str">
        <f t="shared" si="44"/>
        <v>344</v>
      </c>
      <c r="F520" s="741" t="s">
        <v>2718</v>
      </c>
      <c r="G520" s="425" t="str">
        <f t="shared" ref="G520:G586" si="50">IF(ISTEXT(MID($F520,SEARCH("FUTURE USE",$F520),3)),"FUTURE USE",IF(ISTEXT(MID($F520,SEARCH("ECR",$F520),3)),"ECR",IF(ISTEXT(MID($F520,SEARCH("ARO",$F520),3)),"ARO",IF(ISTEXT(MID($F520,SEARCH("DSM",$F520),3)),"DSM",""))))</f>
        <v/>
      </c>
      <c r="I520" s="426">
        <v>1.07867</v>
      </c>
      <c r="J520" s="426">
        <v>1.14889</v>
      </c>
      <c r="K520" s="426">
        <v>1.05094</v>
      </c>
      <c r="L520" s="426">
        <v>0.95301000000000002</v>
      </c>
      <c r="M520" s="426">
        <v>0.95301000000000002</v>
      </c>
      <c r="N520" s="426">
        <v>0.95301000000000002</v>
      </c>
      <c r="O520" s="426">
        <v>0.95265237021299998</v>
      </c>
      <c r="P520" s="426">
        <v>0.95229419243699998</v>
      </c>
      <c r="Q520" s="426">
        <v>0.95229419243699998</v>
      </c>
      <c r="R520" s="426">
        <v>0.95229419243699998</v>
      </c>
      <c r="S520" s="426">
        <v>0.95229419243699998</v>
      </c>
      <c r="T520" s="426">
        <v>0.95229419243699998</v>
      </c>
      <c r="U520" s="426">
        <f t="shared" si="46"/>
        <v>11.851653332398</v>
      </c>
    </row>
    <row r="521" spans="1:21" s="426" customFormat="1">
      <c r="A521" s="426" t="str">
        <f t="shared" si="47"/>
        <v>KU</v>
      </c>
      <c r="B521" s="426" t="str">
        <f t="shared" si="48"/>
        <v>KY</v>
      </c>
      <c r="C521" s="426" t="str">
        <f t="shared" si="49"/>
        <v>E</v>
      </c>
      <c r="D521" s="426" t="s">
        <v>2670</v>
      </c>
      <c r="E521" s="426" t="str">
        <f t="shared" si="44"/>
        <v>345</v>
      </c>
      <c r="F521" s="741" t="s">
        <v>1750</v>
      </c>
      <c r="G521" s="425" t="str">
        <f t="shared" si="50"/>
        <v/>
      </c>
      <c r="I521" s="426">
        <v>191.72066000000001</v>
      </c>
      <c r="J521" s="426">
        <v>191.72066000000001</v>
      </c>
      <c r="K521" s="426">
        <v>191.72066000000001</v>
      </c>
      <c r="L521" s="426">
        <v>191.72066000000001</v>
      </c>
      <c r="M521" s="426">
        <v>191.72066000000001</v>
      </c>
      <c r="N521" s="426">
        <v>191.72066000000001</v>
      </c>
      <c r="O521" s="426">
        <v>191.7206518015</v>
      </c>
      <c r="P521" s="426">
        <v>191.79031846749999</v>
      </c>
      <c r="Q521" s="426">
        <v>192.90065860109999</v>
      </c>
      <c r="R521" s="426">
        <v>194.03816895400001</v>
      </c>
      <c r="S521" s="426">
        <v>194.13500583039999</v>
      </c>
      <c r="T521" s="426">
        <v>194.13500583039999</v>
      </c>
      <c r="U521" s="426">
        <f t="shared" si="46"/>
        <v>2309.0437694849002</v>
      </c>
    </row>
    <row r="522" spans="1:21" s="426" customFormat="1">
      <c r="A522" s="426" t="str">
        <f t="shared" si="47"/>
        <v>KU</v>
      </c>
      <c r="B522" s="426" t="str">
        <f t="shared" si="48"/>
        <v>KY</v>
      </c>
      <c r="C522" s="426" t="str">
        <f t="shared" si="49"/>
        <v>E</v>
      </c>
      <c r="D522" s="426" t="s">
        <v>2670</v>
      </c>
      <c r="E522" s="426" t="str">
        <f t="shared" si="44"/>
        <v>345</v>
      </c>
      <c r="F522" s="741" t="s">
        <v>2191</v>
      </c>
      <c r="G522" s="425" t="str">
        <f t="shared" si="50"/>
        <v/>
      </c>
      <c r="I522" s="426">
        <v>60.213610000000003</v>
      </c>
      <c r="J522" s="426">
        <v>60.213610000000003</v>
      </c>
      <c r="K522" s="426">
        <v>60.213610000000003</v>
      </c>
      <c r="L522" s="426">
        <v>60.432299999999998</v>
      </c>
      <c r="M522" s="426">
        <v>60.651019999999903</v>
      </c>
      <c r="N522" s="426">
        <v>60.651019999999903</v>
      </c>
      <c r="O522" s="426">
        <v>60.651033575</v>
      </c>
      <c r="P522" s="426">
        <v>60.651045110999902</v>
      </c>
      <c r="Q522" s="426">
        <v>60.651045110999902</v>
      </c>
      <c r="R522" s="426">
        <v>60.651045110999902</v>
      </c>
      <c r="S522" s="426">
        <v>60.651045110999902</v>
      </c>
      <c r="T522" s="426">
        <v>60.651045110999902</v>
      </c>
      <c r="U522" s="426">
        <f t="shared" si="46"/>
        <v>726.28142912999931</v>
      </c>
    </row>
    <row r="523" spans="1:21" s="426" customFormat="1">
      <c r="A523" s="426" t="str">
        <f t="shared" si="47"/>
        <v>KU</v>
      </c>
      <c r="B523" s="426" t="str">
        <f t="shared" si="48"/>
        <v>KY</v>
      </c>
      <c r="C523" s="426" t="str">
        <f t="shared" si="49"/>
        <v>E</v>
      </c>
      <c r="D523" s="426" t="s">
        <v>2670</v>
      </c>
      <c r="E523" s="426" t="str">
        <f t="shared" si="44"/>
        <v>345</v>
      </c>
      <c r="F523" s="741" t="s">
        <v>2192</v>
      </c>
      <c r="G523" s="425" t="str">
        <f t="shared" si="50"/>
        <v/>
      </c>
      <c r="I523" s="426">
        <v>1.9756</v>
      </c>
      <c r="J523" s="426">
        <v>1.99885</v>
      </c>
      <c r="K523" s="426">
        <v>2.0914700000000002</v>
      </c>
      <c r="L523" s="426">
        <v>2.7828200000000001</v>
      </c>
      <c r="M523" s="426">
        <v>3.3815299999999899</v>
      </c>
      <c r="N523" s="426">
        <v>3.3815299999999899</v>
      </c>
      <c r="O523" s="426">
        <v>3.3815262209500001</v>
      </c>
      <c r="P523" s="426">
        <v>3.3815262209500001</v>
      </c>
      <c r="Q523" s="426">
        <v>3.3815262209500001</v>
      </c>
      <c r="R523" s="426">
        <v>3.3815262209500001</v>
      </c>
      <c r="S523" s="426">
        <v>3.3815262209500001</v>
      </c>
      <c r="T523" s="426">
        <v>3.3815262209500001</v>
      </c>
      <c r="U523" s="426">
        <f t="shared" si="46"/>
        <v>35.900957325699984</v>
      </c>
    </row>
    <row r="524" spans="1:21" s="426" customFormat="1">
      <c r="A524" s="426" t="str">
        <f t="shared" si="47"/>
        <v>KU</v>
      </c>
      <c r="B524" s="426" t="str">
        <f t="shared" si="48"/>
        <v>KY</v>
      </c>
      <c r="C524" s="426" t="str">
        <f t="shared" si="49"/>
        <v>E</v>
      </c>
      <c r="D524" s="426" t="s">
        <v>2670</v>
      </c>
      <c r="E524" s="426" t="str">
        <f t="shared" si="44"/>
        <v>346</v>
      </c>
      <c r="F524" s="741" t="s">
        <v>1751</v>
      </c>
      <c r="G524" s="425" t="str">
        <f t="shared" si="50"/>
        <v/>
      </c>
      <c r="I524" s="426">
        <v>20.49446</v>
      </c>
      <c r="J524" s="426">
        <v>20.49446</v>
      </c>
      <c r="K524" s="426">
        <v>20.49446</v>
      </c>
      <c r="L524" s="426">
        <v>20.49446</v>
      </c>
      <c r="M524" s="426">
        <v>20.49446</v>
      </c>
      <c r="N524" s="426">
        <v>20.49446</v>
      </c>
      <c r="O524" s="426">
        <v>20.494448937124002</v>
      </c>
      <c r="P524" s="426">
        <v>20.494448937124002</v>
      </c>
      <c r="Q524" s="426">
        <v>20.494448937124002</v>
      </c>
      <c r="R524" s="426">
        <v>20.494448937124002</v>
      </c>
      <c r="S524" s="426">
        <v>20.494448937124002</v>
      </c>
      <c r="T524" s="426">
        <v>20.494448937124002</v>
      </c>
      <c r="U524" s="426">
        <f t="shared" si="46"/>
        <v>245.93345362274397</v>
      </c>
    </row>
    <row r="525" spans="1:21" s="426" customFormat="1">
      <c r="A525" s="426" t="str">
        <f t="shared" si="47"/>
        <v>KU</v>
      </c>
      <c r="B525" s="426" t="str">
        <f t="shared" si="48"/>
        <v>KY</v>
      </c>
      <c r="C525" s="426" t="str">
        <f t="shared" si="49"/>
        <v>E</v>
      </c>
      <c r="D525" s="426" t="s">
        <v>2670</v>
      </c>
      <c r="E525" s="426" t="str">
        <f t="shared" si="44"/>
        <v>346</v>
      </c>
      <c r="F525" s="741" t="s">
        <v>2193</v>
      </c>
      <c r="G525" s="425" t="str">
        <f t="shared" si="50"/>
        <v/>
      </c>
      <c r="I525" s="426">
        <v>8.9894499999999997</v>
      </c>
      <c r="J525" s="426">
        <v>8.9894499999999997</v>
      </c>
      <c r="K525" s="426">
        <v>8.9894499999999997</v>
      </c>
      <c r="L525" s="426">
        <v>8.9894499999999997</v>
      </c>
      <c r="M525" s="426">
        <v>8.9894499999999997</v>
      </c>
      <c r="N525" s="426">
        <v>8.9894499999999997</v>
      </c>
      <c r="O525" s="426">
        <v>8.9894520050000004</v>
      </c>
      <c r="P525" s="426">
        <v>8.9894520050000004</v>
      </c>
      <c r="Q525" s="426">
        <v>8.9894520050000004</v>
      </c>
      <c r="R525" s="426">
        <v>8.9894520050000004</v>
      </c>
      <c r="S525" s="426">
        <v>8.9894520050000004</v>
      </c>
      <c r="T525" s="426">
        <v>8.9894520050000004</v>
      </c>
      <c r="U525" s="426">
        <f t="shared" si="46"/>
        <v>107.87341203000001</v>
      </c>
    </row>
    <row r="526" spans="1:21" s="426" customFormat="1">
      <c r="A526" s="426" t="str">
        <f t="shared" si="47"/>
        <v>KU</v>
      </c>
      <c r="B526" s="426" t="str">
        <f t="shared" si="48"/>
        <v>KY</v>
      </c>
      <c r="C526" s="426" t="str">
        <f t="shared" si="49"/>
        <v>E</v>
      </c>
      <c r="D526" s="426" t="s">
        <v>2670</v>
      </c>
      <c r="E526" s="426" t="str">
        <f t="shared" si="44"/>
        <v>346</v>
      </c>
      <c r="F526" s="741" t="s">
        <v>2194</v>
      </c>
      <c r="G526" s="425" t="str">
        <f t="shared" si="50"/>
        <v/>
      </c>
      <c r="I526" s="426">
        <v>1.5044200000000001</v>
      </c>
      <c r="J526" s="426">
        <v>1.5044200000000001</v>
      </c>
      <c r="K526" s="426">
        <v>1.5044200000000001</v>
      </c>
      <c r="L526" s="426">
        <v>1.5581499999999999</v>
      </c>
      <c r="M526" s="426">
        <v>1.61188</v>
      </c>
      <c r="N526" s="426">
        <v>1.61188</v>
      </c>
      <c r="O526" s="426">
        <v>1.6118802521</v>
      </c>
      <c r="P526" s="426">
        <v>1.6118802521</v>
      </c>
      <c r="Q526" s="426">
        <v>1.6118802521</v>
      </c>
      <c r="R526" s="426">
        <v>1.7894626950999999</v>
      </c>
      <c r="S526" s="426">
        <v>1.9670451371</v>
      </c>
      <c r="T526" s="426">
        <v>1.9670451371</v>
      </c>
      <c r="U526" s="426">
        <f t="shared" si="46"/>
        <v>19.854363725600003</v>
      </c>
    </row>
    <row r="527" spans="1:21" s="426" customFormat="1">
      <c r="A527" s="426" t="str">
        <f t="shared" si="47"/>
        <v>KU</v>
      </c>
      <c r="B527" s="426" t="str">
        <f t="shared" si="48"/>
        <v>KY</v>
      </c>
      <c r="C527" s="426" t="str">
        <f t="shared" si="49"/>
        <v>E</v>
      </c>
      <c r="D527" s="426" t="s">
        <v>2670</v>
      </c>
      <c r="E527" s="426" t="str">
        <f t="shared" si="44"/>
        <v>347</v>
      </c>
      <c r="F527" s="741" t="s">
        <v>2195</v>
      </c>
      <c r="G527" s="425" t="str">
        <f t="shared" si="50"/>
        <v>ARO</v>
      </c>
      <c r="I527" s="426">
        <v>1.6791199999999999</v>
      </c>
      <c r="J527" s="426">
        <v>1.6791199999999999</v>
      </c>
      <c r="K527" s="426">
        <v>1.6791199999999999</v>
      </c>
      <c r="L527" s="426">
        <v>1.6791199999999999</v>
      </c>
      <c r="M527" s="426">
        <v>1.6791199999999999</v>
      </c>
      <c r="N527" s="426">
        <v>1.6791199999999999</v>
      </c>
      <c r="O527" s="426">
        <v>1.66120391576844</v>
      </c>
      <c r="P527" s="426">
        <v>1.66120391576844</v>
      </c>
      <c r="Q527" s="426">
        <v>1.66120391576844</v>
      </c>
      <c r="R527" s="426">
        <v>1.66120391576844</v>
      </c>
      <c r="S527" s="426">
        <v>1.66120391576844</v>
      </c>
      <c r="T527" s="426">
        <v>1.66120391576844</v>
      </c>
      <c r="U527" s="426">
        <f t="shared" si="46"/>
        <v>20.041943494610635</v>
      </c>
    </row>
    <row r="528" spans="1:21" s="426" customFormat="1">
      <c r="A528" s="426" t="str">
        <f t="shared" si="47"/>
        <v>KU</v>
      </c>
      <c r="B528" s="426" t="str">
        <f t="shared" si="48"/>
        <v>KY</v>
      </c>
      <c r="C528" s="426" t="str">
        <f t="shared" si="49"/>
        <v>E</v>
      </c>
      <c r="D528" s="426" t="s">
        <v>2670</v>
      </c>
      <c r="E528" s="426" t="str">
        <f t="shared" si="44"/>
        <v>350</v>
      </c>
      <c r="F528" s="741" t="s">
        <v>1752</v>
      </c>
      <c r="G528" s="425" t="str">
        <f t="shared" si="50"/>
        <v/>
      </c>
      <c r="I528" s="426">
        <v>19.572109999999999</v>
      </c>
      <c r="J528" s="426">
        <v>19.572109999999999</v>
      </c>
      <c r="K528" s="426">
        <v>19.572109999999999</v>
      </c>
      <c r="L528" s="426">
        <v>19.572109999999999</v>
      </c>
      <c r="M528" s="426">
        <v>19.572109999999999</v>
      </c>
      <c r="N528" s="426">
        <v>19.572109999999999</v>
      </c>
      <c r="O528" s="426">
        <v>19.722793889999998</v>
      </c>
      <c r="P528" s="426">
        <v>20.046247579999999</v>
      </c>
      <c r="Q528" s="426">
        <v>20.219019970000002</v>
      </c>
      <c r="R528" s="426">
        <v>20.219019970000002</v>
      </c>
      <c r="S528" s="426">
        <v>20.219019970000002</v>
      </c>
      <c r="T528" s="426">
        <v>20.219019970000002</v>
      </c>
      <c r="U528" s="426">
        <f t="shared" si="46"/>
        <v>238.07778135000001</v>
      </c>
    </row>
    <row r="529" spans="1:21" s="426" customFormat="1">
      <c r="A529" s="426" t="str">
        <f t="shared" si="47"/>
        <v>KU</v>
      </c>
      <c r="B529" s="426" t="str">
        <f t="shared" si="48"/>
        <v>TN</v>
      </c>
      <c r="C529" s="426" t="str">
        <f t="shared" si="49"/>
        <v>E</v>
      </c>
      <c r="D529" s="426" t="s">
        <v>2670</v>
      </c>
      <c r="E529" s="426" t="str">
        <f t="shared" si="44"/>
        <v>350</v>
      </c>
      <c r="F529" s="741" t="s">
        <v>1753</v>
      </c>
      <c r="G529" s="425" t="str">
        <f t="shared" si="50"/>
        <v/>
      </c>
      <c r="I529" s="426">
        <v>3.1E-4</v>
      </c>
      <c r="J529" s="426">
        <v>3.1E-4</v>
      </c>
      <c r="K529" s="426">
        <v>3.1E-4</v>
      </c>
      <c r="L529" s="426">
        <v>3.1E-4</v>
      </c>
      <c r="M529" s="426">
        <v>3.1E-4</v>
      </c>
      <c r="N529" s="426">
        <v>3.1E-4</v>
      </c>
      <c r="O529" s="426">
        <v>3.1499650000000001E-4</v>
      </c>
      <c r="P529" s="426">
        <v>3.1499650000000001E-4</v>
      </c>
      <c r="Q529" s="426">
        <v>3.1499650000000001E-4</v>
      </c>
      <c r="R529" s="426">
        <v>3.1499650000000001E-4</v>
      </c>
      <c r="S529" s="426">
        <v>3.1499650000000001E-4</v>
      </c>
      <c r="T529" s="426">
        <v>3.1499650000000001E-4</v>
      </c>
      <c r="U529" s="426">
        <f t="shared" si="46"/>
        <v>3.7499789999999992E-3</v>
      </c>
    </row>
    <row r="530" spans="1:21" s="426" customFormat="1">
      <c r="A530" s="426" t="str">
        <f t="shared" si="47"/>
        <v>KU</v>
      </c>
      <c r="B530" s="426" t="str">
        <f t="shared" si="48"/>
        <v>VA</v>
      </c>
      <c r="C530" s="426" t="str">
        <f t="shared" si="49"/>
        <v>E</v>
      </c>
      <c r="D530" s="426" t="s">
        <v>2670</v>
      </c>
      <c r="E530" s="426" t="str">
        <f t="shared" si="44"/>
        <v>350</v>
      </c>
      <c r="F530" s="741" t="s">
        <v>1754</v>
      </c>
      <c r="G530" s="425" t="str">
        <f t="shared" si="50"/>
        <v/>
      </c>
      <c r="I530" s="426">
        <v>1.6065400000000001</v>
      </c>
      <c r="J530" s="426">
        <v>1.6065400000000001</v>
      </c>
      <c r="K530" s="426">
        <v>1.6065400000000001</v>
      </c>
      <c r="L530" s="426">
        <v>1.6065400000000001</v>
      </c>
      <c r="M530" s="426">
        <v>1.6065400000000001</v>
      </c>
      <c r="N530" s="426">
        <v>1.6065400000000001</v>
      </c>
      <c r="O530" s="426">
        <v>1.6065383369999999</v>
      </c>
      <c r="P530" s="426">
        <v>1.6065383369999999</v>
      </c>
      <c r="Q530" s="426">
        <v>1.6065383369999999</v>
      </c>
      <c r="R530" s="426">
        <v>1.6065383369999999</v>
      </c>
      <c r="S530" s="426">
        <v>1.6065383369999999</v>
      </c>
      <c r="T530" s="426">
        <v>1.6065383369999999</v>
      </c>
      <c r="U530" s="426">
        <f t="shared" si="46"/>
        <v>19.278470022</v>
      </c>
    </row>
    <row r="531" spans="1:21" s="426" customFormat="1">
      <c r="A531" s="426" t="str">
        <f t="shared" si="47"/>
        <v>KU</v>
      </c>
      <c r="B531" s="426" t="str">
        <f t="shared" si="48"/>
        <v>KY</v>
      </c>
      <c r="C531" s="426" t="str">
        <f t="shared" si="49"/>
        <v>E</v>
      </c>
      <c r="D531" s="426" t="s">
        <v>2670</v>
      </c>
      <c r="E531" s="426" t="str">
        <f t="shared" si="44"/>
        <v>352</v>
      </c>
      <c r="F531" s="741" t="s">
        <v>1755</v>
      </c>
      <c r="G531" s="425" t="str">
        <f t="shared" si="50"/>
        <v/>
      </c>
      <c r="I531" s="426">
        <v>1.72848</v>
      </c>
      <c r="J531" s="426">
        <v>1.72848</v>
      </c>
      <c r="K531" s="426">
        <v>1.72848</v>
      </c>
      <c r="L531" s="426">
        <v>1.72848</v>
      </c>
      <c r="M531" s="426">
        <v>1.72848</v>
      </c>
      <c r="N531" s="426">
        <v>1.72848</v>
      </c>
      <c r="O531" s="426">
        <v>1.7341858344250001</v>
      </c>
      <c r="P531" s="426">
        <v>1.73988705454999</v>
      </c>
      <c r="Q531" s="426">
        <v>1.73988705454999</v>
      </c>
      <c r="R531" s="426">
        <v>1.73988705454999</v>
      </c>
      <c r="S531" s="426">
        <v>1.73988705454999</v>
      </c>
      <c r="T531" s="426">
        <v>1.73988705454999</v>
      </c>
      <c r="U531" s="426">
        <f t="shared" si="46"/>
        <v>20.80450110717495</v>
      </c>
    </row>
    <row r="532" spans="1:21" s="426" customFormat="1">
      <c r="A532" s="426" t="str">
        <f t="shared" si="47"/>
        <v>KU</v>
      </c>
      <c r="B532" s="426" t="str">
        <f t="shared" si="48"/>
        <v>KY</v>
      </c>
      <c r="C532" s="426" t="str">
        <f t="shared" si="49"/>
        <v>E</v>
      </c>
      <c r="D532" s="426" t="s">
        <v>2670</v>
      </c>
      <c r="E532" s="426" t="str">
        <f t="shared" si="44"/>
        <v>352</v>
      </c>
      <c r="F532" s="741" t="s">
        <v>1756</v>
      </c>
      <c r="G532" s="425" t="str">
        <f t="shared" si="50"/>
        <v/>
      </c>
      <c r="I532" s="426">
        <v>42.787219999999998</v>
      </c>
      <c r="J532" s="426">
        <v>42.579740000000001</v>
      </c>
      <c r="K532" s="426">
        <v>42.481250000000003</v>
      </c>
      <c r="L532" s="426">
        <v>42.471049999999998</v>
      </c>
      <c r="M532" s="426">
        <v>42.460850000000001</v>
      </c>
      <c r="N532" s="426">
        <v>42.460850000000001</v>
      </c>
      <c r="O532" s="426">
        <v>42.471850930999999</v>
      </c>
      <c r="P532" s="426">
        <v>42.482846658999897</v>
      </c>
      <c r="Q532" s="426">
        <v>42.482846658999897</v>
      </c>
      <c r="R532" s="426">
        <v>42.482846658999897</v>
      </c>
      <c r="S532" s="426">
        <v>42.482846658999897</v>
      </c>
      <c r="T532" s="426">
        <v>42.482846658999897</v>
      </c>
      <c r="U532" s="426">
        <f t="shared" si="46"/>
        <v>510.1270442259995</v>
      </c>
    </row>
    <row r="533" spans="1:21" s="426" customFormat="1">
      <c r="A533" s="426" t="str">
        <f t="shared" si="47"/>
        <v>KU</v>
      </c>
      <c r="B533" s="426" t="str">
        <f t="shared" si="48"/>
        <v>VA</v>
      </c>
      <c r="C533" s="426" t="str">
        <f t="shared" si="49"/>
        <v>E</v>
      </c>
      <c r="D533" s="426" t="s">
        <v>2670</v>
      </c>
      <c r="E533" s="426" t="str">
        <f t="shared" si="44"/>
        <v>352</v>
      </c>
      <c r="F533" s="741" t="s">
        <v>1757</v>
      </c>
      <c r="G533" s="425" t="str">
        <f t="shared" si="50"/>
        <v/>
      </c>
      <c r="I533" s="426">
        <v>2.41596999999999</v>
      </c>
      <c r="J533" s="426">
        <v>2.41596999999999</v>
      </c>
      <c r="K533" s="426">
        <v>2.4542999999999999</v>
      </c>
      <c r="L533" s="426">
        <v>2.4926300000000001</v>
      </c>
      <c r="M533" s="426">
        <v>2.4926300000000001</v>
      </c>
      <c r="N533" s="426">
        <v>2.4926300000000001</v>
      </c>
      <c r="O533" s="426">
        <v>2.4926306855</v>
      </c>
      <c r="P533" s="426">
        <v>2.4926306855</v>
      </c>
      <c r="Q533" s="426">
        <v>2.4926306855</v>
      </c>
      <c r="R533" s="426">
        <v>2.4926306855</v>
      </c>
      <c r="S533" s="426">
        <v>2.4926306855</v>
      </c>
      <c r="T533" s="426">
        <v>2.4926306855</v>
      </c>
      <c r="U533" s="426">
        <f t="shared" si="46"/>
        <v>29.71991411299998</v>
      </c>
    </row>
    <row r="534" spans="1:21" s="426" customFormat="1">
      <c r="A534" s="426" t="str">
        <f t="shared" si="47"/>
        <v>KU</v>
      </c>
      <c r="B534" s="426" t="str">
        <f t="shared" si="48"/>
        <v>KY</v>
      </c>
      <c r="C534" s="426" t="str">
        <f t="shared" si="49"/>
        <v>E</v>
      </c>
      <c r="D534" s="426" t="s">
        <v>2670</v>
      </c>
      <c r="E534" s="426" t="str">
        <f t="shared" si="44"/>
        <v>353</v>
      </c>
      <c r="F534" s="741" t="s">
        <v>1758</v>
      </c>
      <c r="G534" s="425" t="str">
        <f t="shared" si="50"/>
        <v/>
      </c>
      <c r="I534" s="426">
        <v>532.32443999999998</v>
      </c>
      <c r="J534" s="426">
        <v>532.63593000000003</v>
      </c>
      <c r="K534" s="426">
        <v>532.69114000000002</v>
      </c>
      <c r="L534" s="426">
        <v>533.95907999999997</v>
      </c>
      <c r="M534" s="426">
        <v>536.31586000000004</v>
      </c>
      <c r="N534" s="426">
        <v>542.04362000000003</v>
      </c>
      <c r="O534" s="426">
        <v>546.71863178000001</v>
      </c>
      <c r="P534" s="426">
        <v>547.71717919999901</v>
      </c>
      <c r="Q534" s="426">
        <v>550.97794525999996</v>
      </c>
      <c r="R534" s="426">
        <v>557.26883788999999</v>
      </c>
      <c r="S534" s="426">
        <v>561.33980656999995</v>
      </c>
      <c r="T534" s="426">
        <v>563.75637327000004</v>
      </c>
      <c r="U534" s="426">
        <f t="shared" si="46"/>
        <v>6537.7488439699991</v>
      </c>
    </row>
    <row r="535" spans="1:21" s="426" customFormat="1">
      <c r="A535" s="426" t="str">
        <f t="shared" si="47"/>
        <v>KU</v>
      </c>
      <c r="B535" s="426" t="str">
        <f t="shared" si="48"/>
        <v>VA</v>
      </c>
      <c r="C535" s="426" t="str">
        <f t="shared" si="49"/>
        <v>E</v>
      </c>
      <c r="D535" s="426" t="s">
        <v>2670</v>
      </c>
      <c r="E535" s="426" t="str">
        <f t="shared" si="44"/>
        <v>353</v>
      </c>
      <c r="F535" s="741" t="s">
        <v>1760</v>
      </c>
      <c r="G535" s="425" t="str">
        <f t="shared" si="50"/>
        <v/>
      </c>
      <c r="I535" s="426">
        <v>38.236600000000003</v>
      </c>
      <c r="J535" s="426">
        <v>38.229309999999998</v>
      </c>
      <c r="K535" s="426">
        <v>38.276479999999999</v>
      </c>
      <c r="L535" s="426">
        <v>38.324559999999998</v>
      </c>
      <c r="M535" s="426">
        <v>38.324559999999998</v>
      </c>
      <c r="N535" s="426">
        <v>38.324559999999998</v>
      </c>
      <c r="O535" s="426">
        <v>38.324552300000001</v>
      </c>
      <c r="P535" s="426">
        <v>38.324552300000001</v>
      </c>
      <c r="Q535" s="426">
        <v>38.324552300000001</v>
      </c>
      <c r="R535" s="426">
        <v>42.299116331</v>
      </c>
      <c r="S535" s="426">
        <v>46.273680352999897</v>
      </c>
      <c r="T535" s="426">
        <v>47.485849168000001</v>
      </c>
      <c r="U535" s="426">
        <f t="shared" si="46"/>
        <v>480.74837275199991</v>
      </c>
    </row>
    <row r="536" spans="1:21" s="426" customFormat="1">
      <c r="A536" s="426" t="str">
        <f t="shared" si="47"/>
        <v>KU</v>
      </c>
      <c r="B536" s="426" t="str">
        <f t="shared" si="48"/>
        <v>KY</v>
      </c>
      <c r="C536" s="426" t="str">
        <f t="shared" si="49"/>
        <v>E</v>
      </c>
      <c r="D536" s="426" t="s">
        <v>2670</v>
      </c>
      <c r="E536" s="426" t="str">
        <f t="shared" ref="E536:E596" si="51">MID($F536,8,3)</f>
        <v>354</v>
      </c>
      <c r="F536" s="741" t="s">
        <v>1761</v>
      </c>
      <c r="G536" s="425" t="str">
        <f t="shared" si="50"/>
        <v/>
      </c>
      <c r="I536" s="426">
        <v>99.691550000000007</v>
      </c>
      <c r="J536" s="426">
        <v>99.691550000000007</v>
      </c>
      <c r="K536" s="426">
        <v>99.691550000000007</v>
      </c>
      <c r="L536" s="426">
        <v>99.691550000000007</v>
      </c>
      <c r="M536" s="426">
        <v>99.691550000000007</v>
      </c>
      <c r="N536" s="426">
        <v>99.691550000000007</v>
      </c>
      <c r="O536" s="426">
        <v>99.691543200999902</v>
      </c>
      <c r="P536" s="426">
        <v>99.691543200999902</v>
      </c>
      <c r="Q536" s="426">
        <v>99.691543200999902</v>
      </c>
      <c r="R536" s="426">
        <v>99.691543200999902</v>
      </c>
      <c r="S536" s="426">
        <v>99.691543200999902</v>
      </c>
      <c r="T536" s="426">
        <v>99.691543200999902</v>
      </c>
      <c r="U536" s="426">
        <f t="shared" si="46"/>
        <v>1196.2985592059995</v>
      </c>
    </row>
    <row r="537" spans="1:21" s="426" customFormat="1">
      <c r="A537" s="426" t="str">
        <f t="shared" si="47"/>
        <v>KU</v>
      </c>
      <c r="B537" s="426" t="str">
        <f t="shared" si="48"/>
        <v>VA</v>
      </c>
      <c r="C537" s="426" t="str">
        <f t="shared" si="49"/>
        <v>E</v>
      </c>
      <c r="D537" s="426" t="s">
        <v>2670</v>
      </c>
      <c r="E537" s="426" t="str">
        <f t="shared" si="51"/>
        <v>354</v>
      </c>
      <c r="F537" s="741" t="s">
        <v>1762</v>
      </c>
      <c r="G537" s="425" t="str">
        <f t="shared" si="50"/>
        <v/>
      </c>
      <c r="I537" s="426">
        <v>10.11336</v>
      </c>
      <c r="J537" s="426">
        <v>10.11336</v>
      </c>
      <c r="K537" s="426">
        <v>10.11336</v>
      </c>
      <c r="L537" s="426">
        <v>10.11336</v>
      </c>
      <c r="M537" s="426">
        <v>10.11336</v>
      </c>
      <c r="N537" s="426">
        <v>10.11336</v>
      </c>
      <c r="O537" s="426">
        <v>10.113356164000001</v>
      </c>
      <c r="P537" s="426">
        <v>10.113356164000001</v>
      </c>
      <c r="Q537" s="426">
        <v>10.113356164000001</v>
      </c>
      <c r="R537" s="426">
        <v>10.113356164000001</v>
      </c>
      <c r="S537" s="426">
        <v>10.113356164000001</v>
      </c>
      <c r="T537" s="426">
        <v>10.113356164000001</v>
      </c>
      <c r="U537" s="426">
        <f t="shared" si="46"/>
        <v>121.36029698399997</v>
      </c>
    </row>
    <row r="538" spans="1:21" s="426" customFormat="1">
      <c r="A538" s="426" t="str">
        <f t="shared" si="47"/>
        <v>KU</v>
      </c>
      <c r="B538" s="426" t="str">
        <f t="shared" si="48"/>
        <v>KY</v>
      </c>
      <c r="C538" s="426" t="str">
        <f t="shared" si="49"/>
        <v>E</v>
      </c>
      <c r="D538" s="426" t="s">
        <v>2670</v>
      </c>
      <c r="E538" s="426" t="str">
        <f t="shared" si="51"/>
        <v>355</v>
      </c>
      <c r="F538" s="741" t="s">
        <v>1763</v>
      </c>
      <c r="G538" s="425" t="str">
        <f t="shared" si="50"/>
        <v/>
      </c>
      <c r="I538" s="426">
        <v>1019.26721</v>
      </c>
      <c r="J538" s="426">
        <v>1031.7345499999999</v>
      </c>
      <c r="K538" s="426">
        <v>1049.3335300000001</v>
      </c>
      <c r="L538" s="426">
        <v>1057.6087500000001</v>
      </c>
      <c r="M538" s="426">
        <v>1072.8731499999999</v>
      </c>
      <c r="N538" s="426">
        <v>1097.1832199999999</v>
      </c>
      <c r="O538" s="426">
        <v>1119.8715743600001</v>
      </c>
      <c r="P538" s="426">
        <v>1162.8216416400001</v>
      </c>
      <c r="Q538" s="426">
        <v>1197.58939932</v>
      </c>
      <c r="R538" s="426">
        <v>1220.32565708999</v>
      </c>
      <c r="S538" s="426">
        <v>1239.0136141800001</v>
      </c>
      <c r="T538" s="426">
        <v>1241.1569896199901</v>
      </c>
      <c r="U538" s="426">
        <f t="shared" si="46"/>
        <v>13508.779286209981</v>
      </c>
    </row>
    <row r="539" spans="1:21" s="426" customFormat="1">
      <c r="A539" s="426" t="str">
        <f t="shared" si="47"/>
        <v>KU</v>
      </c>
      <c r="B539" s="426" t="str">
        <f t="shared" si="48"/>
        <v>TN</v>
      </c>
      <c r="C539" s="426" t="str">
        <f t="shared" si="49"/>
        <v>E</v>
      </c>
      <c r="D539" s="426" t="s">
        <v>2670</v>
      </c>
      <c r="E539" s="426" t="str">
        <f t="shared" si="51"/>
        <v>355</v>
      </c>
      <c r="F539" s="741" t="s">
        <v>1764</v>
      </c>
      <c r="G539" s="425" t="str">
        <f t="shared" si="50"/>
        <v/>
      </c>
      <c r="I539" s="426">
        <v>0.31436999999999998</v>
      </c>
      <c r="J539" s="426">
        <v>0.31436999999999998</v>
      </c>
      <c r="K539" s="426">
        <v>0.31436999999999998</v>
      </c>
      <c r="L539" s="426">
        <v>0.31436999999999998</v>
      </c>
      <c r="M539" s="426">
        <v>0.31436999999999998</v>
      </c>
      <c r="N539" s="426">
        <v>0.31436999999999998</v>
      </c>
      <c r="O539" s="426">
        <v>0.31436831912000002</v>
      </c>
      <c r="P539" s="426">
        <v>0.31436831912000002</v>
      </c>
      <c r="Q539" s="426">
        <v>0.31436831912000002</v>
      </c>
      <c r="R539" s="426">
        <v>0.31436831912000002</v>
      </c>
      <c r="S539" s="426">
        <v>0.31436831912000002</v>
      </c>
      <c r="T539" s="426">
        <v>0.31436831912000002</v>
      </c>
      <c r="U539" s="426">
        <f t="shared" ref="U539:U598" si="52">SUM(I539:T539)</f>
        <v>3.7724299147200009</v>
      </c>
    </row>
    <row r="540" spans="1:21" s="426" customFormat="1">
      <c r="A540" s="426" t="str">
        <f t="shared" si="47"/>
        <v>KU</v>
      </c>
      <c r="B540" s="426" t="str">
        <f t="shared" si="48"/>
        <v>VA</v>
      </c>
      <c r="C540" s="426" t="str">
        <f t="shared" si="49"/>
        <v>E</v>
      </c>
      <c r="D540" s="426" t="s">
        <v>2670</v>
      </c>
      <c r="E540" s="426" t="str">
        <f t="shared" si="51"/>
        <v>355</v>
      </c>
      <c r="F540" s="741" t="s">
        <v>1765</v>
      </c>
      <c r="G540" s="425" t="str">
        <f t="shared" si="50"/>
        <v/>
      </c>
      <c r="I540" s="426">
        <v>37.395849999999903</v>
      </c>
      <c r="J540" s="426">
        <v>38.741219999999998</v>
      </c>
      <c r="K540" s="426">
        <v>39.674610000000001</v>
      </c>
      <c r="L540" s="426">
        <v>40.50121</v>
      </c>
      <c r="M540" s="426">
        <v>41.711970000000001</v>
      </c>
      <c r="N540" s="426">
        <v>44.200389999999999</v>
      </c>
      <c r="O540" s="426">
        <v>44.964251152999999</v>
      </c>
      <c r="P540" s="426">
        <v>44.4434556</v>
      </c>
      <c r="Q540" s="426">
        <v>45.502739927999997</v>
      </c>
      <c r="R540" s="426">
        <v>47.959838003000002</v>
      </c>
      <c r="S540" s="426">
        <v>49.685732283</v>
      </c>
      <c r="T540" s="426">
        <v>50.013812803999997</v>
      </c>
      <c r="U540" s="426">
        <f t="shared" si="52"/>
        <v>524.79507977099991</v>
      </c>
    </row>
    <row r="541" spans="1:21" s="426" customFormat="1">
      <c r="A541" s="426" t="str">
        <f t="shared" si="47"/>
        <v>KU</v>
      </c>
      <c r="B541" s="426" t="str">
        <f t="shared" si="48"/>
        <v>KY</v>
      </c>
      <c r="C541" s="426" t="str">
        <f t="shared" si="49"/>
        <v>E</v>
      </c>
      <c r="D541" s="426" t="s">
        <v>2670</v>
      </c>
      <c r="E541" s="426" t="str">
        <f t="shared" si="51"/>
        <v>356</v>
      </c>
      <c r="F541" s="741" t="s">
        <v>1766</v>
      </c>
      <c r="G541" s="425" t="str">
        <f t="shared" si="50"/>
        <v/>
      </c>
      <c r="I541" s="426">
        <v>416.76357000000002</v>
      </c>
      <c r="J541" s="426">
        <v>429.38564000000002</v>
      </c>
      <c r="K541" s="426">
        <v>441.90199999999999</v>
      </c>
      <c r="L541" s="426">
        <v>442.94721999999899</v>
      </c>
      <c r="M541" s="426">
        <v>449.85984999999999</v>
      </c>
      <c r="N541" s="426">
        <v>461.68335999999999</v>
      </c>
      <c r="O541" s="426">
        <v>467.28983340000002</v>
      </c>
      <c r="P541" s="426">
        <v>469.15464200000002</v>
      </c>
      <c r="Q541" s="426">
        <v>470.30489045000002</v>
      </c>
      <c r="R541" s="426">
        <v>469.92183116000001</v>
      </c>
      <c r="S541" s="426">
        <v>469.731751629999</v>
      </c>
      <c r="T541" s="426">
        <v>469.63390819</v>
      </c>
      <c r="U541" s="426">
        <f t="shared" si="52"/>
        <v>5458.5784968299977</v>
      </c>
    </row>
    <row r="542" spans="1:21" s="426" customFormat="1">
      <c r="A542" s="426" t="str">
        <f t="shared" si="47"/>
        <v>KU</v>
      </c>
      <c r="B542" s="426" t="str">
        <f t="shared" si="48"/>
        <v>TN</v>
      </c>
      <c r="C542" s="426" t="str">
        <f t="shared" si="49"/>
        <v>E</v>
      </c>
      <c r="D542" s="426" t="s">
        <v>2670</v>
      </c>
      <c r="E542" s="426" t="str">
        <f t="shared" si="51"/>
        <v>356</v>
      </c>
      <c r="F542" s="741" t="s">
        <v>1767</v>
      </c>
      <c r="G542" s="425" t="str">
        <f t="shared" si="50"/>
        <v/>
      </c>
      <c r="I542" s="426">
        <v>0.17079</v>
      </c>
      <c r="J542" s="426">
        <v>0.17079</v>
      </c>
      <c r="K542" s="426">
        <v>0.17079</v>
      </c>
      <c r="L542" s="426">
        <v>0.17079</v>
      </c>
      <c r="M542" s="426">
        <v>0.17079</v>
      </c>
      <c r="N542" s="426">
        <v>0.17079</v>
      </c>
      <c r="O542" s="426">
        <v>0.17079664850000001</v>
      </c>
      <c r="P542" s="426">
        <v>0.17079664850000001</v>
      </c>
      <c r="Q542" s="426">
        <v>0.17079664850000001</v>
      </c>
      <c r="R542" s="426">
        <v>0.17079664850000001</v>
      </c>
      <c r="S542" s="426">
        <v>0.17079664850000001</v>
      </c>
      <c r="T542" s="426">
        <v>0.17079664850000001</v>
      </c>
      <c r="U542" s="426">
        <f t="shared" si="52"/>
        <v>2.0495198910000005</v>
      </c>
    </row>
    <row r="543" spans="1:21" s="426" customFormat="1">
      <c r="A543" s="426" t="str">
        <f t="shared" si="47"/>
        <v>KU</v>
      </c>
      <c r="B543" s="426" t="str">
        <f t="shared" si="48"/>
        <v>VA</v>
      </c>
      <c r="C543" s="426" t="str">
        <f t="shared" si="49"/>
        <v>E</v>
      </c>
      <c r="D543" s="426" t="s">
        <v>2670</v>
      </c>
      <c r="E543" s="426" t="str">
        <f t="shared" si="51"/>
        <v>356</v>
      </c>
      <c r="F543" s="741" t="s">
        <v>1768</v>
      </c>
      <c r="G543" s="425" t="str">
        <f t="shared" si="50"/>
        <v/>
      </c>
      <c r="I543" s="426">
        <v>40.930669999999999</v>
      </c>
      <c r="J543" s="426">
        <v>41.051569999999998</v>
      </c>
      <c r="K543" s="426">
        <v>41.160620000000002</v>
      </c>
      <c r="L543" s="426">
        <v>41.260069999999999</v>
      </c>
      <c r="M543" s="426">
        <v>41.38156</v>
      </c>
      <c r="N543" s="426">
        <v>41.539290000000001</v>
      </c>
      <c r="O543" s="426">
        <v>41.576184984999998</v>
      </c>
      <c r="P543" s="426">
        <v>41.576184984999998</v>
      </c>
      <c r="Q543" s="426">
        <v>41.576184984999998</v>
      </c>
      <c r="R543" s="426">
        <v>41.576184984999998</v>
      </c>
      <c r="S543" s="426">
        <v>41.576184984999998</v>
      </c>
      <c r="T543" s="426">
        <v>41.576184984999998</v>
      </c>
      <c r="U543" s="426">
        <f t="shared" si="52"/>
        <v>496.78088990999998</v>
      </c>
    </row>
    <row r="544" spans="1:21" s="426" customFormat="1">
      <c r="A544" s="426" t="str">
        <f t="shared" si="47"/>
        <v>KU</v>
      </c>
      <c r="B544" s="426" t="str">
        <f t="shared" si="48"/>
        <v>KY</v>
      </c>
      <c r="C544" s="426" t="str">
        <f t="shared" si="49"/>
        <v>E</v>
      </c>
      <c r="D544" s="426" t="s">
        <v>2670</v>
      </c>
      <c r="E544" s="426" t="str">
        <f t="shared" si="51"/>
        <v>357</v>
      </c>
      <c r="F544" s="741" t="s">
        <v>1769</v>
      </c>
      <c r="G544" s="425" t="str">
        <f t="shared" si="50"/>
        <v/>
      </c>
      <c r="I544" s="426">
        <v>0.96592999999999996</v>
      </c>
      <c r="J544" s="426">
        <v>0.96599999999999997</v>
      </c>
      <c r="K544" s="426">
        <v>0.92110000000000003</v>
      </c>
      <c r="L544" s="426">
        <v>0.87619999999999998</v>
      </c>
      <c r="M544" s="426">
        <v>0.87619999999999998</v>
      </c>
      <c r="N544" s="426">
        <v>0.87619999999999998</v>
      </c>
      <c r="O544" s="426">
        <v>0.8761995642</v>
      </c>
      <c r="P544" s="426">
        <v>0.8761995642</v>
      </c>
      <c r="Q544" s="426">
        <v>0.8761995642</v>
      </c>
      <c r="R544" s="426">
        <v>0.8761995642</v>
      </c>
      <c r="S544" s="426">
        <v>0.8761995642</v>
      </c>
      <c r="T544" s="426">
        <v>0.8761995642</v>
      </c>
      <c r="U544" s="426">
        <f t="shared" si="52"/>
        <v>10.7388273852</v>
      </c>
    </row>
    <row r="545" spans="1:21" s="426" customFormat="1">
      <c r="A545" s="426" t="str">
        <f t="shared" si="47"/>
        <v>KU</v>
      </c>
      <c r="B545" s="426" t="str">
        <f t="shared" si="48"/>
        <v>KY</v>
      </c>
      <c r="C545" s="426" t="str">
        <f t="shared" si="49"/>
        <v>E</v>
      </c>
      <c r="D545" s="426" t="s">
        <v>2670</v>
      </c>
      <c r="E545" s="426" t="str">
        <f t="shared" si="51"/>
        <v>358</v>
      </c>
      <c r="F545" s="741" t="s">
        <v>1770</v>
      </c>
      <c r="G545" s="425" t="str">
        <f t="shared" si="50"/>
        <v/>
      </c>
      <c r="I545" s="426">
        <v>0.84194999999999998</v>
      </c>
      <c r="J545" s="426">
        <v>0.84197999999999995</v>
      </c>
      <c r="K545" s="426">
        <v>0.81496999999999997</v>
      </c>
      <c r="L545" s="426">
        <v>0.77476</v>
      </c>
      <c r="M545" s="426">
        <v>0.76158000000000003</v>
      </c>
      <c r="N545" s="426">
        <v>0.76158999999999999</v>
      </c>
      <c r="O545" s="426">
        <v>0.76159268820000003</v>
      </c>
      <c r="P545" s="426">
        <v>0.76159268820000003</v>
      </c>
      <c r="Q545" s="426">
        <v>0.76159268820000003</v>
      </c>
      <c r="R545" s="426">
        <v>0.76159268820000003</v>
      </c>
      <c r="S545" s="426">
        <v>0.76159268820000003</v>
      </c>
      <c r="T545" s="426">
        <v>0.76159268820000003</v>
      </c>
      <c r="U545" s="426">
        <f t="shared" si="52"/>
        <v>9.3663861292000021</v>
      </c>
    </row>
    <row r="546" spans="1:21" s="426" customFormat="1">
      <c r="A546" s="426" t="str">
        <f t="shared" si="47"/>
        <v>KU</v>
      </c>
      <c r="B546" s="426" t="str">
        <f t="shared" si="48"/>
        <v>KY</v>
      </c>
      <c r="C546" s="426" t="str">
        <f t="shared" si="49"/>
        <v>E</v>
      </c>
      <c r="D546" s="426" t="s">
        <v>2670</v>
      </c>
      <c r="E546" s="426" t="str">
        <f t="shared" si="51"/>
        <v>359</v>
      </c>
      <c r="F546" s="741" t="s">
        <v>1771</v>
      </c>
      <c r="G546" s="425" t="str">
        <f t="shared" si="50"/>
        <v>ARO</v>
      </c>
      <c r="I546" s="426">
        <v>0.61409000000000002</v>
      </c>
      <c r="J546" s="426">
        <v>0.61409000000000002</v>
      </c>
      <c r="K546" s="426">
        <v>0.61409000000000002</v>
      </c>
      <c r="L546" s="426">
        <v>0.61409000000000002</v>
      </c>
      <c r="M546" s="426">
        <v>0.61409000000000002</v>
      </c>
      <c r="N546" s="426">
        <v>0.61409000000000002</v>
      </c>
      <c r="O546" s="426">
        <v>0.60753770584248901</v>
      </c>
      <c r="P546" s="426">
        <v>0.60753770584248901</v>
      </c>
      <c r="Q546" s="426">
        <v>0.60753770584248901</v>
      </c>
      <c r="R546" s="426">
        <v>0.60753770584248901</v>
      </c>
      <c r="S546" s="426">
        <v>0.60753770584248901</v>
      </c>
      <c r="T546" s="426">
        <v>0.60753770584248901</v>
      </c>
      <c r="U546" s="426">
        <f t="shared" si="52"/>
        <v>7.3297662350549349</v>
      </c>
    </row>
    <row r="547" spans="1:21" s="426" customFormat="1">
      <c r="A547" s="426" t="str">
        <f t="shared" si="47"/>
        <v>KU</v>
      </c>
      <c r="B547" s="426" t="str">
        <f t="shared" si="48"/>
        <v>KY</v>
      </c>
      <c r="C547" s="426" t="str">
        <f t="shared" si="49"/>
        <v>E</v>
      </c>
      <c r="D547" s="426" t="s">
        <v>2670</v>
      </c>
      <c r="E547" s="426" t="str">
        <f t="shared" si="51"/>
        <v>360</v>
      </c>
      <c r="F547" s="741" t="s">
        <v>1773</v>
      </c>
      <c r="G547" s="425" t="str">
        <f t="shared" si="50"/>
        <v/>
      </c>
      <c r="I547" s="426">
        <v>1.2842</v>
      </c>
      <c r="J547" s="426">
        <v>1.2842</v>
      </c>
      <c r="K547" s="426">
        <v>1.2842</v>
      </c>
      <c r="L547" s="426">
        <v>1.2842</v>
      </c>
      <c r="M547" s="426">
        <v>1.2842</v>
      </c>
      <c r="N547" s="426">
        <v>1.2842</v>
      </c>
      <c r="O547" s="426">
        <v>1.284201819</v>
      </c>
      <c r="P547" s="426">
        <v>1.284201819</v>
      </c>
      <c r="Q547" s="426">
        <v>1.284201819</v>
      </c>
      <c r="R547" s="426">
        <v>1.284201819</v>
      </c>
      <c r="S547" s="426">
        <v>1.284201819</v>
      </c>
      <c r="T547" s="426">
        <v>1.284201819</v>
      </c>
      <c r="U547" s="426">
        <f t="shared" si="52"/>
        <v>15.410410914</v>
      </c>
    </row>
    <row r="548" spans="1:21" s="426" customFormat="1">
      <c r="A548" s="426" t="str">
        <f t="shared" si="47"/>
        <v>KU</v>
      </c>
      <c r="B548" s="426" t="str">
        <f t="shared" si="48"/>
        <v>TN</v>
      </c>
      <c r="C548" s="426" t="str">
        <f t="shared" si="49"/>
        <v>E</v>
      </c>
      <c r="D548" s="426" t="s">
        <v>2670</v>
      </c>
      <c r="E548" s="426" t="str">
        <f t="shared" si="51"/>
        <v>360</v>
      </c>
      <c r="F548" s="741" t="s">
        <v>1774</v>
      </c>
      <c r="G548" s="425" t="str">
        <f t="shared" si="50"/>
        <v/>
      </c>
      <c r="I548" s="426">
        <v>1.4E-3</v>
      </c>
      <c r="J548" s="426">
        <v>1.4E-3</v>
      </c>
      <c r="K548" s="426">
        <v>1.4E-3</v>
      </c>
      <c r="L548" s="426">
        <v>1.4E-3</v>
      </c>
      <c r="M548" s="426">
        <v>1.4E-3</v>
      </c>
      <c r="N548" s="426">
        <v>1.4E-3</v>
      </c>
      <c r="O548" s="426">
        <v>1.4012853329999999E-3</v>
      </c>
      <c r="P548" s="426">
        <v>1.4012853329999999E-3</v>
      </c>
      <c r="Q548" s="426">
        <v>1.4012853329999999E-3</v>
      </c>
      <c r="R548" s="426">
        <v>1.4012853329999999E-3</v>
      </c>
      <c r="S548" s="426">
        <v>1.4012853329999999E-3</v>
      </c>
      <c r="T548" s="426">
        <v>1.4012853329999999E-3</v>
      </c>
      <c r="U548" s="426">
        <f t="shared" si="52"/>
        <v>1.6807711997999998E-2</v>
      </c>
    </row>
    <row r="549" spans="1:21" s="426" customFormat="1">
      <c r="A549" s="426" t="str">
        <f t="shared" si="47"/>
        <v>KU</v>
      </c>
      <c r="B549" s="426" t="str">
        <f t="shared" si="48"/>
        <v>VA</v>
      </c>
      <c r="C549" s="426" t="str">
        <f t="shared" si="49"/>
        <v>E</v>
      </c>
      <c r="D549" s="426" t="s">
        <v>2670</v>
      </c>
      <c r="E549" s="426" t="str">
        <f t="shared" si="51"/>
        <v>360</v>
      </c>
      <c r="F549" s="741" t="s">
        <v>1775</v>
      </c>
      <c r="G549" s="425" t="str">
        <f t="shared" si="50"/>
        <v/>
      </c>
      <c r="I549" s="426">
        <v>0.10839</v>
      </c>
      <c r="J549" s="426">
        <v>0.10839</v>
      </c>
      <c r="K549" s="426">
        <v>0.10839</v>
      </c>
      <c r="L549" s="426">
        <v>0.10839</v>
      </c>
      <c r="M549" s="426">
        <v>0.10839</v>
      </c>
      <c r="N549" s="426">
        <v>0.10839</v>
      </c>
      <c r="O549" s="426">
        <v>0.10839428800000001</v>
      </c>
      <c r="P549" s="426">
        <v>0.10839428800000001</v>
      </c>
      <c r="Q549" s="426">
        <v>0.10839428800000001</v>
      </c>
      <c r="R549" s="426">
        <v>0.10839428800000001</v>
      </c>
      <c r="S549" s="426">
        <v>0.10839428800000001</v>
      </c>
      <c r="T549" s="426">
        <v>0.10839428800000001</v>
      </c>
      <c r="U549" s="426">
        <f t="shared" si="52"/>
        <v>1.3007057279999998</v>
      </c>
    </row>
    <row r="550" spans="1:21" s="426" customFormat="1">
      <c r="A550" s="426" t="str">
        <f t="shared" si="47"/>
        <v>KU</v>
      </c>
      <c r="B550" s="426" t="str">
        <f t="shared" si="48"/>
        <v>KY</v>
      </c>
      <c r="C550" s="426" t="str">
        <f t="shared" si="49"/>
        <v>E</v>
      </c>
      <c r="D550" s="426" t="s">
        <v>2670</v>
      </c>
      <c r="E550" s="426" t="str">
        <f t="shared" si="51"/>
        <v>361</v>
      </c>
      <c r="F550" s="741" t="s">
        <v>1776</v>
      </c>
      <c r="G550" s="425" t="str">
        <f t="shared" si="50"/>
        <v/>
      </c>
      <c r="I550" s="426">
        <v>41.778559999999999</v>
      </c>
      <c r="J550" s="426">
        <v>41.778559999999999</v>
      </c>
      <c r="K550" s="426">
        <v>42.249409999999997</v>
      </c>
      <c r="L550" s="426">
        <v>42.671610000000001</v>
      </c>
      <c r="M550" s="426">
        <v>42.622970000000002</v>
      </c>
      <c r="N550" s="426">
        <v>42.622199999999999</v>
      </c>
      <c r="O550" s="426">
        <v>43.787538214000001</v>
      </c>
      <c r="P550" s="426">
        <v>46.125846699</v>
      </c>
      <c r="Q550" s="426">
        <v>47.959054774999998</v>
      </c>
      <c r="R550" s="426">
        <v>48.596940738000001</v>
      </c>
      <c r="S550" s="426">
        <v>48.982358800999997</v>
      </c>
      <c r="T550" s="426">
        <v>49.789356574999999</v>
      </c>
      <c r="U550" s="426">
        <f t="shared" si="52"/>
        <v>538.9644058020001</v>
      </c>
    </row>
    <row r="551" spans="1:21" s="426" customFormat="1">
      <c r="A551" s="426" t="str">
        <f t="shared" si="47"/>
        <v>KU</v>
      </c>
      <c r="B551" s="426" t="str">
        <f t="shared" si="48"/>
        <v>TN</v>
      </c>
      <c r="C551" s="426" t="str">
        <f t="shared" si="49"/>
        <v>E</v>
      </c>
      <c r="D551" s="426" t="s">
        <v>2670</v>
      </c>
      <c r="E551" s="426" t="str">
        <f t="shared" si="51"/>
        <v>361</v>
      </c>
      <c r="F551" s="741" t="s">
        <v>1777</v>
      </c>
      <c r="G551" s="425" t="str">
        <f t="shared" si="50"/>
        <v/>
      </c>
      <c r="I551" s="426">
        <v>4.5599999999999998E-3</v>
      </c>
      <c r="J551" s="426">
        <v>4.5599999999999998E-3</v>
      </c>
      <c r="K551" s="426">
        <v>4.5599999999999998E-3</v>
      </c>
      <c r="L551" s="426">
        <v>4.5599999999999998E-3</v>
      </c>
      <c r="M551" s="426">
        <v>4.5599999999999998E-3</v>
      </c>
      <c r="N551" s="426">
        <v>4.5599999999999998E-3</v>
      </c>
      <c r="O551" s="426">
        <v>4.5600245839999996E-3</v>
      </c>
      <c r="P551" s="426">
        <v>4.5600245839999996E-3</v>
      </c>
      <c r="Q551" s="426">
        <v>4.5600245839999996E-3</v>
      </c>
      <c r="R551" s="426">
        <v>4.5600245839999996E-3</v>
      </c>
      <c r="S551" s="426">
        <v>4.5600245839999996E-3</v>
      </c>
      <c r="T551" s="426">
        <v>4.5600245839999996E-3</v>
      </c>
      <c r="U551" s="426">
        <f t="shared" si="52"/>
        <v>5.4720147503999984E-2</v>
      </c>
    </row>
    <row r="552" spans="1:21" s="426" customFormat="1">
      <c r="A552" s="426" t="str">
        <f t="shared" si="47"/>
        <v>KU</v>
      </c>
      <c r="B552" s="426" t="str">
        <f t="shared" si="48"/>
        <v>VA</v>
      </c>
      <c r="C552" s="426" t="str">
        <f t="shared" si="49"/>
        <v>E</v>
      </c>
      <c r="D552" s="426" t="s">
        <v>2670</v>
      </c>
      <c r="E552" s="426" t="str">
        <f t="shared" si="51"/>
        <v>361</v>
      </c>
      <c r="F552" s="741" t="s">
        <v>1778</v>
      </c>
      <c r="G552" s="425" t="str">
        <f t="shared" si="50"/>
        <v/>
      </c>
      <c r="I552" s="426">
        <v>1.18493</v>
      </c>
      <c r="J552" s="426">
        <v>1.18493</v>
      </c>
      <c r="K552" s="426">
        <v>1.18493</v>
      </c>
      <c r="L552" s="426">
        <v>1.18493</v>
      </c>
      <c r="M552" s="426">
        <v>1.18493</v>
      </c>
      <c r="N552" s="426">
        <v>1.18493</v>
      </c>
      <c r="O552" s="426">
        <v>1.1849267408999999</v>
      </c>
      <c r="P552" s="426">
        <v>1.1849267408999999</v>
      </c>
      <c r="Q552" s="426">
        <v>1.1849267408999999</v>
      </c>
      <c r="R552" s="426">
        <v>1.1767845116</v>
      </c>
      <c r="S552" s="426">
        <v>1.1686422825</v>
      </c>
      <c r="T552" s="426">
        <v>1.1686422825</v>
      </c>
      <c r="U552" s="426">
        <f t="shared" si="52"/>
        <v>14.178429299299999</v>
      </c>
    </row>
    <row r="553" spans="1:21" s="426" customFormat="1">
      <c r="A553" s="426" t="str">
        <f t="shared" si="47"/>
        <v>KU</v>
      </c>
      <c r="B553" s="426" t="str">
        <f t="shared" si="48"/>
        <v>KY</v>
      </c>
      <c r="C553" s="426" t="str">
        <f t="shared" si="49"/>
        <v>E</v>
      </c>
      <c r="D553" s="426" t="s">
        <v>2670</v>
      </c>
      <c r="E553" s="426" t="str">
        <f t="shared" si="51"/>
        <v>362</v>
      </c>
      <c r="F553" s="741" t="s">
        <v>1779</v>
      </c>
      <c r="G553" s="425" t="str">
        <f t="shared" si="50"/>
        <v/>
      </c>
      <c r="I553" s="426">
        <v>317.59003999999999</v>
      </c>
      <c r="J553" s="426">
        <v>321.51713000000001</v>
      </c>
      <c r="K553" s="426">
        <v>324.09798000000001</v>
      </c>
      <c r="L553" s="426">
        <v>325.09658999999999</v>
      </c>
      <c r="M553" s="426">
        <v>325.98394999999999</v>
      </c>
      <c r="N553" s="426">
        <v>328.46105</v>
      </c>
      <c r="O553" s="426">
        <v>330.44551155300002</v>
      </c>
      <c r="P553" s="426">
        <v>331.43702144700001</v>
      </c>
      <c r="Q553" s="426">
        <v>336.313333722999</v>
      </c>
      <c r="R553" s="426">
        <v>350.65149111199997</v>
      </c>
      <c r="S553" s="426">
        <v>361.01609855999999</v>
      </c>
      <c r="T553" s="426">
        <v>361.417853159</v>
      </c>
      <c r="U553" s="426">
        <f t="shared" si="52"/>
        <v>4014.0280495539987</v>
      </c>
    </row>
    <row r="554" spans="1:21" s="426" customFormat="1">
      <c r="A554" s="426" t="str">
        <f t="shared" si="47"/>
        <v>KU</v>
      </c>
      <c r="B554" s="426" t="str">
        <f t="shared" si="48"/>
        <v>TN</v>
      </c>
      <c r="C554" s="426" t="str">
        <f t="shared" si="49"/>
        <v>E</v>
      </c>
      <c r="D554" s="426" t="s">
        <v>2670</v>
      </c>
      <c r="E554" s="426" t="str">
        <f t="shared" si="51"/>
        <v>362</v>
      </c>
      <c r="F554" s="741" t="s">
        <v>1780</v>
      </c>
      <c r="G554" s="425" t="str">
        <f t="shared" si="50"/>
        <v/>
      </c>
      <c r="I554" s="426">
        <v>8.6919999999999997E-2</v>
      </c>
      <c r="J554" s="426">
        <v>8.6919999999999997E-2</v>
      </c>
      <c r="K554" s="426">
        <v>8.6919999999999997E-2</v>
      </c>
      <c r="L554" s="426">
        <v>8.6919999999999997E-2</v>
      </c>
      <c r="M554" s="426">
        <v>8.6919999999999997E-2</v>
      </c>
      <c r="N554" s="426">
        <v>8.6919999999999997E-2</v>
      </c>
      <c r="O554" s="426">
        <v>8.6909446000000001E-2</v>
      </c>
      <c r="P554" s="426">
        <v>8.6909446000000001E-2</v>
      </c>
      <c r="Q554" s="426">
        <v>8.6909446000000001E-2</v>
      </c>
      <c r="R554" s="426">
        <v>8.6909446000000001E-2</v>
      </c>
      <c r="S554" s="426">
        <v>8.6909446000000001E-2</v>
      </c>
      <c r="T554" s="426">
        <v>8.6909446000000001E-2</v>
      </c>
      <c r="U554" s="426">
        <f t="shared" si="52"/>
        <v>1.0429766759999997</v>
      </c>
    </row>
    <row r="555" spans="1:21" s="426" customFormat="1">
      <c r="A555" s="426" t="str">
        <f t="shared" si="47"/>
        <v>KU</v>
      </c>
      <c r="B555" s="426" t="str">
        <f t="shared" si="48"/>
        <v>VA</v>
      </c>
      <c r="C555" s="426" t="str">
        <f t="shared" si="49"/>
        <v>E</v>
      </c>
      <c r="D555" s="426" t="s">
        <v>2670</v>
      </c>
      <c r="E555" s="426" t="str">
        <f t="shared" si="51"/>
        <v>362</v>
      </c>
      <c r="F555" s="741" t="s">
        <v>1781</v>
      </c>
      <c r="G555" s="425" t="str">
        <f t="shared" si="50"/>
        <v/>
      </c>
      <c r="I555" s="426">
        <v>11.414429999999999</v>
      </c>
      <c r="J555" s="426">
        <v>11.414429999999999</v>
      </c>
      <c r="K555" s="426">
        <v>11.651209999999899</v>
      </c>
      <c r="L555" s="426">
        <v>11.905519999999999</v>
      </c>
      <c r="M555" s="426">
        <v>11.926360000000001</v>
      </c>
      <c r="N555" s="426">
        <v>11.9354</v>
      </c>
      <c r="O555" s="426">
        <v>11.937744758999999</v>
      </c>
      <c r="P555" s="426">
        <v>11.934355201499899</v>
      </c>
      <c r="Q555" s="426">
        <v>11.934355201499899</v>
      </c>
      <c r="R555" s="426">
        <v>11.959322606500001</v>
      </c>
      <c r="S555" s="426">
        <v>11.9842900215</v>
      </c>
      <c r="T555" s="426">
        <v>11.9842900215</v>
      </c>
      <c r="U555" s="426">
        <f t="shared" si="52"/>
        <v>141.98170781149966</v>
      </c>
    </row>
    <row r="556" spans="1:21" s="426" customFormat="1">
      <c r="A556" s="426" t="str">
        <f t="shared" si="47"/>
        <v>KU</v>
      </c>
      <c r="B556" s="426" t="str">
        <f t="shared" si="48"/>
        <v>KY</v>
      </c>
      <c r="C556" s="426" t="str">
        <f t="shared" si="49"/>
        <v>E</v>
      </c>
      <c r="D556" s="426" t="s">
        <v>2670</v>
      </c>
      <c r="E556" s="426" t="str">
        <f t="shared" si="51"/>
        <v>364</v>
      </c>
      <c r="F556" s="741" t="s">
        <v>2196</v>
      </c>
      <c r="G556" s="425" t="str">
        <f t="shared" si="50"/>
        <v>ECR</v>
      </c>
      <c r="I556" s="426">
        <v>0.13472999999999999</v>
      </c>
      <c r="J556" s="426">
        <v>0.13472999999999999</v>
      </c>
      <c r="K556" s="426">
        <v>0.13472999999999999</v>
      </c>
      <c r="L556" s="426">
        <v>0.13472999999999999</v>
      </c>
      <c r="M556" s="426">
        <v>0.13472999999999999</v>
      </c>
      <c r="N556" s="426">
        <v>0.13472999999999999</v>
      </c>
      <c r="O556" s="426">
        <v>0.134733482007</v>
      </c>
      <c r="P556" s="426">
        <v>0.134733482007</v>
      </c>
      <c r="Q556" s="426">
        <v>0.134733482007</v>
      </c>
      <c r="R556" s="426">
        <v>0.134733482007</v>
      </c>
      <c r="S556" s="426">
        <v>0.134733482007</v>
      </c>
      <c r="T556" s="426">
        <v>0.134733482007</v>
      </c>
      <c r="U556" s="426">
        <f t="shared" si="52"/>
        <v>1.6167808920420004</v>
      </c>
    </row>
    <row r="557" spans="1:21" s="426" customFormat="1">
      <c r="A557" s="426" t="str">
        <f t="shared" si="47"/>
        <v>KU</v>
      </c>
      <c r="B557" s="426" t="str">
        <f t="shared" si="48"/>
        <v>KY</v>
      </c>
      <c r="C557" s="426" t="str">
        <f t="shared" si="49"/>
        <v>E</v>
      </c>
      <c r="D557" s="426" t="s">
        <v>2670</v>
      </c>
      <c r="E557" s="426" t="str">
        <f t="shared" si="51"/>
        <v>364</v>
      </c>
      <c r="F557" s="741" t="s">
        <v>1782</v>
      </c>
      <c r="G557" s="425" t="str">
        <f t="shared" si="50"/>
        <v/>
      </c>
      <c r="I557" s="426">
        <v>536.21442999999999</v>
      </c>
      <c r="J557" s="426">
        <v>538.98957999999902</v>
      </c>
      <c r="K557" s="426">
        <v>543.52806999999996</v>
      </c>
      <c r="L557" s="426">
        <v>544.97423000000003</v>
      </c>
      <c r="M557" s="426">
        <v>547.40480000000002</v>
      </c>
      <c r="N557" s="426">
        <v>550.64853000000005</v>
      </c>
      <c r="O557" s="426">
        <v>552.76730101999999</v>
      </c>
      <c r="P557" s="426">
        <v>554.42752569999902</v>
      </c>
      <c r="Q557" s="426">
        <v>555.25753697000005</v>
      </c>
      <c r="R557" s="426">
        <v>559.52349776000005</v>
      </c>
      <c r="S557" s="426">
        <v>564.58930067999995</v>
      </c>
      <c r="T557" s="426">
        <v>566.40610157999902</v>
      </c>
      <c r="U557" s="426">
        <f t="shared" si="52"/>
        <v>6614.7309037099967</v>
      </c>
    </row>
    <row r="558" spans="1:21" s="426" customFormat="1">
      <c r="A558" s="426" t="str">
        <f t="shared" si="47"/>
        <v>KU</v>
      </c>
      <c r="B558" s="426" t="str">
        <f t="shared" si="48"/>
        <v>TN</v>
      </c>
      <c r="C558" s="426" t="str">
        <f t="shared" si="49"/>
        <v>E</v>
      </c>
      <c r="D558" s="426" t="s">
        <v>2670</v>
      </c>
      <c r="E558" s="426" t="str">
        <f t="shared" si="51"/>
        <v>364</v>
      </c>
      <c r="F558" s="741" t="s">
        <v>1783</v>
      </c>
      <c r="G558" s="425" t="str">
        <f t="shared" si="50"/>
        <v/>
      </c>
      <c r="I558" s="426">
        <v>2.0739999999999901E-2</v>
      </c>
      <c r="J558" s="426">
        <v>2.0739999999999901E-2</v>
      </c>
      <c r="K558" s="426">
        <v>2.0739999999999901E-2</v>
      </c>
      <c r="L558" s="426">
        <v>2.0739999999999901E-2</v>
      </c>
      <c r="M558" s="426">
        <v>2.0739999999999901E-2</v>
      </c>
      <c r="N558" s="426">
        <v>2.0739999999999901E-2</v>
      </c>
      <c r="O558" s="426">
        <v>2.0740875996E-2</v>
      </c>
      <c r="P558" s="426">
        <v>2.0740875996E-2</v>
      </c>
      <c r="Q558" s="426">
        <v>2.0740875996E-2</v>
      </c>
      <c r="R558" s="426">
        <v>2.0740875996E-2</v>
      </c>
      <c r="S558" s="426">
        <v>2.0740875996E-2</v>
      </c>
      <c r="T558" s="426">
        <v>2.0740875996E-2</v>
      </c>
      <c r="U558" s="426">
        <f t="shared" si="52"/>
        <v>0.24888525597599939</v>
      </c>
    </row>
    <row r="559" spans="1:21" s="426" customFormat="1">
      <c r="A559" s="426" t="str">
        <f t="shared" si="47"/>
        <v>KU</v>
      </c>
      <c r="B559" s="426" t="str">
        <f t="shared" si="48"/>
        <v>VA</v>
      </c>
      <c r="C559" s="426" t="str">
        <f t="shared" si="49"/>
        <v>E</v>
      </c>
      <c r="D559" s="426" t="s">
        <v>2670</v>
      </c>
      <c r="E559" s="426" t="str">
        <f t="shared" si="51"/>
        <v>364</v>
      </c>
      <c r="F559" s="741" t="s">
        <v>1784</v>
      </c>
      <c r="G559" s="425" t="str">
        <f t="shared" si="50"/>
        <v/>
      </c>
      <c r="I559" s="426">
        <v>42.252029999999998</v>
      </c>
      <c r="J559" s="426">
        <v>41.846260000000001</v>
      </c>
      <c r="K559" s="426">
        <v>41.507739999999998</v>
      </c>
      <c r="L559" s="426">
        <v>41.57403</v>
      </c>
      <c r="M559" s="426">
        <v>41.617710000000002</v>
      </c>
      <c r="N559" s="426">
        <v>41.680210000000002</v>
      </c>
      <c r="O559" s="426">
        <v>41.746004612</v>
      </c>
      <c r="P559" s="426">
        <v>41.867412027999997</v>
      </c>
      <c r="Q559" s="426">
        <v>41.989013331000002</v>
      </c>
      <c r="R559" s="426">
        <v>42.523969518999998</v>
      </c>
      <c r="S559" s="426">
        <v>43.029360412999999</v>
      </c>
      <c r="T559" s="426">
        <v>43.063030474000001</v>
      </c>
      <c r="U559" s="426">
        <f t="shared" si="52"/>
        <v>504.69677037700001</v>
      </c>
    </row>
    <row r="560" spans="1:21" s="426" customFormat="1">
      <c r="A560" s="426" t="str">
        <f t="shared" si="47"/>
        <v>KU</v>
      </c>
      <c r="B560" s="426" t="str">
        <f t="shared" si="48"/>
        <v>KY</v>
      </c>
      <c r="C560" s="426" t="str">
        <f t="shared" si="49"/>
        <v>E</v>
      </c>
      <c r="D560" s="426" t="s">
        <v>2670</v>
      </c>
      <c r="E560" s="426" t="str">
        <f t="shared" si="51"/>
        <v>365</v>
      </c>
      <c r="F560" s="741" t="s">
        <v>2197</v>
      </c>
      <c r="G560" s="425" t="str">
        <f t="shared" si="50"/>
        <v>ECR</v>
      </c>
      <c r="I560" s="426">
        <v>0.11672</v>
      </c>
      <c r="J560" s="426">
        <v>0.11672</v>
      </c>
      <c r="K560" s="426">
        <v>0.11672</v>
      </c>
      <c r="L560" s="426">
        <v>0.11672</v>
      </c>
      <c r="M560" s="426">
        <v>0.11672</v>
      </c>
      <c r="N560" s="426">
        <v>0.11672</v>
      </c>
      <c r="O560" s="426">
        <v>0.11672401</v>
      </c>
      <c r="P560" s="426">
        <v>0.11672401</v>
      </c>
      <c r="Q560" s="426">
        <v>0.11672401</v>
      </c>
      <c r="R560" s="426">
        <v>0.11672401</v>
      </c>
      <c r="S560" s="426">
        <v>0.11672401</v>
      </c>
      <c r="T560" s="426">
        <v>0.11672401</v>
      </c>
      <c r="U560" s="426">
        <f t="shared" si="52"/>
        <v>1.40066406</v>
      </c>
    </row>
    <row r="561" spans="1:21" s="426" customFormat="1">
      <c r="A561" s="426" t="str">
        <f t="shared" si="47"/>
        <v>KU</v>
      </c>
      <c r="B561" s="426" t="str">
        <f t="shared" si="48"/>
        <v>KY</v>
      </c>
      <c r="C561" s="426" t="str">
        <f t="shared" si="49"/>
        <v>E</v>
      </c>
      <c r="D561" s="426" t="s">
        <v>2670</v>
      </c>
      <c r="E561" s="426" t="str">
        <f t="shared" si="51"/>
        <v>365</v>
      </c>
      <c r="F561" s="741" t="s">
        <v>1785</v>
      </c>
      <c r="G561" s="425" t="str">
        <f t="shared" si="50"/>
        <v/>
      </c>
      <c r="I561" s="426">
        <v>542.04540999999995</v>
      </c>
      <c r="J561" s="426">
        <v>544.75872000000004</v>
      </c>
      <c r="K561" s="426">
        <v>550.11333000000002</v>
      </c>
      <c r="L561" s="426">
        <v>549.38500999999997</v>
      </c>
      <c r="M561" s="426">
        <v>548.84643000000005</v>
      </c>
      <c r="N561" s="426">
        <v>552.46096</v>
      </c>
      <c r="O561" s="426">
        <v>560.63065951999999</v>
      </c>
      <c r="P561" s="426">
        <v>568.38663959999997</v>
      </c>
      <c r="Q561" s="426">
        <v>571.13414636000005</v>
      </c>
      <c r="R561" s="426">
        <v>577.12191689999997</v>
      </c>
      <c r="S561" s="426">
        <v>582.63777760999994</v>
      </c>
      <c r="T561" s="426">
        <v>585.14020643999902</v>
      </c>
      <c r="U561" s="426">
        <f t="shared" si="52"/>
        <v>6732.6612064299989</v>
      </c>
    </row>
    <row r="562" spans="1:21" s="426" customFormat="1">
      <c r="A562" s="426" t="str">
        <f t="shared" si="47"/>
        <v>KU</v>
      </c>
      <c r="B562" s="426" t="str">
        <f t="shared" si="48"/>
        <v>TN</v>
      </c>
      <c r="C562" s="426" t="str">
        <f t="shared" si="49"/>
        <v>E</v>
      </c>
      <c r="D562" s="426" t="s">
        <v>2670</v>
      </c>
      <c r="E562" s="426" t="str">
        <f t="shared" si="51"/>
        <v>365</v>
      </c>
      <c r="F562" s="741" t="s">
        <v>1786</v>
      </c>
      <c r="G562" s="425" t="str">
        <f t="shared" si="50"/>
        <v/>
      </c>
      <c r="I562" s="426">
        <v>2.2280000000000001E-2</v>
      </c>
      <c r="J562" s="426">
        <v>2.2280000000000001E-2</v>
      </c>
      <c r="K562" s="426">
        <v>2.2280000000000001E-2</v>
      </c>
      <c r="L562" s="426">
        <v>2.2280000000000001E-2</v>
      </c>
      <c r="M562" s="426">
        <v>2.2280000000000001E-2</v>
      </c>
      <c r="N562" s="426">
        <v>2.2280000000000001E-2</v>
      </c>
      <c r="O562" s="426">
        <v>2.2282402999999999E-2</v>
      </c>
      <c r="P562" s="426">
        <v>2.2282402999999999E-2</v>
      </c>
      <c r="Q562" s="426">
        <v>2.2282402999999999E-2</v>
      </c>
      <c r="R562" s="426">
        <v>2.2282402999999999E-2</v>
      </c>
      <c r="S562" s="426">
        <v>2.2282402999999999E-2</v>
      </c>
      <c r="T562" s="426">
        <v>2.2282402999999999E-2</v>
      </c>
      <c r="U562" s="426">
        <f t="shared" si="52"/>
        <v>0.267374418</v>
      </c>
    </row>
    <row r="563" spans="1:21" s="426" customFormat="1">
      <c r="A563" s="426" t="str">
        <f t="shared" si="47"/>
        <v>KU</v>
      </c>
      <c r="B563" s="426" t="str">
        <f t="shared" si="48"/>
        <v>VA</v>
      </c>
      <c r="C563" s="426" t="str">
        <f t="shared" si="49"/>
        <v>E</v>
      </c>
      <c r="D563" s="426" t="s">
        <v>2670</v>
      </c>
      <c r="E563" s="426" t="str">
        <f t="shared" si="51"/>
        <v>365</v>
      </c>
      <c r="F563" s="741" t="s">
        <v>1787</v>
      </c>
      <c r="G563" s="425" t="str">
        <f t="shared" si="50"/>
        <v/>
      </c>
      <c r="I563" s="426">
        <v>37.323790000000002</v>
      </c>
      <c r="J563" s="426">
        <v>37.206710000000001</v>
      </c>
      <c r="K563" s="426">
        <v>37.142290000000003</v>
      </c>
      <c r="L563" s="426">
        <v>37.179589999999997</v>
      </c>
      <c r="M563" s="426">
        <v>37.223970000000001</v>
      </c>
      <c r="N563" s="426">
        <v>37.31935</v>
      </c>
      <c r="O563" s="426">
        <v>37.656697557999998</v>
      </c>
      <c r="P563" s="426">
        <v>38.045971233000003</v>
      </c>
      <c r="Q563" s="426">
        <v>38.266541850999999</v>
      </c>
      <c r="R563" s="426">
        <v>38.617783082000003</v>
      </c>
      <c r="S563" s="426">
        <v>38.914559496999999</v>
      </c>
      <c r="T563" s="426">
        <v>39.048610779000001</v>
      </c>
      <c r="U563" s="426">
        <f t="shared" si="52"/>
        <v>453.94586400000003</v>
      </c>
    </row>
    <row r="564" spans="1:21" s="426" customFormat="1">
      <c r="A564" s="426" t="str">
        <f t="shared" ref="A564:A649" si="53">MID($F564,4,2)</f>
        <v>KU</v>
      </c>
      <c r="B564" s="426" t="str">
        <f t="shared" si="48"/>
        <v>KY</v>
      </c>
      <c r="C564" s="426" t="str">
        <f t="shared" si="49"/>
        <v>E</v>
      </c>
      <c r="D564" s="426" t="s">
        <v>2670</v>
      </c>
      <c r="E564" s="426" t="str">
        <f t="shared" si="51"/>
        <v>366</v>
      </c>
      <c r="F564" s="741" t="s">
        <v>2198</v>
      </c>
      <c r="G564" s="425" t="str">
        <f t="shared" si="50"/>
        <v>ECR</v>
      </c>
      <c r="I564" s="426">
        <v>0.41927999999999999</v>
      </c>
      <c r="J564" s="426">
        <v>0.41927999999999999</v>
      </c>
      <c r="K564" s="426">
        <v>0.41927999999999999</v>
      </c>
      <c r="L564" s="426">
        <v>0.41927999999999999</v>
      </c>
      <c r="M564" s="426">
        <v>0.41927999999999999</v>
      </c>
      <c r="N564" s="426">
        <v>0.41927999999999999</v>
      </c>
      <c r="O564" s="426">
        <v>0.41928221269999999</v>
      </c>
      <c r="P564" s="426">
        <v>0.41928221269999999</v>
      </c>
      <c r="Q564" s="426">
        <v>0.41928221269999999</v>
      </c>
      <c r="R564" s="426">
        <v>0.41928221269999999</v>
      </c>
      <c r="S564" s="426">
        <v>0.41928221269999999</v>
      </c>
      <c r="T564" s="426">
        <v>0.41928221269999999</v>
      </c>
      <c r="U564" s="426">
        <f>SUM(I564:T564)</f>
        <v>5.0313732761999992</v>
      </c>
    </row>
    <row r="565" spans="1:21" s="426" customFormat="1">
      <c r="A565" s="426" t="str">
        <f t="shared" si="53"/>
        <v>KU</v>
      </c>
      <c r="B565" s="426" t="str">
        <f t="shared" si="48"/>
        <v>KY</v>
      </c>
      <c r="C565" s="426" t="str">
        <f t="shared" si="49"/>
        <v>E</v>
      </c>
      <c r="D565" s="426" t="s">
        <v>2670</v>
      </c>
      <c r="E565" s="426" t="str">
        <f t="shared" si="51"/>
        <v>366</v>
      </c>
      <c r="F565" s="741" t="s">
        <v>1788</v>
      </c>
      <c r="G565" s="425" t="str">
        <f t="shared" si="50"/>
        <v/>
      </c>
      <c r="I565" s="426">
        <v>4.46028</v>
      </c>
      <c r="J565" s="426">
        <v>4.4603199999999896</v>
      </c>
      <c r="K565" s="426">
        <v>4.4604600000000003</v>
      </c>
      <c r="L565" s="426">
        <v>4.4605600000000001</v>
      </c>
      <c r="M565" s="426">
        <v>4.46061</v>
      </c>
      <c r="N565" s="426">
        <v>4.4607000000000001</v>
      </c>
      <c r="O565" s="426">
        <v>4.4607305259999999</v>
      </c>
      <c r="P565" s="426">
        <v>4.4607305259999999</v>
      </c>
      <c r="Q565" s="426">
        <v>4.4607305259999999</v>
      </c>
      <c r="R565" s="426">
        <v>4.4607305259999999</v>
      </c>
      <c r="S565" s="426">
        <v>4.4607305259999999</v>
      </c>
      <c r="T565" s="426">
        <v>4.4607305259999999</v>
      </c>
      <c r="U565" s="426">
        <f t="shared" si="52"/>
        <v>53.527313155999984</v>
      </c>
    </row>
    <row r="566" spans="1:21" s="426" customFormat="1">
      <c r="A566" s="426" t="str">
        <f t="shared" si="53"/>
        <v>KU</v>
      </c>
      <c r="B566" s="426" t="str">
        <f t="shared" si="48"/>
        <v>KY</v>
      </c>
      <c r="C566" s="426" t="str">
        <f t="shared" si="49"/>
        <v>E</v>
      </c>
      <c r="D566" s="426" t="s">
        <v>2670</v>
      </c>
      <c r="E566" s="426" t="str">
        <f t="shared" si="51"/>
        <v>367</v>
      </c>
      <c r="F566" s="741" t="s">
        <v>2199</v>
      </c>
      <c r="G566" s="425" t="str">
        <f t="shared" si="50"/>
        <v>ECR</v>
      </c>
      <c r="I566" s="426">
        <v>1.5298099999999999</v>
      </c>
      <c r="J566" s="426">
        <v>1.5298099999999999</v>
      </c>
      <c r="K566" s="426">
        <v>1.5298099999999999</v>
      </c>
      <c r="L566" s="426">
        <v>1.5298099999999999</v>
      </c>
      <c r="M566" s="426">
        <v>1.5298099999999999</v>
      </c>
      <c r="N566" s="426">
        <v>1.5298099999999999</v>
      </c>
      <c r="O566" s="426">
        <v>1.5298035615000001</v>
      </c>
      <c r="P566" s="426">
        <v>1.5298035615000001</v>
      </c>
      <c r="Q566" s="426">
        <v>1.5298035615000001</v>
      </c>
      <c r="R566" s="426">
        <v>1.5298035615000001</v>
      </c>
      <c r="S566" s="426">
        <v>1.5298035615000001</v>
      </c>
      <c r="T566" s="426">
        <v>1.5298035615000001</v>
      </c>
      <c r="U566" s="426">
        <f t="shared" si="52"/>
        <v>18.357681368999998</v>
      </c>
    </row>
    <row r="567" spans="1:21" s="426" customFormat="1">
      <c r="A567" s="426" t="str">
        <f t="shared" si="53"/>
        <v>KU</v>
      </c>
      <c r="B567" s="426" t="str">
        <f t="shared" si="48"/>
        <v>KY</v>
      </c>
      <c r="C567" s="426" t="str">
        <f t="shared" si="49"/>
        <v>E</v>
      </c>
      <c r="D567" s="426" t="s">
        <v>2670</v>
      </c>
      <c r="E567" s="426" t="str">
        <f t="shared" si="51"/>
        <v>367</v>
      </c>
      <c r="F567" s="741" t="s">
        <v>1789</v>
      </c>
      <c r="G567" s="425" t="str">
        <f t="shared" si="50"/>
        <v/>
      </c>
      <c r="I567" s="426">
        <v>272.99261000000001</v>
      </c>
      <c r="J567" s="426">
        <v>273.81572</v>
      </c>
      <c r="K567" s="426">
        <v>276.08715999999998</v>
      </c>
      <c r="L567" s="426">
        <v>277.02334999999999</v>
      </c>
      <c r="M567" s="426">
        <v>278.77994000000001</v>
      </c>
      <c r="N567" s="426">
        <v>281.16460000000001</v>
      </c>
      <c r="O567" s="426">
        <v>284.08797390999899</v>
      </c>
      <c r="P567" s="426">
        <v>287.30441774000002</v>
      </c>
      <c r="Q567" s="426">
        <v>289.23339233000002</v>
      </c>
      <c r="R567" s="426">
        <v>291.15720253000001</v>
      </c>
      <c r="S567" s="426">
        <v>293.22992219000002</v>
      </c>
      <c r="T567" s="426">
        <v>295.3046746</v>
      </c>
      <c r="U567" s="426">
        <f t="shared" si="52"/>
        <v>3400.1809632999993</v>
      </c>
    </row>
    <row r="568" spans="1:21" s="426" customFormat="1">
      <c r="A568" s="426" t="str">
        <f t="shared" si="53"/>
        <v>KU</v>
      </c>
      <c r="B568" s="426" t="str">
        <f t="shared" si="48"/>
        <v>VA</v>
      </c>
      <c r="C568" s="426" t="str">
        <f t="shared" si="49"/>
        <v>E</v>
      </c>
      <c r="D568" s="426" t="s">
        <v>2670</v>
      </c>
      <c r="E568" s="426" t="str">
        <f t="shared" si="51"/>
        <v>367</v>
      </c>
      <c r="F568" s="741" t="s">
        <v>1790</v>
      </c>
      <c r="G568" s="425" t="str">
        <f t="shared" si="50"/>
        <v/>
      </c>
      <c r="I568" s="426">
        <v>5.95486</v>
      </c>
      <c r="J568" s="426">
        <v>5.9690699999999897</v>
      </c>
      <c r="K568" s="426">
        <v>6.0026200000000003</v>
      </c>
      <c r="L568" s="426">
        <v>6.0268600000000001</v>
      </c>
      <c r="M568" s="426">
        <v>6.0377099999999997</v>
      </c>
      <c r="N568" s="426">
        <v>6.0482199999999997</v>
      </c>
      <c r="O568" s="426">
        <v>6.0745280507999997</v>
      </c>
      <c r="P568" s="426">
        <v>6.132173216</v>
      </c>
      <c r="Q568" s="426">
        <v>6.2132475994999998</v>
      </c>
      <c r="R568" s="426">
        <v>6.3078216307999897</v>
      </c>
      <c r="S568" s="426">
        <v>6.3801760619999897</v>
      </c>
      <c r="T568" s="426">
        <v>6.4296679335000002</v>
      </c>
      <c r="U568" s="426">
        <f t="shared" si="52"/>
        <v>73.576954492599967</v>
      </c>
    </row>
    <row r="569" spans="1:21" s="426" customFormat="1">
      <c r="A569" s="426" t="str">
        <f t="shared" si="53"/>
        <v>KU</v>
      </c>
      <c r="B569" s="426" t="str">
        <f t="shared" si="48"/>
        <v>KY</v>
      </c>
      <c r="C569" s="426" t="str">
        <f t="shared" si="49"/>
        <v>E</v>
      </c>
      <c r="D569" s="426" t="s">
        <v>2670</v>
      </c>
      <c r="E569" s="426" t="str">
        <f t="shared" si="51"/>
        <v>368</v>
      </c>
      <c r="F569" s="741" t="s">
        <v>1791</v>
      </c>
      <c r="G569" s="425" t="str">
        <f t="shared" si="50"/>
        <v/>
      </c>
      <c r="I569" s="426">
        <v>470.95596999999998</v>
      </c>
      <c r="J569" s="426">
        <v>471.93466999999998</v>
      </c>
      <c r="K569" s="426">
        <v>473.61574999999999</v>
      </c>
      <c r="L569" s="426">
        <v>474.32083999999998</v>
      </c>
      <c r="M569" s="426">
        <v>475.80081999999999</v>
      </c>
      <c r="N569" s="426">
        <v>477.72379000000001</v>
      </c>
      <c r="O569" s="426">
        <v>478.47746296999998</v>
      </c>
      <c r="P569" s="426">
        <v>478.80515131999999</v>
      </c>
      <c r="Q569" s="426">
        <v>478.77696419</v>
      </c>
      <c r="R569" s="426">
        <v>478.66878795999997</v>
      </c>
      <c r="S569" s="426">
        <v>478.89028992999903</v>
      </c>
      <c r="T569" s="426">
        <v>479.50666222000001</v>
      </c>
      <c r="U569" s="426">
        <f t="shared" si="52"/>
        <v>5717.4771585899998</v>
      </c>
    </row>
    <row r="570" spans="1:21" s="426" customFormat="1">
      <c r="A570" s="426" t="str">
        <f t="shared" si="53"/>
        <v>KU</v>
      </c>
      <c r="B570" s="426" t="str">
        <f t="shared" si="48"/>
        <v>VA</v>
      </c>
      <c r="C570" s="426" t="str">
        <f t="shared" si="49"/>
        <v>E</v>
      </c>
      <c r="D570" s="426" t="s">
        <v>2670</v>
      </c>
      <c r="E570" s="426" t="str">
        <f t="shared" si="51"/>
        <v>368</v>
      </c>
      <c r="F570" s="741" t="s">
        <v>1793</v>
      </c>
      <c r="G570" s="425" t="str">
        <f t="shared" si="50"/>
        <v/>
      </c>
      <c r="I570" s="426">
        <v>16.434729999999998</v>
      </c>
      <c r="J570" s="426">
        <v>16.436799999999899</v>
      </c>
      <c r="K570" s="426">
        <v>16.439340000000001</v>
      </c>
      <c r="L570" s="426">
        <v>16.439799999999899</v>
      </c>
      <c r="M570" s="426">
        <v>16.439799999999899</v>
      </c>
      <c r="N570" s="426">
        <v>16.439910000000001</v>
      </c>
      <c r="O570" s="426">
        <v>16.445217206799999</v>
      </c>
      <c r="P570" s="426">
        <v>16.454728066399898</v>
      </c>
      <c r="Q570" s="426">
        <v>16.459055580200001</v>
      </c>
      <c r="R570" s="426">
        <v>16.456953825500001</v>
      </c>
      <c r="S570" s="426">
        <v>16.4548520608</v>
      </c>
      <c r="T570" s="426">
        <v>16.4548520608</v>
      </c>
      <c r="U570" s="426">
        <f t="shared" si="52"/>
        <v>197.35603880049959</v>
      </c>
    </row>
    <row r="571" spans="1:21" s="426" customFormat="1">
      <c r="A571" s="426" t="str">
        <f t="shared" si="53"/>
        <v>KU</v>
      </c>
      <c r="B571" s="426" t="str">
        <f t="shared" si="48"/>
        <v>KY</v>
      </c>
      <c r="C571" s="426" t="str">
        <f t="shared" si="49"/>
        <v>E</v>
      </c>
      <c r="D571" s="426" t="s">
        <v>2670</v>
      </c>
      <c r="E571" s="426" t="str">
        <f t="shared" si="51"/>
        <v>369</v>
      </c>
      <c r="F571" s="741" t="s">
        <v>1794</v>
      </c>
      <c r="G571" s="425" t="str">
        <f t="shared" si="50"/>
        <v/>
      </c>
      <c r="I571" s="426">
        <v>169.63177999999999</v>
      </c>
      <c r="J571" s="426">
        <v>169.63421</v>
      </c>
      <c r="K571" s="426">
        <v>169.63838000000001</v>
      </c>
      <c r="L571" s="426">
        <v>169.64010999999999</v>
      </c>
      <c r="M571" s="426">
        <v>169.64185000000001</v>
      </c>
      <c r="N571" s="426">
        <v>169.64864</v>
      </c>
      <c r="O571" s="426">
        <v>169.65368506999999</v>
      </c>
      <c r="P571" s="426">
        <v>169.65368506999999</v>
      </c>
      <c r="Q571" s="426">
        <v>169.65368506999999</v>
      </c>
      <c r="R571" s="426">
        <v>169.65368506999999</v>
      </c>
      <c r="S571" s="426">
        <v>169.65368506999999</v>
      </c>
      <c r="T571" s="426">
        <v>169.65368506999999</v>
      </c>
      <c r="U571" s="426">
        <f t="shared" si="52"/>
        <v>2035.7570804199997</v>
      </c>
    </row>
    <row r="572" spans="1:21" s="426" customFormat="1">
      <c r="A572" s="426" t="str">
        <f t="shared" si="53"/>
        <v>KU</v>
      </c>
      <c r="B572" s="426" t="str">
        <f t="shared" si="48"/>
        <v>VA</v>
      </c>
      <c r="C572" s="426" t="str">
        <f t="shared" si="49"/>
        <v>E</v>
      </c>
      <c r="D572" s="426" t="s">
        <v>2670</v>
      </c>
      <c r="E572" s="426" t="str">
        <f t="shared" si="51"/>
        <v>369</v>
      </c>
      <c r="F572" s="741" t="s">
        <v>1796</v>
      </c>
      <c r="G572" s="425" t="str">
        <f t="shared" si="50"/>
        <v/>
      </c>
      <c r="I572" s="426">
        <v>8.5662900000000004</v>
      </c>
      <c r="J572" s="426">
        <v>8.5662900000000004</v>
      </c>
      <c r="K572" s="426">
        <v>8.5662900000000004</v>
      </c>
      <c r="L572" s="426">
        <v>8.5662900000000004</v>
      </c>
      <c r="M572" s="426">
        <v>8.5662900000000004</v>
      </c>
      <c r="N572" s="426">
        <v>8.5662900000000004</v>
      </c>
      <c r="O572" s="426">
        <v>8.5662927910000004</v>
      </c>
      <c r="P572" s="426">
        <v>8.5662927910000004</v>
      </c>
      <c r="Q572" s="426">
        <v>8.5662927910000004</v>
      </c>
      <c r="R572" s="426">
        <v>8.5662927910000004</v>
      </c>
      <c r="S572" s="426">
        <v>8.5662927910000004</v>
      </c>
      <c r="T572" s="426">
        <v>8.5662927910000004</v>
      </c>
      <c r="U572" s="426">
        <f t="shared" si="52"/>
        <v>102.79549674599998</v>
      </c>
    </row>
    <row r="573" spans="1:21" s="426" customFormat="1">
      <c r="A573" s="426" t="str">
        <f t="shared" si="53"/>
        <v>KU</v>
      </c>
      <c r="B573" s="426" t="str">
        <f t="shared" si="48"/>
        <v>KY</v>
      </c>
      <c r="C573" s="426" t="str">
        <f t="shared" si="49"/>
        <v>E</v>
      </c>
      <c r="D573" s="426" t="s">
        <v>2670</v>
      </c>
      <c r="E573" s="426" t="str">
        <f t="shared" si="51"/>
        <v>370</v>
      </c>
      <c r="F573" s="741" t="s">
        <v>1797</v>
      </c>
      <c r="G573" s="425" t="str">
        <f t="shared" si="50"/>
        <v/>
      </c>
      <c r="I573" s="426">
        <v>217.32469</v>
      </c>
      <c r="J573" s="426">
        <v>217.48215999999999</v>
      </c>
      <c r="K573" s="426">
        <v>217.75355999999999</v>
      </c>
      <c r="L573" s="426">
        <v>217.86748</v>
      </c>
      <c r="M573" s="426">
        <v>218.35393999999999</v>
      </c>
      <c r="N573" s="426">
        <v>218.97501</v>
      </c>
      <c r="O573" s="426">
        <v>218.97649835999999</v>
      </c>
      <c r="P573" s="426">
        <v>220.12173586</v>
      </c>
      <c r="Q573" s="426">
        <v>221.21639536000001</v>
      </c>
      <c r="R573" s="426">
        <v>220.72294176</v>
      </c>
      <c r="S573" s="426">
        <v>220.49952285999899</v>
      </c>
      <c r="T573" s="426">
        <v>220.89308836000001</v>
      </c>
      <c r="U573" s="426">
        <f t="shared" si="52"/>
        <v>2630.1870225599991</v>
      </c>
    </row>
    <row r="574" spans="1:21" s="426" customFormat="1">
      <c r="A574" s="426" t="str">
        <f t="shared" si="53"/>
        <v>KU</v>
      </c>
      <c r="B574" s="426" t="str">
        <f t="shared" si="48"/>
        <v>KY</v>
      </c>
      <c r="C574" s="426" t="str">
        <f t="shared" si="49"/>
        <v>E</v>
      </c>
      <c r="D574" s="426" t="s">
        <v>2670</v>
      </c>
      <c r="E574" s="426" t="str">
        <f t="shared" si="51"/>
        <v>370</v>
      </c>
      <c r="F574" s="741" t="s">
        <v>2719</v>
      </c>
      <c r="G574" s="425" t="str">
        <f t="shared" si="50"/>
        <v/>
      </c>
      <c r="I574" s="426">
        <v>4.4000000000000003E-3</v>
      </c>
      <c r="J574" s="426">
        <v>4.4000000000000003E-3</v>
      </c>
      <c r="K574" s="426">
        <v>4.4000000000000003E-3</v>
      </c>
      <c r="L574" s="426">
        <v>4.4000000000000003E-3</v>
      </c>
      <c r="M574" s="426">
        <v>4.4000000000000003E-3</v>
      </c>
      <c r="N574" s="426">
        <v>4.4000000000000003E-3</v>
      </c>
      <c r="O574" s="426">
        <v>4.3977570829999996E-3</v>
      </c>
      <c r="P574" s="426">
        <v>4.3977570829999996E-3</v>
      </c>
      <c r="Q574" s="426">
        <v>4.3977570829999996E-3</v>
      </c>
      <c r="R574" s="426">
        <v>4.3977570829999996E-3</v>
      </c>
      <c r="S574" s="426">
        <v>4.3977570829999996E-3</v>
      </c>
      <c r="T574" s="426">
        <v>4.3977570829999996E-3</v>
      </c>
      <c r="U574" s="426">
        <f t="shared" si="52"/>
        <v>5.2786542497999994E-2</v>
      </c>
    </row>
    <row r="575" spans="1:21" s="426" customFormat="1">
      <c r="A575" s="426" t="str">
        <f t="shared" si="53"/>
        <v>KU</v>
      </c>
      <c r="B575" s="426" t="str">
        <f t="shared" si="48"/>
        <v>KY</v>
      </c>
      <c r="C575" s="426" t="str">
        <f t="shared" si="49"/>
        <v>E</v>
      </c>
      <c r="D575" s="426" t="s">
        <v>2670</v>
      </c>
      <c r="E575" s="426" t="str">
        <f t="shared" si="51"/>
        <v>370</v>
      </c>
      <c r="F575" s="741" t="s">
        <v>2399</v>
      </c>
      <c r="G575" s="425" t="str">
        <f t="shared" si="50"/>
        <v>DSM</v>
      </c>
      <c r="I575" s="426">
        <v>16.672169999999898</v>
      </c>
      <c r="J575" s="426">
        <v>16.68074</v>
      </c>
      <c r="K575" s="426">
        <v>16.69042</v>
      </c>
      <c r="L575" s="426">
        <v>16.706</v>
      </c>
      <c r="M575" s="426">
        <v>16.72026</v>
      </c>
      <c r="N575" s="426">
        <v>16.93308</v>
      </c>
      <c r="O575" s="426">
        <v>17.143727219999999</v>
      </c>
      <c r="P575" s="426">
        <v>17.143727219999999</v>
      </c>
      <c r="Q575" s="426">
        <v>17.143727219999999</v>
      </c>
      <c r="R575" s="426">
        <v>17.143727219999999</v>
      </c>
      <c r="S575" s="426">
        <v>17.143727219999999</v>
      </c>
      <c r="T575" s="426">
        <v>17.143727219999999</v>
      </c>
      <c r="U575" s="426">
        <f t="shared" si="52"/>
        <v>203.26503331999984</v>
      </c>
    </row>
    <row r="576" spans="1:21" s="426" customFormat="1">
      <c r="A576" s="426" t="str">
        <f t="shared" si="53"/>
        <v>KU</v>
      </c>
      <c r="B576" s="426" t="str">
        <f t="shared" si="48"/>
        <v>VA</v>
      </c>
      <c r="C576" s="426" t="str">
        <f t="shared" si="49"/>
        <v>E</v>
      </c>
      <c r="D576" s="426" t="s">
        <v>2670</v>
      </c>
      <c r="E576" s="426" t="str">
        <f t="shared" si="51"/>
        <v>370</v>
      </c>
      <c r="F576" s="741" t="s">
        <v>1799</v>
      </c>
      <c r="G576" s="425" t="str">
        <f t="shared" si="50"/>
        <v/>
      </c>
      <c r="I576" s="426">
        <v>11.88749</v>
      </c>
      <c r="J576" s="426">
        <v>11.966229999999999</v>
      </c>
      <c r="K576" s="426">
        <v>12.101929999999999</v>
      </c>
      <c r="L576" s="426">
        <v>12.15889</v>
      </c>
      <c r="M576" s="426">
        <v>12.40212</v>
      </c>
      <c r="N576" s="426">
        <v>12.71265</v>
      </c>
      <c r="O576" s="426">
        <v>12.779954691</v>
      </c>
      <c r="P576" s="426">
        <v>12.779954691</v>
      </c>
      <c r="Q576" s="426">
        <v>12.779954691</v>
      </c>
      <c r="R576" s="426">
        <v>12.779954691</v>
      </c>
      <c r="S576" s="426">
        <v>12.779954691</v>
      </c>
      <c r="T576" s="426">
        <v>12.779954691</v>
      </c>
      <c r="U576" s="426">
        <f t="shared" si="52"/>
        <v>149.909038146</v>
      </c>
    </row>
    <row r="577" spans="1:22" s="426" customFormat="1">
      <c r="A577" s="426" t="str">
        <f t="shared" si="53"/>
        <v>KU</v>
      </c>
      <c r="B577" s="426" t="str">
        <f t="shared" ref="B577:B668" si="54">IF(MID($F577,12,2)="- ","KY",IF(MID($F577,12,2)="SY","KY",MID($F577,12,2)))</f>
        <v>KY</v>
      </c>
      <c r="C577" s="426" t="str">
        <f t="shared" si="49"/>
        <v>E</v>
      </c>
      <c r="D577" s="426" t="s">
        <v>2670</v>
      </c>
      <c r="E577" s="426" t="str">
        <f t="shared" si="51"/>
        <v>371</v>
      </c>
      <c r="F577" s="741" t="s">
        <v>2531</v>
      </c>
      <c r="G577" s="425" t="str">
        <f t="shared" si="50"/>
        <v/>
      </c>
      <c r="I577" s="426">
        <v>1.3269500000000001</v>
      </c>
      <c r="J577" s="426">
        <v>1.3269500000000001</v>
      </c>
      <c r="K577" s="426">
        <v>1.3269500000000001</v>
      </c>
      <c r="L577" s="426">
        <v>1.3269500000000001</v>
      </c>
      <c r="M577" s="426">
        <v>1.3269500000000001</v>
      </c>
      <c r="N577" s="426">
        <v>1.3269500000000001</v>
      </c>
      <c r="O577" s="426">
        <v>1.3269484170000001</v>
      </c>
      <c r="P577" s="426">
        <v>1.3269484170000001</v>
      </c>
      <c r="Q577" s="426">
        <v>1.3269484170000001</v>
      </c>
      <c r="R577" s="426">
        <v>1.3269484170000001</v>
      </c>
      <c r="S577" s="426">
        <v>1.3269484170000001</v>
      </c>
      <c r="T577" s="426">
        <v>1.3269484170000001</v>
      </c>
      <c r="U577" s="426">
        <f t="shared" si="52"/>
        <v>15.923390502000004</v>
      </c>
    </row>
    <row r="578" spans="1:22" s="426" customFormat="1">
      <c r="A578" s="426" t="str">
        <f t="shared" si="53"/>
        <v>KU</v>
      </c>
      <c r="B578" s="426" t="str">
        <f t="shared" si="54"/>
        <v>KY</v>
      </c>
      <c r="C578" s="426" t="str">
        <f t="shared" si="49"/>
        <v>E</v>
      </c>
      <c r="D578" s="426" t="s">
        <v>2670</v>
      </c>
      <c r="E578" s="426" t="str">
        <f t="shared" si="51"/>
        <v>373</v>
      </c>
      <c r="F578" s="741" t="s">
        <v>1801</v>
      </c>
      <c r="G578" s="425" t="str">
        <f t="shared" si="50"/>
        <v/>
      </c>
      <c r="I578" s="426">
        <v>426.27918</v>
      </c>
      <c r="J578" s="426">
        <v>433.21409</v>
      </c>
      <c r="K578" s="426">
        <v>436.48218000000003</v>
      </c>
      <c r="L578" s="426">
        <v>437.57941</v>
      </c>
      <c r="M578" s="426">
        <v>439.926099999999</v>
      </c>
      <c r="N578" s="426">
        <v>442.87308999999999</v>
      </c>
      <c r="O578" s="426">
        <v>444.432088999999</v>
      </c>
      <c r="P578" s="426">
        <v>446.26913264000001</v>
      </c>
      <c r="Q578" s="426">
        <v>448.14852526999999</v>
      </c>
      <c r="R578" s="426">
        <v>450.23182857</v>
      </c>
      <c r="S578" s="426">
        <v>452.72730208000002</v>
      </c>
      <c r="T578" s="426">
        <v>455.13055681999998</v>
      </c>
      <c r="U578" s="426">
        <f t="shared" si="52"/>
        <v>5313.2934843799976</v>
      </c>
    </row>
    <row r="579" spans="1:22" s="426" customFormat="1">
      <c r="A579" s="426" t="str">
        <f t="shared" si="53"/>
        <v>KU</v>
      </c>
      <c r="B579" s="426" t="str">
        <f t="shared" si="54"/>
        <v>VA</v>
      </c>
      <c r="C579" s="426" t="str">
        <f t="shared" si="49"/>
        <v>E</v>
      </c>
      <c r="D579" s="426" t="s">
        <v>2670</v>
      </c>
      <c r="E579" s="426" t="str">
        <f t="shared" si="51"/>
        <v>373</v>
      </c>
      <c r="F579" s="741" t="s">
        <v>1802</v>
      </c>
      <c r="G579" s="425" t="str">
        <f t="shared" si="50"/>
        <v/>
      </c>
      <c r="I579" s="426">
        <v>13.097429999999999</v>
      </c>
      <c r="J579" s="426">
        <v>13.068429999999999</v>
      </c>
      <c r="K579" s="426">
        <v>13.06209</v>
      </c>
      <c r="L579" s="426">
        <v>13.088749999999999</v>
      </c>
      <c r="M579" s="426">
        <v>13.122249999999999</v>
      </c>
      <c r="N579" s="426">
        <v>13.1858</v>
      </c>
      <c r="O579" s="426">
        <v>13.238568021500001</v>
      </c>
      <c r="P579" s="426">
        <v>13.295163264199999</v>
      </c>
      <c r="Q579" s="426">
        <v>13.3728459454</v>
      </c>
      <c r="R579" s="426">
        <v>13.461255747899999</v>
      </c>
      <c r="S579" s="426">
        <v>13.5373892642</v>
      </c>
      <c r="T579" s="426">
        <v>13.592426702699999</v>
      </c>
      <c r="U579" s="426">
        <f>SUM(I579:T579)</f>
        <v>159.12239894589999</v>
      </c>
    </row>
    <row r="580" spans="1:22" s="426" customFormat="1">
      <c r="A580" s="426" t="str">
        <f t="shared" si="53"/>
        <v>KU</v>
      </c>
      <c r="B580" s="426" t="str">
        <f t="shared" si="54"/>
        <v>KY</v>
      </c>
      <c r="C580" s="426" t="str">
        <f t="shared" si="49"/>
        <v>E</v>
      </c>
      <c r="D580" s="426" t="s">
        <v>2670</v>
      </c>
      <c r="E580" s="426" t="str">
        <f t="shared" si="51"/>
        <v>374</v>
      </c>
      <c r="F580" s="741" t="s">
        <v>1803</v>
      </c>
      <c r="G580" s="425" t="str">
        <f t="shared" si="50"/>
        <v>ARO</v>
      </c>
      <c r="I580" s="426">
        <v>0.66183000000000003</v>
      </c>
      <c r="J580" s="426">
        <v>0.66183000000000003</v>
      </c>
      <c r="K580" s="426">
        <v>0.66183000000000003</v>
      </c>
      <c r="L580" s="426">
        <v>0.66183000000000003</v>
      </c>
      <c r="M580" s="426">
        <v>0.66183000000000003</v>
      </c>
      <c r="N580" s="426">
        <v>0.66183000000000003</v>
      </c>
      <c r="O580" s="426">
        <v>0.65476832362965398</v>
      </c>
      <c r="P580" s="426">
        <v>0.65476832362965398</v>
      </c>
      <c r="Q580" s="426">
        <v>0.65476832362965398</v>
      </c>
      <c r="R580" s="426">
        <v>0.65476832362965398</v>
      </c>
      <c r="S580" s="426">
        <v>0.65476832362965398</v>
      </c>
      <c r="T580" s="426">
        <v>0.65476832362965398</v>
      </c>
      <c r="U580" s="426">
        <f t="shared" si="52"/>
        <v>7.8995899417779221</v>
      </c>
    </row>
    <row r="581" spans="1:22" s="426" customFormat="1">
      <c r="A581" s="426" t="str">
        <f t="shared" si="53"/>
        <v>KU</v>
      </c>
      <c r="B581" s="426" t="str">
        <f t="shared" si="54"/>
        <v>KY</v>
      </c>
      <c r="C581" s="426" t="str">
        <f t="shared" ref="C581:C672" si="55">IF(ISTEXT(MID($F581,SEARCH("FUTURE USE",$F581),3)),"F",IF(MID($F581,7,1)="1","E",IF(MID($F581,7,1)="2","G",IF(MID($F581,7,1)="3","C",""))))</f>
        <v>E</v>
      </c>
      <c r="D581" s="426" t="s">
        <v>2670</v>
      </c>
      <c r="E581" s="426" t="str">
        <f t="shared" si="51"/>
        <v>390</v>
      </c>
      <c r="F581" s="741" t="s">
        <v>1806</v>
      </c>
      <c r="G581" s="425" t="str">
        <f t="shared" si="50"/>
        <v/>
      </c>
      <c r="I581" s="426">
        <v>6.0821399999999999</v>
      </c>
      <c r="J581" s="426">
        <v>6.0821399999999999</v>
      </c>
      <c r="K581" s="426">
        <v>6.0821399999999999</v>
      </c>
      <c r="L581" s="426">
        <v>5.8626699999999996</v>
      </c>
      <c r="M581" s="426">
        <v>5.64316</v>
      </c>
      <c r="N581" s="426">
        <v>5.64316</v>
      </c>
      <c r="O581" s="426">
        <v>5.6431523615790002</v>
      </c>
      <c r="P581" s="426">
        <v>5.6431523615790002</v>
      </c>
      <c r="Q581" s="426">
        <v>5.6431523615790002</v>
      </c>
      <c r="R581" s="426">
        <v>5.6431523615790002</v>
      </c>
      <c r="S581" s="426">
        <v>5.6431523615790002</v>
      </c>
      <c r="T581" s="426">
        <v>5.6431523615790002</v>
      </c>
      <c r="U581" s="426">
        <f t="shared" si="52"/>
        <v>69.254324169474003</v>
      </c>
    </row>
    <row r="582" spans="1:22" s="426" customFormat="1">
      <c r="A582" s="426" t="str">
        <f t="shared" si="53"/>
        <v>KU</v>
      </c>
      <c r="B582" s="426" t="str">
        <f t="shared" si="54"/>
        <v>KY</v>
      </c>
      <c r="C582" s="426" t="str">
        <f t="shared" si="55"/>
        <v>E</v>
      </c>
      <c r="D582" s="426" t="s">
        <v>2670</v>
      </c>
      <c r="E582" s="426" t="str">
        <f t="shared" si="51"/>
        <v>390</v>
      </c>
      <c r="F582" s="741" t="s">
        <v>1807</v>
      </c>
      <c r="G582" s="425" t="str">
        <f t="shared" si="50"/>
        <v/>
      </c>
      <c r="I582" s="426">
        <v>139.96847</v>
      </c>
      <c r="J582" s="426">
        <v>140.62884</v>
      </c>
      <c r="K582" s="426">
        <v>142.51221000000001</v>
      </c>
      <c r="L582" s="426">
        <v>144.08328</v>
      </c>
      <c r="M582" s="426">
        <v>144.47605999999999</v>
      </c>
      <c r="N582" s="426">
        <v>144.51524000000001</v>
      </c>
      <c r="O582" s="426">
        <v>149.31075489049999</v>
      </c>
      <c r="P582" s="426">
        <v>157.9090297745</v>
      </c>
      <c r="Q582" s="426">
        <v>164.27884898249999</v>
      </c>
      <c r="R582" s="426">
        <v>173.27763490250001</v>
      </c>
      <c r="S582" s="426">
        <v>180.0485578725</v>
      </c>
      <c r="T582" s="426">
        <v>180.70873912249999</v>
      </c>
      <c r="U582" s="426">
        <f t="shared" si="52"/>
        <v>1861.7176655449998</v>
      </c>
    </row>
    <row r="583" spans="1:22" s="426" customFormat="1">
      <c r="A583" s="426" t="str">
        <f t="shared" si="53"/>
        <v>KU</v>
      </c>
      <c r="B583" s="426" t="str">
        <f t="shared" si="54"/>
        <v>VA</v>
      </c>
      <c r="C583" s="426" t="str">
        <f t="shared" si="55"/>
        <v>E</v>
      </c>
      <c r="D583" s="426" t="s">
        <v>2670</v>
      </c>
      <c r="E583" s="426" t="str">
        <f t="shared" si="51"/>
        <v>390</v>
      </c>
      <c r="F583" s="741" t="s">
        <v>1808</v>
      </c>
      <c r="G583" s="425" t="str">
        <f t="shared" si="50"/>
        <v/>
      </c>
      <c r="I583" s="426">
        <v>13.163790000000001</v>
      </c>
      <c r="J583" s="426">
        <v>13.163790000000001</v>
      </c>
      <c r="K583" s="426">
        <v>13.163790000000001</v>
      </c>
      <c r="L583" s="426">
        <v>12.534380000000001</v>
      </c>
      <c r="M583" s="426">
        <v>11.965170000000001</v>
      </c>
      <c r="N583" s="426">
        <v>12.02539</v>
      </c>
      <c r="O583" s="426">
        <v>12.193470765000001</v>
      </c>
      <c r="P583" s="426">
        <v>12.361548487</v>
      </c>
      <c r="Q583" s="426">
        <v>12.361548487</v>
      </c>
      <c r="R583" s="426">
        <v>12.361548487</v>
      </c>
      <c r="S583" s="426">
        <v>12.361548487</v>
      </c>
      <c r="T583" s="426">
        <v>12.361548487</v>
      </c>
      <c r="U583" s="426">
        <f t="shared" si="52"/>
        <v>150.01752319999997</v>
      </c>
    </row>
    <row r="584" spans="1:22" s="426" customFormat="1">
      <c r="A584" s="426" t="str">
        <f t="shared" si="53"/>
        <v>KU</v>
      </c>
      <c r="B584" s="426" t="str">
        <f t="shared" si="54"/>
        <v>KY</v>
      </c>
      <c r="C584" s="426" t="str">
        <f t="shared" si="55"/>
        <v>E</v>
      </c>
      <c r="D584" s="426" t="s">
        <v>2670</v>
      </c>
      <c r="E584" s="426" t="str">
        <f t="shared" si="51"/>
        <v>391</v>
      </c>
      <c r="F584" s="741" t="s">
        <v>1809</v>
      </c>
      <c r="G584" s="425" t="str">
        <f t="shared" si="50"/>
        <v/>
      </c>
      <c r="I584" s="426">
        <v>107.53952</v>
      </c>
      <c r="J584" s="426">
        <v>108.35954</v>
      </c>
      <c r="K584" s="426">
        <v>108.71648999999999</v>
      </c>
      <c r="L584" s="426">
        <v>122.34656</v>
      </c>
      <c r="M584" s="426">
        <v>135.57848999999999</v>
      </c>
      <c r="N584" s="426">
        <v>125.12851999999999</v>
      </c>
      <c r="O584" s="426">
        <v>115.0590959</v>
      </c>
      <c r="P584" s="426">
        <v>114.238981799999</v>
      </c>
      <c r="Q584" s="426">
        <v>122.54000360000001</v>
      </c>
      <c r="R584" s="426">
        <v>133.25389000000001</v>
      </c>
      <c r="S584" s="426">
        <v>134.89021359999899</v>
      </c>
      <c r="T584" s="426">
        <v>134.7419185</v>
      </c>
      <c r="U584" s="426">
        <f t="shared" si="52"/>
        <v>1462.3932233999981</v>
      </c>
    </row>
    <row r="585" spans="1:22" s="426" customFormat="1">
      <c r="A585" s="426" t="str">
        <f t="shared" si="53"/>
        <v>KU</v>
      </c>
      <c r="B585" s="426" t="str">
        <f t="shared" si="54"/>
        <v>KY</v>
      </c>
      <c r="C585" s="426" t="str">
        <f t="shared" si="55"/>
        <v>E</v>
      </c>
      <c r="D585" s="426" t="s">
        <v>2670</v>
      </c>
      <c r="E585" s="426" t="str">
        <f t="shared" si="51"/>
        <v>391</v>
      </c>
      <c r="F585" s="741" t="s">
        <v>1810</v>
      </c>
      <c r="G585" s="425" t="str">
        <f t="shared" si="50"/>
        <v/>
      </c>
      <c r="I585" s="426">
        <v>317.15940999999998</v>
      </c>
      <c r="J585" s="426">
        <v>319.95625999999999</v>
      </c>
      <c r="K585" s="426">
        <v>320.85995000000003</v>
      </c>
      <c r="L585" s="426">
        <v>314.85521</v>
      </c>
      <c r="M585" s="426">
        <v>307.85858000000002</v>
      </c>
      <c r="N585" s="426">
        <v>306.69159999999999</v>
      </c>
      <c r="O585" s="426">
        <v>302.88931878</v>
      </c>
      <c r="P585" s="426">
        <v>302.27210452000003</v>
      </c>
      <c r="Q585" s="426">
        <v>306.09077367999998</v>
      </c>
      <c r="R585" s="426">
        <v>303.57413938000002</v>
      </c>
      <c r="S585" s="426">
        <v>299.72876552999998</v>
      </c>
      <c r="T585" s="426">
        <v>299.51376491000002</v>
      </c>
      <c r="U585" s="426">
        <f t="shared" si="52"/>
        <v>3701.4498768000003</v>
      </c>
    </row>
    <row r="586" spans="1:22" s="426" customFormat="1">
      <c r="A586" s="426" t="str">
        <f t="shared" si="53"/>
        <v>KU</v>
      </c>
      <c r="B586" s="426" t="str">
        <f t="shared" si="54"/>
        <v>VA</v>
      </c>
      <c r="C586" s="426" t="str">
        <f t="shared" si="55"/>
        <v>E</v>
      </c>
      <c r="D586" s="426" t="s">
        <v>2670</v>
      </c>
      <c r="E586" s="426" t="str">
        <f t="shared" si="51"/>
        <v>391</v>
      </c>
      <c r="F586" s="741" t="s">
        <v>1811</v>
      </c>
      <c r="G586" s="425" t="str">
        <f t="shared" si="50"/>
        <v/>
      </c>
      <c r="I586" s="426">
        <v>3.8999999999999998E-3</v>
      </c>
      <c r="J586" s="426">
        <v>3.8999999999999998E-3</v>
      </c>
      <c r="K586" s="426">
        <v>1.661E-2</v>
      </c>
      <c r="L586" s="426">
        <v>0.59041999999999994</v>
      </c>
      <c r="M586" s="426">
        <v>1.15151</v>
      </c>
      <c r="N586" s="426">
        <v>1.15151</v>
      </c>
      <c r="O586" s="426">
        <v>1.1515095360000001</v>
      </c>
      <c r="P586" s="426">
        <v>1.1515095360000001</v>
      </c>
      <c r="Q586" s="426">
        <v>1.1515095360000001</v>
      </c>
      <c r="R586" s="426">
        <v>1.1515095360000001</v>
      </c>
      <c r="S586" s="426">
        <v>1.1515095360000001</v>
      </c>
      <c r="T586" s="426">
        <v>1.1515095360000001</v>
      </c>
      <c r="U586" s="426">
        <f t="shared" si="52"/>
        <v>9.8269072160000004</v>
      </c>
      <c r="V586" s="427"/>
    </row>
    <row r="587" spans="1:22" s="426" customFormat="1">
      <c r="A587" s="426" t="str">
        <f t="shared" si="53"/>
        <v>KU</v>
      </c>
      <c r="B587" s="426" t="str">
        <f t="shared" si="54"/>
        <v>KY</v>
      </c>
      <c r="C587" s="426" t="str">
        <f t="shared" si="55"/>
        <v>E</v>
      </c>
      <c r="D587" s="426" t="s">
        <v>2670</v>
      </c>
      <c r="E587" s="426" t="str">
        <f t="shared" si="51"/>
        <v>392</v>
      </c>
      <c r="F587" s="741" t="s">
        <v>1813</v>
      </c>
      <c r="G587" s="425" t="str">
        <f t="shared" ref="G587:G598" si="56">IF(ISTEXT(MID($F587,SEARCH("FUTURE USE",$F587),3)),"FUTURE USE",IF(ISTEXT(MID($F587,SEARCH("ECR",$F587),3)),"ECR",IF(ISTEXT(MID($F587,SEARCH("ARO",$F587),3)),"ARO",IF(ISTEXT(MID($F587,SEARCH("DSM",$F587),3)),"DSM",""))))</f>
        <v/>
      </c>
      <c r="I587" s="426">
        <v>19.243369999999999</v>
      </c>
      <c r="J587" s="426">
        <v>19.255749999999999</v>
      </c>
      <c r="K587" s="426">
        <v>19.339670000000002</v>
      </c>
      <c r="L587" s="426">
        <v>20.03106</v>
      </c>
      <c r="M587" s="426">
        <v>20.648589999999999</v>
      </c>
      <c r="N587" s="426">
        <v>20.601590000000002</v>
      </c>
      <c r="O587" s="426">
        <v>20.794510935999998</v>
      </c>
      <c r="P587" s="426">
        <v>21.044510935999998</v>
      </c>
      <c r="Q587" s="426">
        <v>21.044510935999998</v>
      </c>
      <c r="R587" s="426">
        <v>21.515794186000001</v>
      </c>
      <c r="S587" s="426">
        <v>21.987077436</v>
      </c>
      <c r="T587" s="426">
        <v>21.987077436</v>
      </c>
      <c r="U587" s="426">
        <f t="shared" si="52"/>
        <v>247.49351186599998</v>
      </c>
    </row>
    <row r="588" spans="1:22" s="426" customFormat="1">
      <c r="A588" s="426" t="str">
        <f t="shared" si="53"/>
        <v>KU</v>
      </c>
      <c r="B588" s="426" t="str">
        <f t="shared" si="54"/>
        <v>VA</v>
      </c>
      <c r="C588" s="426" t="str">
        <f t="shared" si="55"/>
        <v>E</v>
      </c>
      <c r="D588" s="426" t="s">
        <v>2670</v>
      </c>
      <c r="E588" s="426" t="str">
        <f t="shared" si="51"/>
        <v>392</v>
      </c>
      <c r="F588" s="741" t="s">
        <v>2401</v>
      </c>
      <c r="G588" s="425" t="str">
        <f t="shared" si="56"/>
        <v/>
      </c>
      <c r="I588" s="426">
        <v>8.5809999999999997E-2</v>
      </c>
      <c r="J588" s="426">
        <v>0.11304</v>
      </c>
      <c r="K588" s="426">
        <v>0.11304</v>
      </c>
      <c r="L588" s="426">
        <v>8.3040000000000003E-2</v>
      </c>
      <c r="M588" s="426">
        <v>8.3040000000000003E-2</v>
      </c>
      <c r="N588" s="426">
        <v>8.3040000000000003E-2</v>
      </c>
      <c r="O588" s="426">
        <v>8.3043806829999997E-2</v>
      </c>
      <c r="P588" s="426">
        <v>8.3043806829999997E-2</v>
      </c>
      <c r="Q588" s="426">
        <v>8.3043806829999997E-2</v>
      </c>
      <c r="R588" s="426">
        <v>8.3043806829999997E-2</v>
      </c>
      <c r="S588" s="426">
        <v>8.3043806829999997E-2</v>
      </c>
      <c r="T588" s="426">
        <v>8.3043806829999997E-2</v>
      </c>
      <c r="U588" s="426">
        <f>SUM(I588:T588)</f>
        <v>1.0592728409800001</v>
      </c>
    </row>
    <row r="589" spans="1:22" s="426" customFormat="1">
      <c r="A589" s="426" t="str">
        <f t="shared" si="53"/>
        <v>KU</v>
      </c>
      <c r="B589" s="426" t="str">
        <f t="shared" si="54"/>
        <v>KY</v>
      </c>
      <c r="C589" s="426" t="str">
        <f t="shared" si="55"/>
        <v>E</v>
      </c>
      <c r="D589" s="426" t="s">
        <v>2670</v>
      </c>
      <c r="E589" s="426" t="str">
        <f t="shared" si="51"/>
        <v>393</v>
      </c>
      <c r="F589" s="741" t="s">
        <v>1814</v>
      </c>
      <c r="G589" s="425" t="str">
        <f t="shared" si="56"/>
        <v/>
      </c>
      <c r="I589" s="426">
        <v>3.1889599999999998</v>
      </c>
      <c r="J589" s="426">
        <v>3.3013699999999999</v>
      </c>
      <c r="K589" s="426">
        <v>3.3013699999999999</v>
      </c>
      <c r="L589" s="426">
        <v>3.28546</v>
      </c>
      <c r="M589" s="426">
        <v>3.4803600000000001</v>
      </c>
      <c r="N589" s="426">
        <v>3.6676700000000002</v>
      </c>
      <c r="O589" s="426">
        <v>3.6441655800000001</v>
      </c>
      <c r="P589" s="426">
        <v>3.6441655800000001</v>
      </c>
      <c r="Q589" s="426">
        <v>3.8274989129999999</v>
      </c>
      <c r="R589" s="426">
        <v>4.0533210300000002</v>
      </c>
      <c r="S589" s="426">
        <v>4.0958098129999998</v>
      </c>
      <c r="T589" s="426">
        <v>4.0094964429999997</v>
      </c>
      <c r="U589" s="426">
        <f t="shared" si="52"/>
        <v>43.499647359000008</v>
      </c>
    </row>
    <row r="590" spans="1:22" s="426" customFormat="1">
      <c r="A590" s="426" t="str">
        <f t="shared" si="53"/>
        <v>KU</v>
      </c>
      <c r="B590" s="426" t="str">
        <f t="shared" si="54"/>
        <v>VA</v>
      </c>
      <c r="C590" s="426" t="str">
        <f t="shared" si="55"/>
        <v>E</v>
      </c>
      <c r="D590" s="426" t="s">
        <v>2670</v>
      </c>
      <c r="E590" s="426" t="str">
        <f t="shared" si="51"/>
        <v>393</v>
      </c>
      <c r="F590" s="741" t="s">
        <v>1815</v>
      </c>
      <c r="G590" s="425" t="str">
        <f t="shared" si="56"/>
        <v/>
      </c>
      <c r="I590" s="426">
        <v>3.2100000000000002E-3</v>
      </c>
      <c r="J590" s="426">
        <v>3.2100000000000002E-3</v>
      </c>
      <c r="K590" s="426">
        <v>3.2100000000000002E-3</v>
      </c>
      <c r="L590" s="426">
        <v>3.2100000000000002E-3</v>
      </c>
      <c r="M590" s="426">
        <v>3.2100000000000002E-3</v>
      </c>
      <c r="N590" s="426">
        <v>3.2100000000000002E-3</v>
      </c>
      <c r="O590" s="426">
        <v>3.214016667E-3</v>
      </c>
      <c r="P590" s="426">
        <v>3.214016667E-3</v>
      </c>
      <c r="Q590" s="426">
        <v>3.214016667E-3</v>
      </c>
      <c r="R590" s="426">
        <v>1.607008333E-3</v>
      </c>
      <c r="S590" s="426">
        <v>0</v>
      </c>
      <c r="T590" s="426">
        <v>0</v>
      </c>
      <c r="U590" s="426">
        <f t="shared" si="52"/>
        <v>3.0509058334000003E-2</v>
      </c>
    </row>
    <row r="591" spans="1:22" s="426" customFormat="1">
      <c r="A591" s="426" t="str">
        <f t="shared" si="53"/>
        <v>KU</v>
      </c>
      <c r="B591" s="426" t="str">
        <f t="shared" si="54"/>
        <v>KY</v>
      </c>
      <c r="C591" s="426" t="str">
        <f t="shared" si="55"/>
        <v>E</v>
      </c>
      <c r="D591" s="426" t="s">
        <v>2670</v>
      </c>
      <c r="E591" s="426" t="str">
        <f t="shared" si="51"/>
        <v>394</v>
      </c>
      <c r="F591" s="741" t="s">
        <v>1816</v>
      </c>
      <c r="G591" s="425" t="str">
        <f t="shared" si="56"/>
        <v/>
      </c>
      <c r="I591" s="426">
        <v>48.976860000000002</v>
      </c>
      <c r="J591" s="426">
        <v>49.566040000000001</v>
      </c>
      <c r="K591" s="426">
        <v>50.06812</v>
      </c>
      <c r="L591" s="426">
        <v>50.456519999999998</v>
      </c>
      <c r="M591" s="426">
        <v>50.733429999999998</v>
      </c>
      <c r="N591" s="426">
        <v>50.722169999999998</v>
      </c>
      <c r="O591" s="426">
        <v>52.033254800000002</v>
      </c>
      <c r="P591" s="426">
        <v>53.579176029999999</v>
      </c>
      <c r="Q591" s="426">
        <v>53.915231679999998</v>
      </c>
      <c r="R591" s="426">
        <v>54.08210708</v>
      </c>
      <c r="S591" s="426">
        <v>54.182918260000001</v>
      </c>
      <c r="T591" s="426">
        <v>54.188703889999999</v>
      </c>
      <c r="U591" s="426">
        <f t="shared" si="52"/>
        <v>622.50453173999995</v>
      </c>
    </row>
    <row r="592" spans="1:22" s="426" customFormat="1">
      <c r="A592" s="426" t="str">
        <f t="shared" si="53"/>
        <v>KU</v>
      </c>
      <c r="B592" s="426" t="str">
        <f t="shared" si="54"/>
        <v>VA</v>
      </c>
      <c r="C592" s="426" t="str">
        <f t="shared" si="55"/>
        <v>E</v>
      </c>
      <c r="D592" s="426" t="s">
        <v>2670</v>
      </c>
      <c r="E592" s="426" t="str">
        <f t="shared" si="51"/>
        <v>394</v>
      </c>
      <c r="F592" s="741" t="s">
        <v>1817</v>
      </c>
      <c r="G592" s="425" t="str">
        <f t="shared" si="56"/>
        <v/>
      </c>
      <c r="I592" s="426">
        <v>1.5905</v>
      </c>
      <c r="J592" s="426">
        <v>1.5905</v>
      </c>
      <c r="K592" s="426">
        <v>1.5803</v>
      </c>
      <c r="L592" s="426">
        <v>1.6323399999999999</v>
      </c>
      <c r="M592" s="426">
        <v>1.69459</v>
      </c>
      <c r="N592" s="426">
        <v>1.69459</v>
      </c>
      <c r="O592" s="426">
        <v>1.8368549649999999</v>
      </c>
      <c r="P592" s="426">
        <v>1.9791186279999999</v>
      </c>
      <c r="Q592" s="426">
        <v>1.99573771</v>
      </c>
      <c r="R592" s="426">
        <v>1.9965668350000001</v>
      </c>
      <c r="S592" s="426">
        <v>1.9807768779999999</v>
      </c>
      <c r="T592" s="426">
        <v>1.9807768779999999</v>
      </c>
      <c r="U592" s="426">
        <f t="shared" si="52"/>
        <v>21.552651894000004</v>
      </c>
    </row>
    <row r="593" spans="1:24" s="426" customFormat="1">
      <c r="A593" s="426" t="str">
        <f t="shared" si="53"/>
        <v>KU</v>
      </c>
      <c r="B593" s="426" t="str">
        <f t="shared" si="54"/>
        <v>KY</v>
      </c>
      <c r="C593" s="426" t="str">
        <f t="shared" si="55"/>
        <v>E</v>
      </c>
      <c r="D593" s="426" t="s">
        <v>2670</v>
      </c>
      <c r="E593" s="426" t="str">
        <f t="shared" si="51"/>
        <v>396</v>
      </c>
      <c r="F593" s="741" t="s">
        <v>1818</v>
      </c>
      <c r="G593" s="425" t="str">
        <f t="shared" si="56"/>
        <v/>
      </c>
      <c r="I593" s="426">
        <v>4.9157399999999898</v>
      </c>
      <c r="J593" s="426">
        <v>4.9157399999999898</v>
      </c>
      <c r="K593" s="426">
        <v>4.9157399999999898</v>
      </c>
      <c r="L593" s="426">
        <v>4.9157399999999898</v>
      </c>
      <c r="M593" s="426">
        <v>4.9157399999999898</v>
      </c>
      <c r="N593" s="426">
        <v>4.9157399999999898</v>
      </c>
      <c r="O593" s="426">
        <v>4.9157406430000004</v>
      </c>
      <c r="P593" s="426">
        <v>4.9157406430000004</v>
      </c>
      <c r="Q593" s="426">
        <v>4.9157406430000004</v>
      </c>
      <c r="R593" s="426">
        <v>4.9157406430000004</v>
      </c>
      <c r="S593" s="426">
        <v>4.9157406430000004</v>
      </c>
      <c r="T593" s="426">
        <v>4.9157406430000004</v>
      </c>
      <c r="U593" s="426">
        <f t="shared" si="52"/>
        <v>58.988883857999937</v>
      </c>
    </row>
    <row r="594" spans="1:24" s="426" customFormat="1">
      <c r="A594" s="426" t="str">
        <f t="shared" si="53"/>
        <v>KU</v>
      </c>
      <c r="B594" s="426" t="str">
        <f t="shared" si="54"/>
        <v>KY</v>
      </c>
      <c r="C594" s="426" t="str">
        <f t="shared" si="55"/>
        <v>E</v>
      </c>
      <c r="D594" s="426" t="s">
        <v>2670</v>
      </c>
      <c r="E594" s="426" t="str">
        <f t="shared" si="51"/>
        <v>396</v>
      </c>
      <c r="F594" s="741" t="s">
        <v>2402</v>
      </c>
      <c r="G594" s="425" t="str">
        <f t="shared" si="56"/>
        <v/>
      </c>
      <c r="I594" s="426">
        <v>20.169969999999999</v>
      </c>
      <c r="J594" s="426">
        <v>19.47514</v>
      </c>
      <c r="K594" s="426">
        <v>20.061540000000001</v>
      </c>
      <c r="L594" s="426">
        <v>20.748899999999999</v>
      </c>
      <c r="M594" s="426">
        <v>20.59216</v>
      </c>
      <c r="N594" s="426">
        <v>20.251200000000001</v>
      </c>
      <c r="O594" s="426">
        <v>20.16792572</v>
      </c>
      <c r="P594" s="426">
        <v>20.16792572</v>
      </c>
      <c r="Q594" s="426">
        <v>20.16792572</v>
      </c>
      <c r="R594" s="426">
        <v>20.16792572</v>
      </c>
      <c r="S594" s="426">
        <v>20.16792572</v>
      </c>
      <c r="T594" s="426">
        <v>20.16792572</v>
      </c>
      <c r="U594" s="426">
        <f t="shared" si="52"/>
        <v>242.30646432</v>
      </c>
    </row>
    <row r="595" spans="1:24" s="426" customFormat="1">
      <c r="A595" s="426" t="str">
        <f t="shared" si="53"/>
        <v>KU</v>
      </c>
      <c r="B595" s="426" t="str">
        <f t="shared" si="54"/>
        <v>VA</v>
      </c>
      <c r="C595" s="426" t="str">
        <f t="shared" si="55"/>
        <v>E</v>
      </c>
      <c r="D595" s="426" t="s">
        <v>2670</v>
      </c>
      <c r="E595" s="426" t="str">
        <f t="shared" si="51"/>
        <v>396</v>
      </c>
      <c r="F595" s="741" t="s">
        <v>2403</v>
      </c>
      <c r="G595" s="425" t="str">
        <f t="shared" si="56"/>
        <v/>
      </c>
      <c r="I595" s="426">
        <v>2.2407599999999999</v>
      </c>
      <c r="J595" s="426">
        <v>2.2486999999999999</v>
      </c>
      <c r="K595" s="426">
        <v>2.3347199999999999</v>
      </c>
      <c r="L595" s="426">
        <v>2.4207399999999999</v>
      </c>
      <c r="M595" s="426">
        <v>2.4207399999999999</v>
      </c>
      <c r="N595" s="426">
        <v>2.4207399999999999</v>
      </c>
      <c r="O595" s="426">
        <v>2.42074137</v>
      </c>
      <c r="P595" s="426">
        <v>2.42074137</v>
      </c>
      <c r="Q595" s="426">
        <v>2.42074137</v>
      </c>
      <c r="R595" s="426">
        <v>2.42074137</v>
      </c>
      <c r="S595" s="426">
        <v>2.42074137</v>
      </c>
      <c r="T595" s="426">
        <v>2.42074137</v>
      </c>
      <c r="U595" s="426">
        <f t="shared" si="52"/>
        <v>28.610848220000008</v>
      </c>
    </row>
    <row r="596" spans="1:24" s="426" customFormat="1">
      <c r="A596" s="426" t="str">
        <f t="shared" si="53"/>
        <v>KU</v>
      </c>
      <c r="B596" s="426" t="str">
        <f t="shared" si="54"/>
        <v>KY</v>
      </c>
      <c r="C596" s="426" t="str">
        <f t="shared" si="55"/>
        <v>E</v>
      </c>
      <c r="D596" s="426" t="s">
        <v>2670</v>
      </c>
      <c r="E596" s="426" t="str">
        <f t="shared" si="51"/>
        <v>397</v>
      </c>
      <c r="F596" s="741" t="s">
        <v>1819</v>
      </c>
      <c r="G596" s="425" t="str">
        <f t="shared" si="56"/>
        <v>DSM</v>
      </c>
      <c r="I596" s="426">
        <v>89.250020000000006</v>
      </c>
      <c r="J596" s="426">
        <v>89.251850000000005</v>
      </c>
      <c r="K596" s="426">
        <v>89.251840000000001</v>
      </c>
      <c r="L596" s="426">
        <v>89.251840000000001</v>
      </c>
      <c r="M596" s="426">
        <v>89.251840000000001</v>
      </c>
      <c r="N596" s="426">
        <v>89.258429999999905</v>
      </c>
      <c r="O596" s="426">
        <v>89.033730249999905</v>
      </c>
      <c r="P596" s="426">
        <v>88.813025190000005</v>
      </c>
      <c r="Q596" s="426">
        <v>88.839487790000007</v>
      </c>
      <c r="R596" s="426">
        <v>88.861772849999994</v>
      </c>
      <c r="S596" s="426">
        <v>88.899218550000001</v>
      </c>
      <c r="T596" s="426">
        <v>88.961307250000004</v>
      </c>
      <c r="U596" s="426">
        <f t="shared" si="52"/>
        <v>1068.9243618799997</v>
      </c>
    </row>
    <row r="597" spans="1:24" s="426" customFormat="1">
      <c r="A597" s="426" t="str">
        <f t="shared" si="53"/>
        <v>KU</v>
      </c>
      <c r="B597" s="426" t="str">
        <f t="shared" si="54"/>
        <v>KY</v>
      </c>
      <c r="C597" s="426" t="str">
        <f t="shared" si="55"/>
        <v>E</v>
      </c>
      <c r="D597" s="426" t="s">
        <v>2670</v>
      </c>
      <c r="E597" s="426" t="str">
        <f t="shared" ref="E597:E665" si="57">MID($F597,8,3)</f>
        <v>397</v>
      </c>
      <c r="F597" s="741" t="s">
        <v>1820</v>
      </c>
      <c r="G597" s="425" t="str">
        <f t="shared" si="56"/>
        <v/>
      </c>
      <c r="I597" s="426">
        <v>358.06691999999998</v>
      </c>
      <c r="J597" s="426">
        <v>358.42139999999898</v>
      </c>
      <c r="K597" s="426">
        <v>358.53904</v>
      </c>
      <c r="L597" s="426">
        <v>358.32949000000002</v>
      </c>
      <c r="M597" s="426">
        <v>358.11338999999998</v>
      </c>
      <c r="N597" s="426">
        <v>357.86320999999998</v>
      </c>
      <c r="O597" s="426">
        <v>360.47438030000001</v>
      </c>
      <c r="P597" s="426">
        <v>363.34406940000002</v>
      </c>
      <c r="Q597" s="426">
        <v>364.64093910000003</v>
      </c>
      <c r="R597" s="426">
        <v>367.901501899999</v>
      </c>
      <c r="S597" s="426">
        <v>370.09194129999997</v>
      </c>
      <c r="T597" s="426">
        <v>370.09194129999997</v>
      </c>
      <c r="U597" s="426">
        <f t="shared" si="52"/>
        <v>4345.8782232999984</v>
      </c>
      <c r="V597" s="427"/>
    </row>
    <row r="598" spans="1:24" s="426" customFormat="1">
      <c r="A598" s="426" t="str">
        <f t="shared" si="53"/>
        <v>KU</v>
      </c>
      <c r="B598" s="426" t="str">
        <f t="shared" si="54"/>
        <v>VA</v>
      </c>
      <c r="C598" s="426" t="str">
        <f t="shared" si="55"/>
        <v>E</v>
      </c>
      <c r="D598" s="426" t="s">
        <v>2670</v>
      </c>
      <c r="E598" s="426" t="str">
        <f t="shared" si="57"/>
        <v>397</v>
      </c>
      <c r="F598" s="741" t="s">
        <v>1821</v>
      </c>
      <c r="G598" s="425" t="str">
        <f t="shared" si="56"/>
        <v/>
      </c>
      <c r="I598" s="426">
        <v>5.1249099999999999</v>
      </c>
      <c r="J598" s="426">
        <v>5.1249099999999999</v>
      </c>
      <c r="K598" s="426">
        <v>5.1249099999999999</v>
      </c>
      <c r="L598" s="426">
        <v>6.4042399999999997</v>
      </c>
      <c r="M598" s="426">
        <v>7.6835699999999996</v>
      </c>
      <c r="N598" s="426">
        <v>7.6835699999999996</v>
      </c>
      <c r="O598" s="426">
        <v>7.6835740179999998</v>
      </c>
      <c r="P598" s="426">
        <v>7.6835740179999998</v>
      </c>
      <c r="Q598" s="426">
        <v>7.6835740179999998</v>
      </c>
      <c r="R598" s="426">
        <v>7.6835740179999998</v>
      </c>
      <c r="S598" s="426">
        <v>7.6835740179999998</v>
      </c>
      <c r="T598" s="426">
        <v>7.6835740179999998</v>
      </c>
      <c r="U598" s="426">
        <f t="shared" si="52"/>
        <v>83.247554108000003</v>
      </c>
    </row>
    <row r="599" spans="1:24" s="426" customFormat="1">
      <c r="F599" s="799"/>
      <c r="G599" s="425" t="str">
        <f t="shared" ref="G599:G614" si="58">IF(ISTEXT(MID($F599,SEARCH("FUTURE USE",$F599),3)),"FUTURE USE",IF(ISTEXT(MID($F599,SEARCH("ECR",$F599),3)),"ECR",IF(ISTEXT(MID($F599,SEARCH("ARO",$F599),3)),"ARO",IF(ISTEXT(MID($F599,SEARCH("DSM",$F599),3)),"DSM",""))))</f>
        <v/>
      </c>
      <c r="W599" s="706"/>
      <c r="X599" s="706"/>
    </row>
    <row r="600" spans="1:24" s="426" customFormat="1">
      <c r="F600" s="799"/>
      <c r="G600" s="425" t="str">
        <f t="shared" si="58"/>
        <v/>
      </c>
    </row>
    <row r="601" spans="1:24" s="426" customFormat="1">
      <c r="F601" s="799" t="s">
        <v>1823</v>
      </c>
      <c r="G601" s="425" t="str">
        <f t="shared" si="58"/>
        <v/>
      </c>
      <c r="I601" s="426">
        <f>SUM(I477:I600)</f>
        <v>28465.758090000003</v>
      </c>
      <c r="J601" s="426">
        <f t="shared" ref="J601:T601" si="59">SUM(J477:J600)</f>
        <v>28786.871629999991</v>
      </c>
      <c r="K601" s="426">
        <f t="shared" si="59"/>
        <v>29215.532409999982</v>
      </c>
      <c r="L601" s="426">
        <f t="shared" si="59"/>
        <v>29253.652439999994</v>
      </c>
      <c r="M601" s="426">
        <f t="shared" si="59"/>
        <v>29521.933460000007</v>
      </c>
      <c r="N601" s="426">
        <f t="shared" si="59"/>
        <v>29582.417779999982</v>
      </c>
      <c r="O601" s="426">
        <f t="shared" si="59"/>
        <v>29749.779023176259</v>
      </c>
      <c r="P601" s="426">
        <f t="shared" si="59"/>
        <v>30035.304097788616</v>
      </c>
      <c r="Q601" s="426">
        <f t="shared" si="59"/>
        <v>30223.212709052768</v>
      </c>
      <c r="R601" s="426">
        <f t="shared" si="59"/>
        <v>30396.495283336866</v>
      </c>
      <c r="S601" s="426">
        <f t="shared" si="59"/>
        <v>30451.115625771756</v>
      </c>
      <c r="T601" s="426">
        <f t="shared" si="59"/>
        <v>30467.285554402763</v>
      </c>
      <c r="U601" s="426">
        <f>SUM(I601:T601)</f>
        <v>356149.35810352897</v>
      </c>
    </row>
    <row r="602" spans="1:24" s="426" customFormat="1">
      <c r="F602" s="800" t="s">
        <v>1827</v>
      </c>
      <c r="G602" s="425" t="str">
        <f t="shared" si="58"/>
        <v/>
      </c>
      <c r="U602" s="426">
        <f>SUM(U477:U600)</f>
        <v>356149.35810352903</v>
      </c>
    </row>
    <row r="603" spans="1:24" s="426" customFormat="1">
      <c r="A603" s="426" t="str">
        <f t="shared" si="53"/>
        <v>KU</v>
      </c>
      <c r="B603" s="426" t="str">
        <f t="shared" si="54"/>
        <v>KY</v>
      </c>
      <c r="C603" s="426" t="str">
        <f t="shared" si="55"/>
        <v>E</v>
      </c>
      <c r="D603" s="426" t="s">
        <v>2670</v>
      </c>
      <c r="E603" s="426" t="str">
        <f t="shared" si="57"/>
        <v>340</v>
      </c>
      <c r="F603" s="799" t="s">
        <v>2183</v>
      </c>
      <c r="G603" s="425" t="str">
        <f t="shared" si="58"/>
        <v/>
      </c>
      <c r="I603" s="426">
        <v>-0.32195000000000001</v>
      </c>
      <c r="J603" s="426">
        <v>-0.32195000000000001</v>
      </c>
      <c r="K603" s="426">
        <v>-0.32195000000000001</v>
      </c>
      <c r="L603" s="426">
        <v>-0.32195000000000001</v>
      </c>
      <c r="M603" s="426">
        <v>-0.32195000000000001</v>
      </c>
      <c r="N603" s="426">
        <v>-0.32195000000000001</v>
      </c>
      <c r="O603" s="426">
        <v>-0.3219469908</v>
      </c>
      <c r="P603" s="426">
        <v>-0.3219469908</v>
      </c>
      <c r="Q603" s="426">
        <v>-0.3219469908</v>
      </c>
      <c r="R603" s="426">
        <v>-0.3219469908</v>
      </c>
      <c r="S603" s="426">
        <v>-0.3219469908</v>
      </c>
      <c r="T603" s="426">
        <v>-0.3219469908</v>
      </c>
      <c r="U603" s="426">
        <f t="shared" ref="U603:U616" si="60">SUM(I603:T603)</f>
        <v>-3.8633819447999995</v>
      </c>
    </row>
    <row r="604" spans="1:24" s="426" customFormat="1">
      <c r="A604" s="426" t="str">
        <f t="shared" si="53"/>
        <v>KU</v>
      </c>
      <c r="B604" s="426" t="str">
        <f t="shared" si="54"/>
        <v>KY</v>
      </c>
      <c r="C604" s="426" t="str">
        <f t="shared" si="55"/>
        <v>E</v>
      </c>
      <c r="D604" s="426" t="s">
        <v>2670</v>
      </c>
      <c r="E604" s="426" t="str">
        <f t="shared" si="57"/>
        <v>342</v>
      </c>
      <c r="F604" s="799" t="s">
        <v>2187</v>
      </c>
      <c r="G604" s="425" t="str">
        <f t="shared" si="58"/>
        <v/>
      </c>
      <c r="I604" s="426">
        <v>-115.848739999999</v>
      </c>
      <c r="J604" s="426">
        <v>-115.848739999999</v>
      </c>
      <c r="K604" s="426">
        <v>-115.848739999999</v>
      </c>
      <c r="L604" s="426">
        <v>-115.848739999999</v>
      </c>
      <c r="M604" s="426">
        <v>-115.848739999999</v>
      </c>
      <c r="N604" s="426">
        <v>-115.848739999999</v>
      </c>
      <c r="O604" s="426">
        <v>-116.151572291999</v>
      </c>
      <c r="P604" s="426">
        <v>-116.995806995999</v>
      </c>
      <c r="Q604" s="426">
        <v>-143.24736479799901</v>
      </c>
      <c r="R604" s="426">
        <v>-169.02053625400001</v>
      </c>
      <c r="S604" s="426">
        <v>-169.08354433299999</v>
      </c>
      <c r="T604" s="426">
        <v>-169.08354433299999</v>
      </c>
      <c r="U604" s="426">
        <f t="shared" si="60"/>
        <v>-1578.6748090059909</v>
      </c>
    </row>
    <row r="605" spans="1:24" s="426" customFormat="1">
      <c r="A605" s="426" t="str">
        <f t="shared" si="53"/>
        <v>KU</v>
      </c>
      <c r="B605" s="426" t="str">
        <f t="shared" si="54"/>
        <v>KY</v>
      </c>
      <c r="C605" s="426" t="str">
        <f t="shared" si="55"/>
        <v>E</v>
      </c>
      <c r="D605" s="426" t="s">
        <v>2670</v>
      </c>
      <c r="E605" s="426" t="str">
        <f t="shared" si="57"/>
        <v>392</v>
      </c>
      <c r="F605" s="799" t="s">
        <v>1813</v>
      </c>
      <c r="G605" s="425" t="str">
        <f t="shared" si="58"/>
        <v/>
      </c>
      <c r="I605" s="426">
        <v>-19.243369999999999</v>
      </c>
      <c r="J605" s="426">
        <v>-19.255749999999999</v>
      </c>
      <c r="K605" s="426">
        <v>-19.339670000000002</v>
      </c>
      <c r="L605" s="426">
        <v>-20.03106</v>
      </c>
      <c r="M605" s="426">
        <v>-20.648589999999999</v>
      </c>
      <c r="N605" s="426">
        <v>-20.601590000000002</v>
      </c>
      <c r="O605" s="426">
        <v>-20.794510935999998</v>
      </c>
      <c r="P605" s="426">
        <v>-21.044510935999998</v>
      </c>
      <c r="Q605" s="426">
        <v>-21.044510935999998</v>
      </c>
      <c r="R605" s="426">
        <v>-21.515794186000001</v>
      </c>
      <c r="S605" s="426">
        <v>-21.987077436</v>
      </c>
      <c r="T605" s="426">
        <v>-21.987077436</v>
      </c>
      <c r="U605" s="426">
        <f>SUM(I605:T605)</f>
        <v>-247.49351186599998</v>
      </c>
    </row>
    <row r="606" spans="1:24" s="426" customFormat="1">
      <c r="A606" s="426" t="str">
        <f t="shared" si="53"/>
        <v>KU</v>
      </c>
      <c r="B606" s="426" t="str">
        <f t="shared" si="54"/>
        <v>VA</v>
      </c>
      <c r="C606" s="426" t="str">
        <f t="shared" si="55"/>
        <v>E</v>
      </c>
      <c r="D606" s="426" t="s">
        <v>2670</v>
      </c>
      <c r="E606" s="426" t="str">
        <f t="shared" si="57"/>
        <v>392</v>
      </c>
      <c r="F606" s="799" t="s">
        <v>2401</v>
      </c>
      <c r="G606" s="425" t="str">
        <f t="shared" si="58"/>
        <v/>
      </c>
      <c r="I606" s="426">
        <v>-8.5809999999999997E-2</v>
      </c>
      <c r="J606" s="426">
        <v>-0.11304</v>
      </c>
      <c r="K606" s="426">
        <v>-0.11304</v>
      </c>
      <c r="L606" s="426">
        <v>-8.3040000000000003E-2</v>
      </c>
      <c r="M606" s="426">
        <v>-8.3040000000000003E-2</v>
      </c>
      <c r="N606" s="426">
        <v>-8.3040000000000003E-2</v>
      </c>
      <c r="O606" s="426">
        <v>-8.3043806829999997E-2</v>
      </c>
      <c r="P606" s="426">
        <v>-8.3043806829999997E-2</v>
      </c>
      <c r="Q606" s="426">
        <v>-8.3043806829999997E-2</v>
      </c>
      <c r="R606" s="426">
        <v>-8.3043806829999997E-2</v>
      </c>
      <c r="S606" s="426">
        <v>-8.3043806829999997E-2</v>
      </c>
      <c r="T606" s="426">
        <v>-8.3043806829999997E-2</v>
      </c>
      <c r="U606" s="426">
        <f t="shared" si="60"/>
        <v>-1.0592728409800001</v>
      </c>
    </row>
    <row r="607" spans="1:24" s="426" customFormat="1">
      <c r="A607" s="426" t="str">
        <f t="shared" si="53"/>
        <v>KU</v>
      </c>
      <c r="B607" s="426" t="str">
        <f t="shared" si="54"/>
        <v>KY</v>
      </c>
      <c r="C607" s="426" t="str">
        <f t="shared" si="55"/>
        <v>E</v>
      </c>
      <c r="D607" s="426" t="s">
        <v>2670</v>
      </c>
      <c r="E607" s="426" t="str">
        <f t="shared" si="57"/>
        <v>396</v>
      </c>
      <c r="F607" s="799" t="s">
        <v>2402</v>
      </c>
      <c r="G607" s="425" t="str">
        <f t="shared" si="58"/>
        <v/>
      </c>
      <c r="I607" s="426">
        <v>-20.169969999999999</v>
      </c>
      <c r="J607" s="426">
        <v>-19.47514</v>
      </c>
      <c r="K607" s="426">
        <v>-20.061540000000001</v>
      </c>
      <c r="L607" s="426">
        <v>-20.748899999999999</v>
      </c>
      <c r="M607" s="426">
        <v>-20.59216</v>
      </c>
      <c r="N607" s="426">
        <v>-20.251200000000001</v>
      </c>
      <c r="O607" s="426">
        <v>-20.16792572</v>
      </c>
      <c r="P607" s="426">
        <v>-20.16792572</v>
      </c>
      <c r="Q607" s="426">
        <v>-20.16792572</v>
      </c>
      <c r="R607" s="426">
        <v>-20.16792572</v>
      </c>
      <c r="S607" s="426">
        <v>-20.16792572</v>
      </c>
      <c r="T607" s="426">
        <v>-20.16792572</v>
      </c>
      <c r="U607" s="426">
        <f t="shared" si="60"/>
        <v>-242.30646432</v>
      </c>
    </row>
    <row r="608" spans="1:24" s="426" customFormat="1">
      <c r="A608" s="426" t="str">
        <f t="shared" si="53"/>
        <v>KU</v>
      </c>
      <c r="B608" s="426" t="str">
        <f t="shared" si="54"/>
        <v>VA</v>
      </c>
      <c r="C608" s="426" t="str">
        <f t="shared" si="55"/>
        <v>E</v>
      </c>
      <c r="D608" s="426" t="s">
        <v>2670</v>
      </c>
      <c r="E608" s="426" t="str">
        <f t="shared" si="57"/>
        <v>396</v>
      </c>
      <c r="F608" s="799" t="s">
        <v>2403</v>
      </c>
      <c r="G608" s="425" t="str">
        <f t="shared" si="58"/>
        <v/>
      </c>
      <c r="I608" s="426">
        <v>-2.2407599999999999</v>
      </c>
      <c r="J608" s="426">
        <v>-2.2486999999999999</v>
      </c>
      <c r="K608" s="426">
        <v>-2.3347199999999999</v>
      </c>
      <c r="L608" s="426">
        <v>-2.4207399999999999</v>
      </c>
      <c r="M608" s="426">
        <v>-2.4207399999999999</v>
      </c>
      <c r="N608" s="426">
        <v>-2.4207399999999999</v>
      </c>
      <c r="O608" s="426">
        <v>-2.42074137</v>
      </c>
      <c r="P608" s="426">
        <v>-2.42074137</v>
      </c>
      <c r="Q608" s="426">
        <v>-2.42074137</v>
      </c>
      <c r="R608" s="426">
        <v>-2.42074137</v>
      </c>
      <c r="S608" s="426">
        <v>-2.42074137</v>
      </c>
      <c r="T608" s="426">
        <v>-2.42074137</v>
      </c>
      <c r="U608" s="426">
        <f t="shared" si="60"/>
        <v>-28.610848220000008</v>
      </c>
      <c r="V608" s="427"/>
    </row>
    <row r="609" spans="1:22" s="426" customFormat="1">
      <c r="A609" s="426" t="str">
        <f t="shared" si="53"/>
        <v>KU</v>
      </c>
      <c r="B609" s="426" t="str">
        <f t="shared" si="54"/>
        <v>KY</v>
      </c>
      <c r="C609" s="426" t="str">
        <f t="shared" si="55"/>
        <v>E</v>
      </c>
      <c r="D609" s="426" t="s">
        <v>2670</v>
      </c>
      <c r="E609" s="426" t="str">
        <f t="shared" si="57"/>
        <v>317</v>
      </c>
      <c r="F609" s="799" t="s">
        <v>1736</v>
      </c>
      <c r="G609" s="425" t="str">
        <f t="shared" si="58"/>
        <v>ARO</v>
      </c>
      <c r="I609" s="426">
        <v>-253.66613000000001</v>
      </c>
      <c r="J609" s="426">
        <v>-52.158209999999997</v>
      </c>
      <c r="K609" s="426">
        <v>-52.158230000000003</v>
      </c>
      <c r="L609" s="426">
        <v>-52.158239999999999</v>
      </c>
      <c r="M609" s="426">
        <v>-52.158239999999999</v>
      </c>
      <c r="N609" s="426">
        <v>-88.468469999999996</v>
      </c>
      <c r="O609" s="426">
        <v>-51.601715498350302</v>
      </c>
      <c r="P609" s="426">
        <v>-51.601715498350302</v>
      </c>
      <c r="Q609" s="426">
        <v>-51.601715498350302</v>
      </c>
      <c r="R609" s="426">
        <v>-51.601715498350302</v>
      </c>
      <c r="S609" s="426">
        <v>-51.601715498350302</v>
      </c>
      <c r="T609" s="426">
        <v>-51.601715498350302</v>
      </c>
      <c r="U609" s="426">
        <f t="shared" si="60"/>
        <v>-860.37781299010203</v>
      </c>
    </row>
    <row r="610" spans="1:22">
      <c r="A610" s="426" t="str">
        <f t="shared" si="53"/>
        <v>KU</v>
      </c>
      <c r="B610" s="426" t="str">
        <f t="shared" si="54"/>
        <v>KY</v>
      </c>
      <c r="C610" s="426" t="str">
        <f t="shared" si="55"/>
        <v>E</v>
      </c>
      <c r="D610" s="426" t="s">
        <v>2670</v>
      </c>
      <c r="E610" s="426" t="str">
        <f t="shared" si="57"/>
        <v>317</v>
      </c>
      <c r="F610" s="799" t="s">
        <v>2398</v>
      </c>
      <c r="G610" s="425" t="str">
        <f t="shared" si="58"/>
        <v>ARO</v>
      </c>
      <c r="I610" s="426">
        <v>-931.91881999999998</v>
      </c>
      <c r="J610" s="426">
        <v>-1087.2808</v>
      </c>
      <c r="K610" s="426">
        <v>-1087.28069</v>
      </c>
      <c r="L610" s="426">
        <v>-1038.8336200000001</v>
      </c>
      <c r="M610" s="426">
        <v>-1260.28981</v>
      </c>
      <c r="N610" s="426">
        <v>-1260.2895599999999</v>
      </c>
      <c r="O610" s="426">
        <v>-1260</v>
      </c>
      <c r="P610" s="426">
        <v>-1260</v>
      </c>
      <c r="Q610" s="426">
        <v>-1260</v>
      </c>
      <c r="R610" s="426">
        <v>-1260</v>
      </c>
      <c r="S610" s="426">
        <v>-1260</v>
      </c>
      <c r="T610" s="426">
        <v>-1260</v>
      </c>
      <c r="U610" s="426">
        <f>SUM(I610:T610)</f>
        <v>-14225.8933</v>
      </c>
    </row>
    <row r="611" spans="1:22">
      <c r="A611" s="426" t="str">
        <f t="shared" si="53"/>
        <v>KU</v>
      </c>
      <c r="B611" s="426" t="str">
        <f t="shared" si="54"/>
        <v>KY</v>
      </c>
      <c r="C611" s="426" t="str">
        <f t="shared" si="55"/>
        <v>E</v>
      </c>
      <c r="D611" s="426" t="s">
        <v>2670</v>
      </c>
      <c r="E611" s="426" t="str">
        <f t="shared" si="57"/>
        <v>337</v>
      </c>
      <c r="F611" s="799" t="s">
        <v>1744</v>
      </c>
      <c r="G611" s="425" t="str">
        <f t="shared" si="58"/>
        <v>ARO</v>
      </c>
      <c r="I611" s="426">
        <v>-1.49068</v>
      </c>
      <c r="J611" s="426">
        <v>-1.49068</v>
      </c>
      <c r="K611" s="426">
        <v>-1.49068</v>
      </c>
      <c r="L611" s="426">
        <v>-1.49068</v>
      </c>
      <c r="M611" s="426">
        <v>-1.49068</v>
      </c>
      <c r="N611" s="426">
        <v>-1.49068</v>
      </c>
      <c r="O611" s="426">
        <v>-1.4747745564091299</v>
      </c>
      <c r="P611" s="426">
        <v>-1.4747745564091299</v>
      </c>
      <c r="Q611" s="426">
        <v>-1.4747745564091299</v>
      </c>
      <c r="R611" s="426">
        <v>-1.4747745564091299</v>
      </c>
      <c r="S611" s="426">
        <v>-1.4747745564091299</v>
      </c>
      <c r="T611" s="426">
        <v>-1.4747745564091299</v>
      </c>
      <c r="U611" s="426">
        <f>SUM(I611:T611)</f>
        <v>-17.792727338454782</v>
      </c>
    </row>
    <row r="612" spans="1:22">
      <c r="A612" s="426" t="str">
        <f t="shared" si="53"/>
        <v>KU</v>
      </c>
      <c r="B612" s="426" t="str">
        <f t="shared" si="54"/>
        <v>KY</v>
      </c>
      <c r="C612" s="426" t="str">
        <f t="shared" si="55"/>
        <v>E</v>
      </c>
      <c r="D612" s="426" t="s">
        <v>2670</v>
      </c>
      <c r="E612" s="426" t="str">
        <f t="shared" si="57"/>
        <v>347</v>
      </c>
      <c r="F612" s="799" t="s">
        <v>2195</v>
      </c>
      <c r="G612" s="425" t="str">
        <f t="shared" si="58"/>
        <v>ARO</v>
      </c>
      <c r="I612" s="426">
        <v>-1.6791199999999999</v>
      </c>
      <c r="J612" s="426">
        <v>-1.6791199999999999</v>
      </c>
      <c r="K612" s="426">
        <v>-1.6791199999999999</v>
      </c>
      <c r="L612" s="426">
        <v>-1.6791199999999999</v>
      </c>
      <c r="M612" s="426">
        <v>-1.6791199999999999</v>
      </c>
      <c r="N612" s="426">
        <v>-1.6791199999999999</v>
      </c>
      <c r="O612" s="426">
        <v>-1.66120391576844</v>
      </c>
      <c r="P612" s="426">
        <v>-1.66120391576844</v>
      </c>
      <c r="Q612" s="426">
        <v>-1.66120391576844</v>
      </c>
      <c r="R612" s="426">
        <v>-1.66120391576844</v>
      </c>
      <c r="S612" s="426">
        <v>-1.66120391576844</v>
      </c>
      <c r="T612" s="426">
        <v>-1.66120391576844</v>
      </c>
      <c r="U612" s="426">
        <f>SUM(I612:T612)</f>
        <v>-20.041943494610635</v>
      </c>
    </row>
    <row r="613" spans="1:22">
      <c r="A613" s="426" t="str">
        <f t="shared" si="53"/>
        <v>KU</v>
      </c>
      <c r="B613" s="426" t="str">
        <f t="shared" si="54"/>
        <v>KY</v>
      </c>
      <c r="C613" s="426" t="str">
        <f t="shared" si="55"/>
        <v>E</v>
      </c>
      <c r="D613" s="426" t="s">
        <v>2670</v>
      </c>
      <c r="E613" s="426" t="str">
        <f t="shared" si="57"/>
        <v>359</v>
      </c>
      <c r="F613" s="799" t="s">
        <v>1771</v>
      </c>
      <c r="G613" s="425" t="str">
        <f t="shared" si="58"/>
        <v>ARO</v>
      </c>
      <c r="I613" s="426">
        <v>-0.61409000000000002</v>
      </c>
      <c r="J613" s="426">
        <v>-0.61409000000000002</v>
      </c>
      <c r="K613" s="426">
        <v>-0.61409000000000002</v>
      </c>
      <c r="L613" s="426">
        <v>-0.61409000000000002</v>
      </c>
      <c r="M613" s="426">
        <v>-0.61409000000000002</v>
      </c>
      <c r="N613" s="426">
        <v>-0.61409000000000002</v>
      </c>
      <c r="O613" s="426">
        <v>-0.60753770584248901</v>
      </c>
      <c r="P613" s="426">
        <v>-0.60753770584248901</v>
      </c>
      <c r="Q613" s="426">
        <v>-0.60753770584248901</v>
      </c>
      <c r="R613" s="426">
        <v>-0.60753770584248901</v>
      </c>
      <c r="S613" s="426">
        <v>-0.60753770584248901</v>
      </c>
      <c r="T613" s="426">
        <v>-0.60753770584248901</v>
      </c>
      <c r="U613" s="426">
        <f t="shared" si="60"/>
        <v>-7.3297662350549349</v>
      </c>
    </row>
    <row r="614" spans="1:22">
      <c r="A614" s="426" t="str">
        <f t="shared" si="53"/>
        <v>KU</v>
      </c>
      <c r="B614" s="426" t="str">
        <f t="shared" si="54"/>
        <v>KY</v>
      </c>
      <c r="C614" s="426" t="str">
        <f t="shared" si="55"/>
        <v>E</v>
      </c>
      <c r="D614" s="426" t="s">
        <v>2670</v>
      </c>
      <c r="E614" s="426" t="str">
        <f t="shared" si="57"/>
        <v>374</v>
      </c>
      <c r="F614" s="799" t="s">
        <v>1803</v>
      </c>
      <c r="G614" s="425" t="str">
        <f t="shared" si="58"/>
        <v>ARO</v>
      </c>
      <c r="I614" s="426">
        <v>-0.66183000000000003</v>
      </c>
      <c r="J614" s="426">
        <v>-0.66183000000000003</v>
      </c>
      <c r="K614" s="426">
        <v>-0.66183000000000003</v>
      </c>
      <c r="L614" s="426">
        <v>-0.66183000000000003</v>
      </c>
      <c r="M614" s="426">
        <v>-0.66183000000000003</v>
      </c>
      <c r="N614" s="426">
        <v>-0.66183000000000003</v>
      </c>
      <c r="O614" s="426">
        <v>-0.65476832362965398</v>
      </c>
      <c r="P614" s="426">
        <v>-0.65476832362965398</v>
      </c>
      <c r="Q614" s="426">
        <v>-0.65476832362965398</v>
      </c>
      <c r="R614" s="426">
        <v>-0.65476832362965398</v>
      </c>
      <c r="S614" s="426">
        <v>-0.65476832362965398</v>
      </c>
      <c r="T614" s="426">
        <v>-0.65476832362965398</v>
      </c>
      <c r="U614" s="426">
        <f t="shared" si="60"/>
        <v>-7.8995899417779221</v>
      </c>
      <c r="V614" s="236"/>
    </row>
    <row r="615" spans="1:22">
      <c r="F615" s="799" t="s">
        <v>1828</v>
      </c>
      <c r="I615" s="426">
        <f t="shared" ref="I615:T615" si="61">SUM(I601:I614)</f>
        <v>27117.816820000004</v>
      </c>
      <c r="J615" s="426">
        <f t="shared" si="61"/>
        <v>27485.723579999991</v>
      </c>
      <c r="K615" s="426">
        <f t="shared" si="61"/>
        <v>27913.628109999983</v>
      </c>
      <c r="L615" s="426">
        <f t="shared" si="61"/>
        <v>27998.760429999991</v>
      </c>
      <c r="M615" s="426">
        <f t="shared" si="61"/>
        <v>28045.124470000006</v>
      </c>
      <c r="N615" s="426">
        <f t="shared" si="61"/>
        <v>28069.686769999982</v>
      </c>
      <c r="O615" s="426">
        <f t="shared" si="61"/>
        <v>28273.839282060628</v>
      </c>
      <c r="P615" s="426">
        <f t="shared" si="61"/>
        <v>28558.270121968984</v>
      </c>
      <c r="Q615" s="426">
        <f t="shared" si="61"/>
        <v>28719.927175431134</v>
      </c>
      <c r="R615" s="426">
        <f t="shared" si="61"/>
        <v>28866.965295009231</v>
      </c>
      <c r="S615" s="426">
        <f t="shared" si="61"/>
        <v>28921.051346115124</v>
      </c>
      <c r="T615" s="426">
        <f t="shared" si="61"/>
        <v>28937.221274746131</v>
      </c>
      <c r="U615" s="426">
        <f t="shared" si="60"/>
        <v>338908.01467533119</v>
      </c>
    </row>
    <row r="616" spans="1:22">
      <c r="I616" s="426">
        <v>27117.81682</v>
      </c>
      <c r="J616" s="426">
        <v>27485.7235799999</v>
      </c>
      <c r="K616" s="426">
        <v>27913.628110000001</v>
      </c>
      <c r="L616" s="426">
        <v>27998.760429999998</v>
      </c>
      <c r="M616" s="426">
        <v>28045.124469999901</v>
      </c>
      <c r="N616" s="426">
        <v>28069.68677</v>
      </c>
      <c r="O616" s="426">
        <v>28273.839282060602</v>
      </c>
      <c r="P616" s="426">
        <v>28558.270121969003</v>
      </c>
      <c r="Q616" s="426">
        <v>28719.927175431101</v>
      </c>
      <c r="R616" s="426">
        <v>28866.965295009199</v>
      </c>
      <c r="S616" s="426">
        <v>28921.051346115099</v>
      </c>
      <c r="T616" s="426">
        <v>28937.2212747462</v>
      </c>
      <c r="U616" s="426">
        <f t="shared" si="60"/>
        <v>338908.01467533089</v>
      </c>
    </row>
    <row r="617" spans="1:22">
      <c r="I617" s="426">
        <f>I615-I616</f>
        <v>0</v>
      </c>
      <c r="J617" s="426">
        <f t="shared" ref="J617:T617" si="62">J615-J616</f>
        <v>9.0949470177292824E-11</v>
      </c>
      <c r="K617" s="426">
        <f t="shared" si="62"/>
        <v>0</v>
      </c>
      <c r="L617" s="426">
        <f t="shared" si="62"/>
        <v>0</v>
      </c>
      <c r="M617" s="426">
        <f t="shared" si="62"/>
        <v>1.0550138540565968E-10</v>
      </c>
      <c r="N617" s="426">
        <f t="shared" si="62"/>
        <v>0</v>
      </c>
      <c r="O617" s="426">
        <f t="shared" si="62"/>
        <v>0</v>
      </c>
      <c r="P617" s="426">
        <f t="shared" si="62"/>
        <v>0</v>
      </c>
      <c r="Q617" s="426">
        <f t="shared" si="62"/>
        <v>3.2741809263825417E-11</v>
      </c>
      <c r="R617" s="426">
        <f t="shared" si="62"/>
        <v>3.2741809263825417E-11</v>
      </c>
      <c r="S617" s="426">
        <f t="shared" si="62"/>
        <v>0</v>
      </c>
      <c r="T617" s="426">
        <f t="shared" si="62"/>
        <v>-6.9121597334742546E-11</v>
      </c>
      <c r="U617" s="426">
        <f>SUM(I617:T617)</f>
        <v>1.9281287677586079E-10</v>
      </c>
    </row>
    <row r="618" spans="1:22" s="426" customFormat="1">
      <c r="F618" s="799"/>
      <c r="G618" s="425"/>
    </row>
    <row r="619" spans="1:22" s="426" customFormat="1">
      <c r="F619" s="799"/>
      <c r="G619" s="425"/>
    </row>
    <row r="620" spans="1:22" s="426" customFormat="1">
      <c r="F620" s="799"/>
      <c r="G620" s="425"/>
    </row>
    <row r="621" spans="1:22" s="426" customFormat="1">
      <c r="F621" s="800" t="s">
        <v>2419</v>
      </c>
      <c r="G621" s="425"/>
    </row>
    <row r="622" spans="1:22" s="426" customFormat="1">
      <c r="A622" s="426" t="str">
        <f t="shared" si="53"/>
        <v>KU</v>
      </c>
      <c r="B622" s="426" t="str">
        <f t="shared" si="54"/>
        <v>KY</v>
      </c>
      <c r="C622" s="426" t="str">
        <f t="shared" si="55"/>
        <v>E</v>
      </c>
      <c r="D622" s="426" t="s">
        <v>2671</v>
      </c>
      <c r="E622" s="426" t="str">
        <f t="shared" si="57"/>
        <v>311</v>
      </c>
      <c r="F622" s="741" t="s">
        <v>1727</v>
      </c>
      <c r="G622" s="425" t="str">
        <f t="shared" ref="G622:G677" si="63">IF(ISTEXT(MID($F622,SEARCH("FUTURE USE",$F622),3)),"FUTURE USE",IF(ISTEXT(MID($F622,SEARCH("ECR",$F622),3)),"ECR",IF(ISTEXT(MID($F622,SEARCH("ARO",$F622),3)),"ARO",IF(ISTEXT(MID($F622,SEARCH("DSM",$F622),3)),"DSM",""))))</f>
        <v/>
      </c>
      <c r="H622" s="426">
        <v>883.14898000000005</v>
      </c>
      <c r="I622" s="426">
        <v>883.14898000000005</v>
      </c>
      <c r="J622" s="426">
        <v>882.79665</v>
      </c>
      <c r="K622" s="426">
        <v>882.79665</v>
      </c>
      <c r="L622" s="426">
        <v>882.79665</v>
      </c>
      <c r="M622" s="426">
        <v>881.80178000000001</v>
      </c>
      <c r="N622" s="426">
        <v>878.86397999999997</v>
      </c>
      <c r="O622" s="426">
        <v>878.86397999999997</v>
      </c>
      <c r="P622" s="426">
        <v>878.86397999999997</v>
      </c>
      <c r="Q622" s="426">
        <v>878.86397999999997</v>
      </c>
      <c r="R622" s="426">
        <v>878.86397999999997</v>
      </c>
      <c r="S622" s="426">
        <v>878.86397999999997</v>
      </c>
      <c r="T622" s="426">
        <v>878.86397999999997</v>
      </c>
    </row>
    <row r="623" spans="1:22" s="426" customFormat="1">
      <c r="A623" s="426" t="str">
        <f t="shared" si="53"/>
        <v>KU</v>
      </c>
      <c r="B623" s="426" t="str">
        <f t="shared" si="54"/>
        <v>KY</v>
      </c>
      <c r="C623" s="426" t="str">
        <f t="shared" si="55"/>
        <v>E</v>
      </c>
      <c r="D623" s="426" t="s">
        <v>2671</v>
      </c>
      <c r="E623" s="426" t="str">
        <f t="shared" si="57"/>
        <v>312</v>
      </c>
      <c r="F623" s="741" t="s">
        <v>1728</v>
      </c>
      <c r="G623" s="425" t="str">
        <f t="shared" si="63"/>
        <v/>
      </c>
      <c r="H623" s="426">
        <v>4693.4643500000002</v>
      </c>
      <c r="I623" s="426">
        <v>4686.7110899999998</v>
      </c>
      <c r="J623" s="426">
        <v>4685.7656999999999</v>
      </c>
      <c r="K623" s="426">
        <v>4685.7656999999999</v>
      </c>
      <c r="L623" s="426">
        <v>4674.6789699999999</v>
      </c>
      <c r="M623" s="426">
        <v>4656.9643900000001</v>
      </c>
      <c r="N623" s="426">
        <v>4656.2688699999999</v>
      </c>
      <c r="O623" s="426">
        <v>4656.2688699999999</v>
      </c>
      <c r="P623" s="426">
        <v>4656.2688699999999</v>
      </c>
      <c r="Q623" s="426">
        <v>4656.2688699999999</v>
      </c>
      <c r="R623" s="426">
        <v>4656.2688699999999</v>
      </c>
      <c r="S623" s="426">
        <v>4656.2688699999999</v>
      </c>
      <c r="T623" s="426">
        <v>4656.2688699999999</v>
      </c>
    </row>
    <row r="624" spans="1:22" s="426" customFormat="1">
      <c r="A624" s="426" t="str">
        <f t="shared" si="53"/>
        <v>KU</v>
      </c>
      <c r="B624" s="426" t="str">
        <f t="shared" si="54"/>
        <v>KY</v>
      </c>
      <c r="C624" s="426" t="str">
        <f t="shared" si="55"/>
        <v>E</v>
      </c>
      <c r="D624" s="426" t="s">
        <v>2671</v>
      </c>
      <c r="E624" s="426" t="str">
        <f t="shared" si="57"/>
        <v>314</v>
      </c>
      <c r="F624" s="741" t="s">
        <v>1732</v>
      </c>
      <c r="G624" s="425" t="str">
        <f t="shared" si="63"/>
        <v/>
      </c>
      <c r="H624" s="426">
        <v>1282.91065</v>
      </c>
      <c r="I624" s="426">
        <v>1282.91065</v>
      </c>
      <c r="J624" s="426">
        <v>1282.6121000000001</v>
      </c>
      <c r="K624" s="426">
        <v>1282.6121000000001</v>
      </c>
      <c r="L624" s="426">
        <v>1282.6121000000001</v>
      </c>
      <c r="M624" s="426">
        <v>1281.6600100000001</v>
      </c>
      <c r="N624" s="426">
        <v>1280.6532299999999</v>
      </c>
      <c r="O624" s="426">
        <v>1280.6532299999999</v>
      </c>
      <c r="P624" s="426">
        <v>1280.6532299999999</v>
      </c>
      <c r="Q624" s="426">
        <v>1280.6532299999999</v>
      </c>
      <c r="R624" s="426">
        <v>1280.6532299999999</v>
      </c>
      <c r="S624" s="426">
        <v>1280.6532299999999</v>
      </c>
      <c r="T624" s="426">
        <v>1280.6532299999999</v>
      </c>
    </row>
    <row r="625" spans="1:21" s="426" customFormat="1">
      <c r="A625" s="426" t="str">
        <f t="shared" si="53"/>
        <v>KU</v>
      </c>
      <c r="B625" s="426" t="str">
        <f t="shared" si="54"/>
        <v>KY</v>
      </c>
      <c r="C625" s="426" t="str">
        <f t="shared" si="55"/>
        <v>E</v>
      </c>
      <c r="D625" s="426" t="s">
        <v>2671</v>
      </c>
      <c r="E625" s="426" t="str">
        <f t="shared" si="57"/>
        <v>315</v>
      </c>
      <c r="F625" s="741" t="s">
        <v>1733</v>
      </c>
      <c r="G625" s="425" t="str">
        <f t="shared" si="63"/>
        <v/>
      </c>
      <c r="H625" s="426">
        <v>872.04515000000004</v>
      </c>
      <c r="I625" s="426">
        <v>872.04515000000004</v>
      </c>
      <c r="J625" s="426">
        <v>871.97974999999997</v>
      </c>
      <c r="K625" s="426">
        <v>871.97974999999997</v>
      </c>
      <c r="L625" s="426">
        <v>871.97974999999997</v>
      </c>
      <c r="M625" s="426">
        <v>871.97974999999997</v>
      </c>
      <c r="N625" s="426">
        <v>871.70249000000001</v>
      </c>
      <c r="O625" s="426">
        <v>871.70249000000001</v>
      </c>
      <c r="P625" s="426">
        <v>871.70249000000001</v>
      </c>
      <c r="Q625" s="426">
        <v>871.70249000000001</v>
      </c>
      <c r="R625" s="426">
        <v>871.70249000000001</v>
      </c>
      <c r="S625" s="426">
        <v>871.70249000000001</v>
      </c>
      <c r="T625" s="426">
        <v>871.70249000000001</v>
      </c>
    </row>
    <row r="626" spans="1:21" s="426" customFormat="1">
      <c r="A626" s="426" t="str">
        <f t="shared" si="53"/>
        <v>KU</v>
      </c>
      <c r="B626" s="426" t="str">
        <f t="shared" si="54"/>
        <v>KY</v>
      </c>
      <c r="C626" s="426" t="str">
        <f t="shared" si="55"/>
        <v>E</v>
      </c>
      <c r="D626" s="426" t="s">
        <v>2671</v>
      </c>
      <c r="E626" s="426" t="str">
        <f t="shared" si="57"/>
        <v>316</v>
      </c>
      <c r="F626" s="741" t="s">
        <v>1735</v>
      </c>
      <c r="G626" s="425" t="str">
        <f t="shared" si="63"/>
        <v/>
      </c>
      <c r="H626" s="426">
        <v>81.631050000000002</v>
      </c>
      <c r="I626" s="426">
        <v>81.631050000000002</v>
      </c>
      <c r="J626" s="426">
        <v>81.631050000000002</v>
      </c>
      <c r="K626" s="426">
        <v>81.631050000000002</v>
      </c>
      <c r="L626" s="426">
        <v>81.631050000000002</v>
      </c>
      <c r="M626" s="426">
        <v>81.631050000000002</v>
      </c>
      <c r="N626" s="426">
        <v>81.631050000000002</v>
      </c>
      <c r="O626" s="426">
        <v>81.631050000000002</v>
      </c>
      <c r="P626" s="426">
        <v>81.631050000000002</v>
      </c>
      <c r="Q626" s="426">
        <v>81.631050000000002</v>
      </c>
      <c r="R626" s="426">
        <v>81.631050000000002</v>
      </c>
      <c r="S626" s="426">
        <v>81.631050000000002</v>
      </c>
      <c r="T626" s="426">
        <v>81.631050000000002</v>
      </c>
    </row>
    <row r="627" spans="1:21" s="426" customFormat="1">
      <c r="A627" s="426" t="str">
        <f t="shared" si="53"/>
        <v>KU</v>
      </c>
      <c r="B627" s="426" t="str">
        <f t="shared" si="54"/>
        <v>KY</v>
      </c>
      <c r="C627" s="426" t="str">
        <f t="shared" si="55"/>
        <v>E</v>
      </c>
      <c r="D627" s="426" t="s">
        <v>2671</v>
      </c>
      <c r="E627" s="426" t="str">
        <f t="shared" si="57"/>
        <v>335</v>
      </c>
      <c r="F627" s="741" t="s">
        <v>1742</v>
      </c>
      <c r="G627" s="425" t="str">
        <f t="shared" si="63"/>
        <v/>
      </c>
      <c r="H627" s="426">
        <v>0.38935999999999998</v>
      </c>
      <c r="I627" s="426">
        <v>0.38935999999999998</v>
      </c>
      <c r="J627" s="426">
        <v>0.38935999999999998</v>
      </c>
      <c r="K627" s="426">
        <v>0.38935999999999998</v>
      </c>
      <c r="L627" s="426">
        <v>0.38935999999999998</v>
      </c>
      <c r="M627" s="426">
        <v>0.38935999999999998</v>
      </c>
      <c r="N627" s="426">
        <v>0.38935999999999998</v>
      </c>
      <c r="O627" s="426">
        <v>0.38935999999999998</v>
      </c>
      <c r="P627" s="426">
        <v>0.38935999999999998</v>
      </c>
      <c r="Q627" s="426">
        <v>0.38935999999999998</v>
      </c>
      <c r="R627" s="426">
        <v>0.38935999999999998</v>
      </c>
      <c r="S627" s="426">
        <v>0.38935999999999998</v>
      </c>
      <c r="T627" s="426">
        <v>0.38935999999999998</v>
      </c>
      <c r="U627" s="706"/>
    </row>
    <row r="628" spans="1:21" s="426" customFormat="1">
      <c r="A628" s="426" t="str">
        <f t="shared" si="53"/>
        <v>KU</v>
      </c>
      <c r="B628" s="426" t="str">
        <f t="shared" si="54"/>
        <v>KY</v>
      </c>
      <c r="C628" s="426" t="str">
        <f t="shared" si="55"/>
        <v>E</v>
      </c>
      <c r="D628" s="426" t="s">
        <v>2671</v>
      </c>
      <c r="E628" s="426" t="str">
        <f t="shared" si="57"/>
        <v>341</v>
      </c>
      <c r="F628" s="741" t="s">
        <v>1746</v>
      </c>
      <c r="G628" s="425" t="str">
        <f t="shared" si="63"/>
        <v/>
      </c>
      <c r="H628" s="426">
        <v>8.9120000000000005E-2</v>
      </c>
      <c r="I628" s="426">
        <v>8.9120000000000005E-2</v>
      </c>
      <c r="J628" s="426">
        <v>8.9120000000000005E-2</v>
      </c>
      <c r="K628" s="426">
        <v>8.9120000000000005E-2</v>
      </c>
      <c r="L628" s="426">
        <v>8.9120000000000005E-2</v>
      </c>
      <c r="M628" s="426">
        <v>8.9120000000000005E-2</v>
      </c>
      <c r="N628" s="426">
        <v>8.9120000000000005E-2</v>
      </c>
      <c r="O628" s="426">
        <v>8.9120000000000005E-2</v>
      </c>
      <c r="P628" s="426">
        <v>8.9120000000000005E-2</v>
      </c>
      <c r="Q628" s="426">
        <v>8.9120000000000005E-2</v>
      </c>
      <c r="R628" s="426">
        <v>8.9120000000000005E-2</v>
      </c>
      <c r="S628" s="426">
        <v>8.9120000000000005E-2</v>
      </c>
      <c r="T628" s="426">
        <v>8.9120000000000005E-2</v>
      </c>
      <c r="U628" s="706"/>
    </row>
    <row r="629" spans="1:21" s="426" customFormat="1">
      <c r="A629" s="426" t="str">
        <f t="shared" si="53"/>
        <v>KU</v>
      </c>
      <c r="B629" s="426" t="str">
        <f t="shared" si="54"/>
        <v>KY</v>
      </c>
      <c r="C629" s="426" t="str">
        <f t="shared" si="55"/>
        <v>E</v>
      </c>
      <c r="D629" s="426" t="s">
        <v>2671</v>
      </c>
      <c r="E629" s="426" t="str">
        <f t="shared" si="57"/>
        <v>342</v>
      </c>
      <c r="F629" s="741" t="s">
        <v>1747</v>
      </c>
      <c r="G629" s="425" t="str">
        <f t="shared" si="63"/>
        <v/>
      </c>
      <c r="H629" s="426">
        <v>1.541E-2</v>
      </c>
      <c r="I629" s="426">
        <v>1.541E-2</v>
      </c>
      <c r="J629" s="426">
        <v>1.541E-2</v>
      </c>
      <c r="K629" s="426">
        <v>1.541E-2</v>
      </c>
      <c r="L629" s="426">
        <v>1.541E-2</v>
      </c>
      <c r="M629" s="426">
        <v>1.541E-2</v>
      </c>
      <c r="N629" s="426">
        <v>1.541E-2</v>
      </c>
      <c r="O629" s="426">
        <v>1.541E-2</v>
      </c>
      <c r="P629" s="426">
        <v>1.541E-2</v>
      </c>
      <c r="Q629" s="426">
        <v>1.541E-2</v>
      </c>
      <c r="R629" s="426">
        <v>1.541E-2</v>
      </c>
      <c r="S629" s="426">
        <v>1.541E-2</v>
      </c>
      <c r="T629" s="426">
        <v>1.541E-2</v>
      </c>
      <c r="U629" s="706"/>
    </row>
    <row r="630" spans="1:21" s="426" customFormat="1">
      <c r="A630" s="426" t="str">
        <f t="shared" si="53"/>
        <v>KU</v>
      </c>
      <c r="B630" s="426" t="str">
        <f t="shared" si="54"/>
        <v>KY</v>
      </c>
      <c r="C630" s="426" t="str">
        <f t="shared" si="55"/>
        <v>E</v>
      </c>
      <c r="D630" s="426" t="s">
        <v>2671</v>
      </c>
      <c r="E630" s="426" t="str">
        <f t="shared" si="57"/>
        <v>343</v>
      </c>
      <c r="F630" s="741" t="s">
        <v>1748</v>
      </c>
      <c r="G630" s="425" t="str">
        <f t="shared" si="63"/>
        <v/>
      </c>
      <c r="H630" s="426">
        <v>0.54883999999999999</v>
      </c>
      <c r="I630" s="802">
        <v>0.54883999999999999</v>
      </c>
      <c r="J630" s="706">
        <v>0.54883999999999999</v>
      </c>
      <c r="K630" s="706">
        <v>0.54883999999999999</v>
      </c>
      <c r="L630" s="706">
        <v>0.54883999999999999</v>
      </c>
      <c r="M630" s="706">
        <v>0.54883999999999999</v>
      </c>
      <c r="N630" s="706">
        <v>0.54883999999999999</v>
      </c>
      <c r="O630" s="706">
        <v>0.54883999999999999</v>
      </c>
      <c r="P630" s="706">
        <v>0.54883999999999999</v>
      </c>
      <c r="Q630" s="706">
        <v>0.54883999999999999</v>
      </c>
      <c r="R630" s="706">
        <v>0.54883999999999999</v>
      </c>
      <c r="S630" s="706">
        <v>0.54883999999999999</v>
      </c>
      <c r="T630" s="706">
        <v>0.54883999999999999</v>
      </c>
      <c r="U630" s="706"/>
    </row>
    <row r="631" spans="1:21" s="426" customFormat="1">
      <c r="A631" s="426" t="str">
        <f t="shared" si="53"/>
        <v>KU</v>
      </c>
      <c r="B631" s="426" t="str">
        <f t="shared" si="54"/>
        <v>KY</v>
      </c>
      <c r="C631" s="426" t="str">
        <f t="shared" si="55"/>
        <v>E</v>
      </c>
      <c r="D631" s="426" t="s">
        <v>2671</v>
      </c>
      <c r="E631" s="426" t="str">
        <f t="shared" si="57"/>
        <v>344</v>
      </c>
      <c r="F631" s="741" t="s">
        <v>1749</v>
      </c>
      <c r="G631" s="425" t="str">
        <f t="shared" si="63"/>
        <v/>
      </c>
      <c r="H631" s="426">
        <v>0.13777</v>
      </c>
      <c r="I631" s="426">
        <v>0.13777</v>
      </c>
      <c r="J631" s="426">
        <v>0.13777</v>
      </c>
      <c r="K631" s="426">
        <v>0.13777</v>
      </c>
      <c r="L631" s="426">
        <v>0.13777</v>
      </c>
      <c r="M631" s="426">
        <v>0.13777</v>
      </c>
      <c r="N631" s="426">
        <v>0.13777</v>
      </c>
      <c r="O631" s="426">
        <v>0.13777</v>
      </c>
      <c r="P631" s="426">
        <v>0.13777</v>
      </c>
      <c r="Q631" s="426">
        <v>0.13777</v>
      </c>
      <c r="R631" s="426">
        <v>0.13777</v>
      </c>
      <c r="S631" s="426">
        <v>0.13777</v>
      </c>
      <c r="T631" s="426">
        <v>0.13777</v>
      </c>
    </row>
    <row r="632" spans="1:21" s="426" customFormat="1">
      <c r="A632" s="426" t="str">
        <f t="shared" si="53"/>
        <v>KU</v>
      </c>
      <c r="B632" s="426" t="str">
        <f t="shared" si="54"/>
        <v>KY</v>
      </c>
      <c r="C632" s="426" t="str">
        <f t="shared" si="55"/>
        <v>E</v>
      </c>
      <c r="D632" s="426" t="s">
        <v>2671</v>
      </c>
      <c r="E632" s="426" t="str">
        <f t="shared" si="57"/>
        <v>345</v>
      </c>
      <c r="F632" s="741" t="s">
        <v>1750</v>
      </c>
      <c r="G632" s="425" t="str">
        <f t="shared" si="63"/>
        <v/>
      </c>
      <c r="H632" s="426">
        <v>0.11132</v>
      </c>
      <c r="I632" s="426">
        <v>0.11132</v>
      </c>
      <c r="J632" s="426">
        <v>0.11132</v>
      </c>
      <c r="K632" s="426">
        <v>0.11132</v>
      </c>
      <c r="L632" s="426">
        <v>0.11132</v>
      </c>
      <c r="M632" s="426">
        <v>0.11132</v>
      </c>
      <c r="N632" s="426">
        <v>0.11132</v>
      </c>
      <c r="O632" s="426">
        <v>0.11132</v>
      </c>
      <c r="P632" s="426">
        <v>0.11132</v>
      </c>
      <c r="Q632" s="426">
        <v>0.11132</v>
      </c>
      <c r="R632" s="426">
        <v>0.11132</v>
      </c>
      <c r="S632" s="426">
        <v>0.11132</v>
      </c>
      <c r="T632" s="426">
        <v>0.11132</v>
      </c>
    </row>
    <row r="633" spans="1:21" s="426" customFormat="1">
      <c r="A633" s="426" t="str">
        <f t="shared" si="53"/>
        <v>KU</v>
      </c>
      <c r="B633" s="426" t="str">
        <f t="shared" si="54"/>
        <v>KY</v>
      </c>
      <c r="C633" s="426" t="str">
        <f t="shared" si="55"/>
        <v>E</v>
      </c>
      <c r="D633" s="426" t="s">
        <v>2671</v>
      </c>
      <c r="E633" s="426" t="str">
        <f t="shared" si="57"/>
        <v>346</v>
      </c>
      <c r="F633" s="741" t="s">
        <v>1751</v>
      </c>
      <c r="G633" s="425" t="str">
        <f t="shared" si="63"/>
        <v/>
      </c>
      <c r="H633" s="426">
        <v>1.1849999999999999E-2</v>
      </c>
      <c r="I633" s="426">
        <v>1.1849999999999999E-2</v>
      </c>
      <c r="J633" s="426">
        <v>1.1849999999999999E-2</v>
      </c>
      <c r="K633" s="426">
        <v>1.1849999999999999E-2</v>
      </c>
      <c r="L633" s="426">
        <v>1.1849999999999999E-2</v>
      </c>
      <c r="M633" s="426">
        <v>1.1849999999999999E-2</v>
      </c>
      <c r="N633" s="426">
        <v>1.1849999999999999E-2</v>
      </c>
      <c r="O633" s="426">
        <v>1.1849999999999999E-2</v>
      </c>
      <c r="P633" s="426">
        <v>1.1849999999999999E-2</v>
      </c>
      <c r="Q633" s="426">
        <v>1.1849999999999999E-2</v>
      </c>
      <c r="R633" s="426">
        <v>1.1849999999999999E-2</v>
      </c>
      <c r="S633" s="426">
        <v>1.1849999999999999E-2</v>
      </c>
      <c r="T633" s="426">
        <v>1.1849999999999999E-2</v>
      </c>
    </row>
    <row r="634" spans="1:21" s="426" customFormat="1">
      <c r="A634" s="426" t="str">
        <f t="shared" si="53"/>
        <v>KU</v>
      </c>
      <c r="B634" s="426" t="str">
        <f t="shared" si="54"/>
        <v>KY</v>
      </c>
      <c r="C634" s="426" t="str">
        <f t="shared" si="55"/>
        <v>E</v>
      </c>
      <c r="D634" s="426" t="s">
        <v>2671</v>
      </c>
      <c r="E634" s="426" t="str">
        <f t="shared" si="57"/>
        <v>350</v>
      </c>
      <c r="F634" s="741" t="s">
        <v>1752</v>
      </c>
      <c r="G634" s="425" t="str">
        <f t="shared" si="63"/>
        <v/>
      </c>
      <c r="H634" s="426">
        <v>36.40598</v>
      </c>
      <c r="I634" s="426">
        <v>36.40598</v>
      </c>
      <c r="J634" s="426">
        <v>36.40598</v>
      </c>
      <c r="K634" s="426">
        <v>36.40598</v>
      </c>
      <c r="L634" s="426">
        <v>36.40598</v>
      </c>
      <c r="M634" s="426">
        <v>36.40598</v>
      </c>
      <c r="N634" s="426">
        <v>36.40598</v>
      </c>
      <c r="O634" s="426">
        <v>36.40598</v>
      </c>
      <c r="P634" s="426">
        <v>36.40598</v>
      </c>
      <c r="Q634" s="426">
        <v>36.40598</v>
      </c>
      <c r="R634" s="426">
        <v>36.40598</v>
      </c>
      <c r="S634" s="426">
        <v>36.40598</v>
      </c>
      <c r="T634" s="426">
        <v>36.40598</v>
      </c>
    </row>
    <row r="635" spans="1:21" s="426" customFormat="1">
      <c r="A635" s="426" t="str">
        <f t="shared" si="53"/>
        <v>KU</v>
      </c>
      <c r="B635" s="426" t="str">
        <f t="shared" si="54"/>
        <v>KY</v>
      </c>
      <c r="C635" s="426" t="str">
        <f t="shared" si="55"/>
        <v>E</v>
      </c>
      <c r="D635" s="426" t="s">
        <v>2671</v>
      </c>
      <c r="E635" s="426" t="str">
        <f t="shared" si="57"/>
        <v>352</v>
      </c>
      <c r="F635" s="741" t="s">
        <v>1756</v>
      </c>
      <c r="G635" s="425" t="str">
        <f t="shared" si="63"/>
        <v/>
      </c>
      <c r="H635" s="426">
        <v>34.484699999999997</v>
      </c>
      <c r="I635" s="426">
        <v>34.484699999999997</v>
      </c>
      <c r="J635" s="426">
        <v>34.484699999999997</v>
      </c>
      <c r="K635" s="426">
        <v>34.484699999999997</v>
      </c>
      <c r="L635" s="426">
        <v>34.484699999999997</v>
      </c>
      <c r="M635" s="426">
        <v>34.484699999999997</v>
      </c>
      <c r="N635" s="426">
        <v>34.484699999999997</v>
      </c>
      <c r="O635" s="426">
        <v>34.484699999999997</v>
      </c>
      <c r="P635" s="426">
        <v>34.484699999999997</v>
      </c>
      <c r="Q635" s="426">
        <v>34.484699999999997</v>
      </c>
      <c r="R635" s="426">
        <v>34.484699999999997</v>
      </c>
      <c r="S635" s="426">
        <v>34.484699999999997</v>
      </c>
      <c r="T635" s="426">
        <v>34.484699999999997</v>
      </c>
    </row>
    <row r="636" spans="1:21" s="426" customFormat="1">
      <c r="A636" s="426" t="str">
        <f t="shared" si="53"/>
        <v>KU</v>
      </c>
      <c r="B636" s="426" t="str">
        <f t="shared" si="54"/>
        <v>KY</v>
      </c>
      <c r="C636" s="426" t="str">
        <f t="shared" si="55"/>
        <v>E</v>
      </c>
      <c r="D636" s="426" t="s">
        <v>2671</v>
      </c>
      <c r="E636" s="426" t="str">
        <f t="shared" si="57"/>
        <v>353</v>
      </c>
      <c r="F636" s="741" t="s">
        <v>1758</v>
      </c>
      <c r="G636" s="425" t="str">
        <f t="shared" si="63"/>
        <v/>
      </c>
      <c r="H636" s="426">
        <v>249.72577000000001</v>
      </c>
      <c r="I636" s="426">
        <v>241.94083000000001</v>
      </c>
      <c r="J636" s="426">
        <v>241.94083000000001</v>
      </c>
      <c r="K636" s="426">
        <v>241.9254</v>
      </c>
      <c r="L636" s="426">
        <v>241.66139000000001</v>
      </c>
      <c r="M636" s="426">
        <v>241.65744000000001</v>
      </c>
      <c r="N636" s="426">
        <v>241.65744000000001</v>
      </c>
      <c r="O636" s="426">
        <v>241.65744000000001</v>
      </c>
      <c r="P636" s="426">
        <v>241.65744000000001</v>
      </c>
      <c r="Q636" s="426">
        <v>241.65744000000001</v>
      </c>
      <c r="R636" s="426">
        <v>241.65744000000001</v>
      </c>
      <c r="S636" s="426">
        <v>241.65744000000001</v>
      </c>
      <c r="T636" s="426">
        <v>241.65744000000001</v>
      </c>
    </row>
    <row r="637" spans="1:21">
      <c r="A637" s="426" t="str">
        <f t="shared" si="53"/>
        <v>KU</v>
      </c>
      <c r="B637" s="426" t="str">
        <f t="shared" si="54"/>
        <v>KY</v>
      </c>
      <c r="C637" s="426" t="str">
        <f t="shared" si="55"/>
        <v>E</v>
      </c>
      <c r="D637" s="426" t="s">
        <v>2671</v>
      </c>
      <c r="E637" s="426" t="str">
        <f t="shared" si="57"/>
        <v>354</v>
      </c>
      <c r="F637" s="741" t="s">
        <v>1761</v>
      </c>
      <c r="G637" s="425" t="str">
        <f t="shared" si="63"/>
        <v/>
      </c>
      <c r="H637" s="426">
        <v>399.83364</v>
      </c>
      <c r="I637" s="426">
        <v>399.83364</v>
      </c>
      <c r="J637" s="426">
        <v>399.83364</v>
      </c>
      <c r="K637" s="426">
        <v>399.83364</v>
      </c>
      <c r="L637" s="426">
        <v>399.83364</v>
      </c>
      <c r="M637" s="426">
        <v>399.83364</v>
      </c>
      <c r="N637" s="426">
        <v>399.83364</v>
      </c>
      <c r="O637" s="426">
        <v>399.83364</v>
      </c>
      <c r="P637" s="426">
        <v>399.83364</v>
      </c>
      <c r="Q637" s="426">
        <v>399.83364</v>
      </c>
      <c r="R637" s="426">
        <v>399.83364</v>
      </c>
      <c r="S637" s="426">
        <v>399.83364</v>
      </c>
      <c r="T637" s="426">
        <v>399.83364</v>
      </c>
    </row>
    <row r="638" spans="1:21">
      <c r="A638" s="426" t="str">
        <f t="shared" si="53"/>
        <v>KU</v>
      </c>
      <c r="B638" s="426" t="str">
        <f t="shared" si="54"/>
        <v>KY</v>
      </c>
      <c r="C638" s="426" t="str">
        <f t="shared" si="55"/>
        <v>E</v>
      </c>
      <c r="D638" s="426" t="s">
        <v>2671</v>
      </c>
      <c r="E638" s="426" t="str">
        <f t="shared" si="57"/>
        <v>355</v>
      </c>
      <c r="F638" s="741" t="s">
        <v>1763</v>
      </c>
      <c r="G638" s="425" t="str">
        <f t="shared" si="63"/>
        <v/>
      </c>
      <c r="H638" s="426">
        <v>107.19301</v>
      </c>
      <c r="I638" s="426">
        <v>107.19301</v>
      </c>
      <c r="J638" s="426">
        <v>107.19224</v>
      </c>
      <c r="K638" s="426">
        <v>107.17894</v>
      </c>
      <c r="L638" s="426">
        <v>107.15402</v>
      </c>
      <c r="M638" s="426">
        <v>107.15402</v>
      </c>
      <c r="N638" s="426">
        <v>107.15402</v>
      </c>
      <c r="O638" s="426">
        <v>107.15402</v>
      </c>
      <c r="P638" s="426">
        <v>107.15402</v>
      </c>
      <c r="Q638" s="426">
        <v>107.15402</v>
      </c>
      <c r="R638" s="426">
        <v>107.15402</v>
      </c>
      <c r="S638" s="426">
        <v>107.15402</v>
      </c>
      <c r="T638" s="426">
        <v>107.15402</v>
      </c>
    </row>
    <row r="639" spans="1:21">
      <c r="A639" s="426" t="str">
        <f t="shared" si="53"/>
        <v>KU</v>
      </c>
      <c r="B639" s="426" t="str">
        <f t="shared" si="54"/>
        <v>KY</v>
      </c>
      <c r="C639" s="426" t="str">
        <f t="shared" si="55"/>
        <v>E</v>
      </c>
      <c r="D639" s="426" t="s">
        <v>2671</v>
      </c>
      <c r="E639" s="426" t="str">
        <f t="shared" si="57"/>
        <v>356</v>
      </c>
      <c r="F639" s="741" t="s">
        <v>1766</v>
      </c>
      <c r="G639" s="425" t="str">
        <f t="shared" si="63"/>
        <v/>
      </c>
      <c r="H639" s="426">
        <v>496.98455999999999</v>
      </c>
      <c r="I639" s="426">
        <v>496.98455999999999</v>
      </c>
      <c r="J639" s="426">
        <v>496.93794000000003</v>
      </c>
      <c r="K639" s="426">
        <v>496.93777</v>
      </c>
      <c r="L639" s="426">
        <v>496.48899999999998</v>
      </c>
      <c r="M639" s="426">
        <v>496.48899</v>
      </c>
      <c r="N639" s="426">
        <v>496.48899</v>
      </c>
      <c r="O639" s="426">
        <v>496.48899</v>
      </c>
      <c r="P639" s="426">
        <v>496.48899</v>
      </c>
      <c r="Q639" s="426">
        <v>496.48899</v>
      </c>
      <c r="R639" s="426">
        <v>496.48899</v>
      </c>
      <c r="S639" s="426">
        <v>496.48899</v>
      </c>
      <c r="T639" s="426">
        <v>496.48899</v>
      </c>
    </row>
    <row r="640" spans="1:21">
      <c r="A640" s="426" t="str">
        <f t="shared" si="53"/>
        <v>KU</v>
      </c>
      <c r="B640" s="426" t="str">
        <f t="shared" si="54"/>
        <v>KY</v>
      </c>
      <c r="C640" s="426" t="str">
        <f t="shared" si="55"/>
        <v>E</v>
      </c>
      <c r="D640" s="426" t="s">
        <v>2671</v>
      </c>
      <c r="E640" s="426" t="str">
        <f t="shared" si="57"/>
        <v>357</v>
      </c>
      <c r="F640" s="741" t="s">
        <v>1769</v>
      </c>
      <c r="G640" s="425" t="str">
        <f t="shared" si="63"/>
        <v/>
      </c>
      <c r="H640" s="426">
        <v>0.13058</v>
      </c>
      <c r="I640" s="426">
        <v>0.13058</v>
      </c>
      <c r="J640" s="426">
        <v>0.13058</v>
      </c>
      <c r="K640" s="426">
        <v>0.13058</v>
      </c>
      <c r="L640" s="426">
        <v>0.13058</v>
      </c>
      <c r="M640" s="426">
        <v>0.13058</v>
      </c>
      <c r="N640" s="426">
        <v>0.13058</v>
      </c>
      <c r="O640" s="426">
        <v>0.13058</v>
      </c>
      <c r="P640" s="426">
        <v>0.13058</v>
      </c>
      <c r="Q640" s="426">
        <v>0.13058</v>
      </c>
      <c r="R640" s="426">
        <v>0.13058</v>
      </c>
      <c r="S640" s="426">
        <v>0.13058</v>
      </c>
      <c r="T640" s="426">
        <v>0.13058</v>
      </c>
    </row>
    <row r="641" spans="1:20">
      <c r="A641" s="426" t="str">
        <f t="shared" si="53"/>
        <v>KU</v>
      </c>
      <c r="B641" s="426" t="str">
        <f t="shared" si="54"/>
        <v>KY</v>
      </c>
      <c r="C641" s="426" t="str">
        <f t="shared" si="55"/>
        <v>E</v>
      </c>
      <c r="D641" s="426" t="s">
        <v>2671</v>
      </c>
      <c r="E641" s="426" t="str">
        <f t="shared" si="57"/>
        <v>358</v>
      </c>
      <c r="F641" s="741" t="s">
        <v>1770</v>
      </c>
      <c r="G641" s="425" t="str">
        <f t="shared" si="63"/>
        <v/>
      </c>
      <c r="H641" s="426">
        <v>1.0498700000000001</v>
      </c>
      <c r="I641" s="426">
        <v>1.0498700000000001</v>
      </c>
      <c r="J641" s="426">
        <v>1.0498700000000001</v>
      </c>
      <c r="K641" s="426">
        <v>1.0498700000000001</v>
      </c>
      <c r="L641" s="426">
        <v>1.0498700000000001</v>
      </c>
      <c r="M641" s="426">
        <v>1.0498700000000001</v>
      </c>
      <c r="N641" s="426">
        <v>1.0498700000000001</v>
      </c>
      <c r="O641" s="426">
        <v>1.0498700000000001</v>
      </c>
      <c r="P641" s="426">
        <v>1.0498700000000001</v>
      </c>
      <c r="Q641" s="426">
        <v>1.0498700000000001</v>
      </c>
      <c r="R641" s="426">
        <v>1.0498700000000001</v>
      </c>
      <c r="S641" s="426">
        <v>1.0498700000000001</v>
      </c>
      <c r="T641" s="426">
        <v>1.0498700000000001</v>
      </c>
    </row>
    <row r="642" spans="1:20">
      <c r="F642" s="799" t="s">
        <v>1823</v>
      </c>
      <c r="G642" s="425" t="str">
        <f t="shared" si="63"/>
        <v/>
      </c>
      <c r="H642" s="426">
        <f t="shared" ref="H642:T642" si="64">SUM(H622:H641)</f>
        <v>9140.3119600000027</v>
      </c>
      <c r="I642" s="426">
        <f t="shared" si="64"/>
        <v>9125.7737600000019</v>
      </c>
      <c r="J642" s="426">
        <f t="shared" si="64"/>
        <v>9124.0647000000026</v>
      </c>
      <c r="K642" s="426">
        <f t="shared" si="64"/>
        <v>9124.0358000000015</v>
      </c>
      <c r="L642" s="426">
        <f t="shared" si="64"/>
        <v>9112.2113700000009</v>
      </c>
      <c r="M642" s="426">
        <f t="shared" si="64"/>
        <v>9092.5458700000017</v>
      </c>
      <c r="N642" s="426">
        <f t="shared" si="64"/>
        <v>9087.6285100000005</v>
      </c>
      <c r="O642" s="426">
        <f t="shared" si="64"/>
        <v>9087.6285100000005</v>
      </c>
      <c r="P642" s="426">
        <f t="shared" si="64"/>
        <v>9087.6285100000005</v>
      </c>
      <c r="Q642" s="426">
        <f t="shared" si="64"/>
        <v>9087.6285100000005</v>
      </c>
      <c r="R642" s="426">
        <f t="shared" si="64"/>
        <v>9087.6285100000005</v>
      </c>
      <c r="S642" s="426">
        <f t="shared" si="64"/>
        <v>9087.6285100000005</v>
      </c>
      <c r="T642" s="426">
        <f t="shared" si="64"/>
        <v>9087.6285100000005</v>
      </c>
    </row>
    <row r="643" spans="1:20">
      <c r="G643" s="425" t="str">
        <f t="shared" si="63"/>
        <v/>
      </c>
    </row>
    <row r="644" spans="1:20">
      <c r="F644" s="800" t="s">
        <v>2404</v>
      </c>
      <c r="G644" s="425" t="str">
        <f t="shared" si="63"/>
        <v/>
      </c>
    </row>
    <row r="645" spans="1:20">
      <c r="A645" s="426" t="str">
        <f t="shared" si="53"/>
        <v>KU</v>
      </c>
      <c r="B645" s="426" t="str">
        <f t="shared" si="54"/>
        <v>KY</v>
      </c>
      <c r="C645" s="426" t="str">
        <f t="shared" si="55"/>
        <v>E</v>
      </c>
      <c r="D645" s="426" t="s">
        <v>2672</v>
      </c>
      <c r="E645" s="426" t="str">
        <f t="shared" si="57"/>
        <v>311</v>
      </c>
      <c r="F645" s="741" t="s">
        <v>2178</v>
      </c>
      <c r="G645" s="425" t="str">
        <f t="shared" si="63"/>
        <v>ECR</v>
      </c>
      <c r="H645" s="426">
        <v>8.7184100000000093</v>
      </c>
      <c r="I645" s="426">
        <v>8.7184100000000093</v>
      </c>
      <c r="J645" s="426">
        <v>8.7184100000000093</v>
      </c>
      <c r="K645" s="426">
        <v>8.7184100000000093</v>
      </c>
      <c r="L645" s="426">
        <v>8.7184100000000093</v>
      </c>
      <c r="M645" s="426">
        <v>8.7184100000000093</v>
      </c>
      <c r="N645" s="426">
        <v>8.7184100000000093</v>
      </c>
      <c r="O645" s="426">
        <v>8.7184100000000093</v>
      </c>
      <c r="P645" s="426">
        <v>8.7184100000000093</v>
      </c>
      <c r="Q645" s="426">
        <v>8.7184100000000093</v>
      </c>
      <c r="R645" s="426">
        <v>8.7184100000000093</v>
      </c>
      <c r="S645" s="426">
        <v>8.7184100000000093</v>
      </c>
      <c r="T645" s="426">
        <v>8.7184100000000093</v>
      </c>
    </row>
    <row r="646" spans="1:20">
      <c r="A646" s="426" t="str">
        <f t="shared" si="53"/>
        <v>KU</v>
      </c>
      <c r="B646" s="426" t="str">
        <f t="shared" si="54"/>
        <v>KY</v>
      </c>
      <c r="C646" s="426" t="str">
        <f t="shared" si="55"/>
        <v>E</v>
      </c>
      <c r="D646" s="426" t="s">
        <v>2672</v>
      </c>
      <c r="E646" s="426" t="str">
        <f t="shared" si="57"/>
        <v>311</v>
      </c>
      <c r="F646" s="741" t="s">
        <v>1727</v>
      </c>
      <c r="G646" s="425" t="str">
        <f t="shared" si="63"/>
        <v/>
      </c>
      <c r="H646" s="426">
        <v>366.27118000000002</v>
      </c>
      <c r="I646" s="426">
        <v>366.27118000000002</v>
      </c>
      <c r="J646" s="426">
        <v>366.27118000000002</v>
      </c>
      <c r="K646" s="426">
        <v>366.27118000000002</v>
      </c>
      <c r="L646" s="426">
        <v>366.27118000000002</v>
      </c>
      <c r="M646" s="426">
        <v>366.27118000000002</v>
      </c>
      <c r="N646" s="426">
        <v>366.27118000000002</v>
      </c>
      <c r="O646" s="426">
        <v>366.27118000000002</v>
      </c>
      <c r="P646" s="426">
        <v>366.27118000000002</v>
      </c>
      <c r="Q646" s="426">
        <v>366.27118000000002</v>
      </c>
      <c r="R646" s="426">
        <v>366.27118000000002</v>
      </c>
      <c r="S646" s="426">
        <v>366.27118000000002</v>
      </c>
      <c r="T646" s="426">
        <v>366.27118000000002</v>
      </c>
    </row>
    <row r="647" spans="1:20">
      <c r="A647" s="426" t="str">
        <f t="shared" si="53"/>
        <v>KU</v>
      </c>
      <c r="B647" s="426" t="str">
        <f t="shared" si="54"/>
        <v>KY</v>
      </c>
      <c r="C647" s="426" t="str">
        <f t="shared" si="55"/>
        <v>E</v>
      </c>
      <c r="D647" s="426" t="s">
        <v>2672</v>
      </c>
      <c r="E647" s="426" t="str">
        <f t="shared" si="57"/>
        <v>312</v>
      </c>
      <c r="F647" s="741" t="s">
        <v>1728</v>
      </c>
      <c r="G647" s="425" t="str">
        <f t="shared" si="63"/>
        <v/>
      </c>
      <c r="H647" s="426">
        <v>4055.0371599999999</v>
      </c>
      <c r="I647" s="426">
        <v>4046.9267399999999</v>
      </c>
      <c r="J647" s="426">
        <v>4046.7778699999999</v>
      </c>
      <c r="K647" s="426">
        <v>3834.2508499999999</v>
      </c>
      <c r="L647" s="426">
        <v>3833.75812</v>
      </c>
      <c r="M647" s="426">
        <v>3832.9141300000001</v>
      </c>
      <c r="N647" s="426">
        <v>3832.5133900000001</v>
      </c>
      <c r="O647" s="426">
        <v>3832.5133900000001</v>
      </c>
      <c r="P647" s="426">
        <v>3832.5133900000001</v>
      </c>
      <c r="Q647" s="426">
        <v>3832.5133900000001</v>
      </c>
      <c r="R647" s="426">
        <v>3832.5133900000001</v>
      </c>
      <c r="S647" s="426">
        <v>3832.5133900000001</v>
      </c>
      <c r="T647" s="426">
        <v>3832.5133900000001</v>
      </c>
    </row>
    <row r="648" spans="1:20">
      <c r="A648" s="426" t="str">
        <f t="shared" si="53"/>
        <v>KU</v>
      </c>
      <c r="B648" s="426" t="str">
        <f t="shared" si="54"/>
        <v>KY</v>
      </c>
      <c r="C648" s="426" t="str">
        <f t="shared" si="55"/>
        <v>E</v>
      </c>
      <c r="D648" s="426" t="s">
        <v>2672</v>
      </c>
      <c r="E648" s="426" t="str">
        <f t="shared" si="57"/>
        <v>312</v>
      </c>
      <c r="F648" s="741" t="s">
        <v>1729</v>
      </c>
      <c r="G648" s="425" t="str">
        <f t="shared" si="63"/>
        <v>ECR</v>
      </c>
      <c r="H648" s="426">
        <v>224.36236</v>
      </c>
      <c r="I648" s="426">
        <v>224.36236</v>
      </c>
      <c r="J648" s="426">
        <v>224.36236</v>
      </c>
      <c r="K648" s="426">
        <v>224.36236</v>
      </c>
      <c r="L648" s="426">
        <v>224.36236</v>
      </c>
      <c r="M648" s="426">
        <v>224.36236</v>
      </c>
      <c r="N648" s="426">
        <v>174.07651000000001</v>
      </c>
      <c r="O648" s="426">
        <v>174.07651000000001</v>
      </c>
      <c r="P648" s="426">
        <v>174.07651000000001</v>
      </c>
      <c r="Q648" s="426">
        <v>174.07651000000001</v>
      </c>
      <c r="R648" s="426">
        <v>174.07651000000001</v>
      </c>
      <c r="S648" s="426">
        <v>174.07651000000001</v>
      </c>
      <c r="T648" s="426">
        <v>174.07651000000001</v>
      </c>
    </row>
    <row r="649" spans="1:20">
      <c r="A649" s="426" t="str">
        <f t="shared" si="53"/>
        <v>KU</v>
      </c>
      <c r="B649" s="426" t="str">
        <f t="shared" si="54"/>
        <v>KY</v>
      </c>
      <c r="C649" s="426" t="str">
        <f t="shared" si="55"/>
        <v>E</v>
      </c>
      <c r="D649" s="426" t="s">
        <v>2672</v>
      </c>
      <c r="E649" s="426" t="str">
        <f t="shared" si="57"/>
        <v>312</v>
      </c>
      <c r="F649" s="741" t="s">
        <v>2714</v>
      </c>
      <c r="G649" s="425" t="str">
        <f t="shared" si="63"/>
        <v>ECR</v>
      </c>
      <c r="H649" s="426">
        <v>0</v>
      </c>
      <c r="I649" s="426">
        <v>0</v>
      </c>
      <c r="J649" s="426">
        <v>0</v>
      </c>
      <c r="K649" s="426">
        <v>0</v>
      </c>
      <c r="L649" s="426">
        <v>0</v>
      </c>
      <c r="M649" s="426">
        <v>0</v>
      </c>
      <c r="N649" s="426">
        <v>50.285850000000003</v>
      </c>
      <c r="O649" s="426">
        <v>50.285850000000003</v>
      </c>
      <c r="P649" s="426">
        <v>50.285850000000003</v>
      </c>
      <c r="Q649" s="426">
        <v>50.285850000000003</v>
      </c>
      <c r="R649" s="426">
        <v>50.285850000000003</v>
      </c>
      <c r="S649" s="426">
        <v>50.285850000000003</v>
      </c>
      <c r="T649" s="426">
        <v>50.285850000000003</v>
      </c>
    </row>
    <row r="650" spans="1:20">
      <c r="A650" s="426" t="str">
        <f t="shared" ref="A650:A720" si="65">MID($F650,4,2)</f>
        <v>KU</v>
      </c>
      <c r="B650" s="426" t="str">
        <f t="shared" si="54"/>
        <v>KY</v>
      </c>
      <c r="C650" s="426" t="str">
        <f t="shared" si="55"/>
        <v>E</v>
      </c>
      <c r="D650" s="426" t="s">
        <v>2672</v>
      </c>
      <c r="E650" s="426" t="str">
        <f t="shared" si="57"/>
        <v>312</v>
      </c>
      <c r="F650" s="741" t="s">
        <v>1730</v>
      </c>
      <c r="G650" s="425" t="str">
        <f t="shared" si="63"/>
        <v>ECR</v>
      </c>
      <c r="H650" s="426">
        <v>571.34781999999996</v>
      </c>
      <c r="I650" s="426">
        <v>571.34781999999996</v>
      </c>
      <c r="J650" s="426">
        <v>571.34781999999996</v>
      </c>
      <c r="K650" s="426">
        <v>571.34781999999996</v>
      </c>
      <c r="L650" s="426">
        <v>571.34781999999996</v>
      </c>
      <c r="M650" s="426">
        <v>571.18727999999999</v>
      </c>
      <c r="N650" s="426">
        <v>571.11085000000003</v>
      </c>
      <c r="O650" s="426">
        <v>571.11085000000003</v>
      </c>
      <c r="P650" s="426">
        <v>571.11085000000003</v>
      </c>
      <c r="Q650" s="426">
        <v>571.11085000000003</v>
      </c>
      <c r="R650" s="426">
        <v>571.11085000000003</v>
      </c>
      <c r="S650" s="426">
        <v>571.11085000000003</v>
      </c>
      <c r="T650" s="426">
        <v>571.11085000000003</v>
      </c>
    </row>
    <row r="651" spans="1:20">
      <c r="A651" s="426" t="str">
        <f t="shared" si="65"/>
        <v>KU</v>
      </c>
      <c r="B651" s="426" t="str">
        <f t="shared" si="54"/>
        <v>KY</v>
      </c>
      <c r="C651" s="426" t="str">
        <f t="shared" si="55"/>
        <v>E</v>
      </c>
      <c r="D651" s="426" t="s">
        <v>2672</v>
      </c>
      <c r="E651" s="426" t="str">
        <f t="shared" si="57"/>
        <v>312</v>
      </c>
      <c r="F651" s="741" t="s">
        <v>2179</v>
      </c>
      <c r="G651" s="425" t="str">
        <f t="shared" si="63"/>
        <v>ECR</v>
      </c>
      <c r="H651" s="426">
        <v>73.427440000000004</v>
      </c>
      <c r="I651" s="426">
        <v>73.427440000000004</v>
      </c>
      <c r="J651" s="426">
        <v>369.33688999999998</v>
      </c>
      <c r="K651" s="426">
        <v>369.33688999999998</v>
      </c>
      <c r="L651" s="426">
        <v>369.33688999999998</v>
      </c>
      <c r="M651" s="426">
        <v>369.33688999999998</v>
      </c>
      <c r="N651" s="426">
        <v>0</v>
      </c>
      <c r="O651" s="426">
        <v>0</v>
      </c>
      <c r="P651" s="426">
        <v>0</v>
      </c>
      <c r="Q651" s="426">
        <v>0</v>
      </c>
      <c r="R651" s="426">
        <v>0</v>
      </c>
      <c r="S651" s="426">
        <v>0</v>
      </c>
      <c r="T651" s="426">
        <v>0</v>
      </c>
    </row>
    <row r="652" spans="1:20">
      <c r="A652" s="426" t="str">
        <f t="shared" si="65"/>
        <v>KU</v>
      </c>
      <c r="B652" s="426" t="str">
        <f t="shared" si="54"/>
        <v>KY</v>
      </c>
      <c r="C652" s="426" t="str">
        <f t="shared" si="55"/>
        <v>E</v>
      </c>
      <c r="D652" s="426" t="s">
        <v>2672</v>
      </c>
      <c r="E652" s="426" t="str">
        <f t="shared" si="57"/>
        <v>312</v>
      </c>
      <c r="F652" s="741" t="s">
        <v>2715</v>
      </c>
      <c r="G652" s="425" t="str">
        <f t="shared" si="63"/>
        <v>ECR</v>
      </c>
      <c r="H652" s="426">
        <v>0</v>
      </c>
      <c r="I652" s="426">
        <v>0</v>
      </c>
      <c r="J652" s="426">
        <v>0</v>
      </c>
      <c r="K652" s="426">
        <v>0</v>
      </c>
      <c r="L652" s="426">
        <v>0</v>
      </c>
      <c r="M652" s="426">
        <v>0</v>
      </c>
      <c r="N652" s="426">
        <v>369.33688999999998</v>
      </c>
      <c r="O652" s="426">
        <v>369.33688999999998</v>
      </c>
      <c r="P652" s="426">
        <v>369.33688999999998</v>
      </c>
      <c r="Q652" s="426">
        <v>369.33688999999998</v>
      </c>
      <c r="R652" s="426">
        <v>369.33688999999998</v>
      </c>
      <c r="S652" s="426">
        <v>369.33688999999998</v>
      </c>
      <c r="T652" s="706">
        <v>369.33688999999998</v>
      </c>
    </row>
    <row r="653" spans="1:20">
      <c r="A653" s="426" t="str">
        <f t="shared" si="65"/>
        <v>KU</v>
      </c>
      <c r="B653" s="426" t="str">
        <f t="shared" si="54"/>
        <v>KY</v>
      </c>
      <c r="C653" s="426" t="str">
        <f t="shared" si="55"/>
        <v>E</v>
      </c>
      <c r="D653" s="426" t="s">
        <v>2672</v>
      </c>
      <c r="E653" s="426" t="str">
        <f t="shared" si="57"/>
        <v>314</v>
      </c>
      <c r="F653" s="741" t="s">
        <v>1732</v>
      </c>
      <c r="G653" s="425" t="str">
        <f t="shared" si="63"/>
        <v/>
      </c>
      <c r="H653" s="426">
        <v>260.6123</v>
      </c>
      <c r="I653" s="426">
        <v>260.6123</v>
      </c>
      <c r="J653" s="426">
        <v>260.6123</v>
      </c>
      <c r="K653" s="426">
        <v>257.96224000000001</v>
      </c>
      <c r="L653" s="426">
        <v>257.90337</v>
      </c>
      <c r="M653" s="426">
        <v>257.90337</v>
      </c>
      <c r="N653" s="426">
        <v>257.90337</v>
      </c>
      <c r="O653" s="426">
        <v>257.90337</v>
      </c>
      <c r="P653" s="426">
        <v>257.90337</v>
      </c>
      <c r="Q653" s="426">
        <v>257.90337</v>
      </c>
      <c r="R653" s="426">
        <v>257.90337</v>
      </c>
      <c r="S653" s="426">
        <v>257.90337</v>
      </c>
      <c r="T653" s="706">
        <v>257.90337</v>
      </c>
    </row>
    <row r="654" spans="1:20">
      <c r="A654" s="426" t="str">
        <f t="shared" si="65"/>
        <v>KU</v>
      </c>
      <c r="B654" s="426" t="str">
        <f t="shared" si="54"/>
        <v>KY</v>
      </c>
      <c r="C654" s="426" t="str">
        <f t="shared" si="55"/>
        <v>E</v>
      </c>
      <c r="D654" s="426" t="s">
        <v>2672</v>
      </c>
      <c r="E654" s="426" t="str">
        <f t="shared" si="57"/>
        <v>315</v>
      </c>
      <c r="F654" s="741" t="s">
        <v>1733</v>
      </c>
      <c r="G654" s="425" t="str">
        <f t="shared" si="63"/>
        <v/>
      </c>
      <c r="H654" s="426">
        <v>225.28619</v>
      </c>
      <c r="I654" s="426">
        <v>225.28619</v>
      </c>
      <c r="J654" s="426">
        <v>225.28619</v>
      </c>
      <c r="K654" s="426">
        <v>224.29316</v>
      </c>
      <c r="L654" s="426">
        <v>224.29316</v>
      </c>
      <c r="M654" s="426">
        <v>224.29316</v>
      </c>
      <c r="N654" s="426">
        <v>224.10201000000001</v>
      </c>
      <c r="O654" s="426">
        <v>224.10201000000001</v>
      </c>
      <c r="P654" s="426">
        <v>224.10201000000001</v>
      </c>
      <c r="Q654" s="426">
        <v>224.10201000000001</v>
      </c>
      <c r="R654" s="426">
        <v>224.10201000000001</v>
      </c>
      <c r="S654" s="426">
        <v>224.10201000000001</v>
      </c>
      <c r="T654" s="706">
        <v>224.10201000000001</v>
      </c>
    </row>
    <row r="655" spans="1:20">
      <c r="A655" s="426" t="str">
        <f t="shared" si="65"/>
        <v>KU</v>
      </c>
      <c r="B655" s="426" t="str">
        <f t="shared" si="54"/>
        <v>KY</v>
      </c>
      <c r="C655" s="426" t="str">
        <f t="shared" si="55"/>
        <v>E</v>
      </c>
      <c r="D655" s="426" t="s">
        <v>2672</v>
      </c>
      <c r="E655" s="426" t="str">
        <f t="shared" si="57"/>
        <v>315</v>
      </c>
      <c r="F655" s="741" t="s">
        <v>1734</v>
      </c>
      <c r="G655" s="425" t="str">
        <f t="shared" si="63"/>
        <v>ECR</v>
      </c>
      <c r="H655" s="426">
        <v>15.69731</v>
      </c>
      <c r="I655" s="426">
        <v>15.69731</v>
      </c>
      <c r="J655" s="426">
        <v>15.69731</v>
      </c>
      <c r="K655" s="426">
        <v>15.69731</v>
      </c>
      <c r="L655" s="426">
        <v>15.69731</v>
      </c>
      <c r="M655" s="426">
        <v>15.69731</v>
      </c>
      <c r="N655" s="426">
        <v>15.69731</v>
      </c>
      <c r="O655" s="426">
        <v>15.69731</v>
      </c>
      <c r="P655" s="426">
        <v>15.69731</v>
      </c>
      <c r="Q655" s="426">
        <v>15.69731</v>
      </c>
      <c r="R655" s="426">
        <v>15.69731</v>
      </c>
      <c r="S655" s="426">
        <v>15.69731</v>
      </c>
      <c r="T655" s="706">
        <v>15.69731</v>
      </c>
    </row>
    <row r="656" spans="1:20">
      <c r="A656" s="426" t="str">
        <f t="shared" si="65"/>
        <v>KU</v>
      </c>
      <c r="B656" s="426" t="str">
        <f t="shared" si="54"/>
        <v>KY</v>
      </c>
      <c r="C656" s="426" t="str">
        <f t="shared" si="55"/>
        <v>E</v>
      </c>
      <c r="D656" s="426" t="s">
        <v>2672</v>
      </c>
      <c r="E656" s="426" t="str">
        <f t="shared" si="57"/>
        <v>316</v>
      </c>
      <c r="F656" s="741" t="s">
        <v>1735</v>
      </c>
      <c r="G656" s="425" t="str">
        <f t="shared" si="63"/>
        <v/>
      </c>
      <c r="H656" s="426">
        <v>18.372409999999999</v>
      </c>
      <c r="I656" s="426">
        <v>18.372409999999999</v>
      </c>
      <c r="J656" s="426">
        <v>18.372409999999999</v>
      </c>
      <c r="K656" s="426">
        <v>18.372409999999999</v>
      </c>
      <c r="L656" s="426">
        <v>18.364190000000001</v>
      </c>
      <c r="M656" s="426">
        <v>18.364190000000001</v>
      </c>
      <c r="N656" s="426">
        <v>18.364190000000001</v>
      </c>
      <c r="O656" s="426">
        <v>18.364190000000001</v>
      </c>
      <c r="P656" s="426">
        <v>18.364190000000001</v>
      </c>
      <c r="Q656" s="426">
        <v>18.364190000000001</v>
      </c>
      <c r="R656" s="426">
        <v>18.364190000000001</v>
      </c>
      <c r="S656" s="426">
        <v>18.364190000000001</v>
      </c>
      <c r="T656" s="706">
        <v>18.364190000000001</v>
      </c>
    </row>
    <row r="657" spans="1:20">
      <c r="A657" s="426" t="str">
        <f t="shared" si="65"/>
        <v>KU</v>
      </c>
      <c r="B657" s="426" t="str">
        <f t="shared" si="54"/>
        <v>KY</v>
      </c>
      <c r="C657" s="426" t="str">
        <f t="shared" si="55"/>
        <v>E</v>
      </c>
      <c r="D657" s="426" t="s">
        <v>2672</v>
      </c>
      <c r="E657" s="426" t="str">
        <f t="shared" si="57"/>
        <v>331</v>
      </c>
      <c r="F657" s="741" t="s">
        <v>1738</v>
      </c>
      <c r="G657" s="425" t="str">
        <f t="shared" si="63"/>
        <v/>
      </c>
      <c r="H657" s="426">
        <v>0.85114000000000001</v>
      </c>
      <c r="I657" s="426">
        <v>0.85114000000000001</v>
      </c>
      <c r="J657" s="426">
        <v>0.85114000000000001</v>
      </c>
      <c r="K657" s="426">
        <v>3.8481800000000002</v>
      </c>
      <c r="L657" s="426">
        <v>3.8481800000000002</v>
      </c>
      <c r="M657" s="426">
        <v>3.8481800000000002</v>
      </c>
      <c r="N657" s="426">
        <v>0.85114000000000001</v>
      </c>
      <c r="O657" s="426">
        <v>0.85114000000000001</v>
      </c>
      <c r="P657" s="426">
        <v>0.85114000000000001</v>
      </c>
      <c r="Q657" s="426">
        <v>0.85114000000000001</v>
      </c>
      <c r="R657" s="426">
        <v>0.85114000000000001</v>
      </c>
      <c r="S657" s="426">
        <v>0.85114000000000001</v>
      </c>
      <c r="T657" s="706">
        <v>0.85114000000000001</v>
      </c>
    </row>
    <row r="658" spans="1:20">
      <c r="A658" s="426" t="str">
        <f t="shared" si="65"/>
        <v>KU</v>
      </c>
      <c r="B658" s="426" t="str">
        <f t="shared" si="54"/>
        <v>KY</v>
      </c>
      <c r="C658" s="426" t="str">
        <f t="shared" si="55"/>
        <v>E</v>
      </c>
      <c r="D658" s="426" t="s">
        <v>2672</v>
      </c>
      <c r="E658" s="426" t="str">
        <f t="shared" si="57"/>
        <v>332</v>
      </c>
      <c r="F658" s="741" t="s">
        <v>1739</v>
      </c>
      <c r="G658" s="425" t="str">
        <f t="shared" si="63"/>
        <v/>
      </c>
      <c r="H658" s="426">
        <v>9.5002100000000098</v>
      </c>
      <c r="I658" s="426">
        <v>9.5002099999999992</v>
      </c>
      <c r="J658" s="426">
        <v>9.5002099999999992</v>
      </c>
      <c r="K658" s="426">
        <v>9.5002099999999992</v>
      </c>
      <c r="L658" s="426">
        <v>9.5002099999999992</v>
      </c>
      <c r="M658" s="426">
        <v>9.5002099999999992</v>
      </c>
      <c r="N658" s="426">
        <v>9.5002099999999992</v>
      </c>
      <c r="O658" s="426">
        <v>9.5002099999999992</v>
      </c>
      <c r="P658" s="426">
        <v>9.5002099999999992</v>
      </c>
      <c r="Q658" s="426">
        <v>9.5002099999999992</v>
      </c>
      <c r="R658" s="426">
        <v>9.5002099999999992</v>
      </c>
      <c r="S658" s="426">
        <v>9.5002099999999992</v>
      </c>
      <c r="T658" s="706">
        <v>9.5002099999999992</v>
      </c>
    </row>
    <row r="659" spans="1:20">
      <c r="A659" s="426" t="str">
        <f t="shared" si="65"/>
        <v>KU</v>
      </c>
      <c r="B659" s="426" t="str">
        <f t="shared" si="54"/>
        <v>KY</v>
      </c>
      <c r="C659" s="426" t="str">
        <f t="shared" si="55"/>
        <v>E</v>
      </c>
      <c r="D659" s="426" t="s">
        <v>2672</v>
      </c>
      <c r="E659" s="426" t="str">
        <f t="shared" si="57"/>
        <v>333</v>
      </c>
      <c r="F659" s="741" t="s">
        <v>1740</v>
      </c>
      <c r="G659" s="425" t="str">
        <f t="shared" si="63"/>
        <v/>
      </c>
      <c r="H659" s="426">
        <v>12.939019999999999</v>
      </c>
      <c r="I659" s="426">
        <v>12.939019999999999</v>
      </c>
      <c r="J659" s="426">
        <v>12.939019999999999</v>
      </c>
      <c r="K659" s="426">
        <v>12.939019999999999</v>
      </c>
      <c r="L659" s="426">
        <v>12.939019999999999</v>
      </c>
      <c r="M659" s="426">
        <v>12.939019999999999</v>
      </c>
      <c r="N659" s="426">
        <v>12.939019999999999</v>
      </c>
      <c r="O659" s="426">
        <v>12.939019999999999</v>
      </c>
      <c r="P659" s="426">
        <v>12.939019999999999</v>
      </c>
      <c r="Q659" s="426">
        <v>12.939019999999999</v>
      </c>
      <c r="R659" s="426">
        <v>12.939019999999999</v>
      </c>
      <c r="S659" s="426">
        <v>12.939019999999999</v>
      </c>
      <c r="T659" s="426">
        <v>12.939019999999999</v>
      </c>
    </row>
    <row r="660" spans="1:20">
      <c r="A660" s="426" t="str">
        <f t="shared" si="65"/>
        <v>KU</v>
      </c>
      <c r="B660" s="426" t="str">
        <f t="shared" si="54"/>
        <v>KY</v>
      </c>
      <c r="C660" s="426" t="str">
        <f t="shared" si="55"/>
        <v>E</v>
      </c>
      <c r="D660" s="426" t="s">
        <v>2672</v>
      </c>
      <c r="E660" s="426" t="str">
        <f t="shared" si="57"/>
        <v>334</v>
      </c>
      <c r="F660" s="741" t="s">
        <v>1741</v>
      </c>
      <c r="G660" s="425" t="str">
        <f t="shared" si="63"/>
        <v/>
      </c>
      <c r="H660" s="426">
        <v>0.85914999999999997</v>
      </c>
      <c r="I660" s="426">
        <v>0.85914999999999997</v>
      </c>
      <c r="J660" s="426">
        <v>0.85914999999999997</v>
      </c>
      <c r="K660" s="426">
        <v>0.85914999999999997</v>
      </c>
      <c r="L660" s="426">
        <v>0.85914999999999997</v>
      </c>
      <c r="M660" s="426">
        <v>0.85914999999999997</v>
      </c>
      <c r="N660" s="426">
        <v>0.85914999999999997</v>
      </c>
      <c r="O660" s="426">
        <v>0.85914999999999997</v>
      </c>
      <c r="P660" s="426">
        <v>0.85914999999999997</v>
      </c>
      <c r="Q660" s="426">
        <v>0.85914999999999997</v>
      </c>
      <c r="R660" s="426">
        <v>0.85914999999999997</v>
      </c>
      <c r="S660" s="426">
        <v>0.85914999999999997</v>
      </c>
      <c r="T660" s="426">
        <v>0.85914999999999997</v>
      </c>
    </row>
    <row r="661" spans="1:20">
      <c r="A661" s="426" t="str">
        <f t="shared" si="65"/>
        <v>KU</v>
      </c>
      <c r="B661" s="426" t="str">
        <f t="shared" si="54"/>
        <v>KY</v>
      </c>
      <c r="C661" s="426" t="str">
        <f t="shared" si="55"/>
        <v>E</v>
      </c>
      <c r="D661" s="426" t="s">
        <v>2672</v>
      </c>
      <c r="E661" s="426" t="str">
        <f t="shared" si="57"/>
        <v>341</v>
      </c>
      <c r="F661" s="741" t="s">
        <v>1746</v>
      </c>
      <c r="G661" s="425" t="str">
        <f t="shared" si="63"/>
        <v/>
      </c>
      <c r="H661" s="426">
        <v>124.69662</v>
      </c>
      <c r="I661" s="426">
        <v>124.69662</v>
      </c>
      <c r="J661" s="426">
        <v>124.69662</v>
      </c>
      <c r="K661" s="426">
        <v>124.63552</v>
      </c>
      <c r="L661" s="426">
        <v>124.63552</v>
      </c>
      <c r="M661" s="426">
        <v>124.63552</v>
      </c>
      <c r="N661" s="426">
        <v>124.63552</v>
      </c>
      <c r="O661" s="426">
        <v>124.63552</v>
      </c>
      <c r="P661" s="426">
        <v>124.63552</v>
      </c>
      <c r="Q661" s="426">
        <v>124.63552</v>
      </c>
      <c r="R661" s="426">
        <v>124.63552</v>
      </c>
      <c r="S661" s="426">
        <v>124.63552</v>
      </c>
      <c r="T661" s="426">
        <v>124.63552</v>
      </c>
    </row>
    <row r="662" spans="1:20">
      <c r="A662" s="426" t="str">
        <f t="shared" si="65"/>
        <v>KU</v>
      </c>
      <c r="B662" s="426" t="str">
        <f t="shared" si="54"/>
        <v>KY</v>
      </c>
      <c r="C662" s="426" t="str">
        <f t="shared" si="55"/>
        <v>E</v>
      </c>
      <c r="D662" s="426" t="s">
        <v>2672</v>
      </c>
      <c r="E662" s="426" t="str">
        <f t="shared" si="57"/>
        <v>342</v>
      </c>
      <c r="F662" s="741" t="s">
        <v>1747</v>
      </c>
      <c r="G662" s="425" t="str">
        <f t="shared" si="63"/>
        <v/>
      </c>
      <c r="H662" s="426">
        <v>27.087309999999999</v>
      </c>
      <c r="I662" s="426">
        <v>27.087309999999999</v>
      </c>
      <c r="J662" s="426">
        <v>27.087309999999999</v>
      </c>
      <c r="K662" s="426">
        <v>27.087310000000102</v>
      </c>
      <c r="L662" s="426">
        <v>27.087310000000102</v>
      </c>
      <c r="M662" s="426">
        <v>27.087309999999999</v>
      </c>
      <c r="N662" s="426">
        <v>27.087310000000102</v>
      </c>
      <c r="O662" s="426">
        <v>27.087310000000102</v>
      </c>
      <c r="P662" s="426">
        <v>27.087310000000102</v>
      </c>
      <c r="Q662" s="426">
        <v>27.087310000000102</v>
      </c>
      <c r="R662" s="426">
        <v>27.087310000000102</v>
      </c>
      <c r="S662" s="426">
        <v>27.087310000000102</v>
      </c>
      <c r="T662" s="426">
        <v>27.087310000000102</v>
      </c>
    </row>
    <row r="663" spans="1:20">
      <c r="A663" s="426" t="str">
        <f t="shared" si="65"/>
        <v>KU</v>
      </c>
      <c r="B663" s="426" t="str">
        <f t="shared" si="54"/>
        <v>KY</v>
      </c>
      <c r="C663" s="426" t="str">
        <f t="shared" si="55"/>
        <v>E</v>
      </c>
      <c r="D663" s="426" t="s">
        <v>2672</v>
      </c>
      <c r="E663" s="426" t="str">
        <f t="shared" si="57"/>
        <v>343</v>
      </c>
      <c r="F663" s="741" t="s">
        <v>1748</v>
      </c>
      <c r="G663" s="425" t="str">
        <f t="shared" si="63"/>
        <v/>
      </c>
      <c r="H663" s="426">
        <v>694.75572999999997</v>
      </c>
      <c r="I663" s="426">
        <v>694.60204999999996</v>
      </c>
      <c r="J663" s="426">
        <v>694.60204999999996</v>
      </c>
      <c r="K663" s="426">
        <v>694.25743999999997</v>
      </c>
      <c r="L663" s="426">
        <v>694.25743999999997</v>
      </c>
      <c r="M663" s="426">
        <v>692.92857000000004</v>
      </c>
      <c r="N663" s="426">
        <v>692.63040999999998</v>
      </c>
      <c r="O663" s="426">
        <v>692.63040999999998</v>
      </c>
      <c r="P663" s="426">
        <v>692.63040999999998</v>
      </c>
      <c r="Q663" s="426">
        <v>692.63040999999998</v>
      </c>
      <c r="R663" s="426">
        <v>692.63040999999998</v>
      </c>
      <c r="S663" s="426">
        <v>692.63040999999998</v>
      </c>
      <c r="T663" s="426">
        <v>692.63040999999998</v>
      </c>
    </row>
    <row r="664" spans="1:20">
      <c r="A664" s="426" t="str">
        <f t="shared" si="65"/>
        <v>KU</v>
      </c>
      <c r="B664" s="426" t="str">
        <f t="shared" si="54"/>
        <v>KY</v>
      </c>
      <c r="C664" s="426" t="str">
        <f t="shared" si="55"/>
        <v>E</v>
      </c>
      <c r="D664" s="426" t="s">
        <v>2672</v>
      </c>
      <c r="E664" s="426" t="str">
        <f t="shared" si="57"/>
        <v>344</v>
      </c>
      <c r="F664" s="741" t="s">
        <v>1749</v>
      </c>
      <c r="G664" s="425" t="str">
        <f t="shared" si="63"/>
        <v/>
      </c>
      <c r="H664" s="426">
        <v>158.49358000000001</v>
      </c>
      <c r="I664" s="426">
        <v>158.49358000000001</v>
      </c>
      <c r="J664" s="426">
        <v>158.49358000000001</v>
      </c>
      <c r="K664" s="426">
        <v>158.51044999999999</v>
      </c>
      <c r="L664" s="426">
        <v>158.43980999999999</v>
      </c>
      <c r="M664" s="426">
        <v>158.43980999999999</v>
      </c>
      <c r="N664" s="426">
        <v>158.27735999999999</v>
      </c>
      <c r="O664" s="426">
        <v>158.27735999999999</v>
      </c>
      <c r="P664" s="426">
        <v>158.27735999999999</v>
      </c>
      <c r="Q664" s="426">
        <v>158.27735999999999</v>
      </c>
      <c r="R664" s="426">
        <v>158.27735999999999</v>
      </c>
      <c r="S664" s="426">
        <v>158.27735999999999</v>
      </c>
      <c r="T664" s="426">
        <v>158.27735999999999</v>
      </c>
    </row>
    <row r="665" spans="1:20">
      <c r="A665" s="426" t="str">
        <f t="shared" si="65"/>
        <v>KU</v>
      </c>
      <c r="B665" s="426" t="str">
        <f t="shared" si="54"/>
        <v>KY</v>
      </c>
      <c r="C665" s="426" t="str">
        <f t="shared" si="55"/>
        <v>E</v>
      </c>
      <c r="D665" s="426" t="s">
        <v>2672</v>
      </c>
      <c r="E665" s="426" t="str">
        <f t="shared" si="57"/>
        <v>345</v>
      </c>
      <c r="F665" s="741" t="s">
        <v>1750</v>
      </c>
      <c r="G665" s="425" t="str">
        <f t="shared" si="63"/>
        <v/>
      </c>
      <c r="H665" s="426">
        <v>76.965329999999994</v>
      </c>
      <c r="I665" s="426">
        <v>76.965330000000094</v>
      </c>
      <c r="J665" s="426">
        <v>76.965329999999994</v>
      </c>
      <c r="K665" s="426">
        <v>76.965329999999994</v>
      </c>
      <c r="L665" s="426">
        <v>77.101339999999993</v>
      </c>
      <c r="M665" s="426">
        <v>77.109650000000002</v>
      </c>
      <c r="N665" s="426">
        <v>77.109650000000002</v>
      </c>
      <c r="O665" s="426">
        <v>77.109650000000002</v>
      </c>
      <c r="P665" s="426">
        <v>77.109650000000002</v>
      </c>
      <c r="Q665" s="426">
        <v>77.109650000000002</v>
      </c>
      <c r="R665" s="426">
        <v>77.109650000000002</v>
      </c>
      <c r="S665" s="426">
        <v>77.109650000000002</v>
      </c>
      <c r="T665" s="426">
        <v>77.109650000000002</v>
      </c>
    </row>
    <row r="666" spans="1:20">
      <c r="A666" s="426" t="str">
        <f t="shared" si="65"/>
        <v>KU</v>
      </c>
      <c r="B666" s="426" t="str">
        <f t="shared" si="54"/>
        <v>KY</v>
      </c>
      <c r="C666" s="426" t="str">
        <f t="shared" si="55"/>
        <v>E</v>
      </c>
      <c r="D666" s="426" t="s">
        <v>2672</v>
      </c>
      <c r="E666" s="426" t="str">
        <f t="shared" ref="E666:E681" si="66">MID($F666,8,3)</f>
        <v>346</v>
      </c>
      <c r="F666" s="741" t="s">
        <v>1751</v>
      </c>
      <c r="G666" s="425" t="str">
        <f t="shared" si="63"/>
        <v/>
      </c>
      <c r="H666" s="426">
        <v>7.5313999999999997</v>
      </c>
      <c r="I666" s="426">
        <v>7.5313999999999997</v>
      </c>
      <c r="J666" s="426">
        <v>7.5313999999999997</v>
      </c>
      <c r="K666" s="426">
        <v>7.5313999999999997</v>
      </c>
      <c r="L666" s="426">
        <v>7.5385400000000002</v>
      </c>
      <c r="M666" s="426">
        <v>7.5385400000000002</v>
      </c>
      <c r="N666" s="426">
        <v>7.5385400000000002</v>
      </c>
      <c r="O666" s="426">
        <v>7.5385400000000002</v>
      </c>
      <c r="P666" s="426">
        <v>7.5385400000000002</v>
      </c>
      <c r="Q666" s="426">
        <v>7.5385400000000002</v>
      </c>
      <c r="R666" s="426">
        <v>7.5385400000000002</v>
      </c>
      <c r="S666" s="426">
        <v>7.5385400000000002</v>
      </c>
      <c r="T666" s="426">
        <v>7.5385400000000002</v>
      </c>
    </row>
    <row r="667" spans="1:20">
      <c r="A667" s="426" t="str">
        <f t="shared" si="65"/>
        <v>KU</v>
      </c>
      <c r="B667" s="426" t="str">
        <f t="shared" si="54"/>
        <v>KY</v>
      </c>
      <c r="C667" s="426" t="str">
        <f t="shared" si="55"/>
        <v>E</v>
      </c>
      <c r="D667" s="426" t="s">
        <v>2672</v>
      </c>
      <c r="E667" s="426" t="str">
        <f t="shared" si="66"/>
        <v>350</v>
      </c>
      <c r="F667" s="741" t="s">
        <v>1752</v>
      </c>
      <c r="G667" s="425" t="str">
        <f t="shared" si="63"/>
        <v/>
      </c>
      <c r="H667" s="426">
        <v>1.29339</v>
      </c>
      <c r="I667" s="426">
        <v>1.29339</v>
      </c>
      <c r="J667" s="426">
        <v>1.29339</v>
      </c>
      <c r="K667" s="426">
        <v>1.29339</v>
      </c>
      <c r="L667" s="426">
        <v>1.29339</v>
      </c>
      <c r="M667" s="426">
        <v>1.29339</v>
      </c>
      <c r="N667" s="426">
        <v>1.29339</v>
      </c>
      <c r="O667" s="426">
        <v>1.29339</v>
      </c>
      <c r="P667" s="426">
        <v>1.29339</v>
      </c>
      <c r="Q667" s="426">
        <v>1.29339</v>
      </c>
      <c r="R667" s="426">
        <v>1.29339</v>
      </c>
      <c r="S667" s="426">
        <v>1.29339</v>
      </c>
      <c r="T667" s="426">
        <v>1.29339</v>
      </c>
    </row>
    <row r="668" spans="1:20">
      <c r="A668" s="426" t="str">
        <f t="shared" si="65"/>
        <v>KU</v>
      </c>
      <c r="B668" s="426" t="str">
        <f t="shared" si="54"/>
        <v>KY</v>
      </c>
      <c r="C668" s="426" t="str">
        <f t="shared" si="55"/>
        <v>E</v>
      </c>
      <c r="D668" s="426" t="s">
        <v>2672</v>
      </c>
      <c r="E668" s="426" t="str">
        <f t="shared" si="66"/>
        <v>352</v>
      </c>
      <c r="F668" s="741" t="s">
        <v>1756</v>
      </c>
      <c r="G668" s="425" t="str">
        <f t="shared" si="63"/>
        <v/>
      </c>
      <c r="H668" s="426">
        <v>8.4303100000000004</v>
      </c>
      <c r="I668" s="426">
        <v>8.4303100000000004</v>
      </c>
      <c r="J668" s="426">
        <v>8.4303100000000004</v>
      </c>
      <c r="K668" s="426">
        <v>8.4303100000000093</v>
      </c>
      <c r="L668" s="426">
        <v>8.4303100000000093</v>
      </c>
      <c r="M668" s="426">
        <v>8.4303100000000004</v>
      </c>
      <c r="N668" s="426">
        <v>8.4303100000000093</v>
      </c>
      <c r="O668" s="426">
        <v>8.4303100000000093</v>
      </c>
      <c r="P668" s="426">
        <v>8.4303100000000093</v>
      </c>
      <c r="Q668" s="426">
        <v>8.4303100000000093</v>
      </c>
      <c r="R668" s="426">
        <v>8.4303100000000093</v>
      </c>
      <c r="S668" s="426">
        <v>8.4303100000000093</v>
      </c>
      <c r="T668" s="426">
        <v>8.4303100000000093</v>
      </c>
    </row>
    <row r="669" spans="1:20">
      <c r="A669" s="426" t="str">
        <f t="shared" si="65"/>
        <v>KU</v>
      </c>
      <c r="B669" s="426" t="str">
        <f t="shared" ref="B669:B720" si="67">IF(MID($F669,12,2)="- ","KY",IF(MID($F669,12,2)="SY","KY",MID($F669,12,2)))</f>
        <v>KY</v>
      </c>
      <c r="C669" s="426" t="str">
        <f t="shared" si="55"/>
        <v>E</v>
      </c>
      <c r="D669" s="426" t="s">
        <v>2672</v>
      </c>
      <c r="E669" s="426" t="str">
        <f t="shared" si="66"/>
        <v>353</v>
      </c>
      <c r="F669" s="741" t="s">
        <v>1758</v>
      </c>
      <c r="G669" s="425" t="str">
        <f t="shared" si="63"/>
        <v/>
      </c>
      <c r="H669" s="426">
        <v>105.49930999999999</v>
      </c>
      <c r="I669" s="426">
        <v>105.49930999999999</v>
      </c>
      <c r="J669" s="426">
        <v>105.49930999999999</v>
      </c>
      <c r="K669" s="426">
        <v>105.49930999999999</v>
      </c>
      <c r="L669" s="426">
        <v>105.43539</v>
      </c>
      <c r="M669" s="426">
        <v>105.43539</v>
      </c>
      <c r="N669" s="426">
        <v>105.43539</v>
      </c>
      <c r="O669" s="426">
        <v>105.43539</v>
      </c>
      <c r="P669" s="426">
        <v>105.43539</v>
      </c>
      <c r="Q669" s="426">
        <v>105.43539</v>
      </c>
      <c r="R669" s="426">
        <v>105.43539</v>
      </c>
      <c r="S669" s="426">
        <v>105.43539</v>
      </c>
      <c r="T669" s="426">
        <v>105.43539</v>
      </c>
    </row>
    <row r="670" spans="1:20">
      <c r="A670" s="426" t="str">
        <f t="shared" si="65"/>
        <v>KU</v>
      </c>
      <c r="B670" s="426" t="str">
        <f t="shared" si="67"/>
        <v>KY</v>
      </c>
      <c r="C670" s="426" t="str">
        <f t="shared" si="55"/>
        <v>E</v>
      </c>
      <c r="D670" s="426" t="s">
        <v>2672</v>
      </c>
      <c r="E670" s="426" t="str">
        <f t="shared" si="66"/>
        <v>354</v>
      </c>
      <c r="F670" s="741" t="s">
        <v>1761</v>
      </c>
      <c r="G670" s="425" t="str">
        <f t="shared" si="63"/>
        <v/>
      </c>
      <c r="H670" s="426">
        <v>26.610189999999999</v>
      </c>
      <c r="I670" s="426">
        <v>26.610189999999999</v>
      </c>
      <c r="J670" s="426">
        <v>26.610189999999999</v>
      </c>
      <c r="K670" s="426">
        <v>26.610189999999999</v>
      </c>
      <c r="L670" s="426">
        <v>26.610189999999999</v>
      </c>
      <c r="M670" s="426">
        <v>26.610189999999999</v>
      </c>
      <c r="N670" s="426">
        <v>26.610189999999999</v>
      </c>
      <c r="O670" s="426">
        <v>26.610189999999999</v>
      </c>
      <c r="P670" s="426">
        <v>26.610189999999999</v>
      </c>
      <c r="Q670" s="426">
        <v>26.610189999999999</v>
      </c>
      <c r="R670" s="426">
        <v>26.610189999999999</v>
      </c>
      <c r="S670" s="426">
        <v>26.610189999999999</v>
      </c>
      <c r="T670" s="426">
        <v>26.610189999999999</v>
      </c>
    </row>
    <row r="671" spans="1:20">
      <c r="A671" s="426" t="str">
        <f t="shared" si="65"/>
        <v>KU</v>
      </c>
      <c r="B671" s="426" t="str">
        <f t="shared" si="67"/>
        <v>KY</v>
      </c>
      <c r="C671" s="426" t="str">
        <f t="shared" si="55"/>
        <v>E</v>
      </c>
      <c r="D671" s="426" t="s">
        <v>2672</v>
      </c>
      <c r="E671" s="426" t="str">
        <f t="shared" si="66"/>
        <v>355</v>
      </c>
      <c r="F671" s="741" t="s">
        <v>1763</v>
      </c>
      <c r="G671" s="425" t="str">
        <f t="shared" si="63"/>
        <v/>
      </c>
      <c r="H671" s="426">
        <v>128.15481</v>
      </c>
      <c r="I671" s="426">
        <v>128.15481</v>
      </c>
      <c r="J671" s="426">
        <v>128.15481</v>
      </c>
      <c r="K671" s="426">
        <v>128.15481</v>
      </c>
      <c r="L671" s="426">
        <v>128.15481</v>
      </c>
      <c r="M671" s="426">
        <v>128.15481</v>
      </c>
      <c r="N671" s="426">
        <v>128.15481</v>
      </c>
      <c r="O671" s="426">
        <v>128.15481</v>
      </c>
      <c r="P671" s="426">
        <v>128.15481</v>
      </c>
      <c r="Q671" s="426">
        <v>128.15481</v>
      </c>
      <c r="R671" s="426">
        <v>128.15481</v>
      </c>
      <c r="S671" s="426">
        <v>128.15481</v>
      </c>
      <c r="T671" s="426">
        <v>128.15481</v>
      </c>
    </row>
    <row r="672" spans="1:20">
      <c r="A672" s="426" t="str">
        <f t="shared" si="65"/>
        <v>KU</v>
      </c>
      <c r="B672" s="426" t="str">
        <f t="shared" si="67"/>
        <v>KY</v>
      </c>
      <c r="C672" s="426" t="str">
        <f t="shared" si="55"/>
        <v>E</v>
      </c>
      <c r="D672" s="426" t="s">
        <v>2672</v>
      </c>
      <c r="E672" s="426" t="str">
        <f t="shared" si="66"/>
        <v>356</v>
      </c>
      <c r="F672" s="741" t="s">
        <v>1766</v>
      </c>
      <c r="G672" s="425" t="str">
        <f t="shared" si="63"/>
        <v/>
      </c>
      <c r="H672" s="426">
        <v>42.254959999999997</v>
      </c>
      <c r="I672" s="426">
        <v>42.254959999999997</v>
      </c>
      <c r="J672" s="426">
        <v>42.252429999999997</v>
      </c>
      <c r="K672" s="426">
        <v>42.252430000000103</v>
      </c>
      <c r="L672" s="426">
        <v>42.2501800000001</v>
      </c>
      <c r="M672" s="426">
        <v>42.25018</v>
      </c>
      <c r="N672" s="426">
        <v>42.2501800000001</v>
      </c>
      <c r="O672" s="426">
        <v>42.2501800000001</v>
      </c>
      <c r="P672" s="426">
        <v>42.2501800000001</v>
      </c>
      <c r="Q672" s="426">
        <v>42.2501800000001</v>
      </c>
      <c r="R672" s="426">
        <v>42.2501800000001</v>
      </c>
      <c r="S672" s="426">
        <v>42.2501800000001</v>
      </c>
      <c r="T672" s="426">
        <v>42.2501800000001</v>
      </c>
    </row>
    <row r="673" spans="1:21">
      <c r="A673" s="426" t="str">
        <f t="shared" si="65"/>
        <v>KU</v>
      </c>
      <c r="B673" s="426" t="str">
        <f t="shared" si="67"/>
        <v>KY</v>
      </c>
      <c r="C673" s="426" t="str">
        <f t="shared" ref="C673:C720" si="68">IF(ISTEXT(MID($F673,SEARCH("FUTURE USE",$F673),3)),"F",IF(MID($F673,7,1)="1","E",IF(MID($F673,7,1)="2","G",IF(MID($F673,7,1)="3","C",""))))</f>
        <v>E</v>
      </c>
      <c r="D673" s="426" t="s">
        <v>2672</v>
      </c>
      <c r="E673" s="426" t="str">
        <f t="shared" si="66"/>
        <v>357</v>
      </c>
      <c r="F673" s="741" t="s">
        <v>1769</v>
      </c>
      <c r="G673" s="425" t="str">
        <f t="shared" si="63"/>
        <v/>
      </c>
      <c r="H673" s="426">
        <v>0.24815999999999999</v>
      </c>
      <c r="I673" s="426">
        <v>0.24815999999999999</v>
      </c>
      <c r="J673" s="426">
        <v>0.24815999999999999</v>
      </c>
      <c r="K673" s="426">
        <v>0.24815999999999999</v>
      </c>
      <c r="L673" s="426">
        <v>0.24815999999999999</v>
      </c>
      <c r="M673" s="426">
        <v>0.24815999999999999</v>
      </c>
      <c r="N673" s="426">
        <v>0.24815999999999999</v>
      </c>
      <c r="O673" s="426">
        <v>0.24815999999999999</v>
      </c>
      <c r="P673" s="426">
        <v>0.24815999999999999</v>
      </c>
      <c r="Q673" s="426">
        <v>0.24815999999999999</v>
      </c>
      <c r="R673" s="426">
        <v>0.24815999999999999</v>
      </c>
      <c r="S673" s="426">
        <v>0.24815999999999999</v>
      </c>
      <c r="T673" s="426">
        <v>0.24815999999999999</v>
      </c>
    </row>
    <row r="674" spans="1:21">
      <c r="A674" s="426" t="str">
        <f t="shared" si="65"/>
        <v>KU</v>
      </c>
      <c r="B674" s="426" t="str">
        <f t="shared" si="67"/>
        <v>KY</v>
      </c>
      <c r="C674" s="426" t="str">
        <f t="shared" si="68"/>
        <v>E</v>
      </c>
      <c r="D674" s="426" t="s">
        <v>2672</v>
      </c>
      <c r="E674" s="426" t="str">
        <f t="shared" si="66"/>
        <v>358</v>
      </c>
      <c r="F674" s="741" t="s">
        <v>1770</v>
      </c>
      <c r="G674" s="425" t="str">
        <f t="shared" si="63"/>
        <v/>
      </c>
      <c r="H674" s="426">
        <v>0.24948999999999999</v>
      </c>
      <c r="I674" s="426">
        <v>0.24948999999999999</v>
      </c>
      <c r="J674" s="426">
        <v>0.24948999999999999</v>
      </c>
      <c r="K674" s="426">
        <v>0.24948999999999999</v>
      </c>
      <c r="L674" s="426">
        <v>0.24948999999999999</v>
      </c>
      <c r="M674" s="426">
        <v>0.24948999999999999</v>
      </c>
      <c r="N674" s="426">
        <v>0.24948999999999999</v>
      </c>
      <c r="O674" s="426">
        <v>0.24948999999999999</v>
      </c>
      <c r="P674" s="426">
        <v>0.24948999999999999</v>
      </c>
      <c r="Q674" s="426">
        <v>0.24948999999999999</v>
      </c>
      <c r="R674" s="426">
        <v>0.24948999999999999</v>
      </c>
      <c r="S674" s="426">
        <v>0.24948999999999999</v>
      </c>
      <c r="T674" s="426">
        <v>0.24948999999999999</v>
      </c>
    </row>
    <row r="675" spans="1:21">
      <c r="F675" s="799" t="s">
        <v>1823</v>
      </c>
      <c r="G675" s="425" t="str">
        <f t="shared" si="63"/>
        <v/>
      </c>
      <c r="H675" s="426">
        <f t="shared" ref="H675:T675" si="69">SUM(H645:H674)</f>
        <v>7245.5526899999995</v>
      </c>
      <c r="I675" s="426">
        <f t="shared" si="69"/>
        <v>7237.2885899999992</v>
      </c>
      <c r="J675" s="426">
        <f t="shared" si="69"/>
        <v>7533.0466399999987</v>
      </c>
      <c r="K675" s="426">
        <f t="shared" si="69"/>
        <v>7319.4847299999992</v>
      </c>
      <c r="L675" s="426">
        <f t="shared" si="69"/>
        <v>7318.9312499999987</v>
      </c>
      <c r="M675" s="426">
        <f t="shared" si="69"/>
        <v>7316.6061599999994</v>
      </c>
      <c r="N675" s="426">
        <f t="shared" si="69"/>
        <v>7312.4801899999984</v>
      </c>
      <c r="O675" s="426">
        <f t="shared" si="69"/>
        <v>7312.4801899999984</v>
      </c>
      <c r="P675" s="426">
        <f t="shared" si="69"/>
        <v>7312.4801899999984</v>
      </c>
      <c r="Q675" s="426">
        <f t="shared" si="69"/>
        <v>7312.4801899999984</v>
      </c>
      <c r="R675" s="426">
        <f t="shared" si="69"/>
        <v>7312.4801899999984</v>
      </c>
      <c r="S675" s="426">
        <f t="shared" si="69"/>
        <v>7312.4801899999984</v>
      </c>
      <c r="T675" s="426">
        <f t="shared" si="69"/>
        <v>7312.4801899999984</v>
      </c>
    </row>
    <row r="676" spans="1:21">
      <c r="G676" s="425" t="str">
        <f t="shared" si="63"/>
        <v/>
      </c>
    </row>
    <row r="677" spans="1:21">
      <c r="F677" s="800" t="s">
        <v>2405</v>
      </c>
      <c r="G677" s="425" t="str">
        <f t="shared" si="63"/>
        <v/>
      </c>
    </row>
    <row r="678" spans="1:21">
      <c r="A678" s="426" t="str">
        <f t="shared" si="65"/>
        <v>KU</v>
      </c>
      <c r="B678" s="426" t="str">
        <f t="shared" si="67"/>
        <v>KY</v>
      </c>
      <c r="C678" s="426" t="str">
        <f t="shared" si="68"/>
        <v>E</v>
      </c>
      <c r="D678" s="426" t="s">
        <v>2673</v>
      </c>
      <c r="E678" s="426" t="str">
        <f t="shared" si="66"/>
        <v>312</v>
      </c>
      <c r="F678" s="741" t="s">
        <v>1728</v>
      </c>
      <c r="G678" s="425" t="str">
        <f>IF(ISTEXT(MID($F678,SEARCH("COMMON",$F678),3)),"COMMON",IF(ISTEXT(MID($F678,SEARCH("GAS",$F678),3)),"",IF(ISTEXT(MID($F678,SEARCH("HYDRO PRODUCTION",$F678),9)),"HYDRO",IF(ISTEXT(MID($F678,SEARCH("OTHER PRODUCTION",$F678),9)),"OTHER",IF(ISTEXT(MID($F678,SEARCH("STEAM PRODUCTION",$F678),9)),"STEAM",IF(ISTEXT(MID($F678,SEARCH("TRANSMISSION",$F678),9)),"TRANSMISSION",IF(ISTEXT(MID($F678,SEARCH("DISTRIBUTION",$F678),9)),"DISTRIBUTION",IF(ISTEXT(MID($F678,SEARCH("COMMON",$F678),9)),"COMMON",IF(ISTEXT(MID($F678,SEARCH("GENERAL",$F678),9)),"GENERAL",IF(ISTEXT(MID($F678,SEARCH("INTANGIBLE",$F678),9)),"INTANGIBLE",IF(ISTEXT(MID($F678,SEARCH("STORAGE",$F678),3)),"STORAGE","")))))))))))</f>
        <v>STEAM</v>
      </c>
      <c r="H678" s="426">
        <v>24.050833333333301</v>
      </c>
      <c r="I678" s="426">
        <v>24.027916666666702</v>
      </c>
      <c r="J678" s="426">
        <v>24.024083333333301</v>
      </c>
      <c r="K678" s="426">
        <v>24.024083333333301</v>
      </c>
      <c r="L678" s="426">
        <v>23.992249999999999</v>
      </c>
      <c r="M678" s="426">
        <v>23.937166666666698</v>
      </c>
      <c r="N678" s="426">
        <v>23.923249999999999</v>
      </c>
      <c r="O678" s="426">
        <v>23.923249999999999</v>
      </c>
      <c r="P678" s="426">
        <v>23.923249999999999</v>
      </c>
      <c r="Q678" s="426">
        <v>23.923249999999999</v>
      </c>
      <c r="R678" s="426">
        <v>23.923249999999999</v>
      </c>
      <c r="S678" s="426">
        <v>23.923249999999999</v>
      </c>
      <c r="T678" s="426">
        <v>23.923249999999999</v>
      </c>
      <c r="U678" s="706">
        <f t="shared" ref="U678:U685" si="70">SUM(I678:T678)</f>
        <v>287.46825000000001</v>
      </c>
    </row>
    <row r="679" spans="1:21">
      <c r="A679" s="426" t="str">
        <f t="shared" si="65"/>
        <v>KU</v>
      </c>
      <c r="B679" s="426" t="str">
        <f t="shared" si="67"/>
        <v>KY</v>
      </c>
      <c r="C679" s="426" t="str">
        <f t="shared" si="68"/>
        <v>E</v>
      </c>
      <c r="D679" s="426" t="s">
        <v>2673</v>
      </c>
      <c r="E679" s="426" t="str">
        <f t="shared" si="66"/>
        <v>334</v>
      </c>
      <c r="F679" s="741" t="s">
        <v>1741</v>
      </c>
      <c r="G679" s="425" t="str">
        <f t="shared" ref="G679:G721" si="71">IF(ISTEXT(MID($F679,SEARCH("COMMON",$F679),3)),"COMMON",IF(ISTEXT(MID($F679,SEARCH("GAS",$F679),3)),"",IF(ISTEXT(MID($F679,SEARCH("HYDRO PRODUCTION",$F679),9)),"HYDRO",IF(ISTEXT(MID($F679,SEARCH("OTHER PRODUCTION",$F679),9)),"OTHER",IF(ISTEXT(MID($F679,SEARCH("STEAM PRODUCTION",$F679),9)),"STEAM",IF(ISTEXT(MID($F679,SEARCH("TRANSMISSION",$F679),9)),"TRANSMISSION",IF(ISTEXT(MID($F679,SEARCH("DISTRIBUTION",$F679),9)),"DISTRIBUTION",IF(ISTEXT(MID($F679,SEARCH("COMMON",$F679),9)),"COMMON",IF(ISTEXT(MID($F679,SEARCH("GENERAL",$F679),9)),"GENERAL",IF(ISTEXT(MID($F679,SEARCH("INTANGIBLE",$F679),9)),"INTANGIBLE",IF(ISTEXT(MID($F679,SEARCH("STORAGE",$F679),3)),"STORAGE","")))))))))))</f>
        <v>HYDRO</v>
      </c>
      <c r="H679" s="426">
        <v>1E-3</v>
      </c>
      <c r="I679" s="426">
        <v>1E-3</v>
      </c>
      <c r="J679" s="426">
        <v>1E-3</v>
      </c>
      <c r="K679" s="426">
        <v>1E-3</v>
      </c>
      <c r="L679" s="426">
        <v>1E-3</v>
      </c>
      <c r="M679" s="426">
        <v>1E-3</v>
      </c>
      <c r="N679" s="426">
        <v>1E-3</v>
      </c>
      <c r="O679" s="426">
        <v>1E-3</v>
      </c>
      <c r="P679" s="426">
        <v>1E-3</v>
      </c>
      <c r="Q679" s="426">
        <v>1E-3</v>
      </c>
      <c r="R679" s="426">
        <v>1E-3</v>
      </c>
      <c r="S679" s="426">
        <v>1E-3</v>
      </c>
      <c r="T679" s="426">
        <v>1E-3</v>
      </c>
      <c r="U679" s="706">
        <f t="shared" si="70"/>
        <v>1.2000000000000004E-2</v>
      </c>
    </row>
    <row r="680" spans="1:21">
      <c r="A680" s="426" t="str">
        <f t="shared" si="65"/>
        <v>KU</v>
      </c>
      <c r="B680" s="426" t="str">
        <f t="shared" si="67"/>
        <v>KY</v>
      </c>
      <c r="C680" s="426" t="str">
        <f t="shared" si="68"/>
        <v>E</v>
      </c>
      <c r="D680" s="426" t="s">
        <v>2673</v>
      </c>
      <c r="E680" s="426" t="str">
        <f t="shared" si="66"/>
        <v>342</v>
      </c>
      <c r="F680" s="741" t="s">
        <v>1747</v>
      </c>
      <c r="G680" s="425" t="str">
        <f t="shared" si="71"/>
        <v>OTHER</v>
      </c>
      <c r="H680" s="426">
        <v>3.6666666666666701E-3</v>
      </c>
      <c r="I680" s="426">
        <v>3.6666666666666701E-3</v>
      </c>
      <c r="J680" s="426">
        <v>3.6666666666666701E-3</v>
      </c>
      <c r="K680" s="426">
        <v>3.6666666666666701E-3</v>
      </c>
      <c r="L680" s="426">
        <v>3.6666666666666701E-3</v>
      </c>
      <c r="M680" s="426">
        <v>3.6666666666666701E-3</v>
      </c>
      <c r="N680" s="426">
        <v>3.6666666666666701E-3</v>
      </c>
      <c r="O680" s="426">
        <v>3.6666666666666701E-3</v>
      </c>
      <c r="P680" s="426">
        <v>3.6666666666666701E-3</v>
      </c>
      <c r="Q680" s="426">
        <v>3.6666666666666701E-3</v>
      </c>
      <c r="R680" s="426">
        <v>3.6666666666666701E-3</v>
      </c>
      <c r="S680" s="426">
        <v>3.6666666666666701E-3</v>
      </c>
      <c r="T680" s="426">
        <v>3.6666666666666701E-3</v>
      </c>
      <c r="U680" s="706">
        <f t="shared" si="70"/>
        <v>4.4000000000000046E-2</v>
      </c>
    </row>
    <row r="681" spans="1:21">
      <c r="A681" s="426" t="str">
        <f t="shared" si="65"/>
        <v>KU</v>
      </c>
      <c r="B681" s="426" t="str">
        <f t="shared" si="67"/>
        <v>KY</v>
      </c>
      <c r="C681" s="426" t="str">
        <f t="shared" si="68"/>
        <v>E</v>
      </c>
      <c r="D681" s="426" t="s">
        <v>2673</v>
      </c>
      <c r="E681" s="426" t="str">
        <f t="shared" si="66"/>
        <v>353</v>
      </c>
      <c r="F681" s="741" t="s">
        <v>1758</v>
      </c>
      <c r="G681" s="425" t="str">
        <f t="shared" si="71"/>
        <v>TRANSMISSION</v>
      </c>
      <c r="H681" s="426">
        <v>2.4859166666666699</v>
      </c>
      <c r="I681" s="426">
        <v>2.4712499999999999</v>
      </c>
      <c r="J681" s="426">
        <v>2.4712499999999999</v>
      </c>
      <c r="K681" s="426">
        <v>2.47108333333333</v>
      </c>
      <c r="L681" s="426">
        <v>2.4697499999999999</v>
      </c>
      <c r="M681" s="426">
        <v>2.4697499999999999</v>
      </c>
      <c r="N681" s="426">
        <v>2.4697499999999999</v>
      </c>
      <c r="O681" s="426">
        <v>2.4697499999999999</v>
      </c>
      <c r="P681" s="426">
        <v>2.4697499999999999</v>
      </c>
      <c r="Q681" s="426">
        <v>2.4697499999999999</v>
      </c>
      <c r="R681" s="426">
        <v>2.4697499999999999</v>
      </c>
      <c r="S681" s="426">
        <v>2.4697499999999999</v>
      </c>
      <c r="T681" s="426">
        <v>2.4697499999999999</v>
      </c>
      <c r="U681" s="706">
        <f t="shared" si="70"/>
        <v>29.641333333333336</v>
      </c>
    </row>
    <row r="682" spans="1:21">
      <c r="F682" s="799" t="s">
        <v>1823</v>
      </c>
      <c r="G682" s="425" t="str">
        <f t="shared" si="71"/>
        <v/>
      </c>
      <c r="H682" s="426">
        <f>SUM(H678:H681)</f>
        <v>26.541416666666642</v>
      </c>
      <c r="I682" s="426">
        <f t="shared" ref="I682:T682" si="72">SUM(I678:I681)</f>
        <v>26.503833333333372</v>
      </c>
      <c r="J682" s="426">
        <f t="shared" si="72"/>
        <v>26.499999999999972</v>
      </c>
      <c r="K682" s="426">
        <f t="shared" si="72"/>
        <v>26.499833333333299</v>
      </c>
      <c r="L682" s="426">
        <f t="shared" si="72"/>
        <v>26.466666666666669</v>
      </c>
      <c r="M682" s="426">
        <f t="shared" si="72"/>
        <v>26.411583333333368</v>
      </c>
      <c r="N682" s="426">
        <f t="shared" si="72"/>
        <v>26.397666666666669</v>
      </c>
      <c r="O682" s="426">
        <f t="shared" si="72"/>
        <v>26.397666666666669</v>
      </c>
      <c r="P682" s="426">
        <f t="shared" si="72"/>
        <v>26.397666666666669</v>
      </c>
      <c r="Q682" s="426">
        <f t="shared" si="72"/>
        <v>26.397666666666669</v>
      </c>
      <c r="R682" s="426">
        <f t="shared" si="72"/>
        <v>26.397666666666669</v>
      </c>
      <c r="S682" s="426">
        <f t="shared" si="72"/>
        <v>26.397666666666669</v>
      </c>
      <c r="T682" s="426">
        <f t="shared" si="72"/>
        <v>26.397666666666669</v>
      </c>
      <c r="U682" s="706">
        <f t="shared" si="70"/>
        <v>317.16558333333342</v>
      </c>
    </row>
    <row r="683" spans="1:21">
      <c r="G683" s="425" t="str">
        <f t="shared" si="71"/>
        <v/>
      </c>
      <c r="U683" s="706">
        <f t="shared" si="70"/>
        <v>0</v>
      </c>
    </row>
    <row r="684" spans="1:21">
      <c r="F684" s="800" t="s">
        <v>2406</v>
      </c>
      <c r="G684" s="425" t="str">
        <f t="shared" si="71"/>
        <v/>
      </c>
      <c r="T684" s="706"/>
      <c r="U684" s="706">
        <f t="shared" si="70"/>
        <v>0</v>
      </c>
    </row>
    <row r="685" spans="1:21">
      <c r="A685" s="426" t="str">
        <f t="shared" si="65"/>
        <v>KU</v>
      </c>
      <c r="B685" s="426" t="str">
        <f t="shared" si="67"/>
        <v>KY</v>
      </c>
      <c r="C685" s="426" t="str">
        <f t="shared" si="68"/>
        <v>E</v>
      </c>
      <c r="D685" s="426" t="s">
        <v>2674</v>
      </c>
      <c r="E685" s="426" t="str">
        <f>MID($F685,8,3)</f>
        <v>311</v>
      </c>
      <c r="F685" s="741" t="s">
        <v>2178</v>
      </c>
      <c r="G685" s="425" t="str">
        <f t="shared" si="71"/>
        <v>STEAM</v>
      </c>
      <c r="H685" s="426">
        <v>1.3083333333333299E-2</v>
      </c>
      <c r="I685" s="426">
        <v>1.3083333333333299E-2</v>
      </c>
      <c r="J685" s="426">
        <v>1.3083333333333299E-2</v>
      </c>
      <c r="K685" s="426">
        <v>1.3083333333333299E-2</v>
      </c>
      <c r="L685" s="426">
        <v>1.3083333333333299E-2</v>
      </c>
      <c r="M685" s="426">
        <v>1.3083333333333299E-2</v>
      </c>
      <c r="N685" s="426">
        <v>1.3083333333333299E-2</v>
      </c>
      <c r="O685" s="426">
        <v>1.3083333333333299E-2</v>
      </c>
      <c r="P685" s="426">
        <v>1.3083333333333299E-2</v>
      </c>
      <c r="Q685" s="426">
        <v>1.3083333333333299E-2</v>
      </c>
      <c r="R685" s="426">
        <v>1.3083333333333299E-2</v>
      </c>
      <c r="S685" s="426">
        <v>1.3083333333333299E-2</v>
      </c>
      <c r="T685" s="426">
        <v>1.3083333333333299E-2</v>
      </c>
      <c r="U685" s="706">
        <f t="shared" si="70"/>
        <v>0.15699999999999958</v>
      </c>
    </row>
    <row r="686" spans="1:21">
      <c r="A686" s="426" t="str">
        <f t="shared" si="65"/>
        <v>KU</v>
      </c>
      <c r="B686" s="426" t="str">
        <f t="shared" si="67"/>
        <v>KY</v>
      </c>
      <c r="C686" s="426" t="str">
        <f t="shared" si="68"/>
        <v>E</v>
      </c>
      <c r="D686" s="426" t="s">
        <v>2674</v>
      </c>
      <c r="E686" s="426" t="str">
        <f>MID($F686,8,3)</f>
        <v>311</v>
      </c>
      <c r="F686" s="741" t="s">
        <v>1727</v>
      </c>
      <c r="G686" s="425" t="str">
        <f t="shared" si="71"/>
        <v>STEAM</v>
      </c>
      <c r="H686" s="426">
        <v>0</v>
      </c>
      <c r="I686" s="426">
        <v>0</v>
      </c>
      <c r="J686" s="426">
        <v>0</v>
      </c>
      <c r="K686" s="426">
        <v>0</v>
      </c>
      <c r="L686" s="426">
        <v>0</v>
      </c>
      <c r="M686" s="426">
        <v>0</v>
      </c>
      <c r="N686" s="426">
        <v>0</v>
      </c>
      <c r="O686" s="426">
        <v>0</v>
      </c>
      <c r="P686" s="426">
        <v>0</v>
      </c>
      <c r="Q686" s="426">
        <v>0</v>
      </c>
      <c r="R686" s="426">
        <v>0</v>
      </c>
      <c r="S686" s="426">
        <v>0</v>
      </c>
      <c r="T686" s="426">
        <v>0</v>
      </c>
      <c r="U686" s="706">
        <f t="shared" ref="U686:U698" si="73">SUM(I686:T686)</f>
        <v>0</v>
      </c>
    </row>
    <row r="687" spans="1:21">
      <c r="A687" s="426" t="str">
        <f t="shared" si="65"/>
        <v>KU</v>
      </c>
      <c r="B687" s="426" t="str">
        <f t="shared" si="67"/>
        <v>KY</v>
      </c>
      <c r="C687" s="426" t="str">
        <f t="shared" si="68"/>
        <v>E</v>
      </c>
      <c r="D687" s="426" t="s">
        <v>2674</v>
      </c>
      <c r="E687" s="426" t="str">
        <f t="shared" ref="E687:E691" si="74">MID($F687,8,3)</f>
        <v>312</v>
      </c>
      <c r="F687" s="741" t="s">
        <v>1728</v>
      </c>
      <c r="G687" s="425" t="str">
        <f t="shared" si="71"/>
        <v>STEAM</v>
      </c>
      <c r="H687" s="426">
        <v>12.94725</v>
      </c>
      <c r="I687" s="426">
        <v>12.925750000000001</v>
      </c>
      <c r="J687" s="426">
        <v>13.292999999999999</v>
      </c>
      <c r="K687" s="426">
        <v>13.125966666666701</v>
      </c>
      <c r="L687" s="426">
        <v>13.28525</v>
      </c>
      <c r="M687" s="426">
        <v>13.28275</v>
      </c>
      <c r="N687" s="426">
        <v>13.280666666666701</v>
      </c>
      <c r="O687" s="426">
        <v>13.280666666666701</v>
      </c>
      <c r="P687" s="426">
        <v>13.280666666666701</v>
      </c>
      <c r="Q687" s="426">
        <v>13.280666666666701</v>
      </c>
      <c r="R687" s="426">
        <v>13.280666666666701</v>
      </c>
      <c r="S687" s="426">
        <v>13.280666666666701</v>
      </c>
      <c r="T687" s="426">
        <v>13.280666666666701</v>
      </c>
      <c r="U687" s="706">
        <f t="shared" si="73"/>
        <v>158.8773833333336</v>
      </c>
    </row>
    <row r="688" spans="1:21">
      <c r="A688" s="426" t="str">
        <f t="shared" si="65"/>
        <v>KU</v>
      </c>
      <c r="B688" s="426" t="str">
        <f t="shared" si="67"/>
        <v>KY</v>
      </c>
      <c r="C688" s="426" t="str">
        <f t="shared" si="68"/>
        <v>E</v>
      </c>
      <c r="D688" s="426" t="s">
        <v>2674</v>
      </c>
      <c r="E688" s="426" t="str">
        <f t="shared" si="74"/>
        <v>312</v>
      </c>
      <c r="F688" s="741" t="s">
        <v>1729</v>
      </c>
      <c r="G688" s="425" t="str">
        <f t="shared" si="71"/>
        <v>STEAM</v>
      </c>
      <c r="H688" s="426">
        <v>0.44541666666666702</v>
      </c>
      <c r="I688" s="426">
        <v>0.44541666666666702</v>
      </c>
      <c r="J688" s="426">
        <v>0.44541666666666702</v>
      </c>
      <c r="K688" s="426">
        <v>0.44541666666666702</v>
      </c>
      <c r="L688" s="426">
        <v>0.44541666666666702</v>
      </c>
      <c r="M688" s="426">
        <v>0.44541666666666702</v>
      </c>
      <c r="N688" s="426">
        <v>0.34558639349829801</v>
      </c>
      <c r="O688" s="426">
        <v>0.34558639349829801</v>
      </c>
      <c r="P688" s="426">
        <v>0.34558639349829801</v>
      </c>
      <c r="Q688" s="426">
        <v>0.34558639349829801</v>
      </c>
      <c r="R688" s="426">
        <v>0.34558639349829801</v>
      </c>
      <c r="S688" s="426">
        <v>0.34558639349829801</v>
      </c>
      <c r="T688" s="426">
        <v>0.34558639349829801</v>
      </c>
      <c r="U688" s="706">
        <f t="shared" si="73"/>
        <v>4.6461880878214208</v>
      </c>
    </row>
    <row r="689" spans="1:21">
      <c r="A689" s="426" t="str">
        <f t="shared" si="65"/>
        <v>KU</v>
      </c>
      <c r="B689" s="426" t="str">
        <f t="shared" si="67"/>
        <v>KY</v>
      </c>
      <c r="C689" s="426" t="str">
        <f t="shared" si="68"/>
        <v>E</v>
      </c>
      <c r="D689" s="426" t="s">
        <v>2674</v>
      </c>
      <c r="E689" s="426" t="str">
        <f t="shared" si="74"/>
        <v>312</v>
      </c>
      <c r="F689" s="741" t="s">
        <v>2714</v>
      </c>
      <c r="G689" s="425" t="str">
        <f t="shared" si="71"/>
        <v>STEAM</v>
      </c>
      <c r="H689" s="426">
        <v>0</v>
      </c>
      <c r="I689" s="426">
        <v>0</v>
      </c>
      <c r="J689" s="426">
        <v>0</v>
      </c>
      <c r="K689" s="426">
        <v>0</v>
      </c>
      <c r="L689" s="426">
        <v>0</v>
      </c>
      <c r="M689" s="426">
        <v>0</v>
      </c>
      <c r="N689" s="426">
        <v>9.9830273168369302E-2</v>
      </c>
      <c r="O689" s="426">
        <v>9.9830273168369302E-2</v>
      </c>
      <c r="P689" s="426">
        <v>9.9830273168369302E-2</v>
      </c>
      <c r="Q689" s="426">
        <v>9.9830273168369302E-2</v>
      </c>
      <c r="R689" s="426">
        <v>9.9830273168369302E-2</v>
      </c>
      <c r="S689" s="426">
        <v>9.9830273168369302E-2</v>
      </c>
      <c r="T689" s="426">
        <v>9.9830273168369302E-2</v>
      </c>
      <c r="U689" s="706">
        <f t="shared" si="73"/>
        <v>0.69881191217858518</v>
      </c>
    </row>
    <row r="690" spans="1:21">
      <c r="A690" s="426" t="str">
        <f t="shared" si="65"/>
        <v>KU</v>
      </c>
      <c r="B690" s="426" t="str">
        <f t="shared" si="67"/>
        <v>KY</v>
      </c>
      <c r="C690" s="426" t="str">
        <f t="shared" si="68"/>
        <v>E</v>
      </c>
      <c r="D690" s="426" t="s">
        <v>2674</v>
      </c>
      <c r="E690" s="426" t="str">
        <f t="shared" si="74"/>
        <v>312</v>
      </c>
      <c r="F690" s="741" t="s">
        <v>1730</v>
      </c>
      <c r="G690" s="425" t="str">
        <f t="shared" si="71"/>
        <v>STEAM</v>
      </c>
      <c r="H690" s="426">
        <v>1.18408333333333</v>
      </c>
      <c r="I690" s="426">
        <v>1.18408333333333</v>
      </c>
      <c r="J690" s="426">
        <v>1.18408333333333</v>
      </c>
      <c r="K690" s="426">
        <v>1.18408333333333</v>
      </c>
      <c r="L690" s="426">
        <v>1.18408333333333</v>
      </c>
      <c r="M690" s="426">
        <v>1.1835833333333301</v>
      </c>
      <c r="N690" s="426">
        <v>1.1835</v>
      </c>
      <c r="O690" s="426">
        <v>1.1835</v>
      </c>
      <c r="P690" s="426">
        <v>1.1835</v>
      </c>
      <c r="Q690" s="426">
        <v>1.1835</v>
      </c>
      <c r="R690" s="426">
        <v>1.1835</v>
      </c>
      <c r="S690" s="426">
        <v>1.1835</v>
      </c>
      <c r="T690" s="426">
        <v>1.1835</v>
      </c>
      <c r="U690" s="706">
        <f t="shared" si="73"/>
        <v>14.204416666666653</v>
      </c>
    </row>
    <row r="691" spans="1:21">
      <c r="A691" s="426" t="str">
        <f t="shared" si="65"/>
        <v>KU</v>
      </c>
      <c r="B691" s="426" t="str">
        <f t="shared" si="67"/>
        <v>KY</v>
      </c>
      <c r="C691" s="426" t="str">
        <f t="shared" si="68"/>
        <v>E</v>
      </c>
      <c r="D691" s="426" t="s">
        <v>2674</v>
      </c>
      <c r="E691" s="426" t="str">
        <f t="shared" si="74"/>
        <v>312</v>
      </c>
      <c r="F691" s="741" t="s">
        <v>2179</v>
      </c>
      <c r="G691" s="425" t="str">
        <f t="shared" si="71"/>
        <v>STEAM</v>
      </c>
      <c r="H691" s="426">
        <v>0.13275000000000001</v>
      </c>
      <c r="I691" s="426">
        <v>0.13275000000000001</v>
      </c>
      <c r="J691" s="426">
        <v>0.77391666666666703</v>
      </c>
      <c r="K691" s="426">
        <v>0.77391666666666703</v>
      </c>
      <c r="L691" s="426">
        <v>0.77391666666666703</v>
      </c>
      <c r="M691" s="426">
        <v>0.77391666666666703</v>
      </c>
      <c r="N691" s="426">
        <v>0</v>
      </c>
      <c r="O691" s="426">
        <v>0</v>
      </c>
      <c r="P691" s="426">
        <v>0</v>
      </c>
      <c r="Q691" s="426">
        <v>0</v>
      </c>
      <c r="R691" s="426">
        <v>0</v>
      </c>
      <c r="S691" s="426">
        <v>0</v>
      </c>
      <c r="T691" s="426">
        <v>0</v>
      </c>
      <c r="U691" s="706">
        <f t="shared" si="73"/>
        <v>3.2284166666666683</v>
      </c>
    </row>
    <row r="692" spans="1:21">
      <c r="A692" s="426" t="str">
        <f t="shared" si="65"/>
        <v>KU</v>
      </c>
      <c r="B692" s="426" t="str">
        <f t="shared" si="67"/>
        <v>KY</v>
      </c>
      <c r="C692" s="426" t="str">
        <f t="shared" si="68"/>
        <v>E</v>
      </c>
      <c r="D692" s="426" t="s">
        <v>2674</v>
      </c>
      <c r="E692" s="426" t="str">
        <f>MID($F692,8,3)</f>
        <v>312</v>
      </c>
      <c r="F692" s="741" t="s">
        <v>2715</v>
      </c>
      <c r="G692" s="425" t="str">
        <f t="shared" si="71"/>
        <v>STEAM</v>
      </c>
      <c r="H692" s="426">
        <v>0</v>
      </c>
      <c r="I692" s="426">
        <v>0</v>
      </c>
      <c r="J692" s="426">
        <v>0</v>
      </c>
      <c r="K692" s="426">
        <v>0</v>
      </c>
      <c r="L692" s="426">
        <v>0</v>
      </c>
      <c r="M692" s="426">
        <v>0</v>
      </c>
      <c r="N692" s="426">
        <v>0.77391666666666703</v>
      </c>
      <c r="O692" s="426">
        <v>0.77391666666666703</v>
      </c>
      <c r="P692" s="426">
        <v>0.77391666666666703</v>
      </c>
      <c r="Q692" s="426">
        <v>0.77391666666666703</v>
      </c>
      <c r="R692" s="426">
        <v>0.77391666666666703</v>
      </c>
      <c r="S692" s="426">
        <v>0.77391666666666703</v>
      </c>
      <c r="T692" s="426">
        <v>0.77391666666666703</v>
      </c>
      <c r="U692" s="706">
        <f t="shared" si="73"/>
        <v>5.4174166666666697</v>
      </c>
    </row>
    <row r="693" spans="1:21">
      <c r="A693" s="426" t="str">
        <f t="shared" si="65"/>
        <v>KU</v>
      </c>
      <c r="B693" s="426" t="str">
        <f t="shared" si="67"/>
        <v>KY</v>
      </c>
      <c r="C693" s="426" t="str">
        <f t="shared" si="68"/>
        <v>E</v>
      </c>
      <c r="D693" s="426" t="s">
        <v>2674</v>
      </c>
      <c r="E693" s="426" t="str">
        <f>MID($F693,8,3)</f>
        <v>315</v>
      </c>
      <c r="F693" s="741" t="s">
        <v>1733</v>
      </c>
      <c r="G693" s="425" t="str">
        <f t="shared" si="71"/>
        <v>STEAM</v>
      </c>
      <c r="H693" s="426">
        <v>0</v>
      </c>
      <c r="I693" s="426">
        <v>0</v>
      </c>
      <c r="J693" s="426">
        <v>0</v>
      </c>
      <c r="K693" s="426">
        <v>0</v>
      </c>
      <c r="L693" s="426">
        <v>0</v>
      </c>
      <c r="M693" s="426">
        <v>0</v>
      </c>
      <c r="N693" s="426">
        <v>0</v>
      </c>
      <c r="O693" s="426">
        <v>0</v>
      </c>
      <c r="P693" s="426">
        <v>0</v>
      </c>
      <c r="Q693" s="426">
        <v>0</v>
      </c>
      <c r="R693" s="426">
        <v>0</v>
      </c>
      <c r="S693" s="426">
        <v>0</v>
      </c>
      <c r="T693" s="426">
        <v>0</v>
      </c>
      <c r="U693" s="706">
        <f t="shared" si="73"/>
        <v>0</v>
      </c>
    </row>
    <row r="694" spans="1:21">
      <c r="A694" s="426" t="str">
        <f t="shared" si="65"/>
        <v>KU</v>
      </c>
      <c r="B694" s="426" t="str">
        <f t="shared" si="67"/>
        <v>KY</v>
      </c>
      <c r="C694" s="426" t="str">
        <f t="shared" si="68"/>
        <v>E</v>
      </c>
      <c r="D694" s="426" t="s">
        <v>2674</v>
      </c>
      <c r="E694" s="426" t="str">
        <f>MID($F694,8,3)</f>
        <v>315</v>
      </c>
      <c r="F694" s="741" t="s">
        <v>1734</v>
      </c>
      <c r="G694" s="425" t="str">
        <f t="shared" si="71"/>
        <v>STEAM</v>
      </c>
      <c r="H694" s="426">
        <v>1.7000000000000001E-2</v>
      </c>
      <c r="I694" s="426">
        <v>1.7000000000000001E-2</v>
      </c>
      <c r="J694" s="426">
        <v>1.7000000000000001E-2</v>
      </c>
      <c r="K694" s="426">
        <v>1.7000000000000001E-2</v>
      </c>
      <c r="L694" s="426">
        <v>1.7000000000000001E-2</v>
      </c>
      <c r="M694" s="426">
        <v>1.7000000000000001E-2</v>
      </c>
      <c r="N694" s="426">
        <v>1.7000000000000001E-2</v>
      </c>
      <c r="O694" s="426">
        <v>1.7000000000000001E-2</v>
      </c>
      <c r="P694" s="426">
        <v>1.7000000000000001E-2</v>
      </c>
      <c r="Q694" s="426">
        <v>1.7000000000000001E-2</v>
      </c>
      <c r="R694" s="426">
        <v>1.7000000000000001E-2</v>
      </c>
      <c r="S694" s="426">
        <v>1.7000000000000001E-2</v>
      </c>
      <c r="T694" s="426">
        <v>1.7000000000000001E-2</v>
      </c>
      <c r="U694" s="706">
        <f t="shared" si="73"/>
        <v>0.20400000000000007</v>
      </c>
    </row>
    <row r="695" spans="1:21">
      <c r="A695" s="426" t="str">
        <f t="shared" si="65"/>
        <v>KU</v>
      </c>
      <c r="B695" s="426" t="str">
        <f t="shared" si="67"/>
        <v>KY</v>
      </c>
      <c r="C695" s="426" t="str">
        <f t="shared" si="68"/>
        <v>E</v>
      </c>
      <c r="D695" s="426" t="s">
        <v>2674</v>
      </c>
      <c r="E695" s="426" t="str">
        <f t="shared" ref="E695:E704" si="75">MID($F695,8,3)</f>
        <v>334</v>
      </c>
      <c r="F695" s="741" t="s">
        <v>1741</v>
      </c>
      <c r="G695" s="425" t="str">
        <f t="shared" si="71"/>
        <v>HYDRO</v>
      </c>
      <c r="H695" s="426">
        <v>6.1333333333333302E-2</v>
      </c>
      <c r="I695" s="426">
        <v>6.1333333333333302E-2</v>
      </c>
      <c r="J695" s="426">
        <v>6.1333333333333302E-2</v>
      </c>
      <c r="K695" s="426">
        <v>6.9000000000000006E-2</v>
      </c>
      <c r="L695" s="426">
        <v>6.9000000000000006E-2</v>
      </c>
      <c r="M695" s="426">
        <v>6.9000000000000006E-2</v>
      </c>
      <c r="N695" s="426">
        <v>6.1333333333333302E-2</v>
      </c>
      <c r="O695" s="426">
        <v>6.1333333333333302E-2</v>
      </c>
      <c r="P695" s="426">
        <v>6.1333333333333302E-2</v>
      </c>
      <c r="Q695" s="426">
        <v>6.1333333333333302E-2</v>
      </c>
      <c r="R695" s="426">
        <v>6.1333333333333302E-2</v>
      </c>
      <c r="S695" s="426">
        <v>6.1333333333333302E-2</v>
      </c>
      <c r="T695" s="426">
        <v>6.1333333333333302E-2</v>
      </c>
      <c r="U695" s="706">
        <f t="shared" si="73"/>
        <v>0.7589999999999999</v>
      </c>
    </row>
    <row r="696" spans="1:21">
      <c r="A696" s="426" t="str">
        <f t="shared" si="65"/>
        <v>KU</v>
      </c>
      <c r="B696" s="426" t="str">
        <f t="shared" si="67"/>
        <v>KY</v>
      </c>
      <c r="C696" s="426" t="str">
        <f t="shared" si="68"/>
        <v>E</v>
      </c>
      <c r="D696" s="426" t="s">
        <v>2674</v>
      </c>
      <c r="E696" s="426" t="str">
        <f t="shared" si="75"/>
        <v>342</v>
      </c>
      <c r="F696" s="741" t="s">
        <v>1747</v>
      </c>
      <c r="G696" s="425" t="str">
        <f t="shared" si="71"/>
        <v>OTHER</v>
      </c>
      <c r="H696" s="426">
        <v>3.3735833333333298</v>
      </c>
      <c r="I696" s="426">
        <v>3.3731666666666702</v>
      </c>
      <c r="J696" s="426">
        <v>3.3731666666666702</v>
      </c>
      <c r="K696" s="426">
        <v>3.37191666666667</v>
      </c>
      <c r="L696" s="426">
        <v>3.3721666666666699</v>
      </c>
      <c r="M696" s="426">
        <v>3.3672499999999999</v>
      </c>
      <c r="N696" s="426">
        <v>3.3655833333333298</v>
      </c>
      <c r="O696" s="426">
        <v>3.3655833333333298</v>
      </c>
      <c r="P696" s="426">
        <v>3.3655833333333298</v>
      </c>
      <c r="Q696" s="426">
        <v>3.3655833333333298</v>
      </c>
      <c r="R696" s="426">
        <v>3.3655833333333298</v>
      </c>
      <c r="S696" s="426">
        <v>3.3655833333333298</v>
      </c>
      <c r="T696" s="426">
        <v>3.3655833333333298</v>
      </c>
      <c r="U696" s="706">
        <f t="shared" si="73"/>
        <v>40.416749999999993</v>
      </c>
    </row>
    <row r="697" spans="1:21">
      <c r="A697" s="426" t="str">
        <f t="shared" si="65"/>
        <v>KU</v>
      </c>
      <c r="B697" s="426" t="str">
        <f t="shared" si="67"/>
        <v>KY</v>
      </c>
      <c r="C697" s="426" t="str">
        <f t="shared" si="68"/>
        <v>E</v>
      </c>
      <c r="D697" s="426" t="s">
        <v>2674</v>
      </c>
      <c r="E697" s="426" t="str">
        <f t="shared" si="75"/>
        <v>353</v>
      </c>
      <c r="F697" s="741" t="s">
        <v>1758</v>
      </c>
      <c r="G697" s="425" t="str">
        <f t="shared" si="71"/>
        <v>TRANSMISSION</v>
      </c>
      <c r="H697" s="426">
        <v>0.58641666666666703</v>
      </c>
      <c r="I697" s="426">
        <v>0.58641666666666703</v>
      </c>
      <c r="J697" s="426">
        <v>0.58641666666666703</v>
      </c>
      <c r="K697" s="426">
        <v>0.58641666666666703</v>
      </c>
      <c r="L697" s="426">
        <v>0.58625000000000005</v>
      </c>
      <c r="M697" s="426">
        <v>0.58625000000000005</v>
      </c>
      <c r="N697" s="426">
        <v>0.58625000000000005</v>
      </c>
      <c r="O697" s="426">
        <v>0.58625000000000005</v>
      </c>
      <c r="P697" s="426">
        <v>0.58625000000000005</v>
      </c>
      <c r="Q697" s="426">
        <v>0.58625000000000005</v>
      </c>
      <c r="R697" s="426">
        <v>0.58625000000000005</v>
      </c>
      <c r="S697" s="426">
        <v>0.58625000000000005</v>
      </c>
      <c r="T697" s="426">
        <v>0.58625000000000005</v>
      </c>
      <c r="U697" s="706">
        <f t="shared" si="73"/>
        <v>7.0354999999999999</v>
      </c>
    </row>
    <row r="698" spans="1:21">
      <c r="F698" s="799" t="s">
        <v>1823</v>
      </c>
      <c r="G698" s="425" t="str">
        <f t="shared" si="71"/>
        <v/>
      </c>
      <c r="H698" s="426">
        <f>SUM(H685:H697)</f>
        <v>18.76091666666666</v>
      </c>
      <c r="I698" s="426">
        <f t="shared" ref="I698:T698" si="76">SUM(I685:I697)</f>
        <v>18.739000000000001</v>
      </c>
      <c r="J698" s="426">
        <f t="shared" si="76"/>
        <v>19.747416666666666</v>
      </c>
      <c r="K698" s="426">
        <f t="shared" si="76"/>
        <v>19.586800000000036</v>
      </c>
      <c r="L698" s="426">
        <f t="shared" si="76"/>
        <v>19.746166666666664</v>
      </c>
      <c r="M698" s="426">
        <f t="shared" si="76"/>
        <v>19.738249999999994</v>
      </c>
      <c r="N698" s="426">
        <f t="shared" si="76"/>
        <v>19.726750000000031</v>
      </c>
      <c r="O698" s="426">
        <f t="shared" si="76"/>
        <v>19.726750000000031</v>
      </c>
      <c r="P698" s="426">
        <f t="shared" si="76"/>
        <v>19.726750000000031</v>
      </c>
      <c r="Q698" s="426">
        <f t="shared" si="76"/>
        <v>19.726750000000031</v>
      </c>
      <c r="R698" s="426">
        <f t="shared" si="76"/>
        <v>19.726750000000031</v>
      </c>
      <c r="S698" s="426">
        <f t="shared" si="76"/>
        <v>19.726750000000031</v>
      </c>
      <c r="T698" s="426">
        <f t="shared" si="76"/>
        <v>19.726750000000031</v>
      </c>
      <c r="U698" s="706">
        <f t="shared" si="73"/>
        <v>235.64488333333364</v>
      </c>
    </row>
    <row r="699" spans="1:21">
      <c r="G699" s="425" t="str">
        <f t="shared" si="71"/>
        <v/>
      </c>
    </row>
    <row r="700" spans="1:21">
      <c r="F700" s="800" t="s">
        <v>2407</v>
      </c>
      <c r="G700" s="425" t="str">
        <f t="shared" si="71"/>
        <v/>
      </c>
    </row>
    <row r="701" spans="1:21">
      <c r="A701" s="426" t="str">
        <f t="shared" si="65"/>
        <v>KU</v>
      </c>
      <c r="B701" s="426" t="str">
        <f t="shared" si="67"/>
        <v>KY</v>
      </c>
      <c r="C701" s="426" t="str">
        <f t="shared" si="68"/>
        <v>E</v>
      </c>
      <c r="D701" s="426" t="s">
        <v>2675</v>
      </c>
      <c r="E701" s="426" t="str">
        <f t="shared" si="75"/>
        <v>312</v>
      </c>
      <c r="F701" s="741" t="s">
        <v>1728</v>
      </c>
      <c r="G701" s="425" t="str">
        <f t="shared" si="71"/>
        <v>STEAM</v>
      </c>
      <c r="H701" s="426">
        <v>8545.2409655186693</v>
      </c>
      <c r="I701" s="426">
        <v>8562.5156221853395</v>
      </c>
      <c r="J701" s="426">
        <v>8584.87803551867</v>
      </c>
      <c r="K701" s="426">
        <v>8608.9021188520001</v>
      </c>
      <c r="L701" s="426">
        <v>8621.8076388520003</v>
      </c>
      <c r="M701" s="426">
        <v>8626.0832655186696</v>
      </c>
      <c r="N701" s="426">
        <v>8645.0891555186699</v>
      </c>
      <c r="O701" s="426">
        <v>8669.0124055186698</v>
      </c>
      <c r="P701" s="426">
        <v>8692.9356555186696</v>
      </c>
      <c r="Q701" s="426">
        <v>8716.8589055186694</v>
      </c>
      <c r="R701" s="426">
        <v>8740.7821555186692</v>
      </c>
      <c r="S701" s="426">
        <v>8764.7054055186709</v>
      </c>
      <c r="T701" s="426">
        <v>8788.6286555186707</v>
      </c>
    </row>
    <row r="702" spans="1:21">
      <c r="A702" s="426" t="str">
        <f t="shared" si="65"/>
        <v>KU</v>
      </c>
      <c r="B702" s="426" t="str">
        <f t="shared" si="67"/>
        <v>KY</v>
      </c>
      <c r="C702" s="426" t="str">
        <f t="shared" si="68"/>
        <v>E</v>
      </c>
      <c r="D702" s="426" t="s">
        <v>2675</v>
      </c>
      <c r="E702" s="426" t="str">
        <f t="shared" si="75"/>
        <v>334</v>
      </c>
      <c r="F702" s="741" t="s">
        <v>1741</v>
      </c>
      <c r="G702" s="425" t="str">
        <f t="shared" si="71"/>
        <v>HYDRO</v>
      </c>
      <c r="H702" s="426">
        <v>1.6253265400000001</v>
      </c>
      <c r="I702" s="426">
        <v>1.62632654</v>
      </c>
      <c r="J702" s="426">
        <v>1.6273265400000001</v>
      </c>
      <c r="K702" s="426">
        <v>1.62832654</v>
      </c>
      <c r="L702" s="426">
        <v>1.6293265400000001</v>
      </c>
      <c r="M702" s="426">
        <v>1.63032654</v>
      </c>
      <c r="N702" s="426">
        <v>1.6313265400000001</v>
      </c>
      <c r="O702" s="426">
        <v>1.63232654</v>
      </c>
      <c r="P702" s="426">
        <v>1.6333265400000001</v>
      </c>
      <c r="Q702" s="426">
        <v>1.63432654</v>
      </c>
      <c r="R702" s="426">
        <v>1.6353265400000001</v>
      </c>
      <c r="S702" s="426">
        <v>1.63632654</v>
      </c>
      <c r="T702" s="426">
        <v>1.6373265400000001</v>
      </c>
    </row>
    <row r="703" spans="1:21">
      <c r="A703" s="426" t="str">
        <f t="shared" si="65"/>
        <v>KU</v>
      </c>
      <c r="B703" s="426" t="str">
        <f t="shared" si="67"/>
        <v>KY</v>
      </c>
      <c r="C703" s="426" t="str">
        <f t="shared" si="68"/>
        <v>E</v>
      </c>
      <c r="D703" s="426" t="s">
        <v>2675</v>
      </c>
      <c r="E703" s="426" t="str">
        <f t="shared" si="75"/>
        <v>342</v>
      </c>
      <c r="F703" s="741" t="s">
        <v>1747</v>
      </c>
      <c r="G703" s="425" t="str">
        <f t="shared" si="71"/>
        <v>OTHER</v>
      </c>
      <c r="H703" s="426">
        <v>0.88541280986666704</v>
      </c>
      <c r="I703" s="426">
        <v>0.88907947653333297</v>
      </c>
      <c r="J703" s="426">
        <v>0.89274614320000001</v>
      </c>
      <c r="K703" s="426">
        <v>0.89641280986666705</v>
      </c>
      <c r="L703" s="426">
        <v>0.90007947653333398</v>
      </c>
      <c r="M703" s="426">
        <v>0.90374614320000002</v>
      </c>
      <c r="N703" s="426">
        <v>0.90741280986666695</v>
      </c>
      <c r="O703" s="426">
        <v>0.91107947653333299</v>
      </c>
      <c r="P703" s="426">
        <v>0.91474614320000003</v>
      </c>
      <c r="Q703" s="426">
        <v>0.91841280986666696</v>
      </c>
      <c r="R703" s="426">
        <v>0.922079476533334</v>
      </c>
      <c r="S703" s="426">
        <v>0.92574614320000004</v>
      </c>
      <c r="T703" s="426">
        <v>0.92941280986666697</v>
      </c>
    </row>
    <row r="704" spans="1:21">
      <c r="A704" s="426" t="str">
        <f t="shared" si="65"/>
        <v>KU</v>
      </c>
      <c r="B704" s="426" t="str">
        <f t="shared" si="67"/>
        <v>KY</v>
      </c>
      <c r="C704" s="426" t="str">
        <f t="shared" si="68"/>
        <v>E</v>
      </c>
      <c r="D704" s="426" t="s">
        <v>2675</v>
      </c>
      <c r="E704" s="426" t="str">
        <f t="shared" si="75"/>
        <v>353</v>
      </c>
      <c r="F704" s="741" t="s">
        <v>1758</v>
      </c>
      <c r="G704" s="425" t="str">
        <f t="shared" si="71"/>
        <v>TRANSMISSION</v>
      </c>
      <c r="H704" s="426">
        <v>1284.7010125494701</v>
      </c>
      <c r="I704" s="426">
        <v>1279.3873225494699</v>
      </c>
      <c r="J704" s="426">
        <v>1281.81118254947</v>
      </c>
      <c r="K704" s="426">
        <v>1284.2533758827999</v>
      </c>
      <c r="L704" s="426">
        <v>1285.9854258828</v>
      </c>
      <c r="M704" s="426">
        <v>1288.4512158827999</v>
      </c>
      <c r="N704" s="426">
        <v>1290.9209658827999</v>
      </c>
      <c r="O704" s="426">
        <v>1293.3907158827999</v>
      </c>
      <c r="P704" s="426">
        <v>1295.8604658828001</v>
      </c>
      <c r="Q704" s="426">
        <v>1298.3302158828001</v>
      </c>
      <c r="R704" s="426">
        <v>1300.7999658828001</v>
      </c>
      <c r="S704" s="426">
        <v>1303.2697158828</v>
      </c>
      <c r="T704" s="426">
        <v>1305.7394658828</v>
      </c>
    </row>
    <row r="705" spans="1:20">
      <c r="F705" s="799" t="s">
        <v>1823</v>
      </c>
      <c r="G705" s="425" t="str">
        <f t="shared" si="71"/>
        <v/>
      </c>
      <c r="H705" s="426">
        <f>SUM(H701:H704)</f>
        <v>9832.4527174180057</v>
      </c>
      <c r="I705" s="426">
        <f t="shared" ref="I705:T705" si="77">SUM(I701:I704)</f>
        <v>9844.4183507513426</v>
      </c>
      <c r="J705" s="426">
        <f t="shared" si="77"/>
        <v>9869.2092907513397</v>
      </c>
      <c r="K705" s="426">
        <f t="shared" si="77"/>
        <v>9895.6802340846662</v>
      </c>
      <c r="L705" s="426">
        <f t="shared" si="77"/>
        <v>9910.3224707513327</v>
      </c>
      <c r="M705" s="426">
        <f t="shared" si="77"/>
        <v>9917.0685540846698</v>
      </c>
      <c r="N705" s="426">
        <f t="shared" si="77"/>
        <v>9938.548860751338</v>
      </c>
      <c r="O705" s="426">
        <f t="shared" si="77"/>
        <v>9964.9465274180038</v>
      </c>
      <c r="P705" s="426">
        <f t="shared" si="77"/>
        <v>9991.3441940846715</v>
      </c>
      <c r="Q705" s="426">
        <f t="shared" si="77"/>
        <v>10017.741860751335</v>
      </c>
      <c r="R705" s="426">
        <f t="shared" si="77"/>
        <v>10044.139527418001</v>
      </c>
      <c r="S705" s="426">
        <f t="shared" si="77"/>
        <v>10070.537194084671</v>
      </c>
      <c r="T705" s="426">
        <f t="shared" si="77"/>
        <v>10096.934860751337</v>
      </c>
    </row>
    <row r="706" spans="1:20">
      <c r="G706" s="425" t="str">
        <f t="shared" si="71"/>
        <v/>
      </c>
    </row>
    <row r="707" spans="1:20">
      <c r="F707" s="800" t="s">
        <v>2408</v>
      </c>
      <c r="G707" s="425" t="str">
        <f t="shared" si="71"/>
        <v/>
      </c>
    </row>
    <row r="708" spans="1:20">
      <c r="A708" s="426" t="str">
        <f t="shared" si="65"/>
        <v>KU</v>
      </c>
      <c r="B708" s="426" t="str">
        <f t="shared" si="67"/>
        <v>KY</v>
      </c>
      <c r="C708" s="426" t="str">
        <f t="shared" si="68"/>
        <v>E</v>
      </c>
      <c r="D708" s="426" t="s">
        <v>2676</v>
      </c>
      <c r="E708" s="426" t="str">
        <f t="shared" ref="E708:E720" si="78">MID($F708,8,3)</f>
        <v>311</v>
      </c>
      <c r="F708" s="741" t="s">
        <v>2178</v>
      </c>
      <c r="G708" s="425" t="str">
        <f t="shared" si="71"/>
        <v>STEAM</v>
      </c>
      <c r="H708" s="426">
        <v>1.3039166666666699</v>
      </c>
      <c r="I708" s="426">
        <v>1.3169999999999999</v>
      </c>
      <c r="J708" s="426">
        <v>1.33008333333333</v>
      </c>
      <c r="K708" s="426">
        <v>1.34316666666667</v>
      </c>
      <c r="L708" s="426">
        <v>1.35625</v>
      </c>
      <c r="M708" s="426">
        <v>1.36933333333333</v>
      </c>
      <c r="N708" s="426">
        <v>1.38241666666667</v>
      </c>
      <c r="O708" s="426">
        <v>1.3955</v>
      </c>
      <c r="P708" s="426">
        <v>1.40858333333333</v>
      </c>
      <c r="Q708" s="426">
        <v>1.42166666666667</v>
      </c>
      <c r="R708" s="426">
        <v>1.43475</v>
      </c>
      <c r="S708" s="426">
        <v>1.44783333333333</v>
      </c>
      <c r="T708" s="426">
        <v>1.46091666666667</v>
      </c>
    </row>
    <row r="709" spans="1:20">
      <c r="A709" s="426" t="str">
        <f t="shared" si="65"/>
        <v>KU</v>
      </c>
      <c r="B709" s="426" t="str">
        <f t="shared" si="67"/>
        <v>KY</v>
      </c>
      <c r="C709" s="426" t="str">
        <f t="shared" si="68"/>
        <v>E</v>
      </c>
      <c r="D709" s="426" t="s">
        <v>2676</v>
      </c>
      <c r="E709" s="426" t="str">
        <f t="shared" si="78"/>
        <v>311</v>
      </c>
      <c r="F709" s="741" t="s">
        <v>1727</v>
      </c>
      <c r="G709" s="425" t="str">
        <f t="shared" si="71"/>
        <v>STEAM</v>
      </c>
      <c r="H709" s="426">
        <v>0</v>
      </c>
      <c r="I709" s="426">
        <v>0</v>
      </c>
      <c r="J709" s="426">
        <v>0</v>
      </c>
      <c r="K709" s="426">
        <v>0</v>
      </c>
      <c r="L709" s="426">
        <v>0</v>
      </c>
      <c r="M709" s="426">
        <v>0</v>
      </c>
      <c r="N709" s="426">
        <v>0</v>
      </c>
      <c r="O709" s="426">
        <v>0</v>
      </c>
      <c r="P709" s="426">
        <v>0</v>
      </c>
      <c r="Q709" s="426">
        <v>0</v>
      </c>
      <c r="R709" s="426">
        <v>0</v>
      </c>
      <c r="S709" s="426">
        <v>0</v>
      </c>
      <c r="T709" s="426">
        <v>0</v>
      </c>
    </row>
    <row r="710" spans="1:20">
      <c r="A710" s="426" t="str">
        <f t="shared" si="65"/>
        <v>KU</v>
      </c>
      <c r="B710" s="426" t="str">
        <f t="shared" si="67"/>
        <v>KY</v>
      </c>
      <c r="C710" s="426" t="str">
        <f t="shared" si="68"/>
        <v>E</v>
      </c>
      <c r="D710" s="426" t="s">
        <v>2676</v>
      </c>
      <c r="E710" s="426" t="str">
        <f t="shared" si="78"/>
        <v>312</v>
      </c>
      <c r="F710" s="741" t="s">
        <v>1728</v>
      </c>
      <c r="G710" s="425" t="str">
        <f t="shared" si="71"/>
        <v>STEAM</v>
      </c>
      <c r="H710" s="426">
        <v>1424.1450863955299</v>
      </c>
      <c r="I710" s="426">
        <v>1428.96041639553</v>
      </c>
      <c r="J710" s="426">
        <v>1442.10454639553</v>
      </c>
      <c r="K710" s="426">
        <v>1451.3488330621999</v>
      </c>
      <c r="L710" s="426">
        <v>1464.0742630622001</v>
      </c>
      <c r="M710" s="426">
        <v>1476.5130230622001</v>
      </c>
      <c r="N710" s="426">
        <v>1489.2017997288699</v>
      </c>
      <c r="O710" s="426">
        <v>1502.4824663955301</v>
      </c>
      <c r="P710" s="426">
        <v>1515.7631330622</v>
      </c>
      <c r="Q710" s="426">
        <v>1529.04379972887</v>
      </c>
      <c r="R710" s="426">
        <v>1542.32446639553</v>
      </c>
      <c r="S710" s="426">
        <v>1555.6051330621999</v>
      </c>
      <c r="T710" s="426">
        <v>1568.8857997288701</v>
      </c>
    </row>
    <row r="711" spans="1:20">
      <c r="A711" s="426" t="str">
        <f t="shared" si="65"/>
        <v>KU</v>
      </c>
      <c r="B711" s="426" t="str">
        <f t="shared" si="67"/>
        <v>KY</v>
      </c>
      <c r="C711" s="426" t="str">
        <f t="shared" si="68"/>
        <v>E</v>
      </c>
      <c r="D711" s="426" t="s">
        <v>2676</v>
      </c>
      <c r="E711" s="426" t="str">
        <f t="shared" si="78"/>
        <v>312</v>
      </c>
      <c r="F711" s="741" t="s">
        <v>1729</v>
      </c>
      <c r="G711" s="425" t="str">
        <f t="shared" si="71"/>
        <v>STEAM</v>
      </c>
      <c r="H711" s="426">
        <v>4.2818333333333296</v>
      </c>
      <c r="I711" s="426">
        <v>4.7272499999999997</v>
      </c>
      <c r="J711" s="426">
        <v>5.1726666666666699</v>
      </c>
      <c r="K711" s="426">
        <v>5.61808333333334</v>
      </c>
      <c r="L711" s="426">
        <v>6.0635000000000003</v>
      </c>
      <c r="M711" s="426">
        <v>6.5089166666666696</v>
      </c>
      <c r="N711" s="426">
        <v>5.3956736595360004</v>
      </c>
      <c r="O711" s="426">
        <v>5.7412600530343001</v>
      </c>
      <c r="P711" s="426">
        <v>6.0868464465325998</v>
      </c>
      <c r="Q711" s="426">
        <v>6.4324328400309003</v>
      </c>
      <c r="R711" s="426">
        <v>6.7780192335292</v>
      </c>
      <c r="S711" s="426">
        <v>7.1236056270274899</v>
      </c>
      <c r="T711" s="426">
        <v>7.4691920205257896</v>
      </c>
    </row>
    <row r="712" spans="1:20">
      <c r="A712" s="426" t="str">
        <f t="shared" si="65"/>
        <v>KU</v>
      </c>
      <c r="B712" s="426" t="str">
        <f t="shared" si="67"/>
        <v>KY</v>
      </c>
      <c r="C712" s="426" t="str">
        <f t="shared" si="68"/>
        <v>E</v>
      </c>
      <c r="D712" s="426" t="s">
        <v>2676</v>
      </c>
      <c r="E712" s="426" t="str">
        <f t="shared" si="78"/>
        <v>312</v>
      </c>
      <c r="F712" s="741" t="s">
        <v>2714</v>
      </c>
      <c r="G712" s="425" t="str">
        <f t="shared" si="71"/>
        <v>STEAM</v>
      </c>
      <c r="H712" s="426">
        <v>0</v>
      </c>
      <c r="I712" s="426">
        <v>0</v>
      </c>
      <c r="J712" s="426">
        <v>0</v>
      </c>
      <c r="K712" s="426">
        <v>0</v>
      </c>
      <c r="L712" s="426">
        <v>0</v>
      </c>
      <c r="M712" s="426">
        <v>0</v>
      </c>
      <c r="N712" s="426">
        <v>1.5586596737973399</v>
      </c>
      <c r="O712" s="426">
        <v>1.6584899469657099</v>
      </c>
      <c r="P712" s="426">
        <v>1.75832022013407</v>
      </c>
      <c r="Q712" s="426">
        <v>1.85815049330244</v>
      </c>
      <c r="R712" s="426">
        <v>1.95798076647081</v>
      </c>
      <c r="S712" s="426">
        <v>2.05781103963918</v>
      </c>
      <c r="T712" s="426">
        <v>2.15764131280755</v>
      </c>
    </row>
    <row r="713" spans="1:20">
      <c r="A713" s="426" t="str">
        <f t="shared" si="65"/>
        <v>KU</v>
      </c>
      <c r="B713" s="426" t="str">
        <f t="shared" si="67"/>
        <v>KY</v>
      </c>
      <c r="C713" s="426" t="str">
        <f t="shared" si="68"/>
        <v>E</v>
      </c>
      <c r="D713" s="426" t="s">
        <v>2676</v>
      </c>
      <c r="E713" s="426" t="str">
        <f t="shared" si="78"/>
        <v>312</v>
      </c>
      <c r="F713" s="741" t="s">
        <v>1730</v>
      </c>
      <c r="G713" s="425" t="str">
        <f t="shared" si="71"/>
        <v>STEAM</v>
      </c>
      <c r="H713" s="426">
        <v>184.74276333333299</v>
      </c>
      <c r="I713" s="426">
        <v>185.92684666666699</v>
      </c>
      <c r="J713" s="426">
        <v>187.11093</v>
      </c>
      <c r="K713" s="426">
        <v>188.295013333333</v>
      </c>
      <c r="L713" s="426">
        <v>189.479096666667</v>
      </c>
      <c r="M713" s="426">
        <v>190.50214</v>
      </c>
      <c r="N713" s="426">
        <v>191.60920999999999</v>
      </c>
      <c r="O713" s="426">
        <v>192.79271</v>
      </c>
      <c r="P713" s="426">
        <v>193.97621000000001</v>
      </c>
      <c r="Q713" s="426">
        <v>195.15970999999999</v>
      </c>
      <c r="R713" s="426">
        <v>196.34321</v>
      </c>
      <c r="S713" s="426">
        <v>197.52671000000001</v>
      </c>
      <c r="T713" s="426">
        <v>198.71020999999999</v>
      </c>
    </row>
    <row r="714" spans="1:20">
      <c r="A714" s="426" t="str">
        <f t="shared" si="65"/>
        <v>KU</v>
      </c>
      <c r="B714" s="426" t="str">
        <f t="shared" si="67"/>
        <v>KY</v>
      </c>
      <c r="C714" s="426" t="str">
        <f t="shared" si="68"/>
        <v>E</v>
      </c>
      <c r="D714" s="426" t="s">
        <v>2676</v>
      </c>
      <c r="E714" s="426" t="str">
        <f t="shared" si="78"/>
        <v>312</v>
      </c>
      <c r="F714" s="741" t="s">
        <v>2179</v>
      </c>
      <c r="G714" s="425" t="str">
        <f t="shared" si="71"/>
        <v>STEAM</v>
      </c>
      <c r="H714" s="426">
        <v>0.26550000000000001</v>
      </c>
      <c r="I714" s="426">
        <v>0.39824999999999999</v>
      </c>
      <c r="J714" s="426">
        <v>1.1721666666666699</v>
      </c>
      <c r="K714" s="426">
        <v>1.9460833333333301</v>
      </c>
      <c r="L714" s="426">
        <v>2.72</v>
      </c>
      <c r="M714" s="426">
        <v>3.4939166666666699</v>
      </c>
      <c r="N714" s="426">
        <v>0</v>
      </c>
      <c r="O714" s="426">
        <v>0</v>
      </c>
      <c r="P714" s="426">
        <v>0</v>
      </c>
      <c r="Q714" s="426">
        <v>0</v>
      </c>
      <c r="R714" s="426">
        <v>0</v>
      </c>
      <c r="S714" s="426">
        <v>0</v>
      </c>
      <c r="T714" s="426">
        <v>0</v>
      </c>
    </row>
    <row r="715" spans="1:20">
      <c r="A715" s="426" t="str">
        <f t="shared" si="65"/>
        <v>KU</v>
      </c>
      <c r="B715" s="426" t="str">
        <f t="shared" si="67"/>
        <v>KY</v>
      </c>
      <c r="C715" s="426" t="str">
        <f t="shared" si="68"/>
        <v>E</v>
      </c>
      <c r="D715" s="426" t="s">
        <v>2676</v>
      </c>
      <c r="E715" s="426" t="str">
        <f t="shared" si="78"/>
        <v>312</v>
      </c>
      <c r="F715" s="741" t="s">
        <v>2715</v>
      </c>
      <c r="G715" s="425" t="str">
        <f t="shared" si="71"/>
        <v>STEAM</v>
      </c>
      <c r="H715" s="426">
        <v>0</v>
      </c>
      <c r="I715" s="426">
        <v>0</v>
      </c>
      <c r="J715" s="426">
        <v>0</v>
      </c>
      <c r="K715" s="426">
        <v>0</v>
      </c>
      <c r="L715" s="426">
        <v>0</v>
      </c>
      <c r="M715" s="426">
        <v>0</v>
      </c>
      <c r="N715" s="426">
        <v>4.2678333333333303</v>
      </c>
      <c r="O715" s="426">
        <v>5.0417500000000004</v>
      </c>
      <c r="P715" s="426">
        <v>5.8156666666666599</v>
      </c>
      <c r="Q715" s="426">
        <v>6.58958333333333</v>
      </c>
      <c r="R715" s="426">
        <v>7.3635000000000002</v>
      </c>
      <c r="S715" s="426">
        <v>8.1374166666666596</v>
      </c>
      <c r="T715" s="426">
        <v>8.9113333333333298</v>
      </c>
    </row>
    <row r="716" spans="1:20">
      <c r="A716" s="426" t="str">
        <f t="shared" si="65"/>
        <v>KU</v>
      </c>
      <c r="B716" s="426" t="str">
        <f t="shared" si="67"/>
        <v>KY</v>
      </c>
      <c r="C716" s="426" t="str">
        <f t="shared" si="68"/>
        <v>E</v>
      </c>
      <c r="D716" s="426" t="s">
        <v>2676</v>
      </c>
      <c r="E716" s="426" t="str">
        <f t="shared" si="78"/>
        <v>315</v>
      </c>
      <c r="F716" s="741" t="s">
        <v>1733</v>
      </c>
      <c r="G716" s="425" t="str">
        <f t="shared" si="71"/>
        <v>STEAM</v>
      </c>
      <c r="H716" s="426">
        <v>0</v>
      </c>
      <c r="I716" s="426">
        <v>0</v>
      </c>
      <c r="J716" s="426">
        <v>0</v>
      </c>
      <c r="K716" s="426">
        <v>0</v>
      </c>
      <c r="L716" s="426">
        <v>0</v>
      </c>
      <c r="M716" s="426">
        <v>0</v>
      </c>
      <c r="N716" s="426">
        <v>0</v>
      </c>
      <c r="O716" s="426">
        <v>0</v>
      </c>
      <c r="P716" s="426">
        <v>0</v>
      </c>
      <c r="Q716" s="426">
        <v>0</v>
      </c>
      <c r="R716" s="426">
        <v>0</v>
      </c>
      <c r="S716" s="426">
        <v>0</v>
      </c>
      <c r="T716" s="426">
        <v>0</v>
      </c>
    </row>
    <row r="717" spans="1:20">
      <c r="A717" s="426" t="str">
        <f t="shared" si="65"/>
        <v>KU</v>
      </c>
      <c r="B717" s="426" t="str">
        <f t="shared" si="67"/>
        <v>KY</v>
      </c>
      <c r="C717" s="426" t="str">
        <f t="shared" si="68"/>
        <v>E</v>
      </c>
      <c r="D717" s="426" t="s">
        <v>2676</v>
      </c>
      <c r="E717" s="426" t="str">
        <f t="shared" si="78"/>
        <v>315</v>
      </c>
      <c r="F717" s="741" t="s">
        <v>1734</v>
      </c>
      <c r="G717" s="425" t="str">
        <f t="shared" si="71"/>
        <v>STEAM</v>
      </c>
      <c r="H717" s="426">
        <v>2.0658333333333299</v>
      </c>
      <c r="I717" s="426">
        <v>2.0828333333333302</v>
      </c>
      <c r="J717" s="426">
        <v>2.0998333333333301</v>
      </c>
      <c r="K717" s="426">
        <v>2.11683333333333</v>
      </c>
      <c r="L717" s="426">
        <v>2.1338333333333299</v>
      </c>
      <c r="M717" s="426">
        <v>2.1508333333333298</v>
      </c>
      <c r="N717" s="426">
        <v>2.1678333333333302</v>
      </c>
      <c r="O717" s="426">
        <v>2.1848333333333301</v>
      </c>
      <c r="P717" s="426">
        <v>2.20183333333333</v>
      </c>
      <c r="Q717" s="426">
        <v>2.2188333333333299</v>
      </c>
      <c r="R717" s="426">
        <v>2.2358333333333298</v>
      </c>
      <c r="S717" s="426">
        <v>2.2528333333333301</v>
      </c>
      <c r="T717" s="426">
        <v>2.26983333333333</v>
      </c>
    </row>
    <row r="718" spans="1:20">
      <c r="A718" s="426" t="str">
        <f t="shared" si="65"/>
        <v>KU</v>
      </c>
      <c r="B718" s="426" t="str">
        <f t="shared" si="67"/>
        <v>KY</v>
      </c>
      <c r="C718" s="426" t="str">
        <f t="shared" si="68"/>
        <v>E</v>
      </c>
      <c r="D718" s="426" t="s">
        <v>2676</v>
      </c>
      <c r="E718" s="426" t="str">
        <f t="shared" si="78"/>
        <v>334</v>
      </c>
      <c r="F718" s="741" t="s">
        <v>1741</v>
      </c>
      <c r="G718" s="425" t="str">
        <f t="shared" si="71"/>
        <v>HYDRO</v>
      </c>
      <c r="H718" s="426">
        <v>5.0191099116666598</v>
      </c>
      <c r="I718" s="426">
        <v>5.0804432449999997</v>
      </c>
      <c r="J718" s="426">
        <v>5.1417765783333298</v>
      </c>
      <c r="K718" s="426">
        <v>5.2107765783333297</v>
      </c>
      <c r="L718" s="426">
        <v>5.2797765783333297</v>
      </c>
      <c r="M718" s="426">
        <v>5.3487765783333296</v>
      </c>
      <c r="N718" s="426">
        <v>5.4101099116666598</v>
      </c>
      <c r="O718" s="426">
        <v>5.4714432449999899</v>
      </c>
      <c r="P718" s="426">
        <v>5.5327765783333298</v>
      </c>
      <c r="Q718" s="426">
        <v>5.5941099116666599</v>
      </c>
      <c r="R718" s="426">
        <v>5.6554432449999998</v>
      </c>
      <c r="S718" s="426">
        <v>5.71677657833333</v>
      </c>
      <c r="T718" s="426">
        <v>5.7781099116666601</v>
      </c>
    </row>
    <row r="719" spans="1:20">
      <c r="A719" s="426" t="str">
        <f t="shared" si="65"/>
        <v>KU</v>
      </c>
      <c r="B719" s="426" t="str">
        <f t="shared" si="67"/>
        <v>KY</v>
      </c>
      <c r="C719" s="426" t="str">
        <f t="shared" si="68"/>
        <v>E</v>
      </c>
      <c r="D719" s="426" t="s">
        <v>2676</v>
      </c>
      <c r="E719" s="426" t="str">
        <f t="shared" si="78"/>
        <v>342</v>
      </c>
      <c r="F719" s="741" t="s">
        <v>1747</v>
      </c>
      <c r="G719" s="425" t="str">
        <f t="shared" si="71"/>
        <v>OTHER</v>
      </c>
      <c r="H719" s="426">
        <v>413.40606486519999</v>
      </c>
      <c r="I719" s="426">
        <v>416.62555153186702</v>
      </c>
      <c r="J719" s="426">
        <v>419.99871819853303</v>
      </c>
      <c r="K719" s="426">
        <v>422.96492486519998</v>
      </c>
      <c r="L719" s="426">
        <v>426.33709153186697</v>
      </c>
      <c r="M719" s="426">
        <v>428.37547153186699</v>
      </c>
      <c r="N719" s="426">
        <v>431.28044486520002</v>
      </c>
      <c r="O719" s="426">
        <v>434.64602819853297</v>
      </c>
      <c r="P719" s="426">
        <v>438.011611531867</v>
      </c>
      <c r="Q719" s="426">
        <v>441.37719486520001</v>
      </c>
      <c r="R719" s="426">
        <v>444.74277819853302</v>
      </c>
      <c r="S719" s="426">
        <v>448.10836153186699</v>
      </c>
      <c r="T719" s="426">
        <v>451.4739448652</v>
      </c>
    </row>
    <row r="720" spans="1:20">
      <c r="A720" s="426" t="str">
        <f t="shared" si="65"/>
        <v>KU</v>
      </c>
      <c r="B720" s="426" t="str">
        <f t="shared" si="67"/>
        <v>KY</v>
      </c>
      <c r="C720" s="426" t="str">
        <f t="shared" si="68"/>
        <v>E</v>
      </c>
      <c r="D720" s="426" t="s">
        <v>2676</v>
      </c>
      <c r="E720" s="426" t="str">
        <f t="shared" si="78"/>
        <v>353</v>
      </c>
      <c r="F720" s="741" t="s">
        <v>1758</v>
      </c>
      <c r="G720" s="425" t="str">
        <f t="shared" si="71"/>
        <v>TRANSMISSION</v>
      </c>
      <c r="H720" s="426">
        <v>79.423317435733395</v>
      </c>
      <c r="I720" s="426">
        <v>80.009734102400003</v>
      </c>
      <c r="J720" s="426">
        <v>80.593620769066703</v>
      </c>
      <c r="K720" s="426">
        <v>81.180037435733396</v>
      </c>
      <c r="L720" s="426">
        <v>81.700117435733404</v>
      </c>
      <c r="M720" s="426">
        <v>82.286367435733396</v>
      </c>
      <c r="N720" s="426">
        <v>82.872617435733403</v>
      </c>
      <c r="O720" s="426">
        <v>83.458867435733396</v>
      </c>
      <c r="P720" s="426">
        <v>84.045117435733403</v>
      </c>
      <c r="Q720" s="426">
        <v>84.631367435733395</v>
      </c>
      <c r="R720" s="426">
        <v>85.217617435733402</v>
      </c>
      <c r="S720" s="426">
        <v>85.803867435733395</v>
      </c>
      <c r="T720" s="426">
        <v>86.390117435733401</v>
      </c>
    </row>
    <row r="721" spans="6:20">
      <c r="F721" s="741" t="s">
        <v>1823</v>
      </c>
      <c r="G721" s="425" t="str">
        <f t="shared" si="71"/>
        <v/>
      </c>
      <c r="H721" s="426">
        <f>SUM(H708:H720)</f>
        <v>2114.6534252747961</v>
      </c>
      <c r="I721" s="426">
        <f t="shared" ref="I721:T721" si="79">SUM(I708:I720)</f>
        <v>2125.1283252747976</v>
      </c>
      <c r="J721" s="426">
        <f t="shared" si="79"/>
        <v>2144.7243419414631</v>
      </c>
      <c r="K721" s="426">
        <f t="shared" si="79"/>
        <v>2160.0237519414663</v>
      </c>
      <c r="L721" s="426">
        <f t="shared" si="79"/>
        <v>2179.143928608134</v>
      </c>
      <c r="M721" s="426">
        <f t="shared" si="79"/>
        <v>2196.5487786081339</v>
      </c>
      <c r="N721" s="426">
        <f t="shared" si="79"/>
        <v>2215.1465986081366</v>
      </c>
      <c r="O721" s="426">
        <f t="shared" si="79"/>
        <v>2234.8733486081296</v>
      </c>
      <c r="P721" s="426">
        <f t="shared" si="79"/>
        <v>2254.600098608134</v>
      </c>
      <c r="Q721" s="426">
        <f t="shared" si="79"/>
        <v>2274.326848608137</v>
      </c>
      <c r="R721" s="426">
        <f t="shared" si="79"/>
        <v>2294.0535986081295</v>
      </c>
      <c r="S721" s="426">
        <f t="shared" si="79"/>
        <v>2313.7803486081339</v>
      </c>
      <c r="T721" s="426">
        <f t="shared" si="79"/>
        <v>2333.5070986081364</v>
      </c>
    </row>
  </sheetData>
  <pageMargins left="0.75" right="0.75" top="1" bottom="1" header="0.5" footer="0.5"/>
  <pageSetup scale="49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9">
    <pageSetUpPr fitToPage="1"/>
  </sheetPr>
  <dimension ref="A1:Q95"/>
  <sheetViews>
    <sheetView workbookViewId="0">
      <pane xSplit="3" ySplit="3" topLeftCell="D4" activePane="bottomRight" state="frozen"/>
      <selection pane="topRight" activeCell="B1" sqref="B1"/>
      <selection pane="bottomLeft" activeCell="A4" sqref="A4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792" customWidth="1"/>
    <col min="4" max="4" width="11" style="450" customWidth="1"/>
    <col min="5" max="5" width="10.5" style="443" bestFit="1" customWidth="1"/>
    <col min="6" max="6" width="10.75" style="443" bestFit="1" customWidth="1"/>
    <col min="7" max="7" width="10.375" style="443" bestFit="1" customWidth="1"/>
    <col min="8" max="8" width="11" style="443" bestFit="1" customWidth="1"/>
    <col min="9" max="17" width="9.375" style="443" customWidth="1"/>
    <col min="18" max="16384" width="7.75" style="235"/>
  </cols>
  <sheetData>
    <row r="1" spans="1:17" s="399" customFormat="1" ht="18.75">
      <c r="C1" s="429"/>
      <c r="D1" s="445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</row>
    <row r="2" spans="1:17" s="399" customFormat="1">
      <c r="A2" s="733" t="s">
        <v>1715</v>
      </c>
      <c r="B2" s="399" t="s">
        <v>2203</v>
      </c>
      <c r="C2" s="400" t="s">
        <v>2167</v>
      </c>
      <c r="D2" s="446" t="s">
        <v>2200</v>
      </c>
      <c r="E2" s="439" t="s">
        <v>2697</v>
      </c>
      <c r="F2" s="439" t="s">
        <v>2698</v>
      </c>
      <c r="G2" s="439" t="s">
        <v>2699</v>
      </c>
      <c r="H2" s="439" t="s">
        <v>2700</v>
      </c>
      <c r="I2" s="439" t="s">
        <v>2701</v>
      </c>
      <c r="J2" s="439" t="s">
        <v>2702</v>
      </c>
      <c r="K2" s="439" t="s">
        <v>2703</v>
      </c>
      <c r="L2" s="439" t="s">
        <v>2704</v>
      </c>
      <c r="M2" s="439" t="s">
        <v>2705</v>
      </c>
      <c r="N2" s="439" t="s">
        <v>2706</v>
      </c>
      <c r="O2" s="439" t="s">
        <v>2707</v>
      </c>
      <c r="P2" s="439" t="s">
        <v>2708</v>
      </c>
      <c r="Q2" s="439" t="s">
        <v>2709</v>
      </c>
    </row>
    <row r="3" spans="1:17" s="399" customFormat="1">
      <c r="C3" s="787"/>
      <c r="D3" s="447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</row>
    <row r="4" spans="1:17">
      <c r="C4" s="788"/>
      <c r="D4" s="448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</row>
    <row r="5" spans="1:17">
      <c r="C5" s="789" t="s">
        <v>1477</v>
      </c>
      <c r="D5" s="449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>
      <c r="A6" s="734" t="str">
        <f t="shared" ref="A6:A60" si="0">IF(ISTEXT(MID($C6,SEARCH("KY",$C6),3)),"KY",IF(ISTEXT(MID($C6,SEARCH("VA",$C6),3)),"VA",IF(ISTEXT(MID($C6,SEARCH("TN",$C6),3)),"TN","KY")))</f>
        <v>KY</v>
      </c>
      <c r="B6" s="734" t="str">
        <f t="shared" ref="B6:B42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790" t="s">
        <v>1478</v>
      </c>
      <c r="D6" s="448" t="str">
        <f t="shared" ref="D6:D60" si="2">IF(ISTEXT(MID($C6,SEARCH("FUTURE USE",$C6),3)),"FUTURE USE",IF(ISTEXT(MID($C6,SEARCH("ECR",$C6),3)),"ECR",IF(ISTEXT(MID($C6,SEARCH("ARO",$C6),3)),"ARO",IF(ISTEXT(MID($C6,SEARCH("DSM",$C6),3)),"DSM",IF(ISTEXT(MID($C6,SEARCH("GLT",$C6),3)),"GLT","")))))</f>
        <v/>
      </c>
      <c r="E6" s="506">
        <v>33968.434099999999</v>
      </c>
      <c r="F6" s="506">
        <v>43136.906919999899</v>
      </c>
      <c r="G6" s="506">
        <v>37746.132749999902</v>
      </c>
      <c r="H6" s="506">
        <v>40576.344940000003</v>
      </c>
      <c r="I6" s="506">
        <v>51519.32501</v>
      </c>
      <c r="J6" s="506">
        <v>49425.285620000002</v>
      </c>
      <c r="K6" s="506">
        <v>51653.419049999902</v>
      </c>
      <c r="L6" s="506">
        <v>45541.352349999899</v>
      </c>
      <c r="M6" s="506">
        <v>46144.091619999897</v>
      </c>
      <c r="N6" s="506">
        <v>41167.301469999897</v>
      </c>
      <c r="O6" s="506">
        <v>18418.0942499999</v>
      </c>
      <c r="P6" s="506">
        <v>19465.082199999899</v>
      </c>
      <c r="Q6" s="506">
        <v>20901.5591299999</v>
      </c>
    </row>
    <row r="7" spans="1:17">
      <c r="A7" s="734" t="str">
        <f t="shared" si="0"/>
        <v>KY</v>
      </c>
      <c r="B7" s="734" t="str">
        <f t="shared" si="1"/>
        <v>DISTRIBUTION</v>
      </c>
      <c r="C7" s="790" t="s">
        <v>2736</v>
      </c>
      <c r="D7" s="448" t="str">
        <f t="shared" si="2"/>
        <v/>
      </c>
      <c r="E7" s="506">
        <v>0</v>
      </c>
      <c r="F7" s="506">
        <v>0</v>
      </c>
      <c r="G7" s="506">
        <v>0</v>
      </c>
      <c r="H7" s="506">
        <v>0</v>
      </c>
      <c r="I7" s="506">
        <v>0</v>
      </c>
      <c r="J7" s="506">
        <v>0</v>
      </c>
      <c r="K7" s="506">
        <v>0</v>
      </c>
      <c r="L7" s="506">
        <v>0</v>
      </c>
      <c r="M7" s="506">
        <v>0</v>
      </c>
      <c r="N7" s="506">
        <v>0</v>
      </c>
      <c r="O7" s="506">
        <v>0</v>
      </c>
      <c r="P7" s="506">
        <v>0</v>
      </c>
      <c r="Q7" s="506">
        <v>0</v>
      </c>
    </row>
    <row r="8" spans="1:17">
      <c r="A8" s="734" t="str">
        <f t="shared" si="0"/>
        <v>VA</v>
      </c>
      <c r="B8" s="734" t="str">
        <f t="shared" si="1"/>
        <v>DISTRIBUTION</v>
      </c>
      <c r="C8" s="790" t="s">
        <v>1479</v>
      </c>
      <c r="D8" s="448" t="str">
        <f t="shared" si="2"/>
        <v/>
      </c>
      <c r="E8" s="506">
        <v>955.01382999999998</v>
      </c>
      <c r="F8" s="506">
        <v>1145.36709</v>
      </c>
      <c r="G8" s="506">
        <v>1131.9628600000001</v>
      </c>
      <c r="H8" s="506">
        <v>793.40634999999997</v>
      </c>
      <c r="I8" s="506">
        <v>955.21189000000004</v>
      </c>
      <c r="J8" s="506">
        <v>961.03508999999997</v>
      </c>
      <c r="K8" s="506">
        <v>1034.22741</v>
      </c>
      <c r="L8" s="506">
        <v>699.60964000000001</v>
      </c>
      <c r="M8" s="506">
        <v>771.93310999999903</v>
      </c>
      <c r="N8" s="506">
        <v>775.73081000000002</v>
      </c>
      <c r="O8" s="506">
        <v>2.2737367544323201E-13</v>
      </c>
      <c r="P8" s="506">
        <v>1.98951966012828E-13</v>
      </c>
      <c r="Q8" s="506">
        <v>2.5579538487363602E-13</v>
      </c>
    </row>
    <row r="9" spans="1:17">
      <c r="A9" s="734" t="str">
        <f t="shared" si="0"/>
        <v>KY</v>
      </c>
      <c r="B9" s="734" t="str">
        <f t="shared" si="1"/>
        <v>GENERAL</v>
      </c>
      <c r="C9" s="790" t="s">
        <v>1480</v>
      </c>
      <c r="D9" s="448" t="str">
        <f t="shared" si="2"/>
        <v/>
      </c>
      <c r="E9" s="508">
        <v>11738.4431</v>
      </c>
      <c r="F9" s="508">
        <v>12321.888219999901</v>
      </c>
      <c r="G9" s="508">
        <v>13365.0168299999</v>
      </c>
      <c r="H9" s="508">
        <v>13559.667099999901</v>
      </c>
      <c r="I9" s="508">
        <v>16039.340029999899</v>
      </c>
      <c r="J9" s="508">
        <v>18973.463139999902</v>
      </c>
      <c r="K9" s="508">
        <v>20216.63105</v>
      </c>
      <c r="L9" s="508">
        <v>14851.215919999901</v>
      </c>
      <c r="M9" s="508">
        <v>14958.784869999899</v>
      </c>
      <c r="N9" s="508">
        <v>14272.6614199999</v>
      </c>
      <c r="O9" s="508">
        <v>6805.2124699999904</v>
      </c>
      <c r="P9" s="508">
        <v>8468.4499699999906</v>
      </c>
      <c r="Q9" s="508">
        <v>10603.5862599999</v>
      </c>
    </row>
    <row r="10" spans="1:17">
      <c r="A10" s="734" t="str">
        <f t="shared" si="0"/>
        <v>KY</v>
      </c>
      <c r="B10" s="734" t="str">
        <f t="shared" si="1"/>
        <v>GENERAL</v>
      </c>
      <c r="C10" s="790" t="s">
        <v>2737</v>
      </c>
      <c r="D10" s="448" t="str">
        <f t="shared" si="2"/>
        <v/>
      </c>
      <c r="E10" s="506">
        <v>0</v>
      </c>
      <c r="F10" s="506">
        <v>0</v>
      </c>
      <c r="G10" s="506">
        <v>0</v>
      </c>
      <c r="H10" s="506">
        <v>0</v>
      </c>
      <c r="I10" s="506">
        <v>0</v>
      </c>
      <c r="J10" s="506">
        <v>0</v>
      </c>
      <c r="K10" s="506">
        <v>0</v>
      </c>
      <c r="L10" s="506">
        <v>0</v>
      </c>
      <c r="M10" s="506">
        <v>0</v>
      </c>
      <c r="N10" s="506">
        <v>0</v>
      </c>
      <c r="O10" s="506">
        <v>0</v>
      </c>
      <c r="P10" s="506">
        <v>0</v>
      </c>
      <c r="Q10" s="506">
        <v>0</v>
      </c>
    </row>
    <row r="11" spans="1:17">
      <c r="A11" s="734" t="str">
        <f t="shared" si="0"/>
        <v>VA</v>
      </c>
      <c r="B11" s="734" t="str">
        <f t="shared" si="1"/>
        <v>GENERAL</v>
      </c>
      <c r="C11" s="790" t="s">
        <v>1481</v>
      </c>
      <c r="D11" s="448" t="str">
        <f t="shared" si="2"/>
        <v/>
      </c>
      <c r="E11" s="506">
        <v>94.006729999999905</v>
      </c>
      <c r="F11" s="506">
        <v>96.004999999999995</v>
      </c>
      <c r="G11" s="506">
        <v>126.39856</v>
      </c>
      <c r="H11" s="506">
        <v>137.41988000000001</v>
      </c>
      <c r="I11" s="506">
        <v>122.50706</v>
      </c>
      <c r="J11" s="506">
        <v>93.40325</v>
      </c>
      <c r="K11" s="506">
        <v>93.40325</v>
      </c>
      <c r="L11" s="506">
        <v>-205.35353000000001</v>
      </c>
      <c r="M11" s="506">
        <v>-205.35353000000001</v>
      </c>
      <c r="N11" s="506">
        <v>-205.35353000000001</v>
      </c>
      <c r="O11" s="506">
        <v>-205.35353000000001</v>
      </c>
      <c r="P11" s="506">
        <v>-205.35353000000001</v>
      </c>
      <c r="Q11" s="506">
        <v>-205.35353000000001</v>
      </c>
    </row>
    <row r="12" spans="1:17">
      <c r="A12" s="734" t="str">
        <f t="shared" si="0"/>
        <v>KY</v>
      </c>
      <c r="B12" s="734" t="str">
        <f t="shared" si="1"/>
        <v>PRODUCTION</v>
      </c>
      <c r="C12" s="790" t="s">
        <v>1482</v>
      </c>
      <c r="D12" s="448" t="str">
        <f t="shared" si="2"/>
        <v/>
      </c>
      <c r="E12" s="506">
        <v>221.79664</v>
      </c>
      <c r="F12" s="506">
        <v>222.01221999999899</v>
      </c>
      <c r="G12" s="506">
        <v>246.36725999999999</v>
      </c>
      <c r="H12" s="506">
        <v>221.24889999999999</v>
      </c>
      <c r="I12" s="506">
        <v>221.46448000000001</v>
      </c>
      <c r="J12" s="506">
        <v>221.68006</v>
      </c>
      <c r="K12" s="506">
        <v>221.89563999999999</v>
      </c>
      <c r="L12" s="506">
        <v>252.14254</v>
      </c>
      <c r="M12" s="506">
        <v>854.61812999999995</v>
      </c>
      <c r="N12" s="506">
        <v>975.60572999999999</v>
      </c>
      <c r="O12" s="506">
        <v>920.74833999999998</v>
      </c>
      <c r="P12" s="506">
        <v>920.74833999999998</v>
      </c>
      <c r="Q12" s="506">
        <v>920.74833999999998</v>
      </c>
    </row>
    <row r="13" spans="1:17">
      <c r="A13" s="734" t="str">
        <f t="shared" si="0"/>
        <v>KY</v>
      </c>
      <c r="B13" s="734" t="str">
        <f t="shared" si="1"/>
        <v>GENERAL</v>
      </c>
      <c r="C13" s="790" t="s">
        <v>1483</v>
      </c>
      <c r="D13" s="448" t="str">
        <f t="shared" si="2"/>
        <v/>
      </c>
      <c r="E13" s="506">
        <v>13889.5831</v>
      </c>
      <c r="F13" s="506">
        <v>15634.741889999999</v>
      </c>
      <c r="G13" s="506">
        <v>16981.358950000002</v>
      </c>
      <c r="H13" s="506">
        <v>17893.904900000001</v>
      </c>
      <c r="I13" s="506">
        <v>19041.357919999999</v>
      </c>
      <c r="J13" s="506">
        <v>20394.316629999899</v>
      </c>
      <c r="K13" s="506">
        <v>22307.450519999999</v>
      </c>
      <c r="L13" s="506">
        <v>9185.9249</v>
      </c>
      <c r="M13" s="506">
        <v>10818.592269999999</v>
      </c>
      <c r="N13" s="506">
        <v>11855.135270000001</v>
      </c>
      <c r="O13" s="506">
        <v>9270.0445500000005</v>
      </c>
      <c r="P13" s="506">
        <v>11307.017309999999</v>
      </c>
      <c r="Q13" s="506">
        <v>11508.360629999999</v>
      </c>
    </row>
    <row r="14" spans="1:17">
      <c r="A14" s="734" t="str">
        <f t="shared" si="0"/>
        <v>KY</v>
      </c>
      <c r="B14" s="734" t="str">
        <f t="shared" si="1"/>
        <v>GENERAL</v>
      </c>
      <c r="C14" s="790" t="s">
        <v>2738</v>
      </c>
      <c r="D14" s="448" t="str">
        <f t="shared" si="2"/>
        <v/>
      </c>
      <c r="E14" s="506">
        <v>0</v>
      </c>
      <c r="F14" s="506">
        <v>0</v>
      </c>
      <c r="G14" s="506">
        <v>0</v>
      </c>
      <c r="H14" s="506">
        <v>0</v>
      </c>
      <c r="I14" s="506">
        <v>0</v>
      </c>
      <c r="J14" s="506">
        <v>0</v>
      </c>
      <c r="K14" s="506">
        <v>0</v>
      </c>
      <c r="L14" s="506">
        <v>0</v>
      </c>
      <c r="M14" s="506">
        <v>0</v>
      </c>
      <c r="N14" s="506">
        <v>0</v>
      </c>
      <c r="O14" s="506">
        <v>0</v>
      </c>
      <c r="P14" s="506">
        <v>0</v>
      </c>
      <c r="Q14" s="506">
        <v>0</v>
      </c>
    </row>
    <row r="15" spans="1:17">
      <c r="A15" s="734" t="str">
        <f t="shared" si="0"/>
        <v>KY</v>
      </c>
      <c r="B15" s="734" t="str">
        <f t="shared" si="1"/>
        <v>GENERAL</v>
      </c>
      <c r="C15" s="790" t="s">
        <v>2739</v>
      </c>
      <c r="D15" s="448" t="str">
        <f t="shared" si="2"/>
        <v/>
      </c>
      <c r="E15" s="506">
        <v>0</v>
      </c>
      <c r="F15" s="506">
        <v>0</v>
      </c>
      <c r="G15" s="506">
        <v>2.0515300000000001</v>
      </c>
      <c r="H15" s="506">
        <v>3.8190900000000001</v>
      </c>
      <c r="I15" s="506">
        <v>6.0191299999999996</v>
      </c>
      <c r="J15" s="506">
        <v>133.31728000000001</v>
      </c>
      <c r="K15" s="506">
        <v>228.85398000000001</v>
      </c>
      <c r="L15" s="506">
        <v>357.88850000000002</v>
      </c>
      <c r="M15" s="506">
        <v>628.36783000000003</v>
      </c>
      <c r="N15" s="506">
        <v>812.36287000000004</v>
      </c>
      <c r="O15" s="506">
        <v>1010.24844</v>
      </c>
      <c r="P15" s="506">
        <v>1010.24844</v>
      </c>
      <c r="Q15" s="506">
        <v>1010.24844</v>
      </c>
    </row>
    <row r="16" spans="1:17">
      <c r="A16" s="734" t="str">
        <f t="shared" si="0"/>
        <v>KY</v>
      </c>
      <c r="B16" s="734" t="str">
        <f t="shared" si="1"/>
        <v>DISTRIBUTION</v>
      </c>
      <c r="C16" s="790" t="s">
        <v>1484</v>
      </c>
      <c r="D16" s="448" t="str">
        <f t="shared" si="2"/>
        <v/>
      </c>
      <c r="E16" s="506">
        <v>21.75986</v>
      </c>
      <c r="F16" s="506">
        <v>32.246690000000001</v>
      </c>
      <c r="G16" s="506">
        <v>32.35183</v>
      </c>
      <c r="H16" s="506">
        <v>32.613460000000003</v>
      </c>
      <c r="I16" s="506">
        <v>32.613460000000003</v>
      </c>
      <c r="J16" s="506">
        <v>32.7166</v>
      </c>
      <c r="K16" s="506">
        <v>32.7166</v>
      </c>
      <c r="L16" s="506">
        <v>19.113169999999901</v>
      </c>
      <c r="M16" s="506">
        <v>19.113169999999901</v>
      </c>
      <c r="N16" s="506">
        <v>19.113169999999901</v>
      </c>
      <c r="O16" s="506">
        <v>19.113169999999901</v>
      </c>
      <c r="P16" s="506">
        <v>19.113169999999901</v>
      </c>
      <c r="Q16" s="506">
        <v>19.113169999999901</v>
      </c>
    </row>
    <row r="17" spans="1:17">
      <c r="A17" s="734" t="str">
        <f t="shared" si="0"/>
        <v>VA</v>
      </c>
      <c r="B17" s="734" t="str">
        <f t="shared" si="1"/>
        <v>DISTRIBUTION</v>
      </c>
      <c r="C17" s="790" t="s">
        <v>2409</v>
      </c>
      <c r="D17" s="448" t="str">
        <f t="shared" si="2"/>
        <v/>
      </c>
      <c r="E17" s="506">
        <v>6.6290899999999997</v>
      </c>
      <c r="F17" s="506">
        <v>6.6290899999999997</v>
      </c>
      <c r="G17" s="506">
        <v>6.6290899999999997</v>
      </c>
      <c r="H17" s="506">
        <v>6.6290899999999997</v>
      </c>
      <c r="I17" s="506">
        <v>0</v>
      </c>
      <c r="J17" s="506">
        <v>0</v>
      </c>
      <c r="K17" s="506">
        <v>0</v>
      </c>
      <c r="L17" s="506">
        <v>0</v>
      </c>
      <c r="M17" s="506">
        <v>0</v>
      </c>
      <c r="N17" s="506">
        <v>0</v>
      </c>
      <c r="O17" s="506">
        <v>0</v>
      </c>
      <c r="P17" s="506">
        <v>0</v>
      </c>
      <c r="Q17" s="506">
        <v>0</v>
      </c>
    </row>
    <row r="18" spans="1:17">
      <c r="A18" s="734" t="str">
        <f t="shared" si="0"/>
        <v>KY</v>
      </c>
      <c r="B18" s="734" t="str">
        <f t="shared" si="1"/>
        <v>PRODUCTION</v>
      </c>
      <c r="C18" s="790" t="s">
        <v>1485</v>
      </c>
      <c r="D18" s="448" t="str">
        <f t="shared" si="2"/>
        <v/>
      </c>
      <c r="E18" s="506">
        <v>21770.232499999998</v>
      </c>
      <c r="F18" s="506">
        <v>37704.655330000001</v>
      </c>
      <c r="G18" s="506">
        <v>21133.601789999899</v>
      </c>
      <c r="H18" s="506">
        <v>20665.836449999999</v>
      </c>
      <c r="I18" s="506">
        <v>23058.150469999899</v>
      </c>
      <c r="J18" s="506">
        <v>23288.942349999899</v>
      </c>
      <c r="K18" s="506">
        <v>23354.915369999999</v>
      </c>
      <c r="L18" s="506">
        <v>24614.98587</v>
      </c>
      <c r="M18" s="506">
        <v>26407.748500000002</v>
      </c>
      <c r="N18" s="506">
        <v>9112.6878099999994</v>
      </c>
      <c r="O18" s="506">
        <v>8978.2847000000002</v>
      </c>
      <c r="P18" s="506">
        <v>9068.2975900000001</v>
      </c>
      <c r="Q18" s="506">
        <v>9252.3513399999993</v>
      </c>
    </row>
    <row r="19" spans="1:17">
      <c r="A19" s="734" t="str">
        <f t="shared" si="0"/>
        <v>KY</v>
      </c>
      <c r="B19" s="734" t="str">
        <f t="shared" si="1"/>
        <v>PRODUCTION</v>
      </c>
      <c r="C19" s="790" t="s">
        <v>1486</v>
      </c>
      <c r="D19" s="448" t="str">
        <f t="shared" si="2"/>
        <v/>
      </c>
      <c r="E19" s="506">
        <v>31566.850829999999</v>
      </c>
      <c r="F19" s="506">
        <v>38327.751969999903</v>
      </c>
      <c r="G19" s="506">
        <v>40998.3484199999</v>
      </c>
      <c r="H19" s="506">
        <v>44902.934979999904</v>
      </c>
      <c r="I19" s="506">
        <v>46086.251389999998</v>
      </c>
      <c r="J19" s="506">
        <v>41851.728349999998</v>
      </c>
      <c r="K19" s="506">
        <v>43153.820039999897</v>
      </c>
      <c r="L19" s="506">
        <v>20892.228852835899</v>
      </c>
      <c r="M19" s="506">
        <v>30543.283561223201</v>
      </c>
      <c r="N19" s="506">
        <v>24184.0937812232</v>
      </c>
      <c r="O19" s="506">
        <v>18425.183871223198</v>
      </c>
      <c r="P19" s="506">
        <v>21328.133321223198</v>
      </c>
      <c r="Q19" s="506">
        <v>26469.5206412232</v>
      </c>
    </row>
    <row r="20" spans="1:17">
      <c r="A20" s="734" t="str">
        <f t="shared" si="0"/>
        <v>KY</v>
      </c>
      <c r="B20" s="734" t="str">
        <f t="shared" si="1"/>
        <v>PRODUCTION</v>
      </c>
      <c r="C20" s="790" t="s">
        <v>1487</v>
      </c>
      <c r="D20" s="448" t="str">
        <f t="shared" si="2"/>
        <v>ECR</v>
      </c>
      <c r="E20" s="506">
        <v>34931.464659999998</v>
      </c>
      <c r="F20" s="506">
        <v>35148.603569999999</v>
      </c>
      <c r="G20" s="506">
        <v>35483.288229999998</v>
      </c>
      <c r="H20" s="506">
        <v>36163.084859999901</v>
      </c>
      <c r="I20" s="506">
        <v>39525.703130000002</v>
      </c>
      <c r="J20" s="506">
        <v>40895.065519999996</v>
      </c>
      <c r="K20" s="506">
        <v>1592.5738799999999</v>
      </c>
      <c r="L20" s="506">
        <v>2813.7726699999998</v>
      </c>
      <c r="M20" s="506">
        <v>0</v>
      </c>
      <c r="N20" s="506">
        <v>0</v>
      </c>
      <c r="O20" s="506">
        <v>0</v>
      </c>
      <c r="P20" s="506">
        <v>0</v>
      </c>
      <c r="Q20" s="506">
        <v>0</v>
      </c>
    </row>
    <row r="21" spans="1:17">
      <c r="A21" s="734" t="str">
        <f t="shared" si="0"/>
        <v>KY</v>
      </c>
      <c r="B21" s="734" t="str">
        <f t="shared" si="1"/>
        <v>PRODUCTION</v>
      </c>
      <c r="C21" s="790" t="s">
        <v>2740</v>
      </c>
      <c r="D21" s="448" t="str">
        <f t="shared" si="2"/>
        <v>ECR</v>
      </c>
      <c r="E21" s="506">
        <v>0</v>
      </c>
      <c r="F21" s="506">
        <v>0</v>
      </c>
      <c r="G21" s="506">
        <v>0</v>
      </c>
      <c r="H21" s="506">
        <v>0</v>
      </c>
      <c r="I21" s="506">
        <v>0</v>
      </c>
      <c r="J21" s="506">
        <v>0</v>
      </c>
      <c r="K21" s="506">
        <v>40884.315369999997</v>
      </c>
      <c r="L21" s="506">
        <v>38888.474917795204</v>
      </c>
      <c r="M21" s="506">
        <v>39377.9017842424</v>
      </c>
      <c r="N21" s="506">
        <v>39744.780502904498</v>
      </c>
      <c r="O21" s="506">
        <v>40026.590537937001</v>
      </c>
      <c r="P21" s="506">
        <v>40279.643186574896</v>
      </c>
      <c r="Q21" s="506">
        <v>40647.719223919099</v>
      </c>
    </row>
    <row r="22" spans="1:17">
      <c r="A22" s="734" t="str">
        <f t="shared" si="0"/>
        <v>KY</v>
      </c>
      <c r="B22" s="734" t="str">
        <f t="shared" si="1"/>
        <v>PRODUCTION</v>
      </c>
      <c r="C22" s="790" t="s">
        <v>1488</v>
      </c>
      <c r="D22" s="448" t="str">
        <f t="shared" si="2"/>
        <v>ECR</v>
      </c>
      <c r="E22" s="506">
        <v>-152.17259999999999</v>
      </c>
      <c r="F22" s="506">
        <v>-131.90465</v>
      </c>
      <c r="G22" s="506">
        <v>-85.8893699999999</v>
      </c>
      <c r="H22" s="506">
        <v>-42.472899999999903</v>
      </c>
      <c r="I22" s="506">
        <v>10.26474</v>
      </c>
      <c r="J22" s="506">
        <v>61.016030000000001</v>
      </c>
      <c r="K22" s="506">
        <v>506.56335999999999</v>
      </c>
      <c r="L22" s="506">
        <v>3193.4474100000002</v>
      </c>
      <c r="M22" s="506">
        <v>3525.4227700000001</v>
      </c>
      <c r="N22" s="506">
        <v>4024.11627</v>
      </c>
      <c r="O22" s="506">
        <v>2553.1069400000001</v>
      </c>
      <c r="P22" s="506">
        <v>2553.1069400000001</v>
      </c>
      <c r="Q22" s="506">
        <v>2553.1069400000001</v>
      </c>
    </row>
    <row r="23" spans="1:17">
      <c r="A23" s="734" t="str">
        <f t="shared" si="0"/>
        <v>KY</v>
      </c>
      <c r="B23" s="734" t="str">
        <f t="shared" si="1"/>
        <v>PRODUCTION</v>
      </c>
      <c r="C23" s="790" t="s">
        <v>2202</v>
      </c>
      <c r="D23" s="448" t="str">
        <f t="shared" si="2"/>
        <v>ECR</v>
      </c>
      <c r="E23" s="506">
        <v>232744.02658000001</v>
      </c>
      <c r="F23" s="506">
        <v>235695.37923999899</v>
      </c>
      <c r="G23" s="506">
        <v>82582.562579999998</v>
      </c>
      <c r="H23" s="506">
        <v>58495.472529999999</v>
      </c>
      <c r="I23" s="506">
        <v>59589.585639999998</v>
      </c>
      <c r="J23" s="506">
        <v>60669.591460000003</v>
      </c>
      <c r="K23" s="506">
        <v>9878.3734999999997</v>
      </c>
      <c r="L23" s="506">
        <v>0</v>
      </c>
      <c r="M23" s="506">
        <v>0</v>
      </c>
      <c r="N23" s="506">
        <v>0</v>
      </c>
      <c r="O23" s="506">
        <v>0</v>
      </c>
      <c r="P23" s="506">
        <v>0</v>
      </c>
      <c r="Q23" s="506">
        <v>0</v>
      </c>
    </row>
    <row r="24" spans="1:17">
      <c r="A24" s="734" t="str">
        <f t="shared" si="0"/>
        <v>KY</v>
      </c>
      <c r="B24" s="734" t="str">
        <f t="shared" si="1"/>
        <v>PRODUCTION</v>
      </c>
      <c r="C24" s="790" t="s">
        <v>2741</v>
      </c>
      <c r="D24" s="448" t="str">
        <f t="shared" si="2"/>
        <v>ECR</v>
      </c>
      <c r="E24" s="506">
        <v>0</v>
      </c>
      <c r="F24" s="506">
        <v>0</v>
      </c>
      <c r="G24" s="506">
        <v>0</v>
      </c>
      <c r="H24" s="506">
        <v>0</v>
      </c>
      <c r="I24" s="506">
        <v>0</v>
      </c>
      <c r="J24" s="506">
        <v>0</v>
      </c>
      <c r="K24" s="506">
        <v>51773.5212199999</v>
      </c>
      <c r="L24" s="506">
        <v>49898.027615663101</v>
      </c>
      <c r="M24" s="506">
        <v>51265.175731121897</v>
      </c>
      <c r="N24" s="506">
        <v>39652.861140208399</v>
      </c>
      <c r="O24" s="506">
        <v>40889.787027696701</v>
      </c>
      <c r="P24" s="506">
        <v>40944.897776063903</v>
      </c>
      <c r="Q24" s="506">
        <v>41000.012479594399</v>
      </c>
    </row>
    <row r="25" spans="1:17">
      <c r="A25" s="734" t="str">
        <f t="shared" si="0"/>
        <v>KY</v>
      </c>
      <c r="B25" s="734" t="str">
        <f t="shared" si="1"/>
        <v>PRODUCTION</v>
      </c>
      <c r="C25" s="790" t="s">
        <v>2742</v>
      </c>
      <c r="D25" s="448" t="str">
        <f t="shared" si="2"/>
        <v>ECR</v>
      </c>
      <c r="E25" s="506">
        <v>0</v>
      </c>
      <c r="F25" s="506">
        <v>0</v>
      </c>
      <c r="G25" s="506">
        <v>0</v>
      </c>
      <c r="H25" s="506">
        <v>0</v>
      </c>
      <c r="I25" s="506">
        <v>0</v>
      </c>
      <c r="J25" s="506">
        <v>0</v>
      </c>
      <c r="K25" s="506">
        <v>0</v>
      </c>
      <c r="L25" s="506">
        <v>3528.9469899999999</v>
      </c>
      <c r="M25" s="506">
        <v>5018.5919899999999</v>
      </c>
      <c r="N25" s="506">
        <v>7826.0359900000003</v>
      </c>
      <c r="O25" s="506">
        <v>10554.66459</v>
      </c>
      <c r="P25" s="506">
        <v>12911.664650000001</v>
      </c>
      <c r="Q25" s="506">
        <v>15268.664699999999</v>
      </c>
    </row>
    <row r="26" spans="1:17">
      <c r="A26" s="734" t="str">
        <f t="shared" si="0"/>
        <v>KY</v>
      </c>
      <c r="B26" s="734" t="str">
        <f t="shared" si="1"/>
        <v>TRANSMISSION</v>
      </c>
      <c r="C26" s="790" t="s">
        <v>1490</v>
      </c>
      <c r="D26" s="448" t="str">
        <f t="shared" si="2"/>
        <v/>
      </c>
      <c r="E26" s="506">
        <v>88882.432279999994</v>
      </c>
      <c r="F26" s="506">
        <v>95707.302240000005</v>
      </c>
      <c r="G26" s="506">
        <v>88031.809829999896</v>
      </c>
      <c r="H26" s="506">
        <v>90847.960380000004</v>
      </c>
      <c r="I26" s="506">
        <v>99365.221789999996</v>
      </c>
      <c r="J26" s="506">
        <v>91324.288090000002</v>
      </c>
      <c r="K26" s="506">
        <v>80029.28198</v>
      </c>
      <c r="L26" s="506">
        <v>77721.464649999994</v>
      </c>
      <c r="M26" s="506">
        <v>61723.476560000003</v>
      </c>
      <c r="N26" s="506">
        <v>62667.742980000003</v>
      </c>
      <c r="O26" s="506">
        <v>48212.561090000003</v>
      </c>
      <c r="P26" s="506">
        <v>60389.401859999998</v>
      </c>
      <c r="Q26" s="506">
        <v>69583.723039999997</v>
      </c>
    </row>
    <row r="27" spans="1:17">
      <c r="A27" s="734" t="str">
        <f t="shared" si="0"/>
        <v>VA</v>
      </c>
      <c r="B27" s="734" t="str">
        <f t="shared" si="1"/>
        <v>TRANSMISSION</v>
      </c>
      <c r="C27" s="790" t="s">
        <v>1491</v>
      </c>
      <c r="D27" s="448" t="str">
        <f t="shared" si="2"/>
        <v/>
      </c>
      <c r="E27" s="506">
        <v>6791.2412400000003</v>
      </c>
      <c r="F27" s="506">
        <v>7189.9954299999999</v>
      </c>
      <c r="G27" s="506">
        <v>7993.3293899999999</v>
      </c>
      <c r="H27" s="506">
        <v>8467.9370599999893</v>
      </c>
      <c r="I27" s="506">
        <v>9352.3775100000003</v>
      </c>
      <c r="J27" s="506">
        <v>8846.7075000000004</v>
      </c>
      <c r="K27" s="506">
        <v>8416.4609299999993</v>
      </c>
      <c r="L27" s="506">
        <v>9643.2638099999895</v>
      </c>
      <c r="M27" s="506">
        <v>11853.611709999999</v>
      </c>
      <c r="N27" s="506">
        <v>12929.803529999999</v>
      </c>
      <c r="O27" s="506">
        <v>8657.2680399999899</v>
      </c>
      <c r="P27" s="506">
        <v>12624.13027</v>
      </c>
      <c r="Q27" s="506">
        <v>12663.049779999999</v>
      </c>
    </row>
    <row r="28" spans="1:17">
      <c r="A28" s="734"/>
      <c r="B28" s="734" t="str">
        <f t="shared" si="1"/>
        <v/>
      </c>
      <c r="C28" s="788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</row>
    <row r="29" spans="1:17">
      <c r="A29" s="734"/>
      <c r="B29" s="734" t="str">
        <f t="shared" si="1"/>
        <v/>
      </c>
      <c r="C29" s="788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</row>
    <row r="30" spans="1:17">
      <c r="A30" s="734"/>
      <c r="B30" s="734" t="str">
        <f t="shared" si="1"/>
        <v/>
      </c>
      <c r="C30" s="788"/>
      <c r="D30" s="448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</row>
    <row r="31" spans="1:17">
      <c r="A31" s="734"/>
      <c r="B31" s="734" t="str">
        <f t="shared" si="1"/>
        <v/>
      </c>
      <c r="C31" s="789" t="s">
        <v>1493</v>
      </c>
      <c r="D31" s="449"/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</row>
    <row r="32" spans="1:17">
      <c r="A32" s="734" t="str">
        <f t="shared" si="0"/>
        <v>KY</v>
      </c>
      <c r="B32" s="734" t="str">
        <f t="shared" si="1"/>
        <v>DISTRIBUTION</v>
      </c>
      <c r="C32" s="791" t="s">
        <v>2736</v>
      </c>
      <c r="D32" s="448" t="str">
        <f t="shared" si="2"/>
        <v/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442">
        <v>0</v>
      </c>
      <c r="K32" s="442">
        <v>0</v>
      </c>
      <c r="L32" s="442">
        <v>0</v>
      </c>
      <c r="M32" s="442">
        <v>0</v>
      </c>
      <c r="N32" s="442">
        <v>0</v>
      </c>
      <c r="O32" s="442">
        <v>0</v>
      </c>
      <c r="P32" s="442">
        <v>0</v>
      </c>
      <c r="Q32" s="442">
        <v>0</v>
      </c>
    </row>
    <row r="33" spans="1:17">
      <c r="A33" s="734" t="str">
        <f t="shared" si="0"/>
        <v>KY</v>
      </c>
      <c r="B33" s="734" t="str">
        <f t="shared" si="1"/>
        <v>GENERAL</v>
      </c>
      <c r="C33" s="791" t="s">
        <v>2737</v>
      </c>
      <c r="D33" s="448" t="str">
        <f t="shared" si="2"/>
        <v/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0</v>
      </c>
      <c r="M33" s="442">
        <v>0</v>
      </c>
      <c r="N33" s="442">
        <v>0</v>
      </c>
      <c r="O33" s="442">
        <v>0</v>
      </c>
      <c r="P33" s="442">
        <v>0</v>
      </c>
      <c r="Q33" s="442">
        <v>0</v>
      </c>
    </row>
    <row r="34" spans="1:17">
      <c r="A34" s="734" t="str">
        <f t="shared" si="0"/>
        <v>KY</v>
      </c>
      <c r="B34" s="734" t="str">
        <f t="shared" si="1"/>
        <v>PRODUCTION</v>
      </c>
      <c r="C34" s="788" t="s">
        <v>1482</v>
      </c>
      <c r="D34" s="448" t="str">
        <f t="shared" si="2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</row>
    <row r="35" spans="1:17">
      <c r="A35" s="734" t="str">
        <f t="shared" si="0"/>
        <v>KY</v>
      </c>
      <c r="B35" s="734" t="str">
        <f t="shared" si="1"/>
        <v>GENERAL</v>
      </c>
      <c r="C35" s="791" t="s">
        <v>2738</v>
      </c>
      <c r="D35" s="448" t="str">
        <f t="shared" si="2"/>
        <v/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42">
        <v>0</v>
      </c>
      <c r="M35" s="442">
        <v>0</v>
      </c>
      <c r="N35" s="442">
        <v>0</v>
      </c>
      <c r="O35" s="442">
        <v>0</v>
      </c>
      <c r="P35" s="442">
        <v>0</v>
      </c>
      <c r="Q35" s="442">
        <v>0</v>
      </c>
    </row>
    <row r="36" spans="1:17">
      <c r="A36" s="734" t="str">
        <f t="shared" si="0"/>
        <v>KY</v>
      </c>
      <c r="B36" s="734" t="str">
        <f t="shared" si="1"/>
        <v>PRODUCTION</v>
      </c>
      <c r="C36" s="788" t="s">
        <v>1485</v>
      </c>
      <c r="D36" s="448" t="str">
        <f t="shared" si="2"/>
        <v/>
      </c>
      <c r="E36" s="442">
        <v>1.255E-2</v>
      </c>
      <c r="F36" s="442">
        <v>2.6210000000000001E-2</v>
      </c>
      <c r="G36" s="442">
        <v>5.8680000000000003E-2</v>
      </c>
      <c r="H36" s="442">
        <v>7.2499999999999995E-2</v>
      </c>
      <c r="I36" s="442">
        <v>8.3099999999999997E-3</v>
      </c>
      <c r="J36" s="442">
        <v>0</v>
      </c>
      <c r="K36" s="442">
        <v>1.468E-2</v>
      </c>
      <c r="L36" s="442">
        <v>1.468E-2</v>
      </c>
      <c r="M36" s="442">
        <v>1.468E-2</v>
      </c>
      <c r="N36" s="442">
        <v>1.468E-2</v>
      </c>
      <c r="O36" s="442">
        <v>1.468E-2</v>
      </c>
      <c r="P36" s="442">
        <v>1.468E-2</v>
      </c>
      <c r="Q36" s="442">
        <v>1.468E-2</v>
      </c>
    </row>
    <row r="37" spans="1:17">
      <c r="A37" s="734" t="str">
        <f t="shared" si="0"/>
        <v>KY</v>
      </c>
      <c r="B37" s="734" t="str">
        <f t="shared" si="1"/>
        <v>PRODUCTION</v>
      </c>
      <c r="C37" s="788" t="s">
        <v>1486</v>
      </c>
      <c r="D37" s="448" t="str">
        <f t="shared" si="2"/>
        <v/>
      </c>
      <c r="E37" s="442">
        <v>4.0669999999999998E-2</v>
      </c>
      <c r="F37" s="442">
        <v>6.2179999999999999E-2</v>
      </c>
      <c r="G37" s="442">
        <v>8.7090000000000001E-2</v>
      </c>
      <c r="H37" s="442">
        <v>0.11524</v>
      </c>
      <c r="I37" s="442">
        <v>0.14324999999999999</v>
      </c>
      <c r="J37" s="442">
        <v>0.17127000000000001</v>
      </c>
      <c r="K37" s="442">
        <v>0.22663</v>
      </c>
      <c r="L37" s="442">
        <v>0.25949283601203998</v>
      </c>
      <c r="M37" s="442">
        <v>0.27596122322247901</v>
      </c>
      <c r="N37" s="442">
        <v>0.27596122322247901</v>
      </c>
      <c r="O37" s="442">
        <v>0.27596122322247901</v>
      </c>
      <c r="P37" s="442">
        <v>0.27596122322247901</v>
      </c>
      <c r="Q37" s="442">
        <v>0.27596122322247901</v>
      </c>
    </row>
    <row r="38" spans="1:17">
      <c r="A38" s="734" t="str">
        <f t="shared" si="0"/>
        <v>KY</v>
      </c>
      <c r="B38" s="734" t="str">
        <f t="shared" si="1"/>
        <v>PRODUCTION</v>
      </c>
      <c r="C38" s="788" t="s">
        <v>1487</v>
      </c>
      <c r="D38" s="448" t="str">
        <f t="shared" si="2"/>
        <v>ECR</v>
      </c>
      <c r="E38" s="442">
        <v>105.60487999999999</v>
      </c>
      <c r="F38" s="442">
        <v>109.7538</v>
      </c>
      <c r="G38" s="442">
        <v>113.92728</v>
      </c>
      <c r="H38" s="442">
        <v>118.13807</v>
      </c>
      <c r="I38" s="442">
        <v>122.54327000000001</v>
      </c>
      <c r="J38" s="442">
        <v>127.16374</v>
      </c>
      <c r="K38" s="442">
        <v>136.42053999999999</v>
      </c>
      <c r="L38" s="442">
        <v>136.42053999999999</v>
      </c>
      <c r="M38" s="442">
        <v>136.42053999999999</v>
      </c>
      <c r="N38" s="442">
        <v>136.42053999999999</v>
      </c>
      <c r="O38" s="442">
        <v>136.42053999999999</v>
      </c>
      <c r="P38" s="442">
        <v>136.42053999999999</v>
      </c>
      <c r="Q38" s="442">
        <v>136.42053999999999</v>
      </c>
    </row>
    <row r="39" spans="1:17">
      <c r="A39" s="734" t="str">
        <f t="shared" si="0"/>
        <v>KY</v>
      </c>
      <c r="B39" s="734" t="str">
        <f t="shared" si="1"/>
        <v>PRODUCTION</v>
      </c>
      <c r="C39" s="788" t="s">
        <v>2740</v>
      </c>
      <c r="D39" s="448" t="str">
        <f t="shared" si="2"/>
        <v>ECR</v>
      </c>
      <c r="E39" s="442">
        <v>0</v>
      </c>
      <c r="F39" s="442">
        <v>0</v>
      </c>
      <c r="G39" s="442">
        <v>0</v>
      </c>
      <c r="H39" s="442">
        <v>0</v>
      </c>
      <c r="I39" s="442">
        <v>0</v>
      </c>
      <c r="J39" s="442">
        <v>0</v>
      </c>
      <c r="K39" s="442">
        <v>0</v>
      </c>
      <c r="L39" s="442">
        <v>4.2553477952190004</v>
      </c>
      <c r="M39" s="442">
        <v>8.5556942424986406</v>
      </c>
      <c r="N39" s="442">
        <v>12.902622904546</v>
      </c>
      <c r="O39" s="442">
        <v>17.2861379370393</v>
      </c>
      <c r="P39" s="442">
        <v>20.338786574956998</v>
      </c>
      <c r="Q39" s="442">
        <v>23.414823919124601</v>
      </c>
    </row>
    <row r="40" spans="1:17">
      <c r="A40" s="734" t="str">
        <f t="shared" si="0"/>
        <v>KY</v>
      </c>
      <c r="B40" s="734" t="str">
        <f t="shared" si="1"/>
        <v>PRODUCTION</v>
      </c>
      <c r="C40" s="788" t="s">
        <v>1488</v>
      </c>
      <c r="D40" s="448" t="str">
        <f t="shared" si="2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</row>
    <row r="41" spans="1:17">
      <c r="A41" s="734" t="str">
        <f t="shared" si="0"/>
        <v>KY</v>
      </c>
      <c r="B41" s="734" t="str">
        <f t="shared" si="1"/>
        <v>PRODUCTION</v>
      </c>
      <c r="C41" s="788" t="s">
        <v>2202</v>
      </c>
      <c r="D41" s="448" t="str">
        <f t="shared" si="2"/>
        <v>ECR</v>
      </c>
      <c r="E41" s="442">
        <v>342.97843</v>
      </c>
      <c r="F41" s="442">
        <v>361.42135999999999</v>
      </c>
      <c r="G41" s="442">
        <v>76.881540000000001</v>
      </c>
      <c r="H41" s="442">
        <v>81.062529999999995</v>
      </c>
      <c r="I41" s="442">
        <v>85.268410000000003</v>
      </c>
      <c r="J41" s="442">
        <v>89.500159999999994</v>
      </c>
      <c r="K41" s="442">
        <v>101.80124000000001</v>
      </c>
      <c r="L41" s="442">
        <v>101.80124000000001</v>
      </c>
      <c r="M41" s="442">
        <v>101.80124000000001</v>
      </c>
      <c r="N41" s="442">
        <v>101.80124000000001</v>
      </c>
      <c r="O41" s="442">
        <v>101.80124000000001</v>
      </c>
      <c r="P41" s="442">
        <v>101.80124000000001</v>
      </c>
      <c r="Q41" s="442">
        <v>101.80124000000001</v>
      </c>
    </row>
    <row r="42" spans="1:17">
      <c r="A42" s="734" t="str">
        <f t="shared" si="0"/>
        <v>KY</v>
      </c>
      <c r="B42" s="734" t="str">
        <f t="shared" si="1"/>
        <v>PRODUCTION</v>
      </c>
      <c r="C42" s="788" t="s">
        <v>2741</v>
      </c>
      <c r="D42" s="448" t="str">
        <f t="shared" si="2"/>
        <v>ECR</v>
      </c>
      <c r="E42" s="442">
        <v>0</v>
      </c>
      <c r="F42" s="442">
        <v>0</v>
      </c>
      <c r="G42" s="442">
        <v>0</v>
      </c>
      <c r="H42" s="442">
        <v>0</v>
      </c>
      <c r="I42" s="442">
        <v>0</v>
      </c>
      <c r="J42" s="442">
        <v>0</v>
      </c>
      <c r="K42" s="442">
        <v>0</v>
      </c>
      <c r="L42" s="442">
        <v>4.6373156631472501</v>
      </c>
      <c r="M42" s="442">
        <v>8.86885112190933</v>
      </c>
      <c r="N42" s="442">
        <v>13.198090208408701</v>
      </c>
      <c r="O42" s="442">
        <v>17.623927696782399</v>
      </c>
      <c r="P42" s="442">
        <v>20.734676063971001</v>
      </c>
      <c r="Q42" s="442">
        <v>23.849379594492898</v>
      </c>
    </row>
    <row r="43" spans="1:17">
      <c r="A43" s="734"/>
      <c r="B43" s="734"/>
      <c r="C43" s="788"/>
      <c r="D43" s="448"/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</row>
    <row r="44" spans="1:17">
      <c r="A44" s="734"/>
      <c r="B44" s="734"/>
      <c r="C44" s="789" t="s">
        <v>1494</v>
      </c>
      <c r="D44" s="449"/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</row>
    <row r="45" spans="1:17">
      <c r="A45" s="734" t="str">
        <f t="shared" si="0"/>
        <v>KY</v>
      </c>
      <c r="B45" s="734" t="str">
        <f t="shared" ref="B45:B60" si="3">IF(ISTEXT(MID($C45,SEARCH("COMMON",$C45),3)),"COMMON",IF(ISTEXT(MID($C45,SEARCH("GAS",$C45),3)),"",IF(ISTEXT(MID($C45,SEARCH("HYDRO PRODUCTION",$C45),9)),"HYDRO",IF(ISTEXT(MID($C45,SEARCH("OTHER PRODUCTION",$C45),9)),"OTHER",IF(ISTEXT(MID($C45,SEARCH("STEAM PRODUCTION",$C45),9)),"STEAM",IF(ISTEXT(MID($C45,SEARCH("TRANSMISSION",$C45),9)),"TRANSMISSION",IF(ISTEXT(MID($C45,SEARCH("DISTRIBUTION",$C45),9)),"DISTRIBUTION",IF(ISTEXT(MID($C45,SEARCH("COMMON",$C45),9)),"COMMON",IF(ISTEXT(MID($C45,SEARCH("GENERAL",$C45),9)),"GENERAL",IF(ISTEXT(MID($C45,SEARCH("INTANGIBLE",$C45),9)),"INTANGIBLE",IF(ISTEXT(MID($C45,SEARCH("STORAGE",$C45),3)),"STORAGE","")))))))))))</f>
        <v>DISTRIBUTION</v>
      </c>
      <c r="C45" s="507" t="s">
        <v>1478</v>
      </c>
      <c r="D45" s="448" t="str">
        <f t="shared" si="2"/>
        <v/>
      </c>
      <c r="E45" s="442">
        <v>7127.6739799999996</v>
      </c>
      <c r="F45" s="442">
        <v>7469.5531099999998</v>
      </c>
      <c r="G45" s="442">
        <v>7322.1261199999999</v>
      </c>
      <c r="H45" s="442">
        <v>7860.7601999999997</v>
      </c>
      <c r="I45" s="442">
        <v>7524.3663100000003</v>
      </c>
      <c r="J45" s="442">
        <v>8286.0694399999993</v>
      </c>
      <c r="K45" s="442">
        <v>8623.0817900000002</v>
      </c>
      <c r="L45" s="442">
        <v>2148.3204799999899</v>
      </c>
      <c r="M45" s="442">
        <v>2314.24862999999</v>
      </c>
      <c r="N45" s="442">
        <v>2274.2144399999902</v>
      </c>
      <c r="O45" s="442">
        <v>457.26812999999697</v>
      </c>
      <c r="P45" s="442">
        <v>438.79741999999698</v>
      </c>
      <c r="Q45" s="442">
        <v>446.99131999999702</v>
      </c>
    </row>
    <row r="46" spans="1:17">
      <c r="A46" s="734" t="str">
        <f t="shared" si="0"/>
        <v>VA</v>
      </c>
      <c r="B46" s="734" t="str">
        <f t="shared" si="3"/>
        <v>DISTRIBUTION</v>
      </c>
      <c r="C46" s="507" t="s">
        <v>1479</v>
      </c>
      <c r="D46" s="448" t="str">
        <f t="shared" si="2"/>
        <v/>
      </c>
      <c r="E46" s="442">
        <v>333.84386999999901</v>
      </c>
      <c r="F46" s="442">
        <v>320.22112999999899</v>
      </c>
      <c r="G46" s="442">
        <v>346.68707000000001</v>
      </c>
      <c r="H46" s="442">
        <v>372.91757000000001</v>
      </c>
      <c r="I46" s="442">
        <v>394.77850999999998</v>
      </c>
      <c r="J46" s="442">
        <v>460.15624000000003</v>
      </c>
      <c r="K46" s="442">
        <v>466.833449999999</v>
      </c>
      <c r="L46" s="442">
        <v>160.05596999999901</v>
      </c>
      <c r="M46" s="442">
        <v>172.37849999999901</v>
      </c>
      <c r="N46" s="442">
        <v>183.58079999999899</v>
      </c>
      <c r="O46" s="442">
        <v>-8.5265128291211997E-14</v>
      </c>
      <c r="P46" s="442">
        <v>-8.5265128291211997E-14</v>
      </c>
      <c r="Q46" s="442">
        <v>-8.8817841970012498E-14</v>
      </c>
    </row>
    <row r="47" spans="1:17">
      <c r="A47" s="734" t="str">
        <f t="shared" si="0"/>
        <v>KY</v>
      </c>
      <c r="B47" s="734" t="str">
        <f t="shared" si="3"/>
        <v>GENERAL</v>
      </c>
      <c r="C47" s="507" t="s">
        <v>1480</v>
      </c>
      <c r="D47" s="448" t="str">
        <f t="shared" si="2"/>
        <v/>
      </c>
      <c r="E47" s="442">
        <v>349.466039999999</v>
      </c>
      <c r="F47" s="442">
        <v>372.23399999999998</v>
      </c>
      <c r="G47" s="442">
        <v>347.92845999999901</v>
      </c>
      <c r="H47" s="442">
        <v>414.377489999999</v>
      </c>
      <c r="I47" s="442">
        <v>402.89544999999998</v>
      </c>
      <c r="J47" s="442">
        <v>350.81072999999998</v>
      </c>
      <c r="K47" s="442">
        <v>349.72041999999999</v>
      </c>
      <c r="L47" s="442">
        <v>236.458159999999</v>
      </c>
      <c r="M47" s="442">
        <v>36.953609999999898</v>
      </c>
      <c r="N47" s="442">
        <v>32.916889999999903</v>
      </c>
      <c r="O47" s="442">
        <v>3.2249899999999601</v>
      </c>
      <c r="P47" s="442">
        <v>3.2249899999999601</v>
      </c>
      <c r="Q47" s="442">
        <v>3.2249899999999601</v>
      </c>
    </row>
    <row r="48" spans="1:17">
      <c r="A48" s="734" t="str">
        <f t="shared" si="0"/>
        <v>VA</v>
      </c>
      <c r="B48" s="734" t="str">
        <f t="shared" si="3"/>
        <v>GENERAL</v>
      </c>
      <c r="C48" s="507" t="s">
        <v>1481</v>
      </c>
      <c r="D48" s="448" t="str">
        <f t="shared" si="2"/>
        <v/>
      </c>
      <c r="E48" s="442">
        <v>0</v>
      </c>
      <c r="F48" s="442">
        <v>0</v>
      </c>
      <c r="G48" s="442">
        <v>0</v>
      </c>
      <c r="H48" s="442">
        <v>0</v>
      </c>
      <c r="I48" s="442">
        <v>0</v>
      </c>
      <c r="J48" s="442">
        <v>0</v>
      </c>
      <c r="K48" s="442">
        <v>0</v>
      </c>
      <c r="L48" s="442">
        <v>-3.22499</v>
      </c>
      <c r="M48" s="442">
        <v>-3.22499</v>
      </c>
      <c r="N48" s="442">
        <v>-3.22499</v>
      </c>
      <c r="O48" s="442">
        <v>-3.22499</v>
      </c>
      <c r="P48" s="442">
        <v>-3.22499</v>
      </c>
      <c r="Q48" s="442">
        <v>-3.22499</v>
      </c>
    </row>
    <row r="49" spans="1:17">
      <c r="A49" s="734" t="str">
        <f t="shared" si="0"/>
        <v>KY</v>
      </c>
      <c r="B49" s="734" t="str">
        <f t="shared" si="3"/>
        <v>HYDRO</v>
      </c>
      <c r="C49" s="507" t="s">
        <v>1482</v>
      </c>
      <c r="D49" s="448" t="str">
        <f t="shared" si="2"/>
        <v/>
      </c>
      <c r="E49" s="442">
        <v>156.56174999999999</v>
      </c>
      <c r="F49" s="442">
        <v>156.56174999999999</v>
      </c>
      <c r="G49" s="442">
        <v>160.71565000000001</v>
      </c>
      <c r="H49" s="442">
        <v>4.5553999999999997</v>
      </c>
      <c r="I49" s="442">
        <v>4.5553999999999997</v>
      </c>
      <c r="J49" s="442">
        <v>4.5553999999999997</v>
      </c>
      <c r="K49" s="442">
        <v>4.5553999999999997</v>
      </c>
      <c r="L49" s="442">
        <v>0</v>
      </c>
      <c r="M49" s="442">
        <v>0</v>
      </c>
      <c r="N49" s="442">
        <v>4.8134100000000002</v>
      </c>
      <c r="O49" s="442">
        <v>0</v>
      </c>
      <c r="P49" s="442">
        <v>0</v>
      </c>
      <c r="Q49" s="442">
        <v>0</v>
      </c>
    </row>
    <row r="50" spans="1:17">
      <c r="A50" s="734" t="str">
        <f t="shared" si="0"/>
        <v>KY</v>
      </c>
      <c r="B50" s="734" t="str">
        <f t="shared" si="3"/>
        <v>INTANGIBLE</v>
      </c>
      <c r="C50" s="507" t="s">
        <v>1483</v>
      </c>
      <c r="D50" s="448" t="str">
        <f t="shared" si="2"/>
        <v/>
      </c>
      <c r="E50" s="442">
        <v>15.79547</v>
      </c>
      <c r="F50" s="442">
        <v>15.757849999999999</v>
      </c>
      <c r="G50" s="442">
        <v>15.757849999999999</v>
      </c>
      <c r="H50" s="442">
        <v>15.757849999999999</v>
      </c>
      <c r="I50" s="442">
        <v>1.93353</v>
      </c>
      <c r="J50" s="442">
        <v>1.93353</v>
      </c>
      <c r="K50" s="442">
        <v>1.93353</v>
      </c>
      <c r="L50" s="442">
        <v>15.79547</v>
      </c>
      <c r="M50" s="442">
        <v>15.79547</v>
      </c>
      <c r="N50" s="442">
        <v>15.79547</v>
      </c>
      <c r="O50" s="442">
        <v>0</v>
      </c>
      <c r="P50" s="442">
        <v>0</v>
      </c>
      <c r="Q50" s="442">
        <v>0</v>
      </c>
    </row>
    <row r="51" spans="1:17">
      <c r="A51" s="734" t="str">
        <f t="shared" si="0"/>
        <v>KY</v>
      </c>
      <c r="B51" s="793" t="s">
        <v>244</v>
      </c>
      <c r="C51" s="507" t="s">
        <v>1484</v>
      </c>
      <c r="D51" s="448" t="str">
        <f t="shared" si="2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2.5229499999999998</v>
      </c>
      <c r="K51" s="442">
        <v>2.5229499999999998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</row>
    <row r="52" spans="1:17">
      <c r="A52" s="734" t="str">
        <f t="shared" si="0"/>
        <v>KY</v>
      </c>
      <c r="B52" s="734" t="str">
        <f t="shared" si="3"/>
        <v>OTHER</v>
      </c>
      <c r="C52" s="507" t="s">
        <v>1485</v>
      </c>
      <c r="D52" s="448" t="str">
        <f t="shared" si="2"/>
        <v/>
      </c>
      <c r="E52" s="442">
        <v>1583.4674</v>
      </c>
      <c r="F52" s="442">
        <v>4103.49838</v>
      </c>
      <c r="G52" s="442">
        <v>4072.1558799999998</v>
      </c>
      <c r="H52" s="442">
        <v>3549.0482000000002</v>
      </c>
      <c r="I52" s="442">
        <v>3553.5302899999901</v>
      </c>
      <c r="J52" s="442">
        <v>3390.94253999999</v>
      </c>
      <c r="K52" s="442">
        <v>3373.1107899999902</v>
      </c>
      <c r="L52" s="442">
        <v>20.9663199999999</v>
      </c>
      <c r="M52" s="442">
        <v>194.860219999999</v>
      </c>
      <c r="N52" s="442">
        <v>474.55546999999899</v>
      </c>
      <c r="O52" s="442">
        <v>474.55546999999899</v>
      </c>
      <c r="P52" s="442">
        <v>474.55546999999899</v>
      </c>
      <c r="Q52" s="442">
        <v>474.55546999999899</v>
      </c>
    </row>
    <row r="53" spans="1:17">
      <c r="A53" s="734" t="str">
        <f t="shared" si="0"/>
        <v>KY</v>
      </c>
      <c r="B53" s="734" t="str">
        <f t="shared" si="3"/>
        <v>STEAM</v>
      </c>
      <c r="C53" s="507" t="s">
        <v>1486</v>
      </c>
      <c r="D53" s="448" t="str">
        <f t="shared" si="2"/>
        <v/>
      </c>
      <c r="E53" s="442">
        <v>17816.8402099999</v>
      </c>
      <c r="F53" s="442">
        <v>17772.593029999902</v>
      </c>
      <c r="G53" s="442">
        <v>12778.3831499999</v>
      </c>
      <c r="H53" s="442">
        <v>14649.096089999901</v>
      </c>
      <c r="I53" s="442">
        <v>11868.619719999901</v>
      </c>
      <c r="J53" s="442">
        <v>10032.637769999899</v>
      </c>
      <c r="K53" s="442">
        <v>10003.5801399999</v>
      </c>
      <c r="L53" s="442">
        <v>460.86875999999302</v>
      </c>
      <c r="M53" s="442">
        <v>1355.32365999999</v>
      </c>
      <c r="N53" s="442">
        <v>1199.17560999999</v>
      </c>
      <c r="O53" s="442">
        <v>101.304409999993</v>
      </c>
      <c r="P53" s="442">
        <v>481.30440999999303</v>
      </c>
      <c r="Q53" s="442">
        <v>872.07163999999295</v>
      </c>
    </row>
    <row r="54" spans="1:17">
      <c r="A54" s="734" t="str">
        <f t="shared" si="0"/>
        <v>KY</v>
      </c>
      <c r="B54" s="734" t="str">
        <f t="shared" si="3"/>
        <v>STEAM</v>
      </c>
      <c r="C54" s="507" t="s">
        <v>1487</v>
      </c>
      <c r="D54" s="448" t="str">
        <f t="shared" si="2"/>
        <v>ECR</v>
      </c>
      <c r="E54" s="442">
        <v>231.61786000000001</v>
      </c>
      <c r="F54" s="442">
        <v>412.89706000000001</v>
      </c>
      <c r="G54" s="442">
        <v>490.54554999999999</v>
      </c>
      <c r="H54" s="442">
        <v>482.09658999999999</v>
      </c>
      <c r="I54" s="442">
        <v>645.74420999999995</v>
      </c>
      <c r="J54" s="442">
        <v>960.44065000000001</v>
      </c>
      <c r="K54" s="442">
        <v>1696.01099</v>
      </c>
      <c r="L54" s="442">
        <v>1614.2185500000001</v>
      </c>
      <c r="M54" s="442">
        <v>0</v>
      </c>
      <c r="N54" s="442">
        <v>0</v>
      </c>
      <c r="O54" s="442">
        <v>0</v>
      </c>
      <c r="P54" s="442">
        <v>0</v>
      </c>
      <c r="Q54" s="442">
        <v>0</v>
      </c>
    </row>
    <row r="55" spans="1:17">
      <c r="A55" s="734" t="str">
        <f t="shared" si="0"/>
        <v>KY</v>
      </c>
      <c r="B55" s="734" t="str">
        <f t="shared" si="3"/>
        <v>STEAM</v>
      </c>
      <c r="C55" s="507" t="s">
        <v>2740</v>
      </c>
      <c r="D55" s="448" t="str">
        <f t="shared" si="2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1.04399</v>
      </c>
      <c r="L55" s="442">
        <v>-9.9999999998434607E-6</v>
      </c>
      <c r="M55" s="442">
        <v>-9.9999999998434607E-6</v>
      </c>
      <c r="N55" s="442">
        <v>-9.9999999998434607E-6</v>
      </c>
      <c r="O55" s="442">
        <v>-9.9999999998434607E-6</v>
      </c>
      <c r="P55" s="442">
        <v>-9.9999999998434607E-6</v>
      </c>
      <c r="Q55" s="442">
        <v>-9.9999999998434607E-6</v>
      </c>
    </row>
    <row r="56" spans="1:17">
      <c r="A56" s="734" t="str">
        <f t="shared" si="0"/>
        <v>KY</v>
      </c>
      <c r="B56" s="734" t="str">
        <f t="shared" si="3"/>
        <v>STEAM</v>
      </c>
      <c r="C56" s="507" t="s">
        <v>1488</v>
      </c>
      <c r="D56" s="448" t="str">
        <f t="shared" si="2"/>
        <v>ECR</v>
      </c>
      <c r="E56" s="442">
        <v>162.02987999999999</v>
      </c>
      <c r="F56" s="442">
        <v>171.61049</v>
      </c>
      <c r="G56" s="442">
        <v>171.61049</v>
      </c>
      <c r="H56" s="442">
        <v>171.61049</v>
      </c>
      <c r="I56" s="442">
        <v>171.61049</v>
      </c>
      <c r="J56" s="442">
        <v>171.61049</v>
      </c>
      <c r="K56" s="442">
        <v>0</v>
      </c>
      <c r="L56" s="442">
        <v>0</v>
      </c>
      <c r="M56" s="442">
        <v>0</v>
      </c>
      <c r="N56" s="442">
        <v>198.13534999999999</v>
      </c>
      <c r="O56" s="442">
        <v>-2.8421709430404001E-14</v>
      </c>
      <c r="P56" s="442">
        <v>-2.8421709430404001E-14</v>
      </c>
      <c r="Q56" s="442">
        <v>-2.8421709430404001E-14</v>
      </c>
    </row>
    <row r="57" spans="1:17">
      <c r="A57" s="734" t="str">
        <f t="shared" si="0"/>
        <v>KY</v>
      </c>
      <c r="B57" s="734" t="str">
        <f t="shared" si="3"/>
        <v>STEAM</v>
      </c>
      <c r="C57" s="507" t="s">
        <v>2202</v>
      </c>
      <c r="D57" s="448" t="str">
        <f t="shared" si="2"/>
        <v>ECR</v>
      </c>
      <c r="E57" s="442">
        <v>3.9699399999999998</v>
      </c>
      <c r="F57" s="442">
        <v>3.9699399999999998</v>
      </c>
      <c r="G57" s="442">
        <v>3.9699399999999998</v>
      </c>
      <c r="H57" s="442">
        <v>3.9699399999999998</v>
      </c>
      <c r="I57" s="442">
        <v>3.9699399999999998</v>
      </c>
      <c r="J57" s="442">
        <v>3.9699399999999998</v>
      </c>
      <c r="K57" s="442">
        <v>0</v>
      </c>
      <c r="L57" s="442">
        <v>0</v>
      </c>
      <c r="M57" s="442">
        <v>0</v>
      </c>
      <c r="N57" s="442">
        <v>0</v>
      </c>
      <c r="O57" s="442">
        <v>0</v>
      </c>
      <c r="P57" s="442">
        <v>0</v>
      </c>
      <c r="Q57" s="442">
        <v>0</v>
      </c>
    </row>
    <row r="58" spans="1:17">
      <c r="A58" s="734" t="str">
        <f t="shared" si="0"/>
        <v>KY</v>
      </c>
      <c r="B58" s="734" t="str">
        <f t="shared" si="3"/>
        <v>STEAM</v>
      </c>
      <c r="C58" s="507" t="s">
        <v>2741</v>
      </c>
      <c r="D58" s="448" t="str">
        <f t="shared" si="2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3.9699399999999998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</row>
    <row r="59" spans="1:17">
      <c r="A59" s="734" t="str">
        <f t="shared" si="0"/>
        <v>KY</v>
      </c>
      <c r="B59" s="734" t="str">
        <f t="shared" si="3"/>
        <v>TRANSMISSION</v>
      </c>
      <c r="C59" s="507" t="s">
        <v>1490</v>
      </c>
      <c r="D59" s="448" t="str">
        <f t="shared" si="2"/>
        <v/>
      </c>
      <c r="E59" s="442">
        <v>5584.4519799999998</v>
      </c>
      <c r="F59" s="442">
        <v>5808.6354799999999</v>
      </c>
      <c r="G59" s="442">
        <v>6139.7668800000001</v>
      </c>
      <c r="H59" s="442">
        <v>6577.8315599999996</v>
      </c>
      <c r="I59" s="442">
        <v>7126.5698499999999</v>
      </c>
      <c r="J59" s="442">
        <v>7684.8618999999999</v>
      </c>
      <c r="K59" s="442">
        <v>8339.7827600000001</v>
      </c>
      <c r="L59" s="442">
        <v>2014.2166400000001</v>
      </c>
      <c r="M59" s="442">
        <v>1269.1943200000001</v>
      </c>
      <c r="N59" s="442">
        <v>1428.5106800000001</v>
      </c>
      <c r="O59" s="442">
        <v>680.05112000000395</v>
      </c>
      <c r="P59" s="442">
        <v>1372.10547</v>
      </c>
      <c r="Q59" s="442">
        <v>2089.6810099999998</v>
      </c>
    </row>
    <row r="60" spans="1:17">
      <c r="A60" s="734" t="str">
        <f t="shared" si="0"/>
        <v>VA</v>
      </c>
      <c r="B60" s="734" t="str">
        <f t="shared" si="3"/>
        <v>TRANSMISSION</v>
      </c>
      <c r="C60" s="507" t="s">
        <v>1491</v>
      </c>
      <c r="D60" s="448" t="str">
        <f t="shared" si="2"/>
        <v/>
      </c>
      <c r="E60" s="442">
        <v>69.415799999999905</v>
      </c>
      <c r="F60" s="442">
        <v>87.106859999999998</v>
      </c>
      <c r="G60" s="442">
        <v>87.62809</v>
      </c>
      <c r="H60" s="442">
        <v>87.803669999999997</v>
      </c>
      <c r="I60" s="442">
        <v>101.56704999999999</v>
      </c>
      <c r="J60" s="442">
        <v>170.95319999999899</v>
      </c>
      <c r="K60" s="442">
        <v>185.42579000000001</v>
      </c>
      <c r="L60" s="442">
        <v>98.058009999999996</v>
      </c>
      <c r="M60" s="442">
        <v>246.14127999999999</v>
      </c>
      <c r="N60" s="442">
        <v>347.72913999999997</v>
      </c>
      <c r="O60" s="442">
        <v>271.01350999999897</v>
      </c>
      <c r="P60" s="442">
        <v>524.21821</v>
      </c>
      <c r="Q60" s="442">
        <v>713.10343999999998</v>
      </c>
    </row>
    <row r="61" spans="1:17">
      <c r="A61" s="734"/>
      <c r="B61" s="734"/>
      <c r="C61" s="788"/>
      <c r="D61" s="448"/>
      <c r="E61" s="442"/>
      <c r="F61" s="442"/>
      <c r="G61" s="442"/>
      <c r="H61" s="442"/>
      <c r="I61" s="442"/>
      <c r="J61" s="442"/>
      <c r="K61" s="442"/>
      <c r="L61" s="442"/>
      <c r="M61" s="442"/>
      <c r="N61" s="442"/>
      <c r="O61" s="442"/>
      <c r="P61" s="442"/>
      <c r="Q61" s="442"/>
    </row>
    <row r="62" spans="1:17">
      <c r="A62" s="734"/>
      <c r="B62" s="734"/>
      <c r="C62" s="788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</row>
    <row r="63" spans="1:17">
      <c r="A63" s="734"/>
      <c r="B63" s="734"/>
    </row>
    <row r="64" spans="1:17">
      <c r="A64" s="734"/>
      <c r="B64" s="734"/>
    </row>
    <row r="65" spans="1:2">
      <c r="A65" s="734"/>
      <c r="B65" s="734"/>
    </row>
    <row r="66" spans="1:2">
      <c r="A66" s="734"/>
      <c r="B66" s="734"/>
    </row>
    <row r="67" spans="1:2">
      <c r="A67" s="734"/>
      <c r="B67" s="734"/>
    </row>
    <row r="68" spans="1:2">
      <c r="A68" s="734"/>
      <c r="B68" s="734"/>
    </row>
    <row r="69" spans="1:2">
      <c r="A69" s="734"/>
      <c r="B69" s="734"/>
    </row>
    <row r="70" spans="1:2">
      <c r="A70" s="734"/>
      <c r="B70" s="734"/>
    </row>
    <row r="71" spans="1:2">
      <c r="A71" s="734"/>
      <c r="B71" s="734"/>
    </row>
    <row r="72" spans="1:2">
      <c r="A72" s="734"/>
      <c r="B72" s="734"/>
    </row>
    <row r="73" spans="1:2">
      <c r="A73" s="734"/>
      <c r="B73" s="734"/>
    </row>
    <row r="74" spans="1:2">
      <c r="A74" s="734"/>
      <c r="B74" s="734"/>
    </row>
    <row r="75" spans="1:2">
      <c r="A75" s="734"/>
      <c r="B75" s="734"/>
    </row>
    <row r="76" spans="1:2">
      <c r="A76" s="734"/>
      <c r="B76" s="734"/>
    </row>
    <row r="77" spans="1:2">
      <c r="A77" s="734"/>
      <c r="B77" s="734"/>
    </row>
    <row r="78" spans="1:2">
      <c r="A78" s="734"/>
      <c r="B78" s="734"/>
    </row>
    <row r="79" spans="1:2">
      <c r="A79" s="734"/>
      <c r="B79" s="734"/>
    </row>
    <row r="80" spans="1:2">
      <c r="A80" s="734"/>
      <c r="B80" s="734"/>
    </row>
    <row r="81" spans="1:2">
      <c r="A81" s="734"/>
      <c r="B81" s="734"/>
    </row>
    <row r="82" spans="1:2">
      <c r="A82" s="734"/>
      <c r="B82" s="734"/>
    </row>
    <row r="83" spans="1:2">
      <c r="A83" s="734"/>
      <c r="B83" s="734"/>
    </row>
    <row r="84" spans="1:2">
      <c r="A84" s="734"/>
      <c r="B84" s="734"/>
    </row>
    <row r="85" spans="1:2">
      <c r="A85" s="734"/>
      <c r="B85" s="734"/>
    </row>
    <row r="86" spans="1:2">
      <c r="A86" s="734"/>
      <c r="B86" s="734"/>
    </row>
    <row r="87" spans="1:2">
      <c r="A87" s="734"/>
      <c r="B87" s="734"/>
    </row>
    <row r="88" spans="1:2">
      <c r="A88" s="734"/>
      <c r="B88" s="734"/>
    </row>
    <row r="89" spans="1:2">
      <c r="A89" s="734"/>
      <c r="B89" s="734"/>
    </row>
    <row r="90" spans="1:2">
      <c r="A90" s="734"/>
      <c r="B90" s="734"/>
    </row>
    <row r="91" spans="1:2">
      <c r="A91" s="734"/>
      <c r="B91" s="734"/>
    </row>
    <row r="92" spans="1:2">
      <c r="A92" s="734"/>
      <c r="B92" s="734"/>
    </row>
    <row r="93" spans="1:2">
      <c r="A93" s="734"/>
      <c r="B93" s="734"/>
    </row>
    <row r="94" spans="1:2">
      <c r="A94" s="734"/>
      <c r="B94" s="734"/>
    </row>
    <row r="95" spans="1:2">
      <c r="A95" s="734"/>
      <c r="B95" s="734"/>
    </row>
  </sheetData>
  <pageMargins left="0.75" right="0.75" top="1" bottom="1" header="0.5" footer="0.5"/>
  <pageSetup scale="69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pageSetUpPr fitToPage="1"/>
  </sheetPr>
  <dimension ref="A1:AB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5.5" style="66" customWidth="1"/>
    <col min="18" max="18" width="1.5" style="2" customWidth="1"/>
    <col min="19" max="19" width="18.625" style="2" customWidth="1"/>
    <col min="20" max="20" width="1.5" style="2" customWidth="1"/>
    <col min="21" max="21" width="18.625" style="2" customWidth="1"/>
    <col min="22" max="22" width="1.5" style="2" customWidth="1"/>
    <col min="23" max="23" width="15.5" style="66" customWidth="1"/>
    <col min="24" max="24" width="1.5" style="2" customWidth="1"/>
    <col min="25" max="25" width="15.5" style="66" customWidth="1"/>
    <col min="26" max="26" width="1.5" style="2" customWidth="1"/>
    <col min="27" max="28" width="15.5" style="66" customWidth="1"/>
    <col min="29" max="16384" width="9" style="2"/>
  </cols>
  <sheetData>
    <row r="1" spans="1:28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22"/>
      <c r="W1" s="422"/>
      <c r="X1" s="422"/>
      <c r="Y1" s="422"/>
      <c r="Z1" s="422"/>
      <c r="AA1" s="422"/>
      <c r="AB1" s="422"/>
    </row>
    <row r="2" spans="1:28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22"/>
      <c r="W2" s="422"/>
      <c r="X2" s="422"/>
      <c r="Y2" s="422"/>
      <c r="Z2" s="422"/>
      <c r="AA2" s="422"/>
      <c r="AB2" s="422"/>
    </row>
    <row r="3" spans="1:28">
      <c r="D3" s="493" t="s">
        <v>3715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24"/>
      <c r="W3" s="424"/>
      <c r="X3" s="424"/>
      <c r="Y3" s="424"/>
      <c r="Z3" s="424"/>
      <c r="AA3" s="424"/>
      <c r="AB3" s="424"/>
    </row>
    <row r="4" spans="1:28">
      <c r="D4" s="3"/>
      <c r="E4" s="3" t="s">
        <v>2655</v>
      </c>
      <c r="F4" s="3"/>
      <c r="G4" s="3" t="s">
        <v>2656</v>
      </c>
      <c r="H4" s="3"/>
      <c r="I4" s="3" t="s">
        <v>2657</v>
      </c>
      <c r="J4" s="3"/>
      <c r="K4" s="3" t="s">
        <v>2658</v>
      </c>
      <c r="L4" s="3"/>
      <c r="M4" s="3"/>
      <c r="N4" s="3"/>
      <c r="O4" s="3"/>
      <c r="P4" s="3"/>
      <c r="Q4" s="3" t="s">
        <v>2655</v>
      </c>
      <c r="S4" s="2" t="s">
        <v>2659</v>
      </c>
      <c r="V4" s="3"/>
      <c r="W4" s="3"/>
      <c r="X4" s="3"/>
      <c r="Y4" s="3"/>
      <c r="Z4" s="3"/>
      <c r="AA4" s="32" t="s">
        <v>2655</v>
      </c>
      <c r="AB4" s="32"/>
    </row>
    <row r="5" spans="1:28" ht="15">
      <c r="D5" s="3"/>
      <c r="E5" s="4" t="s">
        <v>3716</v>
      </c>
      <c r="F5" s="3"/>
      <c r="G5" s="3"/>
      <c r="H5" s="3"/>
      <c r="I5" s="3"/>
      <c r="J5" s="3"/>
      <c r="K5" s="3"/>
      <c r="L5" s="3"/>
      <c r="M5" s="3"/>
      <c r="N5" s="3"/>
      <c r="O5" s="4" t="s">
        <v>3717</v>
      </c>
      <c r="P5" s="3"/>
      <c r="Q5" s="431" t="s">
        <v>1713</v>
      </c>
      <c r="U5" s="431" t="s">
        <v>1713</v>
      </c>
      <c r="V5" s="3"/>
      <c r="W5" s="431" t="s">
        <v>1713</v>
      </c>
      <c r="X5" s="3"/>
      <c r="Y5" s="431" t="s">
        <v>1713</v>
      </c>
      <c r="Z5" s="3"/>
      <c r="AA5" s="4" t="s">
        <v>3717</v>
      </c>
      <c r="AB5" s="4"/>
    </row>
    <row r="6" spans="1:28" ht="15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6" t="s">
        <v>4</v>
      </c>
      <c r="R6" s="5"/>
      <c r="S6" s="431" t="s">
        <v>1713</v>
      </c>
      <c r="T6" s="5"/>
      <c r="U6" s="231" t="s">
        <v>5</v>
      </c>
      <c r="V6" s="5"/>
      <c r="W6" s="231" t="s">
        <v>1201</v>
      </c>
      <c r="X6" s="5"/>
      <c r="Y6" s="231" t="s">
        <v>11</v>
      </c>
      <c r="Z6" s="5"/>
      <c r="AA6" s="6" t="s">
        <v>4</v>
      </c>
      <c r="AB6" s="6"/>
    </row>
    <row r="7" spans="1:28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6</v>
      </c>
      <c r="R7" s="5"/>
      <c r="S7" s="10" t="s">
        <v>11</v>
      </c>
      <c r="T7" s="5"/>
      <c r="U7" s="10" t="s">
        <v>12</v>
      </c>
      <c r="V7" s="5"/>
      <c r="W7" s="10" t="s">
        <v>1202</v>
      </c>
      <c r="X7" s="5"/>
      <c r="Y7" s="10" t="s">
        <v>2172</v>
      </c>
      <c r="Z7" s="5"/>
      <c r="AA7" s="10" t="s">
        <v>6</v>
      </c>
      <c r="AB7" s="10" t="s">
        <v>13</v>
      </c>
    </row>
    <row r="8" spans="1:28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11"/>
      <c r="R8" s="5"/>
      <c r="S8" s="5"/>
      <c r="T8" s="5"/>
      <c r="U8" s="5"/>
      <c r="V8" s="5"/>
      <c r="W8" s="11"/>
      <c r="X8" s="5"/>
      <c r="Y8" s="11"/>
      <c r="Z8" s="5"/>
      <c r="AA8" s="11" t="s">
        <v>2165</v>
      </c>
      <c r="AB8" s="11"/>
    </row>
    <row r="9" spans="1:28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7"/>
      <c r="R9" s="5"/>
      <c r="S9" s="5"/>
      <c r="T9" s="5"/>
      <c r="U9" s="5"/>
      <c r="V9" s="5"/>
      <c r="W9" s="7"/>
      <c r="X9" s="5"/>
      <c r="Y9" s="7"/>
      <c r="Z9" s="5"/>
      <c r="AA9" s="7"/>
      <c r="AB9" s="7"/>
    </row>
    <row r="10" spans="1:28">
      <c r="D10" s="8" t="s">
        <v>2660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7"/>
      <c r="R10" s="5"/>
      <c r="S10" s="5"/>
      <c r="T10" s="5"/>
      <c r="U10" s="5"/>
      <c r="V10" s="5"/>
      <c r="W10" s="7"/>
      <c r="X10" s="5"/>
      <c r="Y10" s="7"/>
      <c r="Z10" s="5"/>
      <c r="AA10" s="7"/>
      <c r="AB10" s="7"/>
    </row>
    <row r="11" spans="1:28">
      <c r="A11" s="2" t="s">
        <v>17</v>
      </c>
      <c r="B11" s="2" t="s">
        <v>2653</v>
      </c>
      <c r="C11" s="2" t="str">
        <f>MID(D11,2,3)</f>
        <v>360</v>
      </c>
      <c r="D11" s="5" t="s">
        <v>2381</v>
      </c>
      <c r="E11" s="7">
        <v>8925331.0199999996</v>
      </c>
      <c r="F11" s="19"/>
      <c r="G11" s="7">
        <v>500000</v>
      </c>
      <c r="H11" s="19"/>
      <c r="I11" s="7">
        <v>0</v>
      </c>
      <c r="J11" s="19"/>
      <c r="K11" s="7">
        <v>0</v>
      </c>
      <c r="L11" s="19"/>
      <c r="M11" s="7">
        <v>500000</v>
      </c>
      <c r="N11" s="19"/>
      <c r="O11" s="7">
        <v>9425331.0199999996</v>
      </c>
      <c r="P11" s="19"/>
      <c r="Q11" s="13">
        <v>9194561.7892307676</v>
      </c>
      <c r="R11" s="5"/>
      <c r="S11" s="13">
        <v>-1459919.9391039899</v>
      </c>
      <c r="T11" s="5"/>
      <c r="U11" s="13">
        <v>7734641.8501267778</v>
      </c>
      <c r="V11" s="19"/>
      <c r="W11" s="7">
        <v>1364.9016712009925</v>
      </c>
      <c r="X11" s="5"/>
      <c r="Y11" s="12">
        <v>-1458555.0374327889</v>
      </c>
      <c r="Z11" s="19"/>
      <c r="AA11" s="7">
        <v>9425331.0199999996</v>
      </c>
      <c r="AB11" s="12">
        <v>0</v>
      </c>
    </row>
    <row r="12" spans="1:28">
      <c r="A12" s="2" t="s">
        <v>17</v>
      </c>
      <c r="B12" s="2" t="s">
        <v>2653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19"/>
      <c r="Q12" s="7">
        <v>0</v>
      </c>
      <c r="R12" s="5"/>
      <c r="S12" s="13">
        <v>0</v>
      </c>
      <c r="T12" s="5"/>
      <c r="U12" s="13">
        <v>0</v>
      </c>
      <c r="V12" s="19"/>
      <c r="W12" s="7">
        <v>0</v>
      </c>
      <c r="X12" s="19"/>
      <c r="Y12" s="7">
        <v>0</v>
      </c>
      <c r="Z12" s="19"/>
      <c r="AA12" s="7">
        <v>0</v>
      </c>
      <c r="AB12" s="7">
        <v>0</v>
      </c>
    </row>
    <row r="13" spans="1:28">
      <c r="A13" s="2" t="s">
        <v>17</v>
      </c>
      <c r="B13" s="2" t="s">
        <v>2653</v>
      </c>
      <c r="C13" s="2" t="str">
        <f t="shared" ref="C13:C21" si="0">MID(D13,2,3)</f>
        <v>361</v>
      </c>
      <c r="D13" s="5" t="s">
        <v>19</v>
      </c>
      <c r="E13" s="7">
        <v>30384250.739999883</v>
      </c>
      <c r="F13" s="19"/>
      <c r="G13" s="7">
        <v>1057566.2499999998</v>
      </c>
      <c r="H13" s="19"/>
      <c r="I13" s="7">
        <v>0</v>
      </c>
      <c r="J13" s="19"/>
      <c r="K13" s="7">
        <v>0</v>
      </c>
      <c r="L13" s="19"/>
      <c r="M13" s="7">
        <v>1057566.2499999998</v>
      </c>
      <c r="N13" s="19"/>
      <c r="O13" s="7">
        <v>31441816.989999883</v>
      </c>
      <c r="P13" s="19"/>
      <c r="Q13" s="7">
        <v>30821241.809230641</v>
      </c>
      <c r="R13" s="5"/>
      <c r="S13" s="13">
        <v>-4798672.941646615</v>
      </c>
      <c r="T13" s="5"/>
      <c r="U13" s="13">
        <v>26022568.867584027</v>
      </c>
      <c r="V13" s="19"/>
      <c r="W13" s="7">
        <v>2886.9478840615325</v>
      </c>
      <c r="X13" s="19"/>
      <c r="Y13" s="7">
        <v>-4795785.9937625537</v>
      </c>
      <c r="Z13" s="19"/>
      <c r="AA13" s="7">
        <v>31441816.989999875</v>
      </c>
      <c r="AB13" s="7">
        <v>0</v>
      </c>
    </row>
    <row r="14" spans="1:28">
      <c r="A14" s="2" t="s">
        <v>17</v>
      </c>
      <c r="B14" s="2" t="s">
        <v>2653</v>
      </c>
      <c r="C14" s="2" t="str">
        <f t="shared" si="0"/>
        <v>362</v>
      </c>
      <c r="D14" s="5" t="s">
        <v>20</v>
      </c>
      <c r="E14" s="7">
        <v>287370306.54999995</v>
      </c>
      <c r="F14" s="19"/>
      <c r="G14" s="7">
        <v>35078357.599999994</v>
      </c>
      <c r="H14" s="19"/>
      <c r="I14" s="7">
        <v>-1388246.1800000004</v>
      </c>
      <c r="J14" s="19"/>
      <c r="K14" s="7">
        <v>0</v>
      </c>
      <c r="L14" s="19"/>
      <c r="M14" s="7">
        <v>33690111.419999994</v>
      </c>
      <c r="N14" s="19"/>
      <c r="O14" s="7">
        <v>321060417.96999997</v>
      </c>
      <c r="P14" s="19"/>
      <c r="Q14" s="7">
        <v>305122025.30461538</v>
      </c>
      <c r="R14" s="5"/>
      <c r="S14" s="13">
        <v>-56107159.231645748</v>
      </c>
      <c r="T14" s="5"/>
      <c r="U14" s="13">
        <v>249014866.07296962</v>
      </c>
      <c r="V14" s="19"/>
      <c r="W14" s="7">
        <v>95757.017822452064</v>
      </c>
      <c r="X14" s="19"/>
      <c r="Y14" s="7">
        <v>-56011402.213823296</v>
      </c>
      <c r="Z14" s="19"/>
      <c r="AA14" s="7">
        <v>321060417.97000003</v>
      </c>
      <c r="AB14" s="7">
        <v>0</v>
      </c>
    </row>
    <row r="15" spans="1:28">
      <c r="A15" s="2" t="s">
        <v>17</v>
      </c>
      <c r="B15" s="2" t="s">
        <v>2653</v>
      </c>
      <c r="C15" s="2" t="str">
        <f t="shared" si="0"/>
        <v>364</v>
      </c>
      <c r="D15" s="5" t="s">
        <v>21</v>
      </c>
      <c r="E15" s="7">
        <v>441786517.81999904</v>
      </c>
      <c r="F15" s="19"/>
      <c r="G15" s="7">
        <v>18161195.999999966</v>
      </c>
      <c r="H15" s="19"/>
      <c r="I15" s="7">
        <v>-1688376.0700000003</v>
      </c>
      <c r="J15" s="19"/>
      <c r="K15" s="7">
        <v>0</v>
      </c>
      <c r="L15" s="19"/>
      <c r="M15" s="7">
        <v>16472819.929999966</v>
      </c>
      <c r="N15" s="19"/>
      <c r="O15" s="7">
        <v>458259337.74999899</v>
      </c>
      <c r="P15" s="19"/>
      <c r="Q15" s="7">
        <v>449646390.21461505</v>
      </c>
      <c r="R15" s="5"/>
      <c r="S15" s="13">
        <v>-168873001.36840922</v>
      </c>
      <c r="T15" s="5"/>
      <c r="U15" s="13">
        <v>280773388.84620583</v>
      </c>
      <c r="V15" s="19"/>
      <c r="W15" s="7">
        <v>49576.493542817472</v>
      </c>
      <c r="X15" s="19"/>
      <c r="Y15" s="7">
        <v>-168823424.8748664</v>
      </c>
      <c r="Z15" s="19"/>
      <c r="AA15" s="7">
        <v>458259337.75</v>
      </c>
      <c r="AB15" s="7">
        <v>1.0132789611816406E-6</v>
      </c>
    </row>
    <row r="16" spans="1:28">
      <c r="A16" s="2" t="s">
        <v>17</v>
      </c>
      <c r="B16" s="2" t="s">
        <v>2653</v>
      </c>
      <c r="C16" s="2" t="str">
        <f t="shared" si="0"/>
        <v>365</v>
      </c>
      <c r="D16" s="5" t="s">
        <v>22</v>
      </c>
      <c r="E16" s="7">
        <v>459823906.38999897</v>
      </c>
      <c r="F16" s="19"/>
      <c r="G16" s="7">
        <v>34037033.259999968</v>
      </c>
      <c r="H16" s="19"/>
      <c r="I16" s="7">
        <v>-8132221.79</v>
      </c>
      <c r="J16" s="19"/>
      <c r="K16" s="7">
        <v>0</v>
      </c>
      <c r="L16" s="19"/>
      <c r="M16" s="7">
        <v>25904811.469999969</v>
      </c>
      <c r="N16" s="19"/>
      <c r="O16" s="7">
        <v>485728717.85999894</v>
      </c>
      <c r="P16" s="19"/>
      <c r="Q16" s="7">
        <v>472111951.7769224</v>
      </c>
      <c r="R16" s="5"/>
      <c r="S16" s="13">
        <v>-90582045.892717674</v>
      </c>
      <c r="T16" s="5"/>
      <c r="U16" s="13">
        <v>381529905.88420475</v>
      </c>
      <c r="V16" s="19"/>
      <c r="W16" s="7">
        <v>92914.407158595452</v>
      </c>
      <c r="X16" s="19"/>
      <c r="Y16" s="7">
        <v>-90489131.485559076</v>
      </c>
      <c r="Z16" s="19"/>
      <c r="AA16" s="7">
        <v>485728717.859999</v>
      </c>
      <c r="AB16" s="7">
        <v>0</v>
      </c>
    </row>
    <row r="17" spans="1:28">
      <c r="A17" s="2" t="s">
        <v>17</v>
      </c>
      <c r="B17" s="2" t="s">
        <v>2653</v>
      </c>
      <c r="C17" s="2" t="str">
        <f t="shared" si="0"/>
        <v>366</v>
      </c>
      <c r="D17" s="5" t="s">
        <v>23</v>
      </c>
      <c r="E17" s="7">
        <v>2524144.5199999991</v>
      </c>
      <c r="F17" s="19"/>
      <c r="G17" s="7">
        <v>0</v>
      </c>
      <c r="H17" s="19"/>
      <c r="I17" s="7">
        <v>0</v>
      </c>
      <c r="J17" s="19"/>
      <c r="K17" s="7">
        <v>0</v>
      </c>
      <c r="L17" s="19"/>
      <c r="M17" s="7">
        <v>0</v>
      </c>
      <c r="N17" s="19"/>
      <c r="O17" s="7">
        <v>2524144.5199999991</v>
      </c>
      <c r="P17" s="19"/>
      <c r="Q17" s="7">
        <v>2524144.5200000009</v>
      </c>
      <c r="R17" s="5"/>
      <c r="S17" s="13">
        <v>-1176910.1438209901</v>
      </c>
      <c r="T17" s="5"/>
      <c r="U17" s="13">
        <v>1347234.3761790108</v>
      </c>
      <c r="V17" s="19"/>
      <c r="W17" s="7">
        <v>0</v>
      </c>
      <c r="X17" s="19"/>
      <c r="Y17" s="7">
        <v>-1176910.1438209901</v>
      </c>
      <c r="Z17" s="19"/>
      <c r="AA17" s="7">
        <v>2524144.52</v>
      </c>
      <c r="AB17" s="7">
        <v>0</v>
      </c>
    </row>
    <row r="18" spans="1:28">
      <c r="A18" s="2" t="s">
        <v>17</v>
      </c>
      <c r="B18" s="2" t="s">
        <v>2653</v>
      </c>
      <c r="C18" s="2" t="str">
        <f t="shared" si="0"/>
        <v>367</v>
      </c>
      <c r="D18" s="5" t="s">
        <v>24</v>
      </c>
      <c r="E18" s="7">
        <v>235780909.53999901</v>
      </c>
      <c r="F18" s="19"/>
      <c r="G18" s="7">
        <v>18332836.029999975</v>
      </c>
      <c r="H18" s="19"/>
      <c r="I18" s="7">
        <v>0</v>
      </c>
      <c r="J18" s="19"/>
      <c r="K18" s="7">
        <v>0</v>
      </c>
      <c r="L18" s="19"/>
      <c r="M18" s="7">
        <v>18332836.029999975</v>
      </c>
      <c r="N18" s="19"/>
      <c r="O18" s="7">
        <v>254113745.56999898</v>
      </c>
      <c r="P18" s="19"/>
      <c r="Q18" s="7">
        <v>245161809.96076822</v>
      </c>
      <c r="R18" s="5"/>
      <c r="S18" s="13">
        <v>-59828640.963298097</v>
      </c>
      <c r="T18" s="5"/>
      <c r="U18" s="13">
        <v>185333168.99747014</v>
      </c>
      <c r="V18" s="19"/>
      <c r="W18" s="7">
        <v>50045.037070401471</v>
      </c>
      <c r="X18" s="19"/>
      <c r="Y18" s="7">
        <v>-59778595.926227696</v>
      </c>
      <c r="Z18" s="19"/>
      <c r="AA18" s="7">
        <v>254113745.56999901</v>
      </c>
      <c r="AB18" s="7">
        <v>0</v>
      </c>
    </row>
    <row r="19" spans="1:28">
      <c r="A19" s="2" t="s">
        <v>17</v>
      </c>
      <c r="B19" s="2" t="s">
        <v>2653</v>
      </c>
      <c r="C19" s="2" t="str">
        <f t="shared" si="0"/>
        <v>368</v>
      </c>
      <c r="D19" s="5" t="s">
        <v>25</v>
      </c>
      <c r="E19" s="7">
        <v>323896986.74999899</v>
      </c>
      <c r="F19" s="19"/>
      <c r="G19" s="7">
        <v>8902716.8999999985</v>
      </c>
      <c r="H19" s="19"/>
      <c r="I19" s="7">
        <v>-3145000.3799999976</v>
      </c>
      <c r="J19" s="19"/>
      <c r="K19" s="7">
        <v>0</v>
      </c>
      <c r="L19" s="19"/>
      <c r="M19" s="7">
        <v>5757716.5200000014</v>
      </c>
      <c r="N19" s="19"/>
      <c r="O19" s="7">
        <v>329654703.26999897</v>
      </c>
      <c r="P19" s="19"/>
      <c r="Q19" s="7">
        <v>326558524.12538362</v>
      </c>
      <c r="R19" s="5"/>
      <c r="S19" s="13">
        <v>-152831435.61703163</v>
      </c>
      <c r="T19" s="5"/>
      <c r="U19" s="13">
        <v>173727088.50835198</v>
      </c>
      <c r="V19" s="19"/>
      <c r="W19" s="7">
        <v>24302.666350078634</v>
      </c>
      <c r="X19" s="19"/>
      <c r="Y19" s="7">
        <v>-152807132.95068157</v>
      </c>
      <c r="Z19" s="19"/>
      <c r="AA19" s="7">
        <v>329654703.26999903</v>
      </c>
      <c r="AB19" s="7">
        <v>0</v>
      </c>
    </row>
    <row r="20" spans="1:28">
      <c r="A20" s="2" t="s">
        <v>17</v>
      </c>
      <c r="B20" s="2" t="s">
        <v>2653</v>
      </c>
      <c r="C20" s="2" t="str">
        <f t="shared" si="0"/>
        <v>369</v>
      </c>
      <c r="D20" s="5" t="s">
        <v>26</v>
      </c>
      <c r="E20" s="7">
        <v>124898418.39999999</v>
      </c>
      <c r="F20" s="19"/>
      <c r="G20" s="7">
        <v>50000</v>
      </c>
      <c r="H20" s="19"/>
      <c r="I20" s="7">
        <v>0</v>
      </c>
      <c r="J20" s="19"/>
      <c r="K20" s="7">
        <v>0</v>
      </c>
      <c r="L20" s="19"/>
      <c r="M20" s="7">
        <v>50000</v>
      </c>
      <c r="N20" s="19"/>
      <c r="O20" s="7">
        <v>124948418.39999999</v>
      </c>
      <c r="P20" s="19"/>
      <c r="Q20" s="7">
        <v>124944572.24615385</v>
      </c>
      <c r="R20" s="5"/>
      <c r="S20" s="13">
        <v>-66189785.224596865</v>
      </c>
      <c r="T20" s="5"/>
      <c r="U20" s="13">
        <v>58754787.021556981</v>
      </c>
      <c r="V20" s="19"/>
      <c r="W20" s="7">
        <v>136.49016712009924</v>
      </c>
      <c r="X20" s="19"/>
      <c r="Y20" s="7">
        <v>-66189648.734429747</v>
      </c>
      <c r="Z20" s="19"/>
      <c r="AA20" s="7">
        <v>124948418.39999999</v>
      </c>
      <c r="AB20" s="7">
        <v>0</v>
      </c>
    </row>
    <row r="21" spans="1:28">
      <c r="A21" s="2" t="s">
        <v>17</v>
      </c>
      <c r="B21" s="2" t="s">
        <v>2653</v>
      </c>
      <c r="C21" s="2" t="str">
        <f t="shared" si="0"/>
        <v>370</v>
      </c>
      <c r="D21" s="5" t="s">
        <v>27</v>
      </c>
      <c r="E21" s="7">
        <v>77002806.589019895</v>
      </c>
      <c r="F21" s="19"/>
      <c r="G21" s="7">
        <v>1287571.26</v>
      </c>
      <c r="H21" s="19"/>
      <c r="I21" s="7">
        <v>-849268.40793999902</v>
      </c>
      <c r="J21" s="19"/>
      <c r="K21" s="7">
        <v>0</v>
      </c>
      <c r="L21" s="19"/>
      <c r="M21" s="7">
        <v>438302.85206000099</v>
      </c>
      <c r="N21" s="19"/>
      <c r="O21" s="7">
        <v>77441109.4410799</v>
      </c>
      <c r="P21" s="19"/>
      <c r="Q21" s="7">
        <v>77200740.479111478</v>
      </c>
      <c r="R21" s="5"/>
      <c r="S21" s="13">
        <v>-41354360.414635628</v>
      </c>
      <c r="T21" s="5"/>
      <c r="U21" s="13">
        <v>35846380.064475849</v>
      </c>
      <c r="V21" s="19"/>
      <c r="W21" s="7">
        <v>3514.8163291287351</v>
      </c>
      <c r="X21" s="19"/>
      <c r="Y21" s="7">
        <v>-41350845.598306499</v>
      </c>
      <c r="Z21" s="19"/>
      <c r="AA21" s="7">
        <v>77441109.441080004</v>
      </c>
      <c r="AB21" s="7">
        <v>0</v>
      </c>
    </row>
    <row r="22" spans="1:28">
      <c r="A22" s="2" t="s">
        <v>17</v>
      </c>
      <c r="B22" s="2" t="s">
        <v>2653</v>
      </c>
      <c r="D22" s="5" t="s">
        <v>3718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19"/>
      <c r="Q22" s="7">
        <v>0</v>
      </c>
      <c r="R22" s="5"/>
      <c r="S22" s="13">
        <v>0</v>
      </c>
      <c r="T22" s="5"/>
      <c r="U22" s="13">
        <v>0</v>
      </c>
      <c r="V22" s="19"/>
      <c r="W22" s="7">
        <v>0</v>
      </c>
      <c r="X22" s="19"/>
      <c r="Y22" s="7">
        <v>0</v>
      </c>
      <c r="Z22" s="19"/>
      <c r="AA22" s="7">
        <v>0</v>
      </c>
      <c r="AB22" s="7">
        <v>0</v>
      </c>
    </row>
    <row r="23" spans="1:28">
      <c r="A23" s="9" t="s">
        <v>17</v>
      </c>
      <c r="B23" s="2" t="s">
        <v>2653</v>
      </c>
      <c r="C23" s="9"/>
      <c r="D23" s="5" t="s">
        <v>2382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19"/>
      <c r="Q23" s="7">
        <v>0</v>
      </c>
      <c r="R23" s="5"/>
      <c r="S23" s="13">
        <v>0</v>
      </c>
      <c r="T23" s="5"/>
      <c r="U23" s="13">
        <v>0</v>
      </c>
      <c r="V23" s="19"/>
      <c r="W23" s="7">
        <v>0</v>
      </c>
      <c r="X23" s="19"/>
      <c r="Y23" s="7">
        <v>0</v>
      </c>
      <c r="Z23" s="19"/>
      <c r="AA23" s="7">
        <v>0</v>
      </c>
      <c r="AB23" s="7">
        <v>0</v>
      </c>
    </row>
    <row r="24" spans="1:28">
      <c r="A24" s="2" t="s">
        <v>17</v>
      </c>
      <c r="B24" s="2" t="s">
        <v>2653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19"/>
      <c r="Q24" s="7">
        <v>159233.80999999997</v>
      </c>
      <c r="R24" s="5"/>
      <c r="S24" s="13">
        <v>-39221.07467199993</v>
      </c>
      <c r="T24" s="5"/>
      <c r="U24" s="13">
        <v>120012.73532800004</v>
      </c>
      <c r="V24" s="19"/>
      <c r="W24" s="7">
        <v>0</v>
      </c>
      <c r="X24" s="19"/>
      <c r="Y24" s="7">
        <v>-39221.07467199993</v>
      </c>
      <c r="Z24" s="19"/>
      <c r="AA24" s="7">
        <v>159233.81</v>
      </c>
      <c r="AB24" s="7">
        <v>0</v>
      </c>
    </row>
    <row r="25" spans="1:28" s="9" customFormat="1">
      <c r="A25" s="2" t="s">
        <v>17</v>
      </c>
      <c r="B25" s="2" t="s">
        <v>2653</v>
      </c>
      <c r="C25" s="2" t="str">
        <f t="shared" si="1"/>
        <v>373</v>
      </c>
      <c r="D25" s="5" t="s">
        <v>29</v>
      </c>
      <c r="E25" s="7">
        <v>139452060.299999</v>
      </c>
      <c r="F25" s="18"/>
      <c r="G25" s="7">
        <v>9601278.4499999974</v>
      </c>
      <c r="H25" s="18"/>
      <c r="I25" s="7">
        <v>-1862187.3899999997</v>
      </c>
      <c r="J25" s="18"/>
      <c r="K25" s="7">
        <v>0</v>
      </c>
      <c r="L25" s="18"/>
      <c r="M25" s="17">
        <v>7739091.0599999977</v>
      </c>
      <c r="N25" s="18"/>
      <c r="O25" s="17">
        <v>147191151.359999</v>
      </c>
      <c r="P25" s="18"/>
      <c r="Q25" s="17">
        <v>143087299.06384519</v>
      </c>
      <c r="R25" s="5"/>
      <c r="S25" s="13">
        <v>-51538417.749534518</v>
      </c>
      <c r="T25" s="5"/>
      <c r="U25" s="13">
        <v>91548881.31431067</v>
      </c>
      <c r="V25" s="18"/>
      <c r="W25" s="7">
        <v>26209.60200414214</v>
      </c>
      <c r="X25" s="18"/>
      <c r="Y25" s="7">
        <v>-51512208.147530377</v>
      </c>
      <c r="Z25" s="18"/>
      <c r="AA25" s="7">
        <v>147191151.359999</v>
      </c>
      <c r="AB25" s="7">
        <v>0</v>
      </c>
    </row>
    <row r="26" spans="1:28">
      <c r="A26" s="2" t="s">
        <v>17</v>
      </c>
      <c r="B26" s="2" t="s">
        <v>2653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8"/>
      <c r="Q26" s="17">
        <v>510376.10000000009</v>
      </c>
      <c r="R26" s="14"/>
      <c r="S26" s="15">
        <v>-144196.93317807431</v>
      </c>
      <c r="T26" s="14"/>
      <c r="U26" s="15">
        <v>366179.16682192578</v>
      </c>
      <c r="V26" s="18"/>
      <c r="W26" s="17">
        <v>0</v>
      </c>
      <c r="X26" s="18"/>
      <c r="Y26" s="17">
        <v>-144196.93317807431</v>
      </c>
      <c r="Z26" s="18"/>
      <c r="AA26" s="17">
        <v>510376.10000000003</v>
      </c>
      <c r="AB26" s="17">
        <v>0</v>
      </c>
    </row>
    <row r="27" spans="1:28">
      <c r="B27" s="2" t="s">
        <v>2653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18"/>
      <c r="Q27" s="17">
        <v>0</v>
      </c>
      <c r="R27" s="5"/>
      <c r="S27" s="15">
        <v>0</v>
      </c>
      <c r="T27" s="5"/>
      <c r="U27" s="15">
        <v>0</v>
      </c>
      <c r="V27" s="18"/>
      <c r="W27" s="17">
        <v>0</v>
      </c>
      <c r="X27" s="18"/>
      <c r="Y27" s="17">
        <v>0</v>
      </c>
      <c r="Z27" s="18"/>
      <c r="AA27" s="17">
        <v>0</v>
      </c>
      <c r="AB27" s="17">
        <v>0</v>
      </c>
    </row>
    <row r="28" spans="1:28">
      <c r="B28" s="2" t="s">
        <v>2653</v>
      </c>
      <c r="D28" s="5"/>
      <c r="E28" s="432">
        <v>2132515248.5290148</v>
      </c>
      <c r="F28" s="18"/>
      <c r="G28" s="432">
        <v>127008555.74999991</v>
      </c>
      <c r="H28" s="18"/>
      <c r="I28" s="432">
        <v>-17065300.217939995</v>
      </c>
      <c r="J28" s="18"/>
      <c r="K28" s="432">
        <v>0</v>
      </c>
      <c r="L28" s="18"/>
      <c r="M28" s="432">
        <v>109943255.53205991</v>
      </c>
      <c r="N28" s="18"/>
      <c r="O28" s="432">
        <v>2242458504.0610747</v>
      </c>
      <c r="P28" s="18"/>
      <c r="Q28" s="432">
        <v>2187042871.1998763</v>
      </c>
      <c r="R28" s="5"/>
      <c r="S28" s="432">
        <v>-694923767.49429107</v>
      </c>
      <c r="T28" s="5"/>
      <c r="U28" s="432">
        <v>1492119103.7055855</v>
      </c>
      <c r="V28" s="18"/>
      <c r="W28" s="432">
        <v>346708.37999999861</v>
      </c>
      <c r="X28" s="18"/>
      <c r="Y28" s="432">
        <v>-694577059.11429107</v>
      </c>
      <c r="Z28" s="18"/>
      <c r="AA28" s="432">
        <v>2242458504.0610762</v>
      </c>
      <c r="AB28" s="432">
        <v>1.0132789611816406E-6</v>
      </c>
    </row>
    <row r="29" spans="1:28">
      <c r="B29" s="2" t="s">
        <v>2653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5"/>
      <c r="S29" s="5"/>
      <c r="T29" s="5"/>
      <c r="U29" s="5"/>
      <c r="V29" s="18"/>
      <c r="W29" s="17"/>
      <c r="X29" s="18"/>
      <c r="Y29" s="17"/>
      <c r="Z29" s="18"/>
      <c r="AA29" s="17"/>
      <c r="AB29" s="17"/>
    </row>
    <row r="30" spans="1:28">
      <c r="B30" s="2" t="s">
        <v>2653</v>
      </c>
      <c r="D30" s="8" t="s">
        <v>2661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5"/>
      <c r="S30" s="5"/>
      <c r="T30" s="5"/>
      <c r="U30" s="5"/>
      <c r="V30" s="18"/>
      <c r="W30" s="17"/>
      <c r="X30" s="18"/>
      <c r="Y30" s="17"/>
      <c r="Z30" s="18"/>
      <c r="AA30" s="17"/>
      <c r="AB30" s="17"/>
    </row>
    <row r="31" spans="1:28">
      <c r="A31" s="2" t="s">
        <v>17</v>
      </c>
      <c r="B31" s="2" t="s">
        <v>2653</v>
      </c>
      <c r="C31" s="2" t="str">
        <f t="shared" ref="C31:C46" si="2">MID(D31,2,3)</f>
        <v>389</v>
      </c>
      <c r="D31" s="5" t="s">
        <v>2383</v>
      </c>
      <c r="E31" s="7">
        <v>3050771.81</v>
      </c>
      <c r="F31" s="19"/>
      <c r="G31" s="7">
        <v>1075954.3699999999</v>
      </c>
      <c r="H31" s="19"/>
      <c r="I31" s="7">
        <v>0</v>
      </c>
      <c r="J31" s="19"/>
      <c r="K31" s="7">
        <v>0</v>
      </c>
      <c r="L31" s="19"/>
      <c r="M31" s="7">
        <v>1075954.3699999999</v>
      </c>
      <c r="N31" s="19"/>
      <c r="O31" s="7">
        <v>4126726.1799999997</v>
      </c>
      <c r="P31" s="19"/>
      <c r="Q31" s="7">
        <v>3630131.8553846148</v>
      </c>
      <c r="R31" s="5"/>
      <c r="S31" s="13">
        <v>0</v>
      </c>
      <c r="T31" s="5"/>
      <c r="U31" s="13">
        <v>3630131.8553846148</v>
      </c>
      <c r="V31" s="19"/>
      <c r="W31" s="7">
        <v>124.94086516605879</v>
      </c>
      <c r="X31" s="19"/>
      <c r="Y31" s="7">
        <v>124.94086516605879</v>
      </c>
      <c r="Z31" s="19"/>
      <c r="AA31" s="7">
        <v>4126726.1800000006</v>
      </c>
      <c r="AB31" s="7">
        <v>0</v>
      </c>
    </row>
    <row r="32" spans="1:28">
      <c r="A32" s="2" t="s">
        <v>17</v>
      </c>
      <c r="B32" s="2" t="s">
        <v>2653</v>
      </c>
      <c r="C32" s="2" t="str">
        <f t="shared" si="2"/>
        <v>390</v>
      </c>
      <c r="D32" s="5" t="s">
        <v>34</v>
      </c>
      <c r="E32" s="7">
        <v>93792816.719999984</v>
      </c>
      <c r="F32" s="19"/>
      <c r="G32" s="7">
        <v>11535298.730000002</v>
      </c>
      <c r="H32" s="19"/>
      <c r="I32" s="7">
        <v>0</v>
      </c>
      <c r="J32" s="19"/>
      <c r="K32" s="7">
        <v>0</v>
      </c>
      <c r="L32" s="19"/>
      <c r="M32" s="7">
        <v>11535298.730000002</v>
      </c>
      <c r="N32" s="19"/>
      <c r="O32" s="7">
        <v>105328115.44999999</v>
      </c>
      <c r="P32" s="19"/>
      <c r="Q32" s="7">
        <v>100859266.33153844</v>
      </c>
      <c r="R32" s="5"/>
      <c r="S32" s="13">
        <v>-17119280.554561336</v>
      </c>
      <c r="T32" s="5"/>
      <c r="U32" s="13">
        <v>83739985.776977107</v>
      </c>
      <c r="V32" s="19"/>
      <c r="W32" s="7">
        <v>1339.4900782596753</v>
      </c>
      <c r="X32" s="19"/>
      <c r="Y32" s="7">
        <v>-17117941.064483076</v>
      </c>
      <c r="Z32" s="19"/>
      <c r="AA32" s="7">
        <v>105328115.45</v>
      </c>
      <c r="AB32" s="7">
        <v>0</v>
      </c>
    </row>
    <row r="33" spans="1:28">
      <c r="A33" s="2" t="s">
        <v>17</v>
      </c>
      <c r="B33" s="2" t="s">
        <v>2653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19"/>
      <c r="Q33" s="7">
        <v>0</v>
      </c>
      <c r="R33" s="5"/>
      <c r="S33" s="13">
        <v>0</v>
      </c>
      <c r="T33" s="5"/>
      <c r="U33" s="13">
        <v>0</v>
      </c>
      <c r="V33" s="19"/>
      <c r="W33" s="7">
        <v>0</v>
      </c>
      <c r="X33" s="19"/>
      <c r="Y33" s="7">
        <v>0</v>
      </c>
      <c r="Z33" s="19"/>
      <c r="AA33" s="7">
        <v>0</v>
      </c>
      <c r="AB33" s="7">
        <v>0</v>
      </c>
    </row>
    <row r="34" spans="1:28">
      <c r="A34" s="2" t="s">
        <v>17</v>
      </c>
      <c r="B34" s="2" t="s">
        <v>2653</v>
      </c>
      <c r="C34" s="2" t="str">
        <f t="shared" ref="C34" si="3">MID(D34,2,3)</f>
        <v>391</v>
      </c>
      <c r="D34" s="5" t="s">
        <v>36</v>
      </c>
      <c r="E34" s="7">
        <v>42539389.749999903</v>
      </c>
      <c r="F34" s="19"/>
      <c r="G34" s="7">
        <v>7346868.370000001</v>
      </c>
      <c r="H34" s="19"/>
      <c r="I34" s="7">
        <v>-4553956.57</v>
      </c>
      <c r="J34" s="19"/>
      <c r="K34" s="7">
        <v>0</v>
      </c>
      <c r="L34" s="19"/>
      <c r="M34" s="7">
        <v>2792911.8000000007</v>
      </c>
      <c r="N34" s="19"/>
      <c r="O34" s="7">
        <v>45332301.549999908</v>
      </c>
      <c r="P34" s="19"/>
      <c r="Q34" s="7">
        <v>44265270.720769182</v>
      </c>
      <c r="R34" s="5"/>
      <c r="S34" s="13">
        <v>-14188114.582525328</v>
      </c>
      <c r="T34" s="5"/>
      <c r="U34" s="13">
        <v>30077156.138243854</v>
      </c>
      <c r="V34" s="19"/>
      <c r="W34" s="7">
        <v>853.12548190027076</v>
      </c>
      <c r="X34" s="19"/>
      <c r="Y34" s="7">
        <v>-14187261.457043428</v>
      </c>
      <c r="Z34" s="19"/>
      <c r="AA34" s="7">
        <v>45332301.550000004</v>
      </c>
      <c r="AB34" s="7">
        <v>9.6857547760009766E-8</v>
      </c>
    </row>
    <row r="35" spans="1:28">
      <c r="A35" s="2" t="s">
        <v>17</v>
      </c>
      <c r="B35" s="2" t="s">
        <v>2653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19"/>
      <c r="Q35" s="7">
        <v>0</v>
      </c>
      <c r="R35" s="5"/>
      <c r="S35" s="13">
        <v>0</v>
      </c>
      <c r="T35" s="5"/>
      <c r="U35" s="13">
        <v>0</v>
      </c>
      <c r="V35" s="19"/>
      <c r="W35" s="7">
        <v>0</v>
      </c>
      <c r="X35" s="19"/>
      <c r="Y35" s="7">
        <v>0</v>
      </c>
      <c r="Z35" s="19"/>
      <c r="AA35" s="7">
        <v>0</v>
      </c>
      <c r="AB35" s="7">
        <v>0</v>
      </c>
    </row>
    <row r="36" spans="1:28" s="9" customFormat="1">
      <c r="A36" s="9" t="s">
        <v>17</v>
      </c>
      <c r="B36" s="2" t="s">
        <v>2653</v>
      </c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19"/>
      <c r="Q36" s="7">
        <v>0</v>
      </c>
      <c r="R36" s="5"/>
      <c r="S36" s="13">
        <v>0</v>
      </c>
      <c r="T36" s="5"/>
      <c r="U36" s="13">
        <v>0</v>
      </c>
      <c r="V36" s="19"/>
      <c r="W36" s="7">
        <v>0</v>
      </c>
      <c r="X36" s="19"/>
      <c r="Y36" s="7">
        <v>0</v>
      </c>
      <c r="Z36" s="19"/>
      <c r="AA36" s="7">
        <v>0</v>
      </c>
      <c r="AB36" s="7">
        <v>0</v>
      </c>
    </row>
    <row r="37" spans="1:28">
      <c r="A37" s="2" t="s">
        <v>17</v>
      </c>
      <c r="B37" s="2" t="s">
        <v>2653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19"/>
      <c r="Q37" s="7">
        <v>0</v>
      </c>
      <c r="R37" s="5"/>
      <c r="S37" s="13">
        <v>0</v>
      </c>
      <c r="T37" s="5"/>
      <c r="U37" s="13">
        <v>0</v>
      </c>
      <c r="V37" s="19"/>
      <c r="W37" s="7">
        <v>0</v>
      </c>
      <c r="X37" s="19"/>
      <c r="Y37" s="7">
        <v>0</v>
      </c>
      <c r="Z37" s="19"/>
      <c r="AA37" s="7">
        <v>0</v>
      </c>
      <c r="AB37" s="7">
        <v>0</v>
      </c>
    </row>
    <row r="38" spans="1:28">
      <c r="A38" s="2" t="s">
        <v>17</v>
      </c>
      <c r="B38" s="2" t="s">
        <v>2653</v>
      </c>
      <c r="C38" s="2" t="str">
        <f t="shared" si="2"/>
        <v>392</v>
      </c>
      <c r="D38" s="5" t="s">
        <v>40</v>
      </c>
      <c r="E38" s="7">
        <v>8603431.9399999995</v>
      </c>
      <c r="F38" s="19"/>
      <c r="G38" s="7">
        <v>0</v>
      </c>
      <c r="H38" s="19"/>
      <c r="I38" s="7">
        <v>0</v>
      </c>
      <c r="J38" s="19"/>
      <c r="K38" s="7">
        <v>0</v>
      </c>
      <c r="L38" s="19"/>
      <c r="M38" s="7">
        <v>0</v>
      </c>
      <c r="N38" s="19"/>
      <c r="O38" s="7">
        <v>8603431.9399999995</v>
      </c>
      <c r="P38" s="19"/>
      <c r="Q38" s="7">
        <v>8603431.9399999995</v>
      </c>
      <c r="R38" s="5"/>
      <c r="S38" s="13">
        <v>-4738241.2678909963</v>
      </c>
      <c r="T38" s="5"/>
      <c r="U38" s="13">
        <v>3865190.6721090032</v>
      </c>
      <c r="V38" s="19"/>
      <c r="W38" s="7">
        <v>0</v>
      </c>
      <c r="X38" s="19"/>
      <c r="Y38" s="7">
        <v>-4738241.2678909963</v>
      </c>
      <c r="Z38" s="19"/>
      <c r="AA38" s="7">
        <v>8603431.9399999995</v>
      </c>
      <c r="AB38" s="7">
        <v>0</v>
      </c>
    </row>
    <row r="39" spans="1:28">
      <c r="A39" s="2" t="s">
        <v>17</v>
      </c>
      <c r="B39" s="2" t="s">
        <v>2653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19"/>
      <c r="Q39" s="7">
        <v>0</v>
      </c>
      <c r="R39" s="5"/>
      <c r="S39" s="13">
        <v>0</v>
      </c>
      <c r="T39" s="5"/>
      <c r="U39" s="13">
        <v>0</v>
      </c>
      <c r="V39" s="19"/>
      <c r="W39" s="7">
        <v>0</v>
      </c>
      <c r="X39" s="19"/>
      <c r="Y39" s="7">
        <v>0</v>
      </c>
      <c r="Z39" s="19"/>
      <c r="AA39" s="7">
        <v>0</v>
      </c>
      <c r="AB39" s="7">
        <v>0</v>
      </c>
    </row>
    <row r="40" spans="1:28">
      <c r="A40" s="2" t="s">
        <v>17</v>
      </c>
      <c r="B40" s="2" t="s">
        <v>2653</v>
      </c>
      <c r="C40" s="2" t="str">
        <f t="shared" si="2"/>
        <v>393</v>
      </c>
      <c r="D40" s="5" t="s">
        <v>42</v>
      </c>
      <c r="E40" s="7">
        <v>1039572.75999999</v>
      </c>
      <c r="F40" s="19"/>
      <c r="G40" s="7">
        <v>0</v>
      </c>
      <c r="H40" s="19"/>
      <c r="I40" s="7">
        <v>-13203</v>
      </c>
      <c r="J40" s="19"/>
      <c r="K40" s="7">
        <v>0</v>
      </c>
      <c r="L40" s="19"/>
      <c r="M40" s="7">
        <v>-13203</v>
      </c>
      <c r="N40" s="19"/>
      <c r="O40" s="7">
        <v>1026369.75999999</v>
      </c>
      <c r="P40" s="19"/>
      <c r="Q40" s="7">
        <v>1028665.9292307595</v>
      </c>
      <c r="R40" s="5"/>
      <c r="S40" s="13">
        <v>-380804.71870646125</v>
      </c>
      <c r="T40" s="5"/>
      <c r="U40" s="13">
        <v>647861.21052429825</v>
      </c>
      <c r="V40" s="19"/>
      <c r="W40" s="7">
        <v>0</v>
      </c>
      <c r="X40" s="19"/>
      <c r="Y40" s="7">
        <v>-380804.71870646125</v>
      </c>
      <c r="Z40" s="19"/>
      <c r="AA40" s="7">
        <v>1026369.75999999</v>
      </c>
      <c r="AB40" s="7">
        <v>0</v>
      </c>
    </row>
    <row r="41" spans="1:28">
      <c r="A41" s="2" t="s">
        <v>17</v>
      </c>
      <c r="B41" s="2" t="s">
        <v>2653</v>
      </c>
      <c r="C41" s="2" t="str">
        <f t="shared" si="2"/>
        <v>394</v>
      </c>
      <c r="D41" s="5" t="s">
        <v>43</v>
      </c>
      <c r="E41" s="7">
        <v>16980269.609999999</v>
      </c>
      <c r="F41" s="19"/>
      <c r="G41" s="7">
        <v>2148219.5699999989</v>
      </c>
      <c r="H41" s="19"/>
      <c r="I41" s="7">
        <v>-245792.25999999995</v>
      </c>
      <c r="J41" s="19"/>
      <c r="K41" s="7">
        <v>0</v>
      </c>
      <c r="L41" s="19"/>
      <c r="M41" s="7">
        <v>1902427.3099999989</v>
      </c>
      <c r="N41" s="19"/>
      <c r="O41" s="7">
        <v>18882696.919999998</v>
      </c>
      <c r="P41" s="19"/>
      <c r="Q41" s="7">
        <v>18062885.585384611</v>
      </c>
      <c r="R41" s="5"/>
      <c r="S41" s="13">
        <v>-5809189.4030130776</v>
      </c>
      <c r="T41" s="5"/>
      <c r="U41" s="13">
        <v>12253696.182371534</v>
      </c>
      <c r="V41" s="19"/>
      <c r="W41" s="7">
        <v>249.45334033306514</v>
      </c>
      <c r="X41" s="19"/>
      <c r="Y41" s="7">
        <v>-5808939.9496727446</v>
      </c>
      <c r="Z41" s="19"/>
      <c r="AA41" s="7">
        <v>18882696.919999998</v>
      </c>
      <c r="AB41" s="7">
        <v>0</v>
      </c>
    </row>
    <row r="42" spans="1:28">
      <c r="A42" s="2" t="s">
        <v>17</v>
      </c>
      <c r="B42" s="2" t="s">
        <v>2653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19"/>
      <c r="Q42" s="7">
        <v>0</v>
      </c>
      <c r="R42" s="5"/>
      <c r="S42" s="13">
        <v>0</v>
      </c>
      <c r="T42" s="5"/>
      <c r="U42" s="13">
        <v>0</v>
      </c>
      <c r="V42" s="19"/>
      <c r="W42" s="7">
        <v>0</v>
      </c>
      <c r="X42" s="19"/>
      <c r="Y42" s="7">
        <v>0</v>
      </c>
      <c r="Z42" s="19"/>
      <c r="AA42" s="7">
        <v>0</v>
      </c>
      <c r="AB42" s="7">
        <v>0</v>
      </c>
    </row>
    <row r="43" spans="1:28" s="9" customFormat="1">
      <c r="A43" s="2" t="s">
        <v>17</v>
      </c>
      <c r="B43" s="2" t="s">
        <v>2653</v>
      </c>
      <c r="C43" s="2" t="str">
        <f t="shared" si="2"/>
        <v>396</v>
      </c>
      <c r="D43" s="5" t="s">
        <v>2384</v>
      </c>
      <c r="E43" s="7">
        <v>5327504.3600000003</v>
      </c>
      <c r="F43" s="19"/>
      <c r="G43" s="7">
        <v>0</v>
      </c>
      <c r="H43" s="19"/>
      <c r="I43" s="7">
        <v>0</v>
      </c>
      <c r="J43" s="19"/>
      <c r="K43" s="7">
        <v>0</v>
      </c>
      <c r="L43" s="19"/>
      <c r="M43" s="7">
        <v>0</v>
      </c>
      <c r="N43" s="19"/>
      <c r="O43" s="7">
        <v>5327504.3600000003</v>
      </c>
      <c r="P43" s="19"/>
      <c r="Q43" s="7">
        <v>5327504.3600000003</v>
      </c>
      <c r="R43" s="5"/>
      <c r="S43" s="13">
        <v>-2050620.8718079992</v>
      </c>
      <c r="T43" s="5"/>
      <c r="U43" s="13">
        <v>3276883.4881920014</v>
      </c>
      <c r="V43" s="19"/>
      <c r="W43" s="7">
        <v>0</v>
      </c>
      <c r="X43" s="19"/>
      <c r="Y43" s="7">
        <v>-2050620.8718079992</v>
      </c>
      <c r="Z43" s="19"/>
      <c r="AA43" s="7">
        <v>5327504.3600000003</v>
      </c>
      <c r="AB43" s="7">
        <v>0</v>
      </c>
    </row>
    <row r="44" spans="1:28" s="9" customFormat="1">
      <c r="A44" s="2" t="s">
        <v>17</v>
      </c>
      <c r="B44" s="2" t="s">
        <v>2653</v>
      </c>
      <c r="C44" s="2" t="str">
        <f t="shared" si="2"/>
        <v>397</v>
      </c>
      <c r="D44" s="5" t="s">
        <v>2174</v>
      </c>
      <c r="E44" s="7">
        <v>65606058.329999998</v>
      </c>
      <c r="F44" s="19"/>
      <c r="G44" s="7">
        <v>5601084.25</v>
      </c>
      <c r="H44" s="19"/>
      <c r="I44" s="7">
        <v>0</v>
      </c>
      <c r="J44" s="19"/>
      <c r="K44" s="7">
        <v>0</v>
      </c>
      <c r="L44" s="19"/>
      <c r="M44" s="7">
        <v>5601084.25</v>
      </c>
      <c r="N44" s="19"/>
      <c r="O44" s="7">
        <v>71207142.579999998</v>
      </c>
      <c r="P44" s="19"/>
      <c r="Q44" s="7">
        <v>68012195.716922969</v>
      </c>
      <c r="R44" s="5"/>
      <c r="S44" s="13">
        <v>-36187607.135092288</v>
      </c>
      <c r="T44" s="5"/>
      <c r="U44" s="13">
        <v>31824588.58183068</v>
      </c>
      <c r="V44" s="19"/>
      <c r="W44" s="7">
        <v>650.40333640076722</v>
      </c>
      <c r="X44" s="19"/>
      <c r="Y44" s="7">
        <v>-36186956.73175589</v>
      </c>
      <c r="Z44" s="19"/>
      <c r="AA44" s="7">
        <v>71207142.579999894</v>
      </c>
      <c r="AB44" s="7">
        <v>0</v>
      </c>
    </row>
    <row r="45" spans="1:28">
      <c r="A45" s="2" t="s">
        <v>17</v>
      </c>
      <c r="B45" s="2" t="s">
        <v>2653</v>
      </c>
      <c r="C45" s="9"/>
      <c r="D45" s="5" t="s">
        <v>2175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19"/>
      <c r="Q45" s="7">
        <v>0</v>
      </c>
      <c r="R45" s="5"/>
      <c r="S45" s="13">
        <v>0</v>
      </c>
      <c r="T45" s="5"/>
      <c r="U45" s="13">
        <v>0</v>
      </c>
      <c r="V45" s="19"/>
      <c r="W45" s="7">
        <v>0</v>
      </c>
      <c r="X45" s="19"/>
      <c r="Y45" s="7">
        <v>0</v>
      </c>
      <c r="Z45" s="19"/>
      <c r="AA45" s="7">
        <v>0</v>
      </c>
      <c r="AB45" s="7">
        <v>0</v>
      </c>
    </row>
    <row r="46" spans="1:28">
      <c r="A46" s="2" t="s">
        <v>17</v>
      </c>
      <c r="B46" s="2" t="s">
        <v>2653</v>
      </c>
      <c r="C46" s="2" t="str">
        <f t="shared" si="2"/>
        <v>397</v>
      </c>
      <c r="D46" s="5" t="s">
        <v>45</v>
      </c>
      <c r="E46" s="7">
        <v>7605742.1099999901</v>
      </c>
      <c r="F46" s="19"/>
      <c r="G46" s="7">
        <v>65250.040000000015</v>
      </c>
      <c r="H46" s="19"/>
      <c r="I46" s="7">
        <v>0</v>
      </c>
      <c r="J46" s="19"/>
      <c r="K46" s="7">
        <v>0</v>
      </c>
      <c r="L46" s="19"/>
      <c r="M46" s="7">
        <v>65250.040000000015</v>
      </c>
      <c r="N46" s="19"/>
      <c r="O46" s="7">
        <v>7670992.1499999901</v>
      </c>
      <c r="P46" s="19"/>
      <c r="Q46" s="7">
        <v>7637963.2915384527</v>
      </c>
      <c r="R46" s="5"/>
      <c r="S46" s="13">
        <v>-5866547.1260484615</v>
      </c>
      <c r="T46" s="5"/>
      <c r="U46" s="13">
        <v>1771416.1654899912</v>
      </c>
      <c r="V46" s="19"/>
      <c r="W46" s="7">
        <v>7.5768979401235628</v>
      </c>
      <c r="X46" s="19"/>
      <c r="Y46" s="7">
        <v>-5866539.5491505219</v>
      </c>
      <c r="Z46" s="19"/>
      <c r="AA46" s="7">
        <v>7670992.1499999901</v>
      </c>
      <c r="AB46" s="7">
        <v>0</v>
      </c>
    </row>
    <row r="47" spans="1:28">
      <c r="A47" s="2" t="s">
        <v>17</v>
      </c>
      <c r="B47" s="2" t="s">
        <v>2653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18"/>
      <c r="Q47" s="20">
        <v>0</v>
      </c>
      <c r="R47" s="5"/>
      <c r="S47" s="21">
        <v>0</v>
      </c>
      <c r="T47" s="5"/>
      <c r="U47" s="21">
        <v>0</v>
      </c>
      <c r="V47" s="18"/>
      <c r="W47" s="20">
        <v>0</v>
      </c>
      <c r="X47" s="18"/>
      <c r="Y47" s="20">
        <v>0</v>
      </c>
      <c r="Z47" s="18"/>
      <c r="AA47" s="20">
        <v>0</v>
      </c>
      <c r="AB47" s="20">
        <v>0</v>
      </c>
    </row>
    <row r="48" spans="1:28">
      <c r="B48" s="2" t="s">
        <v>2653</v>
      </c>
      <c r="D48" s="5"/>
      <c r="E48" s="17">
        <v>244545557.38999984</v>
      </c>
      <c r="F48" s="18"/>
      <c r="G48" s="17">
        <v>27772675.330000002</v>
      </c>
      <c r="H48" s="18"/>
      <c r="I48" s="17">
        <v>-4812951.83</v>
      </c>
      <c r="J48" s="18"/>
      <c r="K48" s="17">
        <v>0</v>
      </c>
      <c r="L48" s="18"/>
      <c r="M48" s="17">
        <v>22959723.5</v>
      </c>
      <c r="N48" s="18"/>
      <c r="O48" s="17">
        <v>267505280.88999987</v>
      </c>
      <c r="P48" s="18"/>
      <c r="Q48" s="17">
        <v>257427315.73076904</v>
      </c>
      <c r="R48" s="5"/>
      <c r="S48" s="17">
        <v>-86340405.659645945</v>
      </c>
      <c r="T48" s="5"/>
      <c r="U48" s="17">
        <v>171086910.07112309</v>
      </c>
      <c r="V48" s="18"/>
      <c r="W48" s="17">
        <v>3224.9899999999607</v>
      </c>
      <c r="X48" s="18"/>
      <c r="Y48" s="17">
        <v>-86337180.66964595</v>
      </c>
      <c r="Z48" s="18"/>
      <c r="AA48" s="17">
        <v>267505280.88999987</v>
      </c>
      <c r="AB48" s="17">
        <v>9.6857547760009766E-8</v>
      </c>
    </row>
    <row r="49" spans="1:28">
      <c r="B49" s="2" t="s">
        <v>2653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5"/>
      <c r="S49" s="5"/>
      <c r="T49" s="5"/>
      <c r="U49" s="5"/>
      <c r="V49" s="18"/>
      <c r="W49" s="17"/>
      <c r="X49" s="18"/>
      <c r="Y49" s="17"/>
      <c r="Z49" s="18"/>
      <c r="AA49" s="17"/>
      <c r="AB49" s="17"/>
    </row>
    <row r="50" spans="1:28">
      <c r="B50" s="2" t="s">
        <v>2653</v>
      </c>
      <c r="D50" s="8" t="s">
        <v>2662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5"/>
      <c r="S50" s="5"/>
      <c r="T50" s="5"/>
      <c r="U50" s="5"/>
      <c r="V50" s="18"/>
      <c r="W50" s="17"/>
      <c r="X50" s="18"/>
      <c r="Y50" s="17"/>
      <c r="Z50" s="18"/>
      <c r="AA50" s="17"/>
      <c r="AB50" s="17"/>
    </row>
    <row r="51" spans="1:28">
      <c r="A51" s="2" t="s">
        <v>17</v>
      </c>
      <c r="B51" s="2" t="s">
        <v>2653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18"/>
      <c r="Q51" s="17">
        <v>855636.47000000009</v>
      </c>
      <c r="R51" s="5"/>
      <c r="S51" s="13">
        <v>-855635.59999999974</v>
      </c>
      <c r="T51" s="5"/>
      <c r="U51" s="13">
        <v>0.87000000034458935</v>
      </c>
      <c r="V51" s="18"/>
      <c r="W51" s="7">
        <v>0</v>
      </c>
      <c r="X51" s="19"/>
      <c r="Y51" s="7">
        <v>-855635.59999999974</v>
      </c>
      <c r="Z51" s="19"/>
      <c r="AA51" s="7">
        <v>855636.47000000009</v>
      </c>
      <c r="AB51" s="7">
        <v>0</v>
      </c>
    </row>
    <row r="52" spans="1:28">
      <c r="A52" s="2" t="s">
        <v>17</v>
      </c>
      <c r="B52" s="2" t="s">
        <v>2653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857423.3</v>
      </c>
      <c r="H52" s="18"/>
      <c r="I52" s="17">
        <v>0</v>
      </c>
      <c r="J52" s="18"/>
      <c r="K52" s="17">
        <v>0</v>
      </c>
      <c r="L52" s="18"/>
      <c r="M52" s="17">
        <v>857423.3</v>
      </c>
      <c r="N52" s="18"/>
      <c r="O52" s="17">
        <v>5384037.4900000002</v>
      </c>
      <c r="P52" s="18"/>
      <c r="Q52" s="17">
        <v>5186170.5746153845</v>
      </c>
      <c r="R52" s="5"/>
      <c r="S52" s="13">
        <v>-749058.7646901448</v>
      </c>
      <c r="T52" s="5"/>
      <c r="U52" s="13">
        <v>4437111.8099252395</v>
      </c>
      <c r="V52" s="18"/>
      <c r="W52" s="7">
        <v>795.62872158532048</v>
      </c>
      <c r="X52" s="19"/>
      <c r="Y52" s="7">
        <v>-748263.13596855954</v>
      </c>
      <c r="Z52" s="19"/>
      <c r="AA52" s="7">
        <v>5384037.4899999993</v>
      </c>
      <c r="AB52" s="7">
        <v>0</v>
      </c>
    </row>
    <row r="53" spans="1:28">
      <c r="A53" s="2" t="s">
        <v>17</v>
      </c>
      <c r="B53" s="2" t="s">
        <v>2653</v>
      </c>
      <c r="C53" s="2" t="str">
        <f t="shared" si="5"/>
        <v>332</v>
      </c>
      <c r="D53" s="5" t="s">
        <v>50</v>
      </c>
      <c r="E53" s="17">
        <v>21979631.449999999</v>
      </c>
      <c r="F53" s="18"/>
      <c r="G53" s="17">
        <v>6387522.04</v>
      </c>
      <c r="H53" s="18"/>
      <c r="I53" s="17">
        <v>0</v>
      </c>
      <c r="J53" s="18"/>
      <c r="K53" s="17">
        <v>0</v>
      </c>
      <c r="L53" s="18"/>
      <c r="M53" s="17">
        <v>6387522.04</v>
      </c>
      <c r="N53" s="18"/>
      <c r="O53" s="17">
        <v>28367153.489999998</v>
      </c>
      <c r="P53" s="18"/>
      <c r="Q53" s="17">
        <v>25910414.243846156</v>
      </c>
      <c r="R53" s="5"/>
      <c r="S53" s="13">
        <v>-11488780.58384053</v>
      </c>
      <c r="T53" s="5"/>
      <c r="U53" s="13">
        <v>14421633.660005625</v>
      </c>
      <c r="V53" s="18"/>
      <c r="W53" s="17">
        <v>5927.172721785445</v>
      </c>
      <c r="X53" s="18"/>
      <c r="Y53" s="17">
        <v>-11482853.411118746</v>
      </c>
      <c r="Z53" s="18"/>
      <c r="AA53" s="17">
        <v>28367153.490000002</v>
      </c>
      <c r="AB53" s="17">
        <v>0</v>
      </c>
    </row>
    <row r="54" spans="1:28">
      <c r="A54" s="2" t="s">
        <v>17</v>
      </c>
      <c r="B54" s="2" t="s">
        <v>2653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1179078</v>
      </c>
      <c r="H54" s="18"/>
      <c r="I54" s="17">
        <v>0</v>
      </c>
      <c r="J54" s="18"/>
      <c r="K54" s="17">
        <v>0</v>
      </c>
      <c r="L54" s="18"/>
      <c r="M54" s="17">
        <v>1179078</v>
      </c>
      <c r="N54" s="18"/>
      <c r="O54" s="17">
        <v>15225819.58</v>
      </c>
      <c r="P54" s="18"/>
      <c r="Q54" s="17">
        <v>14877393.580000002</v>
      </c>
      <c r="R54" s="5"/>
      <c r="S54" s="13">
        <v>-3952937.9677676447</v>
      </c>
      <c r="T54" s="5"/>
      <c r="U54" s="13">
        <v>10924455.612232357</v>
      </c>
      <c r="V54" s="18"/>
      <c r="W54" s="17">
        <v>1094.1017369009876</v>
      </c>
      <c r="X54" s="18"/>
      <c r="Y54" s="17">
        <v>-3951843.8660307438</v>
      </c>
      <c r="Z54" s="18"/>
      <c r="AA54" s="17">
        <v>15225819.58</v>
      </c>
      <c r="AB54" s="17">
        <v>0</v>
      </c>
    </row>
    <row r="55" spans="1:28">
      <c r="A55" s="2" t="s">
        <v>17</v>
      </c>
      <c r="B55" s="2" t="s">
        <v>2653</v>
      </c>
      <c r="C55" s="2" t="str">
        <f t="shared" si="5"/>
        <v>334</v>
      </c>
      <c r="D55" s="5" t="s">
        <v>52</v>
      </c>
      <c r="E55" s="17">
        <v>1360647.15</v>
      </c>
      <c r="F55" s="18"/>
      <c r="G55" s="17">
        <v>81261</v>
      </c>
      <c r="H55" s="18"/>
      <c r="I55" s="17">
        <v>0</v>
      </c>
      <c r="J55" s="18"/>
      <c r="K55" s="17">
        <v>0</v>
      </c>
      <c r="L55" s="18"/>
      <c r="M55" s="17">
        <v>81261</v>
      </c>
      <c r="N55" s="18"/>
      <c r="O55" s="17">
        <v>1441908.15</v>
      </c>
      <c r="P55" s="18"/>
      <c r="Q55" s="17">
        <v>1389702.6884615382</v>
      </c>
      <c r="R55" s="5"/>
      <c r="S55" s="13">
        <v>-459141.39822883217</v>
      </c>
      <c r="T55" s="5"/>
      <c r="U55" s="13">
        <v>930561.290232706</v>
      </c>
      <c r="V55" s="18"/>
      <c r="W55" s="17">
        <v>75.40451203593922</v>
      </c>
      <c r="X55" s="18"/>
      <c r="Y55" s="17">
        <v>-459065.99371679622</v>
      </c>
      <c r="Z55" s="18"/>
      <c r="AA55" s="17">
        <v>1441908.15</v>
      </c>
      <c r="AB55" s="17">
        <v>0</v>
      </c>
    </row>
    <row r="56" spans="1:28">
      <c r="A56" s="2" t="s">
        <v>17</v>
      </c>
      <c r="B56" s="2" t="s">
        <v>2653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18"/>
      <c r="Q56" s="17">
        <v>329374.17999999993</v>
      </c>
      <c r="R56" s="5"/>
      <c r="S56" s="13">
        <v>-191724.81270889999</v>
      </c>
      <c r="T56" s="5"/>
      <c r="U56" s="13">
        <v>137649.36729109994</v>
      </c>
      <c r="V56" s="18"/>
      <c r="W56" s="17">
        <v>0</v>
      </c>
      <c r="X56" s="18"/>
      <c r="Y56" s="17">
        <v>-191724.81270889999</v>
      </c>
      <c r="Z56" s="18"/>
      <c r="AA56" s="17">
        <v>329374.18000000005</v>
      </c>
      <c r="AB56" s="17">
        <v>0</v>
      </c>
    </row>
    <row r="57" spans="1:28">
      <c r="A57" s="2" t="s">
        <v>17</v>
      </c>
      <c r="B57" s="2" t="s">
        <v>2653</v>
      </c>
      <c r="C57" s="2" t="str">
        <f t="shared" si="5"/>
        <v>336</v>
      </c>
      <c r="D57" s="5" t="s">
        <v>54</v>
      </c>
      <c r="E57" s="17">
        <v>198899.82999999903</v>
      </c>
      <c r="F57" s="18"/>
      <c r="G57" s="17">
        <v>0</v>
      </c>
      <c r="H57" s="18"/>
      <c r="I57" s="17">
        <v>0</v>
      </c>
      <c r="J57" s="18"/>
      <c r="K57" s="17">
        <v>0</v>
      </c>
      <c r="L57" s="18"/>
      <c r="M57" s="17">
        <v>0</v>
      </c>
      <c r="N57" s="18"/>
      <c r="O57" s="17">
        <v>198899.82999999903</v>
      </c>
      <c r="P57" s="18"/>
      <c r="Q57" s="17">
        <v>198899.82999999897</v>
      </c>
      <c r="R57" s="5"/>
      <c r="S57" s="13">
        <v>-75377.112383579952</v>
      </c>
      <c r="T57" s="5"/>
      <c r="U57" s="13">
        <v>123522.71761641902</v>
      </c>
      <c r="V57" s="18"/>
      <c r="W57" s="17">
        <v>0</v>
      </c>
      <c r="X57" s="18"/>
      <c r="Y57" s="17">
        <v>-75377.112383579952</v>
      </c>
      <c r="Z57" s="18"/>
      <c r="AA57" s="17">
        <v>198899.82999999903</v>
      </c>
      <c r="AB57" s="17">
        <v>0</v>
      </c>
    </row>
    <row r="58" spans="1:28">
      <c r="A58" s="2" t="s">
        <v>17</v>
      </c>
      <c r="B58" s="2" t="s">
        <v>2653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18"/>
      <c r="Q58" s="20">
        <v>645787.98999999987</v>
      </c>
      <c r="R58" s="5"/>
      <c r="S58" s="21">
        <v>-108888.10290254554</v>
      </c>
      <c r="T58" s="5"/>
      <c r="U58" s="21">
        <v>536899.8870974544</v>
      </c>
      <c r="V58" s="18"/>
      <c r="W58" s="20">
        <v>0</v>
      </c>
      <c r="X58" s="18"/>
      <c r="Y58" s="20">
        <v>-108888.10290254554</v>
      </c>
      <c r="Z58" s="18"/>
      <c r="AA58" s="20">
        <v>645787.99</v>
      </c>
      <c r="AB58" s="20">
        <v>0</v>
      </c>
    </row>
    <row r="59" spans="1:28">
      <c r="B59" s="2" t="s">
        <v>2653</v>
      </c>
      <c r="D59" s="5"/>
      <c r="E59" s="17">
        <v>43943332.839999996</v>
      </c>
      <c r="F59" s="18"/>
      <c r="G59" s="17">
        <v>8505284.3399999999</v>
      </c>
      <c r="H59" s="18"/>
      <c r="I59" s="17">
        <v>0</v>
      </c>
      <c r="J59" s="18"/>
      <c r="K59" s="17">
        <v>0</v>
      </c>
      <c r="L59" s="18"/>
      <c r="M59" s="17">
        <v>8505284.3399999999</v>
      </c>
      <c r="N59" s="18"/>
      <c r="O59" s="17">
        <v>52448617.179999992</v>
      </c>
      <c r="P59" s="18"/>
      <c r="Q59" s="17">
        <v>49393379.556923077</v>
      </c>
      <c r="R59" s="5"/>
      <c r="S59" s="17">
        <v>-17881544.342522178</v>
      </c>
      <c r="T59" s="5"/>
      <c r="U59" s="17">
        <v>31511835.214400906</v>
      </c>
      <c r="V59" s="18"/>
      <c r="W59" s="17">
        <v>7892.3076923076915</v>
      </c>
      <c r="X59" s="18"/>
      <c r="Y59" s="17">
        <v>-17873652.034829874</v>
      </c>
      <c r="Z59" s="18">
        <v>0</v>
      </c>
      <c r="AA59" s="17">
        <v>52448617.18</v>
      </c>
      <c r="AB59" s="17">
        <v>0</v>
      </c>
    </row>
    <row r="60" spans="1:28">
      <c r="B60" s="2" t="s">
        <v>2653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5"/>
      <c r="S60" s="5"/>
      <c r="T60" s="5"/>
      <c r="U60" s="5"/>
      <c r="V60" s="18"/>
      <c r="W60" s="17"/>
      <c r="X60" s="18"/>
      <c r="Y60" s="17"/>
      <c r="Z60" s="18"/>
      <c r="AA60" s="17"/>
      <c r="AB60" s="17"/>
    </row>
    <row r="61" spans="1:28">
      <c r="B61" s="2" t="s">
        <v>2653</v>
      </c>
      <c r="D61" s="8" t="s">
        <v>2663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5"/>
      <c r="S61" s="5"/>
      <c r="T61" s="5"/>
      <c r="U61" s="5"/>
      <c r="V61" s="18"/>
      <c r="W61" s="17"/>
      <c r="X61" s="18"/>
      <c r="Y61" s="17"/>
      <c r="Z61" s="18"/>
      <c r="AA61" s="17"/>
      <c r="AB61" s="17"/>
    </row>
    <row r="62" spans="1:28">
      <c r="A62" s="2" t="s">
        <v>17</v>
      </c>
      <c r="B62" s="2" t="s">
        <v>2653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18"/>
      <c r="Q62" s="17">
        <v>39116.890000000007</v>
      </c>
      <c r="R62" s="5"/>
      <c r="S62" s="13">
        <v>0</v>
      </c>
      <c r="T62" s="5"/>
      <c r="U62" s="13">
        <v>39116.890000000007</v>
      </c>
      <c r="V62" s="18"/>
      <c r="W62" s="17"/>
      <c r="X62" s="18"/>
      <c r="Y62" s="17">
        <v>0</v>
      </c>
      <c r="Z62" s="18"/>
      <c r="AA62" s="17">
        <v>39116.89</v>
      </c>
      <c r="AB62" s="17">
        <v>0</v>
      </c>
    </row>
    <row r="63" spans="1:28">
      <c r="A63" s="2" t="s">
        <v>17</v>
      </c>
      <c r="B63" s="2" t="s">
        <v>2653</v>
      </c>
      <c r="C63" s="2" t="str">
        <f t="shared" si="6"/>
        <v>302</v>
      </c>
      <c r="D63" s="5" t="s">
        <v>58</v>
      </c>
      <c r="E63" s="17">
        <v>144368.66</v>
      </c>
      <c r="F63" s="18"/>
      <c r="G63" s="17">
        <v>0</v>
      </c>
      <c r="H63" s="18"/>
      <c r="I63" s="17">
        <v>0</v>
      </c>
      <c r="J63" s="18"/>
      <c r="K63" s="17">
        <v>0</v>
      </c>
      <c r="L63" s="18"/>
      <c r="M63" s="17">
        <v>0</v>
      </c>
      <c r="N63" s="18"/>
      <c r="O63" s="17">
        <v>144368.66</v>
      </c>
      <c r="P63" s="18"/>
      <c r="Q63" s="17">
        <v>144368.66000000003</v>
      </c>
      <c r="R63" s="5"/>
      <c r="S63" s="13">
        <v>-65013.780568999988</v>
      </c>
      <c r="T63" s="5"/>
      <c r="U63" s="13">
        <v>79354.879431000038</v>
      </c>
      <c r="V63" s="18"/>
      <c r="W63" s="7"/>
      <c r="X63" s="18"/>
      <c r="Y63" s="17">
        <v>-65013.780568999988</v>
      </c>
      <c r="Z63" s="18"/>
      <c r="AA63" s="17">
        <v>144368.66</v>
      </c>
      <c r="AB63" s="17">
        <v>0</v>
      </c>
    </row>
    <row r="64" spans="1:28">
      <c r="A64" s="2" t="s">
        <v>17</v>
      </c>
      <c r="B64" s="2" t="s">
        <v>2653</v>
      </c>
      <c r="C64" s="2" t="str">
        <f t="shared" si="6"/>
        <v>303</v>
      </c>
      <c r="D64" s="5" t="s">
        <v>59</v>
      </c>
      <c r="E64" s="17">
        <v>113323267.13999991</v>
      </c>
      <c r="F64" s="18"/>
      <c r="G64" s="17">
        <v>13767104.769999998</v>
      </c>
      <c r="H64" s="18"/>
      <c r="I64" s="17">
        <v>-13905296.290000001</v>
      </c>
      <c r="J64" s="18"/>
      <c r="K64" s="17">
        <v>0</v>
      </c>
      <c r="L64" s="18"/>
      <c r="M64" s="17">
        <v>-138191.52000000328</v>
      </c>
      <c r="N64" s="18"/>
      <c r="O64" s="17">
        <v>113185075.61999992</v>
      </c>
      <c r="P64" s="18"/>
      <c r="Q64" s="17">
        <v>112943497.79846151</v>
      </c>
      <c r="R64" s="5"/>
      <c r="S64" s="13">
        <v>-52444815.669635527</v>
      </c>
      <c r="T64" s="5"/>
      <c r="U64" s="13">
        <v>60498682.128825985</v>
      </c>
      <c r="V64" s="18"/>
      <c r="W64" s="7">
        <v>0</v>
      </c>
      <c r="X64" s="18"/>
      <c r="Y64" s="17">
        <v>-52444815.669635527</v>
      </c>
      <c r="Z64" s="18"/>
      <c r="AA64" s="17">
        <v>113185075.62</v>
      </c>
      <c r="AB64" s="17">
        <v>0</v>
      </c>
    </row>
    <row r="65" spans="1:28">
      <c r="A65" s="2" t="s">
        <v>17</v>
      </c>
      <c r="B65" s="2" t="s">
        <v>2653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18"/>
      <c r="Q65" s="20">
        <v>0</v>
      </c>
      <c r="R65" s="5"/>
      <c r="S65" s="21">
        <v>0</v>
      </c>
      <c r="T65" s="5"/>
      <c r="U65" s="21">
        <v>0</v>
      </c>
      <c r="V65" s="18"/>
      <c r="W65" s="20"/>
      <c r="X65" s="18"/>
      <c r="Y65" s="20">
        <v>0</v>
      </c>
      <c r="Z65" s="18"/>
      <c r="AA65" s="20">
        <v>0</v>
      </c>
      <c r="AB65" s="20">
        <v>0</v>
      </c>
    </row>
    <row r="66" spans="1:28">
      <c r="B66" s="2" t="s">
        <v>2653</v>
      </c>
      <c r="D66" s="5"/>
      <c r="E66" s="17">
        <v>113506752.68999991</v>
      </c>
      <c r="F66" s="18"/>
      <c r="G66" s="17">
        <v>13767104.769999998</v>
      </c>
      <c r="H66" s="18"/>
      <c r="I66" s="17">
        <v>-13905296.290000001</v>
      </c>
      <c r="J66" s="18"/>
      <c r="K66" s="17">
        <v>0</v>
      </c>
      <c r="L66" s="18"/>
      <c r="M66" s="17">
        <v>-138191.52000000328</v>
      </c>
      <c r="N66" s="18"/>
      <c r="O66" s="17">
        <v>113368561.16999991</v>
      </c>
      <c r="P66" s="18"/>
      <c r="Q66" s="17">
        <v>113126983.34846151</v>
      </c>
      <c r="R66" s="5"/>
      <c r="S66" s="17">
        <v>-52509829.450204529</v>
      </c>
      <c r="T66" s="5"/>
      <c r="U66" s="17">
        <v>60617153.898256987</v>
      </c>
      <c r="V66" s="18"/>
      <c r="W66" s="17">
        <v>0</v>
      </c>
      <c r="X66" s="18"/>
      <c r="Y66" s="17">
        <v>-52509829.450204529</v>
      </c>
      <c r="Z66" s="18"/>
      <c r="AA66" s="17">
        <v>113368561.17</v>
      </c>
      <c r="AB66" s="17">
        <v>0</v>
      </c>
    </row>
    <row r="67" spans="1:28">
      <c r="B67" s="2" t="s">
        <v>2653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18"/>
      <c r="Q67" s="17"/>
      <c r="R67" s="5"/>
      <c r="S67" s="5"/>
      <c r="T67" s="5"/>
      <c r="U67" s="5"/>
      <c r="V67" s="18"/>
      <c r="W67" s="17"/>
      <c r="X67" s="18"/>
      <c r="Y67" s="17"/>
      <c r="Z67" s="18"/>
      <c r="AA67" s="17"/>
      <c r="AB67" s="17"/>
    </row>
    <row r="68" spans="1:28">
      <c r="B68" s="2" t="s">
        <v>2653</v>
      </c>
      <c r="D68" s="8" t="s">
        <v>2012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18"/>
      <c r="Q68" s="17"/>
      <c r="R68" s="5"/>
      <c r="S68" s="5"/>
      <c r="T68" s="5"/>
      <c r="U68" s="5"/>
      <c r="V68" s="18"/>
      <c r="W68" s="17"/>
      <c r="X68" s="18"/>
      <c r="Y68" s="17"/>
      <c r="Z68" s="18"/>
      <c r="AA68" s="17"/>
      <c r="AB68" s="17"/>
    </row>
    <row r="69" spans="1:28">
      <c r="A69" s="2" t="s">
        <v>17</v>
      </c>
      <c r="B69" s="2" t="s">
        <v>2653</v>
      </c>
      <c r="C69" s="2" t="str">
        <f t="shared" ref="C69" si="7">MID(D69,2,3)</f>
        <v>340</v>
      </c>
      <c r="D69" s="5" t="s">
        <v>2385</v>
      </c>
      <c r="E69" s="17">
        <v>894512.75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894512.75</v>
      </c>
      <c r="P69" s="18"/>
      <c r="Q69" s="17">
        <v>894512.75</v>
      </c>
      <c r="R69" s="5"/>
      <c r="S69" s="13">
        <v>-138918.90297499907</v>
      </c>
      <c r="T69" s="5"/>
      <c r="U69" s="13">
        <v>755593.84702500096</v>
      </c>
      <c r="V69" s="18"/>
      <c r="W69" s="7">
        <v>0</v>
      </c>
      <c r="X69" s="19"/>
      <c r="Y69" s="7">
        <v>-138918.90297499907</v>
      </c>
      <c r="Z69" s="19"/>
      <c r="AA69" s="7">
        <v>894512.75</v>
      </c>
      <c r="AB69" s="7">
        <v>0</v>
      </c>
    </row>
    <row r="70" spans="1:28">
      <c r="A70" s="2" t="s">
        <v>17</v>
      </c>
      <c r="B70" s="2" t="s">
        <v>2653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18"/>
      <c r="Q70" s="17">
        <v>0</v>
      </c>
      <c r="R70" s="5"/>
      <c r="S70" s="13">
        <v>0</v>
      </c>
      <c r="T70" s="5"/>
      <c r="U70" s="13">
        <v>0</v>
      </c>
      <c r="V70" s="18"/>
      <c r="W70" s="17">
        <v>0</v>
      </c>
      <c r="X70" s="18"/>
      <c r="Y70" s="17">
        <v>0</v>
      </c>
      <c r="Z70" s="18"/>
      <c r="AA70" s="17">
        <v>0</v>
      </c>
      <c r="AB70" s="17">
        <v>0</v>
      </c>
    </row>
    <row r="71" spans="1:28">
      <c r="A71" s="2" t="s">
        <v>17</v>
      </c>
      <c r="B71" s="2" t="s">
        <v>2653</v>
      </c>
      <c r="C71" s="2" t="str">
        <f t="shared" ref="C71:C79" si="8">MID(D71,2,3)</f>
        <v>341</v>
      </c>
      <c r="D71" s="5" t="s">
        <v>63</v>
      </c>
      <c r="E71" s="17">
        <v>90539295.530000001</v>
      </c>
      <c r="F71" s="18"/>
      <c r="G71" s="17">
        <v>0</v>
      </c>
      <c r="H71" s="18"/>
      <c r="I71" s="17">
        <v>0</v>
      </c>
      <c r="J71" s="18"/>
      <c r="K71" s="17">
        <v>0</v>
      </c>
      <c r="L71" s="18"/>
      <c r="M71" s="17">
        <v>0</v>
      </c>
      <c r="N71" s="18"/>
      <c r="O71" s="17">
        <v>90539295.530000001</v>
      </c>
      <c r="P71" s="18"/>
      <c r="Q71" s="17">
        <v>90539295.530000001</v>
      </c>
      <c r="R71" s="5"/>
      <c r="S71" s="13">
        <v>-35280479.785187297</v>
      </c>
      <c r="T71" s="5"/>
      <c r="U71" s="13">
        <v>55258815.744812705</v>
      </c>
      <c r="V71" s="18"/>
      <c r="W71" s="17">
        <v>0</v>
      </c>
      <c r="X71" s="18"/>
      <c r="Y71" s="17">
        <v>-35280479.785187297</v>
      </c>
      <c r="Z71" s="18"/>
      <c r="AA71" s="17">
        <v>90539295.530000001</v>
      </c>
      <c r="AB71" s="17">
        <v>0</v>
      </c>
    </row>
    <row r="72" spans="1:28">
      <c r="A72" s="2" t="s">
        <v>17</v>
      </c>
      <c r="B72" s="2" t="s">
        <v>2653</v>
      </c>
      <c r="C72" s="2" t="str">
        <f t="shared" si="8"/>
        <v>342</v>
      </c>
      <c r="D72" s="5" t="s">
        <v>64</v>
      </c>
      <c r="E72" s="17">
        <v>84168419.36999999</v>
      </c>
      <c r="F72" s="18"/>
      <c r="G72" s="17">
        <v>0</v>
      </c>
      <c r="H72" s="18"/>
      <c r="I72" s="17">
        <v>0</v>
      </c>
      <c r="J72" s="18"/>
      <c r="K72" s="17">
        <v>0</v>
      </c>
      <c r="L72" s="18"/>
      <c r="M72" s="17">
        <v>0</v>
      </c>
      <c r="N72" s="18"/>
      <c r="O72" s="17">
        <v>84168419.36999999</v>
      </c>
      <c r="P72" s="18"/>
      <c r="Q72" s="17">
        <v>84168419.36999999</v>
      </c>
      <c r="R72" s="5"/>
      <c r="S72" s="13">
        <v>-28407090.28300108</v>
      </c>
      <c r="T72" s="5"/>
      <c r="U72" s="13">
        <v>55761329.08699891</v>
      </c>
      <c r="V72" s="18"/>
      <c r="W72" s="17">
        <v>0</v>
      </c>
      <c r="X72" s="18"/>
      <c r="Y72" s="17">
        <v>-28407090.28300108</v>
      </c>
      <c r="Z72" s="18"/>
      <c r="AA72" s="17">
        <v>84168419.36999999</v>
      </c>
      <c r="AB72" s="17">
        <v>0</v>
      </c>
    </row>
    <row r="73" spans="1:28">
      <c r="A73" s="2" t="s">
        <v>17</v>
      </c>
      <c r="B73" s="2" t="s">
        <v>2653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18"/>
      <c r="Q73" s="17">
        <v>0</v>
      </c>
      <c r="R73" s="5"/>
      <c r="S73" s="13">
        <v>0</v>
      </c>
      <c r="T73" s="5"/>
      <c r="U73" s="13">
        <v>0</v>
      </c>
      <c r="V73" s="18"/>
      <c r="W73" s="17">
        <v>0</v>
      </c>
      <c r="X73" s="18"/>
      <c r="Y73" s="17">
        <v>0</v>
      </c>
      <c r="Z73" s="18"/>
      <c r="AA73" s="17">
        <v>0</v>
      </c>
      <c r="AB73" s="17">
        <v>0</v>
      </c>
    </row>
    <row r="74" spans="1:28">
      <c r="A74" s="2" t="s">
        <v>17</v>
      </c>
      <c r="B74" s="2" t="s">
        <v>2653</v>
      </c>
      <c r="C74" s="2" t="str">
        <f t="shared" si="8"/>
        <v>343</v>
      </c>
      <c r="D74" s="5" t="s">
        <v>66</v>
      </c>
      <c r="E74" s="17">
        <v>694628860.16999793</v>
      </c>
      <c r="F74" s="18"/>
      <c r="G74" s="17">
        <v>22455020.34</v>
      </c>
      <c r="H74" s="18"/>
      <c r="I74" s="17">
        <v>-1346853.5199999998</v>
      </c>
      <c r="J74" s="18"/>
      <c r="K74" s="17">
        <v>0</v>
      </c>
      <c r="L74" s="18"/>
      <c r="M74" s="17">
        <v>21108166.82</v>
      </c>
      <c r="N74" s="18"/>
      <c r="O74" s="17">
        <v>715737026.98999798</v>
      </c>
      <c r="P74" s="18"/>
      <c r="Q74" s="17">
        <v>702631799.32692099</v>
      </c>
      <c r="R74" s="5"/>
      <c r="S74" s="13">
        <v>-289773548.59114236</v>
      </c>
      <c r="T74" s="5"/>
      <c r="U74" s="13">
        <v>412858250.73577863</v>
      </c>
      <c r="V74" s="18"/>
      <c r="W74" s="17">
        <v>75782.576370649913</v>
      </c>
      <c r="X74" s="18"/>
      <c r="Y74" s="17">
        <v>-289697766.0147717</v>
      </c>
      <c r="Z74" s="18"/>
      <c r="AA74" s="17">
        <v>715737026.9899981</v>
      </c>
      <c r="AB74" s="17">
        <v>0</v>
      </c>
    </row>
    <row r="75" spans="1:28">
      <c r="A75" s="2" t="s">
        <v>17</v>
      </c>
      <c r="B75" s="2" t="s">
        <v>2653</v>
      </c>
      <c r="C75" s="2" t="str">
        <f t="shared" si="8"/>
        <v>344</v>
      </c>
      <c r="D75" s="5" t="s">
        <v>67</v>
      </c>
      <c r="E75" s="17">
        <v>137341370.27000001</v>
      </c>
      <c r="F75" s="18"/>
      <c r="G75" s="17">
        <v>1013199.57</v>
      </c>
      <c r="H75" s="18"/>
      <c r="I75" s="17">
        <v>0</v>
      </c>
      <c r="J75" s="18"/>
      <c r="K75" s="17">
        <v>0</v>
      </c>
      <c r="L75" s="18"/>
      <c r="M75" s="17">
        <v>1013199.57</v>
      </c>
      <c r="N75" s="18"/>
      <c r="O75" s="17">
        <v>138354569.84</v>
      </c>
      <c r="P75" s="18"/>
      <c r="Q75" s="17">
        <v>137886939.26923078</v>
      </c>
      <c r="R75" s="5"/>
      <c r="S75" s="13">
        <v>-58459940.486893415</v>
      </c>
      <c r="T75" s="5"/>
      <c r="U75" s="13">
        <v>79426998.782337368</v>
      </c>
      <c r="V75" s="18"/>
      <c r="W75" s="17">
        <v>3419.4078931853974</v>
      </c>
      <c r="X75" s="18"/>
      <c r="Y75" s="17">
        <v>-58456521.079000227</v>
      </c>
      <c r="Z75" s="18"/>
      <c r="AA75" s="17">
        <v>138354569.84</v>
      </c>
      <c r="AB75" s="17">
        <v>0</v>
      </c>
    </row>
    <row r="76" spans="1:28">
      <c r="A76" s="2" t="s">
        <v>17</v>
      </c>
      <c r="B76" s="2" t="s">
        <v>2653</v>
      </c>
      <c r="C76" s="2" t="str">
        <f t="shared" si="8"/>
        <v>345</v>
      </c>
      <c r="D76" s="5" t="s">
        <v>68</v>
      </c>
      <c r="E76" s="17">
        <v>77743881.5</v>
      </c>
      <c r="F76" s="18"/>
      <c r="G76" s="17">
        <v>0</v>
      </c>
      <c r="H76" s="18"/>
      <c r="I76" s="17">
        <v>0</v>
      </c>
      <c r="J76" s="18"/>
      <c r="K76" s="17">
        <v>0</v>
      </c>
      <c r="L76" s="18"/>
      <c r="M76" s="17">
        <v>0</v>
      </c>
      <c r="N76" s="18"/>
      <c r="O76" s="17">
        <v>77743881.5</v>
      </c>
      <c r="P76" s="18"/>
      <c r="Q76" s="17">
        <v>77743881.499999985</v>
      </c>
      <c r="R76" s="5"/>
      <c r="S76" s="13">
        <v>-37211840.86490877</v>
      </c>
      <c r="T76" s="5"/>
      <c r="U76" s="13">
        <v>40532040.635091215</v>
      </c>
      <c r="V76" s="18"/>
      <c r="W76" s="17">
        <v>0</v>
      </c>
      <c r="X76" s="18"/>
      <c r="Y76" s="17">
        <v>-37211840.86490877</v>
      </c>
      <c r="Z76" s="18"/>
      <c r="AA76" s="17">
        <v>77743881.5</v>
      </c>
      <c r="AB76" s="17">
        <v>0</v>
      </c>
    </row>
    <row r="77" spans="1:28">
      <c r="A77" s="2" t="s">
        <v>17</v>
      </c>
      <c r="B77" s="2" t="s">
        <v>2653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18"/>
      <c r="Q77" s="17">
        <v>0</v>
      </c>
      <c r="R77" s="5"/>
      <c r="S77" s="13">
        <v>0</v>
      </c>
      <c r="T77" s="5"/>
      <c r="U77" s="13">
        <v>0</v>
      </c>
      <c r="V77" s="18"/>
      <c r="W77" s="17">
        <v>0</v>
      </c>
      <c r="X77" s="18"/>
      <c r="Y77" s="17">
        <v>0</v>
      </c>
      <c r="Z77" s="18"/>
      <c r="AA77" s="17">
        <v>0</v>
      </c>
      <c r="AB77" s="17">
        <v>0</v>
      </c>
    </row>
    <row r="78" spans="1:28">
      <c r="A78" s="2" t="s">
        <v>17</v>
      </c>
      <c r="B78" s="2" t="s">
        <v>2653</v>
      </c>
      <c r="C78" s="2" t="str">
        <f t="shared" si="8"/>
        <v>346</v>
      </c>
      <c r="D78" s="5" t="s">
        <v>70</v>
      </c>
      <c r="E78" s="17">
        <v>9717247.7599999998</v>
      </c>
      <c r="F78" s="18"/>
      <c r="G78" s="17">
        <v>16852474.489999902</v>
      </c>
      <c r="H78" s="18"/>
      <c r="I78" s="17">
        <v>0</v>
      </c>
      <c r="J78" s="18"/>
      <c r="K78" s="17">
        <v>0</v>
      </c>
      <c r="L78" s="18"/>
      <c r="M78" s="17">
        <v>16852474.489999902</v>
      </c>
      <c r="N78" s="18"/>
      <c r="O78" s="17">
        <v>26569722.249999903</v>
      </c>
      <c r="P78" s="18"/>
      <c r="Q78" s="17">
        <v>19572946.339999996</v>
      </c>
      <c r="R78" s="5"/>
      <c r="S78" s="13">
        <v>-4439503.2175634792</v>
      </c>
      <c r="T78" s="5"/>
      <c r="U78" s="13">
        <v>15133443.122436516</v>
      </c>
      <c r="V78" s="18"/>
      <c r="W78" s="17">
        <v>56874.76189001069</v>
      </c>
      <c r="X78" s="18"/>
      <c r="Y78" s="17">
        <v>-4382628.4556734683</v>
      </c>
      <c r="Z78" s="18"/>
      <c r="AA78" s="17">
        <v>26569722.25</v>
      </c>
      <c r="AB78" s="17">
        <v>9.6857547760009766E-8</v>
      </c>
    </row>
    <row r="79" spans="1:28">
      <c r="A79" s="2" t="s">
        <v>17</v>
      </c>
      <c r="B79" s="2" t="s">
        <v>2653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18"/>
      <c r="Q79" s="20">
        <v>406991.12</v>
      </c>
      <c r="R79" s="5"/>
      <c r="S79" s="21">
        <v>-133688.68265229464</v>
      </c>
      <c r="T79" s="5"/>
      <c r="U79" s="21">
        <v>273302.43734770536</v>
      </c>
      <c r="V79" s="18"/>
      <c r="W79" s="20">
        <v>0</v>
      </c>
      <c r="X79" s="18"/>
      <c r="Y79" s="20">
        <v>-133688.68265229464</v>
      </c>
      <c r="Z79" s="18"/>
      <c r="AA79" s="20">
        <v>406991.12</v>
      </c>
      <c r="AB79" s="20">
        <v>0</v>
      </c>
    </row>
    <row r="80" spans="1:28">
      <c r="B80" s="2" t="s">
        <v>2653</v>
      </c>
      <c r="D80" s="5"/>
      <c r="E80" s="17">
        <v>1095440578.4699976</v>
      </c>
      <c r="F80" s="18"/>
      <c r="G80" s="17">
        <v>40320694.399999902</v>
      </c>
      <c r="H80" s="18"/>
      <c r="I80" s="17">
        <v>-1346853.5199999998</v>
      </c>
      <c r="J80" s="18"/>
      <c r="K80" s="17">
        <v>0</v>
      </c>
      <c r="L80" s="18"/>
      <c r="M80" s="17">
        <v>38973840.879999906</v>
      </c>
      <c r="N80" s="18"/>
      <c r="O80" s="17">
        <v>1134414419.349998</v>
      </c>
      <c r="P80" s="18"/>
      <c r="Q80" s="17">
        <v>1113844785.2061515</v>
      </c>
      <c r="R80" s="5"/>
      <c r="S80" s="17">
        <v>-453845010.81432366</v>
      </c>
      <c r="T80" s="5"/>
      <c r="U80" s="17">
        <v>659999774.39182794</v>
      </c>
      <c r="V80" s="18"/>
      <c r="W80" s="17">
        <v>136076.746153846</v>
      </c>
      <c r="X80" s="18"/>
      <c r="Y80" s="17">
        <v>-453708934.06816983</v>
      </c>
      <c r="Z80" s="18">
        <v>0</v>
      </c>
      <c r="AA80" s="17">
        <v>1134414419.349998</v>
      </c>
      <c r="AB80" s="17">
        <v>9.6857547760009766E-8</v>
      </c>
    </row>
    <row r="81" spans="1:28">
      <c r="B81" s="2" t="s">
        <v>2653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5"/>
      <c r="S81" s="5"/>
      <c r="T81" s="5"/>
      <c r="U81" s="5"/>
      <c r="V81" s="18"/>
      <c r="W81" s="17"/>
      <c r="X81" s="18"/>
      <c r="Y81" s="17"/>
      <c r="Z81" s="18"/>
      <c r="AA81" s="17"/>
      <c r="AB81" s="17"/>
    </row>
    <row r="82" spans="1:28">
      <c r="B82" s="2" t="s">
        <v>2653</v>
      </c>
      <c r="D82" s="8" t="s">
        <v>2664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19"/>
      <c r="Q82" s="7"/>
      <c r="R82" s="5"/>
      <c r="S82" s="5"/>
      <c r="T82" s="5"/>
      <c r="U82" s="5"/>
      <c r="V82" s="19"/>
      <c r="W82" s="7"/>
      <c r="X82" s="19"/>
      <c r="Y82" s="7"/>
      <c r="Z82" s="19"/>
      <c r="AA82" s="7"/>
      <c r="AB82" s="7"/>
    </row>
    <row r="83" spans="1:28">
      <c r="A83" s="2" t="s">
        <v>17</v>
      </c>
      <c r="B83" s="2" t="s">
        <v>2653</v>
      </c>
      <c r="C83" s="2" t="str">
        <f t="shared" ref="C83:C93" si="9">MID(D83,2,3)</f>
        <v>310</v>
      </c>
      <c r="D83" s="5" t="s">
        <v>73</v>
      </c>
      <c r="E83" s="7">
        <v>24993712.409999803</v>
      </c>
      <c r="F83" s="19"/>
      <c r="G83" s="7">
        <v>563000</v>
      </c>
      <c r="H83" s="19"/>
      <c r="I83" s="7">
        <v>0</v>
      </c>
      <c r="J83" s="19"/>
      <c r="K83" s="7">
        <v>-1.8189894035458565E-9</v>
      </c>
      <c r="L83" s="19"/>
      <c r="M83" s="7">
        <v>562999.99999999814</v>
      </c>
      <c r="N83" s="19"/>
      <c r="O83" s="7">
        <v>25556712.409999803</v>
      </c>
      <c r="P83" s="19"/>
      <c r="Q83" s="7">
        <v>25383481.64076912</v>
      </c>
      <c r="R83" s="5"/>
      <c r="S83" s="13">
        <v>0</v>
      </c>
      <c r="T83" s="5"/>
      <c r="U83" s="13">
        <v>25383481.64076912</v>
      </c>
      <c r="V83" s="19"/>
      <c r="W83" s="7"/>
      <c r="X83" s="19"/>
      <c r="Y83" s="7">
        <v>0</v>
      </c>
      <c r="Z83" s="19"/>
      <c r="AA83" s="7">
        <v>25556712.4099999</v>
      </c>
      <c r="AB83" s="7">
        <v>9.6857547760009766E-8</v>
      </c>
    </row>
    <row r="84" spans="1:28">
      <c r="A84" s="2" t="s">
        <v>17</v>
      </c>
      <c r="B84" s="2" t="s">
        <v>2653</v>
      </c>
      <c r="C84" s="2" t="str">
        <f t="shared" si="9"/>
        <v>311</v>
      </c>
      <c r="D84" s="5" t="s">
        <v>74</v>
      </c>
      <c r="E84" s="7">
        <v>356965802.95999998</v>
      </c>
      <c r="F84" s="19"/>
      <c r="G84" s="7">
        <v>1627622.95</v>
      </c>
      <c r="H84" s="19"/>
      <c r="I84" s="7">
        <v>0</v>
      </c>
      <c r="J84" s="19"/>
      <c r="K84" s="7">
        <v>-3.637978807091713E-9</v>
      </c>
      <c r="L84" s="19"/>
      <c r="M84" s="7">
        <v>1627622.9499999962</v>
      </c>
      <c r="N84" s="19"/>
      <c r="O84" s="7">
        <v>358593425.90999997</v>
      </c>
      <c r="P84" s="19"/>
      <c r="Q84" s="7">
        <v>358084819.11461538</v>
      </c>
      <c r="R84" s="5"/>
      <c r="S84" s="13">
        <v>-172054281.28224361</v>
      </c>
      <c r="T84" s="5"/>
      <c r="U84" s="13">
        <v>186030537.83237177</v>
      </c>
      <c r="V84" s="19"/>
      <c r="W84" s="7">
        <v>13278.748399573695</v>
      </c>
      <c r="X84" s="19"/>
      <c r="Y84" s="7">
        <v>-172041002.53384402</v>
      </c>
      <c r="Z84" s="19"/>
      <c r="AA84" s="7">
        <v>358593425.90999997</v>
      </c>
      <c r="AB84" s="7">
        <v>0</v>
      </c>
    </row>
    <row r="85" spans="1:28">
      <c r="A85" s="2" t="s">
        <v>17</v>
      </c>
      <c r="B85" s="2" t="s">
        <v>2653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19"/>
      <c r="Q85" s="7">
        <v>0</v>
      </c>
      <c r="R85" s="5"/>
      <c r="S85" s="13">
        <v>0</v>
      </c>
      <c r="T85" s="5"/>
      <c r="U85" s="13">
        <v>0</v>
      </c>
      <c r="V85" s="19"/>
      <c r="W85" s="7">
        <v>0</v>
      </c>
      <c r="X85" s="19"/>
      <c r="Y85" s="7">
        <v>0</v>
      </c>
      <c r="Z85" s="19"/>
      <c r="AA85" s="7">
        <v>0</v>
      </c>
      <c r="AB85" s="7">
        <v>0</v>
      </c>
    </row>
    <row r="86" spans="1:28">
      <c r="A86" s="2" t="s">
        <v>17</v>
      </c>
      <c r="B86" s="2" t="s">
        <v>2653</v>
      </c>
      <c r="C86" s="2" t="str">
        <f t="shared" si="9"/>
        <v>312</v>
      </c>
      <c r="D86" s="5" t="s">
        <v>76</v>
      </c>
      <c r="E86" s="7">
        <v>4350739366.6799889</v>
      </c>
      <c r="F86" s="19"/>
      <c r="G86" s="7">
        <v>146577708.23999998</v>
      </c>
      <c r="H86" s="19"/>
      <c r="I86" s="7">
        <v>-23522160.699999984</v>
      </c>
      <c r="J86" s="19"/>
      <c r="K86" s="7">
        <v>1.204170985147357E-6</v>
      </c>
      <c r="L86" s="19"/>
      <c r="M86" s="7">
        <v>123055547.5400012</v>
      </c>
      <c r="N86" s="19"/>
      <c r="O86" s="7">
        <v>4473794914.2199898</v>
      </c>
      <c r="P86" s="19"/>
      <c r="Q86" s="7">
        <v>4422848816.87922</v>
      </c>
      <c r="R86" s="5"/>
      <c r="S86" s="13">
        <v>-1591858568.871989</v>
      </c>
      <c r="T86" s="5"/>
      <c r="U86" s="13">
        <v>2830990248.0072308</v>
      </c>
      <c r="V86" s="19"/>
      <c r="W86" s="7">
        <v>1195835.0112383706</v>
      </c>
      <c r="X86" s="19"/>
      <c r="Y86" s="7">
        <v>-1590662733.8607507</v>
      </c>
      <c r="Z86" s="19"/>
      <c r="AA86" s="7">
        <v>4473794914.2199907</v>
      </c>
      <c r="AB86" s="7">
        <v>0</v>
      </c>
    </row>
    <row r="87" spans="1:28">
      <c r="A87" s="2" t="s">
        <v>17</v>
      </c>
      <c r="B87" s="2" t="s">
        <v>2653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19"/>
      <c r="Q87" s="7">
        <v>0</v>
      </c>
      <c r="R87" s="5"/>
      <c r="S87" s="13">
        <v>0</v>
      </c>
      <c r="T87" s="5"/>
      <c r="U87" s="13">
        <v>0</v>
      </c>
      <c r="V87" s="19"/>
      <c r="W87" s="7">
        <v>0</v>
      </c>
      <c r="X87" s="19"/>
      <c r="Y87" s="7">
        <v>0</v>
      </c>
      <c r="Z87" s="19"/>
      <c r="AA87" s="7">
        <v>0</v>
      </c>
      <c r="AB87" s="7">
        <v>0</v>
      </c>
    </row>
    <row r="88" spans="1:28">
      <c r="A88" s="2" t="s">
        <v>17</v>
      </c>
      <c r="B88" s="2" t="s">
        <v>2653</v>
      </c>
      <c r="C88" s="2" t="str">
        <f t="shared" si="9"/>
        <v>314</v>
      </c>
      <c r="D88" s="5" t="s">
        <v>78</v>
      </c>
      <c r="E88" s="7">
        <v>372823127.25</v>
      </c>
      <c r="F88" s="19"/>
      <c r="G88" s="7">
        <v>3031402.64</v>
      </c>
      <c r="H88" s="19"/>
      <c r="I88" s="7">
        <v>-3315451.1900000004</v>
      </c>
      <c r="J88" s="19"/>
      <c r="K88" s="7">
        <v>0</v>
      </c>
      <c r="L88" s="19"/>
      <c r="M88" s="7">
        <v>-284048.55000000028</v>
      </c>
      <c r="N88" s="19"/>
      <c r="O88" s="7">
        <v>372539078.69999999</v>
      </c>
      <c r="P88" s="19"/>
      <c r="Q88" s="7">
        <v>373315231.46846169</v>
      </c>
      <c r="R88" s="5"/>
      <c r="S88" s="13">
        <v>-150804362.6861777</v>
      </c>
      <c r="T88" s="5"/>
      <c r="U88" s="13">
        <v>222510868.78228399</v>
      </c>
      <c r="V88" s="19"/>
      <c r="W88" s="7">
        <v>24731.300916077329</v>
      </c>
      <c r="X88" s="19"/>
      <c r="Y88" s="7">
        <v>-150779631.38526163</v>
      </c>
      <c r="Z88" s="19"/>
      <c r="AA88" s="7">
        <v>372539078.69999999</v>
      </c>
      <c r="AB88" s="7">
        <v>0</v>
      </c>
    </row>
    <row r="89" spans="1:28">
      <c r="A89" s="2" t="s">
        <v>17</v>
      </c>
      <c r="B89" s="2" t="s">
        <v>2653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19"/>
      <c r="Q89" s="7">
        <v>0</v>
      </c>
      <c r="R89" s="5"/>
      <c r="S89" s="13">
        <v>0</v>
      </c>
      <c r="T89" s="5"/>
      <c r="U89" s="13">
        <v>0</v>
      </c>
      <c r="V89" s="19"/>
      <c r="W89" s="7">
        <v>0</v>
      </c>
      <c r="X89" s="19"/>
      <c r="Y89" s="7">
        <v>0</v>
      </c>
      <c r="Z89" s="19"/>
      <c r="AA89" s="7">
        <v>0</v>
      </c>
      <c r="AB89" s="7">
        <v>0</v>
      </c>
    </row>
    <row r="90" spans="1:28">
      <c r="A90" s="2" t="s">
        <v>17</v>
      </c>
      <c r="B90" s="2" t="s">
        <v>2653</v>
      </c>
      <c r="C90" s="2" t="str">
        <f t="shared" si="9"/>
        <v>315</v>
      </c>
      <c r="D90" s="5" t="s">
        <v>80</v>
      </c>
      <c r="E90" s="7">
        <v>261094882.3599999</v>
      </c>
      <c r="F90" s="19"/>
      <c r="G90" s="7">
        <v>60430</v>
      </c>
      <c r="H90" s="19"/>
      <c r="I90" s="7">
        <v>0</v>
      </c>
      <c r="J90" s="19"/>
      <c r="K90" s="7">
        <v>1.8189894035458565E-9</v>
      </c>
      <c r="L90" s="19"/>
      <c r="M90" s="7">
        <v>60430.000000001819</v>
      </c>
      <c r="N90" s="19"/>
      <c r="O90" s="7">
        <v>261155312.3599999</v>
      </c>
      <c r="P90" s="19"/>
      <c r="Q90" s="7">
        <v>261136718.51384529</v>
      </c>
      <c r="R90" s="5"/>
      <c r="S90" s="13">
        <v>-133574220.49792932</v>
      </c>
      <c r="T90" s="5"/>
      <c r="U90" s="13">
        <v>127562498.01591597</v>
      </c>
      <c r="V90" s="19"/>
      <c r="W90" s="7">
        <v>493.01023052435977</v>
      </c>
      <c r="X90" s="19"/>
      <c r="Y90" s="7">
        <v>-133573727.48769879</v>
      </c>
      <c r="Z90" s="19"/>
      <c r="AA90" s="7">
        <v>261155312.35999909</v>
      </c>
      <c r="AB90" s="7">
        <v>-8.0466270446777344E-7</v>
      </c>
    </row>
    <row r="91" spans="1:28">
      <c r="A91" s="2" t="s">
        <v>17</v>
      </c>
      <c r="B91" s="2" t="s">
        <v>2653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19"/>
      <c r="Q91" s="7">
        <v>0</v>
      </c>
      <c r="R91" s="5"/>
      <c r="S91" s="13">
        <v>0</v>
      </c>
      <c r="T91" s="5"/>
      <c r="U91" s="13">
        <v>0</v>
      </c>
      <c r="V91" s="19"/>
      <c r="W91" s="7">
        <v>0</v>
      </c>
      <c r="X91" s="19"/>
      <c r="Y91" s="7">
        <v>0</v>
      </c>
      <c r="Z91" s="19"/>
      <c r="AA91" s="7">
        <v>0</v>
      </c>
      <c r="AB91" s="7">
        <v>0</v>
      </c>
    </row>
    <row r="92" spans="1:28">
      <c r="A92" s="2" t="s">
        <v>17</v>
      </c>
      <c r="B92" s="2" t="s">
        <v>2653</v>
      </c>
      <c r="C92" s="2" t="str">
        <f t="shared" si="9"/>
        <v>316</v>
      </c>
      <c r="D92" s="5" t="s">
        <v>82</v>
      </c>
      <c r="E92" s="7">
        <v>44787652.020000003</v>
      </c>
      <c r="F92" s="19"/>
      <c r="G92" s="7">
        <v>10341438.889999999</v>
      </c>
      <c r="H92" s="19"/>
      <c r="I92" s="7">
        <v>0</v>
      </c>
      <c r="J92" s="19"/>
      <c r="K92" s="7">
        <v>0</v>
      </c>
      <c r="L92" s="19"/>
      <c r="M92" s="7">
        <v>10341438.889999999</v>
      </c>
      <c r="N92" s="19"/>
      <c r="O92" s="7">
        <v>55129090.910000004</v>
      </c>
      <c r="P92" s="19"/>
      <c r="Q92" s="7">
        <v>48060431.632307701</v>
      </c>
      <c r="R92" s="5"/>
      <c r="S92" s="13">
        <v>-19006044.48831284</v>
      </c>
      <c r="T92" s="5"/>
      <c r="U92" s="13">
        <v>29054387.14399486</v>
      </c>
      <c r="V92" s="19"/>
      <c r="W92" s="7">
        <v>84369.273061599844</v>
      </c>
      <c r="X92" s="19"/>
      <c r="Y92" s="7">
        <v>-18921675.215251241</v>
      </c>
      <c r="Z92" s="19"/>
      <c r="AA92" s="7">
        <v>55129090.909999996</v>
      </c>
      <c r="AB92" s="7">
        <v>0</v>
      </c>
    </row>
    <row r="93" spans="1:28">
      <c r="A93" s="2" t="s">
        <v>17</v>
      </c>
      <c r="B93" s="2" t="s">
        <v>2653</v>
      </c>
      <c r="C93" s="2" t="str">
        <f t="shared" si="9"/>
        <v>317</v>
      </c>
      <c r="D93" s="5" t="s">
        <v>83</v>
      </c>
      <c r="E93" s="7">
        <v>169288108.68000001</v>
      </c>
      <c r="F93" s="19"/>
      <c r="G93" s="7">
        <v>0</v>
      </c>
      <c r="H93" s="19"/>
      <c r="I93" s="7">
        <v>-23433540.620000001</v>
      </c>
      <c r="J93" s="19"/>
      <c r="K93" s="7">
        <v>0</v>
      </c>
      <c r="L93" s="19"/>
      <c r="M93" s="7">
        <v>-23433540.620000001</v>
      </c>
      <c r="N93" s="19"/>
      <c r="O93" s="7">
        <v>145854568.06</v>
      </c>
      <c r="P93" s="19"/>
      <c r="Q93" s="7">
        <v>158472628.39384618</v>
      </c>
      <c r="R93" s="5"/>
      <c r="S93" s="13">
        <v>-116781348.19720437</v>
      </c>
      <c r="T93" s="5"/>
      <c r="U93" s="13">
        <v>41691280.196641818</v>
      </c>
      <c r="V93" s="19"/>
      <c r="W93" s="7">
        <v>0</v>
      </c>
      <c r="X93" s="19"/>
      <c r="Y93" s="7">
        <v>-116781348.19720437</v>
      </c>
      <c r="Z93" s="19"/>
      <c r="AA93" s="7">
        <v>145854568.06000003</v>
      </c>
      <c r="AB93" s="7">
        <v>0</v>
      </c>
    </row>
    <row r="94" spans="1:28">
      <c r="A94" s="2" t="s">
        <v>17</v>
      </c>
      <c r="B94" s="2" t="s">
        <v>2653</v>
      </c>
      <c r="D94" s="5" t="s">
        <v>2386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18"/>
      <c r="Q94" s="20">
        <v>0</v>
      </c>
      <c r="R94" s="5"/>
      <c r="S94" s="21">
        <v>0</v>
      </c>
      <c r="T94" s="5"/>
      <c r="U94" s="21">
        <v>0</v>
      </c>
      <c r="V94" s="18"/>
      <c r="W94" s="20">
        <v>0</v>
      </c>
      <c r="X94" s="18"/>
      <c r="Y94" s="20">
        <v>0</v>
      </c>
      <c r="Z94" s="18"/>
      <c r="AA94" s="20">
        <v>0</v>
      </c>
      <c r="AB94" s="20">
        <v>0</v>
      </c>
    </row>
    <row r="95" spans="1:28">
      <c r="B95" s="2" t="s">
        <v>2653</v>
      </c>
      <c r="D95" s="5"/>
      <c r="E95" s="17">
        <v>5580692652.3599892</v>
      </c>
      <c r="F95" s="18"/>
      <c r="G95" s="17">
        <v>162201602.71999994</v>
      </c>
      <c r="H95" s="18"/>
      <c r="I95" s="17">
        <v>-50271152.50999999</v>
      </c>
      <c r="J95" s="18"/>
      <c r="K95" s="17">
        <v>1.2005330063402653E-6</v>
      </c>
      <c r="L95" s="18"/>
      <c r="M95" s="17">
        <v>111930450.21000117</v>
      </c>
      <c r="N95" s="18"/>
      <c r="O95" s="17">
        <v>5692623102.5699892</v>
      </c>
      <c r="P95" s="18"/>
      <c r="Q95" s="17">
        <v>5647302127.6430664</v>
      </c>
      <c r="R95" s="5"/>
      <c r="S95" s="17">
        <v>-2184078826.0238571</v>
      </c>
      <c r="T95" s="5"/>
      <c r="U95" s="17">
        <v>3463223301.6192079</v>
      </c>
      <c r="V95" s="18"/>
      <c r="W95" s="17">
        <v>1318707.3438461456</v>
      </c>
      <c r="X95" s="18"/>
      <c r="Y95" s="17">
        <v>-2182760118.6800108</v>
      </c>
      <c r="Z95" s="18">
        <v>0</v>
      </c>
      <c r="AA95" s="17">
        <v>5692623102.5699892</v>
      </c>
      <c r="AB95" s="17">
        <v>-7.0780515670776367E-7</v>
      </c>
    </row>
    <row r="96" spans="1:28">
      <c r="B96" s="2" t="s">
        <v>2653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18"/>
      <c r="Q96" s="17"/>
      <c r="R96" s="5"/>
      <c r="S96" s="5"/>
      <c r="T96" s="5"/>
      <c r="U96" s="5"/>
      <c r="V96" s="18"/>
      <c r="W96" s="17"/>
      <c r="X96" s="18"/>
      <c r="Y96" s="17"/>
      <c r="Z96" s="18"/>
      <c r="AA96" s="17"/>
      <c r="AB96" s="17"/>
    </row>
    <row r="97" spans="1:28">
      <c r="B97" s="2" t="s">
        <v>2653</v>
      </c>
      <c r="D97" s="8" t="s">
        <v>2665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18"/>
      <c r="Q97" s="17"/>
      <c r="R97" s="5"/>
      <c r="S97" s="5"/>
      <c r="T97" s="5"/>
      <c r="U97" s="5"/>
      <c r="V97" s="18"/>
      <c r="W97" s="17"/>
      <c r="X97" s="18"/>
      <c r="Y97" s="17"/>
      <c r="Z97" s="18"/>
      <c r="AA97" s="17"/>
      <c r="AB97" s="17"/>
    </row>
    <row r="98" spans="1:28">
      <c r="A98" s="2" t="s">
        <v>17</v>
      </c>
      <c r="B98" s="2" t="s">
        <v>2653</v>
      </c>
      <c r="C98" s="2" t="str">
        <f t="shared" si="10"/>
        <v>350</v>
      </c>
      <c r="D98" s="5" t="s">
        <v>85</v>
      </c>
      <c r="E98" s="17">
        <v>30792490.93</v>
      </c>
      <c r="F98" s="18"/>
      <c r="G98" s="17">
        <v>6492934.6999999909</v>
      </c>
      <c r="H98" s="18"/>
      <c r="I98" s="17">
        <v>0</v>
      </c>
      <c r="J98" s="18"/>
      <c r="K98" s="17">
        <v>0</v>
      </c>
      <c r="L98" s="18"/>
      <c r="M98" s="17">
        <v>6492934.6999999909</v>
      </c>
      <c r="N98" s="18"/>
      <c r="O98" s="17">
        <v>37285425.629999988</v>
      </c>
      <c r="P98" s="18"/>
      <c r="Q98" s="17">
        <v>33155438.530000001</v>
      </c>
      <c r="R98" s="5"/>
      <c r="S98" s="13">
        <v>-16604159.294219233</v>
      </c>
      <c r="T98" s="5"/>
      <c r="U98" s="13">
        <v>16551279.235780768</v>
      </c>
      <c r="V98" s="18"/>
      <c r="W98" s="7">
        <v>256372.88716934423</v>
      </c>
      <c r="X98" s="19"/>
      <c r="Y98" s="7">
        <v>-16347786.407049889</v>
      </c>
      <c r="Z98" s="19"/>
      <c r="AA98" s="7">
        <v>37285425.629999995</v>
      </c>
      <c r="AB98" s="7">
        <v>0</v>
      </c>
    </row>
    <row r="99" spans="1:28">
      <c r="A99" s="2" t="s">
        <v>17</v>
      </c>
      <c r="B99" s="2" t="s">
        <v>2653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18"/>
      <c r="Q99" s="17">
        <v>0</v>
      </c>
      <c r="R99" s="5"/>
      <c r="S99" s="13">
        <v>0</v>
      </c>
      <c r="T99" s="5"/>
      <c r="U99" s="13">
        <v>0</v>
      </c>
      <c r="V99" s="18"/>
      <c r="W99" s="17">
        <v>0</v>
      </c>
      <c r="X99" s="18"/>
      <c r="Y99" s="17">
        <v>0</v>
      </c>
      <c r="Z99" s="18"/>
      <c r="AA99" s="17">
        <v>0</v>
      </c>
      <c r="AB99" s="17">
        <v>0</v>
      </c>
    </row>
    <row r="100" spans="1:28">
      <c r="A100" s="2" t="s">
        <v>17</v>
      </c>
      <c r="B100" s="2" t="s">
        <v>2653</v>
      </c>
      <c r="C100" s="2" t="str">
        <f t="shared" si="10"/>
        <v>352</v>
      </c>
      <c r="D100" s="5" t="s">
        <v>87</v>
      </c>
      <c r="E100" s="17">
        <v>31967475.52</v>
      </c>
      <c r="F100" s="18"/>
      <c r="G100" s="17">
        <v>100015.24</v>
      </c>
      <c r="H100" s="18"/>
      <c r="I100" s="17">
        <v>0</v>
      </c>
      <c r="J100" s="18"/>
      <c r="K100" s="17">
        <v>0</v>
      </c>
      <c r="L100" s="18"/>
      <c r="M100" s="17">
        <v>100015.24</v>
      </c>
      <c r="N100" s="18"/>
      <c r="O100" s="17">
        <v>32067490.759999998</v>
      </c>
      <c r="P100" s="18"/>
      <c r="Q100" s="17">
        <v>32036716.839999996</v>
      </c>
      <c r="R100" s="5"/>
      <c r="S100" s="13">
        <v>-8224123.1410271795</v>
      </c>
      <c r="T100" s="5"/>
      <c r="U100" s="13">
        <v>23812593.698972818</v>
      </c>
      <c r="V100" s="18"/>
      <c r="W100" s="17">
        <v>3949.0919013454613</v>
      </c>
      <c r="X100" s="18"/>
      <c r="Y100" s="17">
        <v>-8220174.0491258344</v>
      </c>
      <c r="Z100" s="18"/>
      <c r="AA100" s="17">
        <v>32067490.759999998</v>
      </c>
      <c r="AB100" s="17">
        <v>0</v>
      </c>
    </row>
    <row r="101" spans="1:28">
      <c r="A101" s="2" t="s">
        <v>17</v>
      </c>
      <c r="B101" s="2" t="s">
        <v>2653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18"/>
      <c r="Q101" s="17">
        <v>0</v>
      </c>
      <c r="R101" s="5"/>
      <c r="S101" s="13">
        <v>0</v>
      </c>
      <c r="T101" s="5"/>
      <c r="U101" s="13">
        <v>0</v>
      </c>
      <c r="V101" s="18"/>
      <c r="W101" s="17">
        <v>0</v>
      </c>
      <c r="X101" s="18"/>
      <c r="Y101" s="17">
        <v>0</v>
      </c>
      <c r="Z101" s="18"/>
      <c r="AA101" s="17">
        <v>0</v>
      </c>
      <c r="AB101" s="17">
        <v>0</v>
      </c>
    </row>
    <row r="102" spans="1:28">
      <c r="A102" s="2" t="s">
        <v>17</v>
      </c>
      <c r="B102" s="2" t="s">
        <v>2653</v>
      </c>
      <c r="C102" s="2" t="str">
        <f t="shared" si="10"/>
        <v>353</v>
      </c>
      <c r="D102" s="5" t="s">
        <v>89</v>
      </c>
      <c r="E102" s="17">
        <v>364200605.90999997</v>
      </c>
      <c r="F102" s="18"/>
      <c r="G102" s="17">
        <v>42384051.129999988</v>
      </c>
      <c r="H102" s="18"/>
      <c r="I102" s="17">
        <v>-2972598.0500000003</v>
      </c>
      <c r="J102" s="18"/>
      <c r="K102" s="17">
        <v>0</v>
      </c>
      <c r="L102" s="18"/>
      <c r="M102" s="17">
        <v>39411453.079999991</v>
      </c>
      <c r="N102" s="18"/>
      <c r="O102" s="17">
        <v>403612058.98999995</v>
      </c>
      <c r="P102" s="18"/>
      <c r="Q102" s="17">
        <v>386853934.06461537</v>
      </c>
      <c r="R102" s="5"/>
      <c r="S102" s="13">
        <v>-80587744.214450762</v>
      </c>
      <c r="T102" s="5"/>
      <c r="U102" s="13">
        <v>306266189.85016459</v>
      </c>
      <c r="V102" s="18"/>
      <c r="W102" s="17">
        <v>1673530.0846520481</v>
      </c>
      <c r="X102" s="18"/>
      <c r="Y102" s="17">
        <v>-78914214.12979871</v>
      </c>
      <c r="Z102" s="18"/>
      <c r="AA102" s="17">
        <v>403612058.99000001</v>
      </c>
      <c r="AB102" s="17">
        <v>0</v>
      </c>
    </row>
    <row r="103" spans="1:28">
      <c r="A103" s="2" t="s">
        <v>17</v>
      </c>
      <c r="B103" s="2" t="s">
        <v>2653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18"/>
      <c r="Q103" s="17">
        <v>0</v>
      </c>
      <c r="R103" s="5"/>
      <c r="S103" s="13">
        <v>0</v>
      </c>
      <c r="T103" s="5"/>
      <c r="U103" s="13">
        <v>0</v>
      </c>
      <c r="V103" s="18"/>
      <c r="W103" s="17">
        <v>0</v>
      </c>
      <c r="X103" s="18"/>
      <c r="Y103" s="17">
        <v>0</v>
      </c>
      <c r="Z103" s="18"/>
      <c r="AA103" s="17">
        <v>0</v>
      </c>
      <c r="AB103" s="17">
        <v>0</v>
      </c>
    </row>
    <row r="104" spans="1:28">
      <c r="A104" s="2" t="s">
        <v>17</v>
      </c>
      <c r="B104" s="2" t="s">
        <v>2653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18"/>
      <c r="Q104" s="17">
        <v>0</v>
      </c>
      <c r="R104" s="5"/>
      <c r="S104" s="13">
        <v>0</v>
      </c>
      <c r="T104" s="5"/>
      <c r="U104" s="13">
        <v>0</v>
      </c>
      <c r="V104" s="18"/>
      <c r="W104" s="17">
        <v>0</v>
      </c>
      <c r="X104" s="18"/>
      <c r="Y104" s="17">
        <v>0</v>
      </c>
      <c r="Z104" s="18"/>
      <c r="AA104" s="17">
        <v>0</v>
      </c>
      <c r="AB104" s="17">
        <v>0</v>
      </c>
    </row>
    <row r="105" spans="1:28">
      <c r="A105" s="2" t="s">
        <v>17</v>
      </c>
      <c r="B105" s="2" t="s">
        <v>2653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0</v>
      </c>
      <c r="L105" s="18"/>
      <c r="M105" s="17">
        <v>0</v>
      </c>
      <c r="N105" s="18"/>
      <c r="O105" s="17">
        <v>70786894.579999998</v>
      </c>
      <c r="P105" s="18"/>
      <c r="Q105" s="17">
        <v>70786894.579999983</v>
      </c>
      <c r="R105" s="5"/>
      <c r="S105" s="13">
        <v>-50727806.491215892</v>
      </c>
      <c r="T105" s="5"/>
      <c r="U105" s="13">
        <v>20059088.088784091</v>
      </c>
      <c r="V105" s="18"/>
      <c r="W105" s="17">
        <v>0</v>
      </c>
      <c r="X105" s="18"/>
      <c r="Y105" s="17">
        <v>-50727806.491215892</v>
      </c>
      <c r="Z105" s="18"/>
      <c r="AA105" s="17">
        <v>70786894.579999998</v>
      </c>
      <c r="AB105" s="17">
        <v>0</v>
      </c>
    </row>
    <row r="106" spans="1:28">
      <c r="A106" s="2" t="s">
        <v>17</v>
      </c>
      <c r="B106" s="2" t="s">
        <v>2653</v>
      </c>
      <c r="C106" s="2" t="str">
        <f t="shared" si="10"/>
        <v>355</v>
      </c>
      <c r="D106" s="5" t="s">
        <v>93</v>
      </c>
      <c r="E106" s="17">
        <v>530902283.03000003</v>
      </c>
      <c r="F106" s="18"/>
      <c r="G106" s="17">
        <v>55908442.809999891</v>
      </c>
      <c r="H106" s="18"/>
      <c r="I106" s="17">
        <v>-2858364.609999998</v>
      </c>
      <c r="J106" s="18"/>
      <c r="K106" s="17">
        <v>0</v>
      </c>
      <c r="L106" s="18"/>
      <c r="M106" s="17">
        <v>53050078.199999891</v>
      </c>
      <c r="N106" s="18"/>
      <c r="O106" s="17">
        <v>583952361.2299999</v>
      </c>
      <c r="P106" s="18"/>
      <c r="Q106" s="17">
        <v>551547649.79769194</v>
      </c>
      <c r="R106" s="5"/>
      <c r="S106" s="13">
        <v>-90108481.39782241</v>
      </c>
      <c r="T106" s="5"/>
      <c r="U106" s="13">
        <v>461439168.39986956</v>
      </c>
      <c r="V106" s="18"/>
      <c r="W106" s="17">
        <v>2207539.358179878</v>
      </c>
      <c r="X106" s="18"/>
      <c r="Y106" s="17">
        <v>-87900942.039642528</v>
      </c>
      <c r="Z106" s="18"/>
      <c r="AA106" s="17">
        <v>583952361.22999895</v>
      </c>
      <c r="AB106" s="17">
        <v>-9.5367431640625E-7</v>
      </c>
    </row>
    <row r="107" spans="1:28">
      <c r="A107" s="2" t="s">
        <v>17</v>
      </c>
      <c r="B107" s="2" t="s">
        <v>2653</v>
      </c>
      <c r="C107" s="2" t="str">
        <f t="shared" si="10"/>
        <v>356</v>
      </c>
      <c r="D107" s="5" t="s">
        <v>94</v>
      </c>
      <c r="E107" s="17">
        <v>238554560.53999999</v>
      </c>
      <c r="F107" s="18"/>
      <c r="G107" s="17">
        <v>11007463.98</v>
      </c>
      <c r="H107" s="18"/>
      <c r="I107" s="17">
        <v>-1569201.21</v>
      </c>
      <c r="J107" s="18"/>
      <c r="K107" s="17">
        <v>0</v>
      </c>
      <c r="L107" s="18"/>
      <c r="M107" s="17">
        <v>9438262.7699999996</v>
      </c>
      <c r="N107" s="18"/>
      <c r="O107" s="17">
        <v>247992823.31</v>
      </c>
      <c r="P107" s="18"/>
      <c r="Q107" s="17">
        <v>240811307.9961533</v>
      </c>
      <c r="R107" s="5"/>
      <c r="S107" s="13">
        <v>-114124034.20998986</v>
      </c>
      <c r="T107" s="5"/>
      <c r="U107" s="13">
        <v>126687273.78616343</v>
      </c>
      <c r="V107" s="18"/>
      <c r="W107" s="17">
        <v>434628.63117430784</v>
      </c>
      <c r="X107" s="18"/>
      <c r="Y107" s="17">
        <v>-113689405.57881555</v>
      </c>
      <c r="Z107" s="18"/>
      <c r="AA107" s="17">
        <v>247992823.30999899</v>
      </c>
      <c r="AB107" s="17">
        <v>-1.0132789611816406E-6</v>
      </c>
    </row>
    <row r="108" spans="1:28">
      <c r="A108" s="2" t="s">
        <v>17</v>
      </c>
      <c r="B108" s="2" t="s">
        <v>2653</v>
      </c>
      <c r="C108" s="2" t="str">
        <f t="shared" si="10"/>
        <v>357</v>
      </c>
      <c r="D108" s="5" t="s">
        <v>95</v>
      </c>
      <c r="E108" s="17">
        <v>618493.81000000006</v>
      </c>
      <c r="F108" s="18"/>
      <c r="G108" s="17">
        <v>0</v>
      </c>
      <c r="H108" s="18"/>
      <c r="I108" s="17">
        <v>0</v>
      </c>
      <c r="J108" s="18"/>
      <c r="K108" s="17">
        <v>0</v>
      </c>
      <c r="L108" s="18"/>
      <c r="M108" s="17">
        <v>0</v>
      </c>
      <c r="N108" s="18"/>
      <c r="O108" s="17">
        <v>618493.81000000006</v>
      </c>
      <c r="P108" s="18"/>
      <c r="Q108" s="17">
        <v>618493.81000000006</v>
      </c>
      <c r="R108" s="5"/>
      <c r="S108" s="13">
        <v>-222202.59302719901</v>
      </c>
      <c r="T108" s="5"/>
      <c r="U108" s="13">
        <v>396291.21697280102</v>
      </c>
      <c r="V108" s="18"/>
      <c r="W108" s="17">
        <v>0</v>
      </c>
      <c r="X108" s="18"/>
      <c r="Y108" s="17">
        <v>-222202.59302719901</v>
      </c>
      <c r="Z108" s="18"/>
      <c r="AA108" s="17">
        <v>618493.81000000006</v>
      </c>
      <c r="AB108" s="17">
        <v>0</v>
      </c>
    </row>
    <row r="109" spans="1:28">
      <c r="A109" s="2" t="s">
        <v>17</v>
      </c>
      <c r="B109" s="2" t="s">
        <v>2653</v>
      </c>
      <c r="C109" s="2" t="str">
        <f t="shared" si="10"/>
        <v>358</v>
      </c>
      <c r="D109" s="5" t="s">
        <v>96</v>
      </c>
      <c r="E109" s="17">
        <v>1235015.17</v>
      </c>
      <c r="F109" s="18"/>
      <c r="G109" s="17">
        <v>0</v>
      </c>
      <c r="H109" s="18"/>
      <c r="I109" s="17">
        <v>0</v>
      </c>
      <c r="J109" s="18"/>
      <c r="K109" s="17">
        <v>0</v>
      </c>
      <c r="L109" s="18"/>
      <c r="M109" s="17">
        <v>0</v>
      </c>
      <c r="N109" s="18"/>
      <c r="O109" s="17">
        <v>1235015.17</v>
      </c>
      <c r="P109" s="18"/>
      <c r="Q109" s="17">
        <v>1235015.1700000002</v>
      </c>
      <c r="R109" s="5"/>
      <c r="S109" s="13">
        <v>-827479.64301120013</v>
      </c>
      <c r="T109" s="5"/>
      <c r="U109" s="13">
        <v>407535.52698880003</v>
      </c>
      <c r="V109" s="18"/>
      <c r="W109" s="17">
        <v>0</v>
      </c>
      <c r="X109" s="18"/>
      <c r="Y109" s="17">
        <v>-827479.64301120013</v>
      </c>
      <c r="Z109" s="18"/>
      <c r="AA109" s="17">
        <v>1235015.17</v>
      </c>
      <c r="AB109" s="17">
        <v>0</v>
      </c>
    </row>
    <row r="110" spans="1:28">
      <c r="A110" s="2" t="s">
        <v>17</v>
      </c>
      <c r="B110" s="2" t="s">
        <v>2653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18"/>
      <c r="Q110" s="17">
        <v>254317.41000000009</v>
      </c>
      <c r="R110" s="5"/>
      <c r="S110" s="13">
        <v>-121176.45329347921</v>
      </c>
      <c r="T110" s="5"/>
      <c r="U110" s="13">
        <v>133140.95670652087</v>
      </c>
      <c r="V110" s="18"/>
      <c r="W110" s="17">
        <v>0</v>
      </c>
      <c r="X110" s="18"/>
      <c r="Y110" s="17">
        <v>-121176.45329347921</v>
      </c>
      <c r="Z110" s="18"/>
      <c r="AA110" s="17">
        <v>254317.41</v>
      </c>
      <c r="AB110" s="17">
        <v>0</v>
      </c>
    </row>
    <row r="111" spans="1:28">
      <c r="A111" s="2" t="s">
        <v>17</v>
      </c>
      <c r="B111" s="2" t="s">
        <v>2653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18"/>
      <c r="Q111" s="20">
        <v>0</v>
      </c>
      <c r="R111" s="5"/>
      <c r="S111" s="21">
        <v>0</v>
      </c>
      <c r="T111" s="5"/>
      <c r="U111" s="21">
        <v>0</v>
      </c>
      <c r="V111" s="18"/>
      <c r="W111" s="20">
        <v>0</v>
      </c>
      <c r="X111" s="18"/>
      <c r="Y111" s="20">
        <v>0</v>
      </c>
      <c r="Z111" s="18"/>
      <c r="AA111" s="20">
        <v>0</v>
      </c>
      <c r="AB111" s="20">
        <v>0</v>
      </c>
    </row>
    <row r="112" spans="1:28">
      <c r="B112" s="2" t="s">
        <v>2653</v>
      </c>
      <c r="D112" s="5"/>
      <c r="E112" s="17">
        <v>1269312136.9000001</v>
      </c>
      <c r="F112" s="18"/>
      <c r="G112" s="17">
        <v>115892907.85999988</v>
      </c>
      <c r="H112" s="18"/>
      <c r="I112" s="17">
        <v>-7400163.8699999982</v>
      </c>
      <c r="J112" s="18"/>
      <c r="K112" s="17">
        <v>0</v>
      </c>
      <c r="L112" s="18"/>
      <c r="M112" s="17">
        <v>108492743.98999988</v>
      </c>
      <c r="N112" s="18"/>
      <c r="O112" s="17">
        <v>1377804880.8899999</v>
      </c>
      <c r="P112" s="18"/>
      <c r="Q112" s="17">
        <v>1317299768.1984608</v>
      </c>
      <c r="R112" s="5"/>
      <c r="S112" s="17">
        <v>-361547207.43805724</v>
      </c>
      <c r="T112" s="5"/>
      <c r="U112" s="17">
        <v>955752560.76040339</v>
      </c>
      <c r="V112" s="18"/>
      <c r="W112" s="17">
        <v>4576020.0530769238</v>
      </c>
      <c r="X112" s="18"/>
      <c r="Y112" s="17">
        <v>-356971187.38498032</v>
      </c>
      <c r="Z112" s="18">
        <v>0</v>
      </c>
      <c r="AA112" s="17">
        <v>1377804880.8899982</v>
      </c>
      <c r="AB112" s="17">
        <v>-1.9669532775878906E-6</v>
      </c>
    </row>
    <row r="113" spans="2:28">
      <c r="B113" s="2" t="s">
        <v>2653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19"/>
      <c r="Q113" s="17"/>
      <c r="R113" s="5"/>
      <c r="S113" s="5"/>
      <c r="T113" s="5"/>
      <c r="U113" s="5"/>
      <c r="V113" s="19"/>
      <c r="W113" s="17"/>
      <c r="X113" s="19"/>
      <c r="Y113" s="17"/>
      <c r="Z113" s="19"/>
      <c r="AA113" s="17"/>
      <c r="AB113" s="17"/>
    </row>
    <row r="114" spans="2:28">
      <c r="B114" s="2" t="s">
        <v>2653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19"/>
      <c r="Q114" s="7"/>
      <c r="R114" s="5"/>
      <c r="S114" s="5"/>
      <c r="T114" s="5"/>
      <c r="U114" s="5"/>
      <c r="V114" s="19"/>
      <c r="W114" s="7"/>
      <c r="X114" s="19"/>
      <c r="Y114" s="7"/>
      <c r="Z114" s="19"/>
      <c r="AA114" s="7"/>
      <c r="AB114" s="7"/>
    </row>
    <row r="115" spans="2:28" s="29" customFormat="1" ht="13.5" thickBot="1">
      <c r="B115" s="2" t="s">
        <v>2653</v>
      </c>
      <c r="D115" s="8" t="s">
        <v>99</v>
      </c>
      <c r="E115" s="22">
        <v>10479956259.179001</v>
      </c>
      <c r="F115" s="18"/>
      <c r="G115" s="22">
        <v>495468825.16999972</v>
      </c>
      <c r="H115" s="18"/>
      <c r="I115" s="22">
        <v>-94801718.237939984</v>
      </c>
      <c r="J115" s="18"/>
      <c r="K115" s="22">
        <v>1.2005330063402653E-6</v>
      </c>
      <c r="L115" s="18"/>
      <c r="M115" s="22">
        <v>400667106.93206084</v>
      </c>
      <c r="N115" s="18"/>
      <c r="O115" s="22">
        <v>10880623366.111061</v>
      </c>
      <c r="P115" s="18"/>
      <c r="Q115" s="22">
        <v>10685437230.883709</v>
      </c>
      <c r="R115" s="5"/>
      <c r="S115" s="22">
        <v>-3851126591.2229018</v>
      </c>
      <c r="T115" s="5"/>
      <c r="U115" s="22">
        <v>6834310639.6608057</v>
      </c>
      <c r="V115" s="18"/>
      <c r="W115" s="22">
        <v>6388629.8207692215</v>
      </c>
      <c r="X115" s="18"/>
      <c r="Y115" s="22">
        <v>-3844737961.402132</v>
      </c>
      <c r="Z115" s="18"/>
      <c r="AA115" s="22">
        <v>10880623366.111061</v>
      </c>
      <c r="AB115" s="22">
        <v>-1.4677643775939941E-6</v>
      </c>
    </row>
    <row r="116" spans="2:28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495"/>
      <c r="Q116" s="232"/>
      <c r="R116" s="2"/>
      <c r="S116" s="2"/>
      <c r="T116" s="2"/>
      <c r="U116" s="2"/>
      <c r="V116" s="25"/>
      <c r="W116" s="232"/>
      <c r="X116" s="25"/>
      <c r="Y116" s="232"/>
      <c r="Z116" s="25"/>
      <c r="AA116" s="232"/>
      <c r="AB116" s="232"/>
    </row>
    <row r="117" spans="2:28" s="29" customFormat="1">
      <c r="D117" s="2"/>
      <c r="E117" s="66"/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496"/>
      <c r="Q117" s="66"/>
      <c r="R117" s="2"/>
      <c r="S117" s="2"/>
      <c r="T117" s="2"/>
      <c r="U117" s="2"/>
      <c r="V117" s="27"/>
      <c r="W117" s="66"/>
      <c r="X117" s="27"/>
      <c r="Y117" s="66"/>
      <c r="Z117" s="27"/>
      <c r="AA117" s="66"/>
      <c r="AB117" s="66"/>
    </row>
    <row r="118" spans="2:28" s="29" customFormat="1">
      <c r="D118" s="28"/>
      <c r="E118" s="232">
        <v>10479932577.179003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P118" s="495"/>
      <c r="Q118" s="232"/>
      <c r="V118" s="25"/>
      <c r="W118" s="232"/>
      <c r="X118" s="25"/>
      <c r="Y118" s="232"/>
      <c r="Z118" s="25"/>
      <c r="AA118" s="232"/>
      <c r="AB118" s="232"/>
    </row>
    <row r="119" spans="2:28" s="29" customFormat="1">
      <c r="D119" s="28"/>
      <c r="E119" s="232">
        <v>23681.999998092651</v>
      </c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P119" s="495"/>
      <c r="Q119" s="232"/>
      <c r="V119" s="25"/>
      <c r="W119" s="232"/>
      <c r="X119" s="25"/>
      <c r="Y119" s="232"/>
      <c r="Z119" s="25"/>
      <c r="AA119" s="232"/>
      <c r="AB119" s="232"/>
    </row>
    <row r="120" spans="2:28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P120" s="495"/>
      <c r="Q120" s="232"/>
      <c r="V120" s="25"/>
      <c r="W120" s="232"/>
      <c r="X120" s="25"/>
      <c r="Y120" s="232"/>
      <c r="Z120" s="25"/>
      <c r="AA120" s="232"/>
      <c r="AB120" s="232"/>
    </row>
    <row r="121" spans="2:28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P121" s="495"/>
      <c r="Q121" s="232"/>
      <c r="V121" s="25"/>
      <c r="W121" s="232"/>
      <c r="X121" s="25"/>
      <c r="Y121" s="232"/>
      <c r="Z121" s="25"/>
      <c r="AA121" s="232"/>
      <c r="AB121" s="232"/>
    </row>
    <row r="122" spans="2:28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P122" s="495"/>
      <c r="Q122" s="232"/>
      <c r="V122" s="25"/>
      <c r="W122" s="232"/>
      <c r="X122" s="25"/>
      <c r="Y122" s="232"/>
      <c r="Z122" s="25"/>
      <c r="AA122" s="232"/>
      <c r="AB122" s="232"/>
    </row>
    <row r="123" spans="2:28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P123" s="495"/>
      <c r="Q123" s="232"/>
      <c r="V123" s="25"/>
      <c r="W123" s="232"/>
      <c r="X123" s="25"/>
      <c r="Y123" s="232"/>
      <c r="Z123" s="25"/>
      <c r="AA123" s="232"/>
      <c r="AB123" s="232"/>
    </row>
    <row r="124" spans="2:28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P124" s="495"/>
      <c r="Q124" s="232"/>
      <c r="V124" s="25"/>
      <c r="W124" s="232"/>
      <c r="X124" s="25"/>
      <c r="Y124" s="232"/>
      <c r="Z124" s="25"/>
      <c r="AA124" s="232"/>
      <c r="AB124" s="232"/>
    </row>
    <row r="125" spans="2:28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P125" s="495"/>
      <c r="Q125" s="232"/>
      <c r="V125" s="25"/>
      <c r="W125" s="232"/>
      <c r="X125" s="25"/>
      <c r="Y125" s="232"/>
      <c r="Z125" s="25"/>
      <c r="AA125" s="232"/>
      <c r="AB125" s="232"/>
    </row>
    <row r="126" spans="2:28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P126" s="495"/>
      <c r="Q126" s="232"/>
      <c r="V126" s="25"/>
      <c r="W126" s="232"/>
      <c r="X126" s="25"/>
      <c r="Y126" s="232"/>
      <c r="Z126" s="25"/>
      <c r="AA126" s="232"/>
      <c r="AB126" s="232"/>
    </row>
    <row r="127" spans="2:28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P127" s="495"/>
      <c r="Q127" s="232"/>
      <c r="V127" s="25"/>
      <c r="W127" s="232"/>
      <c r="X127" s="25"/>
      <c r="Y127" s="232"/>
      <c r="Z127" s="25"/>
      <c r="AA127" s="232"/>
      <c r="AB127" s="232"/>
    </row>
    <row r="128" spans="2:28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P128" s="495"/>
      <c r="Q128" s="232"/>
      <c r="V128" s="25"/>
      <c r="W128" s="232"/>
      <c r="X128" s="25"/>
      <c r="Y128" s="232"/>
      <c r="Z128" s="25"/>
      <c r="AA128" s="232"/>
      <c r="AB128" s="232"/>
    </row>
    <row r="129" spans="4:28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P129" s="495"/>
      <c r="Q129" s="232"/>
      <c r="V129" s="25"/>
      <c r="W129" s="232"/>
      <c r="X129" s="25"/>
      <c r="Y129" s="232"/>
      <c r="Z129" s="25"/>
      <c r="AA129" s="232"/>
      <c r="AB129" s="232"/>
    </row>
    <row r="130" spans="4:28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P130" s="495"/>
      <c r="Q130" s="232"/>
      <c r="V130" s="25"/>
      <c r="W130" s="232"/>
      <c r="X130" s="25"/>
      <c r="Y130" s="232"/>
      <c r="Z130" s="25"/>
      <c r="AA130" s="232"/>
      <c r="AB130" s="232"/>
    </row>
    <row r="131" spans="4:28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P131" s="495"/>
      <c r="Q131" s="232"/>
      <c r="V131" s="25"/>
      <c r="W131" s="232"/>
      <c r="X131" s="25"/>
      <c r="Y131" s="232"/>
      <c r="Z131" s="25"/>
      <c r="AA131" s="232"/>
      <c r="AB131" s="232"/>
    </row>
    <row r="132" spans="4:28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P132" s="495"/>
      <c r="Q132" s="232"/>
      <c r="V132" s="25"/>
      <c r="W132" s="232"/>
      <c r="X132" s="25"/>
      <c r="Y132" s="232"/>
      <c r="Z132" s="25"/>
      <c r="AA132" s="232"/>
      <c r="AB132" s="232"/>
    </row>
    <row r="133" spans="4:28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P133" s="495"/>
      <c r="Q133" s="232"/>
      <c r="V133" s="25"/>
      <c r="W133" s="232"/>
      <c r="X133" s="25"/>
      <c r="Y133" s="232"/>
      <c r="Z133" s="25"/>
      <c r="AA133" s="232"/>
      <c r="AB133" s="232"/>
    </row>
    <row r="134" spans="4:28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P134" s="495"/>
      <c r="Q134" s="232"/>
      <c r="V134" s="25"/>
      <c r="W134" s="232"/>
      <c r="X134" s="25"/>
      <c r="Y134" s="232"/>
      <c r="Z134" s="25"/>
      <c r="AA134" s="232"/>
      <c r="AB134" s="232"/>
    </row>
    <row r="135" spans="4:28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P135" s="495"/>
      <c r="Q135" s="232"/>
      <c r="V135" s="25"/>
      <c r="W135" s="232"/>
      <c r="X135" s="25"/>
      <c r="Y135" s="232"/>
      <c r="Z135" s="25"/>
      <c r="AA135" s="232"/>
      <c r="AB135" s="232"/>
    </row>
    <row r="136" spans="4:28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P136" s="495"/>
      <c r="Q136" s="232"/>
      <c r="V136" s="25"/>
      <c r="W136" s="232"/>
      <c r="X136" s="25"/>
      <c r="Y136" s="232"/>
      <c r="Z136" s="25"/>
      <c r="AA136" s="232"/>
      <c r="AB136" s="232"/>
    </row>
    <row r="137" spans="4:28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P137" s="495"/>
      <c r="Q137" s="232"/>
      <c r="V137" s="25"/>
      <c r="W137" s="232"/>
      <c r="X137" s="25"/>
      <c r="Y137" s="232"/>
      <c r="Z137" s="25"/>
      <c r="AA137" s="232"/>
      <c r="AB137" s="232"/>
    </row>
    <row r="138" spans="4:28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P138" s="495"/>
      <c r="Q138" s="232"/>
      <c r="V138" s="25"/>
      <c r="W138" s="232"/>
      <c r="X138" s="25"/>
      <c r="Y138" s="232"/>
      <c r="Z138" s="25"/>
      <c r="AA138" s="232"/>
      <c r="AB138" s="232"/>
    </row>
    <row r="139" spans="4:28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P139" s="495"/>
      <c r="Q139" s="232"/>
      <c r="V139" s="25"/>
      <c r="W139" s="232"/>
      <c r="X139" s="25"/>
      <c r="Y139" s="232"/>
      <c r="Z139" s="25"/>
      <c r="AA139" s="232"/>
      <c r="AB139" s="232"/>
    </row>
    <row r="140" spans="4:28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P140" s="495"/>
      <c r="Q140" s="232"/>
      <c r="V140" s="25"/>
      <c r="W140" s="232"/>
      <c r="X140" s="25"/>
      <c r="Y140" s="232"/>
      <c r="Z140" s="25"/>
      <c r="AA140" s="232"/>
      <c r="AB140" s="232"/>
    </row>
    <row r="141" spans="4:28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P141" s="495"/>
      <c r="Q141" s="232"/>
      <c r="V141" s="25"/>
      <c r="W141" s="232"/>
      <c r="X141" s="25"/>
      <c r="Y141" s="232"/>
      <c r="Z141" s="25"/>
      <c r="AA141" s="232"/>
      <c r="AB141" s="232"/>
    </row>
    <row r="142" spans="4:28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P142" s="495"/>
      <c r="Q142" s="232"/>
      <c r="V142" s="25"/>
      <c r="W142" s="232"/>
      <c r="X142" s="25"/>
      <c r="Y142" s="232"/>
      <c r="Z142" s="25"/>
      <c r="AA142" s="232"/>
      <c r="AB142" s="232"/>
    </row>
    <row r="143" spans="4:28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P143" s="495"/>
      <c r="Q143" s="232"/>
      <c r="V143" s="25"/>
      <c r="W143" s="232"/>
      <c r="X143" s="25"/>
      <c r="Y143" s="232"/>
      <c r="Z143" s="25"/>
      <c r="AA143" s="232"/>
      <c r="AB143" s="232"/>
    </row>
    <row r="144" spans="4:28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P144" s="495"/>
      <c r="Q144" s="232"/>
      <c r="V144" s="25"/>
      <c r="W144" s="232"/>
      <c r="X144" s="25"/>
      <c r="Y144" s="232"/>
      <c r="Z144" s="25"/>
      <c r="AA144" s="232"/>
      <c r="AB144" s="232"/>
    </row>
    <row r="145" spans="4:28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P145" s="495"/>
      <c r="Q145" s="232"/>
      <c r="V145" s="25"/>
      <c r="W145" s="232"/>
      <c r="X145" s="25"/>
      <c r="Y145" s="232"/>
      <c r="Z145" s="25"/>
      <c r="AA145" s="232"/>
      <c r="AB145" s="232"/>
    </row>
    <row r="146" spans="4:28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P146" s="495"/>
      <c r="Q146" s="232"/>
      <c r="V146" s="25"/>
      <c r="W146" s="232"/>
      <c r="X146" s="25"/>
      <c r="Y146" s="232"/>
      <c r="Z146" s="25"/>
      <c r="AA146" s="232"/>
      <c r="AB146" s="232"/>
    </row>
    <row r="147" spans="4:28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P147" s="495"/>
      <c r="Q147" s="232"/>
      <c r="V147" s="25"/>
      <c r="W147" s="232"/>
      <c r="X147" s="25"/>
      <c r="Y147" s="232"/>
      <c r="Z147" s="25"/>
      <c r="AA147" s="232"/>
      <c r="AB147" s="232"/>
    </row>
    <row r="148" spans="4:28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P148" s="495"/>
      <c r="Q148" s="232"/>
      <c r="V148" s="25"/>
      <c r="W148" s="232"/>
      <c r="X148" s="25"/>
      <c r="Y148" s="232"/>
      <c r="Z148" s="25"/>
      <c r="AA148" s="232"/>
      <c r="AB148" s="232"/>
    </row>
    <row r="149" spans="4:28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P149" s="495"/>
      <c r="Q149" s="232"/>
      <c r="V149" s="25"/>
      <c r="W149" s="232"/>
      <c r="X149" s="25"/>
      <c r="Y149" s="232"/>
      <c r="Z149" s="25"/>
      <c r="AA149" s="232"/>
      <c r="AB149" s="232"/>
    </row>
    <row r="150" spans="4:28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P150" s="495"/>
      <c r="Q150" s="232"/>
      <c r="V150" s="25"/>
      <c r="W150" s="232"/>
      <c r="X150" s="25"/>
      <c r="Y150" s="232"/>
      <c r="Z150" s="25"/>
      <c r="AA150" s="232"/>
      <c r="AB150" s="232"/>
    </row>
    <row r="151" spans="4:28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P151" s="495"/>
      <c r="Q151" s="232"/>
      <c r="V151" s="25"/>
      <c r="W151" s="232"/>
      <c r="X151" s="25"/>
      <c r="Y151" s="232"/>
      <c r="Z151" s="25"/>
      <c r="AA151" s="232"/>
      <c r="AB151" s="232"/>
    </row>
    <row r="152" spans="4:28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P152" s="495"/>
      <c r="Q152" s="232"/>
      <c r="V152" s="25"/>
      <c r="W152" s="232"/>
      <c r="X152" s="25"/>
      <c r="Y152" s="232"/>
      <c r="Z152" s="25"/>
      <c r="AA152" s="232"/>
      <c r="AB152" s="232"/>
    </row>
    <row r="153" spans="4:28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P153" s="495"/>
      <c r="Q153" s="232"/>
      <c r="V153" s="25"/>
      <c r="W153" s="232"/>
      <c r="X153" s="25"/>
      <c r="Y153" s="232"/>
      <c r="Z153" s="25"/>
      <c r="AA153" s="232"/>
      <c r="AB153" s="232"/>
    </row>
    <row r="154" spans="4:28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P154" s="495"/>
      <c r="Q154" s="232"/>
      <c r="V154" s="25"/>
      <c r="W154" s="232"/>
      <c r="X154" s="25"/>
      <c r="Y154" s="232"/>
      <c r="Z154" s="25"/>
      <c r="AA154" s="232"/>
      <c r="AB154" s="232"/>
    </row>
    <row r="155" spans="4:28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P155" s="495"/>
      <c r="Q155" s="232"/>
      <c r="V155" s="25"/>
      <c r="W155" s="232"/>
      <c r="X155" s="25"/>
      <c r="Y155" s="232"/>
      <c r="Z155" s="25"/>
      <c r="AA155" s="232"/>
      <c r="AB155" s="232"/>
    </row>
    <row r="156" spans="4:28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P156" s="495"/>
      <c r="Q156" s="232"/>
      <c r="V156" s="25"/>
      <c r="W156" s="232"/>
      <c r="X156" s="25"/>
      <c r="Y156" s="232"/>
      <c r="Z156" s="25"/>
      <c r="AA156" s="232"/>
      <c r="AB156" s="232"/>
    </row>
    <row r="157" spans="4:28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P157" s="495"/>
      <c r="Q157" s="232"/>
      <c r="V157" s="25"/>
      <c r="W157" s="232"/>
      <c r="X157" s="25"/>
      <c r="Y157" s="232"/>
      <c r="Z157" s="25"/>
      <c r="AA157" s="232"/>
      <c r="AB157" s="232"/>
    </row>
    <row r="158" spans="4:28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P158" s="495"/>
      <c r="Q158" s="232"/>
      <c r="V158" s="25"/>
      <c r="W158" s="232"/>
      <c r="X158" s="25"/>
      <c r="Y158" s="232"/>
      <c r="Z158" s="25"/>
      <c r="AA158" s="232"/>
      <c r="AB158" s="232"/>
    </row>
    <row r="159" spans="4:28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P159" s="495"/>
      <c r="Q159" s="232"/>
      <c r="V159" s="25"/>
      <c r="W159" s="232"/>
      <c r="X159" s="25"/>
      <c r="Y159" s="232"/>
      <c r="Z159" s="25"/>
      <c r="AA159" s="232"/>
      <c r="AB159" s="232"/>
    </row>
    <row r="160" spans="4:28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P160" s="495"/>
      <c r="Q160" s="232"/>
      <c r="V160" s="25"/>
      <c r="W160" s="232"/>
      <c r="X160" s="25"/>
      <c r="Y160" s="232"/>
      <c r="Z160" s="25"/>
      <c r="AA160" s="232"/>
      <c r="AB160" s="232"/>
    </row>
    <row r="161" spans="4:28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P161" s="495"/>
      <c r="Q161" s="232"/>
      <c r="V161" s="25"/>
      <c r="W161" s="232"/>
      <c r="X161" s="25"/>
      <c r="Y161" s="232"/>
      <c r="Z161" s="25"/>
      <c r="AA161" s="232"/>
      <c r="AB161" s="232"/>
    </row>
    <row r="162" spans="4:28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P162" s="495"/>
      <c r="Q162" s="232"/>
      <c r="V162" s="25"/>
      <c r="W162" s="232"/>
      <c r="X162" s="25"/>
      <c r="Y162" s="232"/>
      <c r="Z162" s="25"/>
      <c r="AA162" s="232"/>
      <c r="AB162" s="232"/>
    </row>
    <row r="163" spans="4:28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P163" s="495"/>
      <c r="Q163" s="232"/>
      <c r="V163" s="25"/>
      <c r="W163" s="232"/>
      <c r="X163" s="25"/>
      <c r="Y163" s="232"/>
      <c r="Z163" s="25"/>
      <c r="AA163" s="232"/>
      <c r="AB163" s="232"/>
    </row>
    <row r="164" spans="4:28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P164" s="495"/>
      <c r="Q164" s="232"/>
      <c r="V164" s="25"/>
      <c r="W164" s="232"/>
      <c r="X164" s="25"/>
      <c r="Y164" s="232"/>
      <c r="Z164" s="25"/>
      <c r="AA164" s="232"/>
      <c r="AB164" s="232"/>
    </row>
    <row r="165" spans="4:28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P165" s="495"/>
      <c r="Q165" s="232"/>
      <c r="V165" s="25"/>
      <c r="W165" s="232"/>
      <c r="X165" s="25"/>
      <c r="Y165" s="232"/>
      <c r="Z165" s="25"/>
      <c r="AA165" s="232"/>
      <c r="AB165" s="232"/>
    </row>
    <row r="166" spans="4:28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P166" s="495"/>
      <c r="Q166" s="232"/>
      <c r="V166" s="25"/>
      <c r="W166" s="232"/>
      <c r="X166" s="25"/>
      <c r="Y166" s="232"/>
      <c r="Z166" s="25"/>
      <c r="AA166" s="232"/>
      <c r="AB166" s="232"/>
    </row>
    <row r="167" spans="4:28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P167" s="495"/>
      <c r="Q167" s="232"/>
      <c r="V167" s="25"/>
      <c r="W167" s="232"/>
      <c r="X167" s="25"/>
      <c r="Y167" s="232"/>
      <c r="Z167" s="25"/>
      <c r="AA167" s="232"/>
      <c r="AB167" s="232"/>
    </row>
    <row r="168" spans="4:28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P168" s="495"/>
      <c r="Q168" s="232"/>
      <c r="V168" s="25"/>
      <c r="W168" s="232"/>
      <c r="X168" s="25"/>
      <c r="Y168" s="232"/>
      <c r="Z168" s="25"/>
      <c r="AA168" s="232"/>
      <c r="AB168" s="232"/>
    </row>
    <row r="169" spans="4:28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P169" s="495"/>
      <c r="Q169" s="232"/>
      <c r="V169" s="25"/>
      <c r="W169" s="232"/>
      <c r="X169" s="25"/>
      <c r="Y169" s="232"/>
      <c r="Z169" s="25"/>
      <c r="AA169" s="232"/>
      <c r="AB169" s="232"/>
    </row>
    <row r="170" spans="4:28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P170" s="495"/>
      <c r="Q170" s="232"/>
      <c r="V170" s="25"/>
      <c r="W170" s="232"/>
      <c r="X170" s="25"/>
      <c r="Y170" s="232"/>
      <c r="Z170" s="25"/>
      <c r="AA170" s="232"/>
      <c r="AB170" s="232"/>
    </row>
    <row r="171" spans="4:28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P171" s="495"/>
      <c r="Q171" s="232"/>
      <c r="V171" s="25"/>
      <c r="W171" s="232"/>
      <c r="X171" s="25"/>
      <c r="Y171" s="232"/>
      <c r="Z171" s="25"/>
      <c r="AA171" s="232"/>
      <c r="AB171" s="232"/>
    </row>
    <row r="172" spans="4:28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P172" s="495"/>
      <c r="Q172" s="232"/>
      <c r="V172" s="25"/>
      <c r="W172" s="232"/>
      <c r="X172" s="25"/>
      <c r="Y172" s="232"/>
      <c r="Z172" s="25"/>
      <c r="AA172" s="232"/>
      <c r="AB172" s="232"/>
    </row>
    <row r="173" spans="4:28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P173" s="495"/>
      <c r="Q173" s="232"/>
      <c r="V173" s="25"/>
      <c r="W173" s="232"/>
      <c r="X173" s="25"/>
      <c r="Y173" s="232"/>
      <c r="Z173" s="25"/>
      <c r="AA173" s="232"/>
      <c r="AB173" s="232"/>
    </row>
    <row r="174" spans="4:28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P174" s="495"/>
      <c r="Q174" s="232"/>
      <c r="V174" s="25"/>
      <c r="W174" s="232"/>
      <c r="X174" s="25"/>
      <c r="Y174" s="232"/>
      <c r="Z174" s="25"/>
      <c r="AA174" s="232"/>
      <c r="AB174" s="232"/>
    </row>
    <row r="175" spans="4:28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P175" s="495"/>
      <c r="Q175" s="232"/>
      <c r="V175" s="25"/>
      <c r="W175" s="232"/>
      <c r="X175" s="25"/>
      <c r="Y175" s="232"/>
      <c r="Z175" s="25"/>
      <c r="AA175" s="232"/>
      <c r="AB175" s="232"/>
    </row>
    <row r="176" spans="4:28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495"/>
      <c r="Q176" s="232"/>
      <c r="R176" s="30"/>
      <c r="V176" s="25"/>
      <c r="W176" s="232"/>
      <c r="X176" s="25"/>
      <c r="Y176" s="232"/>
      <c r="Z176" s="25"/>
      <c r="AA176" s="232"/>
      <c r="AB176" s="232"/>
    </row>
    <row r="177" spans="4:28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495"/>
      <c r="Q177" s="232"/>
      <c r="R177" s="30"/>
      <c r="V177" s="25"/>
      <c r="W177" s="232"/>
      <c r="X177" s="25"/>
      <c r="Y177" s="232"/>
      <c r="Z177" s="25"/>
      <c r="AA177" s="232"/>
      <c r="AB177" s="232"/>
    </row>
    <row r="178" spans="4:28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495"/>
      <c r="Q178" s="232"/>
      <c r="R178" s="30"/>
      <c r="V178" s="25"/>
      <c r="W178" s="232"/>
      <c r="X178" s="25"/>
      <c r="Y178" s="232"/>
      <c r="Z178" s="25"/>
      <c r="AA178" s="232"/>
      <c r="AB178" s="232"/>
    </row>
    <row r="179" spans="4:28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495"/>
      <c r="Q179" s="232"/>
      <c r="R179" s="30"/>
      <c r="V179" s="25"/>
      <c r="W179" s="232"/>
      <c r="X179" s="25"/>
      <c r="Y179" s="232"/>
      <c r="Z179" s="25"/>
      <c r="AA179" s="232"/>
      <c r="AB179" s="232"/>
    </row>
    <row r="180" spans="4:28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P180" s="495"/>
      <c r="Q180" s="232"/>
      <c r="V180" s="25"/>
      <c r="W180" s="232"/>
      <c r="X180" s="25"/>
      <c r="Y180" s="232"/>
      <c r="Z180" s="25"/>
      <c r="AA180" s="232"/>
      <c r="AB180" s="232"/>
    </row>
    <row r="181" spans="4:28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P181" s="495"/>
      <c r="Q181" s="232"/>
      <c r="V181" s="25"/>
      <c r="W181" s="232"/>
      <c r="X181" s="25"/>
      <c r="Y181" s="232"/>
      <c r="Z181" s="25"/>
      <c r="AA181" s="232"/>
      <c r="AB181" s="232"/>
    </row>
    <row r="182" spans="4:28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P182" s="495"/>
      <c r="Q182" s="232"/>
      <c r="V182" s="25"/>
      <c r="W182" s="232"/>
      <c r="X182" s="25"/>
      <c r="Y182" s="232"/>
      <c r="Z182" s="25"/>
      <c r="AA182" s="232"/>
      <c r="AB182" s="232"/>
    </row>
    <row r="183" spans="4:28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P183" s="495"/>
      <c r="Q183" s="232"/>
      <c r="V183" s="25"/>
      <c r="W183" s="232"/>
      <c r="X183" s="25"/>
      <c r="Y183" s="232"/>
      <c r="Z183" s="25"/>
      <c r="AA183" s="232"/>
      <c r="AB183" s="232"/>
    </row>
    <row r="184" spans="4:28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495"/>
      <c r="Q184" s="232"/>
      <c r="R184" s="29"/>
      <c r="S184" s="29"/>
      <c r="T184" s="29"/>
      <c r="U184" s="29"/>
      <c r="V184" s="25"/>
      <c r="W184" s="232"/>
      <c r="X184" s="25"/>
      <c r="Y184" s="232"/>
      <c r="Z184" s="25"/>
      <c r="AA184" s="232"/>
      <c r="AB184" s="232"/>
    </row>
    <row r="185" spans="4:28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495"/>
      <c r="Q185" s="232"/>
      <c r="R185" s="29"/>
      <c r="S185" s="29"/>
      <c r="T185" s="29"/>
      <c r="U185" s="29"/>
      <c r="V185" s="25"/>
      <c r="W185" s="232"/>
      <c r="X185" s="25"/>
      <c r="Y185" s="232"/>
      <c r="Z185" s="25"/>
      <c r="AA185" s="232"/>
      <c r="AB185" s="232"/>
    </row>
    <row r="186" spans="4:28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495"/>
      <c r="Q186" s="232"/>
      <c r="R186" s="29"/>
      <c r="S186" s="29"/>
      <c r="T186" s="29"/>
      <c r="U186" s="29"/>
      <c r="V186" s="25"/>
      <c r="W186" s="232"/>
      <c r="X186" s="25"/>
      <c r="Y186" s="232"/>
      <c r="Z186" s="25"/>
      <c r="AA186" s="232"/>
      <c r="AB186" s="232"/>
    </row>
    <row r="187" spans="4:28">
      <c r="F187" s="496"/>
      <c r="H187" s="496"/>
      <c r="J187" s="496"/>
      <c r="L187" s="496"/>
      <c r="N187" s="496"/>
      <c r="P187" s="496"/>
      <c r="V187" s="27"/>
      <c r="X187" s="27"/>
      <c r="Z187" s="27"/>
    </row>
    <row r="188" spans="4:28">
      <c r="F188" s="496"/>
      <c r="H188" s="496"/>
      <c r="J188" s="496"/>
      <c r="L188" s="496"/>
      <c r="N188" s="496"/>
      <c r="P188" s="496"/>
      <c r="V188" s="27"/>
      <c r="X188" s="27"/>
      <c r="Z188" s="27"/>
    </row>
    <row r="189" spans="4:28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22"/>
      <c r="W189" s="422"/>
      <c r="X189" s="422"/>
      <c r="Y189" s="422"/>
      <c r="Z189" s="422"/>
      <c r="AA189" s="422"/>
      <c r="AB189" s="422"/>
    </row>
    <row r="190" spans="4:28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22"/>
      <c r="W190" s="422"/>
      <c r="X190" s="422"/>
      <c r="Y190" s="422"/>
      <c r="Z190" s="422"/>
      <c r="AA190" s="422"/>
      <c r="AB190" s="422"/>
    </row>
    <row r="191" spans="4:28">
      <c r="D191" s="493" t="s">
        <v>3715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94"/>
      <c r="U191" s="494"/>
      <c r="V191" s="423"/>
      <c r="W191" s="423"/>
      <c r="X191" s="423"/>
      <c r="Y191" s="423"/>
      <c r="Z191" s="423"/>
      <c r="AA191" s="423"/>
      <c r="AB191" s="423"/>
    </row>
    <row r="192" spans="4:28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1"/>
      <c r="S192" s="31"/>
      <c r="T192" s="31"/>
      <c r="U192" s="31"/>
      <c r="V192" s="3"/>
      <c r="W192" s="3"/>
      <c r="X192" s="3"/>
      <c r="Y192" s="3"/>
      <c r="Z192" s="3"/>
      <c r="AA192" s="32" t="s">
        <v>1712</v>
      </c>
      <c r="AB192" s="32"/>
    </row>
    <row r="193" spans="1:28" ht="15">
      <c r="D193" s="3"/>
      <c r="E193" s="32" t="s">
        <v>3716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3717</v>
      </c>
      <c r="P193" s="32"/>
      <c r="Q193" s="32" t="s">
        <v>1713</v>
      </c>
      <c r="R193" s="34"/>
      <c r="S193" s="34"/>
      <c r="T193" s="34"/>
      <c r="U193" s="431" t="s">
        <v>1713</v>
      </c>
      <c r="V193" s="32"/>
      <c r="W193" s="431" t="s">
        <v>1713</v>
      </c>
      <c r="X193" s="32"/>
      <c r="Y193" s="431" t="s">
        <v>1713</v>
      </c>
      <c r="Z193" s="32"/>
      <c r="AA193" s="32" t="s">
        <v>3717</v>
      </c>
      <c r="AB193" s="4"/>
    </row>
    <row r="194" spans="1:28" ht="15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3" t="s">
        <v>4</v>
      </c>
      <c r="R194" s="31"/>
      <c r="S194" s="431" t="s">
        <v>1713</v>
      </c>
      <c r="T194" s="31"/>
      <c r="U194" s="509" t="s">
        <v>5</v>
      </c>
      <c r="V194" s="31"/>
      <c r="W194" s="231" t="s">
        <v>1201</v>
      </c>
      <c r="X194" s="5"/>
      <c r="Y194" s="231" t="s">
        <v>11</v>
      </c>
      <c r="Z194" s="5"/>
      <c r="AA194" s="6" t="s">
        <v>4</v>
      </c>
      <c r="AB194" s="6"/>
    </row>
    <row r="195" spans="1:28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31"/>
      <c r="Q195" s="35" t="s">
        <v>6</v>
      </c>
      <c r="R195" s="5"/>
      <c r="S195" s="35" t="s">
        <v>11</v>
      </c>
      <c r="T195" s="5"/>
      <c r="U195" s="35" t="s">
        <v>12</v>
      </c>
      <c r="V195" s="31"/>
      <c r="W195" s="10" t="s">
        <v>1202</v>
      </c>
      <c r="X195" s="5"/>
      <c r="Y195" s="10" t="s">
        <v>2172</v>
      </c>
      <c r="Z195" s="5"/>
      <c r="AA195" s="10" t="s">
        <v>6</v>
      </c>
      <c r="AB195" s="10" t="s">
        <v>13</v>
      </c>
    </row>
    <row r="196" spans="1:28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31"/>
      <c r="Q196" s="36"/>
      <c r="R196" s="5"/>
      <c r="S196" s="5"/>
      <c r="T196" s="5"/>
      <c r="U196" s="5"/>
      <c r="V196" s="31"/>
      <c r="W196" s="36"/>
      <c r="X196" s="31"/>
      <c r="Y196" s="36"/>
      <c r="Z196" s="31"/>
      <c r="AA196" s="36"/>
      <c r="AB196" s="36"/>
    </row>
    <row r="197" spans="1:28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31"/>
      <c r="Q197" s="26"/>
      <c r="R197" s="5"/>
      <c r="S197" s="5"/>
      <c r="T197" s="5"/>
      <c r="U197" s="5"/>
      <c r="V197" s="31"/>
      <c r="W197" s="26"/>
      <c r="X197" s="31"/>
      <c r="Y197" s="26"/>
      <c r="Z197" s="31"/>
      <c r="AA197" s="26"/>
      <c r="AB197" s="26"/>
    </row>
    <row r="198" spans="1:28">
      <c r="D198" s="34" t="s">
        <v>2660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26"/>
      <c r="R198" s="37"/>
      <c r="S198" s="31"/>
      <c r="T198" s="31"/>
      <c r="U198" s="31"/>
      <c r="V198" s="37"/>
      <c r="W198" s="26"/>
      <c r="X198" s="37"/>
      <c r="Y198" s="26"/>
      <c r="Z198" s="37"/>
      <c r="AA198" s="26"/>
      <c r="AB198" s="26"/>
    </row>
    <row r="199" spans="1:28">
      <c r="A199" s="2" t="s">
        <v>101</v>
      </c>
      <c r="B199" s="2" t="s">
        <v>2653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26">
        <v>305487.90000000002</v>
      </c>
      <c r="R199" s="37"/>
      <c r="S199" s="38">
        <v>-73244.35860799998</v>
      </c>
      <c r="T199" s="31"/>
      <c r="U199" s="38">
        <v>232243.54139200004</v>
      </c>
      <c r="V199" s="37"/>
      <c r="W199" s="17">
        <v>0</v>
      </c>
      <c r="X199" s="18"/>
      <c r="Y199" s="17">
        <v>-73244.35860799998</v>
      </c>
      <c r="Z199" s="18"/>
      <c r="AA199" s="17">
        <v>305487.90000000002</v>
      </c>
      <c r="AB199" s="17">
        <v>0</v>
      </c>
    </row>
    <row r="200" spans="1:28">
      <c r="A200" s="2" t="s">
        <v>101</v>
      </c>
      <c r="B200" s="2" t="s">
        <v>2653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26">
        <v>0</v>
      </c>
      <c r="R200" s="37"/>
      <c r="S200" s="38">
        <v>0</v>
      </c>
      <c r="T200" s="31"/>
      <c r="U200" s="38">
        <v>0</v>
      </c>
      <c r="V200" s="37"/>
      <c r="W200" s="26">
        <v>0</v>
      </c>
      <c r="X200" s="37"/>
      <c r="Y200" s="26">
        <v>0</v>
      </c>
      <c r="Z200" s="37"/>
      <c r="AA200" s="26">
        <v>0</v>
      </c>
      <c r="AB200" s="26">
        <v>0</v>
      </c>
    </row>
    <row r="201" spans="1:28">
      <c r="A201" s="2" t="s">
        <v>101</v>
      </c>
      <c r="B201" s="2" t="s">
        <v>2653</v>
      </c>
      <c r="C201" s="2" t="str">
        <f t="shared" si="11"/>
        <v>361</v>
      </c>
      <c r="D201" s="31" t="s">
        <v>19</v>
      </c>
      <c r="E201" s="26">
        <v>652265.46</v>
      </c>
      <c r="F201" s="37"/>
      <c r="G201" s="26">
        <v>0</v>
      </c>
      <c r="H201" s="37"/>
      <c r="I201" s="26">
        <v>0</v>
      </c>
      <c r="J201" s="37"/>
      <c r="K201" s="26">
        <v>0</v>
      </c>
      <c r="L201" s="37"/>
      <c r="M201" s="26">
        <v>0</v>
      </c>
      <c r="N201" s="37"/>
      <c r="O201" s="26">
        <v>652265.46</v>
      </c>
      <c r="P201" s="37"/>
      <c r="Q201" s="26">
        <v>652265.45999999985</v>
      </c>
      <c r="R201" s="37"/>
      <c r="S201" s="38">
        <v>-187117.82212429924</v>
      </c>
      <c r="T201" s="31"/>
      <c r="U201" s="38">
        <v>465147.6378757006</v>
      </c>
      <c r="V201" s="37"/>
      <c r="W201" s="26">
        <v>0</v>
      </c>
      <c r="X201" s="37"/>
      <c r="Y201" s="26">
        <v>-187117.82212429924</v>
      </c>
      <c r="Z201" s="37"/>
      <c r="AA201" s="26">
        <v>652265.46</v>
      </c>
      <c r="AB201" s="26">
        <v>0</v>
      </c>
    </row>
    <row r="202" spans="1:28" s="9" customFormat="1">
      <c r="A202" s="2" t="s">
        <v>101</v>
      </c>
      <c r="B202" s="2" t="s">
        <v>2653</v>
      </c>
      <c r="C202" s="2" t="str">
        <f t="shared" si="11"/>
        <v>362</v>
      </c>
      <c r="D202" s="31" t="s">
        <v>20</v>
      </c>
      <c r="E202" s="26">
        <v>9218684.629999999</v>
      </c>
      <c r="F202" s="37"/>
      <c r="G202" s="26">
        <v>0</v>
      </c>
      <c r="H202" s="37"/>
      <c r="I202" s="26">
        <v>0</v>
      </c>
      <c r="J202" s="37"/>
      <c r="K202" s="26">
        <v>0</v>
      </c>
      <c r="L202" s="37"/>
      <c r="M202" s="26">
        <v>0</v>
      </c>
      <c r="N202" s="37"/>
      <c r="O202" s="26">
        <v>9218684.629999999</v>
      </c>
      <c r="P202" s="37"/>
      <c r="Q202" s="26">
        <v>9218684.6300000008</v>
      </c>
      <c r="R202" s="37"/>
      <c r="S202" s="38">
        <v>-3542031.27802649</v>
      </c>
      <c r="T202" s="31"/>
      <c r="U202" s="38">
        <v>5676653.3519735113</v>
      </c>
      <c r="V202" s="37"/>
      <c r="W202" s="26">
        <v>0</v>
      </c>
      <c r="X202" s="37"/>
      <c r="Y202" s="26">
        <v>-3542031.27802649</v>
      </c>
      <c r="Z202" s="37"/>
      <c r="AA202" s="26">
        <v>9218684.629999999</v>
      </c>
      <c r="AB202" s="26">
        <v>0</v>
      </c>
    </row>
    <row r="203" spans="1:28">
      <c r="A203" s="2" t="s">
        <v>101</v>
      </c>
      <c r="B203" s="2" t="s">
        <v>2653</v>
      </c>
      <c r="C203" s="2" t="str">
        <f t="shared" si="11"/>
        <v>364</v>
      </c>
      <c r="D203" s="31" t="s">
        <v>21</v>
      </c>
      <c r="E203" s="26">
        <v>33233390.630000003</v>
      </c>
      <c r="F203" s="37"/>
      <c r="G203" s="26">
        <v>338022.18</v>
      </c>
      <c r="H203" s="37"/>
      <c r="I203" s="26">
        <v>0</v>
      </c>
      <c r="J203" s="37"/>
      <c r="K203" s="26">
        <v>0</v>
      </c>
      <c r="L203" s="37"/>
      <c r="M203" s="26">
        <v>338022.18</v>
      </c>
      <c r="N203" s="37"/>
      <c r="O203" s="26">
        <v>33571412.810000002</v>
      </c>
      <c r="P203" s="37"/>
      <c r="Q203" s="26">
        <v>33401557.545384619</v>
      </c>
      <c r="R203" s="37"/>
      <c r="S203" s="38">
        <v>-14197670.811388614</v>
      </c>
      <c r="T203" s="31"/>
      <c r="U203" s="38">
        <v>19203886.733996004</v>
      </c>
      <c r="V203" s="37"/>
      <c r="W203" s="26">
        <v>16342.723584557523</v>
      </c>
      <c r="X203" s="37"/>
      <c r="Y203" s="26">
        <v>-14181328.087804057</v>
      </c>
      <c r="Z203" s="37"/>
      <c r="AA203" s="26">
        <v>33571412.810000002</v>
      </c>
      <c r="AB203" s="26">
        <v>0</v>
      </c>
    </row>
    <row r="204" spans="1:28">
      <c r="A204" s="2" t="s">
        <v>101</v>
      </c>
      <c r="B204" s="2" t="s">
        <v>2653</v>
      </c>
      <c r="C204" s="2" t="str">
        <f t="shared" si="11"/>
        <v>365</v>
      </c>
      <c r="D204" s="31" t="s">
        <v>22</v>
      </c>
      <c r="E204" s="26">
        <v>30539872.949999999</v>
      </c>
      <c r="F204" s="37"/>
      <c r="G204" s="26">
        <v>2699681.3499999982</v>
      </c>
      <c r="H204" s="37"/>
      <c r="I204" s="26">
        <v>0</v>
      </c>
      <c r="J204" s="37"/>
      <c r="K204" s="26">
        <v>0</v>
      </c>
      <c r="L204" s="37"/>
      <c r="M204" s="26">
        <v>2699681.3499999982</v>
      </c>
      <c r="N204" s="37"/>
      <c r="O204" s="26">
        <v>33239554.299999997</v>
      </c>
      <c r="P204" s="37"/>
      <c r="Q204" s="26">
        <v>31936306.109230727</v>
      </c>
      <c r="R204" s="37"/>
      <c r="S204" s="38">
        <v>-8950292.0973139964</v>
      </c>
      <c r="T204" s="31"/>
      <c r="U204" s="38">
        <v>22986014.011916731</v>
      </c>
      <c r="V204" s="37"/>
      <c r="W204" s="26">
        <v>130524.4113550036</v>
      </c>
      <c r="X204" s="37"/>
      <c r="Y204" s="26">
        <v>-8819767.6859589927</v>
      </c>
      <c r="Z204" s="37"/>
      <c r="AA204" s="26">
        <v>33239554.2999999</v>
      </c>
      <c r="AB204" s="26">
        <v>-9.6857547760009766E-8</v>
      </c>
    </row>
    <row r="205" spans="1:28">
      <c r="A205" s="2" t="s">
        <v>101</v>
      </c>
      <c r="B205" s="2" t="s">
        <v>2653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7">
        <v>0</v>
      </c>
      <c r="R205" s="39"/>
      <c r="S205" s="13">
        <v>0</v>
      </c>
      <c r="T205" s="5"/>
      <c r="U205" s="13">
        <v>0</v>
      </c>
      <c r="V205" s="39"/>
      <c r="W205" s="7">
        <v>0</v>
      </c>
      <c r="X205" s="39"/>
      <c r="Y205" s="7">
        <v>0</v>
      </c>
      <c r="Z205" s="39"/>
      <c r="AA205" s="7">
        <v>0</v>
      </c>
      <c r="AB205" s="7">
        <v>0</v>
      </c>
    </row>
    <row r="206" spans="1:28">
      <c r="A206" s="2" t="s">
        <v>101</v>
      </c>
      <c r="B206" s="2" t="s">
        <v>2653</v>
      </c>
      <c r="C206" s="2" t="str">
        <f t="shared" si="11"/>
        <v>367</v>
      </c>
      <c r="D206" s="31" t="s">
        <v>24</v>
      </c>
      <c r="E206" s="26">
        <v>5141602.3199999901</v>
      </c>
      <c r="F206" s="37"/>
      <c r="G206" s="26">
        <v>504878.41999999981</v>
      </c>
      <c r="H206" s="37"/>
      <c r="I206" s="26">
        <v>0</v>
      </c>
      <c r="J206" s="37"/>
      <c r="K206" s="26">
        <v>0</v>
      </c>
      <c r="L206" s="37"/>
      <c r="M206" s="26">
        <v>504878.41999999981</v>
      </c>
      <c r="N206" s="37"/>
      <c r="O206" s="26">
        <v>5646480.73999999</v>
      </c>
      <c r="P206" s="37"/>
      <c r="Q206" s="26">
        <v>5388250.1130769132</v>
      </c>
      <c r="R206" s="37"/>
      <c r="S206" s="38">
        <v>-934927.97482942976</v>
      </c>
      <c r="T206" s="31"/>
      <c r="U206" s="38">
        <v>4453322.1382474834</v>
      </c>
      <c r="V206" s="37"/>
      <c r="W206" s="26">
        <v>24409.902515474387</v>
      </c>
      <c r="X206" s="37"/>
      <c r="Y206" s="26">
        <v>-910518.0723139554</v>
      </c>
      <c r="Z206" s="37"/>
      <c r="AA206" s="26">
        <v>5646480.73999999</v>
      </c>
      <c r="AB206" s="26">
        <v>0</v>
      </c>
    </row>
    <row r="207" spans="1:28">
      <c r="A207" s="2" t="s">
        <v>101</v>
      </c>
      <c r="B207" s="2" t="s">
        <v>2653</v>
      </c>
      <c r="C207" s="2" t="str">
        <f t="shared" si="11"/>
        <v>368</v>
      </c>
      <c r="D207" s="31" t="s">
        <v>25</v>
      </c>
      <c r="E207" s="26">
        <v>11040645.049999999</v>
      </c>
      <c r="F207" s="37"/>
      <c r="G207" s="26">
        <v>39103.08</v>
      </c>
      <c r="H207" s="37"/>
      <c r="I207" s="26">
        <v>0</v>
      </c>
      <c r="J207" s="37"/>
      <c r="K207" s="26">
        <v>0</v>
      </c>
      <c r="L207" s="37"/>
      <c r="M207" s="26">
        <v>39103.08</v>
      </c>
      <c r="N207" s="37"/>
      <c r="O207" s="26">
        <v>11079748.129999999</v>
      </c>
      <c r="P207" s="37"/>
      <c r="Q207" s="26">
        <v>11061514.763076922</v>
      </c>
      <c r="R207" s="37"/>
      <c r="S207" s="38">
        <v>-5970151.4938094206</v>
      </c>
      <c r="T207" s="31"/>
      <c r="U207" s="38">
        <v>5091363.2692675013</v>
      </c>
      <c r="V207" s="37"/>
      <c r="W207" s="26">
        <v>1890.5588613884443</v>
      </c>
      <c r="X207" s="37"/>
      <c r="Y207" s="26">
        <v>-5968260.9349480318</v>
      </c>
      <c r="Z207" s="37"/>
      <c r="AA207" s="26">
        <v>11079748.130000001</v>
      </c>
      <c r="AB207" s="26">
        <v>0</v>
      </c>
    </row>
    <row r="208" spans="1:28">
      <c r="A208" s="2" t="s">
        <v>101</v>
      </c>
      <c r="B208" s="2" t="s">
        <v>2653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26">
        <v>6306473.2199999997</v>
      </c>
      <c r="R208" s="37"/>
      <c r="S208" s="38">
        <v>-4616070.5946559906</v>
      </c>
      <c r="T208" s="31"/>
      <c r="U208" s="38">
        <v>1690402.6253440091</v>
      </c>
      <c r="V208" s="37"/>
      <c r="W208" s="26">
        <v>0</v>
      </c>
      <c r="X208" s="37"/>
      <c r="Y208" s="26">
        <v>-4616070.5946559906</v>
      </c>
      <c r="Z208" s="37"/>
      <c r="AA208" s="26">
        <v>6306473.2199999997</v>
      </c>
      <c r="AB208" s="26">
        <v>0</v>
      </c>
    </row>
    <row r="209" spans="1:28">
      <c r="A209" s="2" t="s">
        <v>101</v>
      </c>
      <c r="B209" s="2" t="s">
        <v>2653</v>
      </c>
      <c r="C209" s="2" t="str">
        <f t="shared" si="11"/>
        <v>370</v>
      </c>
      <c r="D209" s="31" t="s">
        <v>27</v>
      </c>
      <c r="E209" s="26">
        <v>4187480.85</v>
      </c>
      <c r="F209" s="37"/>
      <c r="G209" s="26">
        <v>0</v>
      </c>
      <c r="H209" s="37"/>
      <c r="I209" s="26">
        <v>0</v>
      </c>
      <c r="J209" s="37"/>
      <c r="K209" s="26">
        <v>0</v>
      </c>
      <c r="L209" s="37"/>
      <c r="M209" s="26">
        <v>0</v>
      </c>
      <c r="N209" s="37"/>
      <c r="O209" s="26">
        <v>4187480.85</v>
      </c>
      <c r="P209" s="37"/>
      <c r="Q209" s="26">
        <v>4187480.85</v>
      </c>
      <c r="R209" s="37"/>
      <c r="S209" s="38">
        <v>-3084950.3450560002</v>
      </c>
      <c r="T209" s="31"/>
      <c r="U209" s="38">
        <v>1102530.5049439999</v>
      </c>
      <c r="V209" s="37"/>
      <c r="W209" s="26">
        <v>0</v>
      </c>
      <c r="X209" s="37"/>
      <c r="Y209" s="26">
        <v>-3084950.3450560002</v>
      </c>
      <c r="Z209" s="37"/>
      <c r="AA209" s="26">
        <v>4187480.85</v>
      </c>
      <c r="AB209" s="26">
        <v>0</v>
      </c>
    </row>
    <row r="210" spans="1:28">
      <c r="A210" s="9" t="s">
        <v>101</v>
      </c>
      <c r="B210" s="2" t="s">
        <v>2653</v>
      </c>
      <c r="C210" s="9"/>
      <c r="D210" s="5" t="s">
        <v>2382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7">
        <v>0</v>
      </c>
      <c r="R210" s="39"/>
      <c r="S210" s="13">
        <v>0</v>
      </c>
      <c r="T210" s="5"/>
      <c r="U210" s="13">
        <v>0</v>
      </c>
      <c r="V210" s="39"/>
      <c r="W210" s="7">
        <v>0</v>
      </c>
      <c r="X210" s="39"/>
      <c r="Y210" s="7">
        <v>0</v>
      </c>
      <c r="Z210" s="39"/>
      <c r="AA210" s="7">
        <v>0</v>
      </c>
      <c r="AB210" s="7">
        <v>0</v>
      </c>
    </row>
    <row r="211" spans="1:28">
      <c r="A211" s="2" t="s">
        <v>101</v>
      </c>
      <c r="B211" s="2" t="s">
        <v>2653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40"/>
      <c r="Q211" s="24">
        <v>0</v>
      </c>
      <c r="R211" s="37"/>
      <c r="S211" s="38">
        <v>0</v>
      </c>
      <c r="T211" s="31"/>
      <c r="U211" s="38">
        <v>0</v>
      </c>
      <c r="V211" s="40"/>
      <c r="W211" s="26">
        <v>0</v>
      </c>
      <c r="X211" s="40"/>
      <c r="Y211" s="26">
        <v>0</v>
      </c>
      <c r="Z211" s="40"/>
      <c r="AA211" s="26">
        <v>0</v>
      </c>
      <c r="AB211" s="26">
        <v>0</v>
      </c>
    </row>
    <row r="212" spans="1:28">
      <c r="A212" s="2" t="s">
        <v>101</v>
      </c>
      <c r="B212" s="2" t="s">
        <v>2653</v>
      </c>
      <c r="C212" s="2" t="str">
        <f t="shared" si="12"/>
        <v>373</v>
      </c>
      <c r="D212" s="31" t="s">
        <v>29</v>
      </c>
      <c r="E212" s="41">
        <v>4158719.3499999903</v>
      </c>
      <c r="F212" s="40"/>
      <c r="G212" s="41">
        <v>180456.20999999988</v>
      </c>
      <c r="H212" s="40"/>
      <c r="I212" s="41">
        <v>0</v>
      </c>
      <c r="J212" s="40"/>
      <c r="K212" s="41">
        <v>0</v>
      </c>
      <c r="L212" s="40"/>
      <c r="M212" s="41">
        <v>180456.20999999988</v>
      </c>
      <c r="N212" s="40"/>
      <c r="O212" s="41">
        <v>4339175.5599999903</v>
      </c>
      <c r="P212" s="40"/>
      <c r="Q212" s="41">
        <v>4244034.1969230715</v>
      </c>
      <c r="R212" s="37"/>
      <c r="S212" s="42">
        <v>-2247232.8470735983</v>
      </c>
      <c r="T212" s="31"/>
      <c r="U212" s="42">
        <v>1996801.3498494732</v>
      </c>
      <c r="V212" s="40"/>
      <c r="W212" s="41">
        <v>8724.7113758832729</v>
      </c>
      <c r="X212" s="40"/>
      <c r="Y212" s="41">
        <v>-2238508.135697715</v>
      </c>
      <c r="Z212" s="40"/>
      <c r="AA212" s="41">
        <v>4339175.5599999893</v>
      </c>
      <c r="AB212" s="41">
        <v>0</v>
      </c>
    </row>
    <row r="213" spans="1:28">
      <c r="B213" s="2" t="s">
        <v>2653</v>
      </c>
      <c r="D213" s="31"/>
      <c r="E213" s="24">
        <v>104784622.35999998</v>
      </c>
      <c r="F213" s="40"/>
      <c r="G213" s="24">
        <v>3762141.2399999984</v>
      </c>
      <c r="H213" s="40"/>
      <c r="I213" s="24">
        <v>0</v>
      </c>
      <c r="J213" s="40"/>
      <c r="K213" s="24">
        <v>0</v>
      </c>
      <c r="L213" s="40"/>
      <c r="M213" s="24">
        <v>3762141.2399999984</v>
      </c>
      <c r="N213" s="40"/>
      <c r="O213" s="24">
        <v>108546763.59999996</v>
      </c>
      <c r="P213" s="40"/>
      <c r="Q213" s="24">
        <v>106702054.78769225</v>
      </c>
      <c r="R213" s="37"/>
      <c r="S213" s="24">
        <v>-43803689.622885838</v>
      </c>
      <c r="T213" s="31"/>
      <c r="U213" s="24">
        <v>62898365.164806403</v>
      </c>
      <c r="V213" s="40"/>
      <c r="W213" s="17">
        <v>181892.30769230725</v>
      </c>
      <c r="X213" s="40"/>
      <c r="Y213" s="24">
        <v>-43621797.315193534</v>
      </c>
      <c r="Z213" s="40">
        <v>0</v>
      </c>
      <c r="AA213" s="24">
        <v>108546763.59999987</v>
      </c>
      <c r="AB213" s="24">
        <v>-9.6857547760009766E-8</v>
      </c>
    </row>
    <row r="214" spans="1:28">
      <c r="B214" s="2" t="s">
        <v>2653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40"/>
      <c r="Q214" s="24"/>
      <c r="R214" s="37"/>
      <c r="S214" s="31"/>
      <c r="T214" s="31"/>
      <c r="U214" s="31"/>
      <c r="V214" s="40"/>
      <c r="W214" s="24"/>
      <c r="X214" s="40"/>
      <c r="Y214" s="24"/>
      <c r="Z214" s="40"/>
      <c r="AA214" s="24"/>
      <c r="AB214" s="24"/>
    </row>
    <row r="215" spans="1:28">
      <c r="B215" s="2" t="s">
        <v>2653</v>
      </c>
      <c r="D215" s="34" t="s">
        <v>2661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40"/>
      <c r="Q215" s="24"/>
      <c r="R215" s="37"/>
      <c r="S215" s="31"/>
      <c r="T215" s="31"/>
      <c r="U215" s="31"/>
      <c r="V215" s="40"/>
      <c r="W215" s="24"/>
      <c r="X215" s="40"/>
      <c r="Y215" s="24"/>
      <c r="Z215" s="40"/>
      <c r="AA215" s="24"/>
      <c r="AB215" s="24"/>
    </row>
    <row r="216" spans="1:28">
      <c r="A216" s="2" t="s">
        <v>101</v>
      </c>
      <c r="B216" s="2" t="s">
        <v>2653</v>
      </c>
      <c r="C216" s="2" t="str">
        <f>MID(D216,2,3)</f>
        <v>389</v>
      </c>
      <c r="D216" s="31" t="s">
        <v>33</v>
      </c>
      <c r="E216" s="24">
        <v>536364.68999999994</v>
      </c>
      <c r="F216" s="40"/>
      <c r="G216" s="24">
        <v>0</v>
      </c>
      <c r="H216" s="40"/>
      <c r="I216" s="24">
        <v>0</v>
      </c>
      <c r="J216" s="40"/>
      <c r="K216" s="24">
        <v>0</v>
      </c>
      <c r="L216" s="40"/>
      <c r="M216" s="24">
        <v>0</v>
      </c>
      <c r="N216" s="40"/>
      <c r="O216" s="24">
        <v>536364.68999999994</v>
      </c>
      <c r="P216" s="40"/>
      <c r="Q216" s="24">
        <v>536364.69000000006</v>
      </c>
      <c r="R216" s="37"/>
      <c r="S216" s="38">
        <v>0</v>
      </c>
      <c r="T216" s="31"/>
      <c r="U216" s="38">
        <v>536364.69000000006</v>
      </c>
      <c r="V216" s="40"/>
      <c r="W216" s="17">
        <v>0</v>
      </c>
      <c r="X216" s="18"/>
      <c r="Y216" s="17">
        <v>0</v>
      </c>
      <c r="Z216" s="18"/>
      <c r="AA216" s="17">
        <v>536364.68999999994</v>
      </c>
      <c r="AB216" s="17">
        <v>0</v>
      </c>
    </row>
    <row r="217" spans="1:28">
      <c r="A217" s="2" t="s">
        <v>101</v>
      </c>
      <c r="B217" s="2" t="s">
        <v>2653</v>
      </c>
      <c r="C217" s="2" t="str">
        <f t="shared" ref="C217:C222" si="13">MID(D217,2,3)</f>
        <v>390</v>
      </c>
      <c r="D217" s="31" t="s">
        <v>34</v>
      </c>
      <c r="E217" s="24">
        <v>6104468.3899999997</v>
      </c>
      <c r="F217" s="40"/>
      <c r="G217" s="24">
        <v>1449735.84</v>
      </c>
      <c r="H217" s="40"/>
      <c r="I217" s="24">
        <v>0</v>
      </c>
      <c r="J217" s="40"/>
      <c r="K217" s="24">
        <v>0</v>
      </c>
      <c r="L217" s="40"/>
      <c r="M217" s="24">
        <v>1449735.84</v>
      </c>
      <c r="N217" s="40"/>
      <c r="O217" s="24">
        <v>7554204.2299999995</v>
      </c>
      <c r="P217" s="40"/>
      <c r="Q217" s="24">
        <v>6908300.8707692316</v>
      </c>
      <c r="R217" s="37"/>
      <c r="S217" s="38">
        <v>-712816.91330600006</v>
      </c>
      <c r="T217" s="31"/>
      <c r="U217" s="38">
        <v>6195483.9574632319</v>
      </c>
      <c r="V217" s="40"/>
      <c r="W217" s="24">
        <v>-3128.2009318621722</v>
      </c>
      <c r="X217" s="40"/>
      <c r="Y217" s="24">
        <v>-715945.11423786229</v>
      </c>
      <c r="Z217" s="40"/>
      <c r="AA217" s="24">
        <v>7554204.2300000004</v>
      </c>
      <c r="AB217" s="24">
        <v>0</v>
      </c>
    </row>
    <row r="218" spans="1:28">
      <c r="A218" s="2" t="s">
        <v>101</v>
      </c>
      <c r="B218" s="2" t="s">
        <v>2653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40"/>
      <c r="Q218" s="24">
        <v>0</v>
      </c>
      <c r="R218" s="37"/>
      <c r="S218" s="38">
        <v>0</v>
      </c>
      <c r="T218" s="31"/>
      <c r="U218" s="38">
        <v>0</v>
      </c>
      <c r="V218" s="40"/>
      <c r="W218" s="24">
        <v>0</v>
      </c>
      <c r="X218" s="40"/>
      <c r="Y218" s="24">
        <v>0</v>
      </c>
      <c r="Z218" s="40"/>
      <c r="AA218" s="24">
        <v>0</v>
      </c>
      <c r="AB218" s="24">
        <v>0</v>
      </c>
    </row>
    <row r="219" spans="1:28">
      <c r="A219" s="2" t="s">
        <v>101</v>
      </c>
      <c r="B219" s="2" t="s">
        <v>2653</v>
      </c>
      <c r="C219" s="2" t="str">
        <f t="shared" si="13"/>
        <v>391</v>
      </c>
      <c r="D219" s="31" t="s">
        <v>36</v>
      </c>
      <c r="E219" s="24">
        <v>316929.22999999899</v>
      </c>
      <c r="F219" s="40"/>
      <c r="G219" s="24">
        <v>0</v>
      </c>
      <c r="H219" s="40"/>
      <c r="I219" s="24">
        <v>0</v>
      </c>
      <c r="J219" s="40"/>
      <c r="K219" s="24">
        <v>0</v>
      </c>
      <c r="L219" s="40"/>
      <c r="M219" s="24">
        <v>0</v>
      </c>
      <c r="N219" s="40"/>
      <c r="O219" s="24">
        <v>316929.22999999899</v>
      </c>
      <c r="P219" s="40"/>
      <c r="Q219" s="24">
        <v>316929.22999999893</v>
      </c>
      <c r="R219" s="37"/>
      <c r="S219" s="38">
        <v>-21101.602575999968</v>
      </c>
      <c r="T219" s="31"/>
      <c r="U219" s="38">
        <v>295827.62742399896</v>
      </c>
      <c r="V219" s="40"/>
      <c r="W219" s="24">
        <v>0</v>
      </c>
      <c r="X219" s="40"/>
      <c r="Y219" s="24">
        <v>-21101.602575999968</v>
      </c>
      <c r="Z219" s="40"/>
      <c r="AA219" s="24">
        <v>316929.22999999899</v>
      </c>
      <c r="AB219" s="24">
        <v>0</v>
      </c>
    </row>
    <row r="220" spans="1:28">
      <c r="A220" s="2" t="s">
        <v>101</v>
      </c>
      <c r="B220" s="2" t="s">
        <v>2653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40"/>
      <c r="Q220" s="24">
        <v>0</v>
      </c>
      <c r="R220" s="37"/>
      <c r="S220" s="38">
        <v>0</v>
      </c>
      <c r="T220" s="31"/>
      <c r="U220" s="38">
        <v>0</v>
      </c>
      <c r="V220" s="40"/>
      <c r="W220" s="24">
        <v>0</v>
      </c>
      <c r="X220" s="40"/>
      <c r="Y220" s="24">
        <v>0</v>
      </c>
      <c r="Z220" s="40"/>
      <c r="AA220" s="24">
        <v>0</v>
      </c>
      <c r="AB220" s="24">
        <v>0</v>
      </c>
    </row>
    <row r="221" spans="1:28">
      <c r="A221" s="2" t="s">
        <v>101</v>
      </c>
      <c r="B221" s="2" t="s">
        <v>2653</v>
      </c>
      <c r="C221" s="2" t="str">
        <f t="shared" si="13"/>
        <v>392</v>
      </c>
      <c r="D221" s="31" t="s">
        <v>40</v>
      </c>
      <c r="E221" s="24">
        <v>50585.06</v>
      </c>
      <c r="F221" s="40"/>
      <c r="G221" s="24">
        <v>0</v>
      </c>
      <c r="H221" s="40"/>
      <c r="I221" s="24">
        <v>0</v>
      </c>
      <c r="J221" s="40"/>
      <c r="K221" s="24">
        <v>0</v>
      </c>
      <c r="L221" s="40"/>
      <c r="M221" s="24">
        <v>0</v>
      </c>
      <c r="N221" s="40"/>
      <c r="O221" s="24">
        <v>50585.06</v>
      </c>
      <c r="P221" s="40"/>
      <c r="Q221" s="24">
        <v>50585.06</v>
      </c>
      <c r="R221" s="37"/>
      <c r="S221" s="38">
        <v>-3730.4109092800004</v>
      </c>
      <c r="T221" s="31"/>
      <c r="U221" s="38">
        <v>46854.649090719999</v>
      </c>
      <c r="V221" s="40"/>
      <c r="W221" s="24">
        <v>0</v>
      </c>
      <c r="X221" s="40"/>
      <c r="Y221" s="24">
        <v>-3730.4109092800004</v>
      </c>
      <c r="Z221" s="40"/>
      <c r="AA221" s="24">
        <v>50585.06</v>
      </c>
      <c r="AB221" s="24">
        <v>0</v>
      </c>
    </row>
    <row r="222" spans="1:28">
      <c r="A222" s="2" t="s">
        <v>101</v>
      </c>
      <c r="B222" s="2" t="s">
        <v>2653</v>
      </c>
      <c r="C222" s="2" t="str">
        <f t="shared" si="13"/>
        <v>393</v>
      </c>
      <c r="D222" s="31" t="s">
        <v>42</v>
      </c>
      <c r="E222" s="24">
        <v>0</v>
      </c>
      <c r="F222" s="40"/>
      <c r="G222" s="24">
        <v>0</v>
      </c>
      <c r="H222" s="40"/>
      <c r="I222" s="24">
        <v>0</v>
      </c>
      <c r="J222" s="40"/>
      <c r="K222" s="24">
        <v>0</v>
      </c>
      <c r="L222" s="40"/>
      <c r="M222" s="24">
        <v>0</v>
      </c>
      <c r="N222" s="40"/>
      <c r="O222" s="24">
        <v>0</v>
      </c>
      <c r="P222" s="40"/>
      <c r="Q222" s="24">
        <v>0</v>
      </c>
      <c r="R222" s="37"/>
      <c r="S222" s="38">
        <v>591.86094166599901</v>
      </c>
      <c r="T222" s="31"/>
      <c r="U222" s="38">
        <v>591.86094166599901</v>
      </c>
      <c r="V222" s="40"/>
      <c r="W222" s="24">
        <v>0</v>
      </c>
      <c r="X222" s="40"/>
      <c r="Y222" s="24">
        <v>591.86094166599901</v>
      </c>
      <c r="Z222" s="40"/>
      <c r="AA222" s="24">
        <v>0</v>
      </c>
      <c r="AB222" s="24">
        <v>0</v>
      </c>
    </row>
    <row r="223" spans="1:28" s="9" customFormat="1">
      <c r="A223" s="2" t="s">
        <v>101</v>
      </c>
      <c r="B223" s="2" t="s">
        <v>2653</v>
      </c>
      <c r="C223" s="2" t="str">
        <f>MID(D223,2,3)</f>
        <v>394</v>
      </c>
      <c r="D223" s="31" t="s">
        <v>43</v>
      </c>
      <c r="E223" s="24">
        <v>610226.36</v>
      </c>
      <c r="F223" s="40"/>
      <c r="G223" s="24">
        <v>44856</v>
      </c>
      <c r="H223" s="40"/>
      <c r="I223" s="24">
        <v>-1006.8299999999999</v>
      </c>
      <c r="J223" s="40"/>
      <c r="K223" s="24">
        <v>0</v>
      </c>
      <c r="L223" s="40"/>
      <c r="M223" s="24">
        <v>43849.17</v>
      </c>
      <c r="N223" s="40"/>
      <c r="O223" s="24">
        <v>654075.53</v>
      </c>
      <c r="P223" s="40"/>
      <c r="Q223" s="24">
        <v>628757.60538461548</v>
      </c>
      <c r="R223" s="37"/>
      <c r="S223" s="38">
        <v>-251648.40478323004</v>
      </c>
      <c r="T223" s="31"/>
      <c r="U223" s="38">
        <v>377109.20060138544</v>
      </c>
      <c r="V223" s="40"/>
      <c r="W223" s="24">
        <v>-96.789068137826803</v>
      </c>
      <c r="X223" s="40"/>
      <c r="Y223" s="24">
        <v>-251745.19385136786</v>
      </c>
      <c r="Z223" s="40"/>
      <c r="AA223" s="24">
        <v>654075.52999999991</v>
      </c>
      <c r="AB223" s="24">
        <v>0</v>
      </c>
    </row>
    <row r="224" spans="1:28">
      <c r="A224" s="2" t="s">
        <v>101</v>
      </c>
      <c r="B224" s="2" t="s">
        <v>2653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40"/>
      <c r="Q224" s="24">
        <v>0</v>
      </c>
      <c r="R224" s="37"/>
      <c r="S224" s="38">
        <v>0</v>
      </c>
      <c r="T224" s="31"/>
      <c r="U224" s="38">
        <v>0</v>
      </c>
      <c r="V224" s="40"/>
      <c r="W224" s="24">
        <v>0</v>
      </c>
      <c r="X224" s="40"/>
      <c r="Y224" s="24">
        <v>0</v>
      </c>
      <c r="Z224" s="40"/>
      <c r="AA224" s="24">
        <v>0</v>
      </c>
      <c r="AB224" s="24">
        <v>0</v>
      </c>
    </row>
    <row r="225" spans="1:28">
      <c r="A225" s="2" t="s">
        <v>101</v>
      </c>
      <c r="B225" s="2" t="s">
        <v>2653</v>
      </c>
      <c r="C225" s="2" t="str">
        <f>MID(D225,2,3)</f>
        <v>396</v>
      </c>
      <c r="D225" s="31" t="s">
        <v>2384</v>
      </c>
      <c r="E225" s="24">
        <v>514139.76</v>
      </c>
      <c r="F225" s="40"/>
      <c r="G225" s="24">
        <v>0</v>
      </c>
      <c r="H225" s="40"/>
      <c r="I225" s="24">
        <v>0</v>
      </c>
      <c r="J225" s="40"/>
      <c r="K225" s="24">
        <v>0</v>
      </c>
      <c r="L225" s="40"/>
      <c r="M225" s="24">
        <v>0</v>
      </c>
      <c r="N225" s="40"/>
      <c r="O225" s="24">
        <v>514139.76</v>
      </c>
      <c r="P225" s="40"/>
      <c r="Q225" s="24">
        <v>514139.76</v>
      </c>
      <c r="R225" s="37"/>
      <c r="S225" s="38">
        <v>-202415.67191999999</v>
      </c>
      <c r="T225" s="31"/>
      <c r="U225" s="38">
        <v>311724.08808000002</v>
      </c>
      <c r="V225" s="40"/>
      <c r="W225" s="24">
        <v>0</v>
      </c>
      <c r="X225" s="40"/>
      <c r="Y225" s="24">
        <v>-202415.67191999999</v>
      </c>
      <c r="Z225" s="40"/>
      <c r="AA225" s="24">
        <v>514139.76</v>
      </c>
      <c r="AB225" s="24">
        <v>0</v>
      </c>
    </row>
    <row r="226" spans="1:28">
      <c r="A226" s="2" t="s">
        <v>101</v>
      </c>
      <c r="B226" s="2" t="s">
        <v>2653</v>
      </c>
      <c r="C226" s="2" t="str">
        <f t="shared" ref="C226:C228" si="14">MID(D226,2,3)</f>
        <v>397</v>
      </c>
      <c r="D226" s="31" t="s">
        <v>2174</v>
      </c>
      <c r="E226" s="24">
        <v>1538327.29</v>
      </c>
      <c r="F226" s="40"/>
      <c r="G226" s="24">
        <v>0</v>
      </c>
      <c r="H226" s="40"/>
      <c r="I226" s="24">
        <v>0</v>
      </c>
      <c r="J226" s="40"/>
      <c r="K226" s="24">
        <v>0</v>
      </c>
      <c r="L226" s="40"/>
      <c r="M226" s="24">
        <v>0</v>
      </c>
      <c r="N226" s="40"/>
      <c r="O226" s="24">
        <v>1538327.29</v>
      </c>
      <c r="P226" s="40"/>
      <c r="Q226" s="24">
        <v>1538327.29</v>
      </c>
      <c r="R226" s="37"/>
      <c r="S226" s="38">
        <v>-831954.66428799881</v>
      </c>
      <c r="T226" s="31"/>
      <c r="U226" s="38">
        <v>706372.62571200123</v>
      </c>
      <c r="V226" s="40"/>
      <c r="W226" s="24">
        <v>0</v>
      </c>
      <c r="X226" s="40"/>
      <c r="Y226" s="24">
        <v>-831954.66428799881</v>
      </c>
      <c r="Z226" s="40"/>
      <c r="AA226" s="24">
        <v>1538327.29</v>
      </c>
      <c r="AB226" s="24">
        <v>0</v>
      </c>
    </row>
    <row r="227" spans="1:28">
      <c r="A227" s="2" t="s">
        <v>101</v>
      </c>
      <c r="B227" s="2" t="s">
        <v>2653</v>
      </c>
      <c r="D227" s="5" t="s">
        <v>2175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43"/>
      <c r="Q227" s="17">
        <v>0</v>
      </c>
      <c r="R227" s="39"/>
      <c r="S227" s="13">
        <v>0</v>
      </c>
      <c r="T227" s="5"/>
      <c r="U227" s="13">
        <v>0</v>
      </c>
      <c r="V227" s="43"/>
      <c r="W227" s="17">
        <v>0</v>
      </c>
      <c r="X227" s="43"/>
      <c r="Y227" s="17">
        <v>0</v>
      </c>
      <c r="Z227" s="43"/>
      <c r="AA227" s="17">
        <v>0</v>
      </c>
      <c r="AB227" s="17">
        <v>0</v>
      </c>
    </row>
    <row r="228" spans="1:28">
      <c r="A228" s="2" t="s">
        <v>101</v>
      </c>
      <c r="B228" s="2" t="s">
        <v>2653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40"/>
      <c r="Q228" s="41">
        <v>0</v>
      </c>
      <c r="R228" s="37"/>
      <c r="S228" s="42">
        <v>0</v>
      </c>
      <c r="T228" s="31"/>
      <c r="U228" s="42">
        <v>0</v>
      </c>
      <c r="V228" s="40"/>
      <c r="W228" s="41">
        <v>0</v>
      </c>
      <c r="X228" s="40"/>
      <c r="Y228" s="41">
        <v>0</v>
      </c>
      <c r="Z228" s="40"/>
      <c r="AA228" s="41">
        <v>0</v>
      </c>
      <c r="AB228" s="41">
        <v>0</v>
      </c>
    </row>
    <row r="229" spans="1:28">
      <c r="B229" s="2" t="s">
        <v>2653</v>
      </c>
      <c r="D229" s="31"/>
      <c r="E229" s="24">
        <v>9671040.7799999975</v>
      </c>
      <c r="F229" s="40"/>
      <c r="G229" s="24">
        <v>1494591.84</v>
      </c>
      <c r="H229" s="40"/>
      <c r="I229" s="24">
        <v>-1006.8299999999999</v>
      </c>
      <c r="J229" s="40"/>
      <c r="K229" s="24">
        <v>0</v>
      </c>
      <c r="L229" s="40"/>
      <c r="M229" s="24">
        <v>1493585.01</v>
      </c>
      <c r="N229" s="40"/>
      <c r="O229" s="24">
        <v>11164625.789999999</v>
      </c>
      <c r="P229" s="40"/>
      <c r="Q229" s="24">
        <v>10493404.506153844</v>
      </c>
      <c r="R229" s="37"/>
      <c r="S229" s="24">
        <v>-2023075.8068408428</v>
      </c>
      <c r="T229" s="31"/>
      <c r="U229" s="24">
        <v>8470328.6993130054</v>
      </c>
      <c r="V229" s="40"/>
      <c r="W229" s="17">
        <v>-3224.9899999999989</v>
      </c>
      <c r="X229" s="40"/>
      <c r="Y229" s="24">
        <v>-2026300.7968408428</v>
      </c>
      <c r="Z229" s="40">
        <v>0</v>
      </c>
      <c r="AA229" s="24">
        <v>11164625.789999999</v>
      </c>
      <c r="AB229" s="24">
        <v>0</v>
      </c>
    </row>
    <row r="230" spans="1:28">
      <c r="B230" s="2" t="s">
        <v>2653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40"/>
      <c r="Q230" s="24"/>
      <c r="R230" s="37"/>
      <c r="S230" s="31"/>
      <c r="T230" s="31"/>
      <c r="U230" s="31"/>
      <c r="V230" s="40"/>
      <c r="W230" s="24"/>
      <c r="X230" s="40"/>
      <c r="Y230" s="24"/>
      <c r="Z230" s="40"/>
      <c r="AA230" s="24"/>
      <c r="AB230" s="24"/>
    </row>
    <row r="231" spans="1:28">
      <c r="B231" s="2" t="s">
        <v>2653</v>
      </c>
      <c r="D231" s="34" t="s">
        <v>2663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40"/>
      <c r="Q231" s="24"/>
      <c r="R231" s="37"/>
      <c r="S231" s="31"/>
      <c r="T231" s="31"/>
      <c r="U231" s="31"/>
      <c r="V231" s="40"/>
      <c r="W231" s="24"/>
      <c r="X231" s="40"/>
      <c r="Y231" s="24"/>
      <c r="Z231" s="40"/>
      <c r="AA231" s="24"/>
      <c r="AB231" s="24"/>
    </row>
    <row r="232" spans="1:28">
      <c r="A232" s="2" t="s">
        <v>101</v>
      </c>
      <c r="B232" s="2" t="s">
        <v>2653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40"/>
      <c r="Q232" s="41">
        <v>5338.69</v>
      </c>
      <c r="R232" s="37"/>
      <c r="S232" s="42">
        <v>0</v>
      </c>
      <c r="T232" s="31"/>
      <c r="U232" s="42">
        <v>5338.69</v>
      </c>
      <c r="V232" s="40"/>
      <c r="W232" s="41"/>
      <c r="X232" s="40"/>
      <c r="Y232" s="41">
        <v>0</v>
      </c>
      <c r="Z232" s="40"/>
      <c r="AA232" s="41">
        <v>5338.69</v>
      </c>
      <c r="AB232" s="41">
        <v>0</v>
      </c>
    </row>
    <row r="233" spans="1:28">
      <c r="B233" s="2" t="s">
        <v>2653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40"/>
      <c r="Q233" s="24">
        <v>5338.69</v>
      </c>
      <c r="R233" s="37"/>
      <c r="S233" s="24">
        <v>0</v>
      </c>
      <c r="T233" s="31"/>
      <c r="U233" s="24">
        <v>5338.69</v>
      </c>
      <c r="V233" s="40"/>
      <c r="W233" s="24">
        <v>0</v>
      </c>
      <c r="X233" s="40"/>
      <c r="Y233" s="24">
        <v>0</v>
      </c>
      <c r="Z233" s="40">
        <v>0</v>
      </c>
      <c r="AA233" s="24">
        <v>5338.69</v>
      </c>
      <c r="AB233" s="24">
        <v>0</v>
      </c>
    </row>
    <row r="234" spans="1:28">
      <c r="B234" s="2" t="s">
        <v>2653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40"/>
      <c r="Q234" s="24"/>
      <c r="R234" s="37"/>
      <c r="S234" s="31"/>
      <c r="T234" s="31"/>
      <c r="U234" s="31"/>
      <c r="V234" s="40"/>
      <c r="W234" s="24"/>
      <c r="X234" s="40"/>
      <c r="Y234" s="24"/>
      <c r="Z234" s="40"/>
      <c r="AA234" s="24"/>
      <c r="AB234" s="24"/>
    </row>
    <row r="235" spans="1:28">
      <c r="B235" s="2" t="s">
        <v>2653</v>
      </c>
      <c r="D235" s="34" t="s">
        <v>2665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40"/>
      <c r="Q235" s="24"/>
      <c r="R235" s="37"/>
      <c r="S235" s="31"/>
      <c r="T235" s="31"/>
      <c r="U235" s="31"/>
      <c r="V235" s="40"/>
      <c r="W235" s="24"/>
      <c r="X235" s="40"/>
      <c r="Y235" s="24"/>
      <c r="Z235" s="40"/>
      <c r="AA235" s="24"/>
      <c r="AB235" s="24"/>
    </row>
    <row r="236" spans="1:28">
      <c r="A236" s="2" t="s">
        <v>101</v>
      </c>
      <c r="B236" s="2" t="s">
        <v>2653</v>
      </c>
      <c r="C236" s="2" t="str">
        <f t="shared" ref="C236:C244" si="16">MID(D236,2,3)</f>
        <v>350</v>
      </c>
      <c r="D236" s="31" t="s">
        <v>85</v>
      </c>
      <c r="E236" s="24">
        <v>3055558.29</v>
      </c>
      <c r="F236" s="40"/>
      <c r="G236" s="24">
        <v>0</v>
      </c>
      <c r="H236" s="40"/>
      <c r="I236" s="24">
        <v>0</v>
      </c>
      <c r="J236" s="40"/>
      <c r="K236" s="24">
        <v>0</v>
      </c>
      <c r="L236" s="40"/>
      <c r="M236" s="24">
        <v>0</v>
      </c>
      <c r="N236" s="40"/>
      <c r="O236" s="24">
        <v>3055558.29</v>
      </c>
      <c r="P236" s="40"/>
      <c r="Q236" s="24">
        <v>3055558.2900000005</v>
      </c>
      <c r="R236" s="37"/>
      <c r="S236" s="38">
        <v>-2026845.8200629998</v>
      </c>
      <c r="T236" s="31"/>
      <c r="U236" s="38">
        <v>1028712.4699370007</v>
      </c>
      <c r="V236" s="40"/>
      <c r="W236" s="17">
        <v>0</v>
      </c>
      <c r="X236" s="43"/>
      <c r="Y236" s="17">
        <v>-2026845.8200629998</v>
      </c>
      <c r="Z236" s="43"/>
      <c r="AA236" s="17">
        <v>3055558.29</v>
      </c>
      <c r="AB236" s="17">
        <v>0</v>
      </c>
    </row>
    <row r="237" spans="1:28">
      <c r="A237" s="2" t="s">
        <v>101</v>
      </c>
      <c r="B237" s="2" t="s">
        <v>2653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40"/>
      <c r="Q237" s="24">
        <v>0</v>
      </c>
      <c r="R237" s="37"/>
      <c r="S237" s="38">
        <v>0</v>
      </c>
      <c r="T237" s="31"/>
      <c r="U237" s="38">
        <v>0</v>
      </c>
      <c r="V237" s="40"/>
      <c r="W237" s="24">
        <v>0</v>
      </c>
      <c r="X237" s="40"/>
      <c r="Y237" s="24">
        <v>0</v>
      </c>
      <c r="Z237" s="40"/>
      <c r="AA237" s="24">
        <v>0</v>
      </c>
      <c r="AB237" s="24">
        <v>0</v>
      </c>
    </row>
    <row r="238" spans="1:28">
      <c r="A238" s="2" t="s">
        <v>101</v>
      </c>
      <c r="B238" s="2" t="s">
        <v>2653</v>
      </c>
      <c r="C238" s="2" t="str">
        <f t="shared" si="16"/>
        <v>352</v>
      </c>
      <c r="D238" s="31" t="s">
        <v>87</v>
      </c>
      <c r="E238" s="24">
        <v>1801901.7</v>
      </c>
      <c r="F238" s="40"/>
      <c r="G238" s="24">
        <v>0</v>
      </c>
      <c r="H238" s="40"/>
      <c r="I238" s="24">
        <v>0</v>
      </c>
      <c r="J238" s="40"/>
      <c r="K238" s="24">
        <v>0</v>
      </c>
      <c r="L238" s="40"/>
      <c r="M238" s="24">
        <v>0</v>
      </c>
      <c r="N238" s="40"/>
      <c r="O238" s="24">
        <v>1801901.7</v>
      </c>
      <c r="P238" s="40"/>
      <c r="Q238" s="24">
        <v>1801901.6999999997</v>
      </c>
      <c r="R238" s="37"/>
      <c r="S238" s="38">
        <v>-884534.40096800122</v>
      </c>
      <c r="T238" s="31"/>
      <c r="U238" s="38">
        <v>917367.2990319985</v>
      </c>
      <c r="V238" s="40"/>
      <c r="W238" s="24">
        <v>0</v>
      </c>
      <c r="X238" s="40"/>
      <c r="Y238" s="24">
        <v>-884534.40096800122</v>
      </c>
      <c r="Z238" s="40"/>
      <c r="AA238" s="24">
        <v>1801901.7</v>
      </c>
      <c r="AB238" s="24">
        <v>0</v>
      </c>
    </row>
    <row r="239" spans="1:28" s="9" customFormat="1">
      <c r="A239" s="2" t="s">
        <v>101</v>
      </c>
      <c r="B239" s="2" t="s">
        <v>2653</v>
      </c>
      <c r="C239" s="2" t="str">
        <f t="shared" si="16"/>
        <v>353</v>
      </c>
      <c r="D239" s="31" t="s">
        <v>89</v>
      </c>
      <c r="E239" s="24">
        <v>32951149.449999996</v>
      </c>
      <c r="F239" s="40"/>
      <c r="G239" s="24">
        <v>3107515.04</v>
      </c>
      <c r="H239" s="40"/>
      <c r="I239" s="24">
        <v>0</v>
      </c>
      <c r="J239" s="40"/>
      <c r="K239" s="24">
        <v>0</v>
      </c>
      <c r="L239" s="40"/>
      <c r="M239" s="24">
        <v>3107515.04</v>
      </c>
      <c r="N239" s="40"/>
      <c r="O239" s="24">
        <v>36058664.489999995</v>
      </c>
      <c r="P239" s="40"/>
      <c r="Q239" s="24">
        <v>33429228.686923061</v>
      </c>
      <c r="R239" s="37"/>
      <c r="S239" s="38">
        <v>-9282474.0760444459</v>
      </c>
      <c r="T239" s="31"/>
      <c r="U239" s="38">
        <v>24146754.610878617</v>
      </c>
      <c r="V239" s="40"/>
      <c r="W239" s="24">
        <v>117281.76253349413</v>
      </c>
      <c r="X239" s="40"/>
      <c r="Y239" s="24">
        <v>-9165192.3135109525</v>
      </c>
      <c r="Z239" s="40"/>
      <c r="AA239" s="24">
        <v>36058664.489999898</v>
      </c>
      <c r="AB239" s="24">
        <v>-9.6857547760009766E-8</v>
      </c>
    </row>
    <row r="240" spans="1:28" s="9" customFormat="1">
      <c r="A240" s="2" t="s">
        <v>101</v>
      </c>
      <c r="B240" s="2" t="s">
        <v>2653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40"/>
      <c r="Q240" s="24">
        <v>7181081.3000000007</v>
      </c>
      <c r="R240" s="37"/>
      <c r="S240" s="38">
        <v>-5520003.4286239967</v>
      </c>
      <c r="T240" s="31"/>
      <c r="U240" s="38">
        <v>1661077.8713760041</v>
      </c>
      <c r="V240" s="40"/>
      <c r="W240" s="24">
        <v>0</v>
      </c>
      <c r="X240" s="40"/>
      <c r="Y240" s="24">
        <v>-5520003.4286239967</v>
      </c>
      <c r="Z240" s="40"/>
      <c r="AA240" s="24">
        <v>7181081.2999999998</v>
      </c>
      <c r="AB240" s="24">
        <v>0</v>
      </c>
    </row>
    <row r="241" spans="1:28">
      <c r="A241" s="2" t="s">
        <v>101</v>
      </c>
      <c r="B241" s="2" t="s">
        <v>2653</v>
      </c>
      <c r="C241" s="2" t="str">
        <f t="shared" si="16"/>
        <v>355</v>
      </c>
      <c r="D241" s="31" t="s">
        <v>93</v>
      </c>
      <c r="E241" s="24">
        <v>27109868.68</v>
      </c>
      <c r="F241" s="40"/>
      <c r="G241" s="24">
        <v>29806602.509999998</v>
      </c>
      <c r="H241" s="40"/>
      <c r="I241" s="24">
        <v>0</v>
      </c>
      <c r="J241" s="40"/>
      <c r="K241" s="24">
        <v>0</v>
      </c>
      <c r="L241" s="40"/>
      <c r="M241" s="24">
        <v>29806602.509999998</v>
      </c>
      <c r="N241" s="40"/>
      <c r="O241" s="24">
        <v>56916471.189999998</v>
      </c>
      <c r="P241" s="40"/>
      <c r="Q241" s="24">
        <v>37597597.773076922</v>
      </c>
      <c r="R241" s="37"/>
      <c r="S241" s="38">
        <v>-3622421.7794025373</v>
      </c>
      <c r="T241" s="31"/>
      <c r="U241" s="38">
        <v>33975175.993674383</v>
      </c>
      <c r="V241" s="40"/>
      <c r="W241" s="24">
        <v>1124940.935928043</v>
      </c>
      <c r="X241" s="40"/>
      <c r="Y241" s="24">
        <v>-2497480.8434744943</v>
      </c>
      <c r="Z241" s="40"/>
      <c r="AA241" s="24">
        <v>56916471.189999998</v>
      </c>
      <c r="AB241" s="24">
        <v>0</v>
      </c>
    </row>
    <row r="242" spans="1:28">
      <c r="A242" s="2" t="s">
        <v>101</v>
      </c>
      <c r="B242" s="2" t="s">
        <v>2653</v>
      </c>
      <c r="C242" s="2" t="str">
        <f t="shared" si="16"/>
        <v>356</v>
      </c>
      <c r="D242" s="31" t="s">
        <v>94</v>
      </c>
      <c r="E242" s="24">
        <v>19642292.119999997</v>
      </c>
      <c r="F242" s="40"/>
      <c r="G242" s="24">
        <v>0</v>
      </c>
      <c r="H242" s="40"/>
      <c r="I242" s="24">
        <v>0</v>
      </c>
      <c r="J242" s="40"/>
      <c r="K242" s="24">
        <v>0</v>
      </c>
      <c r="L242" s="40"/>
      <c r="M242" s="24">
        <v>0</v>
      </c>
      <c r="N242" s="40"/>
      <c r="O242" s="24">
        <v>19642292.119999997</v>
      </c>
      <c r="P242" s="40"/>
      <c r="Q242" s="24">
        <v>19642292.119999997</v>
      </c>
      <c r="R242" s="37"/>
      <c r="S242" s="38">
        <v>-11940706.89976</v>
      </c>
      <c r="T242" s="31"/>
      <c r="U242" s="38">
        <v>7701585.2202399969</v>
      </c>
      <c r="V242" s="40"/>
      <c r="W242" s="24">
        <v>0</v>
      </c>
      <c r="X242" s="40"/>
      <c r="Y242" s="24">
        <v>-11940706.89976</v>
      </c>
      <c r="Z242" s="40"/>
      <c r="AA242" s="24">
        <v>19642292.119999997</v>
      </c>
      <c r="AB242" s="24">
        <v>0</v>
      </c>
    </row>
    <row r="243" spans="1:28">
      <c r="A243" s="2" t="s">
        <v>101</v>
      </c>
      <c r="B243" s="2" t="s">
        <v>2653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43"/>
      <c r="Q243" s="17">
        <v>0</v>
      </c>
      <c r="R243" s="39"/>
      <c r="S243" s="13">
        <v>0</v>
      </c>
      <c r="T243" s="5"/>
      <c r="U243" s="13">
        <v>0</v>
      </c>
      <c r="V243" s="43"/>
      <c r="W243" s="17">
        <v>0</v>
      </c>
      <c r="X243" s="43"/>
      <c r="Y243" s="17">
        <v>0</v>
      </c>
      <c r="Z243" s="43"/>
      <c r="AA243" s="17">
        <v>0</v>
      </c>
      <c r="AB243" s="17">
        <v>0</v>
      </c>
    </row>
    <row r="244" spans="1:28">
      <c r="A244" s="2" t="s">
        <v>101</v>
      </c>
      <c r="B244" s="2" t="s">
        <v>2653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43"/>
      <c r="Q244" s="20">
        <v>0</v>
      </c>
      <c r="R244" s="39"/>
      <c r="S244" s="21">
        <v>0</v>
      </c>
      <c r="T244" s="5"/>
      <c r="U244" s="21">
        <v>0</v>
      </c>
      <c r="V244" s="43"/>
      <c r="W244" s="20">
        <v>0</v>
      </c>
      <c r="X244" s="43"/>
      <c r="Y244" s="20">
        <v>0</v>
      </c>
      <c r="Z244" s="43"/>
      <c r="AA244" s="20">
        <v>0</v>
      </c>
      <c r="AB244" s="20">
        <v>0</v>
      </c>
    </row>
    <row r="245" spans="1:28">
      <c r="B245" s="2" t="s">
        <v>2653</v>
      </c>
      <c r="D245" s="31"/>
      <c r="E245" s="24">
        <v>91741851.539999992</v>
      </c>
      <c r="F245" s="40"/>
      <c r="G245" s="24">
        <v>32914117.549999997</v>
      </c>
      <c r="H245" s="40"/>
      <c r="I245" s="24">
        <v>0</v>
      </c>
      <c r="J245" s="40"/>
      <c r="K245" s="24">
        <v>0</v>
      </c>
      <c r="L245" s="40"/>
      <c r="M245" s="24">
        <v>32914117.549999997</v>
      </c>
      <c r="N245" s="40"/>
      <c r="O245" s="24">
        <v>124655969.09</v>
      </c>
      <c r="P245" s="40"/>
      <c r="Q245" s="24">
        <v>102707659.86999997</v>
      </c>
      <c r="R245" s="37"/>
      <c r="S245" s="24">
        <v>-33276986.404861979</v>
      </c>
      <c r="T245" s="31"/>
      <c r="U245" s="24">
        <v>69430673.465138003</v>
      </c>
      <c r="V245" s="40"/>
      <c r="W245" s="17">
        <v>1242222.698461537</v>
      </c>
      <c r="X245" s="40"/>
      <c r="Y245" s="24">
        <v>-32034763.706400447</v>
      </c>
      <c r="Z245" s="40">
        <v>0</v>
      </c>
      <c r="AA245" s="24">
        <v>124655969.08999988</v>
      </c>
      <c r="AB245" s="24">
        <v>-9.6857547760009766E-8</v>
      </c>
    </row>
    <row r="246" spans="1:28">
      <c r="B246" s="2" t="s">
        <v>2653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24"/>
      <c r="R246" s="37"/>
      <c r="S246" s="31"/>
      <c r="T246" s="31"/>
      <c r="U246" s="31"/>
      <c r="V246" s="37"/>
      <c r="W246" s="24"/>
      <c r="X246" s="37"/>
      <c r="Y246" s="24"/>
      <c r="Z246" s="37"/>
      <c r="AA246" s="24"/>
      <c r="AB246" s="24"/>
    </row>
    <row r="247" spans="1:28" s="29" customFormat="1">
      <c r="B247" s="2" t="s">
        <v>2653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26"/>
      <c r="R247" s="37"/>
      <c r="S247" s="31"/>
      <c r="T247" s="31"/>
      <c r="U247" s="31"/>
      <c r="V247" s="37"/>
      <c r="W247" s="26"/>
      <c r="X247" s="37"/>
      <c r="Y247" s="26"/>
      <c r="Z247" s="37"/>
      <c r="AA247" s="26"/>
      <c r="AB247" s="26"/>
    </row>
    <row r="248" spans="1:28" s="29" customFormat="1" ht="13.5" thickBot="1">
      <c r="B248" s="2" t="s">
        <v>2653</v>
      </c>
      <c r="D248" s="34" t="s">
        <v>106</v>
      </c>
      <c r="E248" s="44">
        <v>206202853.36999997</v>
      </c>
      <c r="F248" s="40"/>
      <c r="G248" s="44">
        <v>38170850.629999995</v>
      </c>
      <c r="H248" s="40"/>
      <c r="I248" s="44">
        <v>-1006.8299999999999</v>
      </c>
      <c r="J248" s="40"/>
      <c r="K248" s="44">
        <v>0</v>
      </c>
      <c r="L248" s="40"/>
      <c r="M248" s="44">
        <v>38169843.799999997</v>
      </c>
      <c r="N248" s="40"/>
      <c r="O248" s="44">
        <v>244372697.16999996</v>
      </c>
      <c r="P248" s="40"/>
      <c r="Q248" s="44">
        <v>219908457.85384607</v>
      </c>
      <c r="R248" s="40"/>
      <c r="S248" s="44">
        <v>-79103751.834588662</v>
      </c>
      <c r="T248" s="31"/>
      <c r="U248" s="44">
        <v>140804706.01925743</v>
      </c>
      <c r="V248" s="40"/>
      <c r="W248" s="44">
        <v>1420890.0161538443</v>
      </c>
      <c r="X248" s="40"/>
      <c r="Y248" s="44">
        <v>-77682861.818434834</v>
      </c>
      <c r="Z248" s="40"/>
      <c r="AA248" s="44">
        <v>244372697.16999975</v>
      </c>
      <c r="AB248" s="44">
        <v>-1.9371509552001953E-7</v>
      </c>
    </row>
    <row r="249" spans="1:28" s="29" customFormat="1" ht="13.5" thickTop="1"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497"/>
      <c r="Q249" s="66"/>
      <c r="R249" s="2"/>
      <c r="S249" s="2"/>
      <c r="T249" s="2"/>
      <c r="U249" s="2"/>
      <c r="V249" s="37"/>
      <c r="W249" s="66"/>
      <c r="X249" s="37"/>
      <c r="Y249" s="66"/>
      <c r="Z249" s="37"/>
      <c r="AA249" s="66"/>
      <c r="AB249" s="66"/>
    </row>
    <row r="250" spans="1:28" s="29" customFormat="1">
      <c r="D250" s="2"/>
      <c r="E250" s="66"/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497"/>
      <c r="Q250" s="66"/>
      <c r="R250" s="2"/>
      <c r="S250" s="2"/>
      <c r="T250" s="2"/>
      <c r="U250" s="2"/>
      <c r="V250" s="37"/>
      <c r="W250" s="66"/>
      <c r="X250" s="37"/>
      <c r="Y250" s="66"/>
      <c r="Z250" s="37"/>
      <c r="AA250" s="66"/>
      <c r="AB250" s="66"/>
    </row>
    <row r="251" spans="1:28" s="29" customFormat="1">
      <c r="D251" s="28" t="s">
        <v>2387</v>
      </c>
      <c r="E251" s="232">
        <v>206202853.36999995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P251" s="498"/>
      <c r="Q251" s="232"/>
      <c r="V251" s="40"/>
      <c r="W251" s="232"/>
      <c r="X251" s="40"/>
      <c r="Y251" s="232"/>
      <c r="Z251" s="40"/>
      <c r="AA251" s="232"/>
      <c r="AB251" s="232"/>
    </row>
    <row r="252" spans="1:28" s="29" customFormat="1">
      <c r="D252" s="28"/>
      <c r="E252" s="232">
        <v>0</v>
      </c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P252" s="498"/>
      <c r="Q252" s="232"/>
      <c r="V252" s="40"/>
      <c r="W252" s="232"/>
      <c r="X252" s="40"/>
      <c r="Y252" s="232"/>
      <c r="Z252" s="40"/>
      <c r="AA252" s="232"/>
      <c r="AB252" s="232"/>
    </row>
    <row r="253" spans="1:28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P253" s="498"/>
      <c r="Q253" s="232"/>
      <c r="V253" s="40"/>
      <c r="W253" s="232"/>
      <c r="X253" s="40"/>
      <c r="Y253" s="232"/>
      <c r="Z253" s="40"/>
      <c r="AA253" s="232"/>
      <c r="AB253" s="232"/>
    </row>
    <row r="254" spans="1:28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P254" s="498"/>
      <c r="Q254" s="232"/>
      <c r="V254" s="40"/>
      <c r="W254" s="232"/>
      <c r="X254" s="40"/>
      <c r="Y254" s="232"/>
      <c r="Z254" s="40"/>
      <c r="AA254" s="232"/>
      <c r="AB254" s="232"/>
    </row>
    <row r="255" spans="1:28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P255" s="498"/>
      <c r="Q255" s="232"/>
      <c r="V255" s="40"/>
      <c r="W255" s="232"/>
      <c r="X255" s="40"/>
      <c r="Y255" s="232"/>
      <c r="Z255" s="40"/>
      <c r="AA255" s="232"/>
      <c r="AB255" s="232"/>
    </row>
    <row r="256" spans="1:28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P256" s="498"/>
      <c r="Q256" s="232"/>
      <c r="V256" s="40"/>
      <c r="W256" s="232"/>
      <c r="X256" s="40"/>
      <c r="Y256" s="232"/>
      <c r="Z256" s="40"/>
      <c r="AA256" s="232"/>
      <c r="AB256" s="232"/>
    </row>
    <row r="257" spans="4:28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P257" s="498"/>
      <c r="Q257" s="232"/>
      <c r="V257" s="40"/>
      <c r="W257" s="232"/>
      <c r="X257" s="40"/>
      <c r="Y257" s="232"/>
      <c r="Z257" s="40"/>
      <c r="AA257" s="232"/>
      <c r="AB257" s="232"/>
    </row>
    <row r="258" spans="4:28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P258" s="498"/>
      <c r="Q258" s="232"/>
      <c r="V258" s="40"/>
      <c r="W258" s="232"/>
      <c r="X258" s="40"/>
      <c r="Y258" s="232"/>
      <c r="Z258" s="40"/>
      <c r="AA258" s="232"/>
      <c r="AB258" s="232"/>
    </row>
    <row r="259" spans="4:28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P259" s="498"/>
      <c r="Q259" s="232"/>
      <c r="V259" s="40"/>
      <c r="W259" s="232"/>
      <c r="X259" s="40"/>
      <c r="Y259" s="232"/>
      <c r="Z259" s="40"/>
      <c r="AA259" s="232"/>
      <c r="AB259" s="232"/>
    </row>
    <row r="260" spans="4:28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P260" s="498"/>
      <c r="Q260" s="232"/>
      <c r="V260" s="40"/>
      <c r="W260" s="232"/>
      <c r="X260" s="40"/>
      <c r="Y260" s="232"/>
      <c r="Z260" s="40"/>
      <c r="AA260" s="232"/>
      <c r="AB260" s="232"/>
    </row>
    <row r="261" spans="4:28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P261" s="498"/>
      <c r="Q261" s="232"/>
      <c r="V261" s="40"/>
      <c r="W261" s="232"/>
      <c r="X261" s="40"/>
      <c r="Y261" s="232"/>
      <c r="Z261" s="40"/>
      <c r="AA261" s="232"/>
      <c r="AB261" s="232"/>
    </row>
    <row r="262" spans="4:28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P262" s="498"/>
      <c r="Q262" s="232"/>
      <c r="V262" s="40"/>
      <c r="W262" s="232"/>
      <c r="X262" s="40"/>
      <c r="Y262" s="232"/>
      <c r="Z262" s="40"/>
      <c r="AA262" s="232"/>
      <c r="AB262" s="232"/>
    </row>
    <row r="263" spans="4:28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P263" s="498"/>
      <c r="Q263" s="232"/>
      <c r="V263" s="40"/>
      <c r="W263" s="232"/>
      <c r="X263" s="40"/>
      <c r="Y263" s="232"/>
      <c r="Z263" s="40"/>
      <c r="AA263" s="232"/>
      <c r="AB263" s="232"/>
    </row>
    <row r="264" spans="4:28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P264" s="498"/>
      <c r="Q264" s="232"/>
      <c r="V264" s="40"/>
      <c r="W264" s="232"/>
      <c r="X264" s="40"/>
      <c r="Y264" s="232"/>
      <c r="Z264" s="40"/>
      <c r="AA264" s="232"/>
      <c r="AB264" s="232"/>
    </row>
    <row r="265" spans="4:28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P265" s="498"/>
      <c r="Q265" s="232"/>
      <c r="V265" s="40"/>
      <c r="W265" s="232"/>
      <c r="X265" s="40"/>
      <c r="Y265" s="232"/>
      <c r="Z265" s="40"/>
      <c r="AA265" s="232"/>
      <c r="AB265" s="232"/>
    </row>
    <row r="266" spans="4:28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P266" s="498"/>
      <c r="Q266" s="232"/>
      <c r="V266" s="40"/>
      <c r="W266" s="232"/>
      <c r="X266" s="40"/>
      <c r="Y266" s="232"/>
      <c r="Z266" s="40"/>
      <c r="AA266" s="232"/>
      <c r="AB266" s="232"/>
    </row>
    <row r="267" spans="4:28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P267" s="498"/>
      <c r="Q267" s="232"/>
      <c r="V267" s="40"/>
      <c r="W267" s="232"/>
      <c r="X267" s="40"/>
      <c r="Y267" s="232"/>
      <c r="Z267" s="40"/>
      <c r="AA267" s="232"/>
      <c r="AB267" s="232"/>
    </row>
    <row r="268" spans="4:28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P268" s="498"/>
      <c r="Q268" s="232"/>
      <c r="V268" s="40"/>
      <c r="W268" s="232"/>
      <c r="X268" s="40"/>
      <c r="Y268" s="232"/>
      <c r="Z268" s="40"/>
      <c r="AA268" s="232"/>
      <c r="AB268" s="232"/>
    </row>
    <row r="269" spans="4:28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P269" s="498"/>
      <c r="Q269" s="232"/>
      <c r="V269" s="40"/>
      <c r="W269" s="232"/>
      <c r="X269" s="40"/>
      <c r="Y269" s="232"/>
      <c r="Z269" s="40"/>
      <c r="AA269" s="232"/>
      <c r="AB269" s="232"/>
    </row>
    <row r="270" spans="4:28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P270" s="498"/>
      <c r="Q270" s="232"/>
      <c r="V270" s="40"/>
      <c r="W270" s="232"/>
      <c r="X270" s="40"/>
      <c r="Y270" s="232"/>
      <c r="Z270" s="40"/>
      <c r="AA270" s="232"/>
      <c r="AB270" s="232"/>
    </row>
    <row r="271" spans="4:28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P271" s="498"/>
      <c r="Q271" s="232"/>
      <c r="V271" s="40"/>
      <c r="W271" s="232"/>
      <c r="X271" s="40"/>
      <c r="Y271" s="232"/>
      <c r="Z271" s="40"/>
      <c r="AA271" s="232"/>
      <c r="AB271" s="232"/>
    </row>
    <row r="272" spans="4:28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P272" s="498"/>
      <c r="Q272" s="232"/>
      <c r="V272" s="40"/>
      <c r="W272" s="232"/>
      <c r="X272" s="40"/>
      <c r="Y272" s="232"/>
      <c r="Z272" s="40"/>
      <c r="AA272" s="232"/>
      <c r="AB272" s="232"/>
    </row>
    <row r="273" spans="4:28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P273" s="498"/>
      <c r="Q273" s="232"/>
      <c r="V273" s="40"/>
      <c r="W273" s="232"/>
      <c r="X273" s="40"/>
      <c r="Y273" s="232"/>
      <c r="Z273" s="40"/>
      <c r="AA273" s="232"/>
      <c r="AB273" s="232"/>
    </row>
    <row r="274" spans="4:28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P274" s="498"/>
      <c r="Q274" s="232"/>
      <c r="V274" s="40"/>
      <c r="W274" s="232"/>
      <c r="X274" s="40"/>
      <c r="Y274" s="232"/>
      <c r="Z274" s="40"/>
      <c r="AA274" s="232"/>
      <c r="AB274" s="232"/>
    </row>
    <row r="275" spans="4:28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498"/>
      <c r="Q275" s="232"/>
      <c r="R275" s="29"/>
      <c r="S275" s="29"/>
      <c r="T275" s="29"/>
      <c r="U275" s="29"/>
      <c r="V275" s="40"/>
      <c r="W275" s="232"/>
      <c r="X275" s="40"/>
      <c r="Y275" s="232"/>
      <c r="Z275" s="40"/>
      <c r="AA275" s="232"/>
      <c r="AB275" s="232"/>
    </row>
    <row r="276" spans="4:28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498"/>
      <c r="Q276" s="232"/>
      <c r="R276" s="29"/>
      <c r="S276" s="29"/>
      <c r="T276" s="29"/>
      <c r="U276" s="29"/>
      <c r="V276" s="40"/>
      <c r="W276" s="232"/>
      <c r="X276" s="40"/>
      <c r="Y276" s="232"/>
      <c r="Z276" s="40"/>
      <c r="AA276" s="232"/>
      <c r="AB276" s="232"/>
    </row>
    <row r="277" spans="4:28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498"/>
      <c r="Q277" s="232"/>
      <c r="R277" s="29"/>
      <c r="S277" s="29"/>
      <c r="T277" s="29"/>
      <c r="U277" s="29"/>
      <c r="V277" s="40"/>
      <c r="W277" s="232"/>
      <c r="X277" s="40"/>
      <c r="Y277" s="232"/>
      <c r="Z277" s="40"/>
      <c r="AA277" s="232"/>
      <c r="AB277" s="232"/>
    </row>
    <row r="278" spans="4:28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498"/>
      <c r="Q278" s="232"/>
      <c r="R278" s="29"/>
      <c r="S278" s="29"/>
      <c r="T278" s="29"/>
      <c r="U278" s="29"/>
      <c r="V278" s="40"/>
      <c r="W278" s="232"/>
      <c r="X278" s="40"/>
      <c r="Y278" s="232"/>
      <c r="Z278" s="40"/>
      <c r="AA278" s="232"/>
      <c r="AB278" s="232"/>
    </row>
    <row r="281" spans="4:28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22"/>
      <c r="W281" s="422"/>
      <c r="X281" s="422"/>
      <c r="Y281" s="422"/>
      <c r="Z281" s="422"/>
      <c r="AA281" s="422"/>
      <c r="AB281" s="422"/>
    </row>
    <row r="282" spans="4:28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22"/>
      <c r="W282" s="422"/>
      <c r="X282" s="422"/>
      <c r="Y282" s="422"/>
      <c r="Z282" s="422"/>
      <c r="AA282" s="422"/>
      <c r="AB282" s="422"/>
    </row>
    <row r="283" spans="4:28">
      <c r="D283" s="493" t="s">
        <v>3715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94"/>
      <c r="U283" s="494"/>
      <c r="V283" s="424"/>
      <c r="W283" s="424"/>
      <c r="X283" s="424"/>
      <c r="Y283" s="424"/>
      <c r="Z283" s="424"/>
      <c r="AA283" s="424"/>
      <c r="AB283" s="424"/>
    </row>
    <row r="284" spans="4:28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"/>
      <c r="Q284" s="45"/>
      <c r="R284" s="31"/>
      <c r="S284" s="31"/>
      <c r="T284" s="31"/>
      <c r="U284" s="31"/>
      <c r="V284" s="3"/>
      <c r="W284" s="45"/>
      <c r="X284" s="3"/>
      <c r="Y284" s="45"/>
      <c r="Z284" s="3"/>
      <c r="AA284" s="45"/>
      <c r="AB284" s="45"/>
    </row>
    <row r="285" spans="4:28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"/>
      <c r="Q285" s="45"/>
      <c r="R285" s="31"/>
      <c r="S285" s="31"/>
      <c r="T285" s="31"/>
      <c r="U285" s="31"/>
      <c r="V285" s="3"/>
      <c r="W285" s="3"/>
      <c r="X285" s="3"/>
      <c r="Y285" s="3"/>
      <c r="Z285" s="3"/>
      <c r="AA285" s="32" t="s">
        <v>1712</v>
      </c>
      <c r="AB285" s="32"/>
    </row>
    <row r="286" spans="4:28" ht="15">
      <c r="D286" s="31"/>
      <c r="E286" s="499" t="s">
        <v>3716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3717</v>
      </c>
      <c r="P286" s="31"/>
      <c r="Q286" s="499" t="s">
        <v>1713</v>
      </c>
      <c r="R286" s="31"/>
      <c r="S286" s="34"/>
      <c r="T286" s="34"/>
      <c r="U286" s="431" t="s">
        <v>1713</v>
      </c>
      <c r="V286" s="32"/>
      <c r="W286" s="431" t="s">
        <v>1713</v>
      </c>
      <c r="X286" s="32"/>
      <c r="Y286" s="431" t="s">
        <v>1713</v>
      </c>
      <c r="Z286" s="3"/>
      <c r="AA286" s="499" t="s">
        <v>3717</v>
      </c>
      <c r="AB286" s="4"/>
    </row>
    <row r="287" spans="4:28" ht="15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3" t="s">
        <v>4</v>
      </c>
      <c r="R287" s="31"/>
      <c r="S287" s="431" t="s">
        <v>1713</v>
      </c>
      <c r="T287" s="31"/>
      <c r="U287" s="509" t="s">
        <v>5</v>
      </c>
      <c r="V287" s="31"/>
      <c r="W287" s="231" t="s">
        <v>1201</v>
      </c>
      <c r="X287" s="5"/>
      <c r="Y287" s="231" t="s">
        <v>11</v>
      </c>
      <c r="Z287" s="5"/>
      <c r="AA287" s="6" t="s">
        <v>4</v>
      </c>
      <c r="AB287" s="6"/>
    </row>
    <row r="288" spans="4:28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31"/>
      <c r="Q288" s="35" t="s">
        <v>6</v>
      </c>
      <c r="R288" s="5"/>
      <c r="S288" s="35" t="s">
        <v>11</v>
      </c>
      <c r="T288" s="5"/>
      <c r="U288" s="35" t="s">
        <v>12</v>
      </c>
      <c r="V288" s="31"/>
      <c r="W288" s="10" t="s">
        <v>1202</v>
      </c>
      <c r="X288" s="5"/>
      <c r="Y288" s="10" t="s">
        <v>2172</v>
      </c>
      <c r="Z288" s="5"/>
      <c r="AA288" s="10" t="s">
        <v>6</v>
      </c>
      <c r="AB288" s="10" t="s">
        <v>13</v>
      </c>
    </row>
    <row r="289" spans="1:28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31"/>
      <c r="Q289" s="36"/>
      <c r="R289" s="5"/>
      <c r="S289" s="5"/>
      <c r="T289" s="5"/>
      <c r="U289" s="5"/>
      <c r="V289" s="31"/>
      <c r="W289" s="36"/>
      <c r="X289" s="31"/>
      <c r="Y289" s="36"/>
      <c r="Z289" s="31"/>
      <c r="AA289" s="36"/>
      <c r="AB289" s="36"/>
    </row>
    <row r="290" spans="1:28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31"/>
      <c r="Q290" s="26"/>
      <c r="R290" s="5"/>
      <c r="S290" s="5"/>
      <c r="T290" s="5"/>
      <c r="U290" s="5"/>
      <c r="V290" s="31"/>
      <c r="W290" s="26"/>
      <c r="X290" s="31"/>
      <c r="Y290" s="26"/>
      <c r="Z290" s="31"/>
      <c r="AA290" s="26"/>
      <c r="AB290" s="26"/>
    </row>
    <row r="291" spans="1:28">
      <c r="D291" s="34" t="s">
        <v>2660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26"/>
      <c r="R291" s="31"/>
      <c r="S291" s="31"/>
      <c r="T291" s="31"/>
      <c r="U291" s="31"/>
      <c r="V291" s="31"/>
      <c r="W291" s="26"/>
      <c r="X291" s="31"/>
      <c r="Y291" s="26"/>
      <c r="Z291" s="31"/>
      <c r="AA291" s="26"/>
      <c r="AB291" s="26"/>
    </row>
    <row r="292" spans="1:28">
      <c r="A292" s="2" t="s">
        <v>108</v>
      </c>
      <c r="B292" s="2" t="s">
        <v>2653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7"/>
      <c r="Q292" s="26">
        <v>5040.2300000000005</v>
      </c>
      <c r="R292" s="31"/>
      <c r="S292" s="38">
        <v>-2536.3705653279899</v>
      </c>
      <c r="T292" s="31"/>
      <c r="U292" s="38">
        <v>2503.8594346720106</v>
      </c>
      <c r="V292" s="37"/>
      <c r="W292" s="433"/>
      <c r="X292" s="43"/>
      <c r="Y292" s="17">
        <v>-2536.3705653279899</v>
      </c>
      <c r="Z292" s="43"/>
      <c r="AA292" s="17">
        <v>5040.2300000000005</v>
      </c>
      <c r="AB292" s="17">
        <v>0</v>
      </c>
    </row>
    <row r="293" spans="1:28">
      <c r="A293" s="2" t="s">
        <v>108</v>
      </c>
      <c r="B293" s="2" t="s">
        <v>2653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7"/>
      <c r="Q293" s="26">
        <v>0</v>
      </c>
      <c r="R293" s="31"/>
      <c r="S293" s="38">
        <v>0</v>
      </c>
      <c r="T293" s="31"/>
      <c r="U293" s="38">
        <v>0</v>
      </c>
      <c r="V293" s="37"/>
      <c r="W293" s="26"/>
      <c r="X293" s="37"/>
      <c r="Y293" s="26">
        <v>0</v>
      </c>
      <c r="Z293" s="37"/>
      <c r="AA293" s="26">
        <v>0</v>
      </c>
      <c r="AB293" s="26">
        <v>0</v>
      </c>
    </row>
    <row r="294" spans="1:28">
      <c r="A294" s="2" t="s">
        <v>108</v>
      </c>
      <c r="B294" s="2" t="s">
        <v>2653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7"/>
      <c r="Q294" s="26">
        <v>2545.13</v>
      </c>
      <c r="R294" s="31"/>
      <c r="S294" s="38">
        <v>-2676.740393344</v>
      </c>
      <c r="T294" s="31"/>
      <c r="U294" s="38">
        <v>-131.61039334399993</v>
      </c>
      <c r="V294" s="37"/>
      <c r="W294" s="26"/>
      <c r="X294" s="37"/>
      <c r="Y294" s="26">
        <v>-2676.740393344</v>
      </c>
      <c r="Z294" s="37"/>
      <c r="AA294" s="26">
        <v>2545.13</v>
      </c>
      <c r="AB294" s="26">
        <v>0</v>
      </c>
    </row>
    <row r="295" spans="1:28">
      <c r="A295" s="2" t="s">
        <v>108</v>
      </c>
      <c r="B295" s="2" t="s">
        <v>2653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0</v>
      </c>
      <c r="H295" s="37"/>
      <c r="I295" s="26">
        <v>0</v>
      </c>
      <c r="J295" s="37"/>
      <c r="K295" s="26">
        <v>0</v>
      </c>
      <c r="L295" s="37"/>
      <c r="M295" s="26">
        <v>0</v>
      </c>
      <c r="N295" s="37"/>
      <c r="O295" s="26">
        <v>66853.42</v>
      </c>
      <c r="P295" s="37"/>
      <c r="Q295" s="26">
        <v>66853.420000000013</v>
      </c>
      <c r="R295" s="31"/>
      <c r="S295" s="38">
        <v>-38712.131136000004</v>
      </c>
      <c r="T295" s="31"/>
      <c r="U295" s="38">
        <v>28141.288864000009</v>
      </c>
      <c r="V295" s="37"/>
      <c r="W295" s="26"/>
      <c r="X295" s="37"/>
      <c r="Y295" s="26">
        <v>-38712.131136000004</v>
      </c>
      <c r="Z295" s="37"/>
      <c r="AA295" s="26">
        <v>66853.42</v>
      </c>
      <c r="AB295" s="26">
        <v>0</v>
      </c>
    </row>
    <row r="296" spans="1:28">
      <c r="A296" s="2" t="s">
        <v>108</v>
      </c>
      <c r="B296" s="2" t="s">
        <v>2653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7"/>
      <c r="Q296" s="26">
        <v>15954.52</v>
      </c>
      <c r="R296" s="31"/>
      <c r="S296" s="38">
        <v>12920.9059840639</v>
      </c>
      <c r="T296" s="31"/>
      <c r="U296" s="38">
        <v>28875.425984063899</v>
      </c>
      <c r="V296" s="37"/>
      <c r="W296" s="26"/>
      <c r="X296" s="37"/>
      <c r="Y296" s="26">
        <v>12920.9059840639</v>
      </c>
      <c r="Z296" s="37"/>
      <c r="AA296" s="26">
        <v>15954.52</v>
      </c>
      <c r="AB296" s="26">
        <v>0</v>
      </c>
    </row>
    <row r="297" spans="1:28">
      <c r="A297" s="2" t="s">
        <v>108</v>
      </c>
      <c r="B297" s="2" t="s">
        <v>2653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7"/>
      <c r="Q297" s="26">
        <v>17140.309999999998</v>
      </c>
      <c r="R297" s="31"/>
      <c r="S297" s="38">
        <v>4611.2015520000077</v>
      </c>
      <c r="T297" s="31"/>
      <c r="U297" s="38">
        <v>21751.511552000004</v>
      </c>
      <c r="V297" s="37"/>
      <c r="W297" s="26"/>
      <c r="X297" s="37"/>
      <c r="Y297" s="26">
        <v>4611.2015520000077</v>
      </c>
      <c r="Z297" s="37"/>
      <c r="AA297" s="26">
        <v>17140.309999999998</v>
      </c>
      <c r="AB297" s="26">
        <v>0</v>
      </c>
    </row>
    <row r="298" spans="1:28">
      <c r="A298" s="2" t="s">
        <v>108</v>
      </c>
      <c r="B298" s="2" t="s">
        <v>2653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7"/>
      <c r="Q298" s="26">
        <v>0</v>
      </c>
      <c r="R298" s="31"/>
      <c r="S298" s="38">
        <v>0</v>
      </c>
      <c r="T298" s="31"/>
      <c r="U298" s="38">
        <v>0</v>
      </c>
      <c r="V298" s="37"/>
      <c r="W298" s="26"/>
      <c r="X298" s="37"/>
      <c r="Y298" s="26">
        <v>0</v>
      </c>
      <c r="Z298" s="37"/>
      <c r="AA298" s="26">
        <v>0</v>
      </c>
      <c r="AB298" s="26">
        <v>0</v>
      </c>
    </row>
    <row r="299" spans="1:28">
      <c r="A299" s="2" t="s">
        <v>108</v>
      </c>
      <c r="B299" s="2" t="s">
        <v>2653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7"/>
      <c r="Q299" s="26">
        <v>0</v>
      </c>
      <c r="R299" s="31"/>
      <c r="S299" s="38">
        <v>0</v>
      </c>
      <c r="T299" s="31"/>
      <c r="U299" s="38">
        <v>0</v>
      </c>
      <c r="V299" s="37"/>
      <c r="W299" s="26"/>
      <c r="X299" s="37"/>
      <c r="Y299" s="26">
        <v>0</v>
      </c>
      <c r="Z299" s="37"/>
      <c r="AA299" s="26">
        <v>0</v>
      </c>
      <c r="AB299" s="26">
        <v>0</v>
      </c>
    </row>
    <row r="300" spans="1:28">
      <c r="A300" s="2" t="s">
        <v>108</v>
      </c>
      <c r="B300" s="2" t="s">
        <v>2653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7"/>
      <c r="Q300" s="26">
        <v>0</v>
      </c>
      <c r="R300" s="31"/>
      <c r="S300" s="38">
        <v>-0.63000000000000012</v>
      </c>
      <c r="T300" s="31"/>
      <c r="U300" s="38">
        <v>-0.63000000000000012</v>
      </c>
      <c r="V300" s="37"/>
      <c r="W300" s="26"/>
      <c r="X300" s="37"/>
      <c r="Y300" s="26">
        <v>-0.63000000000000012</v>
      </c>
      <c r="Z300" s="37"/>
      <c r="AA300" s="26">
        <v>0</v>
      </c>
      <c r="AB300" s="26">
        <v>0</v>
      </c>
    </row>
    <row r="301" spans="1:28">
      <c r="A301" s="2" t="s">
        <v>108</v>
      </c>
      <c r="B301" s="2" t="s">
        <v>2653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7"/>
      <c r="Q301" s="26">
        <v>0</v>
      </c>
      <c r="R301" s="31"/>
      <c r="S301" s="38">
        <v>-650.82999999999993</v>
      </c>
      <c r="T301" s="31"/>
      <c r="U301" s="38">
        <v>-650.82999999999993</v>
      </c>
      <c r="V301" s="37"/>
      <c r="W301" s="26"/>
      <c r="X301" s="37"/>
      <c r="Y301" s="26">
        <v>-650.82999999999993</v>
      </c>
      <c r="Z301" s="37"/>
      <c r="AA301" s="26">
        <v>0</v>
      </c>
      <c r="AB301" s="26">
        <v>0</v>
      </c>
    </row>
    <row r="302" spans="1:28">
      <c r="A302" s="2" t="s">
        <v>108</v>
      </c>
      <c r="B302" s="2" t="s">
        <v>2653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7"/>
      <c r="Q302" s="26">
        <v>0</v>
      </c>
      <c r="R302" s="31"/>
      <c r="S302" s="38">
        <v>7631.0299999999988</v>
      </c>
      <c r="T302" s="31"/>
      <c r="U302" s="38">
        <v>7631.0299999999988</v>
      </c>
      <c r="V302" s="37"/>
      <c r="W302" s="26"/>
      <c r="X302" s="37"/>
      <c r="Y302" s="26">
        <v>7631.0299999999988</v>
      </c>
      <c r="Z302" s="37"/>
      <c r="AA302" s="26">
        <v>0</v>
      </c>
      <c r="AB302" s="26">
        <v>0</v>
      </c>
    </row>
    <row r="303" spans="1:28">
      <c r="A303" s="9" t="s">
        <v>108</v>
      </c>
      <c r="B303" s="2" t="s">
        <v>2653</v>
      </c>
      <c r="C303" s="9"/>
      <c r="D303" s="5" t="s">
        <v>2382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39"/>
      <c r="Q303" s="7">
        <v>0</v>
      </c>
      <c r="R303" s="5"/>
      <c r="S303" s="13">
        <v>0</v>
      </c>
      <c r="T303" s="5"/>
      <c r="U303" s="13">
        <v>0</v>
      </c>
      <c r="V303" s="39"/>
      <c r="W303" s="7"/>
      <c r="X303" s="39"/>
      <c r="Y303" s="7">
        <v>0</v>
      </c>
      <c r="Z303" s="39"/>
      <c r="AA303" s="7">
        <v>0</v>
      </c>
      <c r="AB303" s="7">
        <v>0</v>
      </c>
    </row>
    <row r="304" spans="1:28">
      <c r="A304" s="2" t="s">
        <v>108</v>
      </c>
      <c r="B304" s="2" t="s">
        <v>2653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0"/>
      <c r="Q304" s="41">
        <v>0</v>
      </c>
      <c r="R304" s="46"/>
      <c r="S304" s="42">
        <v>0</v>
      </c>
      <c r="T304" s="31"/>
      <c r="U304" s="42">
        <v>0</v>
      </c>
      <c r="V304" s="40"/>
      <c r="W304" s="41"/>
      <c r="X304" s="40"/>
      <c r="Y304" s="41">
        <v>0</v>
      </c>
      <c r="Z304" s="40"/>
      <c r="AA304" s="41">
        <v>0</v>
      </c>
      <c r="AB304" s="41">
        <v>0</v>
      </c>
    </row>
    <row r="305" spans="1:28">
      <c r="B305" s="2" t="s">
        <v>2653</v>
      </c>
      <c r="D305" s="31"/>
      <c r="E305" s="24">
        <v>107533.61</v>
      </c>
      <c r="F305" s="40"/>
      <c r="G305" s="24">
        <v>0</v>
      </c>
      <c r="H305" s="40"/>
      <c r="I305" s="24">
        <v>0</v>
      </c>
      <c r="J305" s="40"/>
      <c r="K305" s="24">
        <v>0</v>
      </c>
      <c r="L305" s="40"/>
      <c r="M305" s="24">
        <v>0</v>
      </c>
      <c r="N305" s="40"/>
      <c r="O305" s="24">
        <v>107533.61</v>
      </c>
      <c r="P305" s="40"/>
      <c r="Q305" s="24">
        <v>107533.61000000002</v>
      </c>
      <c r="R305" s="46"/>
      <c r="S305" s="24">
        <v>-19413.564558608086</v>
      </c>
      <c r="T305" s="31"/>
      <c r="U305" s="24">
        <v>88120.045441391921</v>
      </c>
      <c r="V305" s="40"/>
      <c r="W305" s="24">
        <v>0</v>
      </c>
      <c r="X305" s="40"/>
      <c r="Y305" s="24">
        <v>-19413.564558608086</v>
      </c>
      <c r="Z305" s="40">
        <v>0</v>
      </c>
      <c r="AA305" s="24">
        <v>107533.61</v>
      </c>
      <c r="AB305" s="24">
        <v>0</v>
      </c>
    </row>
    <row r="306" spans="1:28">
      <c r="B306" s="2" t="s">
        <v>2653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0"/>
      <c r="Q306" s="24"/>
      <c r="R306" s="46"/>
      <c r="S306" s="31"/>
      <c r="T306" s="31"/>
      <c r="U306" s="31"/>
      <c r="V306" s="40"/>
      <c r="W306" s="24"/>
      <c r="X306" s="40"/>
      <c r="Y306" s="24"/>
      <c r="Z306" s="40"/>
      <c r="AA306" s="24"/>
      <c r="AB306" s="24"/>
    </row>
    <row r="307" spans="1:28">
      <c r="B307" s="2" t="s">
        <v>2653</v>
      </c>
      <c r="D307" s="34" t="s">
        <v>2665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0"/>
      <c r="Q307" s="24"/>
      <c r="R307" s="46"/>
      <c r="S307" s="31"/>
      <c r="T307" s="31"/>
      <c r="U307" s="31"/>
      <c r="V307" s="40"/>
      <c r="W307" s="24"/>
      <c r="X307" s="40"/>
      <c r="Y307" s="24"/>
      <c r="Z307" s="40"/>
      <c r="AA307" s="24"/>
      <c r="AB307" s="24"/>
    </row>
    <row r="308" spans="1:28">
      <c r="A308" s="2" t="s">
        <v>108</v>
      </c>
      <c r="B308" s="2" t="s">
        <v>2653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0"/>
      <c r="Q308" s="24">
        <v>439.52999999999992</v>
      </c>
      <c r="R308" s="46"/>
      <c r="S308" s="38">
        <v>-384.17994399999901</v>
      </c>
      <c r="T308" s="31"/>
      <c r="U308" s="38">
        <v>55.350056000000905</v>
      </c>
      <c r="V308" s="40"/>
      <c r="W308" s="24"/>
      <c r="X308" s="40"/>
      <c r="Y308" s="24">
        <v>-384.17994399999901</v>
      </c>
      <c r="Z308" s="40"/>
      <c r="AA308" s="24">
        <v>439.53</v>
      </c>
      <c r="AB308" s="24">
        <v>0</v>
      </c>
    </row>
    <row r="309" spans="1:28">
      <c r="A309" s="2" t="s">
        <v>108</v>
      </c>
      <c r="B309" s="2" t="s">
        <v>2653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0"/>
      <c r="Q309" s="24">
        <v>128751.53</v>
      </c>
      <c r="R309" s="46"/>
      <c r="S309" s="38">
        <v>-103288.06310592001</v>
      </c>
      <c r="T309" s="31"/>
      <c r="U309" s="38">
        <v>25463.466894079989</v>
      </c>
      <c r="V309" s="40"/>
      <c r="W309" s="24"/>
      <c r="X309" s="40"/>
      <c r="Y309" s="24">
        <v>-103288.06310592001</v>
      </c>
      <c r="Z309" s="40"/>
      <c r="AA309" s="24">
        <v>128751.53</v>
      </c>
      <c r="AB309" s="24">
        <v>0</v>
      </c>
    </row>
    <row r="310" spans="1:28">
      <c r="A310" s="2" t="s">
        <v>108</v>
      </c>
      <c r="B310" s="2" t="s">
        <v>2653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0"/>
      <c r="Q310" s="41">
        <v>80691.33</v>
      </c>
      <c r="R310" s="46"/>
      <c r="S310" s="42">
        <v>-60800.016376</v>
      </c>
      <c r="T310" s="31"/>
      <c r="U310" s="42">
        <v>19891.313624000002</v>
      </c>
      <c r="V310" s="40"/>
      <c r="W310" s="41"/>
      <c r="X310" s="40"/>
      <c r="Y310" s="41">
        <v>-60800.016376</v>
      </c>
      <c r="Z310" s="40"/>
      <c r="AA310" s="41">
        <v>80691.329999999987</v>
      </c>
      <c r="AB310" s="41">
        <v>0</v>
      </c>
    </row>
    <row r="311" spans="1:28">
      <c r="B311" s="2" t="s">
        <v>2653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0"/>
      <c r="Q311" s="24">
        <v>209882.39</v>
      </c>
      <c r="R311" s="46"/>
      <c r="S311" s="24">
        <v>-164472.25942592003</v>
      </c>
      <c r="T311" s="31"/>
      <c r="U311" s="24">
        <v>45410.130574079987</v>
      </c>
      <c r="V311" s="40"/>
      <c r="W311" s="24">
        <v>0</v>
      </c>
      <c r="X311" s="40"/>
      <c r="Y311" s="24">
        <v>-164472.25942592003</v>
      </c>
      <c r="Z311" s="40">
        <v>0</v>
      </c>
      <c r="AA311" s="24">
        <v>209882.38999999998</v>
      </c>
      <c r="AB311" s="24">
        <v>0</v>
      </c>
    </row>
    <row r="312" spans="1:28">
      <c r="B312" s="2" t="s">
        <v>2653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0"/>
      <c r="Q312" s="24"/>
      <c r="R312" s="46"/>
      <c r="S312" s="31"/>
      <c r="T312" s="31"/>
      <c r="U312" s="31"/>
      <c r="V312" s="40"/>
      <c r="W312" s="24"/>
      <c r="X312" s="40"/>
      <c r="Y312" s="24"/>
      <c r="Z312" s="40"/>
      <c r="AA312" s="24"/>
      <c r="AB312" s="24"/>
    </row>
    <row r="313" spans="1:28">
      <c r="B313" s="2" t="s">
        <v>2653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7"/>
      <c r="Q313" s="26"/>
      <c r="R313" s="31"/>
      <c r="S313" s="31"/>
      <c r="T313" s="31"/>
      <c r="U313" s="31"/>
      <c r="V313" s="37"/>
      <c r="W313" s="26"/>
      <c r="X313" s="37"/>
      <c r="Y313" s="26"/>
      <c r="Z313" s="37"/>
      <c r="AA313" s="26"/>
      <c r="AB313" s="26"/>
    </row>
    <row r="314" spans="1:28" ht="13.5" thickBot="1">
      <c r="B314" s="2" t="s">
        <v>2653</v>
      </c>
      <c r="D314" s="34" t="s">
        <v>110</v>
      </c>
      <c r="E314" s="44">
        <v>317416</v>
      </c>
      <c r="F314" s="37"/>
      <c r="G314" s="44">
        <v>0</v>
      </c>
      <c r="H314" s="37"/>
      <c r="I314" s="44">
        <v>0</v>
      </c>
      <c r="J314" s="37"/>
      <c r="K314" s="44">
        <v>0</v>
      </c>
      <c r="L314" s="37"/>
      <c r="M314" s="44">
        <v>0</v>
      </c>
      <c r="N314" s="37"/>
      <c r="O314" s="44">
        <v>317416</v>
      </c>
      <c r="P314" s="37"/>
      <c r="Q314" s="44">
        <v>317416</v>
      </c>
      <c r="R314" s="31"/>
      <c r="S314" s="44">
        <v>-183885.82398452811</v>
      </c>
      <c r="T314" s="31"/>
      <c r="U314" s="44">
        <v>133530.17601547192</v>
      </c>
      <c r="V314" s="37"/>
      <c r="W314" s="44">
        <v>0</v>
      </c>
      <c r="X314" s="37"/>
      <c r="Y314" s="44">
        <v>-183885.82398452811</v>
      </c>
      <c r="Z314" s="37"/>
      <c r="AA314" s="44">
        <v>317416</v>
      </c>
      <c r="AB314" s="44">
        <v>0</v>
      </c>
    </row>
    <row r="315" spans="1:28" ht="13.5" thickTop="1"/>
    <row r="316" spans="1:28">
      <c r="D316" s="2" t="s">
        <v>2387</v>
      </c>
      <c r="E316" s="66">
        <v>317416</v>
      </c>
    </row>
    <row r="318" spans="1:28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</row>
    <row r="319" spans="1:28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</row>
    <row r="320" spans="1:28">
      <c r="D320" s="493" t="s">
        <v>3715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W320" s="2"/>
      <c r="Y320" s="2"/>
      <c r="AA320" s="2"/>
      <c r="AB320" s="2"/>
    </row>
    <row r="321" spans="1:28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W321" s="2"/>
      <c r="Y321" s="2"/>
      <c r="AA321" s="32" t="s">
        <v>1712</v>
      </c>
      <c r="AB321" s="2"/>
    </row>
    <row r="322" spans="1:28">
      <c r="E322" s="502" t="s">
        <v>3716</v>
      </c>
      <c r="G322" s="2"/>
      <c r="I322" s="2"/>
      <c r="K322" s="2"/>
      <c r="M322" s="2"/>
      <c r="O322" s="502" t="s">
        <v>3717</v>
      </c>
      <c r="Q322" s="502" t="s">
        <v>1713</v>
      </c>
      <c r="W322" s="2"/>
      <c r="Y322" s="2"/>
      <c r="AA322" s="502" t="s">
        <v>3717</v>
      </c>
      <c r="AB322" s="2"/>
    </row>
    <row r="323" spans="1:28">
      <c r="E323" s="62" t="s">
        <v>2</v>
      </c>
      <c r="K323" s="62" t="s">
        <v>3</v>
      </c>
      <c r="O323" s="62" t="s">
        <v>4</v>
      </c>
      <c r="Q323" s="62" t="s">
        <v>4</v>
      </c>
      <c r="V323" s="32"/>
      <c r="W323" s="32"/>
      <c r="X323" s="32"/>
      <c r="Y323" s="32"/>
      <c r="Z323" s="32"/>
      <c r="AA323" s="6" t="s">
        <v>4</v>
      </c>
      <c r="AB323" s="32"/>
    </row>
    <row r="324" spans="1:28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Q324" s="63" t="s">
        <v>6</v>
      </c>
      <c r="V324" s="3"/>
      <c r="W324" s="434"/>
      <c r="X324" s="434"/>
      <c r="Y324" s="434"/>
      <c r="Z324" s="3"/>
      <c r="AA324" s="10" t="s">
        <v>6</v>
      </c>
      <c r="AB324" s="10" t="s">
        <v>13</v>
      </c>
    </row>
    <row r="325" spans="1:28">
      <c r="D325" s="9"/>
      <c r="E325" s="64"/>
      <c r="G325" s="64"/>
      <c r="I325" s="64"/>
      <c r="K325" s="64"/>
      <c r="M325" s="64"/>
      <c r="O325" s="64"/>
      <c r="Q325" s="64"/>
      <c r="W325" s="64"/>
      <c r="X325" s="29"/>
      <c r="Y325" s="64"/>
      <c r="AA325" s="64"/>
      <c r="AB325" s="64"/>
    </row>
    <row r="326" spans="1:28">
      <c r="D326" s="47" t="s">
        <v>112</v>
      </c>
      <c r="E326" s="2"/>
      <c r="G326" s="2"/>
      <c r="I326" s="2"/>
      <c r="K326" s="2"/>
      <c r="M326" s="2"/>
      <c r="O326" s="2"/>
      <c r="Q326" s="2"/>
      <c r="W326" s="64"/>
      <c r="X326" s="29"/>
      <c r="Y326" s="64"/>
      <c r="AA326" s="2"/>
      <c r="AB326" s="2"/>
    </row>
    <row r="327" spans="1:28">
      <c r="D327" s="23" t="s">
        <v>16</v>
      </c>
      <c r="E327" s="2"/>
      <c r="G327" s="2"/>
      <c r="I327" s="2"/>
      <c r="K327" s="2"/>
      <c r="M327" s="2"/>
      <c r="O327" s="2"/>
      <c r="Q327" s="2"/>
      <c r="W327" s="64"/>
      <c r="X327" s="29"/>
      <c r="Y327" s="64"/>
      <c r="AA327" s="2"/>
      <c r="AB327" s="2"/>
    </row>
    <row r="328" spans="1:28">
      <c r="A328" s="9" t="s">
        <v>17</v>
      </c>
      <c r="B328" s="9" t="s">
        <v>2654</v>
      </c>
      <c r="D328" s="2" t="s">
        <v>18</v>
      </c>
      <c r="E328" s="232">
        <v>1471422.13</v>
      </c>
      <c r="F328" s="232"/>
      <c r="G328" s="232">
        <v>0</v>
      </c>
      <c r="H328" s="232"/>
      <c r="I328" s="232">
        <v>0</v>
      </c>
      <c r="J328" s="232"/>
      <c r="K328" s="232">
        <v>0</v>
      </c>
      <c r="L328" s="232"/>
      <c r="M328" s="232">
        <v>0</v>
      </c>
      <c r="N328" s="232"/>
      <c r="O328" s="232">
        <v>1471422.13</v>
      </c>
      <c r="P328" s="232"/>
      <c r="Q328" s="232">
        <v>1471422.1299999994</v>
      </c>
      <c r="S328" s="232">
        <v>0</v>
      </c>
      <c r="W328" s="29"/>
      <c r="X328" s="29"/>
      <c r="Y328" s="29"/>
      <c r="AA328" s="232">
        <v>1471422.13</v>
      </c>
      <c r="AB328" s="232">
        <v>0</v>
      </c>
    </row>
    <row r="329" spans="1:28">
      <c r="A329" s="9" t="s">
        <v>101</v>
      </c>
      <c r="B329" s="9" t="s">
        <v>2654</v>
      </c>
      <c r="D329" s="2" t="s">
        <v>2176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>
        <v>0</v>
      </c>
      <c r="S329" s="233">
        <v>0</v>
      </c>
      <c r="W329" s="29"/>
      <c r="X329" s="29"/>
      <c r="Y329" s="29"/>
      <c r="AA329" s="233">
        <v>0</v>
      </c>
      <c r="AB329" s="233">
        <v>0</v>
      </c>
    </row>
    <row r="330" spans="1:28">
      <c r="B330" s="9" t="s">
        <v>2654</v>
      </c>
      <c r="E330" s="232">
        <v>1471422.13</v>
      </c>
      <c r="F330" s="232"/>
      <c r="G330" s="232">
        <v>0</v>
      </c>
      <c r="H330" s="232"/>
      <c r="I330" s="232">
        <v>0</v>
      </c>
      <c r="J330" s="232"/>
      <c r="K330" s="232">
        <v>0</v>
      </c>
      <c r="L330" s="232"/>
      <c r="M330" s="232">
        <v>0</v>
      </c>
      <c r="N330" s="232"/>
      <c r="O330" s="232">
        <v>1471422.13</v>
      </c>
      <c r="P330" s="232"/>
      <c r="Q330" s="232">
        <v>1471422.1299999994</v>
      </c>
      <c r="S330" s="232"/>
      <c r="V330" s="232"/>
      <c r="W330" s="232"/>
      <c r="X330" s="232"/>
      <c r="Y330" s="232"/>
      <c r="Z330" s="232"/>
      <c r="AA330" s="232">
        <v>1471422.13</v>
      </c>
      <c r="AB330" s="232">
        <v>0</v>
      </c>
    </row>
    <row r="331" spans="1:28">
      <c r="B331" s="9" t="s">
        <v>2654</v>
      </c>
      <c r="D331" s="47"/>
      <c r="E331" s="2"/>
      <c r="G331" s="2"/>
      <c r="I331" s="2"/>
      <c r="K331" s="2"/>
      <c r="M331" s="2"/>
      <c r="O331" s="2"/>
      <c r="Q331" s="2"/>
      <c r="W331" s="232"/>
      <c r="X331" s="29"/>
      <c r="Y331" s="232"/>
      <c r="AA331" s="2"/>
      <c r="AB331" s="2"/>
    </row>
    <row r="332" spans="1:28">
      <c r="B332" s="9" t="s">
        <v>2654</v>
      </c>
      <c r="D332" s="435" t="s">
        <v>2177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 s="292"/>
      <c r="S332"/>
      <c r="T332" s="292"/>
      <c r="U332" s="292"/>
      <c r="V332" s="232"/>
      <c r="W332" s="232"/>
      <c r="X332" s="232"/>
      <c r="Y332" s="232"/>
      <c r="Z332" s="232"/>
      <c r="AA332"/>
      <c r="AB332"/>
    </row>
    <row r="333" spans="1:28">
      <c r="A333" s="2" t="s">
        <v>17</v>
      </c>
      <c r="B333" s="9" t="s">
        <v>2654</v>
      </c>
      <c r="D333" s="198" t="s">
        <v>62</v>
      </c>
      <c r="E333" s="233">
        <v>309541</v>
      </c>
      <c r="G333" s="233">
        <v>0</v>
      </c>
      <c r="I333" s="233">
        <v>0</v>
      </c>
      <c r="K333" s="233">
        <v>0</v>
      </c>
      <c r="M333" s="233">
        <v>0</v>
      </c>
      <c r="O333" s="233">
        <v>309541</v>
      </c>
      <c r="Q333" s="233">
        <v>309541.00000000006</v>
      </c>
      <c r="R333" s="292"/>
      <c r="S333" s="233">
        <v>0</v>
      </c>
      <c r="T333" s="292"/>
      <c r="U333" s="292"/>
      <c r="W333" s="29"/>
      <c r="X333" s="29"/>
      <c r="Y333" s="29"/>
      <c r="AA333" s="233">
        <v>309541</v>
      </c>
      <c r="AB333" s="233">
        <v>0</v>
      </c>
    </row>
    <row r="334" spans="1:28">
      <c r="B334" s="9" t="s">
        <v>2654</v>
      </c>
      <c r="D334" s="435"/>
      <c r="E334" s="232">
        <v>309541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309541</v>
      </c>
      <c r="P334" s="232"/>
      <c r="Q334" s="232">
        <v>309541.00000000006</v>
      </c>
      <c r="R334" s="292"/>
      <c r="S334" s="232"/>
      <c r="T334" s="292"/>
      <c r="U334" s="292"/>
      <c r="V334"/>
      <c r="W334" s="436"/>
      <c r="X334" s="436"/>
      <c r="Y334" s="436"/>
      <c r="Z334"/>
      <c r="AA334" s="232">
        <v>309541</v>
      </c>
      <c r="AB334" s="232">
        <v>0</v>
      </c>
    </row>
    <row r="335" spans="1:28">
      <c r="B335" s="9" t="s">
        <v>2654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 s="292"/>
      <c r="S335"/>
      <c r="T335" s="292"/>
      <c r="U335" s="292"/>
      <c r="W335" s="232"/>
      <c r="X335" s="29"/>
      <c r="Y335" s="232"/>
      <c r="AA335"/>
      <c r="AB335"/>
    </row>
    <row r="336" spans="1:28">
      <c r="B336" s="9" t="s">
        <v>2654</v>
      </c>
      <c r="D336" s="47"/>
      <c r="E336" s="2"/>
      <c r="G336" s="2"/>
      <c r="I336" s="2"/>
      <c r="K336" s="2"/>
      <c r="M336" s="2"/>
      <c r="O336" s="2"/>
      <c r="Q336" s="2"/>
      <c r="V336" s="232"/>
      <c r="W336" s="232"/>
      <c r="X336" s="232"/>
      <c r="Y336" s="232"/>
      <c r="Z336" s="232"/>
      <c r="AA336" s="2"/>
      <c r="AB336" s="2"/>
    </row>
    <row r="337" spans="1:28">
      <c r="B337" s="9" t="s">
        <v>2654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S337" s="232"/>
      <c r="V337"/>
      <c r="W337" s="436"/>
      <c r="X337" s="436"/>
      <c r="Y337" s="436"/>
      <c r="Z337"/>
      <c r="AA337"/>
      <c r="AB337"/>
    </row>
    <row r="338" spans="1:28">
      <c r="B338" s="9" t="s">
        <v>2654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>
        <v>0</v>
      </c>
      <c r="N338" s="232"/>
      <c r="O338" s="232">
        <v>0</v>
      </c>
      <c r="P338" s="232"/>
      <c r="Q338" s="232">
        <v>0</v>
      </c>
      <c r="S338" s="232">
        <v>0</v>
      </c>
      <c r="W338" s="29"/>
      <c r="X338" s="29"/>
      <c r="Y338" s="29"/>
      <c r="AA338" s="2"/>
      <c r="AB338" s="2"/>
    </row>
    <row r="339" spans="1:28">
      <c r="B339" s="9" t="s">
        <v>2654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>
        <v>0</v>
      </c>
      <c r="N339" s="232"/>
      <c r="O339" s="232">
        <v>0</v>
      </c>
      <c r="P339" s="232"/>
      <c r="Q339" s="232">
        <v>0</v>
      </c>
      <c r="S339" s="232">
        <v>0</v>
      </c>
      <c r="V339" s="232"/>
      <c r="W339" s="232"/>
      <c r="X339" s="232"/>
      <c r="Y339" s="232"/>
      <c r="Z339" s="232"/>
      <c r="AA339" s="232"/>
      <c r="AB339" s="232"/>
    </row>
    <row r="340" spans="1:28">
      <c r="B340" s="9" t="s">
        <v>2654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>
        <v>0</v>
      </c>
      <c r="N340" s="232"/>
      <c r="O340" s="232">
        <v>0</v>
      </c>
      <c r="P340" s="232"/>
      <c r="Q340" s="232">
        <v>0</v>
      </c>
      <c r="S340" s="232">
        <v>0</v>
      </c>
      <c r="V340" s="232"/>
      <c r="W340" s="232"/>
      <c r="X340" s="232"/>
      <c r="Y340" s="232"/>
      <c r="Z340" s="232"/>
      <c r="AA340" s="232"/>
      <c r="AB340" s="232"/>
    </row>
    <row r="341" spans="1:28">
      <c r="B341" s="9" t="s">
        <v>2654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>
        <v>0</v>
      </c>
      <c r="N341" s="232"/>
      <c r="O341" s="232">
        <v>0</v>
      </c>
      <c r="P341" s="232"/>
      <c r="Q341" s="232">
        <v>0</v>
      </c>
      <c r="S341" s="232">
        <v>0</v>
      </c>
      <c r="V341" s="232"/>
      <c r="W341" s="232"/>
      <c r="X341" s="232"/>
      <c r="Y341" s="232"/>
      <c r="Z341" s="232"/>
      <c r="AA341" s="232"/>
      <c r="AB341" s="232"/>
    </row>
    <row r="342" spans="1:28">
      <c r="B342" s="9" t="s">
        <v>2654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>
        <v>0</v>
      </c>
      <c r="N342" s="232"/>
      <c r="O342" s="232">
        <v>0</v>
      </c>
      <c r="P342" s="232"/>
      <c r="Q342" s="232">
        <v>0</v>
      </c>
      <c r="S342" s="232">
        <v>0</v>
      </c>
      <c r="V342" s="232"/>
      <c r="W342" s="232"/>
      <c r="X342" s="232"/>
      <c r="Y342" s="232"/>
      <c r="Z342" s="232"/>
      <c r="AA342" s="232"/>
      <c r="AB342" s="232"/>
    </row>
    <row r="343" spans="1:28">
      <c r="B343" s="9" t="s">
        <v>2654</v>
      </c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>
        <v>0</v>
      </c>
      <c r="N343" s="232"/>
      <c r="O343" s="233">
        <v>0</v>
      </c>
      <c r="P343" s="232"/>
      <c r="Q343" s="233">
        <v>0</v>
      </c>
      <c r="S343" s="233">
        <v>0</v>
      </c>
      <c r="V343" s="232"/>
      <c r="W343" s="232"/>
      <c r="X343" s="232"/>
      <c r="Y343" s="232"/>
      <c r="Z343" s="232"/>
      <c r="AA343" s="232"/>
      <c r="AB343" s="232"/>
    </row>
    <row r="344" spans="1:28" ht="15">
      <c r="A344" s="48"/>
      <c r="B344" s="9" t="s">
        <v>2654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P344" s="232"/>
      <c r="Q344" s="232">
        <v>0</v>
      </c>
      <c r="S344" s="232"/>
      <c r="V344" s="232"/>
      <c r="W344" s="232"/>
      <c r="X344" s="232"/>
      <c r="Y344" s="232"/>
      <c r="Z344" s="232"/>
      <c r="AA344" s="232"/>
      <c r="AB344" s="232"/>
    </row>
    <row r="345" spans="1:28" ht="15">
      <c r="A345" s="48"/>
      <c r="B345" s="9" t="s">
        <v>2654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P345" s="66"/>
      <c r="Q345" s="232"/>
      <c r="S345" s="232"/>
      <c r="V345" s="232"/>
      <c r="W345" s="232"/>
      <c r="X345" s="232"/>
      <c r="Y345" s="232"/>
      <c r="Z345" s="232"/>
      <c r="AA345" s="233"/>
      <c r="AB345" s="233"/>
    </row>
    <row r="346" spans="1:28">
      <c r="A346" s="49"/>
      <c r="B346" s="9" t="s">
        <v>2654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P346" s="66"/>
      <c r="Q346" s="232"/>
      <c r="S346" s="232"/>
      <c r="V346" s="232"/>
      <c r="W346" s="232"/>
      <c r="X346" s="232"/>
      <c r="Y346" s="232"/>
      <c r="Z346" s="232"/>
      <c r="AA346" s="232"/>
      <c r="AB346" s="232"/>
    </row>
    <row r="347" spans="1:28">
      <c r="A347" s="2" t="s">
        <v>17</v>
      </c>
      <c r="B347" s="9" t="s">
        <v>2654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>
        <v>0</v>
      </c>
      <c r="O347" s="233">
        <v>0</v>
      </c>
      <c r="Q347" s="233">
        <v>0</v>
      </c>
      <c r="R347" s="292"/>
      <c r="S347" s="233">
        <v>0</v>
      </c>
      <c r="T347" s="292"/>
      <c r="U347" s="292"/>
      <c r="W347" s="29"/>
      <c r="X347" s="29"/>
      <c r="Y347" s="29"/>
      <c r="AA347" s="233">
        <v>0</v>
      </c>
      <c r="AB347" s="233">
        <v>0</v>
      </c>
    </row>
    <row r="348" spans="1:28" s="48" customFormat="1" ht="15">
      <c r="A348" s="49"/>
      <c r="B348" s="9" t="s">
        <v>2654</v>
      </c>
      <c r="C348" s="49"/>
      <c r="D348" s="2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P348" s="66"/>
      <c r="Q348" s="232">
        <v>0</v>
      </c>
      <c r="R348" s="2"/>
      <c r="S348" s="232"/>
      <c r="T348" s="2"/>
      <c r="U348" s="2"/>
      <c r="V348" s="66"/>
      <c r="W348" s="232"/>
      <c r="X348" s="232"/>
      <c r="Y348" s="232"/>
      <c r="Z348" s="66"/>
      <c r="AA348" s="232">
        <v>0</v>
      </c>
      <c r="AB348" s="232">
        <v>0</v>
      </c>
    </row>
    <row r="349" spans="1:28" s="49" customFormat="1">
      <c r="B349" s="9" t="s">
        <v>2654</v>
      </c>
      <c r="D349" s="2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2"/>
      <c r="S349" s="66"/>
      <c r="T349" s="2"/>
      <c r="U349" s="2"/>
      <c r="V349" s="66"/>
      <c r="W349" s="232"/>
      <c r="X349" s="232"/>
      <c r="Y349" s="232"/>
      <c r="Z349" s="66"/>
      <c r="AA349" s="66"/>
      <c r="AB349" s="66"/>
    </row>
    <row r="350" spans="1:28" s="49" customFormat="1" ht="13.5" thickBot="1">
      <c r="B350" s="9" t="s">
        <v>2654</v>
      </c>
      <c r="D350" s="23" t="s">
        <v>115</v>
      </c>
      <c r="E350" s="234">
        <v>1780963.13</v>
      </c>
      <c r="F350" s="66"/>
      <c r="G350" s="234"/>
      <c r="H350" s="66"/>
      <c r="I350" s="234"/>
      <c r="J350" s="66"/>
      <c r="K350" s="234"/>
      <c r="L350" s="66"/>
      <c r="M350" s="234"/>
      <c r="N350" s="66"/>
      <c r="O350" s="234">
        <v>1780963.13</v>
      </c>
      <c r="P350" s="66"/>
      <c r="Q350" s="234">
        <v>1780963.1299999994</v>
      </c>
      <c r="R350" s="2"/>
      <c r="S350" s="234"/>
      <c r="T350" s="2"/>
      <c r="U350" s="2"/>
      <c r="V350" s="2"/>
      <c r="W350" s="232"/>
      <c r="X350" s="29"/>
      <c r="Y350" s="232"/>
      <c r="Z350" s="2"/>
      <c r="AA350" s="234">
        <v>1780963.13</v>
      </c>
      <c r="AB350" s="234">
        <v>0</v>
      </c>
    </row>
    <row r="351" spans="1:28" s="49" customFormat="1" ht="13.5" thickTop="1"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66"/>
      <c r="R351" s="2"/>
      <c r="S351" s="66"/>
      <c r="T351" s="2"/>
      <c r="U351" s="2"/>
      <c r="V351" s="2"/>
      <c r="W351" s="232"/>
      <c r="X351" s="29"/>
      <c r="Y351" s="232"/>
      <c r="Z351" s="2"/>
      <c r="AA351" s="66"/>
      <c r="AB351" s="66"/>
    </row>
    <row r="352" spans="1:28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66"/>
      <c r="R352" s="2"/>
      <c r="S352" s="2"/>
      <c r="T352" s="2"/>
      <c r="U352" s="2"/>
      <c r="V352" s="2"/>
      <c r="W352" s="232"/>
      <c r="X352" s="29"/>
      <c r="Y352" s="232"/>
      <c r="Z352" s="2"/>
      <c r="AA352" s="66"/>
      <c r="AB352" s="66"/>
    </row>
    <row r="353" spans="1:28" s="53" customFormat="1" ht="15"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48"/>
      <c r="S353" s="48"/>
      <c r="T353" s="48"/>
      <c r="U353" s="48"/>
      <c r="V353" s="2"/>
      <c r="W353" s="232"/>
      <c r="X353" s="29"/>
      <c r="Y353" s="232"/>
      <c r="Z353" s="2"/>
      <c r="AA353" s="66"/>
      <c r="AB353" s="66"/>
    </row>
    <row r="354" spans="1:28" s="53" customFormat="1" ht="15"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48"/>
      <c r="S354" s="48"/>
      <c r="T354" s="48"/>
      <c r="U354" s="48"/>
      <c r="V354" s="48"/>
      <c r="W354" s="437"/>
      <c r="X354" s="437"/>
      <c r="Y354" s="437"/>
      <c r="Z354" s="48"/>
      <c r="AA354" s="48"/>
      <c r="AB354" s="48"/>
    </row>
    <row r="355" spans="1:28" s="53" customFormat="1" ht="15">
      <c r="A355" s="49"/>
      <c r="B355" s="49"/>
      <c r="C355" s="49"/>
      <c r="D355" s="493" t="s">
        <v>3715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49"/>
      <c r="S355" s="49"/>
      <c r="T355" s="49"/>
      <c r="U355" s="49"/>
      <c r="V355" s="48"/>
      <c r="W355" s="437"/>
      <c r="X355" s="437"/>
      <c r="Y355" s="437"/>
      <c r="Z355" s="48"/>
      <c r="AA355" s="48"/>
      <c r="AB355" s="48"/>
    </row>
    <row r="356" spans="1:28" s="49" customFormat="1"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W356" s="59"/>
      <c r="X356" s="59"/>
      <c r="Y356" s="59"/>
    </row>
    <row r="357" spans="1:28">
      <c r="A357" s="49"/>
      <c r="B357" s="49"/>
      <c r="D357" s="49"/>
      <c r="E357" s="502" t="s">
        <v>3716</v>
      </c>
      <c r="G357" s="2"/>
      <c r="I357" s="2"/>
      <c r="K357" s="2"/>
      <c r="M357" s="2"/>
      <c r="O357" s="502"/>
      <c r="Q357" s="502"/>
      <c r="W357" s="2"/>
      <c r="Y357" s="2"/>
      <c r="AA357" s="502" t="s">
        <v>1712</v>
      </c>
      <c r="AB357" s="2"/>
    </row>
    <row r="358" spans="1:28" s="49" customFormat="1">
      <c r="E358" s="51" t="s">
        <v>2</v>
      </c>
      <c r="G358" s="52"/>
      <c r="I358" s="52"/>
      <c r="K358" s="51" t="s">
        <v>3</v>
      </c>
      <c r="M358" s="52"/>
      <c r="O358" s="51" t="s">
        <v>4</v>
      </c>
      <c r="Q358" s="51" t="s">
        <v>4</v>
      </c>
      <c r="V358" s="3"/>
      <c r="W358" s="434"/>
      <c r="X358" s="434"/>
      <c r="Y358" s="434"/>
      <c r="Z358" s="3"/>
      <c r="AA358" s="6" t="s">
        <v>3717</v>
      </c>
      <c r="AB358" s="62"/>
    </row>
    <row r="359" spans="1:28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Q359" s="54" t="s">
        <v>6</v>
      </c>
      <c r="R359" s="53"/>
      <c r="S359" s="53"/>
      <c r="T359" s="53"/>
      <c r="U359" s="53"/>
      <c r="W359" s="55"/>
      <c r="X359" s="59"/>
      <c r="Y359" s="55"/>
      <c r="AA359" s="10" t="s">
        <v>4</v>
      </c>
      <c r="AB359" s="10"/>
    </row>
    <row r="360" spans="1:28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Q360" s="55"/>
      <c r="R360" s="53"/>
      <c r="S360" s="53"/>
      <c r="T360" s="53"/>
      <c r="U360" s="53"/>
      <c r="W360" s="55"/>
      <c r="X360" s="59"/>
      <c r="Y360" s="55"/>
      <c r="AA360" s="55" t="s">
        <v>6</v>
      </c>
      <c r="AB360" s="55" t="s">
        <v>13</v>
      </c>
    </row>
    <row r="361" spans="1:28" s="59" customFormat="1">
      <c r="A361" s="49"/>
      <c r="B361" s="49"/>
      <c r="C361" s="49"/>
      <c r="D361" s="56" t="s">
        <v>117</v>
      </c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53"/>
      <c r="S361" s="53"/>
      <c r="T361" s="53"/>
      <c r="U361" s="53"/>
      <c r="V361" s="49"/>
      <c r="W361" s="55"/>
      <c r="Y361" s="55"/>
      <c r="Z361" s="49"/>
      <c r="AA361" s="49"/>
      <c r="AB361" s="49"/>
    </row>
    <row r="362" spans="1:28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40"/>
      <c r="S362" s="37"/>
      <c r="W362" s="59"/>
      <c r="X362" s="59"/>
      <c r="Y362" s="59"/>
      <c r="AA362" s="58"/>
      <c r="AB362" s="58"/>
    </row>
    <row r="363" spans="1:28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58"/>
      <c r="Q363" s="58">
        <v>0</v>
      </c>
      <c r="R363" s="40"/>
      <c r="S363" s="37"/>
      <c r="V363" s="58"/>
      <c r="W363" s="58"/>
      <c r="X363" s="58"/>
      <c r="Y363" s="58"/>
      <c r="Z363" s="58"/>
      <c r="AA363" s="58"/>
      <c r="AB363" s="58"/>
    </row>
    <row r="364" spans="1:28" s="49" customFormat="1"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58"/>
      <c r="Q364" s="58">
        <v>0</v>
      </c>
      <c r="R364" s="40"/>
      <c r="S364" s="37"/>
      <c r="V364" s="58"/>
      <c r="W364" s="58"/>
      <c r="X364" s="58"/>
      <c r="Y364" s="58"/>
      <c r="Z364" s="58"/>
      <c r="AA364" s="58"/>
      <c r="AB364" s="58">
        <v>0</v>
      </c>
    </row>
    <row r="365" spans="1:28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58"/>
      <c r="Q365" s="58">
        <v>0</v>
      </c>
      <c r="R365" s="40"/>
      <c r="S365" s="37"/>
      <c r="V365" s="58"/>
      <c r="W365" s="58"/>
      <c r="X365" s="58"/>
      <c r="Y365" s="58"/>
      <c r="Z365" s="58"/>
      <c r="AA365" s="58"/>
      <c r="AB365" s="58">
        <v>0</v>
      </c>
    </row>
    <row r="366" spans="1:28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58"/>
      <c r="Q366" s="58">
        <v>0</v>
      </c>
      <c r="R366" s="40"/>
      <c r="S366" s="37"/>
      <c r="V366" s="58"/>
      <c r="W366" s="58"/>
      <c r="X366" s="58"/>
      <c r="Y366" s="58"/>
      <c r="Z366" s="58"/>
      <c r="AA366" s="58"/>
      <c r="AB366" s="58">
        <v>0</v>
      </c>
    </row>
    <row r="367" spans="1:28"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58"/>
      <c r="Q367" s="58">
        <v>0</v>
      </c>
      <c r="R367" s="40"/>
      <c r="S367" s="40"/>
      <c r="T367" s="59"/>
      <c r="U367" s="59"/>
      <c r="V367" s="58"/>
      <c r="W367" s="58"/>
      <c r="X367" s="58"/>
      <c r="Y367" s="58"/>
      <c r="Z367" s="58"/>
      <c r="AA367" s="58"/>
      <c r="AB367" s="58">
        <v>0</v>
      </c>
    </row>
    <row r="368" spans="1:28"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58"/>
      <c r="Q368" s="60">
        <v>0</v>
      </c>
      <c r="R368" s="40"/>
      <c r="S368" s="37"/>
      <c r="T368" s="49"/>
      <c r="U368" s="49"/>
      <c r="V368" s="58"/>
      <c r="W368" s="58"/>
      <c r="X368" s="58"/>
      <c r="Y368" s="58"/>
      <c r="Z368" s="58"/>
      <c r="AA368" s="60"/>
      <c r="AB368" s="60">
        <v>0</v>
      </c>
    </row>
    <row r="369" spans="4:28">
      <c r="D369" s="49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58"/>
      <c r="Q369" s="58">
        <v>0</v>
      </c>
      <c r="R369" s="40"/>
      <c r="S369" s="37"/>
      <c r="T369" s="49"/>
      <c r="U369" s="49"/>
      <c r="V369" s="58"/>
      <c r="W369" s="58"/>
      <c r="X369" s="58"/>
      <c r="Y369" s="58"/>
      <c r="Z369" s="58"/>
      <c r="AA369" s="58"/>
      <c r="AB369" s="58">
        <v>0</v>
      </c>
    </row>
    <row r="370" spans="4:28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52"/>
      <c r="Q370" s="58"/>
      <c r="R370" s="37"/>
      <c r="S370" s="37"/>
      <c r="T370" s="49"/>
      <c r="U370" s="49"/>
      <c r="V370" s="58"/>
      <c r="W370" s="58"/>
      <c r="X370" s="58"/>
      <c r="Y370" s="58"/>
      <c r="Z370" s="58"/>
      <c r="AA370" s="58"/>
      <c r="AB370" s="58"/>
    </row>
    <row r="371" spans="4:28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37"/>
      <c r="S371" s="37"/>
      <c r="T371" s="49"/>
      <c r="U371" s="49"/>
      <c r="V371" s="52"/>
      <c r="W371" s="58"/>
      <c r="X371" s="58"/>
      <c r="Y371" s="58"/>
      <c r="Z371" s="52"/>
      <c r="AA371" s="52"/>
      <c r="AB371" s="52"/>
    </row>
    <row r="372" spans="4:28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52"/>
      <c r="Q372" s="61">
        <v>0</v>
      </c>
      <c r="R372" s="37"/>
      <c r="S372" s="37"/>
      <c r="T372" s="49"/>
      <c r="U372" s="49"/>
      <c r="V372" s="52"/>
      <c r="W372" s="58"/>
      <c r="X372" s="58"/>
      <c r="Y372" s="58"/>
      <c r="Z372" s="52"/>
      <c r="AA372" s="61"/>
      <c r="AB372" s="61"/>
    </row>
    <row r="373" spans="4:28" ht="13.5" thickTop="1">
      <c r="V373" s="52"/>
      <c r="W373" s="58"/>
      <c r="X373" s="58"/>
      <c r="Y373" s="58"/>
      <c r="Z373" s="52"/>
    </row>
    <row r="374" spans="4:28">
      <c r="W374" s="232"/>
      <c r="X374" s="29"/>
      <c r="Y374" s="232"/>
    </row>
  </sheetData>
  <pageMargins left="0.75" right="0.75" top="1" bottom="1" header="0.5" footer="0.5"/>
  <pageSetup scale="44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pageSetUpPr fitToPage="1"/>
  </sheetPr>
  <dimension ref="A1:X704"/>
  <sheetViews>
    <sheetView zoomScale="85" zoomScaleNormal="85" workbookViewId="0">
      <pane xSplit="6" ySplit="3" topLeftCell="G4" activePane="bottomRight" state="frozen"/>
      <selection activeCell="A52" sqref="A52"/>
      <selection pane="topRight" activeCell="A52" sqref="A52"/>
      <selection pane="bottomLeft" activeCell="A52" sqref="A52"/>
      <selection pane="bottomRight" activeCell="G4" sqref="G4"/>
    </sheetView>
  </sheetViews>
  <sheetFormatPr defaultColWidth="7.75" defaultRowHeight="15"/>
  <cols>
    <col min="1" max="1" width="5.25" style="426" customWidth="1"/>
    <col min="2" max="3" width="4.25" style="426" customWidth="1"/>
    <col min="4" max="4" width="6.5" style="426" customWidth="1"/>
    <col min="5" max="5" width="5.375" style="426" customWidth="1"/>
    <col min="6" max="6" width="48.5" style="799" bestFit="1" customWidth="1"/>
    <col min="7" max="7" width="11.625" style="425" customWidth="1"/>
    <col min="8" max="20" width="9.375" style="426" customWidth="1"/>
    <col min="21" max="21" width="12.25" style="426" customWidth="1"/>
    <col min="22" max="22" width="10.25" style="426" customWidth="1"/>
    <col min="23" max="24" width="10.375" style="235" bestFit="1" customWidth="1"/>
    <col min="25" max="16384" width="7.75" style="235"/>
  </cols>
  <sheetData>
    <row r="1" spans="1:22" s="399" customFormat="1" ht="18.75">
      <c r="A1" s="429"/>
      <c r="B1" s="430"/>
      <c r="C1" s="430"/>
      <c r="D1" s="430"/>
      <c r="E1" s="430"/>
      <c r="F1" s="796"/>
      <c r="G1" s="797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</row>
    <row r="2" spans="1:22" s="399" customFormat="1" ht="30">
      <c r="A2" s="430" t="s">
        <v>1714</v>
      </c>
      <c r="B2" s="430" t="s">
        <v>1715</v>
      </c>
      <c r="C2" s="430" t="s">
        <v>2666</v>
      </c>
      <c r="D2" s="430" t="s">
        <v>2667</v>
      </c>
      <c r="E2" s="430" t="s">
        <v>1716</v>
      </c>
      <c r="F2" s="741" t="s">
        <v>2417</v>
      </c>
      <c r="G2" s="798" t="s">
        <v>2668</v>
      </c>
      <c r="H2" s="430" t="s">
        <v>2721</v>
      </c>
      <c r="I2" s="430" t="s">
        <v>2722</v>
      </c>
      <c r="J2" s="430" t="s">
        <v>2723</v>
      </c>
      <c r="K2" s="430" t="s">
        <v>2724</v>
      </c>
      <c r="L2" s="430" t="s">
        <v>2725</v>
      </c>
      <c r="M2" s="430" t="s">
        <v>2726</v>
      </c>
      <c r="N2" s="430" t="s">
        <v>2727</v>
      </c>
      <c r="O2" s="430" t="s">
        <v>2728</v>
      </c>
      <c r="P2" s="430" t="s">
        <v>2729</v>
      </c>
      <c r="Q2" s="430" t="s">
        <v>2730</v>
      </c>
      <c r="R2" s="430" t="s">
        <v>2731</v>
      </c>
      <c r="S2" s="430" t="s">
        <v>2732</v>
      </c>
      <c r="T2" s="430" t="s">
        <v>2733</v>
      </c>
      <c r="U2" s="430" t="s">
        <v>2734</v>
      </c>
      <c r="V2" s="430" t="s">
        <v>2201</v>
      </c>
    </row>
    <row r="3" spans="1:22" s="399" customFormat="1">
      <c r="A3" s="430"/>
      <c r="B3" s="430"/>
      <c r="C3" s="430"/>
      <c r="D3" s="430"/>
      <c r="E3" s="430"/>
      <c r="F3" s="741" t="s">
        <v>2418</v>
      </c>
      <c r="G3" s="797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</row>
    <row r="5" spans="1:22">
      <c r="F5" s="800" t="s">
        <v>1717</v>
      </c>
      <c r="G5" s="801"/>
    </row>
    <row r="6" spans="1:22">
      <c r="A6" s="426" t="str">
        <f t="shared" ref="A6:A78" si="0">MID($F6,4,2)</f>
        <v>KU</v>
      </c>
      <c r="B6" s="426" t="str">
        <f t="shared" ref="B6:B74" si="1">IF(MID($F6,12,2)="- ","KY",IF(MID($F6,12,2)="SY","KY",MID($F6,12,2)))</f>
        <v>KY</v>
      </c>
      <c r="C6" s="426" t="str">
        <f>IF(ISTEXT(MID($F6,SEARCH("FUTURE USE",$F6),3)),"F",IF(MID($F6,7,1)="1","E",IF(MID($F6,7,1)="2","G",IF(MID($F6,7,1)="3","C",""))))</f>
        <v>E</v>
      </c>
      <c r="D6" s="426" t="s">
        <v>2655</v>
      </c>
      <c r="E6" s="426" t="str">
        <f t="shared" ref="E6:E78" si="2">MID($F6,8,3)</f>
        <v>301</v>
      </c>
      <c r="F6" s="741" t="s">
        <v>1718</v>
      </c>
      <c r="G6" s="425" t="str">
        <f t="shared" ref="G6:G28" si="3">IF(ISTEXT(MID($F6,SEARCH("FUTURE USE",$F6),3)),"FUTURE USE",IF(ISTEXT(MID($F6,SEARCH("ECR",$F6),3)),"ECR",IF(ISTEXT(MID($F6,SEARCH("ARO",$F6),3)),"ARO",IF(ISTEXT(MID($F6,SEARCH("DSM",$F6),3)),"DSM",""))))</f>
        <v/>
      </c>
      <c r="H6" s="426">
        <v>39.116889999999998</v>
      </c>
      <c r="I6" s="426">
        <v>39.116889999999998</v>
      </c>
      <c r="J6" s="426">
        <v>39.116889999999998</v>
      </c>
      <c r="K6" s="426">
        <v>39.116889999999998</v>
      </c>
      <c r="L6" s="426">
        <v>39.116889999999998</v>
      </c>
      <c r="M6" s="426">
        <v>39.116889999999998</v>
      </c>
      <c r="N6" s="426">
        <v>39.116889999999998</v>
      </c>
      <c r="O6" s="426">
        <v>39.116889999999998</v>
      </c>
      <c r="P6" s="426">
        <v>39.116889999999998</v>
      </c>
      <c r="Q6" s="426">
        <v>39.116889999999998</v>
      </c>
      <c r="R6" s="426">
        <v>39.116889999999998</v>
      </c>
      <c r="S6" s="426">
        <v>39.116889999999998</v>
      </c>
      <c r="T6" s="426">
        <v>39.116889999999998</v>
      </c>
      <c r="V6" s="426">
        <f>SUM(H6:T6)/13</f>
        <v>39.116890000000005</v>
      </c>
    </row>
    <row r="7" spans="1:22">
      <c r="A7" s="426" t="str">
        <f t="shared" si="0"/>
        <v>KU</v>
      </c>
      <c r="B7" s="426" t="str">
        <f t="shared" si="1"/>
        <v>VA</v>
      </c>
      <c r="C7" s="426" t="str">
        <f t="shared" ref="C7:C79" si="4">IF(ISTEXT(MID($F7,SEARCH("FUTURE USE",$F7),3)),"F",IF(MID($F7,7,1)="1","E",IF(MID($F7,7,1)="2","G",IF(MID($F7,7,1)="3","C",""))))</f>
        <v>E</v>
      </c>
      <c r="D7" s="426" t="s">
        <v>2655</v>
      </c>
      <c r="E7" s="426" t="str">
        <f t="shared" si="2"/>
        <v>301</v>
      </c>
      <c r="F7" s="741" t="s">
        <v>1719</v>
      </c>
      <c r="G7" s="425" t="str">
        <f t="shared" si="3"/>
        <v/>
      </c>
      <c r="H7" s="426">
        <v>5.3386899999999997</v>
      </c>
      <c r="I7" s="426">
        <v>5.3386899999999997</v>
      </c>
      <c r="J7" s="426">
        <v>5.3386899999999997</v>
      </c>
      <c r="K7" s="426">
        <v>5.3386899999999997</v>
      </c>
      <c r="L7" s="426">
        <v>5.3386899999999997</v>
      </c>
      <c r="M7" s="426">
        <v>5.3386899999999997</v>
      </c>
      <c r="N7" s="426">
        <v>5.3386899999999997</v>
      </c>
      <c r="O7" s="426">
        <v>5.3386899999999997</v>
      </c>
      <c r="P7" s="426">
        <v>5.3386899999999997</v>
      </c>
      <c r="Q7" s="426">
        <v>5.3386899999999997</v>
      </c>
      <c r="R7" s="426">
        <v>5.3386899999999997</v>
      </c>
      <c r="S7" s="426">
        <v>5.3386899999999997</v>
      </c>
      <c r="T7" s="426">
        <v>5.3386899999999997</v>
      </c>
      <c r="V7" s="426">
        <f t="shared" ref="V7:V79" si="5">SUM(H7:T7)/13</f>
        <v>5.3386899999999997</v>
      </c>
    </row>
    <row r="8" spans="1:22">
      <c r="A8" s="426" t="str">
        <f t="shared" si="0"/>
        <v>KU</v>
      </c>
      <c r="B8" s="426" t="str">
        <f t="shared" si="1"/>
        <v>KY</v>
      </c>
      <c r="C8" s="426" t="str">
        <f t="shared" si="4"/>
        <v>E</v>
      </c>
      <c r="D8" s="426" t="s">
        <v>2655</v>
      </c>
      <c r="E8" s="426" t="str">
        <f t="shared" si="2"/>
        <v>302</v>
      </c>
      <c r="F8" s="741" t="s">
        <v>1720</v>
      </c>
      <c r="G8" s="425" t="str">
        <f t="shared" si="3"/>
        <v/>
      </c>
      <c r="H8" s="426">
        <v>144.36866000000001</v>
      </c>
      <c r="I8" s="426">
        <v>144.36866000000001</v>
      </c>
      <c r="J8" s="426">
        <v>144.36866000000001</v>
      </c>
      <c r="K8" s="426">
        <v>144.36866000000001</v>
      </c>
      <c r="L8" s="426">
        <v>144.36866000000001</v>
      </c>
      <c r="M8" s="426">
        <v>144.36866000000001</v>
      </c>
      <c r="N8" s="426">
        <v>144.36866000000001</v>
      </c>
      <c r="O8" s="426">
        <v>144.36866000000001</v>
      </c>
      <c r="P8" s="426">
        <v>144.36866000000001</v>
      </c>
      <c r="Q8" s="426">
        <v>144.36866000000001</v>
      </c>
      <c r="R8" s="426">
        <v>144.36866000000001</v>
      </c>
      <c r="S8" s="426">
        <v>144.36866000000001</v>
      </c>
      <c r="T8" s="426">
        <v>144.36866000000001</v>
      </c>
      <c r="V8" s="426">
        <f t="shared" si="5"/>
        <v>144.36866000000003</v>
      </c>
    </row>
    <row r="9" spans="1:22">
      <c r="A9" s="426" t="str">
        <f t="shared" si="0"/>
        <v>KU</v>
      </c>
      <c r="B9" s="426" t="str">
        <f t="shared" si="1"/>
        <v>KY</v>
      </c>
      <c r="C9" s="426" t="str">
        <f t="shared" si="4"/>
        <v>E</v>
      </c>
      <c r="D9" s="426" t="s">
        <v>2655</v>
      </c>
      <c r="E9" s="426" t="str">
        <f t="shared" si="2"/>
        <v>303</v>
      </c>
      <c r="F9" s="741" t="s">
        <v>2710</v>
      </c>
      <c r="G9" s="425" t="str">
        <f t="shared" si="3"/>
        <v/>
      </c>
      <c r="H9" s="426">
        <v>1806.6129800000001</v>
      </c>
      <c r="I9" s="426">
        <v>1806.6129800000001</v>
      </c>
      <c r="J9" s="426">
        <v>1806.6129800000001</v>
      </c>
      <c r="K9" s="426">
        <v>1806.6129800000001</v>
      </c>
      <c r="L9" s="426">
        <v>1806.6129800000001</v>
      </c>
      <c r="M9" s="426">
        <v>1806.6129800000001</v>
      </c>
      <c r="N9" s="426">
        <v>1806.6129800000001</v>
      </c>
      <c r="O9" s="426">
        <v>1806.6129800000001</v>
      </c>
      <c r="P9" s="426">
        <v>1806.6129800000001</v>
      </c>
      <c r="Q9" s="426">
        <v>1806.6129800000001</v>
      </c>
      <c r="R9" s="426">
        <v>1806.6129800000001</v>
      </c>
      <c r="S9" s="426">
        <v>1806.6129800000001</v>
      </c>
      <c r="T9" s="426">
        <v>1806.6129800000001</v>
      </c>
      <c r="V9" s="426">
        <f t="shared" si="5"/>
        <v>1806.6129800000006</v>
      </c>
    </row>
    <row r="10" spans="1:22">
      <c r="A10" s="426" t="str">
        <f t="shared" si="0"/>
        <v>KU</v>
      </c>
      <c r="B10" s="426" t="str">
        <f t="shared" si="1"/>
        <v>KY</v>
      </c>
      <c r="C10" s="426" t="str">
        <f t="shared" si="4"/>
        <v>E</v>
      </c>
      <c r="D10" s="426" t="s">
        <v>2655</v>
      </c>
      <c r="E10" s="426" t="str">
        <f t="shared" si="2"/>
        <v>303</v>
      </c>
      <c r="F10" s="741" t="s">
        <v>1721</v>
      </c>
      <c r="G10" s="425" t="str">
        <f t="shared" si="3"/>
        <v/>
      </c>
      <c r="H10" s="426">
        <v>93558.145259999903</v>
      </c>
      <c r="I10" s="426">
        <v>93300.478029999897</v>
      </c>
      <c r="J10" s="426">
        <v>93263.421199999997</v>
      </c>
      <c r="K10" s="426">
        <v>97283.168169999903</v>
      </c>
      <c r="L10" s="426">
        <v>95649.618269999904</v>
      </c>
      <c r="M10" s="426">
        <v>94678.267659999998</v>
      </c>
      <c r="N10" s="426">
        <v>96826.019639999999</v>
      </c>
      <c r="O10" s="426">
        <v>95470.321429999996</v>
      </c>
      <c r="P10" s="426">
        <v>95326.308669999999</v>
      </c>
      <c r="Q10" s="426">
        <v>95158.786479999995</v>
      </c>
      <c r="R10" s="426">
        <v>95019.346489999996</v>
      </c>
      <c r="S10" s="426">
        <v>94703.271410000001</v>
      </c>
      <c r="T10" s="426">
        <v>95441.615449999998</v>
      </c>
      <c r="V10" s="426">
        <f t="shared" si="5"/>
        <v>95052.212935384581</v>
      </c>
    </row>
    <row r="11" spans="1:22">
      <c r="A11" s="426" t="str">
        <f t="shared" si="0"/>
        <v>KU</v>
      </c>
      <c r="B11" s="426" t="str">
        <f t="shared" si="1"/>
        <v>KY</v>
      </c>
      <c r="C11" s="426" t="str">
        <f t="shared" si="4"/>
        <v>E</v>
      </c>
      <c r="D11" s="426" t="s">
        <v>2655</v>
      </c>
      <c r="E11" s="426" t="str">
        <f t="shared" si="2"/>
        <v>303</v>
      </c>
      <c r="F11" s="741" t="s">
        <v>1722</v>
      </c>
      <c r="G11" s="425" t="str">
        <f t="shared" si="3"/>
        <v/>
      </c>
      <c r="H11" s="426">
        <v>17958.508900000001</v>
      </c>
      <c r="I11" s="426">
        <v>16058.35131</v>
      </c>
      <c r="J11" s="426">
        <v>16021.12478</v>
      </c>
      <c r="K11" s="426">
        <v>16021.12478</v>
      </c>
      <c r="L11" s="426">
        <v>15871.84719</v>
      </c>
      <c r="M11" s="426">
        <v>15871.84719</v>
      </c>
      <c r="N11" s="426">
        <v>15871.84719</v>
      </c>
      <c r="O11" s="426">
        <v>15871.84719</v>
      </c>
      <c r="P11" s="426">
        <v>15871.84719</v>
      </c>
      <c r="Q11" s="426">
        <v>15871.84719</v>
      </c>
      <c r="R11" s="426">
        <v>15936.84719</v>
      </c>
      <c r="S11" s="426">
        <v>15936.84719</v>
      </c>
      <c r="T11" s="426">
        <v>15936.84719</v>
      </c>
      <c r="V11" s="426">
        <f t="shared" si="5"/>
        <v>16084.671883076922</v>
      </c>
    </row>
    <row r="12" spans="1:22">
      <c r="A12" s="426" t="str">
        <f t="shared" si="0"/>
        <v>KU</v>
      </c>
      <c r="B12" s="426" t="str">
        <f t="shared" si="1"/>
        <v>KY</v>
      </c>
      <c r="C12" s="426" t="str">
        <f t="shared" si="4"/>
        <v>E</v>
      </c>
      <c r="D12" s="426" t="s">
        <v>2655</v>
      </c>
      <c r="E12" s="426" t="str">
        <f t="shared" si="2"/>
        <v>310</v>
      </c>
      <c r="F12" s="741" t="s">
        <v>1723</v>
      </c>
      <c r="H12" s="426">
        <v>10406.297269999901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426">
        <v>0</v>
      </c>
      <c r="O12" s="426">
        <v>0</v>
      </c>
      <c r="P12" s="426">
        <v>0</v>
      </c>
      <c r="Q12" s="426">
        <v>0</v>
      </c>
      <c r="R12" s="426">
        <v>0</v>
      </c>
      <c r="S12" s="426">
        <v>0</v>
      </c>
      <c r="T12" s="426">
        <v>0</v>
      </c>
      <c r="V12" s="426">
        <f t="shared" si="5"/>
        <v>800.48440538460773</v>
      </c>
    </row>
    <row r="13" spans="1:22">
      <c r="A13" s="426" t="str">
        <f t="shared" si="0"/>
        <v>KU</v>
      </c>
      <c r="B13" s="426" t="str">
        <f t="shared" si="1"/>
        <v>KY</v>
      </c>
      <c r="C13" s="426" t="str">
        <f t="shared" si="4"/>
        <v>E</v>
      </c>
      <c r="D13" s="426" t="s">
        <v>2655</v>
      </c>
      <c r="E13" s="426" t="str">
        <f t="shared" si="2"/>
        <v>310</v>
      </c>
      <c r="F13" s="741" t="s">
        <v>2711</v>
      </c>
      <c r="G13" s="425" t="str">
        <f t="shared" si="3"/>
        <v>ECR</v>
      </c>
      <c r="H13" s="426">
        <v>1226.6562699999999</v>
      </c>
      <c r="I13" s="426">
        <v>1226.6562699999999</v>
      </c>
      <c r="J13" s="426">
        <v>1226.6562699999999</v>
      </c>
      <c r="K13" s="426">
        <v>1226.6562699999999</v>
      </c>
      <c r="L13" s="426">
        <v>1226.6562699999999</v>
      </c>
      <c r="M13" s="426">
        <v>1226.6562699999999</v>
      </c>
      <c r="N13" s="426">
        <v>1226.6562699999999</v>
      </c>
      <c r="O13" s="426">
        <v>1226.6562699999999</v>
      </c>
      <c r="P13" s="426">
        <v>1226.6562699999999</v>
      </c>
      <c r="Q13" s="426">
        <v>1226.6562699999999</v>
      </c>
      <c r="R13" s="426">
        <v>1226.6562699999999</v>
      </c>
      <c r="S13" s="426">
        <v>1226.6562699999999</v>
      </c>
      <c r="T13" s="426">
        <v>1226.6562699999999</v>
      </c>
      <c r="V13" s="426">
        <f t="shared" si="5"/>
        <v>1226.6562699999997</v>
      </c>
    </row>
    <row r="14" spans="1:22">
      <c r="A14" s="426" t="str">
        <f t="shared" si="0"/>
        <v>KU</v>
      </c>
      <c r="B14" s="426" t="str">
        <f t="shared" si="1"/>
        <v>KY</v>
      </c>
      <c r="C14" s="426" t="str">
        <f t="shared" si="4"/>
        <v>E</v>
      </c>
      <c r="D14" s="426" t="s">
        <v>2655</v>
      </c>
      <c r="E14" s="426" t="str">
        <f t="shared" si="2"/>
        <v>310</v>
      </c>
      <c r="F14" s="741" t="s">
        <v>1724</v>
      </c>
      <c r="H14" s="426">
        <v>1406.9974500000001</v>
      </c>
      <c r="I14" s="426">
        <v>0</v>
      </c>
      <c r="J14" s="426">
        <v>0</v>
      </c>
      <c r="K14" s="426">
        <v>0</v>
      </c>
      <c r="L14" s="426">
        <v>0</v>
      </c>
      <c r="M14" s="426">
        <v>0</v>
      </c>
      <c r="N14" s="426">
        <v>0</v>
      </c>
      <c r="O14" s="426">
        <v>0</v>
      </c>
      <c r="P14" s="426">
        <v>0</v>
      </c>
      <c r="Q14" s="426">
        <v>0</v>
      </c>
      <c r="R14" s="426">
        <v>0</v>
      </c>
      <c r="S14" s="426">
        <v>0</v>
      </c>
      <c r="T14" s="426">
        <v>0</v>
      </c>
      <c r="V14" s="426">
        <f t="shared" si="5"/>
        <v>108.23057307692308</v>
      </c>
    </row>
    <row r="15" spans="1:22">
      <c r="A15" s="426" t="str">
        <f t="shared" si="0"/>
        <v>KU</v>
      </c>
      <c r="B15" s="426" t="str">
        <f t="shared" si="1"/>
        <v>KY</v>
      </c>
      <c r="C15" s="426" t="str">
        <f t="shared" si="4"/>
        <v>E</v>
      </c>
      <c r="D15" s="426" t="s">
        <v>2655</v>
      </c>
      <c r="E15" s="426" t="str">
        <f t="shared" si="2"/>
        <v>310</v>
      </c>
      <c r="F15" s="741" t="s">
        <v>2397</v>
      </c>
      <c r="H15" s="426">
        <v>0</v>
      </c>
      <c r="I15" s="426">
        <v>0</v>
      </c>
      <c r="J15" s="426">
        <v>0</v>
      </c>
      <c r="K15" s="426">
        <v>0</v>
      </c>
      <c r="L15" s="426">
        <v>0</v>
      </c>
      <c r="M15" s="426">
        <v>0</v>
      </c>
      <c r="N15" s="426">
        <v>0</v>
      </c>
      <c r="O15" s="426">
        <v>0</v>
      </c>
      <c r="P15" s="426">
        <v>0</v>
      </c>
      <c r="Q15" s="426">
        <v>0</v>
      </c>
      <c r="R15" s="426">
        <v>0</v>
      </c>
      <c r="S15" s="426">
        <v>0</v>
      </c>
      <c r="T15" s="426">
        <v>0</v>
      </c>
      <c r="V15" s="426">
        <f t="shared" si="5"/>
        <v>0</v>
      </c>
    </row>
    <row r="16" spans="1:22">
      <c r="A16" s="426" t="str">
        <f t="shared" si="0"/>
        <v>KU</v>
      </c>
      <c r="B16" s="426" t="str">
        <f t="shared" si="1"/>
        <v>KY</v>
      </c>
      <c r="C16" s="426" t="str">
        <f t="shared" si="4"/>
        <v>E</v>
      </c>
      <c r="D16" s="426" t="s">
        <v>2655</v>
      </c>
      <c r="E16" s="426" t="str">
        <f t="shared" si="2"/>
        <v>310</v>
      </c>
      <c r="F16" s="741" t="s">
        <v>2712</v>
      </c>
      <c r="G16" s="425" t="str">
        <f t="shared" si="3"/>
        <v>ECR</v>
      </c>
      <c r="H16" s="426">
        <v>521.00043000000005</v>
      </c>
      <c r="I16" s="426">
        <v>521.00043000000005</v>
      </c>
      <c r="J16" s="426">
        <v>521.00043000000005</v>
      </c>
      <c r="K16" s="426">
        <v>521.00043000000005</v>
      </c>
      <c r="L16" s="426">
        <v>521.00043000000005</v>
      </c>
      <c r="M16" s="426">
        <v>521.00043000000005</v>
      </c>
      <c r="N16" s="426">
        <v>521.00043000000005</v>
      </c>
      <c r="O16" s="426">
        <v>521.00043000000005</v>
      </c>
      <c r="P16" s="426">
        <v>521.00043000000005</v>
      </c>
      <c r="Q16" s="426">
        <v>521.00043000000005</v>
      </c>
      <c r="R16" s="426">
        <v>521.00043000000005</v>
      </c>
      <c r="S16" s="426">
        <v>521.00043000000005</v>
      </c>
      <c r="T16" s="426">
        <v>521.00043000000005</v>
      </c>
      <c r="V16" s="426">
        <f t="shared" si="5"/>
        <v>521.00043000000005</v>
      </c>
    </row>
    <row r="17" spans="1:22">
      <c r="A17" s="426" t="str">
        <f t="shared" si="0"/>
        <v>KU</v>
      </c>
      <c r="B17" s="426" t="str">
        <f t="shared" si="1"/>
        <v>KY</v>
      </c>
      <c r="C17" s="426" t="str">
        <f t="shared" si="4"/>
        <v>E</v>
      </c>
      <c r="D17" s="426" t="s">
        <v>2655</v>
      </c>
      <c r="E17" s="426" t="str">
        <f t="shared" si="2"/>
        <v>310</v>
      </c>
      <c r="F17" s="741" t="s">
        <v>1725</v>
      </c>
      <c r="G17" s="425" t="str">
        <f t="shared" si="3"/>
        <v/>
      </c>
      <c r="H17" s="426">
        <v>11432.760989999901</v>
      </c>
      <c r="I17" s="426">
        <v>23246.055709999899</v>
      </c>
      <c r="J17" s="426">
        <v>23246.055709999899</v>
      </c>
      <c r="K17" s="426">
        <v>23246.055709999899</v>
      </c>
      <c r="L17" s="426">
        <v>23809.055709999899</v>
      </c>
      <c r="M17" s="426">
        <v>23809.055709999899</v>
      </c>
      <c r="N17" s="426">
        <v>23809.055709999899</v>
      </c>
      <c r="O17" s="426">
        <v>23809.055709999899</v>
      </c>
      <c r="P17" s="426">
        <v>23809.055709999899</v>
      </c>
      <c r="Q17" s="426">
        <v>23809.055709999899</v>
      </c>
      <c r="R17" s="426">
        <v>23809.055709999899</v>
      </c>
      <c r="S17" s="426">
        <v>23809.055709999899</v>
      </c>
      <c r="T17" s="426">
        <v>23809.055709999899</v>
      </c>
      <c r="V17" s="426">
        <f t="shared" si="5"/>
        <v>22727.10996230759</v>
      </c>
    </row>
    <row r="18" spans="1:22">
      <c r="A18" s="426" t="str">
        <f t="shared" si="0"/>
        <v>KU</v>
      </c>
      <c r="B18" s="426" t="str">
        <f t="shared" si="1"/>
        <v>KY</v>
      </c>
      <c r="C18" s="426" t="str">
        <f t="shared" si="4"/>
        <v>E</v>
      </c>
      <c r="D18" s="426" t="s">
        <v>2655</v>
      </c>
      <c r="E18" s="426" t="str">
        <f t="shared" si="2"/>
        <v>311</v>
      </c>
      <c r="F18" s="741" t="s">
        <v>1726</v>
      </c>
      <c r="H18" s="426">
        <v>10014.774890000001</v>
      </c>
      <c r="I18" s="426">
        <v>0</v>
      </c>
      <c r="J18" s="426">
        <v>0</v>
      </c>
      <c r="K18" s="426">
        <v>0</v>
      </c>
      <c r="L18" s="426">
        <v>0</v>
      </c>
      <c r="M18" s="426">
        <v>0</v>
      </c>
      <c r="N18" s="426">
        <v>0</v>
      </c>
      <c r="O18" s="426">
        <v>0</v>
      </c>
      <c r="P18" s="426">
        <v>0</v>
      </c>
      <c r="Q18" s="426">
        <v>0</v>
      </c>
      <c r="R18" s="426">
        <v>0</v>
      </c>
      <c r="S18" s="426">
        <v>0</v>
      </c>
      <c r="T18" s="426">
        <v>0</v>
      </c>
      <c r="V18" s="426">
        <f t="shared" si="5"/>
        <v>770.36729923076928</v>
      </c>
    </row>
    <row r="19" spans="1:22">
      <c r="A19" s="426" t="str">
        <f t="shared" si="0"/>
        <v>KU</v>
      </c>
      <c r="B19" s="426" t="str">
        <f t="shared" si="1"/>
        <v>KY</v>
      </c>
      <c r="C19" s="426" t="str">
        <f t="shared" si="4"/>
        <v>E</v>
      </c>
      <c r="D19" s="426" t="s">
        <v>2655</v>
      </c>
      <c r="E19" s="426" t="str">
        <f t="shared" si="2"/>
        <v>311</v>
      </c>
      <c r="F19" s="741" t="s">
        <v>2713</v>
      </c>
      <c r="G19" s="425" t="str">
        <f t="shared" si="3"/>
        <v>ECR</v>
      </c>
      <c r="H19" s="426">
        <v>320.01699000000002</v>
      </c>
      <c r="I19" s="426">
        <v>320.01699000000002</v>
      </c>
      <c r="J19" s="426">
        <v>320.01699000000002</v>
      </c>
      <c r="K19" s="426">
        <v>320.01699000000002</v>
      </c>
      <c r="L19" s="426">
        <v>320.01699000000002</v>
      </c>
      <c r="M19" s="426">
        <v>320.01699000000002</v>
      </c>
      <c r="N19" s="426">
        <v>320.01699000000002</v>
      </c>
      <c r="O19" s="426">
        <v>320.01699000000002</v>
      </c>
      <c r="P19" s="426">
        <v>320.01699000000002</v>
      </c>
      <c r="Q19" s="426">
        <v>320.01699000000002</v>
      </c>
      <c r="R19" s="426">
        <v>320.01699000000002</v>
      </c>
      <c r="S19" s="426">
        <v>320.01699000000002</v>
      </c>
      <c r="T19" s="426">
        <v>320.01699000000002</v>
      </c>
      <c r="V19" s="426">
        <f t="shared" si="5"/>
        <v>320.01699000000002</v>
      </c>
    </row>
    <row r="20" spans="1:22">
      <c r="A20" s="426" t="str">
        <f t="shared" si="0"/>
        <v>KU</v>
      </c>
      <c r="B20" s="426" t="str">
        <f t="shared" si="1"/>
        <v>KY</v>
      </c>
      <c r="C20" s="426" t="str">
        <f t="shared" si="4"/>
        <v>E</v>
      </c>
      <c r="D20" s="426" t="s">
        <v>2655</v>
      </c>
      <c r="E20" s="426" t="str">
        <f t="shared" si="2"/>
        <v>311</v>
      </c>
      <c r="F20" s="741" t="s">
        <v>2178</v>
      </c>
      <c r="H20" s="426">
        <v>14572.80107</v>
      </c>
      <c r="I20" s="426">
        <v>1.81898940354585E-12</v>
      </c>
      <c r="J20" s="426">
        <v>1.81898940354585E-12</v>
      </c>
      <c r="K20" s="426">
        <v>1.81898940354585E-12</v>
      </c>
      <c r="L20" s="426">
        <v>1.81898940354585E-12</v>
      </c>
      <c r="M20" s="426">
        <v>1.81898940354585E-12</v>
      </c>
      <c r="N20" s="426">
        <v>1.81898940354585E-12</v>
      </c>
      <c r="O20" s="426">
        <v>1.81898940354585E-12</v>
      </c>
      <c r="P20" s="426">
        <v>1.81898940354585E-12</v>
      </c>
      <c r="Q20" s="426">
        <v>1.81898940354585E-12</v>
      </c>
      <c r="R20" s="426">
        <v>1.81898940354585E-12</v>
      </c>
      <c r="S20" s="426">
        <v>1.81898940354585E-12</v>
      </c>
      <c r="T20" s="426">
        <v>1.81898940354585E-12</v>
      </c>
      <c r="V20" s="426">
        <f t="shared" si="5"/>
        <v>1120.9846976923093</v>
      </c>
    </row>
    <row r="21" spans="1:22">
      <c r="A21" s="426" t="str">
        <f t="shared" si="0"/>
        <v>KU</v>
      </c>
      <c r="B21" s="426" t="str">
        <f t="shared" si="1"/>
        <v>KY</v>
      </c>
      <c r="C21" s="426" t="str">
        <f t="shared" si="4"/>
        <v>E</v>
      </c>
      <c r="D21" s="426" t="s">
        <v>2655</v>
      </c>
      <c r="E21" s="426" t="str">
        <f t="shared" si="2"/>
        <v>311</v>
      </c>
      <c r="F21" s="741" t="s">
        <v>1727</v>
      </c>
      <c r="G21" s="425" t="str">
        <f t="shared" si="3"/>
        <v/>
      </c>
      <c r="H21" s="426">
        <v>332058.21000999998</v>
      </c>
      <c r="I21" s="426">
        <v>356645.78597000003</v>
      </c>
      <c r="J21" s="426">
        <v>357578.59123999998</v>
      </c>
      <c r="K21" s="426">
        <v>357747.40824000002</v>
      </c>
      <c r="L21" s="426">
        <v>357917.43823999999</v>
      </c>
      <c r="M21" s="426">
        <v>357917.43823999999</v>
      </c>
      <c r="N21" s="426">
        <v>357917.43823999999</v>
      </c>
      <c r="O21" s="426">
        <v>357917.43823999999</v>
      </c>
      <c r="P21" s="426">
        <v>357917.43823999999</v>
      </c>
      <c r="Q21" s="426">
        <v>357917.43823999999</v>
      </c>
      <c r="R21" s="426">
        <v>358273.40892000002</v>
      </c>
      <c r="S21" s="426">
        <v>358273.40892000002</v>
      </c>
      <c r="T21" s="426">
        <v>358273.40892000002</v>
      </c>
      <c r="V21" s="426">
        <f t="shared" si="5"/>
        <v>355873.45012769231</v>
      </c>
    </row>
    <row r="22" spans="1:22">
      <c r="A22" s="426" t="str">
        <f t="shared" si="0"/>
        <v>KU</v>
      </c>
      <c r="B22" s="426" t="str">
        <f t="shared" si="1"/>
        <v>KY</v>
      </c>
      <c r="C22" s="426" t="str">
        <f t="shared" si="4"/>
        <v>E</v>
      </c>
      <c r="D22" s="426" t="s">
        <v>2655</v>
      </c>
      <c r="E22" s="426" t="str">
        <f t="shared" si="2"/>
        <v>312</v>
      </c>
      <c r="F22" s="741" t="s">
        <v>1728</v>
      </c>
      <c r="G22" s="425" t="str">
        <f t="shared" si="3"/>
        <v/>
      </c>
      <c r="H22" s="426">
        <v>2713444.68502999</v>
      </c>
      <c r="I22" s="426">
        <v>4006565.6683399901</v>
      </c>
      <c r="J22" s="426">
        <v>4005956.2041799901</v>
      </c>
      <c r="K22" s="426">
        <v>4006661.99293999</v>
      </c>
      <c r="L22" s="426">
        <v>4007356.3655699901</v>
      </c>
      <c r="M22" s="426">
        <v>4010378.4476299901</v>
      </c>
      <c r="N22" s="426">
        <v>4009956.86548999</v>
      </c>
      <c r="O22" s="426">
        <v>4008839.1611599899</v>
      </c>
      <c r="P22" s="426">
        <v>4003223.4984299899</v>
      </c>
      <c r="Q22" s="426">
        <v>4007496.0315199899</v>
      </c>
      <c r="R22" s="426">
        <v>4011287.4326599902</v>
      </c>
      <c r="S22" s="426">
        <v>4014210.9234799901</v>
      </c>
      <c r="T22" s="426">
        <v>4014633.59695999</v>
      </c>
      <c r="V22" s="426">
        <f t="shared" si="5"/>
        <v>3909231.6056453739</v>
      </c>
    </row>
    <row r="23" spans="1:22">
      <c r="A23" s="426" t="str">
        <f t="shared" si="0"/>
        <v>KU</v>
      </c>
      <c r="B23" s="426" t="str">
        <f t="shared" si="1"/>
        <v>KY</v>
      </c>
      <c r="C23" s="426" t="str">
        <f t="shared" si="4"/>
        <v>E</v>
      </c>
      <c r="D23" s="426" t="s">
        <v>2655</v>
      </c>
      <c r="E23" s="426" t="str">
        <f t="shared" si="2"/>
        <v>312</v>
      </c>
      <c r="F23" s="741" t="s">
        <v>1729</v>
      </c>
      <c r="H23" s="426">
        <v>444366.08430999902</v>
      </c>
      <c r="I23" s="426">
        <v>0</v>
      </c>
      <c r="J23" s="426">
        <v>0</v>
      </c>
      <c r="K23" s="426">
        <v>0</v>
      </c>
      <c r="L23" s="426">
        <v>0</v>
      </c>
      <c r="M23" s="426">
        <v>0</v>
      </c>
      <c r="N23" s="426">
        <v>0</v>
      </c>
      <c r="O23" s="426">
        <v>0</v>
      </c>
      <c r="P23" s="426">
        <v>0</v>
      </c>
      <c r="Q23" s="426">
        <v>0</v>
      </c>
      <c r="R23" s="426">
        <v>0</v>
      </c>
      <c r="S23" s="426">
        <v>0</v>
      </c>
      <c r="T23" s="426">
        <v>0</v>
      </c>
      <c r="V23" s="426">
        <f t="shared" si="5"/>
        <v>34182.00648538454</v>
      </c>
    </row>
    <row r="24" spans="1:22">
      <c r="A24" s="426" t="str">
        <f t="shared" si="0"/>
        <v>KU</v>
      </c>
      <c r="B24" s="426" t="str">
        <f t="shared" si="1"/>
        <v>KY</v>
      </c>
      <c r="C24" s="426" t="str">
        <f t="shared" si="4"/>
        <v>E</v>
      </c>
      <c r="D24" s="426" t="s">
        <v>2655</v>
      </c>
      <c r="E24" s="426" t="str">
        <f t="shared" si="2"/>
        <v>312</v>
      </c>
      <c r="F24" s="741" t="s">
        <v>2714</v>
      </c>
      <c r="G24" s="425" t="str">
        <f t="shared" si="3"/>
        <v>ECR</v>
      </c>
      <c r="H24" s="426">
        <v>97284.781969999894</v>
      </c>
      <c r="I24" s="426">
        <v>97284.781969999894</v>
      </c>
      <c r="J24" s="426">
        <v>97284.781969999894</v>
      </c>
      <c r="K24" s="426">
        <v>97284.781969999894</v>
      </c>
      <c r="L24" s="426">
        <v>144357.12437999999</v>
      </c>
      <c r="M24" s="426">
        <v>144357.12437999999</v>
      </c>
      <c r="N24" s="426">
        <v>144357.12437999999</v>
      </c>
      <c r="O24" s="426">
        <v>144357.12437999999</v>
      </c>
      <c r="P24" s="426">
        <v>144357.12437999999</v>
      </c>
      <c r="Q24" s="426">
        <v>144357.12437999999</v>
      </c>
      <c r="R24" s="426">
        <v>144357.12437999999</v>
      </c>
      <c r="S24" s="426">
        <v>144357.12437999999</v>
      </c>
      <c r="T24" s="426">
        <v>144357.12437999999</v>
      </c>
      <c r="V24" s="426">
        <f t="shared" si="5"/>
        <v>129873.32671538454</v>
      </c>
    </row>
    <row r="25" spans="1:22">
      <c r="A25" s="426" t="str">
        <f t="shared" si="0"/>
        <v>KU</v>
      </c>
      <c r="B25" s="426" t="str">
        <f t="shared" si="1"/>
        <v>KY</v>
      </c>
      <c r="C25" s="426" t="str">
        <f t="shared" si="4"/>
        <v>E</v>
      </c>
      <c r="D25" s="426" t="s">
        <v>2655</v>
      </c>
      <c r="E25" s="426" t="str">
        <f t="shared" si="2"/>
        <v>312</v>
      </c>
      <c r="F25" s="741" t="s">
        <v>1730</v>
      </c>
      <c r="H25" s="426">
        <v>830339.97248999996</v>
      </c>
      <c r="I25" s="426">
        <v>0</v>
      </c>
      <c r="J25" s="426">
        <v>0</v>
      </c>
      <c r="K25" s="426">
        <v>0</v>
      </c>
      <c r="L25" s="426">
        <v>0</v>
      </c>
      <c r="M25" s="426">
        <v>0</v>
      </c>
      <c r="N25" s="426">
        <v>0</v>
      </c>
      <c r="O25" s="426">
        <v>0</v>
      </c>
      <c r="P25" s="426">
        <v>0</v>
      </c>
      <c r="Q25" s="426">
        <v>0</v>
      </c>
      <c r="R25" s="426">
        <v>0</v>
      </c>
      <c r="S25" s="426">
        <v>0</v>
      </c>
      <c r="T25" s="426">
        <v>0</v>
      </c>
      <c r="V25" s="426">
        <f t="shared" si="5"/>
        <v>63872.305576153842</v>
      </c>
    </row>
    <row r="26" spans="1:22">
      <c r="A26" s="426" t="str">
        <f t="shared" si="0"/>
        <v>KU</v>
      </c>
      <c r="B26" s="426" t="str">
        <f t="shared" si="1"/>
        <v>KY</v>
      </c>
      <c r="C26" s="426" t="str">
        <f t="shared" si="4"/>
        <v>E</v>
      </c>
      <c r="D26" s="426" t="s">
        <v>2655</v>
      </c>
      <c r="E26" s="426" t="str">
        <f t="shared" si="2"/>
        <v>312</v>
      </c>
      <c r="F26" s="741" t="s">
        <v>2179</v>
      </c>
      <c r="H26" s="426">
        <v>17297.593099999998</v>
      </c>
      <c r="I26" s="426">
        <v>9.8225427791476198E-11</v>
      </c>
      <c r="J26" s="426">
        <v>9.8225427791476198E-11</v>
      </c>
      <c r="K26" s="426">
        <v>9.8225427791476198E-11</v>
      </c>
      <c r="L26" s="426">
        <v>9.8225427791476198E-11</v>
      </c>
      <c r="M26" s="426">
        <v>9.8225427791476198E-11</v>
      </c>
      <c r="N26" s="426">
        <v>9.8225427791476198E-11</v>
      </c>
      <c r="O26" s="426">
        <v>9.8225427791476198E-11</v>
      </c>
      <c r="P26" s="426">
        <v>9.8225427791476198E-11</v>
      </c>
      <c r="Q26" s="426">
        <v>9.8225427791476198E-11</v>
      </c>
      <c r="R26" s="426">
        <v>9.8225427791476198E-11</v>
      </c>
      <c r="S26" s="426">
        <v>9.8225427791476198E-11</v>
      </c>
      <c r="T26" s="426">
        <v>9.8225427791476198E-11</v>
      </c>
      <c r="V26" s="426">
        <f t="shared" si="5"/>
        <v>1330.5840846154751</v>
      </c>
    </row>
    <row r="27" spans="1:22">
      <c r="A27" s="426" t="str">
        <f t="shared" si="0"/>
        <v>KU</v>
      </c>
      <c r="B27" s="426" t="str">
        <f t="shared" si="1"/>
        <v>KY</v>
      </c>
      <c r="C27" s="426" t="str">
        <f t="shared" si="4"/>
        <v>E</v>
      </c>
      <c r="D27" s="426" t="s">
        <v>2655</v>
      </c>
      <c r="E27" s="426" t="str">
        <f t="shared" si="2"/>
        <v>312</v>
      </c>
      <c r="F27" s="741" t="s">
        <v>2715</v>
      </c>
      <c r="G27" s="425" t="str">
        <f t="shared" si="3"/>
        <v>ECR</v>
      </c>
      <c r="H27" s="426">
        <v>248006.24978000001</v>
      </c>
      <c r="I27" s="426">
        <v>249006.24978000001</v>
      </c>
      <c r="J27" s="426">
        <v>249006.24978000001</v>
      </c>
      <c r="K27" s="426">
        <v>249006.24978000001</v>
      </c>
      <c r="L27" s="426">
        <v>249006.24978000001</v>
      </c>
      <c r="M27" s="426">
        <v>249006.24978000001</v>
      </c>
      <c r="N27" s="426">
        <v>298731.41288000002</v>
      </c>
      <c r="O27" s="426">
        <v>298731.41288000002</v>
      </c>
      <c r="P27" s="426">
        <v>298731.41288000002</v>
      </c>
      <c r="Q27" s="426">
        <v>298731.41288000002</v>
      </c>
      <c r="R27" s="426">
        <v>298731.41288000002</v>
      </c>
      <c r="S27" s="426">
        <v>298731.41288000002</v>
      </c>
      <c r="T27" s="426">
        <v>298731.41288000002</v>
      </c>
      <c r="V27" s="426">
        <f t="shared" si="5"/>
        <v>275704.41452615388</v>
      </c>
    </row>
    <row r="28" spans="1:22">
      <c r="A28" s="426" t="str">
        <f t="shared" si="0"/>
        <v>KU</v>
      </c>
      <c r="B28" s="426" t="str">
        <f t="shared" si="1"/>
        <v>KY</v>
      </c>
      <c r="C28" s="426" t="str">
        <f t="shared" si="4"/>
        <v>E</v>
      </c>
      <c r="D28" s="426" t="s">
        <v>2655</v>
      </c>
      <c r="E28" s="426" t="str">
        <f t="shared" si="2"/>
        <v>312</v>
      </c>
      <c r="F28" s="741" t="s">
        <v>2716</v>
      </c>
      <c r="G28" s="425" t="str">
        <f t="shared" si="3"/>
        <v>ECR</v>
      </c>
      <c r="H28" s="426">
        <v>0</v>
      </c>
      <c r="I28" s="426">
        <v>0</v>
      </c>
      <c r="J28" s="426">
        <v>0</v>
      </c>
      <c r="K28" s="426">
        <v>0</v>
      </c>
      <c r="L28" s="426">
        <v>0</v>
      </c>
      <c r="M28" s="426">
        <v>0</v>
      </c>
      <c r="N28" s="426">
        <v>16072.78</v>
      </c>
      <c r="O28" s="426">
        <v>16072.78</v>
      </c>
      <c r="P28" s="426">
        <v>16072.78</v>
      </c>
      <c r="Q28" s="426">
        <v>16072.78</v>
      </c>
      <c r="R28" s="426">
        <v>16072.78</v>
      </c>
      <c r="S28" s="426">
        <v>16072.78</v>
      </c>
      <c r="T28" s="426">
        <v>16072.78</v>
      </c>
      <c r="V28" s="426">
        <f t="shared" si="5"/>
        <v>8654.5738461538458</v>
      </c>
    </row>
    <row r="29" spans="1:22">
      <c r="A29" s="426" t="str">
        <f t="shared" si="0"/>
        <v>KU</v>
      </c>
      <c r="B29" s="426" t="str">
        <f t="shared" si="1"/>
        <v>KY</v>
      </c>
      <c r="C29" s="426" t="str">
        <f t="shared" si="4"/>
        <v>E</v>
      </c>
      <c r="D29" s="426" t="s">
        <v>2655</v>
      </c>
      <c r="E29" s="426" t="str">
        <f t="shared" si="2"/>
        <v>314</v>
      </c>
      <c r="F29" s="741" t="s">
        <v>1732</v>
      </c>
      <c r="G29" s="425" t="str">
        <f>IF(ISTEXT(MID($F29,SEARCH("FUTURE USE",$F29),3)),"FUTURE USE",IF(ISTEXT(MID($F29,SEARCH("ECR",$F29),3)),"ECR",IF(ISTEXT(MID($F29,SEARCH("ARO",$F29),3)),"ARO",IF(ISTEXT(MID($F29,SEARCH("DSM",$F29),3)),"DSM",""))))</f>
        <v/>
      </c>
      <c r="H29" s="426">
        <v>372823.12725000002</v>
      </c>
      <c r="I29" s="426">
        <v>372731.08350000001</v>
      </c>
      <c r="J29" s="426">
        <v>373600.91126000002</v>
      </c>
      <c r="K29" s="426">
        <v>373630.78486999997</v>
      </c>
      <c r="L29" s="426">
        <v>373547.35292999999</v>
      </c>
      <c r="M29" s="426">
        <v>374163.48911000002</v>
      </c>
      <c r="N29" s="426">
        <v>374539.23450000002</v>
      </c>
      <c r="O29" s="426">
        <v>374264.04869999998</v>
      </c>
      <c r="P29" s="426">
        <v>372881.4374</v>
      </c>
      <c r="Q29" s="426">
        <v>372844.02815000003</v>
      </c>
      <c r="R29" s="426">
        <v>372923.25611999998</v>
      </c>
      <c r="S29" s="426">
        <v>372610.17660000001</v>
      </c>
      <c r="T29" s="426">
        <v>372539.07870000001</v>
      </c>
      <c r="V29" s="426">
        <f t="shared" si="5"/>
        <v>373315.23146846169</v>
      </c>
    </row>
    <row r="30" spans="1:22">
      <c r="A30" s="426" t="str">
        <f t="shared" si="0"/>
        <v>KU</v>
      </c>
      <c r="B30" s="426" t="str">
        <f t="shared" si="1"/>
        <v>KY</v>
      </c>
      <c r="C30" s="426" t="str">
        <f t="shared" si="4"/>
        <v>E</v>
      </c>
      <c r="D30" s="426" t="s">
        <v>2655</v>
      </c>
      <c r="E30" s="426" t="str">
        <f t="shared" si="2"/>
        <v>315</v>
      </c>
      <c r="F30" s="741" t="s">
        <v>1733</v>
      </c>
      <c r="G30" s="425" t="str">
        <f t="shared" ref="G30:G94" si="6">IF(ISTEXT(MID($F30,SEARCH("FUTURE USE",$F30),3)),"FUTURE USE",IF(ISTEXT(MID($F30,SEARCH("ECR",$F30),3)),"ECR",IF(ISTEXT(MID($F30,SEARCH("ARO",$F30),3)),"ARO",IF(ISTEXT(MID($F30,SEARCH("DSM",$F30),3)),"DSM",""))))</f>
        <v/>
      </c>
      <c r="H30" s="426">
        <v>223485.82363</v>
      </c>
      <c r="I30" s="426">
        <v>259830.447439999</v>
      </c>
      <c r="J30" s="426">
        <v>259830.447439999</v>
      </c>
      <c r="K30" s="426">
        <v>259830.447439999</v>
      </c>
      <c r="L30" s="426">
        <v>259890.87743999899</v>
      </c>
      <c r="M30" s="426">
        <v>259890.87743999899</v>
      </c>
      <c r="N30" s="426">
        <v>259890.87743999899</v>
      </c>
      <c r="O30" s="426">
        <v>259890.87743999899</v>
      </c>
      <c r="P30" s="426">
        <v>259890.87743999899</v>
      </c>
      <c r="Q30" s="426">
        <v>259890.87743999899</v>
      </c>
      <c r="R30" s="426">
        <v>259890.87743999899</v>
      </c>
      <c r="S30" s="426">
        <v>259890.87743999899</v>
      </c>
      <c r="T30" s="426">
        <v>259890.87743999899</v>
      </c>
      <c r="V30" s="426">
        <f t="shared" si="5"/>
        <v>257076.5433007683</v>
      </c>
    </row>
    <row r="31" spans="1:22">
      <c r="A31" s="426" t="str">
        <f t="shared" si="0"/>
        <v>KU</v>
      </c>
      <c r="B31" s="426" t="str">
        <f t="shared" si="1"/>
        <v>KY</v>
      </c>
      <c r="C31" s="426" t="str">
        <f t="shared" si="4"/>
        <v>E</v>
      </c>
      <c r="D31" s="426" t="s">
        <v>2655</v>
      </c>
      <c r="E31" s="426" t="str">
        <f t="shared" si="2"/>
        <v>315</v>
      </c>
      <c r="F31" s="741" t="s">
        <v>2180</v>
      </c>
      <c r="H31" s="426">
        <v>20283.650689999999</v>
      </c>
      <c r="I31" s="426">
        <v>9.8225427791476198E-11</v>
      </c>
      <c r="J31" s="426">
        <v>9.8225427791476198E-11</v>
      </c>
      <c r="K31" s="426">
        <v>9.8225427791476198E-11</v>
      </c>
      <c r="L31" s="426">
        <v>9.8225427791476198E-11</v>
      </c>
      <c r="M31" s="426">
        <v>9.8225427791476198E-11</v>
      </c>
      <c r="N31" s="426">
        <v>9.8225427791476198E-11</v>
      </c>
      <c r="O31" s="426">
        <v>9.8225427791476198E-11</v>
      </c>
      <c r="P31" s="426">
        <v>9.8225427791476198E-11</v>
      </c>
      <c r="Q31" s="426">
        <v>9.8225427791476198E-11</v>
      </c>
      <c r="R31" s="426">
        <v>9.8225427791476198E-11</v>
      </c>
      <c r="S31" s="426">
        <v>9.8225427791476198E-11</v>
      </c>
      <c r="T31" s="426">
        <v>9.8225427791476198E-11</v>
      </c>
      <c r="V31" s="426">
        <f t="shared" si="5"/>
        <v>1560.280822307783</v>
      </c>
    </row>
    <row r="32" spans="1:22">
      <c r="A32" s="426" t="str">
        <f t="shared" si="0"/>
        <v>KU</v>
      </c>
      <c r="B32" s="426" t="str">
        <f t="shared" si="1"/>
        <v>KY</v>
      </c>
      <c r="C32" s="426" t="str">
        <f t="shared" si="4"/>
        <v>E</v>
      </c>
      <c r="D32" s="426" t="s">
        <v>2655</v>
      </c>
      <c r="E32" s="426" t="str">
        <f t="shared" si="2"/>
        <v>315</v>
      </c>
      <c r="F32" s="741" t="s">
        <v>2717</v>
      </c>
      <c r="G32" s="425" t="str">
        <f t="shared" si="6"/>
        <v>ECR</v>
      </c>
      <c r="H32" s="426">
        <v>1264.4349199999999</v>
      </c>
      <c r="I32" s="426">
        <v>1264.4349199999999</v>
      </c>
      <c r="J32" s="426">
        <v>1264.4349199999999</v>
      </c>
      <c r="K32" s="426">
        <v>1264.4349199999999</v>
      </c>
      <c r="L32" s="426">
        <v>1264.4349199999999</v>
      </c>
      <c r="M32" s="426">
        <v>1264.4349199999999</v>
      </c>
      <c r="N32" s="426">
        <v>1264.4349199999999</v>
      </c>
      <c r="O32" s="426">
        <v>1264.4349199999999</v>
      </c>
      <c r="P32" s="426">
        <v>1264.4349199999999</v>
      </c>
      <c r="Q32" s="426">
        <v>1264.4349199999999</v>
      </c>
      <c r="R32" s="426">
        <v>1264.4349199999999</v>
      </c>
      <c r="S32" s="426">
        <v>1264.4349199999999</v>
      </c>
      <c r="T32" s="426">
        <v>1264.4349199999999</v>
      </c>
      <c r="V32" s="426">
        <f t="shared" si="5"/>
        <v>1264.4349199999999</v>
      </c>
    </row>
    <row r="33" spans="1:22">
      <c r="A33" s="426" t="str">
        <f t="shared" si="0"/>
        <v>KU</v>
      </c>
      <c r="B33" s="426" t="str">
        <f t="shared" si="1"/>
        <v>KY</v>
      </c>
      <c r="C33" s="426" t="str">
        <f t="shared" si="4"/>
        <v>E</v>
      </c>
      <c r="D33" s="426" t="s">
        <v>2655</v>
      </c>
      <c r="E33" s="426" t="str">
        <f t="shared" si="2"/>
        <v>315</v>
      </c>
      <c r="F33" s="741" t="s">
        <v>1734</v>
      </c>
      <c r="H33" s="426">
        <v>16060.973119999901</v>
      </c>
      <c r="I33" s="426">
        <v>-1.81898940354585E-12</v>
      </c>
      <c r="J33" s="426">
        <v>-1.81898940354585E-12</v>
      </c>
      <c r="K33" s="426">
        <v>-1.81898940354585E-12</v>
      </c>
      <c r="L33" s="426">
        <v>-1.81898940354585E-12</v>
      </c>
      <c r="M33" s="426">
        <v>-1.81898940354585E-12</v>
      </c>
      <c r="N33" s="426">
        <v>-1.81898940354585E-12</v>
      </c>
      <c r="O33" s="426">
        <v>-1.81898940354585E-12</v>
      </c>
      <c r="P33" s="426">
        <v>-1.81898940354585E-12</v>
      </c>
      <c r="Q33" s="426">
        <v>-1.81898940354585E-12</v>
      </c>
      <c r="R33" s="426">
        <v>-1.81898940354585E-12</v>
      </c>
      <c r="S33" s="426">
        <v>-1.81898940354585E-12</v>
      </c>
      <c r="T33" s="426">
        <v>-1.81898940354585E-12</v>
      </c>
      <c r="V33" s="426">
        <f t="shared" si="5"/>
        <v>1235.4594707692215</v>
      </c>
    </row>
    <row r="34" spans="1:22">
      <c r="A34" s="426" t="str">
        <f t="shared" si="0"/>
        <v>KU</v>
      </c>
      <c r="B34" s="426" t="str">
        <f t="shared" si="1"/>
        <v>KY</v>
      </c>
      <c r="C34" s="426" t="str">
        <f t="shared" si="4"/>
        <v>E</v>
      </c>
      <c r="D34" s="426" t="s">
        <v>2655</v>
      </c>
      <c r="E34" s="426" t="str">
        <f t="shared" si="2"/>
        <v>316</v>
      </c>
      <c r="F34" s="741" t="s">
        <v>2181</v>
      </c>
      <c r="H34" s="426">
        <v>558.11644000000001</v>
      </c>
      <c r="I34" s="426">
        <v>0</v>
      </c>
      <c r="J34" s="426">
        <v>0</v>
      </c>
      <c r="K34" s="426">
        <v>0</v>
      </c>
      <c r="L34" s="426">
        <v>0</v>
      </c>
      <c r="M34" s="426">
        <v>0</v>
      </c>
      <c r="N34" s="426">
        <v>0</v>
      </c>
      <c r="O34" s="426">
        <v>0</v>
      </c>
      <c r="P34" s="426">
        <v>0</v>
      </c>
      <c r="Q34" s="426">
        <v>0</v>
      </c>
      <c r="R34" s="426">
        <v>0</v>
      </c>
      <c r="S34" s="426">
        <v>0</v>
      </c>
      <c r="T34" s="426">
        <v>0</v>
      </c>
      <c r="V34" s="426">
        <f t="shared" si="5"/>
        <v>42.93203384615385</v>
      </c>
    </row>
    <row r="35" spans="1:22">
      <c r="A35" s="426" t="str">
        <f t="shared" si="0"/>
        <v>KU</v>
      </c>
      <c r="B35" s="426" t="str">
        <f t="shared" si="1"/>
        <v>KY</v>
      </c>
      <c r="C35" s="426" t="str">
        <f t="shared" si="4"/>
        <v>E</v>
      </c>
      <c r="D35" s="426" t="s">
        <v>2655</v>
      </c>
      <c r="E35" s="426" t="str">
        <f t="shared" si="2"/>
        <v>316</v>
      </c>
      <c r="F35" s="741" t="s">
        <v>1735</v>
      </c>
      <c r="G35" s="425" t="str">
        <f t="shared" si="6"/>
        <v/>
      </c>
      <c r="H35" s="426">
        <v>44229.535580000003</v>
      </c>
      <c r="I35" s="426">
        <v>45021.848859999998</v>
      </c>
      <c r="J35" s="426">
        <v>45740.629419999997</v>
      </c>
      <c r="K35" s="426">
        <v>46280.125610000003</v>
      </c>
      <c r="L35" s="426">
        <v>46464.676440000003</v>
      </c>
      <c r="M35" s="426">
        <v>47345.105060000002</v>
      </c>
      <c r="N35" s="426">
        <v>47907.869769999998</v>
      </c>
      <c r="O35" s="426">
        <v>47925.89084</v>
      </c>
      <c r="P35" s="426">
        <v>47943.294410000002</v>
      </c>
      <c r="Q35" s="426">
        <v>48043.127500000002</v>
      </c>
      <c r="R35" s="426">
        <v>48323.936350000004</v>
      </c>
      <c r="S35" s="426">
        <v>53872.364029999997</v>
      </c>
      <c r="T35" s="426">
        <v>55129.090909999999</v>
      </c>
      <c r="V35" s="426">
        <f t="shared" si="5"/>
        <v>48017.499598461545</v>
      </c>
    </row>
    <row r="36" spans="1:22">
      <c r="A36" s="426" t="str">
        <f t="shared" si="0"/>
        <v>KU</v>
      </c>
      <c r="B36" s="426" t="str">
        <f t="shared" si="1"/>
        <v>KY</v>
      </c>
      <c r="C36" s="426" t="str">
        <f t="shared" si="4"/>
        <v>E</v>
      </c>
      <c r="D36" s="426" t="s">
        <v>2655</v>
      </c>
      <c r="E36" s="426" t="str">
        <f t="shared" si="2"/>
        <v>317</v>
      </c>
      <c r="F36" s="741" t="s">
        <v>1736</v>
      </c>
      <c r="G36" s="425" t="str">
        <f t="shared" si="6"/>
        <v>ARO</v>
      </c>
      <c r="H36" s="426">
        <v>17500.314480000001</v>
      </c>
      <c r="I36" s="426">
        <v>17500.314480000001</v>
      </c>
      <c r="J36" s="426">
        <v>17500.314480000001</v>
      </c>
      <c r="K36" s="426">
        <v>17500.314480000001</v>
      </c>
      <c r="L36" s="426">
        <v>17500.314480000001</v>
      </c>
      <c r="M36" s="426">
        <v>17500.314480000001</v>
      </c>
      <c r="N36" s="426">
        <v>17500.314480000001</v>
      </c>
      <c r="O36" s="426">
        <v>17500.314480000001</v>
      </c>
      <c r="P36" s="426">
        <v>17500.314480000001</v>
      </c>
      <c r="Q36" s="426">
        <v>17500.314480000001</v>
      </c>
      <c r="R36" s="426">
        <v>17500.314480000001</v>
      </c>
      <c r="S36" s="426">
        <v>17500.314480000001</v>
      </c>
      <c r="T36" s="426">
        <v>17500.314480000001</v>
      </c>
      <c r="V36" s="426">
        <f t="shared" si="5"/>
        <v>17500.314480000001</v>
      </c>
    </row>
    <row r="37" spans="1:22">
      <c r="A37" s="426" t="str">
        <f t="shared" si="0"/>
        <v>KU</v>
      </c>
      <c r="B37" s="426" t="str">
        <f t="shared" si="1"/>
        <v>KY</v>
      </c>
      <c r="C37" s="426" t="str">
        <f t="shared" si="4"/>
        <v>E</v>
      </c>
      <c r="D37" s="426" t="s">
        <v>2655</v>
      </c>
      <c r="E37" s="426" t="str">
        <f t="shared" si="2"/>
        <v>317</v>
      </c>
      <c r="F37" s="741" t="s">
        <v>2398</v>
      </c>
      <c r="G37" s="425" t="str">
        <f t="shared" si="6"/>
        <v>ARO</v>
      </c>
      <c r="H37" s="426">
        <v>151787.7942</v>
      </c>
      <c r="I37" s="426">
        <v>151787.7942</v>
      </c>
      <c r="J37" s="426">
        <v>151787.7942</v>
      </c>
      <c r="K37" s="426">
        <v>151787.7942</v>
      </c>
      <c r="L37" s="426">
        <v>151787.7942</v>
      </c>
      <c r="M37" s="426">
        <v>151787.7942</v>
      </c>
      <c r="N37" s="426">
        <v>151787.7942</v>
      </c>
      <c r="O37" s="426">
        <v>128354.25358</v>
      </c>
      <c r="P37" s="426">
        <v>128354.25358</v>
      </c>
      <c r="Q37" s="426">
        <v>128354.25358</v>
      </c>
      <c r="R37" s="426">
        <v>128354.25358</v>
      </c>
      <c r="S37" s="426">
        <v>128354.25358</v>
      </c>
      <c r="T37" s="426">
        <v>128354.25358</v>
      </c>
      <c r="V37" s="426">
        <f t="shared" si="5"/>
        <v>140972.31391384618</v>
      </c>
    </row>
    <row r="38" spans="1:22">
      <c r="A38" s="426" t="str">
        <f t="shared" si="0"/>
        <v>KU</v>
      </c>
      <c r="B38" s="426" t="str">
        <f t="shared" si="1"/>
        <v>KY</v>
      </c>
      <c r="C38" s="426" t="str">
        <f t="shared" si="4"/>
        <v>E</v>
      </c>
      <c r="D38" s="426" t="s">
        <v>2655</v>
      </c>
      <c r="E38" s="426" t="str">
        <f t="shared" si="2"/>
        <v>330</v>
      </c>
      <c r="F38" s="741" t="s">
        <v>1737</v>
      </c>
      <c r="G38" s="425" t="str">
        <f t="shared" si="6"/>
        <v/>
      </c>
      <c r="H38" s="426">
        <v>855.63647000000003</v>
      </c>
      <c r="I38" s="426">
        <v>855.63647000000003</v>
      </c>
      <c r="J38" s="426">
        <v>855.63647000000003</v>
      </c>
      <c r="K38" s="426">
        <v>855.63647000000003</v>
      </c>
      <c r="L38" s="426">
        <v>855.63647000000003</v>
      </c>
      <c r="M38" s="426">
        <v>855.63647000000003</v>
      </c>
      <c r="N38" s="426">
        <v>855.63647000000003</v>
      </c>
      <c r="O38" s="426">
        <v>855.63647000000003</v>
      </c>
      <c r="P38" s="426">
        <v>855.63647000000003</v>
      </c>
      <c r="Q38" s="426">
        <v>855.63647000000003</v>
      </c>
      <c r="R38" s="426">
        <v>855.63647000000003</v>
      </c>
      <c r="S38" s="426">
        <v>855.63647000000003</v>
      </c>
      <c r="T38" s="426">
        <v>855.63647000000003</v>
      </c>
      <c r="V38" s="426">
        <f t="shared" si="5"/>
        <v>855.63647000000003</v>
      </c>
    </row>
    <row r="39" spans="1:22">
      <c r="A39" s="426" t="str">
        <f t="shared" si="0"/>
        <v>KU</v>
      </c>
      <c r="B39" s="426" t="str">
        <f t="shared" si="1"/>
        <v>KY</v>
      </c>
      <c r="C39" s="426" t="str">
        <f t="shared" si="4"/>
        <v>E</v>
      </c>
      <c r="D39" s="426" t="s">
        <v>2655</v>
      </c>
      <c r="E39" s="426" t="str">
        <f t="shared" si="2"/>
        <v>331</v>
      </c>
      <c r="F39" s="741" t="s">
        <v>1738</v>
      </c>
      <c r="G39" s="425" t="str">
        <f t="shared" si="6"/>
        <v/>
      </c>
      <c r="H39" s="426">
        <v>4526.6141900000002</v>
      </c>
      <c r="I39" s="426">
        <v>4526.6141900000002</v>
      </c>
      <c r="J39" s="426">
        <v>4526.6141900000002</v>
      </c>
      <c r="K39" s="426">
        <v>5384.0374899999997</v>
      </c>
      <c r="L39" s="426">
        <v>5384.0374899999997</v>
      </c>
      <c r="M39" s="426">
        <v>5384.0374899999997</v>
      </c>
      <c r="N39" s="426">
        <v>5384.0374899999997</v>
      </c>
      <c r="O39" s="426">
        <v>5384.0374899999997</v>
      </c>
      <c r="P39" s="426">
        <v>5384.0374899999997</v>
      </c>
      <c r="Q39" s="426">
        <v>5384.0374899999997</v>
      </c>
      <c r="R39" s="426">
        <v>5384.0374899999997</v>
      </c>
      <c r="S39" s="426">
        <v>5384.0374899999997</v>
      </c>
      <c r="T39" s="426">
        <v>5384.0374899999997</v>
      </c>
      <c r="V39" s="426">
        <f t="shared" si="5"/>
        <v>5186.1705746153848</v>
      </c>
    </row>
    <row r="40" spans="1:22">
      <c r="A40" s="426" t="str">
        <f t="shared" si="0"/>
        <v>KU</v>
      </c>
      <c r="B40" s="426" t="str">
        <f t="shared" si="1"/>
        <v>KY</v>
      </c>
      <c r="C40" s="426" t="str">
        <f t="shared" si="4"/>
        <v>E</v>
      </c>
      <c r="D40" s="426" t="s">
        <v>2655</v>
      </c>
      <c r="E40" s="426" t="str">
        <f t="shared" si="2"/>
        <v>332</v>
      </c>
      <c r="F40" s="741" t="s">
        <v>1739</v>
      </c>
      <c r="G40" s="425" t="str">
        <f t="shared" si="6"/>
        <v/>
      </c>
      <c r="H40" s="426">
        <v>21979.631450000001</v>
      </c>
      <c r="I40" s="426">
        <v>21979.631450000001</v>
      </c>
      <c r="J40" s="426">
        <v>21979.631450000001</v>
      </c>
      <c r="K40" s="426">
        <v>21979.631450000001</v>
      </c>
      <c r="L40" s="426">
        <v>21979.631450000001</v>
      </c>
      <c r="M40" s="426">
        <v>28367.153490000001</v>
      </c>
      <c r="N40" s="426">
        <v>28367.153490000001</v>
      </c>
      <c r="O40" s="426">
        <v>28367.153490000001</v>
      </c>
      <c r="P40" s="426">
        <v>28367.153490000001</v>
      </c>
      <c r="Q40" s="426">
        <v>28367.153490000001</v>
      </c>
      <c r="R40" s="426">
        <v>28367.153490000001</v>
      </c>
      <c r="S40" s="426">
        <v>28367.153490000001</v>
      </c>
      <c r="T40" s="426">
        <v>28367.153490000001</v>
      </c>
      <c r="V40" s="426">
        <f t="shared" si="5"/>
        <v>25910.414243846157</v>
      </c>
    </row>
    <row r="41" spans="1:22">
      <c r="A41" s="426" t="str">
        <f t="shared" si="0"/>
        <v>KU</v>
      </c>
      <c r="B41" s="426" t="str">
        <f t="shared" si="1"/>
        <v>KY</v>
      </c>
      <c r="C41" s="426" t="str">
        <f t="shared" si="4"/>
        <v>E</v>
      </c>
      <c r="D41" s="426" t="s">
        <v>2655</v>
      </c>
      <c r="E41" s="426" t="str">
        <f t="shared" si="2"/>
        <v>333</v>
      </c>
      <c r="F41" s="741" t="s">
        <v>1740</v>
      </c>
      <c r="G41" s="425" t="str">
        <f t="shared" si="6"/>
        <v/>
      </c>
      <c r="H41" s="426">
        <v>14046.74158</v>
      </c>
      <c r="I41" s="426">
        <v>14108.99958</v>
      </c>
      <c r="J41" s="426">
        <v>14108.99958</v>
      </c>
      <c r="K41" s="426">
        <v>14108.99958</v>
      </c>
      <c r="L41" s="426">
        <v>15225.819579999999</v>
      </c>
      <c r="M41" s="426">
        <v>15225.819579999999</v>
      </c>
      <c r="N41" s="426">
        <v>15225.819579999999</v>
      </c>
      <c r="O41" s="426">
        <v>15225.819579999999</v>
      </c>
      <c r="P41" s="426">
        <v>15225.819579999999</v>
      </c>
      <c r="Q41" s="426">
        <v>15225.819579999999</v>
      </c>
      <c r="R41" s="426">
        <v>15225.819579999999</v>
      </c>
      <c r="S41" s="426">
        <v>15225.819579999999</v>
      </c>
      <c r="T41" s="426">
        <v>15225.819579999999</v>
      </c>
      <c r="V41" s="426">
        <f t="shared" si="5"/>
        <v>14877.393580000002</v>
      </c>
    </row>
    <row r="42" spans="1:22">
      <c r="A42" s="426" t="str">
        <f t="shared" si="0"/>
        <v>KU</v>
      </c>
      <c r="B42" s="426" t="str">
        <f t="shared" si="1"/>
        <v>KY</v>
      </c>
      <c r="C42" s="426" t="str">
        <f t="shared" si="4"/>
        <v>E</v>
      </c>
      <c r="D42" s="426" t="s">
        <v>2655</v>
      </c>
      <c r="E42" s="426" t="str">
        <f t="shared" si="2"/>
        <v>334</v>
      </c>
      <c r="F42" s="741" t="s">
        <v>1741</v>
      </c>
      <c r="G42" s="425" t="str">
        <f t="shared" si="6"/>
        <v/>
      </c>
      <c r="H42" s="426">
        <v>1360.64715</v>
      </c>
      <c r="I42" s="426">
        <v>1382.16715</v>
      </c>
      <c r="J42" s="426">
        <v>1382.16715</v>
      </c>
      <c r="K42" s="426">
        <v>1382.16715</v>
      </c>
      <c r="L42" s="426">
        <v>1382.16715</v>
      </c>
      <c r="M42" s="426">
        <v>1382.16715</v>
      </c>
      <c r="N42" s="426">
        <v>1382.16715</v>
      </c>
      <c r="O42" s="426">
        <v>1382.16715</v>
      </c>
      <c r="P42" s="426">
        <v>1382.16715</v>
      </c>
      <c r="Q42" s="426">
        <v>1382.16715</v>
      </c>
      <c r="R42" s="426">
        <v>1382.16715</v>
      </c>
      <c r="S42" s="426">
        <v>1441.90815</v>
      </c>
      <c r="T42" s="426">
        <v>1441.90815</v>
      </c>
      <c r="V42" s="426">
        <f t="shared" si="5"/>
        <v>1389.7026884615382</v>
      </c>
    </row>
    <row r="43" spans="1:22">
      <c r="A43" s="426" t="str">
        <f t="shared" si="0"/>
        <v>KU</v>
      </c>
      <c r="B43" s="426" t="str">
        <f t="shared" si="1"/>
        <v>KY</v>
      </c>
      <c r="C43" s="426" t="str">
        <f t="shared" si="4"/>
        <v>E</v>
      </c>
      <c r="D43" s="426" t="s">
        <v>2655</v>
      </c>
      <c r="E43" s="426" t="str">
        <f t="shared" si="2"/>
        <v>335</v>
      </c>
      <c r="F43" s="741" t="s">
        <v>1742</v>
      </c>
      <c r="G43" s="425" t="str">
        <f t="shared" si="6"/>
        <v/>
      </c>
      <c r="H43" s="426">
        <v>329.37418000000002</v>
      </c>
      <c r="I43" s="426">
        <v>329.37418000000002</v>
      </c>
      <c r="J43" s="426">
        <v>329.37418000000002</v>
      </c>
      <c r="K43" s="426">
        <v>329.37418000000002</v>
      </c>
      <c r="L43" s="426">
        <v>329.37418000000002</v>
      </c>
      <c r="M43" s="426">
        <v>329.37418000000002</v>
      </c>
      <c r="N43" s="426">
        <v>329.37418000000002</v>
      </c>
      <c r="O43" s="426">
        <v>329.37418000000002</v>
      </c>
      <c r="P43" s="426">
        <v>329.37418000000002</v>
      </c>
      <c r="Q43" s="426">
        <v>329.37418000000002</v>
      </c>
      <c r="R43" s="426">
        <v>329.37418000000002</v>
      </c>
      <c r="S43" s="426">
        <v>329.37418000000002</v>
      </c>
      <c r="T43" s="426">
        <v>329.37418000000002</v>
      </c>
      <c r="V43" s="426">
        <f t="shared" si="5"/>
        <v>329.37417999999991</v>
      </c>
    </row>
    <row r="44" spans="1:22">
      <c r="A44" s="426" t="str">
        <f t="shared" si="0"/>
        <v>KU</v>
      </c>
      <c r="B44" s="426" t="str">
        <f t="shared" si="1"/>
        <v>KY</v>
      </c>
      <c r="C44" s="426" t="str">
        <f t="shared" si="4"/>
        <v>E</v>
      </c>
      <c r="D44" s="426" t="s">
        <v>2655</v>
      </c>
      <c r="E44" s="426" t="str">
        <f t="shared" si="2"/>
        <v>336</v>
      </c>
      <c r="F44" s="741" t="s">
        <v>1743</v>
      </c>
      <c r="G44" s="425" t="str">
        <f t="shared" si="6"/>
        <v/>
      </c>
      <c r="H44" s="426">
        <v>198.89982999999901</v>
      </c>
      <c r="I44" s="426">
        <v>198.89982999999901</v>
      </c>
      <c r="J44" s="426">
        <v>198.89982999999901</v>
      </c>
      <c r="K44" s="426">
        <v>198.89982999999901</v>
      </c>
      <c r="L44" s="426">
        <v>198.89982999999901</v>
      </c>
      <c r="M44" s="426">
        <v>198.89982999999901</v>
      </c>
      <c r="N44" s="426">
        <v>198.89982999999901</v>
      </c>
      <c r="O44" s="426">
        <v>198.89982999999901</v>
      </c>
      <c r="P44" s="426">
        <v>198.89982999999901</v>
      </c>
      <c r="Q44" s="426">
        <v>198.89982999999901</v>
      </c>
      <c r="R44" s="426">
        <v>198.89982999999901</v>
      </c>
      <c r="S44" s="426">
        <v>198.89982999999901</v>
      </c>
      <c r="T44" s="426">
        <v>198.89982999999901</v>
      </c>
      <c r="V44" s="426">
        <f t="shared" si="5"/>
        <v>198.89982999999896</v>
      </c>
    </row>
    <row r="45" spans="1:22">
      <c r="A45" s="426" t="str">
        <f t="shared" si="0"/>
        <v>KU</v>
      </c>
      <c r="B45" s="426" t="str">
        <f t="shared" si="1"/>
        <v>KY</v>
      </c>
      <c r="C45" s="426" t="str">
        <f t="shared" si="4"/>
        <v>E</v>
      </c>
      <c r="D45" s="426" t="s">
        <v>2655</v>
      </c>
      <c r="E45" s="426" t="str">
        <f t="shared" si="2"/>
        <v>337</v>
      </c>
      <c r="F45" s="741" t="s">
        <v>1744</v>
      </c>
      <c r="G45" s="425" t="str">
        <f t="shared" si="6"/>
        <v>ARO</v>
      </c>
      <c r="H45" s="426">
        <v>645.78799000000004</v>
      </c>
      <c r="I45" s="426">
        <v>645.78799000000004</v>
      </c>
      <c r="J45" s="426">
        <v>645.78799000000004</v>
      </c>
      <c r="K45" s="426">
        <v>645.78799000000004</v>
      </c>
      <c r="L45" s="426">
        <v>645.78799000000004</v>
      </c>
      <c r="M45" s="426">
        <v>645.78799000000004</v>
      </c>
      <c r="N45" s="426">
        <v>645.78799000000004</v>
      </c>
      <c r="O45" s="426">
        <v>645.78799000000004</v>
      </c>
      <c r="P45" s="426">
        <v>645.78799000000004</v>
      </c>
      <c r="Q45" s="426">
        <v>645.78799000000004</v>
      </c>
      <c r="R45" s="426">
        <v>645.78799000000004</v>
      </c>
      <c r="S45" s="426">
        <v>645.78799000000004</v>
      </c>
      <c r="T45" s="426">
        <v>645.78799000000004</v>
      </c>
      <c r="V45" s="426">
        <f t="shared" si="5"/>
        <v>645.78798999999992</v>
      </c>
    </row>
    <row r="46" spans="1:22">
      <c r="A46" s="426" t="str">
        <f t="shared" si="0"/>
        <v>KU</v>
      </c>
      <c r="B46" s="426" t="str">
        <f t="shared" si="1"/>
        <v>KY</v>
      </c>
      <c r="C46" s="426" t="str">
        <f t="shared" si="4"/>
        <v>F</v>
      </c>
      <c r="D46" s="426" t="s">
        <v>2655</v>
      </c>
      <c r="E46" s="426" t="str">
        <f t="shared" si="2"/>
        <v>340</v>
      </c>
      <c r="F46" s="741" t="s">
        <v>2182</v>
      </c>
      <c r="G46" s="425" t="str">
        <f t="shared" si="6"/>
        <v>FUTURE USE</v>
      </c>
      <c r="H46" s="426">
        <v>309.541</v>
      </c>
      <c r="I46" s="426">
        <v>309.541</v>
      </c>
      <c r="J46" s="426">
        <v>309.541</v>
      </c>
      <c r="K46" s="426">
        <v>309.541</v>
      </c>
      <c r="L46" s="426">
        <v>309.541</v>
      </c>
      <c r="M46" s="426">
        <v>309.541</v>
      </c>
      <c r="N46" s="426">
        <v>309.541</v>
      </c>
      <c r="O46" s="426">
        <v>309.541</v>
      </c>
      <c r="P46" s="426">
        <v>309.541</v>
      </c>
      <c r="Q46" s="426">
        <v>309.541</v>
      </c>
      <c r="R46" s="426">
        <v>309.541</v>
      </c>
      <c r="S46" s="426">
        <v>309.541</v>
      </c>
      <c r="T46" s="426">
        <v>309.541</v>
      </c>
      <c r="V46" s="426">
        <f t="shared" si="5"/>
        <v>309.54100000000005</v>
      </c>
    </row>
    <row r="47" spans="1:22">
      <c r="A47" s="426" t="str">
        <f t="shared" si="0"/>
        <v>KU</v>
      </c>
      <c r="B47" s="426" t="str">
        <f t="shared" si="1"/>
        <v>KY</v>
      </c>
      <c r="C47" s="426" t="str">
        <f t="shared" si="4"/>
        <v>E</v>
      </c>
      <c r="D47" s="426" t="s">
        <v>2655</v>
      </c>
      <c r="E47" s="426" t="str">
        <f t="shared" si="2"/>
        <v>340</v>
      </c>
      <c r="F47" s="741" t="s">
        <v>2183</v>
      </c>
      <c r="G47" s="425" t="str">
        <f t="shared" si="6"/>
        <v/>
      </c>
      <c r="H47" s="426">
        <v>236.73195999999999</v>
      </c>
      <c r="I47" s="426">
        <v>236.73195999999999</v>
      </c>
      <c r="J47" s="426">
        <v>236.73195999999999</v>
      </c>
      <c r="K47" s="426">
        <v>236.73195999999999</v>
      </c>
      <c r="L47" s="426">
        <v>236.73195999999999</v>
      </c>
      <c r="M47" s="426">
        <v>236.73195999999999</v>
      </c>
      <c r="N47" s="426">
        <v>236.73195999999999</v>
      </c>
      <c r="O47" s="426">
        <v>236.73195999999999</v>
      </c>
      <c r="P47" s="426">
        <v>236.73195999999999</v>
      </c>
      <c r="Q47" s="426">
        <v>236.73195999999999</v>
      </c>
      <c r="R47" s="426">
        <v>236.73195999999999</v>
      </c>
      <c r="S47" s="426">
        <v>236.73195999999999</v>
      </c>
      <c r="T47" s="426">
        <v>236.73195999999999</v>
      </c>
      <c r="V47" s="426">
        <f t="shared" si="5"/>
        <v>236.73196000000004</v>
      </c>
    </row>
    <row r="48" spans="1:22">
      <c r="A48" s="426" t="str">
        <f t="shared" si="0"/>
        <v>KU</v>
      </c>
      <c r="B48" s="426" t="str">
        <f t="shared" si="1"/>
        <v>KY</v>
      </c>
      <c r="C48" s="426" t="str">
        <f t="shared" si="4"/>
        <v>E</v>
      </c>
      <c r="D48" s="426" t="s">
        <v>2655</v>
      </c>
      <c r="E48" s="426" t="str">
        <f t="shared" si="2"/>
        <v>340</v>
      </c>
      <c r="F48" s="741" t="s">
        <v>1745</v>
      </c>
      <c r="G48" s="425" t="str">
        <f t="shared" si="6"/>
        <v/>
      </c>
      <c r="H48" s="426">
        <v>657.78079000000002</v>
      </c>
      <c r="I48" s="426">
        <v>657.78079000000002</v>
      </c>
      <c r="J48" s="426">
        <v>657.78079000000002</v>
      </c>
      <c r="K48" s="426">
        <v>657.78079000000002</v>
      </c>
      <c r="L48" s="426">
        <v>657.78079000000002</v>
      </c>
      <c r="M48" s="426">
        <v>657.78079000000002</v>
      </c>
      <c r="N48" s="426">
        <v>657.78079000000002</v>
      </c>
      <c r="O48" s="426">
        <v>657.78079000000002</v>
      </c>
      <c r="P48" s="426">
        <v>657.78079000000002</v>
      </c>
      <c r="Q48" s="426">
        <v>657.78079000000002</v>
      </c>
      <c r="R48" s="426">
        <v>657.78079000000002</v>
      </c>
      <c r="S48" s="426">
        <v>657.78079000000002</v>
      </c>
      <c r="T48" s="426">
        <v>657.78079000000002</v>
      </c>
      <c r="V48" s="426">
        <f t="shared" si="5"/>
        <v>657.78078999999991</v>
      </c>
    </row>
    <row r="49" spans="1:22">
      <c r="A49" s="426" t="str">
        <f t="shared" si="0"/>
        <v>KU</v>
      </c>
      <c r="B49" s="426" t="str">
        <f t="shared" si="1"/>
        <v>KY</v>
      </c>
      <c r="C49" s="426" t="str">
        <f t="shared" si="4"/>
        <v>E</v>
      </c>
      <c r="D49" s="426" t="s">
        <v>2655</v>
      </c>
      <c r="E49" s="426" t="str">
        <f t="shared" si="2"/>
        <v>341</v>
      </c>
      <c r="F49" s="741" t="s">
        <v>1746</v>
      </c>
      <c r="G49" s="425" t="str">
        <f t="shared" si="6"/>
        <v/>
      </c>
      <c r="H49" s="426">
        <v>37280.195299999999</v>
      </c>
      <c r="I49" s="426">
        <v>37280.195299999999</v>
      </c>
      <c r="J49" s="426">
        <v>37280.195299999999</v>
      </c>
      <c r="K49" s="426">
        <v>37280.195299999999</v>
      </c>
      <c r="L49" s="426">
        <v>37280.195299999999</v>
      </c>
      <c r="M49" s="426">
        <v>37280.195299999999</v>
      </c>
      <c r="N49" s="426">
        <v>37280.195299999999</v>
      </c>
      <c r="O49" s="426">
        <v>37280.195299999999</v>
      </c>
      <c r="P49" s="426">
        <v>37280.195299999999</v>
      </c>
      <c r="Q49" s="426">
        <v>37280.195299999999</v>
      </c>
      <c r="R49" s="426">
        <v>37280.195299999999</v>
      </c>
      <c r="S49" s="426">
        <v>37280.195299999999</v>
      </c>
      <c r="T49" s="426">
        <v>37280.195299999999</v>
      </c>
      <c r="V49" s="426">
        <f t="shared" si="5"/>
        <v>37280.195300000007</v>
      </c>
    </row>
    <row r="50" spans="1:22">
      <c r="A50" s="426" t="str">
        <f t="shared" si="0"/>
        <v>KU</v>
      </c>
      <c r="B50" s="426" t="str">
        <f t="shared" si="1"/>
        <v>KY</v>
      </c>
      <c r="C50" s="426" t="str">
        <f t="shared" si="4"/>
        <v>E</v>
      </c>
      <c r="D50" s="426" t="s">
        <v>2655</v>
      </c>
      <c r="E50" s="426" t="str">
        <f t="shared" si="2"/>
        <v>341</v>
      </c>
      <c r="F50" s="741" t="s">
        <v>2184</v>
      </c>
      <c r="G50" s="425" t="str">
        <f t="shared" si="6"/>
        <v/>
      </c>
      <c r="H50" s="426">
        <v>51001.611989999998</v>
      </c>
      <c r="I50" s="426">
        <v>51001.611989999998</v>
      </c>
      <c r="J50" s="426">
        <v>51001.611989999998</v>
      </c>
      <c r="K50" s="426">
        <v>51001.611989999998</v>
      </c>
      <c r="L50" s="426">
        <v>51001.611989999998</v>
      </c>
      <c r="M50" s="426">
        <v>51001.611989999998</v>
      </c>
      <c r="N50" s="426">
        <v>51001.611989999998</v>
      </c>
      <c r="O50" s="426">
        <v>51001.611989999998</v>
      </c>
      <c r="P50" s="426">
        <v>51001.611989999998</v>
      </c>
      <c r="Q50" s="426">
        <v>51001.611989999998</v>
      </c>
      <c r="R50" s="426">
        <v>51001.611989999998</v>
      </c>
      <c r="S50" s="426">
        <v>51001.611989999998</v>
      </c>
      <c r="T50" s="426">
        <v>51001.611989999998</v>
      </c>
      <c r="V50" s="426">
        <f t="shared" si="5"/>
        <v>51001.611989999998</v>
      </c>
    </row>
    <row r="51" spans="1:22">
      <c r="A51" s="426" t="str">
        <f t="shared" si="0"/>
        <v>KU</v>
      </c>
      <c r="B51" s="426" t="str">
        <f t="shared" si="1"/>
        <v>KY</v>
      </c>
      <c r="C51" s="426" t="str">
        <f t="shared" si="4"/>
        <v>E</v>
      </c>
      <c r="D51" s="426" t="s">
        <v>2655</v>
      </c>
      <c r="E51" s="426" t="str">
        <f t="shared" si="2"/>
        <v>341</v>
      </c>
      <c r="F51" s="741" t="s">
        <v>2185</v>
      </c>
      <c r="G51" s="425" t="str">
        <f t="shared" si="6"/>
        <v/>
      </c>
      <c r="H51" s="426">
        <v>2257.4882400000001</v>
      </c>
      <c r="I51" s="426">
        <v>2257.4882400000001</v>
      </c>
      <c r="J51" s="426">
        <v>2257.4882400000001</v>
      </c>
      <c r="K51" s="426">
        <v>2257.4882400000001</v>
      </c>
      <c r="L51" s="426">
        <v>2257.4882400000001</v>
      </c>
      <c r="M51" s="426">
        <v>2257.4882400000001</v>
      </c>
      <c r="N51" s="426">
        <v>2257.4882400000001</v>
      </c>
      <c r="O51" s="426">
        <v>2257.4882400000001</v>
      </c>
      <c r="P51" s="426">
        <v>2257.4882400000001</v>
      </c>
      <c r="Q51" s="426">
        <v>2257.4882400000001</v>
      </c>
      <c r="R51" s="426">
        <v>2257.4882400000001</v>
      </c>
      <c r="S51" s="426">
        <v>2257.4882400000001</v>
      </c>
      <c r="T51" s="426">
        <v>2257.4882400000001</v>
      </c>
      <c r="V51" s="426">
        <f t="shared" si="5"/>
        <v>2257.4882399999997</v>
      </c>
    </row>
    <row r="52" spans="1:22">
      <c r="A52" s="426" t="str">
        <f t="shared" si="0"/>
        <v>KU</v>
      </c>
      <c r="B52" s="426" t="str">
        <f t="shared" si="1"/>
        <v>KY</v>
      </c>
      <c r="C52" s="426" t="str">
        <f t="shared" si="4"/>
        <v>E</v>
      </c>
      <c r="D52" s="426" t="s">
        <v>2655</v>
      </c>
      <c r="E52" s="426" t="str">
        <f t="shared" si="2"/>
        <v>342</v>
      </c>
      <c r="F52" s="741" t="s">
        <v>1747</v>
      </c>
      <c r="G52" s="425" t="str">
        <f t="shared" si="6"/>
        <v/>
      </c>
      <c r="H52" s="426">
        <v>12239.229160000001</v>
      </c>
      <c r="I52" s="426">
        <v>12239.229160000001</v>
      </c>
      <c r="J52" s="426">
        <v>12239.229160000001</v>
      </c>
      <c r="K52" s="426">
        <v>12239.229160000001</v>
      </c>
      <c r="L52" s="426">
        <v>12239.229160000001</v>
      </c>
      <c r="M52" s="426">
        <v>12239.229160000001</v>
      </c>
      <c r="N52" s="426">
        <v>12239.229160000001</v>
      </c>
      <c r="O52" s="426">
        <v>12239.229160000001</v>
      </c>
      <c r="P52" s="426">
        <v>12239.229160000001</v>
      </c>
      <c r="Q52" s="426">
        <v>12239.229160000001</v>
      </c>
      <c r="R52" s="426">
        <v>12239.229160000001</v>
      </c>
      <c r="S52" s="426">
        <v>12239.229160000001</v>
      </c>
      <c r="T52" s="426">
        <v>12239.229160000001</v>
      </c>
      <c r="V52" s="426">
        <f t="shared" si="5"/>
        <v>12239.229159999999</v>
      </c>
    </row>
    <row r="53" spans="1:22">
      <c r="A53" s="426" t="str">
        <f t="shared" si="0"/>
        <v>KU</v>
      </c>
      <c r="B53" s="426" t="str">
        <f t="shared" si="1"/>
        <v>KY</v>
      </c>
      <c r="C53" s="426" t="str">
        <f t="shared" si="4"/>
        <v>E</v>
      </c>
      <c r="D53" s="426" t="s">
        <v>2655</v>
      </c>
      <c r="E53" s="426" t="str">
        <f t="shared" si="2"/>
        <v>342</v>
      </c>
      <c r="F53" s="741" t="s">
        <v>2186</v>
      </c>
      <c r="G53" s="425" t="str">
        <f t="shared" si="6"/>
        <v/>
      </c>
      <c r="H53" s="426">
        <v>6595.5180999999902</v>
      </c>
      <c r="I53" s="426">
        <v>6595.5180999999902</v>
      </c>
      <c r="J53" s="426">
        <v>6595.5180999999902</v>
      </c>
      <c r="K53" s="426">
        <v>6595.5180999999902</v>
      </c>
      <c r="L53" s="426">
        <v>6595.5180999999902</v>
      </c>
      <c r="M53" s="426">
        <v>6595.5180999999902</v>
      </c>
      <c r="N53" s="426">
        <v>6595.5180999999902</v>
      </c>
      <c r="O53" s="426">
        <v>6595.5180999999902</v>
      </c>
      <c r="P53" s="426">
        <v>6595.5180999999902</v>
      </c>
      <c r="Q53" s="426">
        <v>6595.5180999999902</v>
      </c>
      <c r="R53" s="426">
        <v>6595.5180999999902</v>
      </c>
      <c r="S53" s="426">
        <v>6595.5180999999902</v>
      </c>
      <c r="T53" s="426">
        <v>6595.5180999999902</v>
      </c>
      <c r="V53" s="426">
        <f t="shared" si="5"/>
        <v>6595.5180999999875</v>
      </c>
    </row>
    <row r="54" spans="1:22">
      <c r="A54" s="426" t="str">
        <f t="shared" si="0"/>
        <v>KU</v>
      </c>
      <c r="B54" s="426" t="str">
        <f t="shared" si="1"/>
        <v>KY</v>
      </c>
      <c r="C54" s="426" t="str">
        <f t="shared" si="4"/>
        <v>E</v>
      </c>
      <c r="D54" s="426" t="s">
        <v>2655</v>
      </c>
      <c r="E54" s="426" t="str">
        <f t="shared" si="2"/>
        <v>342</v>
      </c>
      <c r="F54" s="741" t="s">
        <v>2187</v>
      </c>
      <c r="G54" s="425" t="str">
        <f t="shared" si="6"/>
        <v/>
      </c>
      <c r="H54" s="426">
        <v>65333.67211</v>
      </c>
      <c r="I54" s="426">
        <v>65333.67211</v>
      </c>
      <c r="J54" s="426">
        <v>65333.67211</v>
      </c>
      <c r="K54" s="426">
        <v>65333.67211</v>
      </c>
      <c r="L54" s="426">
        <v>65333.67211</v>
      </c>
      <c r="M54" s="426">
        <v>65333.67211</v>
      </c>
      <c r="N54" s="426">
        <v>65333.67211</v>
      </c>
      <c r="O54" s="426">
        <v>65333.67211</v>
      </c>
      <c r="P54" s="426">
        <v>65333.67211</v>
      </c>
      <c r="Q54" s="426">
        <v>65333.67211</v>
      </c>
      <c r="R54" s="426">
        <v>65333.67211</v>
      </c>
      <c r="S54" s="426">
        <v>65333.67211</v>
      </c>
      <c r="T54" s="426">
        <v>65333.67211</v>
      </c>
      <c r="V54" s="426">
        <f t="shared" si="5"/>
        <v>65333.672110000007</v>
      </c>
    </row>
    <row r="55" spans="1:22">
      <c r="A55" s="426" t="str">
        <f t="shared" si="0"/>
        <v>KU</v>
      </c>
      <c r="B55" s="426" t="str">
        <f t="shared" si="1"/>
        <v>KY</v>
      </c>
      <c r="C55" s="426" t="str">
        <f t="shared" si="4"/>
        <v>E</v>
      </c>
      <c r="D55" s="426" t="s">
        <v>2655</v>
      </c>
      <c r="E55" s="426" t="str">
        <f t="shared" si="2"/>
        <v>343</v>
      </c>
      <c r="F55" s="741" t="s">
        <v>1748</v>
      </c>
      <c r="G55" s="425" t="str">
        <f t="shared" si="6"/>
        <v/>
      </c>
      <c r="H55" s="426">
        <v>422323.07480999897</v>
      </c>
      <c r="I55" s="426">
        <v>422323.07480999897</v>
      </c>
      <c r="J55" s="426">
        <v>422922.70921999897</v>
      </c>
      <c r="K55" s="426">
        <v>423128.42941999901</v>
      </c>
      <c r="L55" s="426">
        <v>423461.87941999902</v>
      </c>
      <c r="M55" s="426">
        <v>423461.87941999902</v>
      </c>
      <c r="N55" s="426">
        <v>427767.490029999</v>
      </c>
      <c r="O55" s="426">
        <v>427767.490029999</v>
      </c>
      <c r="P55" s="426">
        <v>427767.490029999</v>
      </c>
      <c r="Q55" s="426">
        <v>427767.490029999</v>
      </c>
      <c r="R55" s="426">
        <v>436849.213519999</v>
      </c>
      <c r="S55" s="426">
        <v>436849.213519999</v>
      </c>
      <c r="T55" s="426">
        <v>436849.213519999</v>
      </c>
      <c r="V55" s="426">
        <f t="shared" si="5"/>
        <v>427633.74213692202</v>
      </c>
    </row>
    <row r="56" spans="1:22">
      <c r="A56" s="426" t="str">
        <f t="shared" si="0"/>
        <v>KU</v>
      </c>
      <c r="B56" s="426" t="str">
        <f t="shared" si="1"/>
        <v>KY</v>
      </c>
      <c r="C56" s="426" t="str">
        <f t="shared" si="4"/>
        <v>E</v>
      </c>
      <c r="D56" s="426" t="s">
        <v>2655</v>
      </c>
      <c r="E56" s="426" t="str">
        <f t="shared" si="2"/>
        <v>343</v>
      </c>
      <c r="F56" s="741" t="s">
        <v>2188</v>
      </c>
      <c r="G56" s="425" t="str">
        <f t="shared" si="6"/>
        <v/>
      </c>
      <c r="H56" s="426">
        <v>272305.78535999899</v>
      </c>
      <c r="I56" s="426">
        <v>272305.78535999899</v>
      </c>
      <c r="J56" s="426">
        <v>272305.78535999899</v>
      </c>
      <c r="K56" s="426">
        <v>272305.78535999899</v>
      </c>
      <c r="L56" s="426">
        <v>274040.06962999899</v>
      </c>
      <c r="M56" s="426">
        <v>274040.06962999899</v>
      </c>
      <c r="N56" s="426">
        <v>274040.06962999899</v>
      </c>
      <c r="O56" s="426">
        <v>274040.06962999899</v>
      </c>
      <c r="P56" s="426">
        <v>274040.06962999899</v>
      </c>
      <c r="Q56" s="426">
        <v>278887.813469999</v>
      </c>
      <c r="R56" s="426">
        <v>278887.813469999</v>
      </c>
      <c r="S56" s="426">
        <v>278887.813469999</v>
      </c>
      <c r="T56" s="426">
        <v>278887.813469999</v>
      </c>
      <c r="V56" s="426">
        <f t="shared" si="5"/>
        <v>274998.05718999897</v>
      </c>
    </row>
    <row r="57" spans="1:22">
      <c r="A57" s="426" t="str">
        <f t="shared" si="0"/>
        <v>KU</v>
      </c>
      <c r="B57" s="426" t="str">
        <f t="shared" si="1"/>
        <v>KY</v>
      </c>
      <c r="C57" s="426" t="str">
        <f t="shared" si="4"/>
        <v>E</v>
      </c>
      <c r="D57" s="426" t="s">
        <v>2655</v>
      </c>
      <c r="E57" s="426" t="str">
        <f t="shared" si="2"/>
        <v>344</v>
      </c>
      <c r="F57" s="741" t="s">
        <v>1749</v>
      </c>
      <c r="G57" s="425" t="str">
        <f t="shared" si="6"/>
        <v/>
      </c>
      <c r="H57" s="426">
        <v>60524.249499999998</v>
      </c>
      <c r="I57" s="426">
        <v>60524.249499999998</v>
      </c>
      <c r="J57" s="426">
        <v>60524.249499999998</v>
      </c>
      <c r="K57" s="426">
        <v>60524.249499999998</v>
      </c>
      <c r="L57" s="426">
        <v>60524.249499999998</v>
      </c>
      <c r="M57" s="426">
        <v>60524.249499999998</v>
      </c>
      <c r="N57" s="426">
        <v>60524.249499999998</v>
      </c>
      <c r="O57" s="426">
        <v>60524.249499999998</v>
      </c>
      <c r="P57" s="426">
        <v>60524.249499999998</v>
      </c>
      <c r="Q57" s="426">
        <v>60524.249499999998</v>
      </c>
      <c r="R57" s="426">
        <v>60524.249499999998</v>
      </c>
      <c r="S57" s="426">
        <v>60524.249499999998</v>
      </c>
      <c r="T57" s="426">
        <v>60524.249499999998</v>
      </c>
      <c r="V57" s="426">
        <f t="shared" si="5"/>
        <v>60524.249500000005</v>
      </c>
    </row>
    <row r="58" spans="1:22">
      <c r="A58" s="426" t="str">
        <f t="shared" si="0"/>
        <v>KU</v>
      </c>
      <c r="B58" s="426" t="str">
        <f t="shared" si="1"/>
        <v>KY</v>
      </c>
      <c r="C58" s="426" t="str">
        <f t="shared" si="4"/>
        <v>E</v>
      </c>
      <c r="D58" s="426" t="s">
        <v>2655</v>
      </c>
      <c r="E58" s="426" t="str">
        <f t="shared" si="2"/>
        <v>344</v>
      </c>
      <c r="F58" s="741" t="s">
        <v>2189</v>
      </c>
      <c r="G58" s="425" t="str">
        <f t="shared" si="6"/>
        <v/>
      </c>
      <c r="H58" s="426">
        <v>62784.586920000002</v>
      </c>
      <c r="I58" s="426">
        <v>62784.586920000002</v>
      </c>
      <c r="J58" s="426">
        <v>62784.586920000002</v>
      </c>
      <c r="K58" s="426">
        <v>62784.586920000002</v>
      </c>
      <c r="L58" s="426">
        <v>62784.586920000002</v>
      </c>
      <c r="M58" s="426">
        <v>62784.586920000002</v>
      </c>
      <c r="N58" s="426">
        <v>62784.586920000002</v>
      </c>
      <c r="O58" s="426">
        <v>62784.586920000002</v>
      </c>
      <c r="P58" s="426">
        <v>62784.586920000002</v>
      </c>
      <c r="Q58" s="426">
        <v>62784.586920000002</v>
      </c>
      <c r="R58" s="426">
        <v>62784.586920000002</v>
      </c>
      <c r="S58" s="426">
        <v>62784.586920000002</v>
      </c>
      <c r="T58" s="426">
        <v>62784.586920000002</v>
      </c>
      <c r="V58" s="426">
        <f t="shared" si="5"/>
        <v>62784.586920000023</v>
      </c>
    </row>
    <row r="59" spans="1:22">
      <c r="A59" s="426" t="str">
        <f t="shared" si="0"/>
        <v>KU</v>
      </c>
      <c r="B59" s="426" t="str">
        <f t="shared" si="1"/>
        <v>KY</v>
      </c>
      <c r="C59" s="426" t="str">
        <f t="shared" si="4"/>
        <v>E</v>
      </c>
      <c r="D59" s="426" t="s">
        <v>2655</v>
      </c>
      <c r="E59" s="426" t="str">
        <f t="shared" si="2"/>
        <v>344</v>
      </c>
      <c r="F59" s="741" t="s">
        <v>2190</v>
      </c>
      <c r="G59" s="425" t="str">
        <f t="shared" si="6"/>
        <v/>
      </c>
      <c r="H59" s="426">
        <v>13784.648160000001</v>
      </c>
      <c r="I59" s="426">
        <v>13784.648160000001</v>
      </c>
      <c r="J59" s="426">
        <v>13784.648160000001</v>
      </c>
      <c r="K59" s="426">
        <v>13784.648160000001</v>
      </c>
      <c r="L59" s="426">
        <v>13784.648160000001</v>
      </c>
      <c r="M59" s="426">
        <v>13784.648160000001</v>
      </c>
      <c r="N59" s="426">
        <v>14797.84773</v>
      </c>
      <c r="O59" s="426">
        <v>14797.84773</v>
      </c>
      <c r="P59" s="426">
        <v>14797.84773</v>
      </c>
      <c r="Q59" s="426">
        <v>14797.84773</v>
      </c>
      <c r="R59" s="426">
        <v>14797.84773</v>
      </c>
      <c r="S59" s="426">
        <v>14797.84773</v>
      </c>
      <c r="T59" s="426">
        <v>14797.84773</v>
      </c>
      <c r="V59" s="426">
        <f t="shared" si="5"/>
        <v>14330.21715923077</v>
      </c>
    </row>
    <row r="60" spans="1:22">
      <c r="A60" s="426" t="str">
        <f t="shared" si="0"/>
        <v>KU</v>
      </c>
      <c r="B60" s="426" t="str">
        <f t="shared" si="1"/>
        <v>KY</v>
      </c>
      <c r="C60" s="426" t="str">
        <f t="shared" si="4"/>
        <v>E</v>
      </c>
      <c r="D60" s="426" t="s">
        <v>2655</v>
      </c>
      <c r="E60" s="426" t="str">
        <f t="shared" si="2"/>
        <v>344</v>
      </c>
      <c r="F60" s="741" t="s">
        <v>2718</v>
      </c>
      <c r="G60" s="425" t="str">
        <f t="shared" si="6"/>
        <v/>
      </c>
      <c r="H60" s="426">
        <v>247.88568999999899</v>
      </c>
      <c r="I60" s="426">
        <v>247.88568999999899</v>
      </c>
      <c r="J60" s="426">
        <v>247.88568999999899</v>
      </c>
      <c r="K60" s="426">
        <v>247.88568999999899</v>
      </c>
      <c r="L60" s="426">
        <v>247.88568999999899</v>
      </c>
      <c r="M60" s="426">
        <v>247.88568999999899</v>
      </c>
      <c r="N60" s="426">
        <v>247.88568999999899</v>
      </c>
      <c r="O60" s="426">
        <v>247.88568999999899</v>
      </c>
      <c r="P60" s="426">
        <v>247.88568999999899</v>
      </c>
      <c r="Q60" s="426">
        <v>247.88568999999899</v>
      </c>
      <c r="R60" s="426">
        <v>247.88568999999899</v>
      </c>
      <c r="S60" s="426">
        <v>247.88568999999899</v>
      </c>
      <c r="T60" s="426">
        <v>247.88568999999899</v>
      </c>
      <c r="V60" s="426">
        <f t="shared" si="5"/>
        <v>247.88568999999902</v>
      </c>
    </row>
    <row r="61" spans="1:22">
      <c r="A61" s="426" t="str">
        <f t="shared" si="0"/>
        <v>KU</v>
      </c>
      <c r="B61" s="426" t="str">
        <f t="shared" si="1"/>
        <v>KY</v>
      </c>
      <c r="C61" s="426" t="str">
        <f t="shared" si="4"/>
        <v>E</v>
      </c>
      <c r="D61" s="426" t="s">
        <v>2655</v>
      </c>
      <c r="E61" s="426" t="str">
        <f t="shared" si="2"/>
        <v>345</v>
      </c>
      <c r="F61" s="741" t="s">
        <v>1750</v>
      </c>
      <c r="G61" s="425" t="str">
        <f t="shared" si="6"/>
        <v/>
      </c>
      <c r="H61" s="426">
        <v>52224.924679999996</v>
      </c>
      <c r="I61" s="426">
        <v>52224.924679999996</v>
      </c>
      <c r="J61" s="426">
        <v>52224.924679999996</v>
      </c>
      <c r="K61" s="426">
        <v>52224.924679999996</v>
      </c>
      <c r="L61" s="426">
        <v>52224.924679999996</v>
      </c>
      <c r="M61" s="426">
        <v>52224.924679999996</v>
      </c>
      <c r="N61" s="426">
        <v>52224.924679999996</v>
      </c>
      <c r="O61" s="426">
        <v>52224.924679999996</v>
      </c>
      <c r="P61" s="426">
        <v>52224.924679999996</v>
      </c>
      <c r="Q61" s="426">
        <v>52224.924679999996</v>
      </c>
      <c r="R61" s="426">
        <v>52224.924679999996</v>
      </c>
      <c r="S61" s="426">
        <v>52224.924679999996</v>
      </c>
      <c r="T61" s="426">
        <v>52224.924679999996</v>
      </c>
      <c r="V61" s="426">
        <f t="shared" si="5"/>
        <v>52224.924679999989</v>
      </c>
    </row>
    <row r="62" spans="1:22">
      <c r="A62" s="426" t="str">
        <f t="shared" si="0"/>
        <v>KU</v>
      </c>
      <c r="B62" s="426" t="str">
        <f t="shared" si="1"/>
        <v>KY</v>
      </c>
      <c r="C62" s="426" t="str">
        <f t="shared" si="4"/>
        <v>E</v>
      </c>
      <c r="D62" s="426" t="s">
        <v>2655</v>
      </c>
      <c r="E62" s="426" t="str">
        <f t="shared" si="2"/>
        <v>345</v>
      </c>
      <c r="F62" s="741" t="s">
        <v>2191</v>
      </c>
      <c r="G62" s="425" t="str">
        <f t="shared" si="6"/>
        <v/>
      </c>
      <c r="H62" s="426">
        <v>24588.26153</v>
      </c>
      <c r="I62" s="426">
        <v>24588.26153</v>
      </c>
      <c r="J62" s="426">
        <v>24588.26153</v>
      </c>
      <c r="K62" s="426">
        <v>24588.26153</v>
      </c>
      <c r="L62" s="426">
        <v>24588.26153</v>
      </c>
      <c r="M62" s="426">
        <v>24588.26153</v>
      </c>
      <c r="N62" s="426">
        <v>24588.26153</v>
      </c>
      <c r="O62" s="426">
        <v>24588.26153</v>
      </c>
      <c r="P62" s="426">
        <v>24588.26153</v>
      </c>
      <c r="Q62" s="426">
        <v>24588.26153</v>
      </c>
      <c r="R62" s="426">
        <v>24588.26153</v>
      </c>
      <c r="S62" s="426">
        <v>24588.26153</v>
      </c>
      <c r="T62" s="426">
        <v>24588.26153</v>
      </c>
      <c r="V62" s="426">
        <f t="shared" si="5"/>
        <v>24588.26153</v>
      </c>
    </row>
    <row r="63" spans="1:22">
      <c r="A63" s="426" t="str">
        <f t="shared" si="0"/>
        <v>KU</v>
      </c>
      <c r="B63" s="426" t="str">
        <f t="shared" si="1"/>
        <v>KY</v>
      </c>
      <c r="C63" s="426" t="str">
        <f t="shared" si="4"/>
        <v>E</v>
      </c>
      <c r="D63" s="426" t="s">
        <v>2655</v>
      </c>
      <c r="E63" s="426" t="str">
        <f t="shared" si="2"/>
        <v>345</v>
      </c>
      <c r="F63" s="741" t="s">
        <v>2192</v>
      </c>
      <c r="G63" s="425" t="str">
        <f t="shared" si="6"/>
        <v/>
      </c>
      <c r="H63" s="426">
        <v>930.69529</v>
      </c>
      <c r="I63" s="426">
        <v>930.69529</v>
      </c>
      <c r="J63" s="426">
        <v>930.69529</v>
      </c>
      <c r="K63" s="426">
        <v>930.69529</v>
      </c>
      <c r="L63" s="426">
        <v>930.69529</v>
      </c>
      <c r="M63" s="426">
        <v>930.69529</v>
      </c>
      <c r="N63" s="426">
        <v>930.69529</v>
      </c>
      <c r="O63" s="426">
        <v>930.69529</v>
      </c>
      <c r="P63" s="426">
        <v>930.69529</v>
      </c>
      <c r="Q63" s="426">
        <v>930.69529</v>
      </c>
      <c r="R63" s="426">
        <v>930.69529</v>
      </c>
      <c r="S63" s="426">
        <v>930.69529</v>
      </c>
      <c r="T63" s="426">
        <v>930.69529</v>
      </c>
      <c r="V63" s="426">
        <f t="shared" si="5"/>
        <v>930.69528999999977</v>
      </c>
    </row>
    <row r="64" spans="1:22">
      <c r="A64" s="426" t="str">
        <f t="shared" si="0"/>
        <v>KU</v>
      </c>
      <c r="B64" s="426" t="str">
        <f t="shared" si="1"/>
        <v>KY</v>
      </c>
      <c r="C64" s="426" t="str">
        <f t="shared" si="4"/>
        <v>E</v>
      </c>
      <c r="D64" s="426" t="s">
        <v>2655</v>
      </c>
      <c r="E64" s="426" t="str">
        <f t="shared" si="2"/>
        <v>346</v>
      </c>
      <c r="F64" s="741" t="s">
        <v>1751</v>
      </c>
      <c r="G64" s="425" t="str">
        <f t="shared" si="6"/>
        <v/>
      </c>
      <c r="H64" s="426">
        <v>5912.6472599999997</v>
      </c>
      <c r="I64" s="426">
        <v>5912.6472599999997</v>
      </c>
      <c r="J64" s="426">
        <v>5912.6472599999997</v>
      </c>
      <c r="K64" s="426">
        <v>6219.44506</v>
      </c>
      <c r="L64" s="426">
        <v>6219.44506</v>
      </c>
      <c r="M64" s="426">
        <v>19408.527620000001</v>
      </c>
      <c r="N64" s="426">
        <v>21469.887620000001</v>
      </c>
      <c r="O64" s="426">
        <v>21469.887620000001</v>
      </c>
      <c r="P64" s="426">
        <v>21469.887620000001</v>
      </c>
      <c r="Q64" s="426">
        <v>22321.143619999999</v>
      </c>
      <c r="R64" s="426">
        <v>22321.143619999999</v>
      </c>
      <c r="S64" s="426">
        <v>22321.143619999999</v>
      </c>
      <c r="T64" s="426">
        <v>22343.48144</v>
      </c>
      <c r="V64" s="426">
        <f t="shared" si="5"/>
        <v>15638.610359999995</v>
      </c>
    </row>
    <row r="65" spans="1:22">
      <c r="A65" s="426" t="str">
        <f t="shared" si="0"/>
        <v>KU</v>
      </c>
      <c r="B65" s="426" t="str">
        <f t="shared" si="1"/>
        <v>KY</v>
      </c>
      <c r="C65" s="426" t="str">
        <f t="shared" si="4"/>
        <v>E</v>
      </c>
      <c r="D65" s="426" t="s">
        <v>2655</v>
      </c>
      <c r="E65" s="426" t="str">
        <f t="shared" si="2"/>
        <v>346</v>
      </c>
      <c r="F65" s="741" t="s">
        <v>2193</v>
      </c>
      <c r="G65" s="425" t="str">
        <f t="shared" si="6"/>
        <v/>
      </c>
      <c r="H65" s="426">
        <v>3249.1995200000001</v>
      </c>
      <c r="I65" s="426">
        <v>3249.1995200000001</v>
      </c>
      <c r="J65" s="426">
        <v>3249.1995200000001</v>
      </c>
      <c r="K65" s="426">
        <v>3249.1995200000001</v>
      </c>
      <c r="L65" s="426">
        <v>3249.1995200000001</v>
      </c>
      <c r="M65" s="426">
        <v>3249.1995200000001</v>
      </c>
      <c r="N65" s="426">
        <v>3249.1995200000001</v>
      </c>
      <c r="O65" s="426">
        <v>3249.1995200000001</v>
      </c>
      <c r="P65" s="426">
        <v>3249.1995200000001</v>
      </c>
      <c r="Q65" s="426">
        <v>3670.8398299999999</v>
      </c>
      <c r="R65" s="426">
        <v>3670.8398299999999</v>
      </c>
      <c r="S65" s="426">
        <v>3670.8398299999999</v>
      </c>
      <c r="T65" s="426">
        <v>3670.8398299999999</v>
      </c>
      <c r="V65" s="426">
        <f t="shared" si="5"/>
        <v>3378.9349999999995</v>
      </c>
    </row>
    <row r="66" spans="1:22">
      <c r="A66" s="426" t="str">
        <f t="shared" si="0"/>
        <v>KU</v>
      </c>
      <c r="B66" s="426" t="str">
        <f t="shared" si="1"/>
        <v>KY</v>
      </c>
      <c r="C66" s="426" t="str">
        <f t="shared" si="4"/>
        <v>E</v>
      </c>
      <c r="D66" s="426" t="s">
        <v>2655</v>
      </c>
      <c r="E66" s="426" t="str">
        <f t="shared" si="2"/>
        <v>346</v>
      </c>
      <c r="F66" s="741" t="s">
        <v>2194</v>
      </c>
      <c r="G66" s="425" t="str">
        <f t="shared" si="6"/>
        <v/>
      </c>
      <c r="H66" s="426">
        <v>555.40098</v>
      </c>
      <c r="I66" s="426">
        <v>555.40098</v>
      </c>
      <c r="J66" s="426">
        <v>555.40098</v>
      </c>
      <c r="K66" s="426">
        <v>555.40098</v>
      </c>
      <c r="L66" s="426">
        <v>555.40098</v>
      </c>
      <c r="M66" s="426">
        <v>555.40098</v>
      </c>
      <c r="N66" s="426">
        <v>555.40098</v>
      </c>
      <c r="O66" s="426">
        <v>555.40098</v>
      </c>
      <c r="P66" s="426">
        <v>555.40098</v>
      </c>
      <c r="Q66" s="426">
        <v>555.40098</v>
      </c>
      <c r="R66" s="426">
        <v>555.40098</v>
      </c>
      <c r="S66" s="426">
        <v>555.40098</v>
      </c>
      <c r="T66" s="426">
        <v>555.40098</v>
      </c>
      <c r="V66" s="426">
        <f t="shared" si="5"/>
        <v>555.40098000000012</v>
      </c>
    </row>
    <row r="67" spans="1:22">
      <c r="A67" s="426" t="str">
        <f t="shared" si="0"/>
        <v>KU</v>
      </c>
      <c r="B67" s="426" t="str">
        <f t="shared" si="1"/>
        <v>KY</v>
      </c>
      <c r="C67" s="426" t="str">
        <f t="shared" si="4"/>
        <v>E</v>
      </c>
      <c r="D67" s="426" t="s">
        <v>2655</v>
      </c>
      <c r="E67" s="426" t="str">
        <f t="shared" si="2"/>
        <v>347</v>
      </c>
      <c r="F67" s="741" t="s">
        <v>2195</v>
      </c>
      <c r="G67" s="425" t="str">
        <f t="shared" si="6"/>
        <v>ARO</v>
      </c>
      <c r="H67" s="426">
        <v>406.99112000000002</v>
      </c>
      <c r="I67" s="426">
        <v>406.99112000000002</v>
      </c>
      <c r="J67" s="426">
        <v>406.99112000000002</v>
      </c>
      <c r="K67" s="426">
        <v>406.99112000000002</v>
      </c>
      <c r="L67" s="426">
        <v>406.99112000000002</v>
      </c>
      <c r="M67" s="426">
        <v>406.99112000000002</v>
      </c>
      <c r="N67" s="426">
        <v>406.99112000000002</v>
      </c>
      <c r="O67" s="426">
        <v>406.99112000000002</v>
      </c>
      <c r="P67" s="426">
        <v>406.99112000000002</v>
      </c>
      <c r="Q67" s="426">
        <v>406.99112000000002</v>
      </c>
      <c r="R67" s="426">
        <v>406.99112000000002</v>
      </c>
      <c r="S67" s="426">
        <v>406.99112000000002</v>
      </c>
      <c r="T67" s="426">
        <v>406.99112000000002</v>
      </c>
      <c r="V67" s="426">
        <f t="shared" si="5"/>
        <v>406.99112000000002</v>
      </c>
    </row>
    <row r="68" spans="1:22">
      <c r="A68" s="426" t="str">
        <f t="shared" si="0"/>
        <v>KU</v>
      </c>
      <c r="B68" s="426" t="str">
        <f t="shared" si="1"/>
        <v>KY</v>
      </c>
      <c r="C68" s="426" t="str">
        <f t="shared" si="4"/>
        <v>E</v>
      </c>
      <c r="D68" s="426" t="s">
        <v>2655</v>
      </c>
      <c r="E68" s="426" t="str">
        <f t="shared" si="2"/>
        <v>350</v>
      </c>
      <c r="F68" s="741" t="s">
        <v>1752</v>
      </c>
      <c r="G68" s="425" t="str">
        <f t="shared" si="6"/>
        <v/>
      </c>
      <c r="H68" s="426">
        <v>30792.49093</v>
      </c>
      <c r="I68" s="426">
        <v>30792.49093</v>
      </c>
      <c r="J68" s="426">
        <v>30792.49093</v>
      </c>
      <c r="K68" s="426">
        <v>30792.49093</v>
      </c>
      <c r="L68" s="426">
        <v>30792.49093</v>
      </c>
      <c r="M68" s="426">
        <v>33803.910109999997</v>
      </c>
      <c r="N68" s="426">
        <v>33803.910109999997</v>
      </c>
      <c r="O68" s="426">
        <v>33803.910109999997</v>
      </c>
      <c r="P68" s="426">
        <v>33803.910109999997</v>
      </c>
      <c r="Q68" s="426">
        <v>33803.910109999997</v>
      </c>
      <c r="R68" s="426">
        <v>35376.635029999998</v>
      </c>
      <c r="S68" s="426">
        <v>35376.635029999998</v>
      </c>
      <c r="T68" s="426">
        <v>37285.425629999998</v>
      </c>
      <c r="V68" s="426">
        <f t="shared" si="5"/>
        <v>33155.438529999999</v>
      </c>
    </row>
    <row r="69" spans="1:22">
      <c r="A69" s="426" t="str">
        <f t="shared" si="0"/>
        <v>KU</v>
      </c>
      <c r="B69" s="426" t="str">
        <f t="shared" si="1"/>
        <v>TN</v>
      </c>
      <c r="C69" s="426" t="str">
        <f t="shared" si="4"/>
        <v>E</v>
      </c>
      <c r="D69" s="426" t="s">
        <v>2655</v>
      </c>
      <c r="E69" s="426" t="str">
        <f t="shared" si="2"/>
        <v>350</v>
      </c>
      <c r="F69" s="741" t="s">
        <v>1753</v>
      </c>
      <c r="G69" s="425" t="str">
        <f t="shared" si="6"/>
        <v/>
      </c>
      <c r="H69" s="426">
        <v>0.43952999999999998</v>
      </c>
      <c r="I69" s="426">
        <v>0.43952999999999998</v>
      </c>
      <c r="J69" s="426">
        <v>0.43952999999999998</v>
      </c>
      <c r="K69" s="426">
        <v>0.43952999999999998</v>
      </c>
      <c r="L69" s="426">
        <v>0.43952999999999998</v>
      </c>
      <c r="M69" s="426">
        <v>0.43952999999999998</v>
      </c>
      <c r="N69" s="426">
        <v>0.43952999999999998</v>
      </c>
      <c r="O69" s="426">
        <v>0.43952999999999998</v>
      </c>
      <c r="P69" s="426">
        <v>0.43952999999999998</v>
      </c>
      <c r="Q69" s="426">
        <v>0.43952999999999998</v>
      </c>
      <c r="R69" s="426">
        <v>0.43952999999999998</v>
      </c>
      <c r="S69" s="426">
        <v>0.43952999999999998</v>
      </c>
      <c r="T69" s="426">
        <v>0.43952999999999998</v>
      </c>
      <c r="V69" s="426">
        <f t="shared" si="5"/>
        <v>0.43952999999999992</v>
      </c>
    </row>
    <row r="70" spans="1:22">
      <c r="A70" s="426" t="str">
        <f t="shared" si="0"/>
        <v>KU</v>
      </c>
      <c r="B70" s="426" t="str">
        <f t="shared" si="1"/>
        <v>VA</v>
      </c>
      <c r="C70" s="426" t="str">
        <f t="shared" si="4"/>
        <v>E</v>
      </c>
      <c r="D70" s="426" t="s">
        <v>2655</v>
      </c>
      <c r="E70" s="426" t="str">
        <f t="shared" si="2"/>
        <v>350</v>
      </c>
      <c r="F70" s="741" t="s">
        <v>1754</v>
      </c>
      <c r="G70" s="425" t="str">
        <f t="shared" si="6"/>
        <v/>
      </c>
      <c r="H70" s="426">
        <v>3055.5582899999999</v>
      </c>
      <c r="I70" s="426">
        <v>3055.5582899999999</v>
      </c>
      <c r="J70" s="426">
        <v>3055.5582899999999</v>
      </c>
      <c r="K70" s="426">
        <v>3055.5582899999999</v>
      </c>
      <c r="L70" s="426">
        <v>3055.5582899999999</v>
      </c>
      <c r="M70" s="426">
        <v>3055.5582899999999</v>
      </c>
      <c r="N70" s="426">
        <v>3055.5582899999999</v>
      </c>
      <c r="O70" s="426">
        <v>3055.5582899999999</v>
      </c>
      <c r="P70" s="426">
        <v>3055.5582899999999</v>
      </c>
      <c r="Q70" s="426">
        <v>3055.5582899999999</v>
      </c>
      <c r="R70" s="426">
        <v>3055.5582899999999</v>
      </c>
      <c r="S70" s="426">
        <v>3055.5582899999999</v>
      </c>
      <c r="T70" s="426">
        <v>3055.5582899999999</v>
      </c>
      <c r="V70" s="426">
        <f t="shared" si="5"/>
        <v>3055.5582900000004</v>
      </c>
    </row>
    <row r="71" spans="1:22">
      <c r="A71" s="426" t="str">
        <f t="shared" si="0"/>
        <v>KU</v>
      </c>
      <c r="B71" s="426" t="str">
        <f t="shared" si="1"/>
        <v>KY</v>
      </c>
      <c r="C71" s="426" t="str">
        <f t="shared" si="4"/>
        <v>E</v>
      </c>
      <c r="D71" s="426" t="s">
        <v>2655</v>
      </c>
      <c r="E71" s="426" t="str">
        <f t="shared" si="2"/>
        <v>352</v>
      </c>
      <c r="F71" s="741" t="s">
        <v>1755</v>
      </c>
      <c r="G71" s="425" t="str">
        <f t="shared" si="6"/>
        <v/>
      </c>
      <c r="H71" s="426">
        <v>1256.98396</v>
      </c>
      <c r="I71" s="426">
        <v>1256.98396</v>
      </c>
      <c r="J71" s="426">
        <v>1256.98396</v>
      </c>
      <c r="K71" s="426">
        <v>1256.98396</v>
      </c>
      <c r="L71" s="426">
        <v>1356.9992</v>
      </c>
      <c r="M71" s="426">
        <v>1356.9992</v>
      </c>
      <c r="N71" s="426">
        <v>1356.9992</v>
      </c>
      <c r="O71" s="426">
        <v>1356.9992</v>
      </c>
      <c r="P71" s="426">
        <v>1356.9992</v>
      </c>
      <c r="Q71" s="426">
        <v>1356.9992</v>
      </c>
      <c r="R71" s="426">
        <v>1356.9992</v>
      </c>
      <c r="S71" s="426">
        <v>1356.9992</v>
      </c>
      <c r="T71" s="426">
        <v>1356.9992</v>
      </c>
      <c r="V71" s="426">
        <f t="shared" si="5"/>
        <v>1326.2252800000001</v>
      </c>
    </row>
    <row r="72" spans="1:22">
      <c r="A72" s="426" t="str">
        <f t="shared" si="0"/>
        <v>KU</v>
      </c>
      <c r="B72" s="426" t="str">
        <f t="shared" si="1"/>
        <v>KY</v>
      </c>
      <c r="C72" s="426" t="str">
        <f t="shared" si="4"/>
        <v>E</v>
      </c>
      <c r="D72" s="426" t="s">
        <v>2655</v>
      </c>
      <c r="E72" s="426" t="str">
        <f t="shared" si="2"/>
        <v>352</v>
      </c>
      <c r="F72" s="741" t="s">
        <v>1756</v>
      </c>
      <c r="G72" s="425" t="str">
        <f t="shared" si="6"/>
        <v/>
      </c>
      <c r="H72" s="426">
        <v>30710.491559999999</v>
      </c>
      <c r="I72" s="426">
        <v>30710.491559999999</v>
      </c>
      <c r="J72" s="426">
        <v>30710.491559999999</v>
      </c>
      <c r="K72" s="426">
        <v>30710.491559999999</v>
      </c>
      <c r="L72" s="426">
        <v>30710.491559999999</v>
      </c>
      <c r="M72" s="426">
        <v>30710.491559999999</v>
      </c>
      <c r="N72" s="426">
        <v>30710.491559999999</v>
      </c>
      <c r="O72" s="426">
        <v>30710.491559999999</v>
      </c>
      <c r="P72" s="426">
        <v>30710.491559999999</v>
      </c>
      <c r="Q72" s="426">
        <v>30710.491559999999</v>
      </c>
      <c r="R72" s="426">
        <v>30710.491559999999</v>
      </c>
      <c r="S72" s="426">
        <v>30710.491559999999</v>
      </c>
      <c r="T72" s="426">
        <v>30710.491559999999</v>
      </c>
      <c r="V72" s="426">
        <f t="shared" si="5"/>
        <v>30710.491559999999</v>
      </c>
    </row>
    <row r="73" spans="1:22">
      <c r="A73" s="426" t="str">
        <f t="shared" si="0"/>
        <v>KU</v>
      </c>
      <c r="B73" s="426" t="str">
        <f t="shared" si="1"/>
        <v>VA</v>
      </c>
      <c r="C73" s="426" t="str">
        <f t="shared" si="4"/>
        <v>E</v>
      </c>
      <c r="D73" s="426" t="s">
        <v>2655</v>
      </c>
      <c r="E73" s="426" t="str">
        <f t="shared" si="2"/>
        <v>352</v>
      </c>
      <c r="F73" s="741" t="s">
        <v>1757</v>
      </c>
      <c r="G73" s="425" t="str">
        <f t="shared" si="6"/>
        <v/>
      </c>
      <c r="H73" s="426">
        <v>1801.9016999999999</v>
      </c>
      <c r="I73" s="426">
        <v>1801.9016999999999</v>
      </c>
      <c r="J73" s="426">
        <v>1801.9016999999999</v>
      </c>
      <c r="K73" s="426">
        <v>1801.9016999999999</v>
      </c>
      <c r="L73" s="426">
        <v>1801.9016999999999</v>
      </c>
      <c r="M73" s="426">
        <v>1801.9016999999999</v>
      </c>
      <c r="N73" s="426">
        <v>1801.9016999999999</v>
      </c>
      <c r="O73" s="426">
        <v>1801.9016999999999</v>
      </c>
      <c r="P73" s="426">
        <v>1801.9016999999999</v>
      </c>
      <c r="Q73" s="426">
        <v>1801.9016999999999</v>
      </c>
      <c r="R73" s="426">
        <v>1801.9016999999999</v>
      </c>
      <c r="S73" s="426">
        <v>1801.9016999999999</v>
      </c>
      <c r="T73" s="426">
        <v>1801.9016999999999</v>
      </c>
      <c r="V73" s="426">
        <f t="shared" si="5"/>
        <v>1801.9016999999997</v>
      </c>
    </row>
    <row r="74" spans="1:22">
      <c r="A74" s="426" t="str">
        <f t="shared" si="0"/>
        <v>KU</v>
      </c>
      <c r="B74" s="426" t="str">
        <f t="shared" si="1"/>
        <v>KY</v>
      </c>
      <c r="C74" s="426" t="str">
        <f t="shared" si="4"/>
        <v>E</v>
      </c>
      <c r="D74" s="426" t="s">
        <v>2655</v>
      </c>
      <c r="E74" s="426" t="str">
        <f t="shared" si="2"/>
        <v>353</v>
      </c>
      <c r="F74" s="741" t="s">
        <v>1758</v>
      </c>
      <c r="G74" s="425" t="str">
        <f t="shared" si="6"/>
        <v/>
      </c>
      <c r="H74" s="426">
        <v>362986.97748</v>
      </c>
      <c r="I74" s="426">
        <v>363971.49484</v>
      </c>
      <c r="J74" s="426">
        <v>370027.00887000002</v>
      </c>
      <c r="K74" s="426">
        <v>370860.28713000001</v>
      </c>
      <c r="L74" s="426">
        <v>371215.65172999998</v>
      </c>
      <c r="M74" s="426">
        <v>370928.97696</v>
      </c>
      <c r="N74" s="426">
        <v>397854.34967000003</v>
      </c>
      <c r="O74" s="426">
        <v>398117.63682000001</v>
      </c>
      <c r="P74" s="426">
        <v>398023.83964000002</v>
      </c>
      <c r="Q74" s="426">
        <v>401796.67012999998</v>
      </c>
      <c r="R74" s="426">
        <v>402676.68442000001</v>
      </c>
      <c r="S74" s="426">
        <v>402465.96500000003</v>
      </c>
      <c r="T74" s="426">
        <v>402398.43056000001</v>
      </c>
      <c r="V74" s="426">
        <f t="shared" si="5"/>
        <v>385640.30563461536</v>
      </c>
    </row>
    <row r="75" spans="1:22">
      <c r="A75" s="426" t="str">
        <f t="shared" si="0"/>
        <v>KU</v>
      </c>
      <c r="B75" s="426" t="str">
        <f>IF(MID($F75,12,2)="- ","KY",IF(MID($F75,12,2)="SY","KY",MID($F75,12,2)))</f>
        <v>KY</v>
      </c>
      <c r="C75" s="426" t="str">
        <f t="shared" si="4"/>
        <v>E</v>
      </c>
      <c r="D75" s="426" t="s">
        <v>2655</v>
      </c>
      <c r="E75" s="426" t="str">
        <f t="shared" si="2"/>
        <v>353</v>
      </c>
      <c r="F75" s="741" t="s">
        <v>1759</v>
      </c>
      <c r="G75" s="425" t="str">
        <f t="shared" si="6"/>
        <v/>
      </c>
      <c r="H75" s="426">
        <v>1213.62843</v>
      </c>
      <c r="I75" s="426">
        <v>1213.62843</v>
      </c>
      <c r="J75" s="426">
        <v>1213.62843</v>
      </c>
      <c r="K75" s="426">
        <v>1213.62843</v>
      </c>
      <c r="L75" s="426">
        <v>1213.62843</v>
      </c>
      <c r="M75" s="426">
        <v>1213.62843</v>
      </c>
      <c r="N75" s="426">
        <v>1213.62843</v>
      </c>
      <c r="O75" s="426">
        <v>1213.62843</v>
      </c>
      <c r="P75" s="426">
        <v>1213.62843</v>
      </c>
      <c r="Q75" s="426">
        <v>1213.62843</v>
      </c>
      <c r="R75" s="426">
        <v>1213.62843</v>
      </c>
      <c r="S75" s="426">
        <v>1213.62843</v>
      </c>
      <c r="T75" s="426">
        <v>1213.62843</v>
      </c>
      <c r="V75" s="426">
        <f t="shared" si="5"/>
        <v>1213.6284300000002</v>
      </c>
    </row>
    <row r="76" spans="1:22">
      <c r="A76" s="426" t="str">
        <f t="shared" si="0"/>
        <v>KU</v>
      </c>
      <c r="B76" s="426" t="str">
        <f t="shared" ref="B76:B140" si="7">IF(MID($F76,12,2)="- ","KY",IF(MID($F76,12,2)="SY","KY",MID($F76,12,2)))</f>
        <v>VA</v>
      </c>
      <c r="C76" s="426" t="str">
        <f t="shared" si="4"/>
        <v>E</v>
      </c>
      <c r="D76" s="426" t="s">
        <v>2655</v>
      </c>
      <c r="E76" s="426" t="str">
        <f t="shared" si="2"/>
        <v>353</v>
      </c>
      <c r="F76" s="741" t="s">
        <v>1760</v>
      </c>
      <c r="G76" s="425" t="str">
        <f t="shared" si="6"/>
        <v/>
      </c>
      <c r="H76" s="426">
        <v>32951.149449999997</v>
      </c>
      <c r="I76" s="426">
        <v>32951.149449999997</v>
      </c>
      <c r="J76" s="426">
        <v>32951.149449999997</v>
      </c>
      <c r="K76" s="426">
        <v>32951.149449999997</v>
      </c>
      <c r="L76" s="426">
        <v>32951.149449999997</v>
      </c>
      <c r="M76" s="426">
        <v>32951.149449999997</v>
      </c>
      <c r="N76" s="426">
        <v>32951.149449999997</v>
      </c>
      <c r="O76" s="426">
        <v>32951.149449999997</v>
      </c>
      <c r="P76" s="426">
        <v>32951.149449999997</v>
      </c>
      <c r="Q76" s="426">
        <v>32951.149449999997</v>
      </c>
      <c r="R76" s="426">
        <v>32951.149449999997</v>
      </c>
      <c r="S76" s="426">
        <v>36058.664489999901</v>
      </c>
      <c r="T76" s="426">
        <v>36058.664489999901</v>
      </c>
      <c r="V76" s="426">
        <f t="shared" si="5"/>
        <v>33429.228686923059</v>
      </c>
    </row>
    <row r="77" spans="1:22">
      <c r="A77" s="426" t="str">
        <f t="shared" si="0"/>
        <v>KU</v>
      </c>
      <c r="B77" s="426" t="str">
        <f t="shared" si="7"/>
        <v>KY</v>
      </c>
      <c r="C77" s="426" t="str">
        <f t="shared" si="4"/>
        <v>E</v>
      </c>
      <c r="D77" s="426" t="s">
        <v>2655</v>
      </c>
      <c r="E77" s="426" t="str">
        <f t="shared" si="2"/>
        <v>354</v>
      </c>
      <c r="F77" s="741" t="s">
        <v>1761</v>
      </c>
      <c r="G77" s="425" t="str">
        <f t="shared" si="6"/>
        <v/>
      </c>
      <c r="H77" s="426">
        <v>70786.894579999993</v>
      </c>
      <c r="I77" s="426">
        <v>70786.894579999993</v>
      </c>
      <c r="J77" s="426">
        <v>70786.894579999993</v>
      </c>
      <c r="K77" s="426">
        <v>70786.894579999993</v>
      </c>
      <c r="L77" s="426">
        <v>70786.894579999993</v>
      </c>
      <c r="M77" s="426">
        <v>70786.894579999993</v>
      </c>
      <c r="N77" s="426">
        <v>70786.894579999993</v>
      </c>
      <c r="O77" s="426">
        <v>70786.894579999993</v>
      </c>
      <c r="P77" s="426">
        <v>70786.894579999993</v>
      </c>
      <c r="Q77" s="426">
        <v>70786.894579999993</v>
      </c>
      <c r="R77" s="426">
        <v>70786.894579999993</v>
      </c>
      <c r="S77" s="426">
        <v>70786.894579999993</v>
      </c>
      <c r="T77" s="426">
        <v>70786.894579999993</v>
      </c>
      <c r="V77" s="426">
        <f t="shared" si="5"/>
        <v>70786.894579999978</v>
      </c>
    </row>
    <row r="78" spans="1:22">
      <c r="A78" s="426" t="str">
        <f t="shared" si="0"/>
        <v>KU</v>
      </c>
      <c r="B78" s="426" t="str">
        <f t="shared" si="7"/>
        <v>VA</v>
      </c>
      <c r="C78" s="426" t="str">
        <f t="shared" si="4"/>
        <v>E</v>
      </c>
      <c r="D78" s="426" t="s">
        <v>2655</v>
      </c>
      <c r="E78" s="426" t="str">
        <f t="shared" si="2"/>
        <v>354</v>
      </c>
      <c r="F78" s="741" t="s">
        <v>1762</v>
      </c>
      <c r="G78" s="425" t="str">
        <f t="shared" si="6"/>
        <v/>
      </c>
      <c r="H78" s="426">
        <v>7181.0812999999998</v>
      </c>
      <c r="I78" s="426">
        <v>7181.0812999999998</v>
      </c>
      <c r="J78" s="426">
        <v>7181.0812999999998</v>
      </c>
      <c r="K78" s="426">
        <v>7181.0812999999998</v>
      </c>
      <c r="L78" s="426">
        <v>7181.0812999999998</v>
      </c>
      <c r="M78" s="426">
        <v>7181.0812999999998</v>
      </c>
      <c r="N78" s="426">
        <v>7181.0812999999998</v>
      </c>
      <c r="O78" s="426">
        <v>7181.0812999999998</v>
      </c>
      <c r="P78" s="426">
        <v>7181.0812999999998</v>
      </c>
      <c r="Q78" s="426">
        <v>7181.0812999999998</v>
      </c>
      <c r="R78" s="426">
        <v>7181.0812999999998</v>
      </c>
      <c r="S78" s="426">
        <v>7181.0812999999998</v>
      </c>
      <c r="T78" s="426">
        <v>7181.0812999999998</v>
      </c>
      <c r="V78" s="426">
        <f t="shared" si="5"/>
        <v>7181.0813000000007</v>
      </c>
    </row>
    <row r="79" spans="1:22">
      <c r="A79" s="426" t="str">
        <f t="shared" ref="A79:A143" si="8">MID($F79,4,2)</f>
        <v>KU</v>
      </c>
      <c r="B79" s="426" t="str">
        <f t="shared" si="7"/>
        <v>KY</v>
      </c>
      <c r="C79" s="426" t="str">
        <f t="shared" si="4"/>
        <v>E</v>
      </c>
      <c r="D79" s="426" t="s">
        <v>2655</v>
      </c>
      <c r="E79" s="426" t="str">
        <f t="shared" ref="E79:E160" si="9">MID($F79,8,3)</f>
        <v>355</v>
      </c>
      <c r="F79" s="741" t="s">
        <v>1763</v>
      </c>
      <c r="G79" s="425" t="str">
        <f t="shared" si="6"/>
        <v/>
      </c>
      <c r="H79" s="426">
        <v>530902.28303000005</v>
      </c>
      <c r="I79" s="426">
        <v>531528.84521000006</v>
      </c>
      <c r="J79" s="426">
        <v>531476.49470000004</v>
      </c>
      <c r="K79" s="426">
        <v>535667.96366000001</v>
      </c>
      <c r="L79" s="426">
        <v>538259.39442999999</v>
      </c>
      <c r="M79" s="426">
        <v>538127.37714</v>
      </c>
      <c r="N79" s="426">
        <v>558655.43915999995</v>
      </c>
      <c r="O79" s="426">
        <v>559520.22787999897</v>
      </c>
      <c r="P79" s="426">
        <v>560301.03273999901</v>
      </c>
      <c r="Q79" s="426">
        <v>561909.04851999995</v>
      </c>
      <c r="R79" s="426">
        <v>566961.34872999997</v>
      </c>
      <c r="S79" s="426">
        <v>572857.63093999994</v>
      </c>
      <c r="T79" s="426">
        <v>583952.36122999899</v>
      </c>
      <c r="V79" s="426">
        <f t="shared" si="5"/>
        <v>551547.64979769196</v>
      </c>
    </row>
    <row r="80" spans="1:22">
      <c r="A80" s="426" t="str">
        <f t="shared" si="8"/>
        <v>KU</v>
      </c>
      <c r="B80" s="426" t="str">
        <f t="shared" si="7"/>
        <v>TN</v>
      </c>
      <c r="C80" s="426" t="str">
        <f t="shared" ref="C80:C143" si="10">IF(ISTEXT(MID($F80,SEARCH("FUTURE USE",$F80),3)),"F",IF(MID($F80,7,1)="1","E",IF(MID($F80,7,1)="2","G",IF(MID($F80,7,1)="3","C",""))))</f>
        <v>E</v>
      </c>
      <c r="D80" s="426" t="s">
        <v>2655</v>
      </c>
      <c r="E80" s="426" t="str">
        <f t="shared" si="9"/>
        <v>355</v>
      </c>
      <c r="F80" s="741" t="s">
        <v>1764</v>
      </c>
      <c r="G80" s="425" t="str">
        <f t="shared" si="6"/>
        <v/>
      </c>
      <c r="H80" s="426">
        <v>128.75153</v>
      </c>
      <c r="I80" s="426">
        <v>128.75153</v>
      </c>
      <c r="J80" s="426">
        <v>128.75153</v>
      </c>
      <c r="K80" s="426">
        <v>128.75153</v>
      </c>
      <c r="L80" s="426">
        <v>128.75153</v>
      </c>
      <c r="M80" s="426">
        <v>128.75153</v>
      </c>
      <c r="N80" s="426">
        <v>128.75153</v>
      </c>
      <c r="O80" s="426">
        <v>128.75153</v>
      </c>
      <c r="P80" s="426">
        <v>128.75153</v>
      </c>
      <c r="Q80" s="426">
        <v>128.75153</v>
      </c>
      <c r="R80" s="426">
        <v>128.75153</v>
      </c>
      <c r="S80" s="426">
        <v>128.75153</v>
      </c>
      <c r="T80" s="426">
        <v>128.75153</v>
      </c>
      <c r="V80" s="426">
        <f t="shared" ref="V80:V143" si="11">SUM(H80:T80)/13</f>
        <v>128.75153</v>
      </c>
    </row>
    <row r="81" spans="1:22">
      <c r="A81" s="426" t="str">
        <f t="shared" si="8"/>
        <v>KU</v>
      </c>
      <c r="B81" s="426" t="str">
        <f t="shared" si="7"/>
        <v>VA</v>
      </c>
      <c r="C81" s="426" t="str">
        <f t="shared" si="10"/>
        <v>E</v>
      </c>
      <c r="D81" s="426" t="s">
        <v>2655</v>
      </c>
      <c r="E81" s="426" t="str">
        <f t="shared" si="9"/>
        <v>355</v>
      </c>
      <c r="F81" s="741" t="s">
        <v>1765</v>
      </c>
      <c r="G81" s="425" t="str">
        <f t="shared" si="6"/>
        <v/>
      </c>
      <c r="H81" s="426">
        <v>27109.86868</v>
      </c>
      <c r="I81" s="426">
        <v>27109.86868</v>
      </c>
      <c r="J81" s="426">
        <v>27109.86868</v>
      </c>
      <c r="K81" s="426">
        <v>27109.86868</v>
      </c>
      <c r="L81" s="426">
        <v>35340.936950000003</v>
      </c>
      <c r="M81" s="426">
        <v>35340.936950000003</v>
      </c>
      <c r="N81" s="426">
        <v>41959.561849999998</v>
      </c>
      <c r="O81" s="426">
        <v>41959.561849999998</v>
      </c>
      <c r="P81" s="426">
        <v>41959.561849999998</v>
      </c>
      <c r="Q81" s="426">
        <v>41959.561849999998</v>
      </c>
      <c r="R81" s="426">
        <v>42446.351920000001</v>
      </c>
      <c r="S81" s="426">
        <v>42446.351920000001</v>
      </c>
      <c r="T81" s="426">
        <v>56916.471189999997</v>
      </c>
      <c r="V81" s="426">
        <f t="shared" si="11"/>
        <v>37597.597773076923</v>
      </c>
    </row>
    <row r="82" spans="1:22">
      <c r="A82" s="426" t="str">
        <f t="shared" si="8"/>
        <v>KU</v>
      </c>
      <c r="B82" s="426" t="str">
        <f t="shared" si="7"/>
        <v>KY</v>
      </c>
      <c r="C82" s="426" t="str">
        <f t="shared" si="10"/>
        <v>E</v>
      </c>
      <c r="D82" s="426" t="s">
        <v>2655</v>
      </c>
      <c r="E82" s="426" t="str">
        <f t="shared" si="9"/>
        <v>356</v>
      </c>
      <c r="F82" s="741" t="s">
        <v>1766</v>
      </c>
      <c r="G82" s="425" t="str">
        <f t="shared" si="6"/>
        <v/>
      </c>
      <c r="H82" s="426">
        <v>238554.56054000001</v>
      </c>
      <c r="I82" s="426">
        <v>238489.51887</v>
      </c>
      <c r="J82" s="426">
        <v>238435.67093999899</v>
      </c>
      <c r="K82" s="426">
        <v>238400.01006999999</v>
      </c>
      <c r="L82" s="426">
        <v>238327.74784</v>
      </c>
      <c r="M82" s="426">
        <v>238181.35913999999</v>
      </c>
      <c r="N82" s="426">
        <v>241040.03542</v>
      </c>
      <c r="O82" s="426">
        <v>241018.34167999899</v>
      </c>
      <c r="P82" s="426">
        <v>240950.54195999901</v>
      </c>
      <c r="Q82" s="426">
        <v>240921.16423999899</v>
      </c>
      <c r="R82" s="426">
        <v>243855.690739999</v>
      </c>
      <c r="S82" s="426">
        <v>244379.53919999901</v>
      </c>
      <c r="T82" s="426">
        <v>247992.82330999899</v>
      </c>
      <c r="V82" s="426">
        <f t="shared" si="11"/>
        <v>240811.30799615331</v>
      </c>
    </row>
    <row r="83" spans="1:22">
      <c r="A83" s="426" t="str">
        <f t="shared" si="8"/>
        <v>KU</v>
      </c>
      <c r="B83" s="426" t="str">
        <f t="shared" si="7"/>
        <v>TN</v>
      </c>
      <c r="C83" s="426" t="str">
        <f t="shared" si="10"/>
        <v>E</v>
      </c>
      <c r="D83" s="426" t="s">
        <v>2655</v>
      </c>
      <c r="E83" s="426" t="str">
        <f t="shared" si="9"/>
        <v>356</v>
      </c>
      <c r="F83" s="741" t="s">
        <v>1767</v>
      </c>
      <c r="G83" s="425" t="str">
        <f t="shared" si="6"/>
        <v/>
      </c>
      <c r="H83" s="426">
        <v>80.691329999999994</v>
      </c>
      <c r="I83" s="426">
        <v>80.691329999999994</v>
      </c>
      <c r="J83" s="426">
        <v>80.691329999999994</v>
      </c>
      <c r="K83" s="426">
        <v>80.691329999999994</v>
      </c>
      <c r="L83" s="426">
        <v>80.691329999999994</v>
      </c>
      <c r="M83" s="426">
        <v>80.691329999999994</v>
      </c>
      <c r="N83" s="426">
        <v>80.691329999999994</v>
      </c>
      <c r="O83" s="426">
        <v>80.691329999999994</v>
      </c>
      <c r="P83" s="426">
        <v>80.691329999999994</v>
      </c>
      <c r="Q83" s="426">
        <v>80.691329999999994</v>
      </c>
      <c r="R83" s="426">
        <v>80.691329999999994</v>
      </c>
      <c r="S83" s="426">
        <v>80.691329999999994</v>
      </c>
      <c r="T83" s="426">
        <v>80.691329999999994</v>
      </c>
      <c r="V83" s="426">
        <f t="shared" si="11"/>
        <v>80.691330000000008</v>
      </c>
    </row>
    <row r="84" spans="1:22">
      <c r="A84" s="426" t="str">
        <f t="shared" si="8"/>
        <v>KU</v>
      </c>
      <c r="B84" s="426" t="str">
        <f t="shared" si="7"/>
        <v>VA</v>
      </c>
      <c r="C84" s="426" t="str">
        <f t="shared" si="10"/>
        <v>E</v>
      </c>
      <c r="D84" s="426" t="s">
        <v>2655</v>
      </c>
      <c r="E84" s="426" t="str">
        <f t="shared" si="9"/>
        <v>356</v>
      </c>
      <c r="F84" s="741" t="s">
        <v>1768</v>
      </c>
      <c r="G84" s="425" t="str">
        <f t="shared" si="6"/>
        <v/>
      </c>
      <c r="H84" s="426">
        <v>19642.292119999998</v>
      </c>
      <c r="I84" s="426">
        <v>19642.292119999998</v>
      </c>
      <c r="J84" s="426">
        <v>19642.292119999998</v>
      </c>
      <c r="K84" s="426">
        <v>19642.292119999998</v>
      </c>
      <c r="L84" s="426">
        <v>19642.292119999998</v>
      </c>
      <c r="M84" s="426">
        <v>19642.292119999998</v>
      </c>
      <c r="N84" s="426">
        <v>19642.292119999998</v>
      </c>
      <c r="O84" s="426">
        <v>19642.292119999998</v>
      </c>
      <c r="P84" s="426">
        <v>19642.292119999998</v>
      </c>
      <c r="Q84" s="426">
        <v>19642.292119999998</v>
      </c>
      <c r="R84" s="426">
        <v>19642.292119999998</v>
      </c>
      <c r="S84" s="426">
        <v>19642.292119999998</v>
      </c>
      <c r="T84" s="426">
        <v>19642.292119999998</v>
      </c>
      <c r="V84" s="426">
        <f t="shared" si="11"/>
        <v>19642.292119999998</v>
      </c>
    </row>
    <row r="85" spans="1:22">
      <c r="A85" s="426" t="str">
        <f t="shared" si="8"/>
        <v>KU</v>
      </c>
      <c r="B85" s="426" t="str">
        <f t="shared" si="7"/>
        <v>KY</v>
      </c>
      <c r="C85" s="426" t="str">
        <f t="shared" si="10"/>
        <v>E</v>
      </c>
      <c r="D85" s="426" t="s">
        <v>2655</v>
      </c>
      <c r="E85" s="426" t="str">
        <f t="shared" si="9"/>
        <v>357</v>
      </c>
      <c r="F85" s="741" t="s">
        <v>1769</v>
      </c>
      <c r="G85" s="425" t="str">
        <f t="shared" si="6"/>
        <v/>
      </c>
      <c r="H85" s="426">
        <v>618.49381000000005</v>
      </c>
      <c r="I85" s="426">
        <v>618.49381000000005</v>
      </c>
      <c r="J85" s="426">
        <v>618.49381000000005</v>
      </c>
      <c r="K85" s="426">
        <v>618.49381000000005</v>
      </c>
      <c r="L85" s="426">
        <v>618.49381000000005</v>
      </c>
      <c r="M85" s="426">
        <v>618.49381000000005</v>
      </c>
      <c r="N85" s="426">
        <v>618.49381000000005</v>
      </c>
      <c r="O85" s="426">
        <v>618.49381000000005</v>
      </c>
      <c r="P85" s="426">
        <v>618.49381000000005</v>
      </c>
      <c r="Q85" s="426">
        <v>618.49381000000005</v>
      </c>
      <c r="R85" s="426">
        <v>618.49381000000005</v>
      </c>
      <c r="S85" s="426">
        <v>618.49381000000005</v>
      </c>
      <c r="T85" s="426">
        <v>618.49381000000005</v>
      </c>
      <c r="V85" s="426">
        <f t="shared" si="11"/>
        <v>618.49381000000005</v>
      </c>
    </row>
    <row r="86" spans="1:22">
      <c r="A86" s="426" t="str">
        <f t="shared" si="8"/>
        <v>KU</v>
      </c>
      <c r="B86" s="426" t="str">
        <f t="shared" si="7"/>
        <v>KY</v>
      </c>
      <c r="C86" s="426" t="str">
        <f t="shared" si="10"/>
        <v>E</v>
      </c>
      <c r="D86" s="426" t="s">
        <v>2655</v>
      </c>
      <c r="E86" s="426" t="str">
        <f t="shared" si="9"/>
        <v>358</v>
      </c>
      <c r="F86" s="741" t="s">
        <v>1770</v>
      </c>
      <c r="G86" s="425" t="str">
        <f t="shared" si="6"/>
        <v/>
      </c>
      <c r="H86" s="426">
        <v>1235.0151699999999</v>
      </c>
      <c r="I86" s="426">
        <v>1235.0151699999999</v>
      </c>
      <c r="J86" s="426">
        <v>1235.0151699999999</v>
      </c>
      <c r="K86" s="426">
        <v>1235.0151699999999</v>
      </c>
      <c r="L86" s="426">
        <v>1235.0151699999999</v>
      </c>
      <c r="M86" s="426">
        <v>1235.0151699999999</v>
      </c>
      <c r="N86" s="426">
        <v>1235.0151699999999</v>
      </c>
      <c r="O86" s="426">
        <v>1235.0151699999999</v>
      </c>
      <c r="P86" s="426">
        <v>1235.0151699999999</v>
      </c>
      <c r="Q86" s="426">
        <v>1235.0151699999999</v>
      </c>
      <c r="R86" s="426">
        <v>1235.0151699999999</v>
      </c>
      <c r="S86" s="426">
        <v>1235.0151699999999</v>
      </c>
      <c r="T86" s="426">
        <v>1235.0151699999999</v>
      </c>
      <c r="V86" s="426">
        <f t="shared" si="11"/>
        <v>1235.0151700000001</v>
      </c>
    </row>
    <row r="87" spans="1:22">
      <c r="A87" s="426" t="str">
        <f t="shared" si="8"/>
        <v>KU</v>
      </c>
      <c r="B87" s="426" t="str">
        <f t="shared" si="7"/>
        <v>KY</v>
      </c>
      <c r="C87" s="426" t="str">
        <f t="shared" si="10"/>
        <v>E</v>
      </c>
      <c r="D87" s="426" t="s">
        <v>2655</v>
      </c>
      <c r="E87" s="426" t="str">
        <f t="shared" si="9"/>
        <v>359</v>
      </c>
      <c r="F87" s="741" t="s">
        <v>1771</v>
      </c>
      <c r="G87" s="425" t="str">
        <f t="shared" si="6"/>
        <v>ARO</v>
      </c>
      <c r="H87" s="426">
        <v>254.31741</v>
      </c>
      <c r="I87" s="426">
        <v>254.31741</v>
      </c>
      <c r="J87" s="426">
        <v>254.31741</v>
      </c>
      <c r="K87" s="426">
        <v>254.31741</v>
      </c>
      <c r="L87" s="426">
        <v>254.31741</v>
      </c>
      <c r="M87" s="426">
        <v>254.31741</v>
      </c>
      <c r="N87" s="426">
        <v>254.31741</v>
      </c>
      <c r="O87" s="426">
        <v>254.31741</v>
      </c>
      <c r="P87" s="426">
        <v>254.31741</v>
      </c>
      <c r="Q87" s="426">
        <v>254.31741</v>
      </c>
      <c r="R87" s="426">
        <v>254.31741</v>
      </c>
      <c r="S87" s="426">
        <v>254.31741</v>
      </c>
      <c r="T87" s="426">
        <v>254.31741</v>
      </c>
      <c r="V87" s="426">
        <f t="shared" si="11"/>
        <v>254.31741000000008</v>
      </c>
    </row>
    <row r="88" spans="1:22">
      <c r="A88" s="426" t="str">
        <f t="shared" si="8"/>
        <v>KU</v>
      </c>
      <c r="B88" s="426" t="str">
        <f t="shared" si="7"/>
        <v>KY</v>
      </c>
      <c r="C88" s="426" t="str">
        <f t="shared" si="10"/>
        <v>F</v>
      </c>
      <c r="D88" s="426" t="s">
        <v>2655</v>
      </c>
      <c r="E88" s="426" t="str">
        <f t="shared" si="9"/>
        <v>360</v>
      </c>
      <c r="F88" s="741" t="s">
        <v>1772</v>
      </c>
      <c r="G88" s="425" t="str">
        <f t="shared" si="6"/>
        <v>FUTURE USE</v>
      </c>
      <c r="H88" s="426">
        <v>1471.4221299999999</v>
      </c>
      <c r="I88" s="426">
        <v>1471.4221299999999</v>
      </c>
      <c r="J88" s="426">
        <v>1471.4221299999999</v>
      </c>
      <c r="K88" s="426">
        <v>1471.4221299999999</v>
      </c>
      <c r="L88" s="426">
        <v>1471.4221299999999</v>
      </c>
      <c r="M88" s="426">
        <v>1471.4221299999999</v>
      </c>
      <c r="N88" s="426">
        <v>1471.4221299999999</v>
      </c>
      <c r="O88" s="426">
        <v>1471.4221299999999</v>
      </c>
      <c r="P88" s="426">
        <v>1471.4221299999999</v>
      </c>
      <c r="Q88" s="426">
        <v>1471.4221299999999</v>
      </c>
      <c r="R88" s="426">
        <v>1471.4221299999999</v>
      </c>
      <c r="S88" s="426">
        <v>1471.4221299999999</v>
      </c>
      <c r="T88" s="426">
        <v>1471.4221299999999</v>
      </c>
      <c r="V88" s="426">
        <f t="shared" si="11"/>
        <v>1471.4221299999995</v>
      </c>
    </row>
    <row r="89" spans="1:22">
      <c r="A89" s="426" t="str">
        <f t="shared" si="8"/>
        <v>KU</v>
      </c>
      <c r="B89" s="426" t="str">
        <f t="shared" si="7"/>
        <v>KY</v>
      </c>
      <c r="C89" s="426" t="str">
        <f t="shared" si="10"/>
        <v>E</v>
      </c>
      <c r="D89" s="426" t="s">
        <v>2655</v>
      </c>
      <c r="E89" s="426" t="str">
        <f t="shared" si="9"/>
        <v>360</v>
      </c>
      <c r="F89" s="741" t="s">
        <v>1773</v>
      </c>
      <c r="G89" s="425" t="str">
        <f t="shared" si="6"/>
        <v/>
      </c>
      <c r="H89" s="426">
        <v>8925.3310199999996</v>
      </c>
      <c r="I89" s="426">
        <v>8925.3310199999996</v>
      </c>
      <c r="J89" s="426">
        <v>8925.3310199999996</v>
      </c>
      <c r="K89" s="426">
        <v>8925.3310199999996</v>
      </c>
      <c r="L89" s="426">
        <v>8925.3310199999996</v>
      </c>
      <c r="M89" s="426">
        <v>8925.3310199999996</v>
      </c>
      <c r="N89" s="426">
        <v>9425.3310199999996</v>
      </c>
      <c r="O89" s="426">
        <v>9425.3310199999996</v>
      </c>
      <c r="P89" s="426">
        <v>9425.3310199999996</v>
      </c>
      <c r="Q89" s="426">
        <v>9425.3310199999996</v>
      </c>
      <c r="R89" s="426">
        <v>9425.3310199999996</v>
      </c>
      <c r="S89" s="426">
        <v>9425.3310199999996</v>
      </c>
      <c r="T89" s="426">
        <v>9425.3310199999996</v>
      </c>
      <c r="V89" s="426">
        <f t="shared" si="11"/>
        <v>9194.5617892307673</v>
      </c>
    </row>
    <row r="90" spans="1:22">
      <c r="A90" s="426" t="str">
        <f t="shared" si="8"/>
        <v>KU</v>
      </c>
      <c r="B90" s="426" t="str">
        <f t="shared" si="7"/>
        <v>TN</v>
      </c>
      <c r="C90" s="426" t="str">
        <f t="shared" si="10"/>
        <v>E</v>
      </c>
      <c r="D90" s="426" t="s">
        <v>2655</v>
      </c>
      <c r="E90" s="426" t="str">
        <f t="shared" si="9"/>
        <v>360</v>
      </c>
      <c r="F90" s="741" t="s">
        <v>1774</v>
      </c>
      <c r="G90" s="425" t="str">
        <f t="shared" si="6"/>
        <v/>
      </c>
      <c r="H90" s="426">
        <v>5.0402300000000002</v>
      </c>
      <c r="I90" s="426">
        <v>5.0402300000000002</v>
      </c>
      <c r="J90" s="426">
        <v>5.0402300000000002</v>
      </c>
      <c r="K90" s="426">
        <v>5.0402300000000002</v>
      </c>
      <c r="L90" s="426">
        <v>5.0402300000000002</v>
      </c>
      <c r="M90" s="426">
        <v>5.0402300000000002</v>
      </c>
      <c r="N90" s="426">
        <v>5.0402300000000002</v>
      </c>
      <c r="O90" s="426">
        <v>5.0402300000000002</v>
      </c>
      <c r="P90" s="426">
        <v>5.0402300000000002</v>
      </c>
      <c r="Q90" s="426">
        <v>5.0402300000000002</v>
      </c>
      <c r="R90" s="426">
        <v>5.0402300000000002</v>
      </c>
      <c r="S90" s="426">
        <v>5.0402300000000002</v>
      </c>
      <c r="T90" s="426">
        <v>5.0402300000000002</v>
      </c>
      <c r="V90" s="426">
        <f t="shared" si="11"/>
        <v>5.0402300000000002</v>
      </c>
    </row>
    <row r="91" spans="1:22">
      <c r="A91" s="426" t="str">
        <f t="shared" si="8"/>
        <v>KU</v>
      </c>
      <c r="B91" s="426" t="str">
        <f t="shared" si="7"/>
        <v>VA</v>
      </c>
      <c r="C91" s="426" t="str">
        <f t="shared" si="10"/>
        <v>E</v>
      </c>
      <c r="D91" s="426" t="s">
        <v>2655</v>
      </c>
      <c r="E91" s="426" t="str">
        <f t="shared" si="9"/>
        <v>360</v>
      </c>
      <c r="F91" s="741" t="s">
        <v>1775</v>
      </c>
      <c r="G91" s="425" t="str">
        <f t="shared" si="6"/>
        <v/>
      </c>
      <c r="H91" s="426">
        <v>305.48790000000002</v>
      </c>
      <c r="I91" s="426">
        <v>305.48790000000002</v>
      </c>
      <c r="J91" s="426">
        <v>305.48790000000002</v>
      </c>
      <c r="K91" s="426">
        <v>305.48790000000002</v>
      </c>
      <c r="L91" s="426">
        <v>305.48790000000002</v>
      </c>
      <c r="M91" s="426">
        <v>305.48790000000002</v>
      </c>
      <c r="N91" s="426">
        <v>305.48790000000002</v>
      </c>
      <c r="O91" s="426">
        <v>305.48790000000002</v>
      </c>
      <c r="P91" s="426">
        <v>305.48790000000002</v>
      </c>
      <c r="Q91" s="426">
        <v>305.48790000000002</v>
      </c>
      <c r="R91" s="426">
        <v>305.48790000000002</v>
      </c>
      <c r="S91" s="426">
        <v>305.48790000000002</v>
      </c>
      <c r="T91" s="426">
        <v>305.48790000000002</v>
      </c>
      <c r="V91" s="426">
        <f t="shared" si="11"/>
        <v>305.48790000000002</v>
      </c>
    </row>
    <row r="92" spans="1:22">
      <c r="A92" s="426" t="str">
        <f t="shared" si="8"/>
        <v>KU</v>
      </c>
      <c r="B92" s="426" t="str">
        <f t="shared" si="7"/>
        <v>KY</v>
      </c>
      <c r="C92" s="426" t="str">
        <f t="shared" si="10"/>
        <v>E</v>
      </c>
      <c r="D92" s="426" t="s">
        <v>2655</v>
      </c>
      <c r="E92" s="426" t="str">
        <f t="shared" si="9"/>
        <v>361</v>
      </c>
      <c r="F92" s="741" t="s">
        <v>1776</v>
      </c>
      <c r="G92" s="425" t="str">
        <f t="shared" si="6"/>
        <v/>
      </c>
      <c r="H92" s="426">
        <v>30384.250739999883</v>
      </c>
      <c r="I92" s="426">
        <v>30806.513289999883</v>
      </c>
      <c r="J92" s="426">
        <v>30773.174029999882</v>
      </c>
      <c r="K92" s="426">
        <v>30739.834769999881</v>
      </c>
      <c r="L92" s="426">
        <v>30706.495509999877</v>
      </c>
      <c r="M92" s="426">
        <v>30673.156249999876</v>
      </c>
      <c r="N92" s="426">
        <v>30741.816989999876</v>
      </c>
      <c r="O92" s="426">
        <v>30741.816989999876</v>
      </c>
      <c r="P92" s="426">
        <v>30741.816989999876</v>
      </c>
      <c r="Q92" s="426">
        <v>30741.816989999876</v>
      </c>
      <c r="R92" s="426">
        <v>30741.816989999876</v>
      </c>
      <c r="S92" s="426">
        <v>31441.816989999876</v>
      </c>
      <c r="T92" s="426">
        <v>31441.816989999876</v>
      </c>
      <c r="V92" s="426">
        <f t="shared" si="11"/>
        <v>30821.24180923064</v>
      </c>
    </row>
    <row r="93" spans="1:22">
      <c r="A93" s="426" t="str">
        <f t="shared" si="8"/>
        <v>KU</v>
      </c>
      <c r="B93" s="426" t="str">
        <f t="shared" si="7"/>
        <v>TN</v>
      </c>
      <c r="C93" s="426" t="str">
        <f t="shared" si="10"/>
        <v>E</v>
      </c>
      <c r="D93" s="426" t="s">
        <v>2655</v>
      </c>
      <c r="E93" s="426" t="str">
        <f t="shared" si="9"/>
        <v>361</v>
      </c>
      <c r="F93" s="741" t="s">
        <v>1777</v>
      </c>
      <c r="G93" s="425" t="str">
        <f t="shared" si="6"/>
        <v/>
      </c>
      <c r="H93" s="426">
        <v>2.5451299999999999</v>
      </c>
      <c r="I93" s="426">
        <v>2.5451299999999999</v>
      </c>
      <c r="J93" s="426">
        <v>2.5451299999999999</v>
      </c>
      <c r="K93" s="426">
        <v>2.5451299999999999</v>
      </c>
      <c r="L93" s="426">
        <v>2.5451299999999999</v>
      </c>
      <c r="M93" s="426">
        <v>2.5451299999999999</v>
      </c>
      <c r="N93" s="426">
        <v>2.5451299999999999</v>
      </c>
      <c r="O93" s="426">
        <v>2.5451299999999999</v>
      </c>
      <c r="P93" s="426">
        <v>2.5451299999999999</v>
      </c>
      <c r="Q93" s="426">
        <v>2.5451299999999999</v>
      </c>
      <c r="R93" s="426">
        <v>2.5451299999999999</v>
      </c>
      <c r="S93" s="426">
        <v>2.5451299999999999</v>
      </c>
      <c r="T93" s="426">
        <v>2.5451299999999999</v>
      </c>
      <c r="V93" s="426">
        <f t="shared" si="11"/>
        <v>2.5451299999999999</v>
      </c>
    </row>
    <row r="94" spans="1:22">
      <c r="A94" s="426" t="str">
        <f t="shared" si="8"/>
        <v>KU</v>
      </c>
      <c r="B94" s="426" t="str">
        <f t="shared" si="7"/>
        <v>VA</v>
      </c>
      <c r="C94" s="426" t="str">
        <f t="shared" si="10"/>
        <v>E</v>
      </c>
      <c r="D94" s="426" t="s">
        <v>2655</v>
      </c>
      <c r="E94" s="426" t="str">
        <f t="shared" si="9"/>
        <v>361</v>
      </c>
      <c r="F94" s="741" t="s">
        <v>1778</v>
      </c>
      <c r="G94" s="425" t="str">
        <f t="shared" si="6"/>
        <v/>
      </c>
      <c r="H94" s="426">
        <v>652.26545999999996</v>
      </c>
      <c r="I94" s="426">
        <v>652.26545999999996</v>
      </c>
      <c r="J94" s="426">
        <v>652.26545999999996</v>
      </c>
      <c r="K94" s="426">
        <v>652.26545999999996</v>
      </c>
      <c r="L94" s="426">
        <v>652.26545999999996</v>
      </c>
      <c r="M94" s="426">
        <v>652.26545999999996</v>
      </c>
      <c r="N94" s="426">
        <v>652.26545999999996</v>
      </c>
      <c r="O94" s="426">
        <v>652.26545999999996</v>
      </c>
      <c r="P94" s="426">
        <v>652.26545999999996</v>
      </c>
      <c r="Q94" s="426">
        <v>652.26545999999996</v>
      </c>
      <c r="R94" s="426">
        <v>652.26545999999996</v>
      </c>
      <c r="S94" s="426">
        <v>652.26545999999996</v>
      </c>
      <c r="T94" s="426">
        <v>652.26545999999996</v>
      </c>
      <c r="V94" s="426">
        <f t="shared" si="11"/>
        <v>652.26545999999985</v>
      </c>
    </row>
    <row r="95" spans="1:22">
      <c r="A95" s="426" t="str">
        <f t="shared" si="8"/>
        <v>KU</v>
      </c>
      <c r="B95" s="426" t="str">
        <f t="shared" si="7"/>
        <v>KY</v>
      </c>
      <c r="C95" s="426" t="str">
        <f t="shared" si="10"/>
        <v>E</v>
      </c>
      <c r="D95" s="426" t="s">
        <v>2655</v>
      </c>
      <c r="E95" s="426" t="str">
        <f t="shared" si="9"/>
        <v>362</v>
      </c>
      <c r="F95" s="741" t="s">
        <v>1779</v>
      </c>
      <c r="G95" s="425" t="str">
        <f t="shared" ref="G95:G156" si="12">IF(ISTEXT(MID($F95,SEARCH("FUTURE USE",$F95),3)),"FUTURE USE",IF(ISTEXT(MID($F95,SEARCH("ECR",$F95),3)),"ECR",IF(ISTEXT(MID($F95,SEARCH("ARO",$F95),3)),"ARO",IF(ISTEXT(MID($F95,SEARCH("DSM",$F95),3)),"DSM",""))))</f>
        <v/>
      </c>
      <c r="H95" s="426">
        <v>287370.30654999998</v>
      </c>
      <c r="I95" s="426">
        <v>287969.12420999998</v>
      </c>
      <c r="J95" s="426">
        <v>292080.48116999998</v>
      </c>
      <c r="K95" s="426">
        <v>296262.76483</v>
      </c>
      <c r="L95" s="426">
        <v>297579.42442</v>
      </c>
      <c r="M95" s="426">
        <v>298095.94380000001</v>
      </c>
      <c r="N95" s="426">
        <v>313873.64020999998</v>
      </c>
      <c r="O95" s="426">
        <v>313974.61833000003</v>
      </c>
      <c r="P95" s="426">
        <v>314016.05764000001</v>
      </c>
      <c r="Q95" s="426">
        <v>314468.02902999998</v>
      </c>
      <c r="R95" s="426">
        <v>314831.26444</v>
      </c>
      <c r="S95" s="426">
        <v>315004.25636</v>
      </c>
      <c r="T95" s="426">
        <v>321060.41797000001</v>
      </c>
      <c r="V95" s="426">
        <f t="shared" si="11"/>
        <v>305122.02530461538</v>
      </c>
    </row>
    <row r="96" spans="1:22">
      <c r="A96" s="426" t="str">
        <f t="shared" si="8"/>
        <v>KU</v>
      </c>
      <c r="B96" s="426" t="str">
        <f t="shared" si="7"/>
        <v>TN</v>
      </c>
      <c r="C96" s="426" t="str">
        <f t="shared" si="10"/>
        <v>E</v>
      </c>
      <c r="D96" s="426" t="s">
        <v>2655</v>
      </c>
      <c r="E96" s="426" t="str">
        <f t="shared" si="9"/>
        <v>362</v>
      </c>
      <c r="F96" s="741" t="s">
        <v>1780</v>
      </c>
      <c r="G96" s="425" t="str">
        <f t="shared" si="12"/>
        <v/>
      </c>
      <c r="H96" s="426">
        <v>66.85342</v>
      </c>
      <c r="I96" s="426">
        <v>66.85342</v>
      </c>
      <c r="J96" s="426">
        <v>66.85342</v>
      </c>
      <c r="K96" s="426">
        <v>66.85342</v>
      </c>
      <c r="L96" s="426">
        <v>66.85342</v>
      </c>
      <c r="M96" s="426">
        <v>66.85342</v>
      </c>
      <c r="N96" s="426">
        <v>66.85342</v>
      </c>
      <c r="O96" s="426">
        <v>66.85342</v>
      </c>
      <c r="P96" s="426">
        <v>66.85342</v>
      </c>
      <c r="Q96" s="426">
        <v>66.85342</v>
      </c>
      <c r="R96" s="426">
        <v>66.85342</v>
      </c>
      <c r="S96" s="426">
        <v>66.85342</v>
      </c>
      <c r="T96" s="426">
        <v>66.85342</v>
      </c>
      <c r="V96" s="426">
        <f t="shared" si="11"/>
        <v>66.853420000000014</v>
      </c>
    </row>
    <row r="97" spans="1:22">
      <c r="A97" s="426" t="str">
        <f t="shared" si="8"/>
        <v>KU</v>
      </c>
      <c r="B97" s="426" t="str">
        <f t="shared" si="7"/>
        <v>VA</v>
      </c>
      <c r="C97" s="426" t="str">
        <f t="shared" si="10"/>
        <v>E</v>
      </c>
      <c r="D97" s="426" t="s">
        <v>2655</v>
      </c>
      <c r="E97" s="426" t="str">
        <f t="shared" si="9"/>
        <v>362</v>
      </c>
      <c r="F97" s="741" t="s">
        <v>1781</v>
      </c>
      <c r="G97" s="425" t="str">
        <f t="shared" si="12"/>
        <v/>
      </c>
      <c r="H97" s="426">
        <v>9218.6846299999997</v>
      </c>
      <c r="I97" s="426">
        <v>9218.6846299999997</v>
      </c>
      <c r="J97" s="426">
        <v>9218.6846299999997</v>
      </c>
      <c r="K97" s="426">
        <v>9218.6846299999997</v>
      </c>
      <c r="L97" s="426">
        <v>9218.6846299999997</v>
      </c>
      <c r="M97" s="426">
        <v>9218.6846299999997</v>
      </c>
      <c r="N97" s="426">
        <v>9218.6846299999997</v>
      </c>
      <c r="O97" s="426">
        <v>9218.6846299999997</v>
      </c>
      <c r="P97" s="426">
        <v>9218.6846299999997</v>
      </c>
      <c r="Q97" s="426">
        <v>9218.6846299999997</v>
      </c>
      <c r="R97" s="426">
        <v>9218.6846299999997</v>
      </c>
      <c r="S97" s="426">
        <v>9218.6846299999997</v>
      </c>
      <c r="T97" s="426">
        <v>9218.6846299999997</v>
      </c>
      <c r="V97" s="426">
        <f t="shared" si="11"/>
        <v>9218.6846300000016</v>
      </c>
    </row>
    <row r="98" spans="1:22">
      <c r="A98" s="426" t="str">
        <f t="shared" si="8"/>
        <v>KU</v>
      </c>
      <c r="B98" s="426" t="str">
        <f t="shared" si="7"/>
        <v>KY</v>
      </c>
      <c r="C98" s="426" t="str">
        <f t="shared" si="10"/>
        <v>E</v>
      </c>
      <c r="D98" s="426" t="s">
        <v>2655</v>
      </c>
      <c r="E98" s="426" t="str">
        <f t="shared" si="9"/>
        <v>364</v>
      </c>
      <c r="F98" s="741" t="s">
        <v>2196</v>
      </c>
      <c r="H98" s="426">
        <v>103.64113999999999</v>
      </c>
      <c r="I98" s="426">
        <v>1.4210854715202001E-14</v>
      </c>
      <c r="J98" s="426">
        <v>1.4210854715202001E-14</v>
      </c>
      <c r="K98" s="426">
        <v>1.4210854715202001E-14</v>
      </c>
      <c r="L98" s="426">
        <v>1.4210854715202001E-14</v>
      </c>
      <c r="M98" s="426">
        <v>1.4210854715202001E-14</v>
      </c>
      <c r="N98" s="426">
        <v>1.4210854715202001E-14</v>
      </c>
      <c r="O98" s="426">
        <v>1.4210854715202001E-14</v>
      </c>
      <c r="P98" s="426">
        <v>1.4210854715202001E-14</v>
      </c>
      <c r="Q98" s="426">
        <v>1.4210854715202001E-14</v>
      </c>
      <c r="R98" s="426">
        <v>1.4210854715202001E-14</v>
      </c>
      <c r="S98" s="426">
        <v>1.4210854715202001E-14</v>
      </c>
      <c r="T98" s="426">
        <v>1.4210854715202001E-14</v>
      </c>
      <c r="V98" s="426">
        <f t="shared" si="11"/>
        <v>7.972395384615397</v>
      </c>
    </row>
    <row r="99" spans="1:22">
      <c r="A99" s="426" t="str">
        <f t="shared" si="8"/>
        <v>KU</v>
      </c>
      <c r="B99" s="426" t="str">
        <f t="shared" si="7"/>
        <v>KY</v>
      </c>
      <c r="C99" s="426" t="str">
        <f t="shared" si="10"/>
        <v>E</v>
      </c>
      <c r="D99" s="426" t="s">
        <v>2655</v>
      </c>
      <c r="E99" s="426" t="str">
        <f t="shared" si="9"/>
        <v>364</v>
      </c>
      <c r="F99" s="741" t="s">
        <v>1782</v>
      </c>
      <c r="G99" s="425" t="str">
        <f t="shared" si="12"/>
        <v/>
      </c>
      <c r="H99" s="426">
        <v>441682.876679999</v>
      </c>
      <c r="I99" s="426">
        <v>442969.64491999999</v>
      </c>
      <c r="J99" s="426">
        <v>444112.36304999999</v>
      </c>
      <c r="K99" s="426">
        <v>445447.58722999902</v>
      </c>
      <c r="L99" s="426">
        <v>446720.21316999901</v>
      </c>
      <c r="M99" s="426">
        <v>447957.09618999902</v>
      </c>
      <c r="N99" s="426">
        <v>449170.22537999903</v>
      </c>
      <c r="O99" s="426">
        <v>450757.18247999903</v>
      </c>
      <c r="P99" s="426">
        <v>452288.67749999999</v>
      </c>
      <c r="Q99" s="426">
        <v>453851.79622999998</v>
      </c>
      <c r="R99" s="426">
        <v>455328.18385999999</v>
      </c>
      <c r="S99" s="426">
        <v>456754.24721</v>
      </c>
      <c r="T99" s="426">
        <v>458259.33775000001</v>
      </c>
      <c r="V99" s="426">
        <f t="shared" si="11"/>
        <v>449638.41781923041</v>
      </c>
    </row>
    <row r="100" spans="1:22">
      <c r="A100" s="426" t="str">
        <f t="shared" si="8"/>
        <v>KU</v>
      </c>
      <c r="B100" s="426" t="str">
        <f t="shared" si="7"/>
        <v>TN</v>
      </c>
      <c r="C100" s="426" t="str">
        <f t="shared" si="10"/>
        <v>E</v>
      </c>
      <c r="D100" s="426" t="s">
        <v>2655</v>
      </c>
      <c r="E100" s="426" t="str">
        <f t="shared" si="9"/>
        <v>364</v>
      </c>
      <c r="F100" s="741" t="s">
        <v>1783</v>
      </c>
      <c r="G100" s="425" t="str">
        <f t="shared" si="12"/>
        <v/>
      </c>
      <c r="H100" s="426">
        <v>15.95452</v>
      </c>
      <c r="I100" s="426">
        <v>15.95452</v>
      </c>
      <c r="J100" s="426">
        <v>15.95452</v>
      </c>
      <c r="K100" s="426">
        <v>15.95452</v>
      </c>
      <c r="L100" s="426">
        <v>15.95452</v>
      </c>
      <c r="M100" s="426">
        <v>15.95452</v>
      </c>
      <c r="N100" s="426">
        <v>15.95452</v>
      </c>
      <c r="O100" s="426">
        <v>15.95452</v>
      </c>
      <c r="P100" s="426">
        <v>15.95452</v>
      </c>
      <c r="Q100" s="426">
        <v>15.95452</v>
      </c>
      <c r="R100" s="426">
        <v>15.95452</v>
      </c>
      <c r="S100" s="426">
        <v>15.95452</v>
      </c>
      <c r="T100" s="426">
        <v>15.95452</v>
      </c>
      <c r="V100" s="426">
        <f t="shared" si="11"/>
        <v>15.95452</v>
      </c>
    </row>
    <row r="101" spans="1:22">
      <c r="A101" s="426" t="str">
        <f t="shared" si="8"/>
        <v>KU</v>
      </c>
      <c r="B101" s="426" t="str">
        <f t="shared" si="7"/>
        <v>VA</v>
      </c>
      <c r="C101" s="426" t="str">
        <f t="shared" si="10"/>
        <v>E</v>
      </c>
      <c r="D101" s="426" t="s">
        <v>2655</v>
      </c>
      <c r="E101" s="426" t="str">
        <f t="shared" si="9"/>
        <v>364</v>
      </c>
      <c r="F101" s="741" t="s">
        <v>1784</v>
      </c>
      <c r="G101" s="425" t="str">
        <f t="shared" si="12"/>
        <v/>
      </c>
      <c r="H101" s="426">
        <v>33233.390630000002</v>
      </c>
      <c r="I101" s="426">
        <v>33259.865429999998</v>
      </c>
      <c r="J101" s="426">
        <v>33289.342420000001</v>
      </c>
      <c r="K101" s="426">
        <v>33317.583509999997</v>
      </c>
      <c r="L101" s="426">
        <v>33345.463100000001</v>
      </c>
      <c r="M101" s="426">
        <v>33372.628499999999</v>
      </c>
      <c r="N101" s="426">
        <v>33404.958980000003</v>
      </c>
      <c r="O101" s="426">
        <v>33430.729700000004</v>
      </c>
      <c r="P101" s="426">
        <v>33454.693570000003</v>
      </c>
      <c r="Q101" s="426">
        <v>33488.011350000001</v>
      </c>
      <c r="R101" s="426">
        <v>33510.209139999999</v>
      </c>
      <c r="S101" s="426">
        <v>33541.95895</v>
      </c>
      <c r="T101" s="426">
        <v>33571.412810000002</v>
      </c>
      <c r="V101" s="426">
        <f t="shared" si="11"/>
        <v>33401.557545384618</v>
      </c>
    </row>
    <row r="102" spans="1:22">
      <c r="A102" s="426" t="str">
        <f t="shared" si="8"/>
        <v>KU</v>
      </c>
      <c r="B102" s="426" t="str">
        <f t="shared" si="7"/>
        <v>KY</v>
      </c>
      <c r="C102" s="426" t="str">
        <f t="shared" si="10"/>
        <v>E</v>
      </c>
      <c r="D102" s="426" t="s">
        <v>2655</v>
      </c>
      <c r="E102" s="426" t="str">
        <f t="shared" si="9"/>
        <v>365</v>
      </c>
      <c r="F102" s="741" t="s">
        <v>2197</v>
      </c>
      <c r="H102" s="426">
        <v>89.787700000000001</v>
      </c>
      <c r="I102" s="426">
        <v>0</v>
      </c>
      <c r="J102" s="426">
        <v>0</v>
      </c>
      <c r="K102" s="426">
        <v>0</v>
      </c>
      <c r="L102" s="426">
        <v>0</v>
      </c>
      <c r="M102" s="426">
        <v>0</v>
      </c>
      <c r="N102" s="426">
        <v>0</v>
      </c>
      <c r="O102" s="426">
        <v>0</v>
      </c>
      <c r="P102" s="426">
        <v>0</v>
      </c>
      <c r="Q102" s="426">
        <v>0</v>
      </c>
      <c r="R102" s="426">
        <v>0</v>
      </c>
      <c r="S102" s="426">
        <v>0</v>
      </c>
      <c r="T102" s="426">
        <v>0</v>
      </c>
      <c r="V102" s="426">
        <f t="shared" si="11"/>
        <v>6.9067461538461536</v>
      </c>
    </row>
    <row r="103" spans="1:22">
      <c r="A103" s="426" t="str">
        <f t="shared" si="8"/>
        <v>KU</v>
      </c>
      <c r="B103" s="426" t="str">
        <f t="shared" si="7"/>
        <v>KY</v>
      </c>
      <c r="C103" s="426" t="str">
        <f t="shared" si="10"/>
        <v>E</v>
      </c>
      <c r="D103" s="426" t="s">
        <v>2655</v>
      </c>
      <c r="E103" s="426" t="str">
        <f t="shared" si="9"/>
        <v>365</v>
      </c>
      <c r="F103" s="741" t="s">
        <v>1785</v>
      </c>
      <c r="G103" s="425" t="str">
        <f t="shared" si="12"/>
        <v/>
      </c>
      <c r="H103" s="426">
        <v>459734.11868999898</v>
      </c>
      <c r="I103" s="426">
        <v>460907.91657999897</v>
      </c>
      <c r="J103" s="426">
        <v>462849.30401999899</v>
      </c>
      <c r="K103" s="426">
        <v>464548.72869999998</v>
      </c>
      <c r="L103" s="426">
        <v>465770.84273999999</v>
      </c>
      <c r="M103" s="426">
        <v>467067.95549999998</v>
      </c>
      <c r="N103" s="426">
        <v>473594.79631999898</v>
      </c>
      <c r="O103" s="426">
        <v>475533.74000999902</v>
      </c>
      <c r="P103" s="426">
        <v>477143.69042999903</v>
      </c>
      <c r="Q103" s="426">
        <v>479585.55837999901</v>
      </c>
      <c r="R103" s="426">
        <v>481512.17188999901</v>
      </c>
      <c r="S103" s="426">
        <v>483388.04427999898</v>
      </c>
      <c r="T103" s="426">
        <v>485728.71785999899</v>
      </c>
      <c r="V103" s="426">
        <f t="shared" si="11"/>
        <v>472105.04503076855</v>
      </c>
    </row>
    <row r="104" spans="1:22">
      <c r="A104" s="426" t="str">
        <f t="shared" si="8"/>
        <v>KU</v>
      </c>
      <c r="B104" s="426" t="str">
        <f t="shared" si="7"/>
        <v>TN</v>
      </c>
      <c r="C104" s="426" t="str">
        <f t="shared" si="10"/>
        <v>E</v>
      </c>
      <c r="D104" s="426" t="s">
        <v>2655</v>
      </c>
      <c r="E104" s="426" t="str">
        <f t="shared" si="9"/>
        <v>365</v>
      </c>
      <c r="F104" s="741" t="s">
        <v>1786</v>
      </c>
      <c r="G104" s="425" t="str">
        <f t="shared" si="12"/>
        <v/>
      </c>
      <c r="H104" s="426">
        <v>17.140309999999999</v>
      </c>
      <c r="I104" s="426">
        <v>17.140309999999999</v>
      </c>
      <c r="J104" s="426">
        <v>17.140309999999999</v>
      </c>
      <c r="K104" s="426">
        <v>17.140309999999999</v>
      </c>
      <c r="L104" s="426">
        <v>17.140309999999999</v>
      </c>
      <c r="M104" s="426">
        <v>17.140309999999999</v>
      </c>
      <c r="N104" s="426">
        <v>17.140309999999999</v>
      </c>
      <c r="O104" s="426">
        <v>17.140309999999999</v>
      </c>
      <c r="P104" s="426">
        <v>17.140309999999999</v>
      </c>
      <c r="Q104" s="426">
        <v>17.140309999999999</v>
      </c>
      <c r="R104" s="426">
        <v>17.140309999999999</v>
      </c>
      <c r="S104" s="426">
        <v>17.140309999999999</v>
      </c>
      <c r="T104" s="426">
        <v>17.140309999999999</v>
      </c>
      <c r="V104" s="426">
        <f t="shared" si="11"/>
        <v>17.140309999999999</v>
      </c>
    </row>
    <row r="105" spans="1:22">
      <c r="A105" s="426" t="str">
        <f t="shared" si="8"/>
        <v>KU</v>
      </c>
      <c r="B105" s="426" t="str">
        <f t="shared" si="7"/>
        <v>VA</v>
      </c>
      <c r="C105" s="426" t="str">
        <f t="shared" si="10"/>
        <v>E</v>
      </c>
      <c r="D105" s="426" t="s">
        <v>2655</v>
      </c>
      <c r="E105" s="426" t="str">
        <f t="shared" si="9"/>
        <v>365</v>
      </c>
      <c r="F105" s="741" t="s">
        <v>1787</v>
      </c>
      <c r="G105" s="425" t="str">
        <f t="shared" si="12"/>
        <v/>
      </c>
      <c r="H105" s="426">
        <v>30539.872950000001</v>
      </c>
      <c r="I105" s="426">
        <v>30653.291649999999</v>
      </c>
      <c r="J105" s="426">
        <v>30769.60167</v>
      </c>
      <c r="K105" s="426">
        <v>30888.688689999999</v>
      </c>
      <c r="L105" s="426">
        <v>30995.20534</v>
      </c>
      <c r="M105" s="426">
        <v>31095.747749999999</v>
      </c>
      <c r="N105" s="426">
        <v>32555.473279999998</v>
      </c>
      <c r="O105" s="426">
        <v>32659.471729999899</v>
      </c>
      <c r="P105" s="426">
        <v>32764.650949999901</v>
      </c>
      <c r="Q105" s="426">
        <v>32890.786279999898</v>
      </c>
      <c r="R105" s="426">
        <v>32999.997739999897</v>
      </c>
      <c r="S105" s="426">
        <v>33119.637089999902</v>
      </c>
      <c r="T105" s="426">
        <v>33239.554299999902</v>
      </c>
      <c r="V105" s="426">
        <f t="shared" si="11"/>
        <v>31936.306109230725</v>
      </c>
    </row>
    <row r="106" spans="1:22">
      <c r="A106" s="426" t="str">
        <f t="shared" si="8"/>
        <v>KU</v>
      </c>
      <c r="B106" s="426" t="str">
        <f t="shared" si="7"/>
        <v>KY</v>
      </c>
      <c r="C106" s="426" t="str">
        <f t="shared" si="10"/>
        <v>E</v>
      </c>
      <c r="D106" s="426" t="s">
        <v>2655</v>
      </c>
      <c r="E106" s="426" t="str">
        <f t="shared" si="9"/>
        <v>366</v>
      </c>
      <c r="F106" s="741" t="s">
        <v>2198</v>
      </c>
      <c r="H106" s="426">
        <v>216.87010999999899</v>
      </c>
      <c r="I106" s="426">
        <v>-2.8421709430404001E-14</v>
      </c>
      <c r="J106" s="426">
        <v>-2.8421709430404001E-14</v>
      </c>
      <c r="K106" s="426">
        <v>-2.8421709430404001E-14</v>
      </c>
      <c r="L106" s="426">
        <v>-2.8421709430404001E-14</v>
      </c>
      <c r="M106" s="426">
        <v>-2.8421709430404001E-14</v>
      </c>
      <c r="N106" s="426">
        <v>-2.8421709430404001E-14</v>
      </c>
      <c r="O106" s="426">
        <v>-2.8421709430404001E-14</v>
      </c>
      <c r="P106" s="426">
        <v>-2.8421709430404001E-14</v>
      </c>
      <c r="Q106" s="426">
        <v>-2.8421709430404001E-14</v>
      </c>
      <c r="R106" s="426">
        <v>-2.8421709430404001E-14</v>
      </c>
      <c r="S106" s="426">
        <v>-2.8421709430404001E-14</v>
      </c>
      <c r="T106" s="426">
        <v>-2.8421709430404001E-14</v>
      </c>
      <c r="V106" s="426">
        <f t="shared" si="11"/>
        <v>16.682316153846049</v>
      </c>
    </row>
    <row r="107" spans="1:22">
      <c r="A107" s="426" t="str">
        <f t="shared" si="8"/>
        <v>KU</v>
      </c>
      <c r="B107" s="426" t="str">
        <f t="shared" si="7"/>
        <v>KY</v>
      </c>
      <c r="C107" s="426" t="str">
        <f t="shared" si="10"/>
        <v>E</v>
      </c>
      <c r="D107" s="426" t="s">
        <v>2655</v>
      </c>
      <c r="E107" s="426" t="str">
        <f t="shared" si="9"/>
        <v>366</v>
      </c>
      <c r="F107" s="741" t="s">
        <v>1788</v>
      </c>
      <c r="G107" s="425" t="str">
        <f t="shared" si="12"/>
        <v/>
      </c>
      <c r="H107" s="426">
        <v>2307.27441</v>
      </c>
      <c r="I107" s="426">
        <v>2524.1445199999998</v>
      </c>
      <c r="J107" s="426">
        <v>2524.1445199999998</v>
      </c>
      <c r="K107" s="426">
        <v>2524.1445199999998</v>
      </c>
      <c r="L107" s="426">
        <v>2524.1445199999998</v>
      </c>
      <c r="M107" s="426">
        <v>2524.1445199999998</v>
      </c>
      <c r="N107" s="426">
        <v>2524.1445199999998</v>
      </c>
      <c r="O107" s="426">
        <v>2524.1445199999998</v>
      </c>
      <c r="P107" s="426">
        <v>2524.1445199999998</v>
      </c>
      <c r="Q107" s="426">
        <v>2524.1445199999998</v>
      </c>
      <c r="R107" s="426">
        <v>2524.1445199999998</v>
      </c>
      <c r="S107" s="426">
        <v>2524.1445199999998</v>
      </c>
      <c r="T107" s="426">
        <v>2524.1445199999998</v>
      </c>
      <c r="V107" s="426">
        <f t="shared" si="11"/>
        <v>2507.4622038461548</v>
      </c>
    </row>
    <row r="108" spans="1:22">
      <c r="A108" s="426" t="str">
        <f t="shared" si="8"/>
        <v>KU</v>
      </c>
      <c r="B108" s="426" t="str">
        <f t="shared" si="7"/>
        <v>KY</v>
      </c>
      <c r="C108" s="426" t="str">
        <f t="shared" si="10"/>
        <v>E</v>
      </c>
      <c r="D108" s="426" t="s">
        <v>2655</v>
      </c>
      <c r="E108" s="426" t="str">
        <f t="shared" si="9"/>
        <v>367</v>
      </c>
      <c r="F108" s="741" t="s">
        <v>2199</v>
      </c>
      <c r="H108" s="426">
        <v>1176.77197</v>
      </c>
      <c r="I108" s="426">
        <v>0</v>
      </c>
      <c r="J108" s="426">
        <v>0</v>
      </c>
      <c r="K108" s="426">
        <v>0</v>
      </c>
      <c r="L108" s="426">
        <v>0</v>
      </c>
      <c r="M108" s="426">
        <v>0</v>
      </c>
      <c r="N108" s="426">
        <v>0</v>
      </c>
      <c r="O108" s="426">
        <v>0</v>
      </c>
      <c r="P108" s="426">
        <v>0</v>
      </c>
      <c r="Q108" s="426">
        <v>0</v>
      </c>
      <c r="R108" s="426">
        <v>0</v>
      </c>
      <c r="S108" s="426">
        <v>0</v>
      </c>
      <c r="T108" s="426">
        <v>0</v>
      </c>
      <c r="V108" s="426">
        <f t="shared" si="11"/>
        <v>90.52092076923077</v>
      </c>
    </row>
    <row r="109" spans="1:22">
      <c r="A109" s="426" t="str">
        <f t="shared" si="8"/>
        <v>KU</v>
      </c>
      <c r="B109" s="426" t="str">
        <f t="shared" si="7"/>
        <v>KY</v>
      </c>
      <c r="C109" s="426" t="str">
        <f t="shared" si="10"/>
        <v>E</v>
      </c>
      <c r="D109" s="426" t="s">
        <v>2655</v>
      </c>
      <c r="E109" s="426" t="str">
        <f t="shared" si="9"/>
        <v>367</v>
      </c>
      <c r="F109" s="741" t="s">
        <v>1789</v>
      </c>
      <c r="G109" s="425" t="str">
        <f t="shared" si="12"/>
        <v/>
      </c>
      <c r="H109" s="426">
        <v>234604.137569999</v>
      </c>
      <c r="I109" s="426">
        <v>237400.16728999899</v>
      </c>
      <c r="J109" s="426">
        <v>239076.185029999</v>
      </c>
      <c r="K109" s="426">
        <v>240693.675519999</v>
      </c>
      <c r="L109" s="426">
        <v>242296.248369999</v>
      </c>
      <c r="M109" s="426">
        <v>243841.86193999901</v>
      </c>
      <c r="N109" s="426">
        <v>245353.25660999899</v>
      </c>
      <c r="O109" s="426">
        <v>246760.80109999899</v>
      </c>
      <c r="P109" s="426">
        <v>248167.401049999</v>
      </c>
      <c r="Q109" s="426">
        <v>249761.186339999</v>
      </c>
      <c r="R109" s="426">
        <v>251201.988149999</v>
      </c>
      <c r="S109" s="426">
        <v>252656.10297999901</v>
      </c>
      <c r="T109" s="426">
        <v>254113.74556999901</v>
      </c>
      <c r="V109" s="426">
        <f t="shared" si="11"/>
        <v>245071.28903999898</v>
      </c>
    </row>
    <row r="110" spans="1:22">
      <c r="A110" s="426" t="str">
        <f t="shared" si="8"/>
        <v>KU</v>
      </c>
      <c r="B110" s="426" t="str">
        <f t="shared" si="7"/>
        <v>VA</v>
      </c>
      <c r="C110" s="426" t="str">
        <f t="shared" si="10"/>
        <v>E</v>
      </c>
      <c r="D110" s="426" t="s">
        <v>2655</v>
      </c>
      <c r="E110" s="426" t="str">
        <f t="shared" si="9"/>
        <v>367</v>
      </c>
      <c r="F110" s="741" t="s">
        <v>1790</v>
      </c>
      <c r="G110" s="425" t="str">
        <f t="shared" si="12"/>
        <v/>
      </c>
      <c r="H110" s="426">
        <v>5141.60231999999</v>
      </c>
      <c r="I110" s="426">
        <v>5170.5776599999899</v>
      </c>
      <c r="J110" s="426">
        <v>5226.4269599999898</v>
      </c>
      <c r="K110" s="426">
        <v>5264.2515799999901</v>
      </c>
      <c r="L110" s="426">
        <v>5307.8213099999903</v>
      </c>
      <c r="M110" s="426">
        <v>5344.3528099999903</v>
      </c>
      <c r="N110" s="426">
        <v>5379.8074899999901</v>
      </c>
      <c r="O110" s="426">
        <v>5424.0400999999902</v>
      </c>
      <c r="P110" s="426">
        <v>5468.5637799999904</v>
      </c>
      <c r="Q110" s="426">
        <v>5518.13651999999</v>
      </c>
      <c r="R110" s="426">
        <v>5554.6332199999897</v>
      </c>
      <c r="S110" s="426">
        <v>5600.5569799999903</v>
      </c>
      <c r="T110" s="426">
        <v>5646.48073999999</v>
      </c>
      <c r="V110" s="426">
        <f t="shared" si="11"/>
        <v>5388.2501130769133</v>
      </c>
    </row>
    <row r="111" spans="1:22">
      <c r="A111" s="426" t="str">
        <f t="shared" si="8"/>
        <v>KU</v>
      </c>
      <c r="B111" s="426" t="str">
        <f t="shared" si="7"/>
        <v>KY</v>
      </c>
      <c r="C111" s="426" t="str">
        <f t="shared" si="10"/>
        <v>E</v>
      </c>
      <c r="D111" s="426" t="s">
        <v>2655</v>
      </c>
      <c r="E111" s="426" t="str">
        <f t="shared" si="9"/>
        <v>368</v>
      </c>
      <c r="F111" s="741" t="s">
        <v>1791</v>
      </c>
      <c r="G111" s="425" t="str">
        <f t="shared" si="12"/>
        <v/>
      </c>
      <c r="H111" s="426">
        <v>323896.98674999899</v>
      </c>
      <c r="I111" s="426">
        <v>324280.02173999901</v>
      </c>
      <c r="J111" s="426">
        <v>324555.76571999898</v>
      </c>
      <c r="K111" s="426">
        <v>325285.146639999</v>
      </c>
      <c r="L111" s="426">
        <v>325786.598059999</v>
      </c>
      <c r="M111" s="426">
        <v>326143.47110999899</v>
      </c>
      <c r="N111" s="426">
        <v>326395.87639999902</v>
      </c>
      <c r="O111" s="426">
        <v>326782.14226999902</v>
      </c>
      <c r="P111" s="426">
        <v>327264.19802999898</v>
      </c>
      <c r="Q111" s="426">
        <v>327838.030399999</v>
      </c>
      <c r="R111" s="426">
        <v>328416.24616999901</v>
      </c>
      <c r="S111" s="426">
        <v>328961.627069999</v>
      </c>
      <c r="T111" s="426">
        <v>329654.70326999901</v>
      </c>
      <c r="V111" s="426">
        <f t="shared" si="11"/>
        <v>326558.52412538364</v>
      </c>
    </row>
    <row r="112" spans="1:22">
      <c r="A112" s="426" t="str">
        <f t="shared" si="8"/>
        <v>KU</v>
      </c>
      <c r="B112" s="426" t="str">
        <f t="shared" si="7"/>
        <v>VA</v>
      </c>
      <c r="C112" s="426" t="str">
        <f t="shared" si="10"/>
        <v>E</v>
      </c>
      <c r="D112" s="426" t="s">
        <v>2655</v>
      </c>
      <c r="E112" s="426" t="str">
        <f t="shared" si="9"/>
        <v>368</v>
      </c>
      <c r="F112" s="741" t="s">
        <v>1793</v>
      </c>
      <c r="G112" s="425" t="str">
        <f t="shared" si="12"/>
        <v/>
      </c>
      <c r="H112" s="426">
        <v>11040.645049999999</v>
      </c>
      <c r="I112" s="426">
        <v>11044.21386</v>
      </c>
      <c r="J112" s="426">
        <v>11047.782670000001</v>
      </c>
      <c r="K112" s="426">
        <v>11053.67317</v>
      </c>
      <c r="L112" s="426">
        <v>11057.241980000001</v>
      </c>
      <c r="M112" s="426">
        <v>11063.13248</v>
      </c>
      <c r="N112" s="426">
        <v>11066.701290000001</v>
      </c>
      <c r="O112" s="426">
        <v>11066.701290000001</v>
      </c>
      <c r="P112" s="426">
        <v>11066.701290000001</v>
      </c>
      <c r="Q112" s="426">
        <v>11066.701290000001</v>
      </c>
      <c r="R112" s="426">
        <v>11070.274219999999</v>
      </c>
      <c r="S112" s="426">
        <v>11076.1752</v>
      </c>
      <c r="T112" s="426">
        <v>11079.74813</v>
      </c>
      <c r="V112" s="426">
        <f t="shared" si="11"/>
        <v>11061.514763076922</v>
      </c>
    </row>
    <row r="113" spans="1:22">
      <c r="A113" s="426" t="str">
        <f t="shared" si="8"/>
        <v>KU</v>
      </c>
      <c r="B113" s="426" t="str">
        <f t="shared" si="7"/>
        <v>KY</v>
      </c>
      <c r="C113" s="426" t="str">
        <f t="shared" si="10"/>
        <v>E</v>
      </c>
      <c r="D113" s="426" t="s">
        <v>2655</v>
      </c>
      <c r="E113" s="426" t="str">
        <f t="shared" si="9"/>
        <v>369</v>
      </c>
      <c r="F113" s="741" t="s">
        <v>1794</v>
      </c>
      <c r="G113" s="425" t="str">
        <f t="shared" si="12"/>
        <v/>
      </c>
      <c r="H113" s="426">
        <v>124898.4184</v>
      </c>
      <c r="I113" s="426">
        <v>124948.4184</v>
      </c>
      <c r="J113" s="426">
        <v>124948.4184</v>
      </c>
      <c r="K113" s="426">
        <v>124948.4184</v>
      </c>
      <c r="L113" s="426">
        <v>124948.4184</v>
      </c>
      <c r="M113" s="426">
        <v>124948.4184</v>
      </c>
      <c r="N113" s="426">
        <v>124948.4184</v>
      </c>
      <c r="O113" s="426">
        <v>124948.4184</v>
      </c>
      <c r="P113" s="426">
        <v>124948.4184</v>
      </c>
      <c r="Q113" s="426">
        <v>124948.4184</v>
      </c>
      <c r="R113" s="426">
        <v>124948.4184</v>
      </c>
      <c r="S113" s="426">
        <v>124948.4184</v>
      </c>
      <c r="T113" s="426">
        <v>124948.4184</v>
      </c>
      <c r="V113" s="426">
        <f t="shared" si="11"/>
        <v>124944.57224615385</v>
      </c>
    </row>
    <row r="114" spans="1:22">
      <c r="A114" s="426" t="str">
        <f t="shared" si="8"/>
        <v>KU</v>
      </c>
      <c r="B114" s="426" t="str">
        <f t="shared" si="7"/>
        <v>VA</v>
      </c>
      <c r="C114" s="426" t="str">
        <f t="shared" si="10"/>
        <v>E</v>
      </c>
      <c r="D114" s="426" t="s">
        <v>2655</v>
      </c>
      <c r="E114" s="426" t="str">
        <f t="shared" si="9"/>
        <v>369</v>
      </c>
      <c r="F114" s="741" t="s">
        <v>1796</v>
      </c>
      <c r="G114" s="425" t="str">
        <f t="shared" si="12"/>
        <v/>
      </c>
      <c r="H114" s="426">
        <v>6306.4732199999999</v>
      </c>
      <c r="I114" s="426">
        <v>6306.4732199999999</v>
      </c>
      <c r="J114" s="426">
        <v>6306.4732199999999</v>
      </c>
      <c r="K114" s="426">
        <v>6306.4732199999999</v>
      </c>
      <c r="L114" s="426">
        <v>6306.4732199999999</v>
      </c>
      <c r="M114" s="426">
        <v>6306.4732199999999</v>
      </c>
      <c r="N114" s="426">
        <v>6306.4732199999999</v>
      </c>
      <c r="O114" s="426">
        <v>6306.4732199999999</v>
      </c>
      <c r="P114" s="426">
        <v>6306.4732199999999</v>
      </c>
      <c r="Q114" s="426">
        <v>6306.4732199999999</v>
      </c>
      <c r="R114" s="426">
        <v>6306.4732199999999</v>
      </c>
      <c r="S114" s="426">
        <v>6306.4732199999999</v>
      </c>
      <c r="T114" s="426">
        <v>6306.4732199999999</v>
      </c>
      <c r="V114" s="426">
        <f t="shared" si="11"/>
        <v>6306.4732199999999</v>
      </c>
    </row>
    <row r="115" spans="1:22">
      <c r="A115" s="426" t="str">
        <f t="shared" si="8"/>
        <v>KU</v>
      </c>
      <c r="B115" s="426" t="str">
        <f t="shared" si="7"/>
        <v>KY</v>
      </c>
      <c r="C115" s="426" t="str">
        <f t="shared" si="10"/>
        <v>E</v>
      </c>
      <c r="D115" s="426" t="s">
        <v>2655</v>
      </c>
      <c r="E115" s="426" t="str">
        <f t="shared" si="9"/>
        <v>370</v>
      </c>
      <c r="F115" s="741" t="s">
        <v>1797</v>
      </c>
      <c r="G115" s="425" t="str">
        <f t="shared" si="12"/>
        <v/>
      </c>
      <c r="H115" s="426">
        <v>73998.755499019899</v>
      </c>
      <c r="I115" s="426">
        <v>74101.722449019901</v>
      </c>
      <c r="J115" s="426">
        <v>74138.837109019907</v>
      </c>
      <c r="K115" s="426">
        <v>74194.7064990199</v>
      </c>
      <c r="L115" s="426">
        <v>74262.282169019905</v>
      </c>
      <c r="M115" s="426">
        <v>74302.752069019902</v>
      </c>
      <c r="N115" s="426">
        <v>74143.182021219996</v>
      </c>
      <c r="O115" s="426">
        <v>74035.179552219997</v>
      </c>
      <c r="P115" s="426">
        <v>74111.919411320006</v>
      </c>
      <c r="Q115" s="426">
        <v>74258.255316990006</v>
      </c>
      <c r="R115" s="426">
        <v>74189.229403089994</v>
      </c>
      <c r="S115" s="426">
        <v>74383.082208409993</v>
      </c>
      <c r="T115" s="426">
        <v>74437.058351080006</v>
      </c>
      <c r="V115" s="426">
        <f t="shared" si="11"/>
        <v>74196.689389111489</v>
      </c>
    </row>
    <row r="116" spans="1:22">
      <c r="A116" s="426" t="str">
        <f t="shared" si="8"/>
        <v>KU</v>
      </c>
      <c r="B116" s="426" t="str">
        <f t="shared" si="7"/>
        <v>KY</v>
      </c>
      <c r="C116" s="426" t="str">
        <f t="shared" si="10"/>
        <v>E</v>
      </c>
      <c r="D116" s="426" t="s">
        <v>2655</v>
      </c>
      <c r="E116" s="426" t="str">
        <f t="shared" si="9"/>
        <v>370</v>
      </c>
      <c r="F116" s="741" t="s">
        <v>2719</v>
      </c>
      <c r="G116" s="425" t="str">
        <f t="shared" si="12"/>
        <v/>
      </c>
      <c r="H116" s="426">
        <v>0.77041000000000004</v>
      </c>
      <c r="I116" s="426">
        <v>0.77041000000000004</v>
      </c>
      <c r="J116" s="426">
        <v>0.77041000000000004</v>
      </c>
      <c r="K116" s="426">
        <v>0.77041000000000004</v>
      </c>
      <c r="L116" s="426">
        <v>0.77041000000000004</v>
      </c>
      <c r="M116" s="426">
        <v>0.77041000000000004</v>
      </c>
      <c r="N116" s="426">
        <v>0.77041000000000004</v>
      </c>
      <c r="O116" s="426">
        <v>0.77041000000000004</v>
      </c>
      <c r="P116" s="426">
        <v>0.77041000000000004</v>
      </c>
      <c r="Q116" s="426">
        <v>0.77041000000000004</v>
      </c>
      <c r="R116" s="426">
        <v>0.77041000000000004</v>
      </c>
      <c r="S116" s="426">
        <v>0.77041000000000004</v>
      </c>
      <c r="T116" s="426">
        <v>0.77041000000000004</v>
      </c>
      <c r="V116" s="426">
        <f t="shared" si="11"/>
        <v>0.77041000000000004</v>
      </c>
    </row>
    <row r="117" spans="1:22">
      <c r="A117" s="426" t="str">
        <f t="shared" si="8"/>
        <v>KU</v>
      </c>
      <c r="B117" s="426" t="str">
        <f t="shared" si="7"/>
        <v>KY</v>
      </c>
      <c r="C117" s="426" t="str">
        <f t="shared" si="10"/>
        <v>E</v>
      </c>
      <c r="D117" s="426" t="s">
        <v>2655</v>
      </c>
      <c r="E117" s="426" t="str">
        <f t="shared" si="9"/>
        <v>370</v>
      </c>
      <c r="F117" s="741" t="s">
        <v>2399</v>
      </c>
      <c r="G117" s="425" t="str">
        <f t="shared" si="12"/>
        <v>DSM</v>
      </c>
      <c r="H117" s="426">
        <v>3003.2806799999998</v>
      </c>
      <c r="I117" s="426">
        <v>3003.2806799999998</v>
      </c>
      <c r="J117" s="426">
        <v>3003.2806799999998</v>
      </c>
      <c r="K117" s="426">
        <v>3003.2806799999998</v>
      </c>
      <c r="L117" s="426">
        <v>3003.2806799999998</v>
      </c>
      <c r="M117" s="426">
        <v>3003.2806799999998</v>
      </c>
      <c r="N117" s="426">
        <v>3003.2806799999998</v>
      </c>
      <c r="O117" s="426">
        <v>3003.2806799999998</v>
      </c>
      <c r="P117" s="426">
        <v>3003.2806799999998</v>
      </c>
      <c r="Q117" s="426">
        <v>3003.2806799999998</v>
      </c>
      <c r="R117" s="426">
        <v>3003.2806799999998</v>
      </c>
      <c r="S117" s="426">
        <v>3003.2806799999998</v>
      </c>
      <c r="T117" s="426">
        <v>3003.2806799999998</v>
      </c>
      <c r="V117" s="426">
        <f t="shared" si="11"/>
        <v>3003.2806799999994</v>
      </c>
    </row>
    <row r="118" spans="1:22">
      <c r="A118" s="426" t="str">
        <f t="shared" si="8"/>
        <v>KU</v>
      </c>
      <c r="B118" s="426" t="str">
        <f t="shared" si="7"/>
        <v>VA</v>
      </c>
      <c r="C118" s="426" t="str">
        <f t="shared" si="10"/>
        <v>E</v>
      </c>
      <c r="D118" s="426" t="s">
        <v>2655</v>
      </c>
      <c r="E118" s="426" t="str">
        <f t="shared" si="9"/>
        <v>370</v>
      </c>
      <c r="F118" s="741" t="s">
        <v>1799</v>
      </c>
      <c r="G118" s="425" t="str">
        <f t="shared" si="12"/>
        <v/>
      </c>
      <c r="H118" s="426">
        <v>4187.4808499999999</v>
      </c>
      <c r="I118" s="426">
        <v>4187.4808499999999</v>
      </c>
      <c r="J118" s="426">
        <v>4187.4808499999999</v>
      </c>
      <c r="K118" s="426">
        <v>4187.4808499999999</v>
      </c>
      <c r="L118" s="426">
        <v>4187.4808499999999</v>
      </c>
      <c r="M118" s="426">
        <v>4187.4808499999999</v>
      </c>
      <c r="N118" s="426">
        <v>4187.4808499999999</v>
      </c>
      <c r="O118" s="426">
        <v>4187.4808499999999</v>
      </c>
      <c r="P118" s="426">
        <v>4187.4808499999999</v>
      </c>
      <c r="Q118" s="426">
        <v>4187.4808499999999</v>
      </c>
      <c r="R118" s="426">
        <v>4187.4808499999999</v>
      </c>
      <c r="S118" s="426">
        <v>4187.4808499999999</v>
      </c>
      <c r="T118" s="426">
        <v>4187.4808499999999</v>
      </c>
      <c r="V118" s="426">
        <f t="shared" si="11"/>
        <v>4187.4808499999999</v>
      </c>
    </row>
    <row r="119" spans="1:22">
      <c r="A119" s="426" t="str">
        <f t="shared" si="8"/>
        <v>KU</v>
      </c>
      <c r="B119" s="426" t="str">
        <f t="shared" si="7"/>
        <v>KY</v>
      </c>
      <c r="C119" s="426" t="str">
        <f t="shared" si="10"/>
        <v>E</v>
      </c>
      <c r="D119" s="426" t="s">
        <v>2655</v>
      </c>
      <c r="E119" s="426" t="str">
        <f t="shared" si="9"/>
        <v>371</v>
      </c>
      <c r="F119" s="741" t="s">
        <v>2531</v>
      </c>
      <c r="G119" s="425" t="str">
        <f t="shared" si="12"/>
        <v/>
      </c>
      <c r="H119" s="426">
        <v>159.23381000000001</v>
      </c>
      <c r="I119" s="426">
        <v>159.23381000000001</v>
      </c>
      <c r="J119" s="426">
        <v>159.23381000000001</v>
      </c>
      <c r="K119" s="426">
        <v>159.23381000000001</v>
      </c>
      <c r="L119" s="426">
        <v>159.23381000000001</v>
      </c>
      <c r="M119" s="426">
        <v>159.23381000000001</v>
      </c>
      <c r="N119" s="426">
        <v>159.23381000000001</v>
      </c>
      <c r="O119" s="426">
        <v>159.23381000000001</v>
      </c>
      <c r="P119" s="426">
        <v>159.23381000000001</v>
      </c>
      <c r="Q119" s="426">
        <v>159.23381000000001</v>
      </c>
      <c r="R119" s="426">
        <v>159.23381000000001</v>
      </c>
      <c r="S119" s="426">
        <v>159.23381000000001</v>
      </c>
      <c r="T119" s="426">
        <v>159.23381000000001</v>
      </c>
      <c r="V119" s="426">
        <f t="shared" si="11"/>
        <v>159.23380999999998</v>
      </c>
    </row>
    <row r="120" spans="1:22">
      <c r="A120" s="426" t="str">
        <f t="shared" si="8"/>
        <v>KU</v>
      </c>
      <c r="B120" s="426" t="str">
        <f t="shared" si="7"/>
        <v>KY</v>
      </c>
      <c r="C120" s="426" t="str">
        <f t="shared" si="10"/>
        <v>E</v>
      </c>
      <c r="D120" s="426" t="s">
        <v>2655</v>
      </c>
      <c r="E120" s="426" t="str">
        <f t="shared" si="9"/>
        <v>373</v>
      </c>
      <c r="F120" s="741" t="s">
        <v>1801</v>
      </c>
      <c r="G120" s="425" t="str">
        <f t="shared" si="12"/>
        <v/>
      </c>
      <c r="H120" s="426">
        <v>139452.06029999899</v>
      </c>
      <c r="I120" s="426">
        <v>139941.77290999901</v>
      </c>
      <c r="J120" s="426">
        <v>140401.44882999899</v>
      </c>
      <c r="K120" s="426">
        <v>141072.57586999901</v>
      </c>
      <c r="L120" s="426">
        <v>141673.72243999899</v>
      </c>
      <c r="M120" s="426">
        <v>142224.37098999901</v>
      </c>
      <c r="N120" s="426">
        <v>142760.45554999899</v>
      </c>
      <c r="O120" s="426">
        <v>143596.28836999901</v>
      </c>
      <c r="P120" s="426">
        <v>144356.91560999901</v>
      </c>
      <c r="Q120" s="426">
        <v>145129.970189999</v>
      </c>
      <c r="R120" s="426">
        <v>145859.45696999901</v>
      </c>
      <c r="S120" s="426">
        <v>146474.69843999899</v>
      </c>
      <c r="T120" s="426">
        <v>147191.151359999</v>
      </c>
      <c r="V120" s="426">
        <f t="shared" si="11"/>
        <v>143087.29906384519</v>
      </c>
    </row>
    <row r="121" spans="1:22">
      <c r="A121" s="426" t="str">
        <f t="shared" si="8"/>
        <v>KU</v>
      </c>
      <c r="B121" s="426" t="str">
        <f t="shared" si="7"/>
        <v>VA</v>
      </c>
      <c r="C121" s="426" t="str">
        <f t="shared" si="10"/>
        <v>E</v>
      </c>
      <c r="D121" s="426" t="s">
        <v>2655</v>
      </c>
      <c r="E121" s="426" t="str">
        <f t="shared" si="9"/>
        <v>373</v>
      </c>
      <c r="F121" s="741" t="s">
        <v>1802</v>
      </c>
      <c r="G121" s="425" t="str">
        <f t="shared" si="12"/>
        <v/>
      </c>
      <c r="H121" s="426">
        <v>4158.7193499999903</v>
      </c>
      <c r="I121" s="426">
        <v>4171.2617699999901</v>
      </c>
      <c r="J121" s="426">
        <v>4184.2887699999901</v>
      </c>
      <c r="K121" s="426">
        <v>4198.5617699999902</v>
      </c>
      <c r="L121" s="426">
        <v>4212.8347699999904</v>
      </c>
      <c r="M121" s="426">
        <v>4227.6988799999999</v>
      </c>
      <c r="N121" s="426">
        <v>4238.4041900000002</v>
      </c>
      <c r="O121" s="426">
        <v>4256.1510699999999</v>
      </c>
      <c r="P121" s="426">
        <v>4269.0790299999999</v>
      </c>
      <c r="Q121" s="426">
        <v>4288.5469199999998</v>
      </c>
      <c r="R121" s="426">
        <v>4305.0477999999903</v>
      </c>
      <c r="S121" s="426">
        <v>4322.6746799999901</v>
      </c>
      <c r="T121" s="426">
        <v>4339.1755599999897</v>
      </c>
      <c r="V121" s="426">
        <f t="shared" si="11"/>
        <v>4244.0341969230712</v>
      </c>
    </row>
    <row r="122" spans="1:22">
      <c r="A122" s="426" t="str">
        <f t="shared" si="8"/>
        <v>KU</v>
      </c>
      <c r="B122" s="426" t="str">
        <f t="shared" si="7"/>
        <v>KY</v>
      </c>
      <c r="C122" s="426" t="str">
        <f t="shared" si="10"/>
        <v>E</v>
      </c>
      <c r="D122" s="426" t="s">
        <v>2655</v>
      </c>
      <c r="E122" s="426" t="str">
        <f t="shared" si="9"/>
        <v>374</v>
      </c>
      <c r="F122" s="741" t="s">
        <v>1803</v>
      </c>
      <c r="G122" s="425" t="str">
        <f t="shared" si="12"/>
        <v>ARO</v>
      </c>
      <c r="H122" s="426">
        <v>510.37610000000001</v>
      </c>
      <c r="I122" s="426">
        <v>510.37610000000001</v>
      </c>
      <c r="J122" s="426">
        <v>510.37610000000001</v>
      </c>
      <c r="K122" s="426">
        <v>510.37610000000001</v>
      </c>
      <c r="L122" s="426">
        <v>510.37610000000001</v>
      </c>
      <c r="M122" s="426">
        <v>510.37610000000001</v>
      </c>
      <c r="N122" s="426">
        <v>510.37610000000001</v>
      </c>
      <c r="O122" s="426">
        <v>510.37610000000001</v>
      </c>
      <c r="P122" s="426">
        <v>510.37610000000001</v>
      </c>
      <c r="Q122" s="426">
        <v>510.37610000000001</v>
      </c>
      <c r="R122" s="426">
        <v>510.37610000000001</v>
      </c>
      <c r="S122" s="426">
        <v>510.37610000000001</v>
      </c>
      <c r="T122" s="426">
        <v>510.37610000000001</v>
      </c>
      <c r="V122" s="426">
        <f t="shared" si="11"/>
        <v>510.37610000000012</v>
      </c>
    </row>
    <row r="123" spans="1:22">
      <c r="A123" s="426" t="str">
        <f t="shared" si="8"/>
        <v>KU</v>
      </c>
      <c r="B123" s="426" t="str">
        <f t="shared" si="7"/>
        <v>KY</v>
      </c>
      <c r="C123" s="426" t="str">
        <f t="shared" si="10"/>
        <v>E</v>
      </c>
      <c r="D123" s="426" t="s">
        <v>2655</v>
      </c>
      <c r="E123" s="426" t="str">
        <f t="shared" si="9"/>
        <v>389</v>
      </c>
      <c r="F123" s="741" t="s">
        <v>1804</v>
      </c>
      <c r="G123" s="425" t="str">
        <f t="shared" si="12"/>
        <v/>
      </c>
      <c r="H123" s="426">
        <v>3050.7718100000002</v>
      </c>
      <c r="I123" s="426">
        <v>3050.7718100000002</v>
      </c>
      <c r="J123" s="426">
        <v>3050.7718100000002</v>
      </c>
      <c r="K123" s="426">
        <v>3050.7718100000002</v>
      </c>
      <c r="L123" s="426">
        <v>3050.7718100000002</v>
      </c>
      <c r="M123" s="426">
        <v>3050.7718100000002</v>
      </c>
      <c r="N123" s="426">
        <v>4126.7261800000006</v>
      </c>
      <c r="O123" s="426">
        <v>4126.7261800000006</v>
      </c>
      <c r="P123" s="426">
        <v>4126.7261800000006</v>
      </c>
      <c r="Q123" s="426">
        <v>4126.7261800000006</v>
      </c>
      <c r="R123" s="426">
        <v>4126.7261800000006</v>
      </c>
      <c r="S123" s="426">
        <v>4126.7261800000006</v>
      </c>
      <c r="T123" s="426">
        <v>4126.7261800000006</v>
      </c>
      <c r="V123" s="426">
        <f t="shared" si="11"/>
        <v>3630.1318553846149</v>
      </c>
    </row>
    <row r="124" spans="1:22">
      <c r="A124" s="426" t="str">
        <f t="shared" si="8"/>
        <v>KU</v>
      </c>
      <c r="B124" s="426" t="str">
        <f t="shared" si="7"/>
        <v>VA</v>
      </c>
      <c r="C124" s="426" t="str">
        <f t="shared" si="10"/>
        <v>E</v>
      </c>
      <c r="D124" s="426" t="s">
        <v>2655</v>
      </c>
      <c r="E124" s="426" t="str">
        <f t="shared" si="9"/>
        <v>389</v>
      </c>
      <c r="F124" s="741" t="s">
        <v>1805</v>
      </c>
      <c r="G124" s="425" t="str">
        <f t="shared" si="12"/>
        <v/>
      </c>
      <c r="H124" s="426">
        <v>536.36469</v>
      </c>
      <c r="I124" s="426">
        <v>536.36469</v>
      </c>
      <c r="J124" s="426">
        <v>536.36469</v>
      </c>
      <c r="K124" s="426">
        <v>536.36469</v>
      </c>
      <c r="L124" s="426">
        <v>536.36469</v>
      </c>
      <c r="M124" s="426">
        <v>536.36469</v>
      </c>
      <c r="N124" s="426">
        <v>536.36469</v>
      </c>
      <c r="O124" s="426">
        <v>536.36469</v>
      </c>
      <c r="P124" s="426">
        <v>536.36469</v>
      </c>
      <c r="Q124" s="426">
        <v>536.36469</v>
      </c>
      <c r="R124" s="426">
        <v>536.36469</v>
      </c>
      <c r="S124" s="426">
        <v>536.36469</v>
      </c>
      <c r="T124" s="426">
        <v>536.36469</v>
      </c>
      <c r="V124" s="426">
        <f t="shared" si="11"/>
        <v>536.36469000000011</v>
      </c>
    </row>
    <row r="125" spans="1:22">
      <c r="A125" s="426" t="str">
        <f t="shared" si="8"/>
        <v>KU</v>
      </c>
      <c r="B125" s="426" t="str">
        <f t="shared" si="7"/>
        <v>KY</v>
      </c>
      <c r="C125" s="426" t="str">
        <f t="shared" si="10"/>
        <v>E</v>
      </c>
      <c r="D125" s="426" t="s">
        <v>2655</v>
      </c>
      <c r="E125" s="426" t="str">
        <f t="shared" si="9"/>
        <v>390</v>
      </c>
      <c r="F125" s="741" t="s">
        <v>1806</v>
      </c>
      <c r="G125" s="425" t="str">
        <f t="shared" si="12"/>
        <v/>
      </c>
      <c r="H125" s="426">
        <v>2797.0489400000001</v>
      </c>
      <c r="I125" s="426">
        <v>2797.0489400000001</v>
      </c>
      <c r="J125" s="426">
        <v>2797.0489400000001</v>
      </c>
      <c r="K125" s="426">
        <v>2797.0489400000001</v>
      </c>
      <c r="L125" s="426">
        <v>2797.0489400000001</v>
      </c>
      <c r="M125" s="426">
        <v>2797.0489400000001</v>
      </c>
      <c r="N125" s="426">
        <v>2797.0489400000001</v>
      </c>
      <c r="O125" s="426">
        <v>2797.0489400000001</v>
      </c>
      <c r="P125" s="426">
        <v>2797.0489400000001</v>
      </c>
      <c r="Q125" s="426">
        <v>2797.0489400000001</v>
      </c>
      <c r="R125" s="426">
        <v>2797.0489400000001</v>
      </c>
      <c r="S125" s="426">
        <v>2797.0489400000001</v>
      </c>
      <c r="T125" s="426">
        <v>2797.0489400000001</v>
      </c>
      <c r="V125" s="426">
        <f t="shared" si="11"/>
        <v>2797.0489400000001</v>
      </c>
    </row>
    <row r="126" spans="1:22">
      <c r="A126" s="426" t="str">
        <f t="shared" si="8"/>
        <v>KU</v>
      </c>
      <c r="B126" s="426" t="str">
        <f t="shared" si="7"/>
        <v>KY</v>
      </c>
      <c r="C126" s="426" t="str">
        <f t="shared" si="10"/>
        <v>E</v>
      </c>
      <c r="D126" s="426" t="s">
        <v>2655</v>
      </c>
      <c r="E126" s="426" t="str">
        <f t="shared" si="9"/>
        <v>390</v>
      </c>
      <c r="F126" s="741" t="s">
        <v>1807</v>
      </c>
      <c r="G126" s="425" t="str">
        <f t="shared" si="12"/>
        <v/>
      </c>
      <c r="H126" s="426">
        <v>90995.767779999995</v>
      </c>
      <c r="I126" s="426">
        <v>91390.04939</v>
      </c>
      <c r="J126" s="426">
        <v>92284.075389999998</v>
      </c>
      <c r="K126" s="426">
        <v>93628.442339999994</v>
      </c>
      <c r="L126" s="426">
        <v>94743.22451</v>
      </c>
      <c r="M126" s="426">
        <v>95590.075519999999</v>
      </c>
      <c r="N126" s="426">
        <v>102168.25509999999</v>
      </c>
      <c r="O126" s="426">
        <v>102187.23775</v>
      </c>
      <c r="P126" s="426">
        <v>102220.39260000001</v>
      </c>
      <c r="Q126" s="426">
        <v>102323.59155</v>
      </c>
      <c r="R126" s="426">
        <v>102356.7464</v>
      </c>
      <c r="S126" s="426">
        <v>102389.90125</v>
      </c>
      <c r="T126" s="426">
        <v>102531.06651</v>
      </c>
      <c r="V126" s="426">
        <f t="shared" si="11"/>
        <v>98062.217391538448</v>
      </c>
    </row>
    <row r="127" spans="1:22">
      <c r="A127" s="426" t="str">
        <f t="shared" si="8"/>
        <v>KU</v>
      </c>
      <c r="B127" s="426" t="str">
        <f t="shared" si="7"/>
        <v>VA</v>
      </c>
      <c r="C127" s="426" t="str">
        <f t="shared" si="10"/>
        <v>E</v>
      </c>
      <c r="D127" s="426" t="s">
        <v>2655</v>
      </c>
      <c r="E127" s="426" t="str">
        <f t="shared" si="9"/>
        <v>390</v>
      </c>
      <c r="F127" s="741" t="s">
        <v>1808</v>
      </c>
      <c r="G127" s="425" t="str">
        <f t="shared" si="12"/>
        <v/>
      </c>
      <c r="H127" s="426">
        <v>6104.46839</v>
      </c>
      <c r="I127" s="426">
        <v>6104.46839</v>
      </c>
      <c r="J127" s="426">
        <v>6104.46839</v>
      </c>
      <c r="K127" s="426">
        <v>6119.6528900000003</v>
      </c>
      <c r="L127" s="426">
        <v>6241.12889</v>
      </c>
      <c r="M127" s="426">
        <v>6254.2947599999998</v>
      </c>
      <c r="N127" s="426">
        <v>7554.2042300000003</v>
      </c>
      <c r="O127" s="426">
        <v>7554.2042300000003</v>
      </c>
      <c r="P127" s="426">
        <v>7554.2042300000003</v>
      </c>
      <c r="Q127" s="426">
        <v>7554.2042300000003</v>
      </c>
      <c r="R127" s="426">
        <v>7554.2042300000003</v>
      </c>
      <c r="S127" s="426">
        <v>7554.2042300000003</v>
      </c>
      <c r="T127" s="426">
        <v>7554.2042300000003</v>
      </c>
      <c r="V127" s="426">
        <f t="shared" si="11"/>
        <v>6908.3008707692316</v>
      </c>
    </row>
    <row r="128" spans="1:22">
      <c r="A128" s="426" t="str">
        <f t="shared" si="8"/>
        <v>KU</v>
      </c>
      <c r="B128" s="426" t="str">
        <f t="shared" si="7"/>
        <v>KY</v>
      </c>
      <c r="C128" s="426" t="str">
        <f t="shared" si="10"/>
        <v>E</v>
      </c>
      <c r="D128" s="426" t="s">
        <v>2655</v>
      </c>
      <c r="E128" s="426" t="str">
        <f t="shared" si="9"/>
        <v>391</v>
      </c>
      <c r="F128" s="741" t="s">
        <v>1809</v>
      </c>
      <c r="G128" s="425" t="str">
        <f t="shared" si="12"/>
        <v/>
      </c>
      <c r="H128" s="426">
        <v>5572.61726</v>
      </c>
      <c r="I128" s="426">
        <v>5516.8766800000003</v>
      </c>
      <c r="J128" s="426">
        <v>5529.3366800000003</v>
      </c>
      <c r="K128" s="426">
        <v>5541.7966800000004</v>
      </c>
      <c r="L128" s="426">
        <v>5487.8907799999997</v>
      </c>
      <c r="M128" s="426">
        <v>5500.3507799999998</v>
      </c>
      <c r="N128" s="426">
        <v>7058.1701800000001</v>
      </c>
      <c r="O128" s="426">
        <v>7060.6621800000003</v>
      </c>
      <c r="P128" s="426">
        <v>7073.1221800000003</v>
      </c>
      <c r="Q128" s="426">
        <v>7082.9482500000004</v>
      </c>
      <c r="R128" s="426">
        <v>7134.8879500000003</v>
      </c>
      <c r="S128" s="426">
        <v>7147.3479500000003</v>
      </c>
      <c r="T128" s="426">
        <v>7150.5301799999997</v>
      </c>
      <c r="V128" s="426">
        <f t="shared" si="11"/>
        <v>6373.5798253846151</v>
      </c>
    </row>
    <row r="129" spans="1:22">
      <c r="A129" s="426" t="str">
        <f t="shared" si="8"/>
        <v>KU</v>
      </c>
      <c r="B129" s="426" t="str">
        <f t="shared" si="7"/>
        <v>KY</v>
      </c>
      <c r="C129" s="426" t="str">
        <f t="shared" si="10"/>
        <v>E</v>
      </c>
      <c r="D129" s="426" t="s">
        <v>2655</v>
      </c>
      <c r="E129" s="426" t="str">
        <f t="shared" si="9"/>
        <v>391</v>
      </c>
      <c r="F129" s="741" t="s">
        <v>1810</v>
      </c>
      <c r="G129" s="425" t="str">
        <f t="shared" si="12"/>
        <v/>
      </c>
      <c r="H129" s="426">
        <v>36966.772489999901</v>
      </c>
      <c r="I129" s="426">
        <v>36959.774609999899</v>
      </c>
      <c r="J129" s="426">
        <v>36736.478059999899</v>
      </c>
      <c r="K129" s="426">
        <v>36695.592969999903</v>
      </c>
      <c r="L129" s="426">
        <v>36137.433109999904</v>
      </c>
      <c r="M129" s="426">
        <v>37006.766659999899</v>
      </c>
      <c r="N129" s="426">
        <v>39591.4629099999</v>
      </c>
      <c r="O129" s="426">
        <v>39641.850749999998</v>
      </c>
      <c r="P129" s="426">
        <v>39075.473330000001</v>
      </c>
      <c r="Q129" s="426">
        <v>38714.969579999997</v>
      </c>
      <c r="R129" s="426">
        <v>38484.948279999997</v>
      </c>
      <c r="S129" s="426">
        <v>38398.687519999999</v>
      </c>
      <c r="T129" s="426">
        <v>38181.771370000002</v>
      </c>
      <c r="V129" s="426">
        <f t="shared" si="11"/>
        <v>37891.690895384563</v>
      </c>
    </row>
    <row r="130" spans="1:22">
      <c r="A130" s="426" t="str">
        <f t="shared" si="8"/>
        <v>KU</v>
      </c>
      <c r="B130" s="426" t="str">
        <f t="shared" si="7"/>
        <v>VA</v>
      </c>
      <c r="C130" s="426" t="str">
        <f t="shared" si="10"/>
        <v>E</v>
      </c>
      <c r="D130" s="426" t="s">
        <v>2655</v>
      </c>
      <c r="E130" s="426" t="str">
        <f t="shared" si="9"/>
        <v>391</v>
      </c>
      <c r="F130" s="741" t="s">
        <v>1811</v>
      </c>
      <c r="G130" s="425" t="str">
        <f t="shared" si="12"/>
        <v/>
      </c>
      <c r="H130" s="426">
        <v>316.929229999999</v>
      </c>
      <c r="I130" s="426">
        <v>316.929229999999</v>
      </c>
      <c r="J130" s="426">
        <v>316.929229999999</v>
      </c>
      <c r="K130" s="426">
        <v>316.929229999999</v>
      </c>
      <c r="L130" s="426">
        <v>316.929229999999</v>
      </c>
      <c r="M130" s="426">
        <v>316.929229999999</v>
      </c>
      <c r="N130" s="426">
        <v>316.929229999999</v>
      </c>
      <c r="O130" s="426">
        <v>316.929229999999</v>
      </c>
      <c r="P130" s="426">
        <v>316.929229999999</v>
      </c>
      <c r="Q130" s="426">
        <v>316.929229999999</v>
      </c>
      <c r="R130" s="426">
        <v>316.929229999999</v>
      </c>
      <c r="S130" s="426">
        <v>316.929229999999</v>
      </c>
      <c r="T130" s="426">
        <v>316.929229999999</v>
      </c>
      <c r="V130" s="426">
        <f t="shared" si="11"/>
        <v>316.92922999999894</v>
      </c>
    </row>
    <row r="131" spans="1:22">
      <c r="A131" s="426" t="str">
        <f t="shared" si="8"/>
        <v>KU</v>
      </c>
      <c r="B131" s="426" t="str">
        <f t="shared" si="7"/>
        <v>KY</v>
      </c>
      <c r="C131" s="426" t="str">
        <f t="shared" si="10"/>
        <v>E</v>
      </c>
      <c r="D131" s="426" t="s">
        <v>2655</v>
      </c>
      <c r="E131" s="426" t="str">
        <f t="shared" si="9"/>
        <v>392</v>
      </c>
      <c r="F131" s="741" t="s">
        <v>1813</v>
      </c>
      <c r="G131" s="425" t="str">
        <f t="shared" si="12"/>
        <v/>
      </c>
      <c r="H131" s="426">
        <v>8603.4319400000004</v>
      </c>
      <c r="I131" s="426">
        <v>8603.4319400000004</v>
      </c>
      <c r="J131" s="426">
        <v>8603.4319400000004</v>
      </c>
      <c r="K131" s="426">
        <v>8603.4319400000004</v>
      </c>
      <c r="L131" s="426">
        <v>8603.4319400000004</v>
      </c>
      <c r="M131" s="426">
        <v>8603.4319400000004</v>
      </c>
      <c r="N131" s="426">
        <v>8603.4319400000004</v>
      </c>
      <c r="O131" s="426">
        <v>8603.4319400000004</v>
      </c>
      <c r="P131" s="426">
        <v>8603.4319400000004</v>
      </c>
      <c r="Q131" s="426">
        <v>8603.4319400000004</v>
      </c>
      <c r="R131" s="426">
        <v>8603.4319400000004</v>
      </c>
      <c r="S131" s="426">
        <v>8603.4319400000004</v>
      </c>
      <c r="T131" s="426">
        <v>8603.4319400000004</v>
      </c>
      <c r="V131" s="426">
        <f t="shared" si="11"/>
        <v>8603.4319399999986</v>
      </c>
    </row>
    <row r="132" spans="1:22">
      <c r="A132" s="426" t="str">
        <f t="shared" si="8"/>
        <v>KU</v>
      </c>
      <c r="B132" s="426" t="str">
        <f t="shared" si="7"/>
        <v>VA</v>
      </c>
      <c r="C132" s="426" t="str">
        <f t="shared" si="10"/>
        <v>E</v>
      </c>
      <c r="D132" s="426" t="s">
        <v>2655</v>
      </c>
      <c r="E132" s="426" t="str">
        <f t="shared" si="9"/>
        <v>392</v>
      </c>
      <c r="F132" s="741" t="s">
        <v>2401</v>
      </c>
      <c r="G132" s="425" t="str">
        <f t="shared" si="12"/>
        <v/>
      </c>
      <c r="H132" s="426">
        <v>50.585059999999999</v>
      </c>
      <c r="I132" s="426">
        <v>50.585059999999999</v>
      </c>
      <c r="J132" s="426">
        <v>50.585059999999999</v>
      </c>
      <c r="K132" s="426">
        <v>50.585059999999999</v>
      </c>
      <c r="L132" s="426">
        <v>50.585059999999999</v>
      </c>
      <c r="M132" s="426">
        <v>50.585059999999999</v>
      </c>
      <c r="N132" s="426">
        <v>50.585059999999999</v>
      </c>
      <c r="O132" s="426">
        <v>50.585059999999999</v>
      </c>
      <c r="P132" s="426">
        <v>50.585059999999999</v>
      </c>
      <c r="Q132" s="426">
        <v>50.585059999999999</v>
      </c>
      <c r="R132" s="426">
        <v>50.585059999999999</v>
      </c>
      <c r="S132" s="426">
        <v>50.585059999999999</v>
      </c>
      <c r="T132" s="426">
        <v>50.585059999999999</v>
      </c>
      <c r="V132" s="426">
        <f t="shared" si="11"/>
        <v>50.585059999999999</v>
      </c>
    </row>
    <row r="133" spans="1:22">
      <c r="A133" s="426" t="str">
        <f t="shared" si="8"/>
        <v>KU</v>
      </c>
      <c r="B133" s="426" t="str">
        <f t="shared" si="7"/>
        <v>KY</v>
      </c>
      <c r="C133" s="426" t="str">
        <f t="shared" si="10"/>
        <v>E</v>
      </c>
      <c r="D133" s="426" t="s">
        <v>2655</v>
      </c>
      <c r="E133" s="426" t="str">
        <f t="shared" si="9"/>
        <v>393</v>
      </c>
      <c r="F133" s="741" t="s">
        <v>1814</v>
      </c>
      <c r="G133" s="425" t="str">
        <f t="shared" si="12"/>
        <v/>
      </c>
      <c r="H133" s="426">
        <v>1039.57275999999</v>
      </c>
      <c r="I133" s="426">
        <v>1038.75775999999</v>
      </c>
      <c r="J133" s="426">
        <v>1030.62895999999</v>
      </c>
      <c r="K133" s="426">
        <v>1026.36975999999</v>
      </c>
      <c r="L133" s="426">
        <v>1026.36975999999</v>
      </c>
      <c r="M133" s="426">
        <v>1026.36975999999</v>
      </c>
      <c r="N133" s="426">
        <v>1026.36975999999</v>
      </c>
      <c r="O133" s="426">
        <v>1026.36975999999</v>
      </c>
      <c r="P133" s="426">
        <v>1026.36975999999</v>
      </c>
      <c r="Q133" s="426">
        <v>1026.36975999999</v>
      </c>
      <c r="R133" s="426">
        <v>1026.36975999999</v>
      </c>
      <c r="S133" s="426">
        <v>1026.36975999999</v>
      </c>
      <c r="T133" s="426">
        <v>1026.36975999999</v>
      </c>
      <c r="V133" s="426">
        <f t="shared" si="11"/>
        <v>1028.6659292307595</v>
      </c>
    </row>
    <row r="134" spans="1:22">
      <c r="A134" s="426" t="str">
        <f t="shared" si="8"/>
        <v>KU</v>
      </c>
      <c r="B134" s="426" t="str">
        <f t="shared" si="7"/>
        <v>VA</v>
      </c>
      <c r="C134" s="426" t="str">
        <f t="shared" si="10"/>
        <v>E</v>
      </c>
      <c r="D134" s="426" t="s">
        <v>2655</v>
      </c>
      <c r="E134" s="426" t="str">
        <f t="shared" si="9"/>
        <v>393</v>
      </c>
      <c r="F134" s="741" t="s">
        <v>1815</v>
      </c>
      <c r="G134" s="425" t="str">
        <f t="shared" si="12"/>
        <v/>
      </c>
      <c r="H134" s="426">
        <v>0</v>
      </c>
      <c r="I134" s="426">
        <v>0</v>
      </c>
      <c r="J134" s="426">
        <v>0</v>
      </c>
      <c r="K134" s="426">
        <v>0</v>
      </c>
      <c r="L134" s="426">
        <v>0</v>
      </c>
      <c r="M134" s="426">
        <v>0</v>
      </c>
      <c r="N134" s="426">
        <v>0</v>
      </c>
      <c r="O134" s="426">
        <v>0</v>
      </c>
      <c r="P134" s="426">
        <v>0</v>
      </c>
      <c r="Q134" s="426">
        <v>0</v>
      </c>
      <c r="R134" s="426">
        <v>0</v>
      </c>
      <c r="S134" s="426">
        <v>0</v>
      </c>
      <c r="T134" s="426">
        <v>0</v>
      </c>
      <c r="V134" s="426">
        <f t="shared" si="11"/>
        <v>0</v>
      </c>
    </row>
    <row r="135" spans="1:22">
      <c r="A135" s="426" t="str">
        <f t="shared" si="8"/>
        <v>KU</v>
      </c>
      <c r="B135" s="426" t="str">
        <f t="shared" si="7"/>
        <v>KY</v>
      </c>
      <c r="C135" s="426" t="str">
        <f t="shared" si="10"/>
        <v>E</v>
      </c>
      <c r="D135" s="426" t="s">
        <v>2655</v>
      </c>
      <c r="E135" s="426" t="str">
        <f t="shared" si="9"/>
        <v>394</v>
      </c>
      <c r="F135" s="741" t="s">
        <v>1816</v>
      </c>
      <c r="G135" s="425" t="str">
        <f t="shared" si="12"/>
        <v/>
      </c>
      <c r="H135" s="426">
        <v>16980.269609999999</v>
      </c>
      <c r="I135" s="426">
        <v>17084.472040000001</v>
      </c>
      <c r="J135" s="426">
        <v>17417.081399999999</v>
      </c>
      <c r="K135" s="426">
        <v>17491.388729999999</v>
      </c>
      <c r="L135" s="426">
        <v>17718.373729999999</v>
      </c>
      <c r="M135" s="426">
        <v>17662.572830000001</v>
      </c>
      <c r="N135" s="426">
        <v>18472.188969999999</v>
      </c>
      <c r="O135" s="426">
        <v>18522.060969999999</v>
      </c>
      <c r="P135" s="426">
        <v>18538.788680000001</v>
      </c>
      <c r="Q135" s="426">
        <v>18634.697110000001</v>
      </c>
      <c r="R135" s="426">
        <v>18666.045409999999</v>
      </c>
      <c r="S135" s="426">
        <v>18746.876209999999</v>
      </c>
      <c r="T135" s="426">
        <v>18882.696919999998</v>
      </c>
      <c r="V135" s="426">
        <f t="shared" si="11"/>
        <v>18062.885585384611</v>
      </c>
    </row>
    <row r="136" spans="1:22">
      <c r="A136" s="426" t="str">
        <f t="shared" si="8"/>
        <v>KU</v>
      </c>
      <c r="B136" s="426" t="str">
        <f t="shared" si="7"/>
        <v>VA</v>
      </c>
      <c r="C136" s="426" t="str">
        <f t="shared" si="10"/>
        <v>E</v>
      </c>
      <c r="D136" s="426" t="s">
        <v>2655</v>
      </c>
      <c r="E136" s="426" t="str">
        <f t="shared" si="9"/>
        <v>394</v>
      </c>
      <c r="F136" s="741" t="s">
        <v>1817</v>
      </c>
      <c r="G136" s="425" t="str">
        <f t="shared" si="12"/>
        <v/>
      </c>
      <c r="H136" s="426">
        <v>610.22636</v>
      </c>
      <c r="I136" s="426">
        <v>610.22636</v>
      </c>
      <c r="J136" s="426">
        <v>620.19435999999996</v>
      </c>
      <c r="K136" s="426">
        <v>620.19435999999996</v>
      </c>
      <c r="L136" s="426">
        <v>620.19435999999996</v>
      </c>
      <c r="M136" s="426">
        <v>631.40836000000002</v>
      </c>
      <c r="N136" s="426">
        <v>630.40152999999998</v>
      </c>
      <c r="O136" s="426">
        <v>630.40152999999998</v>
      </c>
      <c r="P136" s="426">
        <v>630.40152999999998</v>
      </c>
      <c r="Q136" s="426">
        <v>630.40152999999998</v>
      </c>
      <c r="R136" s="426">
        <v>642.86153000000002</v>
      </c>
      <c r="S136" s="426">
        <v>642.86153000000002</v>
      </c>
      <c r="T136" s="426">
        <v>654.07552999999996</v>
      </c>
      <c r="V136" s="426">
        <f t="shared" si="11"/>
        <v>628.75760538461543</v>
      </c>
    </row>
    <row r="137" spans="1:22">
      <c r="A137" s="426" t="str">
        <f t="shared" si="8"/>
        <v>KU</v>
      </c>
      <c r="B137" s="426" t="str">
        <f t="shared" si="7"/>
        <v>KY</v>
      </c>
      <c r="C137" s="426" t="str">
        <f t="shared" si="10"/>
        <v>E</v>
      </c>
      <c r="D137" s="426" t="s">
        <v>2655</v>
      </c>
      <c r="E137" s="426" t="str">
        <f t="shared" si="9"/>
        <v>396</v>
      </c>
      <c r="F137" s="741" t="s">
        <v>1818</v>
      </c>
      <c r="G137" s="425" t="str">
        <f t="shared" si="12"/>
        <v/>
      </c>
      <c r="H137" s="426">
        <v>1044.0511100000001</v>
      </c>
      <c r="I137" s="426">
        <v>1044.0511100000001</v>
      </c>
      <c r="J137" s="426">
        <v>1044.0511100000001</v>
      </c>
      <c r="K137" s="426">
        <v>1044.0511100000001</v>
      </c>
      <c r="L137" s="426">
        <v>1044.0511100000001</v>
      </c>
      <c r="M137" s="426">
        <v>1044.0511100000001</v>
      </c>
      <c r="N137" s="426">
        <v>1044.0511100000001</v>
      </c>
      <c r="O137" s="426">
        <v>1044.0511100000001</v>
      </c>
      <c r="P137" s="426">
        <v>1044.0511100000001</v>
      </c>
      <c r="Q137" s="426">
        <v>1044.0511100000001</v>
      </c>
      <c r="R137" s="426">
        <v>1044.0511100000001</v>
      </c>
      <c r="S137" s="426">
        <v>1044.0511100000001</v>
      </c>
      <c r="T137" s="426">
        <v>1044.0511100000001</v>
      </c>
      <c r="V137" s="426">
        <f t="shared" si="11"/>
        <v>1044.0511100000001</v>
      </c>
    </row>
    <row r="138" spans="1:22">
      <c r="A138" s="426" t="str">
        <f t="shared" si="8"/>
        <v>KU</v>
      </c>
      <c r="B138" s="426" t="str">
        <f t="shared" si="7"/>
        <v>KY</v>
      </c>
      <c r="C138" s="426" t="str">
        <f t="shared" si="10"/>
        <v>E</v>
      </c>
      <c r="D138" s="426" t="s">
        <v>2655</v>
      </c>
      <c r="E138" s="426" t="str">
        <f t="shared" si="9"/>
        <v>396</v>
      </c>
      <c r="F138" s="741" t="s">
        <v>2402</v>
      </c>
      <c r="G138" s="425" t="str">
        <f t="shared" si="12"/>
        <v/>
      </c>
      <c r="H138" s="426">
        <v>4283.4532499999996</v>
      </c>
      <c r="I138" s="426">
        <v>4283.4532499999996</v>
      </c>
      <c r="J138" s="426">
        <v>4283.4532499999996</v>
      </c>
      <c r="K138" s="426">
        <v>4283.4532499999996</v>
      </c>
      <c r="L138" s="426">
        <v>4283.4532499999996</v>
      </c>
      <c r="M138" s="426">
        <v>4283.4532499999996</v>
      </c>
      <c r="N138" s="426">
        <v>4283.4532499999996</v>
      </c>
      <c r="O138" s="426">
        <v>4283.4532499999996</v>
      </c>
      <c r="P138" s="426">
        <v>4283.4532499999996</v>
      </c>
      <c r="Q138" s="426">
        <v>4283.4532499999996</v>
      </c>
      <c r="R138" s="426">
        <v>4283.4532499999996</v>
      </c>
      <c r="S138" s="426">
        <v>4283.4532499999996</v>
      </c>
      <c r="T138" s="426">
        <v>4283.4532499999996</v>
      </c>
      <c r="V138" s="426">
        <f t="shared" si="11"/>
        <v>4283.4532499999996</v>
      </c>
    </row>
    <row r="139" spans="1:22">
      <c r="A139" s="426" t="str">
        <f t="shared" si="8"/>
        <v>KU</v>
      </c>
      <c r="B139" s="426" t="str">
        <f t="shared" si="7"/>
        <v>VA</v>
      </c>
      <c r="C139" s="426" t="str">
        <f t="shared" si="10"/>
        <v>E</v>
      </c>
      <c r="D139" s="426" t="s">
        <v>2655</v>
      </c>
      <c r="E139" s="426" t="str">
        <f t="shared" si="9"/>
        <v>396</v>
      </c>
      <c r="F139" s="741" t="s">
        <v>2403</v>
      </c>
      <c r="G139" s="425" t="str">
        <f t="shared" si="12"/>
        <v/>
      </c>
      <c r="H139" s="426">
        <v>514.13976000000002</v>
      </c>
      <c r="I139" s="426">
        <v>514.13976000000002</v>
      </c>
      <c r="J139" s="426">
        <v>514.13976000000002</v>
      </c>
      <c r="K139" s="426">
        <v>514.13976000000002</v>
      </c>
      <c r="L139" s="426">
        <v>514.13976000000002</v>
      </c>
      <c r="M139" s="426">
        <v>514.13976000000002</v>
      </c>
      <c r="N139" s="426">
        <v>514.13976000000002</v>
      </c>
      <c r="O139" s="426">
        <v>514.13976000000002</v>
      </c>
      <c r="P139" s="426">
        <v>514.13976000000002</v>
      </c>
      <c r="Q139" s="426">
        <v>514.13976000000002</v>
      </c>
      <c r="R139" s="426">
        <v>514.13976000000002</v>
      </c>
      <c r="S139" s="426">
        <v>514.13976000000002</v>
      </c>
      <c r="T139" s="426">
        <v>514.13976000000002</v>
      </c>
      <c r="V139" s="426">
        <f t="shared" si="11"/>
        <v>514.13976000000002</v>
      </c>
    </row>
    <row r="140" spans="1:22">
      <c r="A140" s="426" t="str">
        <f t="shared" si="8"/>
        <v>KU</v>
      </c>
      <c r="B140" s="426" t="str">
        <f t="shared" si="7"/>
        <v>KY</v>
      </c>
      <c r="C140" s="426" t="str">
        <f t="shared" si="10"/>
        <v>E</v>
      </c>
      <c r="D140" s="426" t="s">
        <v>2655</v>
      </c>
      <c r="E140" s="426" t="str">
        <f t="shared" si="9"/>
        <v>397</v>
      </c>
      <c r="F140" s="741" t="s">
        <v>1819</v>
      </c>
      <c r="G140" s="425" t="str">
        <f t="shared" si="12"/>
        <v>DSM</v>
      </c>
      <c r="H140" s="426">
        <v>7605.7421099999901</v>
      </c>
      <c r="I140" s="426">
        <v>7611.0337799999897</v>
      </c>
      <c r="J140" s="426">
        <v>7616.3254499999903</v>
      </c>
      <c r="K140" s="426">
        <v>7621.6171199999899</v>
      </c>
      <c r="L140" s="426">
        <v>7626.9087899999904</v>
      </c>
      <c r="M140" s="426">
        <v>7632.20045999999</v>
      </c>
      <c r="N140" s="426">
        <v>7637.4921299999896</v>
      </c>
      <c r="O140" s="426">
        <v>7643.0754999999899</v>
      </c>
      <c r="P140" s="426">
        <v>7648.6588299999903</v>
      </c>
      <c r="Q140" s="426">
        <v>7654.2421599999898</v>
      </c>
      <c r="R140" s="426">
        <v>7659.8254899999902</v>
      </c>
      <c r="S140" s="426">
        <v>7665.4088199999896</v>
      </c>
      <c r="T140" s="426">
        <v>7670.99214999999</v>
      </c>
      <c r="V140" s="426">
        <f t="shared" si="11"/>
        <v>7637.9632915384527</v>
      </c>
    </row>
    <row r="141" spans="1:22">
      <c r="A141" s="426" t="str">
        <f t="shared" si="8"/>
        <v>KU</v>
      </c>
      <c r="B141" s="426" t="str">
        <f t="shared" ref="B141:B198" si="13">IF(MID($F141,12,2)="- ","KY",IF(MID($F141,12,2)="SY","KY",MID($F141,12,2)))</f>
        <v>KY</v>
      </c>
      <c r="C141" s="426" t="str">
        <f t="shared" si="10"/>
        <v>E</v>
      </c>
      <c r="D141" s="426" t="s">
        <v>2655</v>
      </c>
      <c r="E141" s="426" t="str">
        <f t="shared" si="9"/>
        <v>397</v>
      </c>
      <c r="F141" s="741" t="s">
        <v>1820</v>
      </c>
      <c r="G141" s="425" t="str">
        <f t="shared" si="12"/>
        <v/>
      </c>
      <c r="H141" s="426">
        <v>65606.05833</v>
      </c>
      <c r="I141" s="426">
        <v>65756.395959999994</v>
      </c>
      <c r="J141" s="426">
        <v>66117.649919999996</v>
      </c>
      <c r="K141" s="426">
        <v>66267.987549999903</v>
      </c>
      <c r="L141" s="426">
        <v>66499.276219999898</v>
      </c>
      <c r="M141" s="426">
        <v>66661.178279999905</v>
      </c>
      <c r="N141" s="426">
        <v>68407.142579999898</v>
      </c>
      <c r="O141" s="426">
        <v>68407.142579999898</v>
      </c>
      <c r="P141" s="426">
        <v>68407.142579999898</v>
      </c>
      <c r="Q141" s="426">
        <v>68407.142579999898</v>
      </c>
      <c r="R141" s="426">
        <v>71207.142579999898</v>
      </c>
      <c r="S141" s="426">
        <v>71207.142579999898</v>
      </c>
      <c r="T141" s="426">
        <v>71207.142579999898</v>
      </c>
      <c r="V141" s="426">
        <f t="shared" si="11"/>
        <v>68012.195716922972</v>
      </c>
    </row>
    <row r="142" spans="1:22">
      <c r="A142" s="426" t="str">
        <f t="shared" si="8"/>
        <v>KU</v>
      </c>
      <c r="B142" s="426" t="str">
        <f t="shared" si="13"/>
        <v>VA</v>
      </c>
      <c r="C142" s="426" t="str">
        <f t="shared" si="10"/>
        <v>E</v>
      </c>
      <c r="D142" s="426" t="s">
        <v>2655</v>
      </c>
      <c r="E142" s="426" t="str">
        <f t="shared" si="9"/>
        <v>397</v>
      </c>
      <c r="F142" s="741" t="s">
        <v>1821</v>
      </c>
      <c r="G142" s="425" t="str">
        <f t="shared" si="12"/>
        <v/>
      </c>
      <c r="H142" s="426">
        <v>1538.3272899999999</v>
      </c>
      <c r="I142" s="426">
        <v>1538.3272899999999</v>
      </c>
      <c r="J142" s="426">
        <v>1538.3272899999999</v>
      </c>
      <c r="K142" s="426">
        <v>1538.3272899999999</v>
      </c>
      <c r="L142" s="426">
        <v>1538.3272899999999</v>
      </c>
      <c r="M142" s="426">
        <v>1538.3272899999999</v>
      </c>
      <c r="N142" s="426">
        <v>1538.3272899999999</v>
      </c>
      <c r="O142" s="426">
        <v>1538.3272899999999</v>
      </c>
      <c r="P142" s="426">
        <v>1538.3272899999999</v>
      </c>
      <c r="Q142" s="426">
        <v>1538.3272899999999</v>
      </c>
      <c r="R142" s="426">
        <v>1538.3272899999999</v>
      </c>
      <c r="S142" s="426">
        <v>1538.3272899999999</v>
      </c>
      <c r="T142" s="426">
        <v>1538.3272899999999</v>
      </c>
      <c r="V142" s="426">
        <f t="shared" si="11"/>
        <v>1538.3272899999999</v>
      </c>
    </row>
    <row r="143" spans="1:22">
      <c r="A143" s="426" t="str">
        <f t="shared" si="8"/>
        <v>KU</v>
      </c>
      <c r="B143" s="426" t="str">
        <f t="shared" si="13"/>
        <v>KY</v>
      </c>
      <c r="C143" s="426" t="str">
        <f t="shared" si="10"/>
        <v>C</v>
      </c>
      <c r="D143" s="426" t="s">
        <v>2655</v>
      </c>
      <c r="E143" s="426" t="str">
        <f t="shared" si="9"/>
        <v>121</v>
      </c>
      <c r="F143" s="741" t="s">
        <v>1822</v>
      </c>
      <c r="G143" s="425" t="str">
        <f t="shared" si="12"/>
        <v/>
      </c>
      <c r="H143" s="426">
        <v>681.64847999999995</v>
      </c>
      <c r="I143" s="426">
        <v>681.64847999999995</v>
      </c>
      <c r="J143" s="426">
        <v>681.64847999999995</v>
      </c>
      <c r="K143" s="426">
        <v>681.64847999999995</v>
      </c>
      <c r="L143" s="426">
        <v>681.64847999999995</v>
      </c>
      <c r="M143" s="426">
        <v>681.64847999999995</v>
      </c>
      <c r="N143" s="426">
        <v>681.64847999999995</v>
      </c>
      <c r="O143" s="426">
        <v>681.64847999999995</v>
      </c>
      <c r="P143" s="426">
        <v>681.64847999999995</v>
      </c>
      <c r="Q143" s="426">
        <v>681.64847999999995</v>
      </c>
      <c r="R143" s="426">
        <v>681.64847999999995</v>
      </c>
      <c r="S143" s="426">
        <v>681.64847999999995</v>
      </c>
      <c r="T143" s="426">
        <v>681.64847999999995</v>
      </c>
      <c r="V143" s="426">
        <f t="shared" si="11"/>
        <v>681.64847999999995</v>
      </c>
    </row>
    <row r="144" spans="1:22">
      <c r="F144" s="799" t="s">
        <v>1823</v>
      </c>
      <c r="H144" s="426">
        <f>SUM(H6:H143)</f>
        <v>10688939.140159013</v>
      </c>
      <c r="I144" s="426">
        <f t="shared" ref="I144:T144" si="14">SUM(I6:I143)</f>
        <v>10697379.347459003</v>
      </c>
      <c r="J144" s="426">
        <f t="shared" si="14"/>
        <v>10716979.054859009</v>
      </c>
      <c r="K144" s="426">
        <f t="shared" si="14"/>
        <v>10740821.386159008</v>
      </c>
      <c r="L144" s="426">
        <f t="shared" si="14"/>
        <v>10809924.395869005</v>
      </c>
      <c r="M144" s="426">
        <f t="shared" si="14"/>
        <v>10843054.827289006</v>
      </c>
      <c r="N144" s="426">
        <f t="shared" si="14"/>
        <v>11019253.207211204</v>
      </c>
      <c r="O144" s="426">
        <f t="shared" si="14"/>
        <v>11000663.067592202</v>
      </c>
      <c r="P144" s="426">
        <f t="shared" si="14"/>
        <v>10999754.443091299</v>
      </c>
      <c r="Q144" s="426">
        <f t="shared" si="14"/>
        <v>11023020.459516972</v>
      </c>
      <c r="R144" s="426">
        <f t="shared" si="14"/>
        <v>11056799.667283075</v>
      </c>
      <c r="S144" s="426">
        <f t="shared" si="14"/>
        <v>11081269.22513839</v>
      </c>
      <c r="T144" s="426">
        <f t="shared" si="14"/>
        <v>11127776.090891059</v>
      </c>
      <c r="V144" s="426">
        <f t="shared" ref="V144:V146" si="15">SUM(H144:T144)/13</f>
        <v>10908125.716347557</v>
      </c>
    </row>
    <row r="145" spans="1:22">
      <c r="G145" s="425" t="str">
        <f t="shared" si="12"/>
        <v/>
      </c>
      <c r="U145" s="426">
        <f>SUM(I145:T145)</f>
        <v>0</v>
      </c>
      <c r="V145" s="426">
        <f t="shared" si="15"/>
        <v>0</v>
      </c>
    </row>
    <row r="146" spans="1:22">
      <c r="F146" s="800" t="s">
        <v>7</v>
      </c>
      <c r="G146" s="425" t="str">
        <f t="shared" si="12"/>
        <v/>
      </c>
      <c r="U146" s="426">
        <f t="shared" ref="U146:U209" si="16">SUM(I146:T146)</f>
        <v>0</v>
      </c>
      <c r="V146" s="426">
        <f t="shared" si="15"/>
        <v>0</v>
      </c>
    </row>
    <row r="147" spans="1:22">
      <c r="A147" s="426" t="str">
        <f t="shared" ref="A147:A201" si="17">MID($F147,4,2)</f>
        <v>KU</v>
      </c>
      <c r="B147" s="426" t="str">
        <f t="shared" si="13"/>
        <v>KY</v>
      </c>
      <c r="C147" s="426" t="str">
        <f t="shared" ref="C147:C202" si="18">IF(ISTEXT(MID($F147,SEARCH("FUTURE USE",$F147),3)),"F",IF(MID($F147,7,1)="1","E",IF(MID($F147,7,1)="2","G",IF(MID($F147,7,1)="3","C",""))))</f>
        <v>E</v>
      </c>
      <c r="D147" s="426" t="s">
        <v>2656</v>
      </c>
      <c r="E147" s="426" t="str">
        <f t="shared" si="9"/>
        <v>302</v>
      </c>
      <c r="F147" s="741" t="s">
        <v>1720</v>
      </c>
      <c r="G147" s="425" t="str">
        <f t="shared" si="12"/>
        <v/>
      </c>
      <c r="H147" s="426">
        <v>0</v>
      </c>
      <c r="I147" s="426">
        <v>0</v>
      </c>
      <c r="J147" s="426">
        <v>0</v>
      </c>
      <c r="K147" s="426">
        <v>0</v>
      </c>
      <c r="L147" s="426">
        <v>0</v>
      </c>
      <c r="M147" s="426">
        <v>0</v>
      </c>
      <c r="N147" s="426">
        <v>0</v>
      </c>
      <c r="O147" s="426">
        <v>0</v>
      </c>
      <c r="P147" s="426">
        <v>0</v>
      </c>
      <c r="Q147" s="426">
        <v>0</v>
      </c>
      <c r="R147" s="426">
        <v>0</v>
      </c>
      <c r="S147" s="426">
        <v>0</v>
      </c>
      <c r="T147" s="426">
        <v>0</v>
      </c>
      <c r="U147" s="426">
        <f t="shared" si="16"/>
        <v>0</v>
      </c>
    </row>
    <row r="148" spans="1:22">
      <c r="A148" s="426" t="str">
        <f t="shared" si="17"/>
        <v>KU</v>
      </c>
      <c r="B148" s="426" t="str">
        <f t="shared" si="13"/>
        <v>KY</v>
      </c>
      <c r="C148" s="426" t="str">
        <f t="shared" si="18"/>
        <v>E</v>
      </c>
      <c r="D148" s="426" t="s">
        <v>2656</v>
      </c>
      <c r="E148" s="426" t="str">
        <f t="shared" si="9"/>
        <v>303</v>
      </c>
      <c r="F148" s="741" t="s">
        <v>2710</v>
      </c>
      <c r="G148" s="425" t="str">
        <f t="shared" si="12"/>
        <v/>
      </c>
      <c r="H148" s="426">
        <v>0</v>
      </c>
      <c r="I148" s="426">
        <v>0</v>
      </c>
      <c r="J148" s="426">
        <v>0</v>
      </c>
      <c r="K148" s="426">
        <v>0</v>
      </c>
      <c r="L148" s="426">
        <v>0</v>
      </c>
      <c r="M148" s="426">
        <v>0</v>
      </c>
      <c r="N148" s="426">
        <v>0</v>
      </c>
      <c r="O148" s="426">
        <v>0</v>
      </c>
      <c r="P148" s="426">
        <v>0</v>
      </c>
      <c r="Q148" s="426">
        <v>0</v>
      </c>
      <c r="R148" s="426">
        <v>0</v>
      </c>
      <c r="S148" s="426">
        <v>0</v>
      </c>
      <c r="T148" s="426">
        <v>0</v>
      </c>
      <c r="U148" s="426">
        <f t="shared" si="16"/>
        <v>0</v>
      </c>
    </row>
    <row r="149" spans="1:22">
      <c r="A149" s="426" t="str">
        <f t="shared" si="17"/>
        <v>KU</v>
      </c>
      <c r="B149" s="426" t="str">
        <f t="shared" si="13"/>
        <v>KY</v>
      </c>
      <c r="C149" s="426" t="str">
        <f t="shared" si="18"/>
        <v>E</v>
      </c>
      <c r="D149" s="426" t="s">
        <v>2656</v>
      </c>
      <c r="E149" s="426" t="str">
        <f t="shared" si="9"/>
        <v>303</v>
      </c>
      <c r="F149" s="741" t="s">
        <v>1721</v>
      </c>
      <c r="G149" s="425" t="str">
        <f t="shared" si="12"/>
        <v/>
      </c>
      <c r="H149" s="426">
        <v>1949.58827</v>
      </c>
      <c r="I149" s="426">
        <v>472.2448</v>
      </c>
      <c r="J149" s="426">
        <v>250.03341999999901</v>
      </c>
      <c r="K149" s="426">
        <v>4287.6500100000003</v>
      </c>
      <c r="L149" s="426">
        <v>0</v>
      </c>
      <c r="M149" s="426">
        <v>211</v>
      </c>
      <c r="N149" s="426">
        <v>6550.2674399999996</v>
      </c>
      <c r="O149" s="426">
        <v>0</v>
      </c>
      <c r="P149" s="426">
        <v>0</v>
      </c>
      <c r="Q149" s="426">
        <v>78.375</v>
      </c>
      <c r="R149" s="426">
        <v>182.25002000000001</v>
      </c>
      <c r="S149" s="426">
        <v>0</v>
      </c>
      <c r="T149" s="426">
        <v>1670.2840799999999</v>
      </c>
      <c r="U149" s="426">
        <f t="shared" si="16"/>
        <v>13702.104769999998</v>
      </c>
    </row>
    <row r="150" spans="1:22">
      <c r="A150" s="426" t="str">
        <f t="shared" si="17"/>
        <v>KU</v>
      </c>
      <c r="B150" s="426" t="str">
        <f t="shared" si="13"/>
        <v>KY</v>
      </c>
      <c r="C150" s="426" t="str">
        <f t="shared" si="18"/>
        <v>E</v>
      </c>
      <c r="D150" s="426" t="s">
        <v>2656</v>
      </c>
      <c r="E150" s="426" t="str">
        <f t="shared" si="9"/>
        <v>303</v>
      </c>
      <c r="F150" s="741" t="s">
        <v>1722</v>
      </c>
      <c r="G150" s="425" t="str">
        <f t="shared" si="12"/>
        <v/>
      </c>
      <c r="H150" s="426">
        <v>0</v>
      </c>
      <c r="I150" s="426">
        <v>0</v>
      </c>
      <c r="J150" s="426">
        <v>0</v>
      </c>
      <c r="K150" s="426">
        <v>0</v>
      </c>
      <c r="L150" s="426">
        <v>0</v>
      </c>
      <c r="M150" s="426">
        <v>0</v>
      </c>
      <c r="N150" s="426">
        <v>0</v>
      </c>
      <c r="O150" s="426">
        <v>0</v>
      </c>
      <c r="P150" s="426">
        <v>0</v>
      </c>
      <c r="Q150" s="426">
        <v>0</v>
      </c>
      <c r="R150" s="426">
        <v>65</v>
      </c>
      <c r="S150" s="426">
        <v>0</v>
      </c>
      <c r="T150" s="426">
        <v>0</v>
      </c>
      <c r="U150" s="426">
        <f t="shared" si="16"/>
        <v>65</v>
      </c>
    </row>
    <row r="151" spans="1:22">
      <c r="A151" s="426" t="str">
        <f t="shared" si="17"/>
        <v>KU</v>
      </c>
      <c r="B151" s="426" t="str">
        <f t="shared" si="13"/>
        <v>KY</v>
      </c>
      <c r="C151" s="426" t="str">
        <f t="shared" si="18"/>
        <v>E</v>
      </c>
      <c r="D151" s="426" t="s">
        <v>2656</v>
      </c>
      <c r="E151" s="426" t="str">
        <f t="shared" si="9"/>
        <v>310</v>
      </c>
      <c r="F151" s="741" t="s">
        <v>1723</v>
      </c>
      <c r="G151" s="425" t="str">
        <f t="shared" si="12"/>
        <v>ECR</v>
      </c>
      <c r="H151" s="426">
        <v>0</v>
      </c>
      <c r="I151" s="426">
        <v>0</v>
      </c>
      <c r="J151" s="426">
        <v>0</v>
      </c>
      <c r="K151" s="426">
        <v>0</v>
      </c>
      <c r="L151" s="426">
        <v>0</v>
      </c>
      <c r="M151" s="426">
        <v>0</v>
      </c>
      <c r="N151" s="426">
        <v>0</v>
      </c>
      <c r="O151" s="426">
        <v>0</v>
      </c>
      <c r="P151" s="426">
        <v>0</v>
      </c>
      <c r="Q151" s="426">
        <v>0</v>
      </c>
      <c r="R151" s="426">
        <v>0</v>
      </c>
      <c r="S151" s="426">
        <v>0</v>
      </c>
      <c r="T151" s="426">
        <v>0</v>
      </c>
      <c r="U151" s="426">
        <f t="shared" si="16"/>
        <v>0</v>
      </c>
    </row>
    <row r="152" spans="1:22">
      <c r="A152" s="426" t="str">
        <f t="shared" si="17"/>
        <v>KU</v>
      </c>
      <c r="B152" s="426" t="str">
        <f t="shared" si="13"/>
        <v>KY</v>
      </c>
      <c r="C152" s="426" t="str">
        <f t="shared" si="18"/>
        <v>E</v>
      </c>
      <c r="D152" s="426" t="s">
        <v>2656</v>
      </c>
      <c r="E152" s="426" t="str">
        <f t="shared" si="9"/>
        <v>310</v>
      </c>
      <c r="F152" s="741" t="s">
        <v>1725</v>
      </c>
      <c r="G152" s="425" t="str">
        <f t="shared" si="12"/>
        <v/>
      </c>
      <c r="H152" s="426">
        <v>0</v>
      </c>
      <c r="I152" s="426">
        <v>0</v>
      </c>
      <c r="J152" s="426">
        <v>0</v>
      </c>
      <c r="K152" s="426">
        <v>0</v>
      </c>
      <c r="L152" s="426">
        <v>563</v>
      </c>
      <c r="M152" s="426">
        <v>0</v>
      </c>
      <c r="N152" s="426">
        <v>0</v>
      </c>
      <c r="O152" s="426">
        <v>0</v>
      </c>
      <c r="P152" s="426">
        <v>0</v>
      </c>
      <c r="Q152" s="426">
        <v>0</v>
      </c>
      <c r="R152" s="426">
        <v>0</v>
      </c>
      <c r="S152" s="426">
        <v>0</v>
      </c>
      <c r="T152" s="426">
        <v>0</v>
      </c>
      <c r="U152" s="426">
        <f t="shared" si="16"/>
        <v>563</v>
      </c>
    </row>
    <row r="153" spans="1:22">
      <c r="A153" s="426" t="str">
        <f t="shared" si="17"/>
        <v>KU</v>
      </c>
      <c r="B153" s="426" t="str">
        <f t="shared" si="13"/>
        <v>KY</v>
      </c>
      <c r="C153" s="426" t="str">
        <f t="shared" si="18"/>
        <v>E</v>
      </c>
      <c r="D153" s="426" t="s">
        <v>2656</v>
      </c>
      <c r="E153" s="426" t="str">
        <f t="shared" si="9"/>
        <v>311</v>
      </c>
      <c r="F153" s="741" t="s">
        <v>1727</v>
      </c>
      <c r="G153" s="425" t="str">
        <f t="shared" si="12"/>
        <v/>
      </c>
      <c r="H153" s="426">
        <v>0</v>
      </c>
      <c r="I153" s="426">
        <v>0</v>
      </c>
      <c r="J153" s="426">
        <v>932.80526999999995</v>
      </c>
      <c r="K153" s="426">
        <v>168.81700000000001</v>
      </c>
      <c r="L153" s="426">
        <v>170.03</v>
      </c>
      <c r="M153" s="426">
        <v>0</v>
      </c>
      <c r="N153" s="426">
        <v>0</v>
      </c>
      <c r="O153" s="426">
        <v>0</v>
      </c>
      <c r="P153" s="426">
        <v>0</v>
      </c>
      <c r="Q153" s="426">
        <v>0</v>
      </c>
      <c r="R153" s="426">
        <v>355.97068000000002</v>
      </c>
      <c r="S153" s="426">
        <v>0</v>
      </c>
      <c r="T153" s="426">
        <v>0</v>
      </c>
      <c r="U153" s="426">
        <f t="shared" si="16"/>
        <v>1627.6229499999999</v>
      </c>
    </row>
    <row r="154" spans="1:22">
      <c r="A154" s="426" t="str">
        <f t="shared" si="17"/>
        <v>KU</v>
      </c>
      <c r="B154" s="426" t="str">
        <f t="shared" si="13"/>
        <v>KY</v>
      </c>
      <c r="C154" s="426" t="str">
        <f t="shared" si="18"/>
        <v>E</v>
      </c>
      <c r="D154" s="426" t="s">
        <v>2656</v>
      </c>
      <c r="E154" s="426" t="str">
        <f t="shared" si="9"/>
        <v>312</v>
      </c>
      <c r="F154" s="741" t="s">
        <v>1728</v>
      </c>
      <c r="G154" s="425" t="str">
        <f t="shared" si="12"/>
        <v/>
      </c>
      <c r="H154" s="426">
        <v>1827.8319799999999</v>
      </c>
      <c r="I154" s="426">
        <v>1778.31095</v>
      </c>
      <c r="J154" s="426">
        <v>1150.373</v>
      </c>
      <c r="K154" s="426">
        <v>1233.3805400000001</v>
      </c>
      <c r="L154" s="426">
        <v>1033.2427600000001</v>
      </c>
      <c r="M154" s="426">
        <v>3838.4354799999901</v>
      </c>
      <c r="N154" s="426">
        <v>9190.8419099999992</v>
      </c>
      <c r="O154" s="426">
        <v>0</v>
      </c>
      <c r="P154" s="426">
        <v>0</v>
      </c>
      <c r="Q154" s="426">
        <v>5655.4758299999903</v>
      </c>
      <c r="R154" s="426">
        <v>3920.8094499999902</v>
      </c>
      <c r="S154" s="426">
        <v>4195.10563</v>
      </c>
      <c r="T154" s="426">
        <v>711.44718</v>
      </c>
      <c r="U154" s="426">
        <f t="shared" si="16"/>
        <v>32707.422729999973</v>
      </c>
    </row>
    <row r="155" spans="1:22">
      <c r="A155" s="426" t="str">
        <f t="shared" si="17"/>
        <v>KU</v>
      </c>
      <c r="B155" s="426" t="str">
        <f t="shared" si="13"/>
        <v>KY</v>
      </c>
      <c r="C155" s="426" t="str">
        <f t="shared" si="18"/>
        <v>E</v>
      </c>
      <c r="D155" s="426" t="s">
        <v>2656</v>
      </c>
      <c r="E155" s="426" t="str">
        <f t="shared" si="9"/>
        <v>312</v>
      </c>
      <c r="F155" s="741" t="s">
        <v>1729</v>
      </c>
      <c r="G155" s="425" t="str">
        <f t="shared" si="12"/>
        <v>ECR</v>
      </c>
      <c r="H155" s="426">
        <v>0</v>
      </c>
      <c r="I155" s="426">
        <v>0</v>
      </c>
      <c r="J155" s="426">
        <v>0</v>
      </c>
      <c r="K155" s="426">
        <v>0</v>
      </c>
      <c r="L155" s="426">
        <v>0</v>
      </c>
      <c r="M155" s="426">
        <v>0</v>
      </c>
      <c r="N155" s="426">
        <v>0</v>
      </c>
      <c r="O155" s="426">
        <v>0</v>
      </c>
      <c r="P155" s="426">
        <v>0</v>
      </c>
      <c r="Q155" s="426">
        <v>0</v>
      </c>
      <c r="R155" s="426">
        <v>0</v>
      </c>
      <c r="S155" s="426">
        <v>0</v>
      </c>
      <c r="T155" s="426">
        <v>0</v>
      </c>
      <c r="U155" s="426">
        <f t="shared" si="16"/>
        <v>0</v>
      </c>
    </row>
    <row r="156" spans="1:22">
      <c r="A156" s="426" t="str">
        <f t="shared" si="17"/>
        <v>KU</v>
      </c>
      <c r="B156" s="426" t="str">
        <f t="shared" si="13"/>
        <v>KY</v>
      </c>
      <c r="C156" s="426" t="str">
        <f t="shared" si="18"/>
        <v>E</v>
      </c>
      <c r="D156" s="426" t="s">
        <v>2656</v>
      </c>
      <c r="E156" s="426" t="str">
        <f t="shared" si="9"/>
        <v>312</v>
      </c>
      <c r="F156" s="741" t="s">
        <v>2714</v>
      </c>
      <c r="G156" s="425" t="str">
        <f t="shared" si="12"/>
        <v>ECR</v>
      </c>
      <c r="H156" s="426">
        <v>0</v>
      </c>
      <c r="I156" s="426">
        <v>0</v>
      </c>
      <c r="J156" s="426">
        <v>0</v>
      </c>
      <c r="K156" s="426">
        <v>0</v>
      </c>
      <c r="L156" s="426">
        <v>47072.342409999997</v>
      </c>
      <c r="M156" s="426">
        <v>0</v>
      </c>
      <c r="N156" s="426">
        <v>0</v>
      </c>
      <c r="O156" s="426">
        <v>0</v>
      </c>
      <c r="P156" s="426">
        <v>0</v>
      </c>
      <c r="Q156" s="426">
        <v>0</v>
      </c>
      <c r="R156" s="426">
        <v>0</v>
      </c>
      <c r="S156" s="426">
        <v>0</v>
      </c>
      <c r="T156" s="426">
        <v>0</v>
      </c>
      <c r="U156" s="426">
        <f t="shared" si="16"/>
        <v>47072.342409999997</v>
      </c>
    </row>
    <row r="157" spans="1:22">
      <c r="A157" s="426" t="str">
        <f t="shared" si="17"/>
        <v>KU</v>
      </c>
      <c r="B157" s="426" t="str">
        <f t="shared" si="13"/>
        <v>KY</v>
      </c>
      <c r="C157" s="426" t="str">
        <f t="shared" si="18"/>
        <v>E</v>
      </c>
      <c r="D157" s="426" t="s">
        <v>2656</v>
      </c>
      <c r="E157" s="426" t="str">
        <f t="shared" si="9"/>
        <v>312</v>
      </c>
      <c r="F157" s="741" t="s">
        <v>1730</v>
      </c>
      <c r="G157" s="425" t="str">
        <f t="shared" ref="G157:G221" si="19">IF(ISTEXT(MID($F157,SEARCH("FUTURE USE",$F157),3)),"FUTURE USE",IF(ISTEXT(MID($F157,SEARCH("ECR",$F157),3)),"ECR",IF(ISTEXT(MID($F157,SEARCH("ARO",$F157),3)),"ARO",IF(ISTEXT(MID($F157,SEARCH("DSM",$F157),3)),"DSM",""))))</f>
        <v>ECR</v>
      </c>
      <c r="H157" s="426">
        <v>2872.0887499999999</v>
      </c>
      <c r="I157" s="426">
        <v>0</v>
      </c>
      <c r="J157" s="426">
        <v>0</v>
      </c>
      <c r="K157" s="426">
        <v>0</v>
      </c>
      <c r="L157" s="426">
        <v>0</v>
      </c>
      <c r="M157" s="426">
        <v>0</v>
      </c>
      <c r="N157" s="426">
        <v>0</v>
      </c>
      <c r="O157" s="426">
        <v>0</v>
      </c>
      <c r="P157" s="426">
        <v>0</v>
      </c>
      <c r="Q157" s="426">
        <v>0</v>
      </c>
      <c r="R157" s="426">
        <v>0</v>
      </c>
      <c r="S157" s="426">
        <v>0</v>
      </c>
      <c r="T157" s="426">
        <v>0</v>
      </c>
      <c r="U157" s="426">
        <f t="shared" si="16"/>
        <v>0</v>
      </c>
    </row>
    <row r="158" spans="1:22">
      <c r="A158" s="426" t="str">
        <f t="shared" si="17"/>
        <v>KU</v>
      </c>
      <c r="B158" s="426" t="str">
        <f t="shared" si="13"/>
        <v>KY</v>
      </c>
      <c r="C158" s="426" t="str">
        <f t="shared" si="18"/>
        <v>E</v>
      </c>
      <c r="D158" s="426" t="s">
        <v>2656</v>
      </c>
      <c r="E158" s="426" t="str">
        <f t="shared" si="9"/>
        <v>312</v>
      </c>
      <c r="F158" s="741" t="s">
        <v>2179</v>
      </c>
      <c r="G158" s="425" t="str">
        <f t="shared" si="19"/>
        <v>ECR</v>
      </c>
      <c r="H158" s="426">
        <v>0</v>
      </c>
      <c r="I158" s="426">
        <v>0</v>
      </c>
      <c r="J158" s="426">
        <v>0</v>
      </c>
      <c r="K158" s="426">
        <v>0</v>
      </c>
      <c r="L158" s="426">
        <v>0</v>
      </c>
      <c r="M158" s="426">
        <v>0</v>
      </c>
      <c r="N158" s="426">
        <v>0</v>
      </c>
      <c r="O158" s="426">
        <v>0</v>
      </c>
      <c r="P158" s="426">
        <v>0</v>
      </c>
      <c r="Q158" s="426">
        <v>0</v>
      </c>
      <c r="R158" s="426">
        <v>0</v>
      </c>
      <c r="S158" s="426">
        <v>0</v>
      </c>
      <c r="T158" s="426">
        <v>0</v>
      </c>
      <c r="U158" s="426">
        <f t="shared" si="16"/>
        <v>0</v>
      </c>
    </row>
    <row r="159" spans="1:22">
      <c r="A159" s="426" t="str">
        <f t="shared" si="17"/>
        <v>KU</v>
      </c>
      <c r="B159" s="426" t="str">
        <f t="shared" si="13"/>
        <v>KY</v>
      </c>
      <c r="C159" s="426" t="str">
        <f t="shared" si="18"/>
        <v>E</v>
      </c>
      <c r="D159" s="426" t="s">
        <v>2656</v>
      </c>
      <c r="E159" s="426" t="str">
        <f t="shared" si="9"/>
        <v>312</v>
      </c>
      <c r="F159" s="741" t="s">
        <v>2715</v>
      </c>
      <c r="G159" s="425" t="str">
        <f t="shared" si="19"/>
        <v>ECR</v>
      </c>
      <c r="H159" s="426">
        <v>1050</v>
      </c>
      <c r="I159" s="426">
        <v>1000</v>
      </c>
      <c r="J159" s="426">
        <v>0</v>
      </c>
      <c r="K159" s="426">
        <v>0</v>
      </c>
      <c r="L159" s="426">
        <v>0</v>
      </c>
      <c r="M159" s="426">
        <v>0</v>
      </c>
      <c r="N159" s="426">
        <v>49725.163099999998</v>
      </c>
      <c r="O159" s="426">
        <v>0</v>
      </c>
      <c r="P159" s="426">
        <v>0</v>
      </c>
      <c r="Q159" s="426">
        <v>0</v>
      </c>
      <c r="R159" s="426">
        <v>0</v>
      </c>
      <c r="S159" s="426">
        <v>0</v>
      </c>
      <c r="T159" s="426">
        <v>0</v>
      </c>
      <c r="U159" s="426">
        <f t="shared" si="16"/>
        <v>50725.163099999998</v>
      </c>
    </row>
    <row r="160" spans="1:22">
      <c r="A160" s="426" t="str">
        <f t="shared" si="17"/>
        <v>KU</v>
      </c>
      <c r="B160" s="426" t="str">
        <f t="shared" si="13"/>
        <v>KY</v>
      </c>
      <c r="C160" s="426" t="str">
        <f t="shared" si="18"/>
        <v>E</v>
      </c>
      <c r="D160" s="426" t="s">
        <v>2656</v>
      </c>
      <c r="E160" s="426" t="str">
        <f t="shared" si="9"/>
        <v>312</v>
      </c>
      <c r="F160" s="741" t="s">
        <v>2716</v>
      </c>
      <c r="G160" s="425" t="str">
        <f t="shared" si="19"/>
        <v>ECR</v>
      </c>
      <c r="H160" s="426">
        <v>0</v>
      </c>
      <c r="I160" s="426">
        <v>0</v>
      </c>
      <c r="J160" s="426">
        <v>0</v>
      </c>
      <c r="K160" s="426">
        <v>0</v>
      </c>
      <c r="L160" s="426">
        <v>0</v>
      </c>
      <c r="M160" s="426">
        <v>0</v>
      </c>
      <c r="N160" s="426">
        <v>16072.78</v>
      </c>
      <c r="O160" s="426">
        <v>0</v>
      </c>
      <c r="P160" s="426">
        <v>0</v>
      </c>
      <c r="Q160" s="426">
        <v>0</v>
      </c>
      <c r="R160" s="426">
        <v>0</v>
      </c>
      <c r="S160" s="426">
        <v>0</v>
      </c>
      <c r="T160" s="426">
        <v>0</v>
      </c>
      <c r="U160" s="426">
        <f t="shared" si="16"/>
        <v>16072.78</v>
      </c>
    </row>
    <row r="161" spans="1:21">
      <c r="A161" s="426" t="str">
        <f t="shared" si="17"/>
        <v>KU</v>
      </c>
      <c r="B161" s="426" t="str">
        <f t="shared" si="13"/>
        <v>KY</v>
      </c>
      <c r="C161" s="426" t="str">
        <f t="shared" si="18"/>
        <v>E</v>
      </c>
      <c r="D161" s="426" t="s">
        <v>2656</v>
      </c>
      <c r="E161" s="426" t="str">
        <f t="shared" ref="E161:E242" si="20">MID($F161,8,3)</f>
        <v>314</v>
      </c>
      <c r="F161" s="741" t="s">
        <v>1732</v>
      </c>
      <c r="G161" s="425" t="str">
        <f t="shared" si="19"/>
        <v/>
      </c>
      <c r="H161" s="426">
        <v>3882.0000099999902</v>
      </c>
      <c r="I161" s="426">
        <v>70.693060000000003</v>
      </c>
      <c r="J161" s="426">
        <v>1303.11068</v>
      </c>
      <c r="K161" s="426">
        <v>159.77000000000001</v>
      </c>
      <c r="L161" s="426">
        <v>0</v>
      </c>
      <c r="M161" s="426">
        <v>764.78700000000003</v>
      </c>
      <c r="N161" s="426">
        <v>621.95280000000002</v>
      </c>
      <c r="O161" s="426">
        <v>0</v>
      </c>
      <c r="P161" s="426">
        <v>0</v>
      </c>
      <c r="Q161" s="426">
        <v>0</v>
      </c>
      <c r="R161" s="426">
        <v>111.0891</v>
      </c>
      <c r="S161" s="426">
        <v>0</v>
      </c>
      <c r="T161" s="426">
        <v>0</v>
      </c>
      <c r="U161" s="426">
        <f t="shared" si="16"/>
        <v>3031.4026400000002</v>
      </c>
    </row>
    <row r="162" spans="1:21">
      <c r="A162" s="426" t="str">
        <f t="shared" si="17"/>
        <v>KU</v>
      </c>
      <c r="B162" s="426" t="str">
        <f t="shared" si="13"/>
        <v>KY</v>
      </c>
      <c r="C162" s="426" t="str">
        <f t="shared" si="18"/>
        <v>E</v>
      </c>
      <c r="D162" s="426" t="s">
        <v>2656</v>
      </c>
      <c r="E162" s="426" t="str">
        <f t="shared" si="20"/>
        <v>315</v>
      </c>
      <c r="F162" s="741" t="s">
        <v>1733</v>
      </c>
      <c r="G162" s="425" t="str">
        <f t="shared" si="19"/>
        <v/>
      </c>
      <c r="H162" s="426">
        <v>0</v>
      </c>
      <c r="I162" s="426">
        <v>0</v>
      </c>
      <c r="J162" s="426">
        <v>0</v>
      </c>
      <c r="K162" s="426">
        <v>0</v>
      </c>
      <c r="L162" s="426">
        <v>60.43</v>
      </c>
      <c r="M162" s="426">
        <v>0</v>
      </c>
      <c r="N162" s="426">
        <v>0</v>
      </c>
      <c r="O162" s="426">
        <v>0</v>
      </c>
      <c r="P162" s="426">
        <v>0</v>
      </c>
      <c r="Q162" s="426">
        <v>0</v>
      </c>
      <c r="R162" s="426">
        <v>0</v>
      </c>
      <c r="S162" s="426">
        <v>0</v>
      </c>
      <c r="T162" s="426">
        <v>0</v>
      </c>
      <c r="U162" s="426">
        <f t="shared" si="16"/>
        <v>60.43</v>
      </c>
    </row>
    <row r="163" spans="1:21">
      <c r="A163" s="426" t="str">
        <f t="shared" si="17"/>
        <v>KU</v>
      </c>
      <c r="B163" s="426" t="str">
        <f t="shared" si="13"/>
        <v>KY</v>
      </c>
      <c r="C163" s="426" t="str">
        <f t="shared" si="18"/>
        <v>E</v>
      </c>
      <c r="D163" s="426" t="s">
        <v>2656</v>
      </c>
      <c r="E163" s="426" t="str">
        <f t="shared" si="20"/>
        <v>315</v>
      </c>
      <c r="F163" s="741" t="s">
        <v>2180</v>
      </c>
      <c r="G163" s="425" t="str">
        <f t="shared" si="19"/>
        <v>ECR</v>
      </c>
      <c r="H163" s="426">
        <v>0</v>
      </c>
      <c r="I163" s="426">
        <v>0</v>
      </c>
      <c r="J163" s="426">
        <v>0</v>
      </c>
      <c r="K163" s="426">
        <v>0</v>
      </c>
      <c r="L163" s="426">
        <v>0</v>
      </c>
      <c r="M163" s="426">
        <v>0</v>
      </c>
      <c r="N163" s="426">
        <v>0</v>
      </c>
      <c r="O163" s="426">
        <v>0</v>
      </c>
      <c r="P163" s="426">
        <v>0</v>
      </c>
      <c r="Q163" s="426">
        <v>0</v>
      </c>
      <c r="R163" s="426">
        <v>0</v>
      </c>
      <c r="S163" s="426">
        <v>0</v>
      </c>
      <c r="T163" s="426">
        <v>0</v>
      </c>
      <c r="U163" s="426">
        <f t="shared" si="16"/>
        <v>0</v>
      </c>
    </row>
    <row r="164" spans="1:21">
      <c r="A164" s="426" t="str">
        <f t="shared" si="17"/>
        <v>KU</v>
      </c>
      <c r="B164" s="426" t="str">
        <f t="shared" si="13"/>
        <v>KY</v>
      </c>
      <c r="C164" s="426" t="str">
        <f t="shared" si="18"/>
        <v>E</v>
      </c>
      <c r="D164" s="426" t="s">
        <v>2656</v>
      </c>
      <c r="E164" s="426" t="str">
        <f t="shared" si="20"/>
        <v>316</v>
      </c>
      <c r="F164" s="741" t="s">
        <v>1735</v>
      </c>
      <c r="G164" s="425" t="str">
        <f t="shared" si="19"/>
        <v/>
      </c>
      <c r="H164" s="426">
        <v>752.75896</v>
      </c>
      <c r="I164" s="426">
        <v>234.19684000000001</v>
      </c>
      <c r="J164" s="426">
        <v>718.78056000000004</v>
      </c>
      <c r="K164" s="426">
        <v>539.49618999999996</v>
      </c>
      <c r="L164" s="426">
        <v>184.55082999999999</v>
      </c>
      <c r="M164" s="426">
        <v>880.42862000000002</v>
      </c>
      <c r="N164" s="426">
        <v>562.76471000000004</v>
      </c>
      <c r="O164" s="426">
        <v>18.021070000000002</v>
      </c>
      <c r="P164" s="426">
        <v>17.403569999999998</v>
      </c>
      <c r="Q164" s="426">
        <v>99.833089999999999</v>
      </c>
      <c r="R164" s="426">
        <v>280.80885000000001</v>
      </c>
      <c r="S164" s="426">
        <v>5548.4276799999998</v>
      </c>
      <c r="T164" s="426">
        <v>1256.7268799999999</v>
      </c>
      <c r="U164" s="426">
        <f t="shared" si="16"/>
        <v>10341.438889999999</v>
      </c>
    </row>
    <row r="165" spans="1:21">
      <c r="A165" s="426" t="str">
        <f t="shared" si="17"/>
        <v>KU</v>
      </c>
      <c r="B165" s="426" t="str">
        <f t="shared" si="13"/>
        <v>KY</v>
      </c>
      <c r="C165" s="426" t="str">
        <f t="shared" si="18"/>
        <v>E</v>
      </c>
      <c r="D165" s="426" t="s">
        <v>2656</v>
      </c>
      <c r="E165" s="426" t="str">
        <f t="shared" si="20"/>
        <v>317</v>
      </c>
      <c r="F165" s="741" t="s">
        <v>2398</v>
      </c>
      <c r="G165" s="425" t="str">
        <f t="shared" si="19"/>
        <v>ARO</v>
      </c>
      <c r="H165" s="426">
        <v>0</v>
      </c>
      <c r="I165" s="426">
        <v>0</v>
      </c>
      <c r="J165" s="426">
        <v>0</v>
      </c>
      <c r="K165" s="426">
        <v>0</v>
      </c>
      <c r="L165" s="426">
        <v>0</v>
      </c>
      <c r="M165" s="426">
        <v>0</v>
      </c>
      <c r="N165" s="426">
        <v>0</v>
      </c>
      <c r="O165" s="426">
        <v>0</v>
      </c>
      <c r="P165" s="426">
        <v>0</v>
      </c>
      <c r="Q165" s="426">
        <v>0</v>
      </c>
      <c r="R165" s="426">
        <v>0</v>
      </c>
      <c r="S165" s="426">
        <v>0</v>
      </c>
      <c r="T165" s="426">
        <v>0</v>
      </c>
      <c r="U165" s="426">
        <f t="shared" si="16"/>
        <v>0</v>
      </c>
    </row>
    <row r="166" spans="1:21">
      <c r="A166" s="426" t="str">
        <f t="shared" si="17"/>
        <v>KU</v>
      </c>
      <c r="B166" s="426" t="str">
        <f t="shared" si="13"/>
        <v>KY</v>
      </c>
      <c r="C166" s="426" t="str">
        <f t="shared" si="18"/>
        <v>E</v>
      </c>
      <c r="D166" s="426" t="s">
        <v>2656</v>
      </c>
      <c r="E166" s="426" t="str">
        <f t="shared" si="20"/>
        <v>331</v>
      </c>
      <c r="F166" s="741" t="s">
        <v>1738</v>
      </c>
      <c r="G166" s="425" t="str">
        <f t="shared" si="19"/>
        <v/>
      </c>
      <c r="H166" s="426">
        <v>0</v>
      </c>
      <c r="I166" s="426">
        <v>0</v>
      </c>
      <c r="J166" s="426">
        <v>0</v>
      </c>
      <c r="K166" s="426">
        <v>857.42330000000004</v>
      </c>
      <c r="L166" s="426">
        <v>0</v>
      </c>
      <c r="M166" s="426">
        <v>0</v>
      </c>
      <c r="N166" s="426">
        <v>0</v>
      </c>
      <c r="O166" s="426">
        <v>0</v>
      </c>
      <c r="P166" s="426">
        <v>0</v>
      </c>
      <c r="Q166" s="426">
        <v>0</v>
      </c>
      <c r="R166" s="426">
        <v>0</v>
      </c>
      <c r="S166" s="426">
        <v>0</v>
      </c>
      <c r="T166" s="426">
        <v>0</v>
      </c>
      <c r="U166" s="426">
        <f t="shared" si="16"/>
        <v>857.42330000000004</v>
      </c>
    </row>
    <row r="167" spans="1:21">
      <c r="A167" s="426" t="str">
        <f t="shared" si="17"/>
        <v>KU</v>
      </c>
      <c r="B167" s="426" t="str">
        <f t="shared" si="13"/>
        <v>KY</v>
      </c>
      <c r="C167" s="426" t="str">
        <f t="shared" si="18"/>
        <v>E</v>
      </c>
      <c r="D167" s="426" t="s">
        <v>2656</v>
      </c>
      <c r="E167" s="426" t="str">
        <f t="shared" si="20"/>
        <v>332</v>
      </c>
      <c r="F167" s="741" t="s">
        <v>1739</v>
      </c>
      <c r="G167" s="425" t="str">
        <f t="shared" si="19"/>
        <v/>
      </c>
      <c r="H167" s="426">
        <v>0</v>
      </c>
      <c r="I167" s="426">
        <v>0</v>
      </c>
      <c r="J167" s="426">
        <v>0</v>
      </c>
      <c r="K167" s="426">
        <v>0</v>
      </c>
      <c r="L167" s="426">
        <v>0</v>
      </c>
      <c r="M167" s="426">
        <v>6387.5220399999998</v>
      </c>
      <c r="N167" s="426">
        <v>0</v>
      </c>
      <c r="O167" s="426">
        <v>0</v>
      </c>
      <c r="P167" s="426">
        <v>0</v>
      </c>
      <c r="Q167" s="426">
        <v>0</v>
      </c>
      <c r="R167" s="426">
        <v>0</v>
      </c>
      <c r="S167" s="426">
        <v>0</v>
      </c>
      <c r="T167" s="426">
        <v>0</v>
      </c>
      <c r="U167" s="426">
        <f t="shared" si="16"/>
        <v>6387.5220399999998</v>
      </c>
    </row>
    <row r="168" spans="1:21">
      <c r="A168" s="426" t="str">
        <f t="shared" si="17"/>
        <v>KU</v>
      </c>
      <c r="B168" s="426" t="str">
        <f t="shared" si="13"/>
        <v>KY</v>
      </c>
      <c r="C168" s="426" t="str">
        <f t="shared" si="18"/>
        <v>E</v>
      </c>
      <c r="D168" s="426" t="s">
        <v>2656</v>
      </c>
      <c r="E168" s="426" t="str">
        <f t="shared" si="20"/>
        <v>333</v>
      </c>
      <c r="F168" s="741" t="s">
        <v>1740</v>
      </c>
      <c r="G168" s="425" t="str">
        <f t="shared" si="19"/>
        <v/>
      </c>
      <c r="H168" s="426">
        <v>0</v>
      </c>
      <c r="I168" s="426">
        <v>62.258000000000003</v>
      </c>
      <c r="J168" s="426">
        <v>0</v>
      </c>
      <c r="K168" s="426">
        <v>0</v>
      </c>
      <c r="L168" s="426">
        <v>1116.82</v>
      </c>
      <c r="M168" s="426">
        <v>0</v>
      </c>
      <c r="N168" s="426">
        <v>0</v>
      </c>
      <c r="O168" s="426">
        <v>0</v>
      </c>
      <c r="P168" s="426">
        <v>0</v>
      </c>
      <c r="Q168" s="426">
        <v>0</v>
      </c>
      <c r="R168" s="426">
        <v>0</v>
      </c>
      <c r="S168" s="426">
        <v>0</v>
      </c>
      <c r="T168" s="426">
        <v>0</v>
      </c>
      <c r="U168" s="426">
        <f t="shared" si="16"/>
        <v>1179.078</v>
      </c>
    </row>
    <row r="169" spans="1:21">
      <c r="A169" s="426" t="str">
        <f t="shared" si="17"/>
        <v>KU</v>
      </c>
      <c r="B169" s="426" t="str">
        <f t="shared" si="13"/>
        <v>KY</v>
      </c>
      <c r="C169" s="426" t="str">
        <f t="shared" si="18"/>
        <v>E</v>
      </c>
      <c r="D169" s="426" t="s">
        <v>2656</v>
      </c>
      <c r="E169" s="426" t="str">
        <f t="shared" si="20"/>
        <v>334</v>
      </c>
      <c r="F169" s="741" t="s">
        <v>1741</v>
      </c>
      <c r="G169" s="425" t="str">
        <f t="shared" si="19"/>
        <v/>
      </c>
      <c r="H169" s="426">
        <v>0</v>
      </c>
      <c r="I169" s="426">
        <v>21.52</v>
      </c>
      <c r="J169" s="426">
        <v>0</v>
      </c>
      <c r="K169" s="426">
        <v>0</v>
      </c>
      <c r="L169" s="426">
        <v>0</v>
      </c>
      <c r="M169" s="426">
        <v>0</v>
      </c>
      <c r="N169" s="426">
        <v>0</v>
      </c>
      <c r="O169" s="426">
        <v>0</v>
      </c>
      <c r="P169" s="426">
        <v>0</v>
      </c>
      <c r="Q169" s="426">
        <v>0</v>
      </c>
      <c r="R169" s="426">
        <v>0</v>
      </c>
      <c r="S169" s="426">
        <v>59.741</v>
      </c>
      <c r="T169" s="426">
        <v>0</v>
      </c>
      <c r="U169" s="426">
        <f t="shared" si="16"/>
        <v>81.260999999999996</v>
      </c>
    </row>
    <row r="170" spans="1:21">
      <c r="A170" s="426" t="str">
        <f t="shared" si="17"/>
        <v>KU</v>
      </c>
      <c r="B170" s="426" t="str">
        <f t="shared" si="13"/>
        <v>KY</v>
      </c>
      <c r="C170" s="426" t="str">
        <f t="shared" si="18"/>
        <v>E</v>
      </c>
      <c r="D170" s="426" t="s">
        <v>2656</v>
      </c>
      <c r="E170" s="426" t="str">
        <f t="shared" si="20"/>
        <v>341</v>
      </c>
      <c r="F170" s="741" t="s">
        <v>2184</v>
      </c>
      <c r="G170" s="425" t="str">
        <f t="shared" si="19"/>
        <v/>
      </c>
      <c r="H170" s="426">
        <v>0</v>
      </c>
      <c r="I170" s="426">
        <v>0</v>
      </c>
      <c r="J170" s="426">
        <v>0</v>
      </c>
      <c r="K170" s="426">
        <v>0</v>
      </c>
      <c r="L170" s="426">
        <v>0</v>
      </c>
      <c r="M170" s="426">
        <v>0</v>
      </c>
      <c r="N170" s="426">
        <v>0</v>
      </c>
      <c r="O170" s="426">
        <v>0</v>
      </c>
      <c r="P170" s="426">
        <v>0</v>
      </c>
      <c r="Q170" s="426">
        <v>0</v>
      </c>
      <c r="R170" s="426">
        <v>0</v>
      </c>
      <c r="S170" s="426">
        <v>0</v>
      </c>
      <c r="T170" s="426">
        <v>0</v>
      </c>
      <c r="U170" s="426">
        <f t="shared" si="16"/>
        <v>0</v>
      </c>
    </row>
    <row r="171" spans="1:21">
      <c r="A171" s="426" t="str">
        <f t="shared" si="17"/>
        <v>KU</v>
      </c>
      <c r="B171" s="426" t="str">
        <f t="shared" si="13"/>
        <v>KY</v>
      </c>
      <c r="C171" s="426" t="str">
        <f t="shared" si="18"/>
        <v>E</v>
      </c>
      <c r="D171" s="426" t="s">
        <v>2656</v>
      </c>
      <c r="E171" s="426" t="str">
        <f t="shared" si="20"/>
        <v>341</v>
      </c>
      <c r="F171" s="741" t="s">
        <v>2185</v>
      </c>
      <c r="G171" s="425" t="str">
        <f t="shared" si="19"/>
        <v/>
      </c>
      <c r="H171" s="426">
        <v>0</v>
      </c>
      <c r="I171" s="426">
        <v>0</v>
      </c>
      <c r="J171" s="426">
        <v>0</v>
      </c>
      <c r="K171" s="426">
        <v>0</v>
      </c>
      <c r="L171" s="426">
        <v>0</v>
      </c>
      <c r="M171" s="426">
        <v>0</v>
      </c>
      <c r="N171" s="426">
        <v>0</v>
      </c>
      <c r="O171" s="426">
        <v>0</v>
      </c>
      <c r="P171" s="426">
        <v>0</v>
      </c>
      <c r="Q171" s="426">
        <v>0</v>
      </c>
      <c r="R171" s="426">
        <v>0</v>
      </c>
      <c r="S171" s="426">
        <v>0</v>
      </c>
      <c r="T171" s="426">
        <v>0</v>
      </c>
      <c r="U171" s="426">
        <f t="shared" si="16"/>
        <v>0</v>
      </c>
    </row>
    <row r="172" spans="1:21">
      <c r="A172" s="426" t="str">
        <f t="shared" si="17"/>
        <v>KU</v>
      </c>
      <c r="B172" s="426" t="str">
        <f t="shared" si="13"/>
        <v>KY</v>
      </c>
      <c r="C172" s="426" t="str">
        <f t="shared" si="18"/>
        <v>E</v>
      </c>
      <c r="D172" s="426" t="s">
        <v>2656</v>
      </c>
      <c r="E172" s="426" t="str">
        <f t="shared" si="20"/>
        <v>342</v>
      </c>
      <c r="F172" s="741" t="s">
        <v>1747</v>
      </c>
      <c r="G172" s="425" t="str">
        <f t="shared" si="19"/>
        <v/>
      </c>
      <c r="H172" s="426">
        <v>0</v>
      </c>
      <c r="I172" s="426">
        <v>0</v>
      </c>
      <c r="J172" s="426">
        <v>0</v>
      </c>
      <c r="K172" s="426">
        <v>0</v>
      </c>
      <c r="L172" s="426">
        <v>0</v>
      </c>
      <c r="M172" s="426">
        <v>0</v>
      </c>
      <c r="N172" s="426">
        <v>0</v>
      </c>
      <c r="O172" s="426">
        <v>0</v>
      </c>
      <c r="P172" s="426">
        <v>0</v>
      </c>
      <c r="Q172" s="426">
        <v>0</v>
      </c>
      <c r="R172" s="426">
        <v>0</v>
      </c>
      <c r="S172" s="426">
        <v>0</v>
      </c>
      <c r="T172" s="426">
        <v>0</v>
      </c>
      <c r="U172" s="426">
        <f t="shared" si="16"/>
        <v>0</v>
      </c>
    </row>
    <row r="173" spans="1:21">
      <c r="A173" s="426" t="str">
        <f t="shared" si="17"/>
        <v>KU</v>
      </c>
      <c r="B173" s="426" t="str">
        <f t="shared" si="13"/>
        <v>KY</v>
      </c>
      <c r="C173" s="426" t="str">
        <f t="shared" si="18"/>
        <v>E</v>
      </c>
      <c r="D173" s="426" t="s">
        <v>2656</v>
      </c>
      <c r="E173" s="426" t="str">
        <f t="shared" si="20"/>
        <v>342</v>
      </c>
      <c r="F173" s="741" t="s">
        <v>2187</v>
      </c>
      <c r="G173" s="425" t="str">
        <f t="shared" si="19"/>
        <v/>
      </c>
      <c r="H173" s="426">
        <v>0</v>
      </c>
      <c r="I173" s="426">
        <v>0</v>
      </c>
      <c r="J173" s="426">
        <v>0</v>
      </c>
      <c r="K173" s="426">
        <v>0</v>
      </c>
      <c r="L173" s="426">
        <v>0</v>
      </c>
      <c r="M173" s="426">
        <v>0</v>
      </c>
      <c r="N173" s="426">
        <v>0</v>
      </c>
      <c r="O173" s="426">
        <v>0</v>
      </c>
      <c r="P173" s="426">
        <v>0</v>
      </c>
      <c r="Q173" s="426">
        <v>0</v>
      </c>
      <c r="R173" s="426">
        <v>0</v>
      </c>
      <c r="S173" s="426">
        <v>0</v>
      </c>
      <c r="T173" s="426">
        <v>0</v>
      </c>
      <c r="U173" s="426">
        <f t="shared" si="16"/>
        <v>0</v>
      </c>
    </row>
    <row r="174" spans="1:21">
      <c r="A174" s="426" t="str">
        <f t="shared" si="17"/>
        <v>KU</v>
      </c>
      <c r="B174" s="426" t="str">
        <f t="shared" si="13"/>
        <v>KY</v>
      </c>
      <c r="C174" s="426" t="str">
        <f t="shared" si="18"/>
        <v>E</v>
      </c>
      <c r="D174" s="426" t="s">
        <v>2656</v>
      </c>
      <c r="E174" s="426" t="str">
        <f t="shared" si="20"/>
        <v>343</v>
      </c>
      <c r="F174" s="741" t="s">
        <v>1748</v>
      </c>
      <c r="G174" s="425" t="str">
        <f t="shared" si="19"/>
        <v/>
      </c>
      <c r="H174" s="426">
        <v>431.14371</v>
      </c>
      <c r="I174" s="426">
        <v>0</v>
      </c>
      <c r="J174" s="426">
        <v>599.63441</v>
      </c>
      <c r="K174" s="426">
        <v>205.72020000000001</v>
      </c>
      <c r="L174" s="426">
        <v>333.45</v>
      </c>
      <c r="M174" s="426">
        <v>0</v>
      </c>
      <c r="N174" s="426">
        <v>4305.6106099999997</v>
      </c>
      <c r="O174" s="426">
        <v>0</v>
      </c>
      <c r="P174" s="426">
        <v>0</v>
      </c>
      <c r="Q174" s="426">
        <v>0</v>
      </c>
      <c r="R174" s="426">
        <v>9081.7234900000003</v>
      </c>
      <c r="S174" s="426">
        <v>0</v>
      </c>
      <c r="T174" s="426">
        <v>0</v>
      </c>
      <c r="U174" s="426">
        <f t="shared" si="16"/>
        <v>14526.138709999999</v>
      </c>
    </row>
    <row r="175" spans="1:21">
      <c r="A175" s="426" t="str">
        <f t="shared" si="17"/>
        <v>KU</v>
      </c>
      <c r="B175" s="426" t="str">
        <f t="shared" si="13"/>
        <v>KY</v>
      </c>
      <c r="C175" s="426" t="str">
        <f t="shared" si="18"/>
        <v>E</v>
      </c>
      <c r="D175" s="426" t="s">
        <v>2656</v>
      </c>
      <c r="E175" s="426" t="str">
        <f t="shared" si="20"/>
        <v>343</v>
      </c>
      <c r="F175" s="741" t="s">
        <v>2188</v>
      </c>
      <c r="G175" s="425" t="str">
        <f t="shared" si="19"/>
        <v/>
      </c>
      <c r="H175" s="426">
        <v>0</v>
      </c>
      <c r="I175" s="426">
        <v>0</v>
      </c>
      <c r="J175" s="426">
        <v>0</v>
      </c>
      <c r="K175" s="426">
        <v>0</v>
      </c>
      <c r="L175" s="426">
        <v>1734.2842700000001</v>
      </c>
      <c r="M175" s="426">
        <v>0</v>
      </c>
      <c r="N175" s="426">
        <v>0</v>
      </c>
      <c r="O175" s="426">
        <v>0</v>
      </c>
      <c r="P175" s="426">
        <v>0</v>
      </c>
      <c r="Q175" s="426">
        <v>6194.5973599999998</v>
      </c>
      <c r="R175" s="426">
        <v>0</v>
      </c>
      <c r="S175" s="426">
        <v>0</v>
      </c>
      <c r="T175" s="426">
        <v>0</v>
      </c>
      <c r="U175" s="426">
        <f t="shared" si="16"/>
        <v>7928.8816299999999</v>
      </c>
    </row>
    <row r="176" spans="1:21">
      <c r="A176" s="426" t="str">
        <f t="shared" si="17"/>
        <v>KU</v>
      </c>
      <c r="B176" s="426" t="str">
        <f t="shared" si="13"/>
        <v>KY</v>
      </c>
      <c r="C176" s="426" t="str">
        <f t="shared" si="18"/>
        <v>E</v>
      </c>
      <c r="D176" s="426" t="s">
        <v>2656</v>
      </c>
      <c r="E176" s="426" t="str">
        <f t="shared" si="20"/>
        <v>344</v>
      </c>
      <c r="F176" s="741" t="s">
        <v>1749</v>
      </c>
      <c r="G176" s="425" t="str">
        <f t="shared" si="19"/>
        <v/>
      </c>
      <c r="H176" s="426">
        <v>0</v>
      </c>
      <c r="I176" s="426">
        <v>0</v>
      </c>
      <c r="J176" s="426">
        <v>0</v>
      </c>
      <c r="K176" s="426">
        <v>0</v>
      </c>
      <c r="L176" s="426">
        <v>0</v>
      </c>
      <c r="M176" s="426">
        <v>0</v>
      </c>
      <c r="N176" s="426">
        <v>0</v>
      </c>
      <c r="O176" s="426">
        <v>0</v>
      </c>
      <c r="P176" s="426">
        <v>0</v>
      </c>
      <c r="Q176" s="426">
        <v>0</v>
      </c>
      <c r="R176" s="426">
        <v>0</v>
      </c>
      <c r="S176" s="426">
        <v>0</v>
      </c>
      <c r="T176" s="426">
        <v>0</v>
      </c>
      <c r="U176" s="426">
        <f t="shared" si="16"/>
        <v>0</v>
      </c>
    </row>
    <row r="177" spans="1:21">
      <c r="A177" s="426" t="str">
        <f t="shared" si="17"/>
        <v>KU</v>
      </c>
      <c r="B177" s="426" t="str">
        <f t="shared" si="13"/>
        <v>KY</v>
      </c>
      <c r="C177" s="426" t="str">
        <f t="shared" si="18"/>
        <v>E</v>
      </c>
      <c r="D177" s="426" t="s">
        <v>2656</v>
      </c>
      <c r="E177" s="426" t="str">
        <f t="shared" si="20"/>
        <v>344</v>
      </c>
      <c r="F177" s="741" t="s">
        <v>2189</v>
      </c>
      <c r="G177" s="425" t="str">
        <f t="shared" si="19"/>
        <v/>
      </c>
      <c r="H177" s="426">
        <v>0</v>
      </c>
      <c r="I177" s="426">
        <v>0</v>
      </c>
      <c r="J177" s="426">
        <v>0</v>
      </c>
      <c r="K177" s="426">
        <v>0</v>
      </c>
      <c r="L177" s="426">
        <v>0</v>
      </c>
      <c r="M177" s="426">
        <v>0</v>
      </c>
      <c r="N177" s="426">
        <v>0</v>
      </c>
      <c r="O177" s="426">
        <v>0</v>
      </c>
      <c r="P177" s="426">
        <v>0</v>
      </c>
      <c r="Q177" s="426">
        <v>0</v>
      </c>
      <c r="R177" s="426">
        <v>0</v>
      </c>
      <c r="S177" s="426">
        <v>0</v>
      </c>
      <c r="T177" s="426">
        <v>0</v>
      </c>
      <c r="U177" s="426">
        <f t="shared" si="16"/>
        <v>0</v>
      </c>
    </row>
    <row r="178" spans="1:21">
      <c r="A178" s="426" t="str">
        <f t="shared" si="17"/>
        <v>KU</v>
      </c>
      <c r="B178" s="426" t="str">
        <f t="shared" si="13"/>
        <v>KY</v>
      </c>
      <c r="C178" s="426" t="str">
        <f t="shared" si="18"/>
        <v>E</v>
      </c>
      <c r="D178" s="426" t="s">
        <v>2656</v>
      </c>
      <c r="E178" s="426" t="str">
        <f t="shared" si="20"/>
        <v>344</v>
      </c>
      <c r="F178" s="741" t="s">
        <v>2190</v>
      </c>
      <c r="G178" s="425" t="str">
        <f t="shared" si="19"/>
        <v/>
      </c>
      <c r="H178" s="426">
        <v>0</v>
      </c>
      <c r="I178" s="426">
        <v>0</v>
      </c>
      <c r="J178" s="426">
        <v>0</v>
      </c>
      <c r="K178" s="426">
        <v>0</v>
      </c>
      <c r="L178" s="426">
        <v>0</v>
      </c>
      <c r="M178" s="426">
        <v>0</v>
      </c>
      <c r="N178" s="426">
        <v>1013.19957</v>
      </c>
      <c r="O178" s="426">
        <v>0</v>
      </c>
      <c r="P178" s="426">
        <v>0</v>
      </c>
      <c r="Q178" s="426">
        <v>0</v>
      </c>
      <c r="R178" s="426">
        <v>0</v>
      </c>
      <c r="S178" s="426">
        <v>0</v>
      </c>
      <c r="T178" s="426">
        <v>0</v>
      </c>
      <c r="U178" s="426">
        <f t="shared" si="16"/>
        <v>1013.19957</v>
      </c>
    </row>
    <row r="179" spans="1:21">
      <c r="A179" s="426" t="str">
        <f t="shared" si="17"/>
        <v>KU</v>
      </c>
      <c r="B179" s="426" t="str">
        <f t="shared" si="13"/>
        <v>KY</v>
      </c>
      <c r="C179" s="426" t="str">
        <f t="shared" si="18"/>
        <v>E</v>
      </c>
      <c r="D179" s="426" t="s">
        <v>2656</v>
      </c>
      <c r="E179" s="426" t="str">
        <f t="shared" si="20"/>
        <v>344</v>
      </c>
      <c r="F179" s="741" t="s">
        <v>2718</v>
      </c>
      <c r="G179" s="425" t="str">
        <f t="shared" si="19"/>
        <v/>
      </c>
      <c r="H179" s="426">
        <v>0</v>
      </c>
      <c r="I179" s="426">
        <v>0</v>
      </c>
      <c r="J179" s="426">
        <v>0</v>
      </c>
      <c r="K179" s="426">
        <v>0</v>
      </c>
      <c r="L179" s="426">
        <v>0</v>
      </c>
      <c r="M179" s="426">
        <v>0</v>
      </c>
      <c r="N179" s="426">
        <v>0</v>
      </c>
      <c r="O179" s="426">
        <v>0</v>
      </c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f t="shared" si="16"/>
        <v>0</v>
      </c>
    </row>
    <row r="180" spans="1:21">
      <c r="A180" s="426" t="str">
        <f t="shared" si="17"/>
        <v>KU</v>
      </c>
      <c r="B180" s="426" t="str">
        <f t="shared" si="13"/>
        <v>KY</v>
      </c>
      <c r="C180" s="426" t="str">
        <f t="shared" si="18"/>
        <v>E</v>
      </c>
      <c r="D180" s="426" t="s">
        <v>2656</v>
      </c>
      <c r="E180" s="426" t="str">
        <f t="shared" si="20"/>
        <v>345</v>
      </c>
      <c r="F180" s="741" t="s">
        <v>1750</v>
      </c>
      <c r="G180" s="425" t="str">
        <f t="shared" si="19"/>
        <v/>
      </c>
      <c r="H180" s="426">
        <v>0</v>
      </c>
      <c r="I180" s="426">
        <v>0</v>
      </c>
      <c r="J180" s="426">
        <v>0</v>
      </c>
      <c r="K180" s="426">
        <v>0</v>
      </c>
      <c r="L180" s="426">
        <v>0</v>
      </c>
      <c r="M180" s="426">
        <v>0</v>
      </c>
      <c r="N180" s="426">
        <v>0</v>
      </c>
      <c r="O180" s="426">
        <v>0</v>
      </c>
      <c r="P180" s="426">
        <v>0</v>
      </c>
      <c r="Q180" s="426">
        <v>0</v>
      </c>
      <c r="R180" s="426">
        <v>0</v>
      </c>
      <c r="S180" s="426">
        <v>0</v>
      </c>
      <c r="T180" s="426">
        <v>0</v>
      </c>
      <c r="U180" s="426">
        <f t="shared" si="16"/>
        <v>0</v>
      </c>
    </row>
    <row r="181" spans="1:21">
      <c r="A181" s="426" t="str">
        <f t="shared" si="17"/>
        <v>KU</v>
      </c>
      <c r="B181" s="426" t="str">
        <f t="shared" si="13"/>
        <v>KY</v>
      </c>
      <c r="C181" s="426" t="str">
        <f t="shared" si="18"/>
        <v>E</v>
      </c>
      <c r="D181" s="426" t="s">
        <v>2656</v>
      </c>
      <c r="E181" s="426" t="str">
        <f t="shared" si="20"/>
        <v>345</v>
      </c>
      <c r="F181" s="741" t="s">
        <v>2191</v>
      </c>
      <c r="G181" s="425" t="str">
        <f t="shared" si="19"/>
        <v/>
      </c>
      <c r="H181" s="426">
        <v>0</v>
      </c>
      <c r="I181" s="426">
        <v>0</v>
      </c>
      <c r="J181" s="426">
        <v>0</v>
      </c>
      <c r="K181" s="426">
        <v>0</v>
      </c>
      <c r="L181" s="426">
        <v>0</v>
      </c>
      <c r="M181" s="426">
        <v>0</v>
      </c>
      <c r="N181" s="426">
        <v>0</v>
      </c>
      <c r="O181" s="426">
        <v>0</v>
      </c>
      <c r="P181" s="426">
        <v>0</v>
      </c>
      <c r="Q181" s="426">
        <v>0</v>
      </c>
      <c r="R181" s="426">
        <v>0</v>
      </c>
      <c r="S181" s="426">
        <v>0</v>
      </c>
      <c r="T181" s="426">
        <v>0</v>
      </c>
      <c r="U181" s="426">
        <f t="shared" si="16"/>
        <v>0</v>
      </c>
    </row>
    <row r="182" spans="1:21">
      <c r="A182" s="426" t="str">
        <f t="shared" si="17"/>
        <v>KU</v>
      </c>
      <c r="B182" s="426" t="str">
        <f t="shared" si="13"/>
        <v>KY</v>
      </c>
      <c r="C182" s="426" t="str">
        <f t="shared" si="18"/>
        <v>E</v>
      </c>
      <c r="D182" s="426" t="s">
        <v>2656</v>
      </c>
      <c r="E182" s="426" t="str">
        <f t="shared" si="20"/>
        <v>345</v>
      </c>
      <c r="F182" s="741" t="s">
        <v>2192</v>
      </c>
      <c r="G182" s="425" t="str">
        <f t="shared" si="19"/>
        <v/>
      </c>
      <c r="H182" s="426">
        <v>0</v>
      </c>
      <c r="I182" s="426">
        <v>0</v>
      </c>
      <c r="J182" s="426">
        <v>0</v>
      </c>
      <c r="K182" s="426">
        <v>0</v>
      </c>
      <c r="L182" s="426">
        <v>0</v>
      </c>
      <c r="M182" s="426">
        <v>0</v>
      </c>
      <c r="N182" s="426">
        <v>0</v>
      </c>
      <c r="O182" s="426">
        <v>0</v>
      </c>
      <c r="P182" s="426">
        <v>0</v>
      </c>
      <c r="Q182" s="426">
        <v>0</v>
      </c>
      <c r="R182" s="426">
        <v>0</v>
      </c>
      <c r="S182" s="426">
        <v>0</v>
      </c>
      <c r="T182" s="426">
        <v>0</v>
      </c>
      <c r="U182" s="426">
        <f t="shared" si="16"/>
        <v>0</v>
      </c>
    </row>
    <row r="183" spans="1:21">
      <c r="A183" s="426" t="str">
        <f t="shared" si="17"/>
        <v>KU</v>
      </c>
      <c r="B183" s="426" t="str">
        <f t="shared" si="13"/>
        <v>KY</v>
      </c>
      <c r="C183" s="426" t="str">
        <f t="shared" si="18"/>
        <v>E</v>
      </c>
      <c r="D183" s="426" t="s">
        <v>2656</v>
      </c>
      <c r="E183" s="426" t="str">
        <f t="shared" si="20"/>
        <v>346</v>
      </c>
      <c r="F183" s="741" t="s">
        <v>1751</v>
      </c>
      <c r="G183" s="425" t="str">
        <f t="shared" si="19"/>
        <v/>
      </c>
      <c r="H183" s="426">
        <v>317.73782</v>
      </c>
      <c r="I183" s="426">
        <v>0</v>
      </c>
      <c r="J183" s="426">
        <v>0</v>
      </c>
      <c r="K183" s="426">
        <v>306.7978</v>
      </c>
      <c r="L183" s="426">
        <v>0</v>
      </c>
      <c r="M183" s="426">
        <v>13189.082559999901</v>
      </c>
      <c r="N183" s="426">
        <v>2061.36</v>
      </c>
      <c r="O183" s="426">
        <v>0</v>
      </c>
      <c r="P183" s="426">
        <v>0</v>
      </c>
      <c r="Q183" s="426">
        <v>851.25599999999997</v>
      </c>
      <c r="R183" s="426">
        <v>0</v>
      </c>
      <c r="S183" s="426">
        <v>0</v>
      </c>
      <c r="T183" s="426">
        <v>22.337820000000001</v>
      </c>
      <c r="U183" s="426">
        <f t="shared" si="16"/>
        <v>16430.834179999903</v>
      </c>
    </row>
    <row r="184" spans="1:21">
      <c r="A184" s="426" t="str">
        <f t="shared" si="17"/>
        <v>KU</v>
      </c>
      <c r="B184" s="426" t="str">
        <f t="shared" si="13"/>
        <v>KY</v>
      </c>
      <c r="C184" s="426" t="str">
        <f t="shared" si="18"/>
        <v>E</v>
      </c>
      <c r="D184" s="426" t="s">
        <v>2656</v>
      </c>
      <c r="E184" s="426" t="str">
        <f t="shared" si="20"/>
        <v>346</v>
      </c>
      <c r="F184" s="741" t="s">
        <v>2193</v>
      </c>
      <c r="G184" s="425" t="str">
        <f t="shared" si="19"/>
        <v/>
      </c>
      <c r="H184" s="426">
        <v>0</v>
      </c>
      <c r="I184" s="426">
        <v>0</v>
      </c>
      <c r="J184" s="426">
        <v>0</v>
      </c>
      <c r="K184" s="426">
        <v>0</v>
      </c>
      <c r="L184" s="426">
        <v>0</v>
      </c>
      <c r="M184" s="426">
        <v>0</v>
      </c>
      <c r="N184" s="426">
        <v>0</v>
      </c>
      <c r="O184" s="426">
        <v>0</v>
      </c>
      <c r="P184" s="426">
        <v>0</v>
      </c>
      <c r="Q184" s="426">
        <v>421.64031</v>
      </c>
      <c r="R184" s="426">
        <v>0</v>
      </c>
      <c r="S184" s="426">
        <v>0</v>
      </c>
      <c r="T184" s="426">
        <v>0</v>
      </c>
      <c r="U184" s="426">
        <f t="shared" si="16"/>
        <v>421.64031</v>
      </c>
    </row>
    <row r="185" spans="1:21">
      <c r="A185" s="426" t="str">
        <f t="shared" si="17"/>
        <v>KU</v>
      </c>
      <c r="B185" s="426" t="str">
        <f t="shared" si="13"/>
        <v>KY</v>
      </c>
      <c r="C185" s="426" t="str">
        <f t="shared" si="18"/>
        <v>E</v>
      </c>
      <c r="D185" s="426" t="s">
        <v>2656</v>
      </c>
      <c r="E185" s="426" t="str">
        <f t="shared" si="20"/>
        <v>346</v>
      </c>
      <c r="F185" s="741" t="s">
        <v>2194</v>
      </c>
      <c r="G185" s="425" t="str">
        <f t="shared" si="19"/>
        <v/>
      </c>
      <c r="H185" s="426">
        <v>0</v>
      </c>
      <c r="I185" s="426">
        <v>0</v>
      </c>
      <c r="J185" s="426">
        <v>0</v>
      </c>
      <c r="K185" s="426">
        <v>0</v>
      </c>
      <c r="L185" s="426">
        <v>0</v>
      </c>
      <c r="M185" s="426">
        <v>0</v>
      </c>
      <c r="N185" s="426">
        <v>0</v>
      </c>
      <c r="O185" s="426">
        <v>0</v>
      </c>
      <c r="P185" s="426">
        <v>0</v>
      </c>
      <c r="Q185" s="426">
        <v>0</v>
      </c>
      <c r="R185" s="426">
        <v>0</v>
      </c>
      <c r="S185" s="426">
        <v>0</v>
      </c>
      <c r="T185" s="426">
        <v>0</v>
      </c>
      <c r="U185" s="426">
        <f t="shared" si="16"/>
        <v>0</v>
      </c>
    </row>
    <row r="186" spans="1:21">
      <c r="A186" s="426" t="str">
        <f t="shared" si="17"/>
        <v>KU</v>
      </c>
      <c r="B186" s="426" t="str">
        <f t="shared" si="13"/>
        <v>KY</v>
      </c>
      <c r="C186" s="426" t="str">
        <f t="shared" si="18"/>
        <v>E</v>
      </c>
      <c r="D186" s="426" t="s">
        <v>2656</v>
      </c>
      <c r="E186" s="426" t="str">
        <f t="shared" si="20"/>
        <v>350</v>
      </c>
      <c r="F186" s="741" t="s">
        <v>1752</v>
      </c>
      <c r="G186" s="425" t="str">
        <f t="shared" si="19"/>
        <v/>
      </c>
      <c r="H186" s="426">
        <v>0</v>
      </c>
      <c r="I186" s="426">
        <v>0</v>
      </c>
      <c r="J186" s="426">
        <v>0</v>
      </c>
      <c r="K186" s="426">
        <v>0</v>
      </c>
      <c r="L186" s="426">
        <v>0</v>
      </c>
      <c r="M186" s="426">
        <v>3011.4191799999999</v>
      </c>
      <c r="N186" s="426">
        <v>0</v>
      </c>
      <c r="O186" s="426">
        <v>0</v>
      </c>
      <c r="P186" s="426">
        <v>0</v>
      </c>
      <c r="Q186" s="426">
        <v>0</v>
      </c>
      <c r="R186" s="426">
        <v>1572.7249199999901</v>
      </c>
      <c r="S186" s="426">
        <v>0</v>
      </c>
      <c r="T186" s="426">
        <v>1908.7906</v>
      </c>
      <c r="U186" s="426">
        <f t="shared" si="16"/>
        <v>6492.9346999999907</v>
      </c>
    </row>
    <row r="187" spans="1:21">
      <c r="A187" s="426" t="str">
        <f t="shared" si="17"/>
        <v>KU</v>
      </c>
      <c r="B187" s="426" t="str">
        <f t="shared" si="13"/>
        <v>VA</v>
      </c>
      <c r="C187" s="426" t="str">
        <f t="shared" si="18"/>
        <v>E</v>
      </c>
      <c r="D187" s="426" t="s">
        <v>2656</v>
      </c>
      <c r="E187" s="426" t="str">
        <f t="shared" si="20"/>
        <v>350</v>
      </c>
      <c r="F187" s="741" t="s">
        <v>1754</v>
      </c>
      <c r="G187" s="425" t="str">
        <f t="shared" si="19"/>
        <v/>
      </c>
      <c r="H187" s="426">
        <v>0</v>
      </c>
      <c r="I187" s="426">
        <v>0</v>
      </c>
      <c r="J187" s="426">
        <v>0</v>
      </c>
      <c r="K187" s="426">
        <v>0</v>
      </c>
      <c r="L187" s="426">
        <v>0</v>
      </c>
      <c r="M187" s="426">
        <v>0</v>
      </c>
      <c r="N187" s="426">
        <v>0</v>
      </c>
      <c r="O187" s="426">
        <v>0</v>
      </c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f t="shared" si="16"/>
        <v>0</v>
      </c>
    </row>
    <row r="188" spans="1:21">
      <c r="A188" s="426" t="str">
        <f t="shared" si="17"/>
        <v>KU</v>
      </c>
      <c r="B188" s="426" t="str">
        <f t="shared" si="13"/>
        <v>KY</v>
      </c>
      <c r="C188" s="426" t="str">
        <f t="shared" si="18"/>
        <v>E</v>
      </c>
      <c r="D188" s="426" t="s">
        <v>2656</v>
      </c>
      <c r="E188" s="426" t="str">
        <f t="shared" si="20"/>
        <v>352</v>
      </c>
      <c r="F188" s="741" t="s">
        <v>1755</v>
      </c>
      <c r="G188" s="425" t="str">
        <f t="shared" si="19"/>
        <v/>
      </c>
      <c r="H188" s="426">
        <v>0</v>
      </c>
      <c r="I188" s="426">
        <v>0</v>
      </c>
      <c r="J188" s="426">
        <v>0</v>
      </c>
      <c r="K188" s="426">
        <v>0</v>
      </c>
      <c r="L188" s="426">
        <v>100.01524000000001</v>
      </c>
      <c r="M188" s="426">
        <v>0</v>
      </c>
      <c r="N188" s="426">
        <v>0</v>
      </c>
      <c r="O188" s="426">
        <v>0</v>
      </c>
      <c r="P188" s="426">
        <v>0</v>
      </c>
      <c r="Q188" s="426">
        <v>0</v>
      </c>
      <c r="R188" s="426">
        <v>0</v>
      </c>
      <c r="S188" s="426">
        <v>0</v>
      </c>
      <c r="T188" s="426">
        <v>0</v>
      </c>
      <c r="U188" s="426">
        <f t="shared" si="16"/>
        <v>100.01524000000001</v>
      </c>
    </row>
    <row r="189" spans="1:21">
      <c r="A189" s="426" t="str">
        <f t="shared" si="17"/>
        <v>KU</v>
      </c>
      <c r="B189" s="426" t="str">
        <f t="shared" si="13"/>
        <v>KY</v>
      </c>
      <c r="C189" s="426" t="str">
        <f t="shared" si="18"/>
        <v>E</v>
      </c>
      <c r="D189" s="426" t="s">
        <v>2656</v>
      </c>
      <c r="E189" s="426" t="str">
        <f t="shared" si="20"/>
        <v>352</v>
      </c>
      <c r="F189" s="741" t="s">
        <v>1756</v>
      </c>
      <c r="G189" s="425" t="str">
        <f t="shared" si="19"/>
        <v/>
      </c>
      <c r="H189" s="426">
        <v>0</v>
      </c>
      <c r="I189" s="426">
        <v>0</v>
      </c>
      <c r="J189" s="426">
        <v>0</v>
      </c>
      <c r="K189" s="426">
        <v>0</v>
      </c>
      <c r="L189" s="426">
        <v>0</v>
      </c>
      <c r="M189" s="426">
        <v>0</v>
      </c>
      <c r="N189" s="426">
        <v>0</v>
      </c>
      <c r="O189" s="426">
        <v>0</v>
      </c>
      <c r="P189" s="426">
        <v>0</v>
      </c>
      <c r="Q189" s="426">
        <v>0</v>
      </c>
      <c r="R189" s="426">
        <v>0</v>
      </c>
      <c r="S189" s="426">
        <v>0</v>
      </c>
      <c r="T189" s="426">
        <v>0</v>
      </c>
      <c r="U189" s="426">
        <f t="shared" si="16"/>
        <v>0</v>
      </c>
    </row>
    <row r="190" spans="1:21">
      <c r="A190" s="426" t="str">
        <f t="shared" si="17"/>
        <v>KU</v>
      </c>
      <c r="B190" s="426" t="str">
        <f t="shared" si="13"/>
        <v>VA</v>
      </c>
      <c r="C190" s="426" t="str">
        <f t="shared" si="18"/>
        <v>E</v>
      </c>
      <c r="D190" s="426" t="s">
        <v>2656</v>
      </c>
      <c r="E190" s="426" t="str">
        <f t="shared" si="20"/>
        <v>352</v>
      </c>
      <c r="F190" s="741" t="s">
        <v>1757</v>
      </c>
      <c r="G190" s="425" t="str">
        <f t="shared" si="19"/>
        <v/>
      </c>
      <c r="H190" s="426">
        <v>0</v>
      </c>
      <c r="I190" s="426">
        <v>0</v>
      </c>
      <c r="J190" s="426">
        <v>0</v>
      </c>
      <c r="K190" s="426">
        <v>0</v>
      </c>
      <c r="L190" s="426">
        <v>0</v>
      </c>
      <c r="M190" s="426">
        <v>0</v>
      </c>
      <c r="N190" s="426">
        <v>0</v>
      </c>
      <c r="O190" s="426">
        <v>0</v>
      </c>
      <c r="P190" s="426">
        <v>0</v>
      </c>
      <c r="Q190" s="426">
        <v>0</v>
      </c>
      <c r="R190" s="426">
        <v>0</v>
      </c>
      <c r="S190" s="426">
        <v>0</v>
      </c>
      <c r="T190" s="426">
        <v>0</v>
      </c>
      <c r="U190" s="426">
        <f t="shared" si="16"/>
        <v>0</v>
      </c>
    </row>
    <row r="191" spans="1:21">
      <c r="A191" s="426" t="str">
        <f t="shared" si="17"/>
        <v>KU</v>
      </c>
      <c r="B191" s="426" t="str">
        <f t="shared" si="13"/>
        <v>KY</v>
      </c>
      <c r="C191" s="426" t="str">
        <f t="shared" si="18"/>
        <v>E</v>
      </c>
      <c r="D191" s="426" t="s">
        <v>2656</v>
      </c>
      <c r="E191" s="426" t="str">
        <f t="shared" si="20"/>
        <v>353</v>
      </c>
      <c r="F191" s="741" t="s">
        <v>1758</v>
      </c>
      <c r="G191" s="425" t="str">
        <f t="shared" si="19"/>
        <v/>
      </c>
      <c r="H191" s="426">
        <v>102.68476999999901</v>
      </c>
      <c r="I191" s="426">
        <v>1219.7341100000001</v>
      </c>
      <c r="J191" s="426">
        <v>6269.5260600000001</v>
      </c>
      <c r="K191" s="426">
        <v>1012.83784999999</v>
      </c>
      <c r="L191" s="426">
        <v>604.25952999999902</v>
      </c>
      <c r="M191" s="426">
        <v>102.64078000000001</v>
      </c>
      <c r="N191" s="426">
        <v>27221.70494</v>
      </c>
      <c r="O191" s="426">
        <v>419.18903999999998</v>
      </c>
      <c r="P191" s="426">
        <v>149.44494</v>
      </c>
      <c r="Q191" s="426">
        <v>3943.2883299999999</v>
      </c>
      <c r="R191" s="426">
        <v>1082.42797</v>
      </c>
      <c r="S191" s="426">
        <v>129.42694</v>
      </c>
      <c r="T191" s="426">
        <v>229.57064</v>
      </c>
      <c r="U191" s="426">
        <f t="shared" si="16"/>
        <v>42384.051129999985</v>
      </c>
    </row>
    <row r="192" spans="1:21">
      <c r="A192" s="426" t="str">
        <f t="shared" si="17"/>
        <v>KU</v>
      </c>
      <c r="B192" s="426" t="str">
        <f t="shared" si="13"/>
        <v>KY</v>
      </c>
      <c r="C192" s="426" t="str">
        <f t="shared" si="18"/>
        <v>E</v>
      </c>
      <c r="D192" s="426" t="s">
        <v>2656</v>
      </c>
      <c r="E192" s="426" t="str">
        <f t="shared" si="20"/>
        <v>353</v>
      </c>
      <c r="F192" s="741" t="s">
        <v>1759</v>
      </c>
      <c r="G192" s="425" t="str">
        <f t="shared" si="19"/>
        <v/>
      </c>
      <c r="H192" s="426">
        <v>0</v>
      </c>
      <c r="I192" s="426">
        <v>0</v>
      </c>
      <c r="J192" s="426">
        <v>0</v>
      </c>
      <c r="K192" s="426">
        <v>0</v>
      </c>
      <c r="L192" s="426">
        <v>0</v>
      </c>
      <c r="M192" s="426">
        <v>0</v>
      </c>
      <c r="N192" s="426">
        <v>0</v>
      </c>
      <c r="O192" s="426">
        <v>0</v>
      </c>
      <c r="P192" s="426">
        <v>0</v>
      </c>
      <c r="Q192" s="426">
        <v>0</v>
      </c>
      <c r="R192" s="426">
        <v>0</v>
      </c>
      <c r="S192" s="426">
        <v>0</v>
      </c>
      <c r="T192" s="426">
        <v>0</v>
      </c>
      <c r="U192" s="426">
        <f t="shared" si="16"/>
        <v>0</v>
      </c>
    </row>
    <row r="193" spans="1:21">
      <c r="A193" s="426" t="str">
        <f t="shared" si="17"/>
        <v>KU</v>
      </c>
      <c r="B193" s="426" t="str">
        <f t="shared" si="13"/>
        <v>VA</v>
      </c>
      <c r="C193" s="426" t="str">
        <f t="shared" si="18"/>
        <v>E</v>
      </c>
      <c r="D193" s="426" t="s">
        <v>2656</v>
      </c>
      <c r="E193" s="426" t="str">
        <f t="shared" si="20"/>
        <v>353</v>
      </c>
      <c r="F193" s="741" t="s">
        <v>1760</v>
      </c>
      <c r="G193" s="425" t="str">
        <f t="shared" si="19"/>
        <v/>
      </c>
      <c r="H193" s="426">
        <v>0</v>
      </c>
      <c r="I193" s="426">
        <v>0</v>
      </c>
      <c r="J193" s="426">
        <v>0</v>
      </c>
      <c r="K193" s="426">
        <v>0</v>
      </c>
      <c r="L193" s="426">
        <v>0</v>
      </c>
      <c r="M193" s="426">
        <v>0</v>
      </c>
      <c r="N193" s="426">
        <v>0</v>
      </c>
      <c r="O193" s="426">
        <v>0</v>
      </c>
      <c r="P193" s="426">
        <v>0</v>
      </c>
      <c r="Q193" s="426">
        <v>0</v>
      </c>
      <c r="R193" s="426">
        <v>0</v>
      </c>
      <c r="S193" s="426">
        <v>3107.5150400000002</v>
      </c>
      <c r="T193" s="426">
        <v>0</v>
      </c>
      <c r="U193" s="426">
        <f t="shared" si="16"/>
        <v>3107.5150400000002</v>
      </c>
    </row>
    <row r="194" spans="1:21">
      <c r="A194" s="426" t="str">
        <f t="shared" si="17"/>
        <v>KU</v>
      </c>
      <c r="B194" s="426" t="str">
        <f t="shared" si="13"/>
        <v>KY</v>
      </c>
      <c r="C194" s="426" t="str">
        <f t="shared" si="18"/>
        <v>E</v>
      </c>
      <c r="D194" s="426" t="s">
        <v>2656</v>
      </c>
      <c r="E194" s="426" t="str">
        <f t="shared" si="20"/>
        <v>355</v>
      </c>
      <c r="F194" s="741" t="s">
        <v>1763</v>
      </c>
      <c r="G194" s="425" t="str">
        <f t="shared" si="19"/>
        <v/>
      </c>
      <c r="H194" s="426">
        <v>19466.45707</v>
      </c>
      <c r="I194" s="426">
        <v>852.73982999999998</v>
      </c>
      <c r="J194" s="426">
        <v>153.43728999999999</v>
      </c>
      <c r="K194" s="426">
        <v>4364.1282899999997</v>
      </c>
      <c r="L194" s="426">
        <v>2830.7609600000001</v>
      </c>
      <c r="M194" s="426">
        <v>242.33732000000001</v>
      </c>
      <c r="N194" s="426">
        <v>20813.006560000002</v>
      </c>
      <c r="O194" s="426">
        <v>1014.69948</v>
      </c>
      <c r="P194" s="426">
        <v>1014.69947</v>
      </c>
      <c r="Q194" s="426">
        <v>1771.9231299999999</v>
      </c>
      <c r="R194" s="426">
        <v>5246.9353699999901</v>
      </c>
      <c r="S194" s="426">
        <v>6223.3571400000001</v>
      </c>
      <c r="T194" s="426">
        <v>11380.4179699999</v>
      </c>
      <c r="U194" s="426">
        <f t="shared" si="16"/>
        <v>55908.442809999891</v>
      </c>
    </row>
    <row r="195" spans="1:21">
      <c r="A195" s="426" t="str">
        <f t="shared" si="17"/>
        <v>KU</v>
      </c>
      <c r="B195" s="426" t="str">
        <f t="shared" si="13"/>
        <v>VA</v>
      </c>
      <c r="C195" s="426" t="str">
        <f t="shared" si="18"/>
        <v>E</v>
      </c>
      <c r="D195" s="426" t="s">
        <v>2656</v>
      </c>
      <c r="E195" s="426" t="str">
        <f t="shared" si="20"/>
        <v>355</v>
      </c>
      <c r="F195" s="741" t="s">
        <v>1765</v>
      </c>
      <c r="G195" s="425" t="str">
        <f t="shared" si="19"/>
        <v/>
      </c>
      <c r="H195" s="426">
        <v>3100.4618399999999</v>
      </c>
      <c r="I195" s="426">
        <v>0</v>
      </c>
      <c r="J195" s="426">
        <v>0</v>
      </c>
      <c r="K195" s="426">
        <v>0</v>
      </c>
      <c r="L195" s="426">
        <v>8231.0682699999998</v>
      </c>
      <c r="M195" s="426">
        <v>0</v>
      </c>
      <c r="N195" s="426">
        <v>6618.6248999999998</v>
      </c>
      <c r="O195" s="426">
        <v>0</v>
      </c>
      <c r="P195" s="426">
        <v>0</v>
      </c>
      <c r="Q195" s="426">
        <v>0</v>
      </c>
      <c r="R195" s="426">
        <v>486.79007000000001</v>
      </c>
      <c r="S195" s="426">
        <v>0</v>
      </c>
      <c r="T195" s="426">
        <v>14470.119269999999</v>
      </c>
      <c r="U195" s="426">
        <f t="shared" si="16"/>
        <v>29806.602509999997</v>
      </c>
    </row>
    <row r="196" spans="1:21">
      <c r="A196" s="426" t="str">
        <f t="shared" si="17"/>
        <v>KU</v>
      </c>
      <c r="B196" s="426" t="str">
        <f t="shared" si="13"/>
        <v>KY</v>
      </c>
      <c r="C196" s="426" t="str">
        <f t="shared" si="18"/>
        <v>E</v>
      </c>
      <c r="D196" s="426" t="s">
        <v>2656</v>
      </c>
      <c r="E196" s="426" t="str">
        <f t="shared" si="20"/>
        <v>356</v>
      </c>
      <c r="F196" s="741" t="s">
        <v>1766</v>
      </c>
      <c r="G196" s="425" t="str">
        <f t="shared" si="19"/>
        <v/>
      </c>
      <c r="H196" s="426">
        <v>17070.765029999999</v>
      </c>
      <c r="I196" s="426">
        <v>59.126620000000003</v>
      </c>
      <c r="J196" s="426">
        <v>59.126620000000003</v>
      </c>
      <c r="K196" s="426">
        <v>59.126620000000003</v>
      </c>
      <c r="L196" s="426">
        <v>59.126620000000003</v>
      </c>
      <c r="M196" s="426">
        <v>59.126620000000003</v>
      </c>
      <c r="N196" s="426">
        <v>3015.1067499999999</v>
      </c>
      <c r="O196" s="426">
        <v>60.605119999999999</v>
      </c>
      <c r="P196" s="426">
        <v>60.605069999999998</v>
      </c>
      <c r="Q196" s="426">
        <v>60.605069999999998</v>
      </c>
      <c r="R196" s="426">
        <v>3041.3784099999998</v>
      </c>
      <c r="S196" s="426">
        <v>703.40790999999899</v>
      </c>
      <c r="T196" s="426">
        <v>3770.12255</v>
      </c>
      <c r="U196" s="426">
        <f t="shared" si="16"/>
        <v>11007.46398</v>
      </c>
    </row>
    <row r="197" spans="1:21">
      <c r="A197" s="426" t="str">
        <f t="shared" si="17"/>
        <v>KU</v>
      </c>
      <c r="B197" s="426" t="str">
        <f t="shared" si="13"/>
        <v>VA</v>
      </c>
      <c r="C197" s="426" t="str">
        <f t="shared" si="18"/>
        <v>E</v>
      </c>
      <c r="D197" s="426" t="s">
        <v>2656</v>
      </c>
      <c r="E197" s="426" t="str">
        <f t="shared" si="20"/>
        <v>356</v>
      </c>
      <c r="F197" s="741" t="s">
        <v>1768</v>
      </c>
      <c r="G197" s="425" t="str">
        <f t="shared" si="19"/>
        <v/>
      </c>
      <c r="H197" s="426">
        <v>0</v>
      </c>
      <c r="I197" s="426">
        <v>0</v>
      </c>
      <c r="J197" s="426">
        <v>0</v>
      </c>
      <c r="K197" s="426">
        <v>0</v>
      </c>
      <c r="L197" s="426">
        <v>0</v>
      </c>
      <c r="M197" s="426">
        <v>0</v>
      </c>
      <c r="N197" s="426">
        <v>0</v>
      </c>
      <c r="O197" s="426">
        <v>0</v>
      </c>
      <c r="P197" s="426">
        <v>0</v>
      </c>
      <c r="Q197" s="426">
        <v>0</v>
      </c>
      <c r="R197" s="426">
        <v>0</v>
      </c>
      <c r="S197" s="426">
        <v>0</v>
      </c>
      <c r="T197" s="426">
        <v>0</v>
      </c>
      <c r="U197" s="426">
        <f t="shared" si="16"/>
        <v>0</v>
      </c>
    </row>
    <row r="198" spans="1:21">
      <c r="A198" s="426" t="str">
        <f t="shared" si="17"/>
        <v>KU</v>
      </c>
      <c r="B198" s="426" t="str">
        <f t="shared" si="13"/>
        <v>KY</v>
      </c>
      <c r="C198" s="426" t="str">
        <f t="shared" si="18"/>
        <v>E</v>
      </c>
      <c r="D198" s="426" t="s">
        <v>2656</v>
      </c>
      <c r="E198" s="426" t="str">
        <f t="shared" si="20"/>
        <v>357</v>
      </c>
      <c r="F198" s="741" t="s">
        <v>1769</v>
      </c>
      <c r="G198" s="425" t="str">
        <f t="shared" si="19"/>
        <v/>
      </c>
      <c r="H198" s="426">
        <v>0</v>
      </c>
      <c r="I198" s="426">
        <v>0</v>
      </c>
      <c r="J198" s="426">
        <v>0</v>
      </c>
      <c r="K198" s="426">
        <v>0</v>
      </c>
      <c r="L198" s="426">
        <v>0</v>
      </c>
      <c r="M198" s="426">
        <v>0</v>
      </c>
      <c r="N198" s="426">
        <v>0</v>
      </c>
      <c r="O198" s="426">
        <v>0</v>
      </c>
      <c r="P198" s="426">
        <v>0</v>
      </c>
      <c r="Q198" s="426">
        <v>0</v>
      </c>
      <c r="R198" s="426">
        <v>0</v>
      </c>
      <c r="S198" s="426">
        <v>0</v>
      </c>
      <c r="T198" s="426">
        <v>0</v>
      </c>
      <c r="U198" s="426">
        <f t="shared" si="16"/>
        <v>0</v>
      </c>
    </row>
    <row r="199" spans="1:21">
      <c r="A199" s="426" t="str">
        <f t="shared" si="17"/>
        <v>KU</v>
      </c>
      <c r="B199" s="426" t="str">
        <f t="shared" ref="B199:B262" si="21">IF(MID($F199,12,2)="- ","KY",IF(MID($F199,12,2)="SY","KY",MID($F199,12,2)))</f>
        <v>KY</v>
      </c>
      <c r="C199" s="426" t="str">
        <f t="shared" si="18"/>
        <v>E</v>
      </c>
      <c r="D199" s="426" t="s">
        <v>2656</v>
      </c>
      <c r="E199" s="426" t="str">
        <f t="shared" si="20"/>
        <v>358</v>
      </c>
      <c r="F199" s="741" t="s">
        <v>1770</v>
      </c>
      <c r="G199" s="425" t="str">
        <f t="shared" si="19"/>
        <v/>
      </c>
      <c r="H199" s="426">
        <v>0</v>
      </c>
      <c r="I199" s="426">
        <v>0</v>
      </c>
      <c r="J199" s="426">
        <v>0</v>
      </c>
      <c r="K199" s="426">
        <v>0</v>
      </c>
      <c r="L199" s="426">
        <v>0</v>
      </c>
      <c r="M199" s="426">
        <v>0</v>
      </c>
      <c r="N199" s="426">
        <v>0</v>
      </c>
      <c r="O199" s="426">
        <v>0</v>
      </c>
      <c r="P199" s="426">
        <v>0</v>
      </c>
      <c r="Q199" s="426">
        <v>0</v>
      </c>
      <c r="R199" s="426">
        <v>0</v>
      </c>
      <c r="S199" s="426">
        <v>0</v>
      </c>
      <c r="T199" s="426">
        <v>0</v>
      </c>
      <c r="U199" s="426">
        <f t="shared" si="16"/>
        <v>0</v>
      </c>
    </row>
    <row r="200" spans="1:21">
      <c r="A200" s="426" t="str">
        <f t="shared" si="17"/>
        <v>KU</v>
      </c>
      <c r="B200" s="426" t="str">
        <f t="shared" si="21"/>
        <v>KY</v>
      </c>
      <c r="C200" s="426" t="str">
        <f t="shared" si="18"/>
        <v>E</v>
      </c>
      <c r="D200" s="426" t="s">
        <v>2656</v>
      </c>
      <c r="E200" s="426" t="str">
        <f t="shared" si="20"/>
        <v>360</v>
      </c>
      <c r="F200" s="741" t="s">
        <v>1773</v>
      </c>
      <c r="G200" s="425" t="str">
        <f t="shared" si="19"/>
        <v/>
      </c>
      <c r="H200" s="426">
        <v>0</v>
      </c>
      <c r="I200" s="426">
        <v>0</v>
      </c>
      <c r="J200" s="426">
        <v>0</v>
      </c>
      <c r="K200" s="426">
        <v>0</v>
      </c>
      <c r="L200" s="426">
        <v>0</v>
      </c>
      <c r="M200" s="426">
        <v>0</v>
      </c>
      <c r="N200" s="426">
        <v>500</v>
      </c>
      <c r="O200" s="426">
        <v>0</v>
      </c>
      <c r="P200" s="426">
        <v>0</v>
      </c>
      <c r="Q200" s="426">
        <v>0</v>
      </c>
      <c r="R200" s="426">
        <v>0</v>
      </c>
      <c r="S200" s="426">
        <v>0</v>
      </c>
      <c r="T200" s="426">
        <v>0</v>
      </c>
      <c r="U200" s="426">
        <f t="shared" si="16"/>
        <v>500</v>
      </c>
    </row>
    <row r="201" spans="1:21">
      <c r="A201" s="426" t="str">
        <f t="shared" si="17"/>
        <v>KU</v>
      </c>
      <c r="B201" s="426" t="str">
        <f t="shared" si="21"/>
        <v>KY</v>
      </c>
      <c r="C201" s="426" t="str">
        <f t="shared" si="18"/>
        <v>E</v>
      </c>
      <c r="D201" s="426" t="s">
        <v>2656</v>
      </c>
      <c r="E201" s="426" t="str">
        <f t="shared" si="20"/>
        <v>361</v>
      </c>
      <c r="F201" s="741" t="s">
        <v>1776</v>
      </c>
      <c r="G201" s="425" t="str">
        <f t="shared" si="19"/>
        <v/>
      </c>
      <c r="H201" s="426">
        <v>1105.2623599999999</v>
      </c>
      <c r="I201" s="426">
        <v>422.26254999999998</v>
      </c>
      <c r="J201" s="426">
        <v>-33.339260000000003</v>
      </c>
      <c r="K201" s="426">
        <v>-33.339260000000003</v>
      </c>
      <c r="L201" s="426">
        <v>-33.339260000000003</v>
      </c>
      <c r="M201" s="426">
        <v>-33.339260000000003</v>
      </c>
      <c r="N201" s="426">
        <v>68.660740000000004</v>
      </c>
      <c r="O201" s="426">
        <v>0</v>
      </c>
      <c r="P201" s="426">
        <v>0</v>
      </c>
      <c r="Q201" s="426">
        <v>0</v>
      </c>
      <c r="R201" s="426">
        <v>0</v>
      </c>
      <c r="S201" s="426">
        <v>700</v>
      </c>
      <c r="T201" s="426">
        <v>0</v>
      </c>
      <c r="U201" s="426">
        <f t="shared" si="16"/>
        <v>1057.5662499999999</v>
      </c>
    </row>
    <row r="202" spans="1:21">
      <c r="A202" s="426" t="str">
        <f t="shared" ref="A202:A265" si="22">MID($F202,4,2)</f>
        <v>KU</v>
      </c>
      <c r="B202" s="426" t="str">
        <f t="shared" si="21"/>
        <v>VA</v>
      </c>
      <c r="C202" s="426" t="str">
        <f t="shared" si="18"/>
        <v>E</v>
      </c>
      <c r="D202" s="426" t="s">
        <v>2656</v>
      </c>
      <c r="E202" s="426" t="str">
        <f t="shared" si="20"/>
        <v>361</v>
      </c>
      <c r="F202" s="741" t="s">
        <v>1778</v>
      </c>
      <c r="G202" s="425" t="str">
        <f t="shared" si="19"/>
        <v/>
      </c>
      <c r="H202" s="426">
        <v>0</v>
      </c>
      <c r="I202" s="426">
        <v>0</v>
      </c>
      <c r="J202" s="426">
        <v>0</v>
      </c>
      <c r="K202" s="426">
        <v>0</v>
      </c>
      <c r="L202" s="426">
        <v>0</v>
      </c>
      <c r="M202" s="426">
        <v>0</v>
      </c>
      <c r="N202" s="426">
        <v>0</v>
      </c>
      <c r="O202" s="426">
        <v>0</v>
      </c>
      <c r="P202" s="426">
        <v>0</v>
      </c>
      <c r="Q202" s="426">
        <v>0</v>
      </c>
      <c r="R202" s="426">
        <v>0</v>
      </c>
      <c r="S202" s="426">
        <v>0</v>
      </c>
      <c r="T202" s="426">
        <v>0</v>
      </c>
      <c r="U202" s="426">
        <f t="shared" si="16"/>
        <v>0</v>
      </c>
    </row>
    <row r="203" spans="1:21">
      <c r="A203" s="426" t="str">
        <f t="shared" si="22"/>
        <v>KU</v>
      </c>
      <c r="B203" s="426" t="str">
        <f t="shared" si="21"/>
        <v>KY</v>
      </c>
      <c r="C203" s="426" t="str">
        <f t="shared" ref="C203:C266" si="23">IF(ISTEXT(MID($F203,SEARCH("FUTURE USE",$F203),3)),"F",IF(MID($F203,7,1)="1","E",IF(MID($F203,7,1)="2","G",IF(MID($F203,7,1)="3","C",""))))</f>
        <v>E</v>
      </c>
      <c r="D203" s="426" t="s">
        <v>2656</v>
      </c>
      <c r="E203" s="426" t="str">
        <f t="shared" si="20"/>
        <v>362</v>
      </c>
      <c r="F203" s="741" t="s">
        <v>1779</v>
      </c>
      <c r="G203" s="425" t="str">
        <f t="shared" si="19"/>
        <v/>
      </c>
      <c r="H203" s="426">
        <v>6964.3186099999903</v>
      </c>
      <c r="I203" s="426">
        <v>792.33443999999997</v>
      </c>
      <c r="J203" s="426">
        <v>4354.1593899999998</v>
      </c>
      <c r="K203" s="426">
        <v>4252.4162699999997</v>
      </c>
      <c r="L203" s="426">
        <v>1454.01226</v>
      </c>
      <c r="M203" s="426">
        <v>664.11739999999998</v>
      </c>
      <c r="N203" s="426">
        <v>15943.93621</v>
      </c>
      <c r="O203" s="426">
        <v>114.47055</v>
      </c>
      <c r="P203" s="426">
        <v>110.35354</v>
      </c>
      <c r="Q203" s="426">
        <v>514.79124000000002</v>
      </c>
      <c r="R203" s="426">
        <v>441.88310000000001</v>
      </c>
      <c r="S203" s="426">
        <v>310.60930999999999</v>
      </c>
      <c r="T203" s="426">
        <v>6125.2738900000004</v>
      </c>
      <c r="U203" s="426">
        <f t="shared" si="16"/>
        <v>35078.357599999996</v>
      </c>
    </row>
    <row r="204" spans="1:21">
      <c r="A204" s="426" t="str">
        <f t="shared" si="22"/>
        <v>KU</v>
      </c>
      <c r="B204" s="426" t="str">
        <f t="shared" si="21"/>
        <v>VA</v>
      </c>
      <c r="C204" s="426" t="str">
        <f t="shared" si="23"/>
        <v>E</v>
      </c>
      <c r="D204" s="426" t="s">
        <v>2656</v>
      </c>
      <c r="E204" s="426" t="str">
        <f t="shared" si="20"/>
        <v>362</v>
      </c>
      <c r="F204" s="741" t="s">
        <v>1781</v>
      </c>
      <c r="G204" s="425" t="str">
        <f t="shared" si="19"/>
        <v/>
      </c>
      <c r="H204" s="426">
        <v>0</v>
      </c>
      <c r="I204" s="426">
        <v>0</v>
      </c>
      <c r="J204" s="426">
        <v>0</v>
      </c>
      <c r="K204" s="426">
        <v>0</v>
      </c>
      <c r="L204" s="426">
        <v>0</v>
      </c>
      <c r="M204" s="426">
        <v>0</v>
      </c>
      <c r="N204" s="426">
        <v>0</v>
      </c>
      <c r="O204" s="426">
        <v>0</v>
      </c>
      <c r="P204" s="426">
        <v>0</v>
      </c>
      <c r="Q204" s="426">
        <v>0</v>
      </c>
      <c r="R204" s="426">
        <v>0</v>
      </c>
      <c r="S204" s="426">
        <v>0</v>
      </c>
      <c r="T204" s="426">
        <v>0</v>
      </c>
      <c r="U204" s="426">
        <f t="shared" si="16"/>
        <v>0</v>
      </c>
    </row>
    <row r="205" spans="1:21">
      <c r="A205" s="426" t="str">
        <f t="shared" si="22"/>
        <v>KU</v>
      </c>
      <c r="B205" s="426" t="str">
        <f t="shared" si="21"/>
        <v>KY</v>
      </c>
      <c r="C205" s="426" t="str">
        <f t="shared" si="23"/>
        <v>E</v>
      </c>
      <c r="D205" s="426" t="s">
        <v>2656</v>
      </c>
      <c r="E205" s="426" t="str">
        <f t="shared" si="20"/>
        <v>364</v>
      </c>
      <c r="F205" s="741" t="s">
        <v>1782</v>
      </c>
      <c r="G205" s="425" t="str">
        <f t="shared" si="19"/>
        <v/>
      </c>
      <c r="H205" s="426">
        <v>1441.9432199999901</v>
      </c>
      <c r="I205" s="426">
        <v>1418.4809599999901</v>
      </c>
      <c r="J205" s="426">
        <v>1438.01288</v>
      </c>
      <c r="K205" s="426">
        <v>1420.51900999999</v>
      </c>
      <c r="L205" s="426">
        <v>1439.67337</v>
      </c>
      <c r="M205" s="426">
        <v>1416.3907799999999</v>
      </c>
      <c r="N205" s="426">
        <v>1415.3089599999901</v>
      </c>
      <c r="O205" s="426">
        <v>1603.3665100000001</v>
      </c>
      <c r="P205" s="426">
        <v>1615.30807</v>
      </c>
      <c r="Q205" s="426">
        <v>1639.51983</v>
      </c>
      <c r="R205" s="426">
        <v>1572.03845</v>
      </c>
      <c r="S205" s="426">
        <v>1593.43273</v>
      </c>
      <c r="T205" s="426">
        <v>1589.14445</v>
      </c>
      <c r="U205" s="426">
        <f t="shared" si="16"/>
        <v>18161.195999999967</v>
      </c>
    </row>
    <row r="206" spans="1:21">
      <c r="A206" s="426" t="str">
        <f t="shared" si="22"/>
        <v>KU</v>
      </c>
      <c r="B206" s="426" t="str">
        <f t="shared" si="21"/>
        <v>VA</v>
      </c>
      <c r="C206" s="426" t="str">
        <f t="shared" si="23"/>
        <v>E</v>
      </c>
      <c r="D206" s="426" t="s">
        <v>2656</v>
      </c>
      <c r="E206" s="426" t="str">
        <f t="shared" si="20"/>
        <v>364</v>
      </c>
      <c r="F206" s="741" t="s">
        <v>1784</v>
      </c>
      <c r="G206" s="425" t="str">
        <f t="shared" si="19"/>
        <v/>
      </c>
      <c r="H206" s="426">
        <v>22.23509</v>
      </c>
      <c r="I206" s="426">
        <v>26.474799999999998</v>
      </c>
      <c r="J206" s="426">
        <v>29.476990000000001</v>
      </c>
      <c r="K206" s="426">
        <v>28.24109</v>
      </c>
      <c r="L206" s="426">
        <v>27.879589999999901</v>
      </c>
      <c r="M206" s="426">
        <v>27.165400000000002</v>
      </c>
      <c r="N206" s="426">
        <v>32.330480000000001</v>
      </c>
      <c r="O206" s="426">
        <v>25.770720000000001</v>
      </c>
      <c r="P206" s="426">
        <v>23.96387</v>
      </c>
      <c r="Q206" s="426">
        <v>33.317779999999999</v>
      </c>
      <c r="R206" s="426">
        <v>22.197790000000001</v>
      </c>
      <c r="S206" s="426">
        <v>31.74981</v>
      </c>
      <c r="T206" s="426">
        <v>29.453859999999999</v>
      </c>
      <c r="U206" s="426">
        <f t="shared" si="16"/>
        <v>338.02217999999999</v>
      </c>
    </row>
    <row r="207" spans="1:21">
      <c r="A207" s="426" t="str">
        <f t="shared" si="22"/>
        <v>KU</v>
      </c>
      <c r="B207" s="426" t="str">
        <f t="shared" si="21"/>
        <v>KY</v>
      </c>
      <c r="C207" s="426" t="str">
        <f t="shared" si="23"/>
        <v>E</v>
      </c>
      <c r="D207" s="426" t="s">
        <v>2656</v>
      </c>
      <c r="E207" s="426" t="str">
        <f t="shared" si="20"/>
        <v>365</v>
      </c>
      <c r="F207" s="741" t="s">
        <v>1785</v>
      </c>
      <c r="G207" s="425" t="str">
        <f t="shared" si="19"/>
        <v/>
      </c>
      <c r="H207" s="426">
        <v>2485.4319300000002</v>
      </c>
      <c r="I207" s="426">
        <v>2217.6141600000001</v>
      </c>
      <c r="J207" s="426">
        <v>3363.7022999999999</v>
      </c>
      <c r="K207" s="426">
        <v>2110.25524</v>
      </c>
      <c r="L207" s="426">
        <v>2026.7136599999999</v>
      </c>
      <c r="M207" s="426">
        <v>2161.7287500000002</v>
      </c>
      <c r="N207" s="426">
        <v>7500.6586699999898</v>
      </c>
      <c r="O207" s="426">
        <v>2017.9811400000001</v>
      </c>
      <c r="P207" s="426">
        <v>2013.64382999999</v>
      </c>
      <c r="Q207" s="426">
        <v>2809.8609999999999</v>
      </c>
      <c r="R207" s="426">
        <v>2387.32465</v>
      </c>
      <c r="S207" s="426">
        <v>2682.0227399999999</v>
      </c>
      <c r="T207" s="426">
        <v>2745.5271199999902</v>
      </c>
      <c r="U207" s="426">
        <f t="shared" si="16"/>
        <v>34037.033259999967</v>
      </c>
    </row>
    <row r="208" spans="1:21">
      <c r="A208" s="426" t="str">
        <f t="shared" si="22"/>
        <v>KU</v>
      </c>
      <c r="B208" s="426" t="str">
        <f t="shared" si="21"/>
        <v>VA</v>
      </c>
      <c r="C208" s="426" t="str">
        <f t="shared" si="23"/>
        <v>E</v>
      </c>
      <c r="D208" s="426" t="s">
        <v>2656</v>
      </c>
      <c r="E208" s="426" t="str">
        <f t="shared" si="20"/>
        <v>365</v>
      </c>
      <c r="F208" s="741" t="s">
        <v>1787</v>
      </c>
      <c r="G208" s="425" t="str">
        <f t="shared" si="19"/>
        <v/>
      </c>
      <c r="H208" s="426">
        <v>115.5137</v>
      </c>
      <c r="I208" s="426">
        <v>113.4187</v>
      </c>
      <c r="J208" s="426">
        <v>116.31001999999999</v>
      </c>
      <c r="K208" s="426">
        <v>119.08702</v>
      </c>
      <c r="L208" s="426">
        <v>106.51665</v>
      </c>
      <c r="M208" s="426">
        <v>100.54241</v>
      </c>
      <c r="N208" s="426">
        <v>1459.7255299999999</v>
      </c>
      <c r="O208" s="426">
        <v>103.99845000000001</v>
      </c>
      <c r="P208" s="426">
        <v>105.17921999999901</v>
      </c>
      <c r="Q208" s="426">
        <v>126.13533</v>
      </c>
      <c r="R208" s="426">
        <v>109.21145999999899</v>
      </c>
      <c r="S208" s="426">
        <v>119.63934999999999</v>
      </c>
      <c r="T208" s="426">
        <v>119.91721</v>
      </c>
      <c r="U208" s="426">
        <f t="shared" si="16"/>
        <v>2699.681349999998</v>
      </c>
    </row>
    <row r="209" spans="1:21">
      <c r="A209" s="426" t="str">
        <f t="shared" si="22"/>
        <v>KU</v>
      </c>
      <c r="B209" s="426" t="str">
        <f t="shared" si="21"/>
        <v>KY</v>
      </c>
      <c r="C209" s="426" t="str">
        <f t="shared" si="23"/>
        <v>E</v>
      </c>
      <c r="D209" s="426" t="s">
        <v>2656</v>
      </c>
      <c r="E209" s="426" t="str">
        <f t="shared" si="20"/>
        <v>366</v>
      </c>
      <c r="F209" s="741" t="s">
        <v>1788</v>
      </c>
      <c r="G209" s="425" t="str">
        <f t="shared" si="19"/>
        <v/>
      </c>
      <c r="H209" s="426">
        <v>0</v>
      </c>
      <c r="I209" s="426">
        <v>0</v>
      </c>
      <c r="J209" s="426">
        <v>0</v>
      </c>
      <c r="K209" s="426">
        <v>0</v>
      </c>
      <c r="L209" s="426">
        <v>0</v>
      </c>
      <c r="M209" s="426">
        <v>0</v>
      </c>
      <c r="N209" s="426">
        <v>0</v>
      </c>
      <c r="O209" s="426">
        <v>0</v>
      </c>
      <c r="P209" s="426">
        <v>0</v>
      </c>
      <c r="Q209" s="426">
        <v>0</v>
      </c>
      <c r="R209" s="426">
        <v>0</v>
      </c>
      <c r="S209" s="426">
        <v>0</v>
      </c>
      <c r="T209" s="426">
        <v>0</v>
      </c>
      <c r="U209" s="426">
        <f t="shared" si="16"/>
        <v>0</v>
      </c>
    </row>
    <row r="210" spans="1:21">
      <c r="A210" s="426" t="str">
        <f t="shared" si="22"/>
        <v>KU</v>
      </c>
      <c r="B210" s="426" t="str">
        <f t="shared" si="21"/>
        <v>KY</v>
      </c>
      <c r="C210" s="426" t="str">
        <f t="shared" si="23"/>
        <v>E</v>
      </c>
      <c r="D210" s="426" t="s">
        <v>2656</v>
      </c>
      <c r="E210" s="426" t="str">
        <f t="shared" si="20"/>
        <v>367</v>
      </c>
      <c r="F210" s="741" t="s">
        <v>1789</v>
      </c>
      <c r="G210" s="425" t="str">
        <f t="shared" si="19"/>
        <v/>
      </c>
      <c r="H210" s="426">
        <v>1657.83088</v>
      </c>
      <c r="I210" s="426">
        <v>1619.25775</v>
      </c>
      <c r="J210" s="426">
        <v>1676.01774</v>
      </c>
      <c r="K210" s="426">
        <v>1617.4904899999999</v>
      </c>
      <c r="L210" s="426">
        <v>1602.57285</v>
      </c>
      <c r="M210" s="426">
        <v>1545.61357</v>
      </c>
      <c r="N210" s="426">
        <v>1511.3946699999999</v>
      </c>
      <c r="O210" s="426">
        <v>1407.54449</v>
      </c>
      <c r="P210" s="426">
        <v>1406.59995</v>
      </c>
      <c r="Q210" s="426">
        <v>1593.78528999999</v>
      </c>
      <c r="R210" s="426">
        <v>1440.8018099999999</v>
      </c>
      <c r="S210" s="426">
        <v>1454.11483</v>
      </c>
      <c r="T210" s="426">
        <v>1457.6425899999899</v>
      </c>
      <c r="U210" s="426">
        <f t="shared" ref="U210:U278" si="24">SUM(I210:T210)</f>
        <v>18332.836029999977</v>
      </c>
    </row>
    <row r="211" spans="1:21">
      <c r="A211" s="426" t="str">
        <f t="shared" si="22"/>
        <v>KU</v>
      </c>
      <c r="B211" s="426" t="str">
        <f t="shared" si="21"/>
        <v>VA</v>
      </c>
      <c r="C211" s="426" t="str">
        <f t="shared" si="23"/>
        <v>E</v>
      </c>
      <c r="D211" s="426" t="s">
        <v>2656</v>
      </c>
      <c r="E211" s="426" t="str">
        <f t="shared" si="20"/>
        <v>367</v>
      </c>
      <c r="F211" s="741" t="s">
        <v>1790</v>
      </c>
      <c r="G211" s="425" t="str">
        <f t="shared" si="19"/>
        <v/>
      </c>
      <c r="H211" s="426">
        <v>41.761220000000002</v>
      </c>
      <c r="I211" s="426">
        <v>28.975339999999999</v>
      </c>
      <c r="J211" s="426">
        <v>55.849299999999999</v>
      </c>
      <c r="K211" s="426">
        <v>37.824620000000003</v>
      </c>
      <c r="L211" s="426">
        <v>43.56973</v>
      </c>
      <c r="M211" s="426">
        <v>36.531500000000001</v>
      </c>
      <c r="N211" s="426">
        <v>35.454679999999897</v>
      </c>
      <c r="O211" s="426">
        <v>44.232609999999902</v>
      </c>
      <c r="P211" s="426">
        <v>44.523679999999999</v>
      </c>
      <c r="Q211" s="426">
        <v>49.572740000000003</v>
      </c>
      <c r="R211" s="426">
        <v>36.496699999999997</v>
      </c>
      <c r="S211" s="426">
        <v>45.923760000000001</v>
      </c>
      <c r="T211" s="426">
        <v>45.923760000000001</v>
      </c>
      <c r="U211" s="426">
        <f t="shared" si="24"/>
        <v>504.87841999999983</v>
      </c>
    </row>
    <row r="212" spans="1:21">
      <c r="A212" s="426" t="str">
        <f t="shared" si="22"/>
        <v>KU</v>
      </c>
      <c r="B212" s="426" t="str">
        <f t="shared" si="21"/>
        <v>KY</v>
      </c>
      <c r="C212" s="426" t="str">
        <f t="shared" si="23"/>
        <v>E</v>
      </c>
      <c r="D212" s="426" t="s">
        <v>2656</v>
      </c>
      <c r="E212" s="426" t="str">
        <f t="shared" si="20"/>
        <v>368</v>
      </c>
      <c r="F212" s="741" t="s">
        <v>1791</v>
      </c>
      <c r="G212" s="425" t="str">
        <f t="shared" si="19"/>
        <v/>
      </c>
      <c r="H212" s="426">
        <v>815.177989999999</v>
      </c>
      <c r="I212" s="426">
        <v>821.43731000000002</v>
      </c>
      <c r="J212" s="426">
        <v>825.80039999999997</v>
      </c>
      <c r="K212" s="426">
        <v>888.26274999999998</v>
      </c>
      <c r="L212" s="426">
        <v>812.61683000000005</v>
      </c>
      <c r="M212" s="426">
        <v>691.24878000000001</v>
      </c>
      <c r="N212" s="426">
        <v>629.01301000000001</v>
      </c>
      <c r="O212" s="426">
        <v>416.832279999999</v>
      </c>
      <c r="P212" s="426">
        <v>638.17741000000001</v>
      </c>
      <c r="Q212" s="426">
        <v>716.14751000000001</v>
      </c>
      <c r="R212" s="426">
        <v>756.38806999999997</v>
      </c>
      <c r="S212" s="426">
        <v>857.14602999999897</v>
      </c>
      <c r="T212" s="426">
        <v>849.64652000000001</v>
      </c>
      <c r="U212" s="426">
        <f t="shared" si="24"/>
        <v>8902.7168999999976</v>
      </c>
    </row>
    <row r="213" spans="1:21">
      <c r="A213" s="426" t="str">
        <f t="shared" si="22"/>
        <v>KU</v>
      </c>
      <c r="B213" s="426" t="str">
        <f t="shared" si="21"/>
        <v>VA</v>
      </c>
      <c r="C213" s="426" t="str">
        <f t="shared" si="23"/>
        <v>E</v>
      </c>
      <c r="D213" s="426" t="s">
        <v>2656</v>
      </c>
      <c r="E213" s="426" t="str">
        <f t="shared" si="20"/>
        <v>368</v>
      </c>
      <c r="F213" s="741" t="s">
        <v>1793</v>
      </c>
      <c r="G213" s="425" t="str">
        <f t="shared" si="19"/>
        <v/>
      </c>
      <c r="H213" s="426">
        <v>0</v>
      </c>
      <c r="I213" s="426">
        <v>3.56881</v>
      </c>
      <c r="J213" s="426">
        <v>3.56881</v>
      </c>
      <c r="K213" s="426">
        <v>5.8905000000000003</v>
      </c>
      <c r="L213" s="426">
        <v>3.56881</v>
      </c>
      <c r="M213" s="426">
        <v>5.8905000000000003</v>
      </c>
      <c r="N213" s="426">
        <v>3.56881</v>
      </c>
      <c r="O213" s="426">
        <v>0</v>
      </c>
      <c r="P213" s="426">
        <v>0</v>
      </c>
      <c r="Q213" s="426">
        <v>0</v>
      </c>
      <c r="R213" s="426">
        <v>3.5729299999999999</v>
      </c>
      <c r="S213" s="426">
        <v>5.9009799999999997</v>
      </c>
      <c r="T213" s="426">
        <v>3.5729299999999999</v>
      </c>
      <c r="U213" s="426">
        <f t="shared" si="24"/>
        <v>39.103079999999999</v>
      </c>
    </row>
    <row r="214" spans="1:21">
      <c r="A214" s="426" t="str">
        <f t="shared" si="22"/>
        <v>KU</v>
      </c>
      <c r="B214" s="426" t="str">
        <f t="shared" si="21"/>
        <v>KY</v>
      </c>
      <c r="C214" s="426" t="str">
        <f t="shared" si="23"/>
        <v>E</v>
      </c>
      <c r="D214" s="426" t="s">
        <v>2656</v>
      </c>
      <c r="E214" s="426" t="str">
        <f t="shared" si="20"/>
        <v>369</v>
      </c>
      <c r="F214" s="741" t="s">
        <v>1794</v>
      </c>
      <c r="G214" s="425" t="str">
        <f t="shared" si="19"/>
        <v/>
      </c>
      <c r="H214" s="426">
        <v>0</v>
      </c>
      <c r="I214" s="426">
        <v>50</v>
      </c>
      <c r="J214" s="426">
        <v>0</v>
      </c>
      <c r="K214" s="426">
        <v>0</v>
      </c>
      <c r="L214" s="426">
        <v>0</v>
      </c>
      <c r="M214" s="426">
        <v>0</v>
      </c>
      <c r="N214" s="426">
        <v>0</v>
      </c>
      <c r="O214" s="426">
        <v>0</v>
      </c>
      <c r="P214" s="426">
        <v>0</v>
      </c>
      <c r="Q214" s="426">
        <v>0</v>
      </c>
      <c r="R214" s="426">
        <v>0</v>
      </c>
      <c r="S214" s="426">
        <v>0</v>
      </c>
      <c r="T214" s="426">
        <v>0</v>
      </c>
      <c r="U214" s="426">
        <f t="shared" si="24"/>
        <v>50</v>
      </c>
    </row>
    <row r="215" spans="1:21">
      <c r="A215" s="426" t="str">
        <f t="shared" si="22"/>
        <v>KU</v>
      </c>
      <c r="B215" s="426" t="str">
        <f t="shared" si="21"/>
        <v>KY</v>
      </c>
      <c r="C215" s="426" t="str">
        <f t="shared" si="23"/>
        <v>E</v>
      </c>
      <c r="D215" s="426" t="s">
        <v>2656</v>
      </c>
      <c r="E215" s="426" t="str">
        <f t="shared" si="20"/>
        <v>370</v>
      </c>
      <c r="F215" s="741" t="s">
        <v>1797</v>
      </c>
      <c r="G215" s="425" t="str">
        <f t="shared" si="19"/>
        <v/>
      </c>
      <c r="H215" s="426">
        <v>171.28559000000001</v>
      </c>
      <c r="I215" s="426">
        <v>102.96695</v>
      </c>
      <c r="J215" s="426">
        <v>37.114660000000001</v>
      </c>
      <c r="K215" s="426">
        <v>55.869390000000003</v>
      </c>
      <c r="L215" s="426">
        <v>67.575670000000002</v>
      </c>
      <c r="M215" s="426">
        <v>40.469900000000003</v>
      </c>
      <c r="N215" s="426">
        <v>11.663779999999999</v>
      </c>
      <c r="O215" s="426">
        <v>59.015270000000001</v>
      </c>
      <c r="P215" s="426">
        <v>213.58327</v>
      </c>
      <c r="Q215" s="426">
        <v>184.65431000000001</v>
      </c>
      <c r="R215" s="426">
        <v>105.12794</v>
      </c>
      <c r="S215" s="426">
        <v>275.09395999999998</v>
      </c>
      <c r="T215" s="426">
        <v>134.43616</v>
      </c>
      <c r="U215" s="426">
        <f t="shared" si="24"/>
        <v>1287.5712599999999</v>
      </c>
    </row>
    <row r="216" spans="1:21">
      <c r="A216" s="426" t="str">
        <f t="shared" si="22"/>
        <v>KU</v>
      </c>
      <c r="B216" s="426" t="str">
        <f t="shared" si="21"/>
        <v>KY</v>
      </c>
      <c r="C216" s="426" t="str">
        <f t="shared" si="23"/>
        <v>E</v>
      </c>
      <c r="D216" s="426" t="s">
        <v>2656</v>
      </c>
      <c r="E216" s="426" t="str">
        <f t="shared" si="20"/>
        <v>370</v>
      </c>
      <c r="F216" s="741" t="s">
        <v>2399</v>
      </c>
      <c r="G216" s="425" t="str">
        <f t="shared" si="19"/>
        <v>DSM</v>
      </c>
      <c r="H216" s="426">
        <v>0</v>
      </c>
      <c r="I216" s="426">
        <v>0</v>
      </c>
      <c r="J216" s="426">
        <v>0</v>
      </c>
      <c r="K216" s="426">
        <v>0</v>
      </c>
      <c r="L216" s="426">
        <v>0</v>
      </c>
      <c r="M216" s="426">
        <v>0</v>
      </c>
      <c r="N216" s="426">
        <v>0</v>
      </c>
      <c r="O216" s="426">
        <v>0</v>
      </c>
      <c r="P216" s="426">
        <v>0</v>
      </c>
      <c r="Q216" s="426">
        <v>0</v>
      </c>
      <c r="R216" s="426">
        <v>0</v>
      </c>
      <c r="S216" s="426">
        <v>0</v>
      </c>
      <c r="T216" s="426">
        <v>0</v>
      </c>
      <c r="U216" s="426">
        <f t="shared" si="24"/>
        <v>0</v>
      </c>
    </row>
    <row r="217" spans="1:21">
      <c r="A217" s="426" t="str">
        <f t="shared" si="22"/>
        <v>KU</v>
      </c>
      <c r="B217" s="426" t="str">
        <f t="shared" si="21"/>
        <v>VA</v>
      </c>
      <c r="C217" s="426" t="str">
        <f t="shared" si="23"/>
        <v>E</v>
      </c>
      <c r="D217" s="426" t="s">
        <v>2656</v>
      </c>
      <c r="E217" s="426" t="str">
        <f t="shared" si="20"/>
        <v>370</v>
      </c>
      <c r="F217" s="741" t="s">
        <v>1799</v>
      </c>
      <c r="G217" s="425" t="str">
        <f t="shared" si="19"/>
        <v/>
      </c>
      <c r="H217" s="426">
        <v>0</v>
      </c>
      <c r="I217" s="426">
        <v>0</v>
      </c>
      <c r="J217" s="426">
        <v>0</v>
      </c>
      <c r="K217" s="426">
        <v>0</v>
      </c>
      <c r="L217" s="426">
        <v>0</v>
      </c>
      <c r="M217" s="426">
        <v>0</v>
      </c>
      <c r="N217" s="426">
        <v>0</v>
      </c>
      <c r="O217" s="426">
        <v>0</v>
      </c>
      <c r="P217" s="426">
        <v>0</v>
      </c>
      <c r="Q217" s="426">
        <v>0</v>
      </c>
      <c r="R217" s="426">
        <v>0</v>
      </c>
      <c r="S217" s="426">
        <v>0</v>
      </c>
      <c r="T217" s="426">
        <v>0</v>
      </c>
      <c r="U217" s="426">
        <f t="shared" si="24"/>
        <v>0</v>
      </c>
    </row>
    <row r="218" spans="1:21">
      <c r="A218" s="426" t="str">
        <f t="shared" si="22"/>
        <v>KU</v>
      </c>
      <c r="B218" s="426" t="str">
        <f t="shared" si="21"/>
        <v>KY</v>
      </c>
      <c r="C218" s="426" t="str">
        <f t="shared" si="23"/>
        <v>E</v>
      </c>
      <c r="D218" s="426" t="s">
        <v>2656</v>
      </c>
      <c r="E218" s="426" t="str">
        <f t="shared" si="20"/>
        <v>373</v>
      </c>
      <c r="F218" s="741" t="s">
        <v>1801</v>
      </c>
      <c r="G218" s="425" t="str">
        <f t="shared" si="19"/>
        <v/>
      </c>
      <c r="H218" s="426">
        <v>746.07390999999996</v>
      </c>
      <c r="I218" s="426">
        <v>749.29517999999905</v>
      </c>
      <c r="J218" s="426">
        <v>785.37004000000002</v>
      </c>
      <c r="K218" s="426">
        <v>765.202619999999</v>
      </c>
      <c r="L218" s="426">
        <v>785.39084000000003</v>
      </c>
      <c r="M218" s="426">
        <v>748.63589999999999</v>
      </c>
      <c r="N218" s="426">
        <v>759.0779</v>
      </c>
      <c r="O218" s="426">
        <v>853.93151</v>
      </c>
      <c r="P218" s="426">
        <v>853.06848999999897</v>
      </c>
      <c r="Q218" s="426">
        <v>857.32084999999995</v>
      </c>
      <c r="R218" s="426">
        <v>834.98445000000004</v>
      </c>
      <c r="S218" s="426">
        <v>799.84083999999996</v>
      </c>
      <c r="T218" s="426">
        <v>809.15983000000006</v>
      </c>
      <c r="U218" s="426">
        <f t="shared" si="24"/>
        <v>9601.278449999998</v>
      </c>
    </row>
    <row r="219" spans="1:21">
      <c r="A219" s="426" t="str">
        <f t="shared" si="22"/>
        <v>KU</v>
      </c>
      <c r="B219" s="426" t="str">
        <f t="shared" si="21"/>
        <v>VA</v>
      </c>
      <c r="C219" s="426" t="str">
        <f t="shared" si="23"/>
        <v>E</v>
      </c>
      <c r="D219" s="426" t="s">
        <v>2656</v>
      </c>
      <c r="E219" s="426" t="str">
        <f t="shared" si="20"/>
        <v>373</v>
      </c>
      <c r="F219" s="741" t="s">
        <v>1802</v>
      </c>
      <c r="G219" s="425" t="str">
        <f t="shared" si="19"/>
        <v/>
      </c>
      <c r="H219" s="426">
        <v>17.672640000000001</v>
      </c>
      <c r="I219" s="426">
        <v>12.54242</v>
      </c>
      <c r="J219" s="426">
        <v>13.026999999999999</v>
      </c>
      <c r="K219" s="426">
        <v>14.273</v>
      </c>
      <c r="L219" s="426">
        <v>14.273</v>
      </c>
      <c r="M219" s="426">
        <v>14.86411</v>
      </c>
      <c r="N219" s="426">
        <v>10.705310000000001</v>
      </c>
      <c r="O219" s="426">
        <v>17.746880000000001</v>
      </c>
      <c r="P219" s="426">
        <v>12.927959999999899</v>
      </c>
      <c r="Q219" s="426">
        <v>19.467890000000001</v>
      </c>
      <c r="R219" s="426">
        <v>16.500879999999999</v>
      </c>
      <c r="S219" s="426">
        <v>17.62688</v>
      </c>
      <c r="T219" s="426">
        <v>16.500879999999999</v>
      </c>
      <c r="U219" s="426">
        <f t="shared" si="24"/>
        <v>180.45620999999988</v>
      </c>
    </row>
    <row r="220" spans="1:21">
      <c r="A220" s="426" t="str">
        <f t="shared" si="22"/>
        <v>KU</v>
      </c>
      <c r="B220" s="426" t="str">
        <f t="shared" si="21"/>
        <v>KY</v>
      </c>
      <c r="C220" s="426" t="str">
        <f t="shared" si="23"/>
        <v>E</v>
      </c>
      <c r="D220" s="426" t="s">
        <v>2656</v>
      </c>
      <c r="E220" s="426" t="str">
        <f t="shared" si="20"/>
        <v>389</v>
      </c>
      <c r="F220" s="741" t="s">
        <v>1804</v>
      </c>
      <c r="G220" s="425" t="str">
        <f t="shared" si="19"/>
        <v/>
      </c>
      <c r="H220" s="426">
        <v>0</v>
      </c>
      <c r="I220" s="426">
        <v>0</v>
      </c>
      <c r="J220" s="426">
        <v>0</v>
      </c>
      <c r="K220" s="426">
        <v>0</v>
      </c>
      <c r="L220" s="426">
        <v>0</v>
      </c>
      <c r="M220" s="426">
        <v>0</v>
      </c>
      <c r="N220" s="426">
        <v>1075.9543699999999</v>
      </c>
      <c r="O220" s="426">
        <v>0</v>
      </c>
      <c r="P220" s="426">
        <v>0</v>
      </c>
      <c r="Q220" s="426">
        <v>0</v>
      </c>
      <c r="R220" s="426">
        <v>0</v>
      </c>
      <c r="S220" s="426">
        <v>0</v>
      </c>
      <c r="T220" s="426">
        <v>0</v>
      </c>
      <c r="U220" s="426">
        <f t="shared" si="24"/>
        <v>1075.9543699999999</v>
      </c>
    </row>
    <row r="221" spans="1:21">
      <c r="A221" s="426" t="str">
        <f t="shared" si="22"/>
        <v>KU</v>
      </c>
      <c r="B221" s="426" t="str">
        <f t="shared" si="21"/>
        <v>VA</v>
      </c>
      <c r="C221" s="426" t="str">
        <f t="shared" si="23"/>
        <v>E</v>
      </c>
      <c r="D221" s="426" t="s">
        <v>2656</v>
      </c>
      <c r="E221" s="426" t="str">
        <f t="shared" si="20"/>
        <v>389</v>
      </c>
      <c r="F221" s="741" t="s">
        <v>1805</v>
      </c>
      <c r="G221" s="425" t="str">
        <f t="shared" si="19"/>
        <v/>
      </c>
      <c r="H221" s="426">
        <v>0</v>
      </c>
      <c r="I221" s="426">
        <v>0</v>
      </c>
      <c r="J221" s="426">
        <v>0</v>
      </c>
      <c r="K221" s="426">
        <v>0</v>
      </c>
      <c r="L221" s="426">
        <v>0</v>
      </c>
      <c r="M221" s="426">
        <v>0</v>
      </c>
      <c r="N221" s="426">
        <v>0</v>
      </c>
      <c r="O221" s="426">
        <v>0</v>
      </c>
      <c r="P221" s="426">
        <v>0</v>
      </c>
      <c r="Q221" s="426">
        <v>0</v>
      </c>
      <c r="R221" s="426">
        <v>0</v>
      </c>
      <c r="S221" s="426">
        <v>0</v>
      </c>
      <c r="T221" s="426">
        <v>0</v>
      </c>
      <c r="U221" s="426">
        <f t="shared" si="24"/>
        <v>0</v>
      </c>
    </row>
    <row r="222" spans="1:21">
      <c r="A222" s="426" t="str">
        <f t="shared" si="22"/>
        <v>KU</v>
      </c>
      <c r="B222" s="426" t="str">
        <f t="shared" si="21"/>
        <v>KY</v>
      </c>
      <c r="C222" s="426" t="str">
        <f t="shared" si="23"/>
        <v>E</v>
      </c>
      <c r="D222" s="426" t="s">
        <v>2656</v>
      </c>
      <c r="E222" s="426" t="str">
        <f t="shared" si="20"/>
        <v>390</v>
      </c>
      <c r="F222" s="741" t="s">
        <v>1807</v>
      </c>
      <c r="G222" s="425" t="str">
        <f t="shared" ref="G222:G290" si="25">IF(ISTEXT(MID($F222,SEARCH("FUTURE USE",$F222),3)),"FUTURE USE",IF(ISTEXT(MID($F222,SEARCH("ECR",$F222),3)),"ECR",IF(ISTEXT(MID($F222,SEARCH("ARO",$F222),3)),"ARO",IF(ISTEXT(MID($F222,SEARCH("DSM",$F222),3)),"DSM",""))))</f>
        <v/>
      </c>
      <c r="H222" s="426">
        <v>451.23491000000001</v>
      </c>
      <c r="I222" s="426">
        <v>394.28161</v>
      </c>
      <c r="J222" s="426">
        <v>894.02599999999995</v>
      </c>
      <c r="K222" s="426">
        <v>1344.3669500000001</v>
      </c>
      <c r="L222" s="426">
        <v>1114.78217</v>
      </c>
      <c r="M222" s="426">
        <v>846.85100999999997</v>
      </c>
      <c r="N222" s="426">
        <v>6578.17958</v>
      </c>
      <c r="O222" s="426">
        <v>18.98265</v>
      </c>
      <c r="P222" s="426">
        <v>33.154850000000003</v>
      </c>
      <c r="Q222" s="426">
        <v>103.19895</v>
      </c>
      <c r="R222" s="426">
        <v>33.154850000000003</v>
      </c>
      <c r="S222" s="426">
        <v>33.154850000000003</v>
      </c>
      <c r="T222" s="426">
        <v>141.16525999999999</v>
      </c>
      <c r="U222" s="426">
        <f t="shared" si="24"/>
        <v>11535.298730000002</v>
      </c>
    </row>
    <row r="223" spans="1:21">
      <c r="A223" s="426" t="str">
        <f t="shared" si="22"/>
        <v>KU</v>
      </c>
      <c r="B223" s="426" t="str">
        <f t="shared" si="21"/>
        <v>VA</v>
      </c>
      <c r="C223" s="426" t="str">
        <f t="shared" si="23"/>
        <v>E</v>
      </c>
      <c r="D223" s="426" t="s">
        <v>2656</v>
      </c>
      <c r="E223" s="426" t="str">
        <f t="shared" si="20"/>
        <v>390</v>
      </c>
      <c r="F223" s="741" t="s">
        <v>1808</v>
      </c>
      <c r="G223" s="425" t="str">
        <f t="shared" si="25"/>
        <v/>
      </c>
      <c r="H223" s="426">
        <v>0</v>
      </c>
      <c r="I223" s="426">
        <v>0</v>
      </c>
      <c r="J223" s="426">
        <v>0</v>
      </c>
      <c r="K223" s="426">
        <v>15.1845</v>
      </c>
      <c r="L223" s="426">
        <v>121.476</v>
      </c>
      <c r="M223" s="426">
        <v>13.16587</v>
      </c>
      <c r="N223" s="426">
        <v>1299.9094700000001</v>
      </c>
      <c r="O223" s="426">
        <v>0</v>
      </c>
      <c r="P223" s="426">
        <v>0</v>
      </c>
      <c r="Q223" s="426">
        <v>0</v>
      </c>
      <c r="R223" s="426">
        <v>0</v>
      </c>
      <c r="S223" s="426">
        <v>0</v>
      </c>
      <c r="T223" s="426">
        <v>0</v>
      </c>
      <c r="U223" s="426">
        <f t="shared" si="24"/>
        <v>1449.7358400000001</v>
      </c>
    </row>
    <row r="224" spans="1:21">
      <c r="A224" s="426" t="str">
        <f t="shared" si="22"/>
        <v>KU</v>
      </c>
      <c r="B224" s="426" t="str">
        <f t="shared" si="21"/>
        <v>KY</v>
      </c>
      <c r="C224" s="426" t="str">
        <f t="shared" si="23"/>
        <v>E</v>
      </c>
      <c r="D224" s="426" t="s">
        <v>2656</v>
      </c>
      <c r="E224" s="426" t="str">
        <f t="shared" si="20"/>
        <v>391</v>
      </c>
      <c r="F224" s="741" t="s">
        <v>1809</v>
      </c>
      <c r="G224" s="425" t="str">
        <f t="shared" si="25"/>
        <v/>
      </c>
      <c r="H224" s="426">
        <v>12.46</v>
      </c>
      <c r="I224" s="426">
        <v>12.46</v>
      </c>
      <c r="J224" s="426">
        <v>12.46</v>
      </c>
      <c r="K224" s="426">
        <v>12.46</v>
      </c>
      <c r="L224" s="426">
        <v>12.46</v>
      </c>
      <c r="M224" s="426">
        <v>12.46</v>
      </c>
      <c r="N224" s="426">
        <v>1557.8194000000001</v>
      </c>
      <c r="O224" s="426">
        <v>2.492</v>
      </c>
      <c r="P224" s="426">
        <v>12.46</v>
      </c>
      <c r="Q224" s="426">
        <v>12.46</v>
      </c>
      <c r="R224" s="426">
        <v>51.939700000000002</v>
      </c>
      <c r="S224" s="426">
        <v>12.46</v>
      </c>
      <c r="T224" s="426">
        <v>12.46</v>
      </c>
      <c r="U224" s="426">
        <f t="shared" si="24"/>
        <v>1724.3911000000001</v>
      </c>
    </row>
    <row r="225" spans="1:21">
      <c r="A225" s="426" t="str">
        <f t="shared" si="22"/>
        <v>KU</v>
      </c>
      <c r="B225" s="426" t="str">
        <f t="shared" si="21"/>
        <v>KY</v>
      </c>
      <c r="C225" s="426" t="str">
        <f t="shared" si="23"/>
        <v>E</v>
      </c>
      <c r="D225" s="426" t="s">
        <v>2656</v>
      </c>
      <c r="E225" s="426" t="str">
        <f t="shared" si="20"/>
        <v>391</v>
      </c>
      <c r="F225" s="741" t="s">
        <v>1810</v>
      </c>
      <c r="G225" s="425" t="str">
        <f t="shared" si="25"/>
        <v/>
      </c>
      <c r="H225" s="426">
        <v>287.90750000000003</v>
      </c>
      <c r="I225" s="426">
        <v>62.307490000000001</v>
      </c>
      <c r="J225" s="426">
        <v>79.932490000000001</v>
      </c>
      <c r="K225" s="426">
        <v>565.20753000000002</v>
      </c>
      <c r="L225" s="426">
        <v>566.06154000000004</v>
      </c>
      <c r="M225" s="426">
        <v>1040.00748</v>
      </c>
      <c r="N225" s="426">
        <v>2645.9533799999999</v>
      </c>
      <c r="O225" s="426">
        <v>94.834559999999996</v>
      </c>
      <c r="P225" s="426">
        <v>94.834559999999996</v>
      </c>
      <c r="Q225" s="426">
        <v>94.834559999999996</v>
      </c>
      <c r="R225" s="426">
        <v>94.834559999999996</v>
      </c>
      <c r="S225" s="426">
        <v>94.834559999999996</v>
      </c>
      <c r="T225" s="426">
        <v>188.83456000000001</v>
      </c>
      <c r="U225" s="426">
        <f t="shared" si="24"/>
        <v>5622.4772700000012</v>
      </c>
    </row>
    <row r="226" spans="1:21">
      <c r="A226" s="426" t="str">
        <f t="shared" si="22"/>
        <v>KU</v>
      </c>
      <c r="B226" s="426" t="str">
        <f t="shared" si="21"/>
        <v>VA</v>
      </c>
      <c r="C226" s="426" t="str">
        <f t="shared" si="23"/>
        <v>E</v>
      </c>
      <c r="D226" s="426" t="s">
        <v>2656</v>
      </c>
      <c r="E226" s="426" t="str">
        <f t="shared" si="20"/>
        <v>391</v>
      </c>
      <c r="F226" s="741" t="s">
        <v>1811</v>
      </c>
      <c r="G226" s="425" t="str">
        <f t="shared" si="25"/>
        <v/>
      </c>
      <c r="H226" s="426">
        <v>0</v>
      </c>
      <c r="I226" s="426">
        <v>0</v>
      </c>
      <c r="J226" s="426">
        <v>0</v>
      </c>
      <c r="K226" s="426">
        <v>0</v>
      </c>
      <c r="L226" s="426">
        <v>0</v>
      </c>
      <c r="M226" s="426">
        <v>0</v>
      </c>
      <c r="N226" s="426">
        <v>0</v>
      </c>
      <c r="O226" s="426">
        <v>0</v>
      </c>
      <c r="P226" s="426">
        <v>0</v>
      </c>
      <c r="Q226" s="426">
        <v>0</v>
      </c>
      <c r="R226" s="426">
        <v>0</v>
      </c>
      <c r="S226" s="426">
        <v>0</v>
      </c>
      <c r="T226" s="426">
        <v>0</v>
      </c>
      <c r="U226" s="426">
        <f t="shared" si="24"/>
        <v>0</v>
      </c>
    </row>
    <row r="227" spans="1:21">
      <c r="A227" s="426" t="str">
        <f t="shared" si="22"/>
        <v>KU</v>
      </c>
      <c r="B227" s="426" t="str">
        <f t="shared" si="21"/>
        <v>KY</v>
      </c>
      <c r="C227" s="426" t="str">
        <f t="shared" si="23"/>
        <v>E</v>
      </c>
      <c r="D227" s="426" t="s">
        <v>2656</v>
      </c>
      <c r="E227" s="426" t="str">
        <f t="shared" si="20"/>
        <v>392</v>
      </c>
      <c r="F227" s="741" t="s">
        <v>1813</v>
      </c>
      <c r="G227" s="425" t="str">
        <f t="shared" si="25"/>
        <v/>
      </c>
      <c r="H227" s="426">
        <v>29.5838</v>
      </c>
      <c r="I227" s="426">
        <v>0</v>
      </c>
      <c r="J227" s="426">
        <v>0</v>
      </c>
      <c r="K227" s="426">
        <v>0</v>
      </c>
      <c r="L227" s="426">
        <v>0</v>
      </c>
      <c r="M227" s="426">
        <v>0</v>
      </c>
      <c r="N227" s="426">
        <v>0</v>
      </c>
      <c r="O227" s="426">
        <v>0</v>
      </c>
      <c r="P227" s="426">
        <v>0</v>
      </c>
      <c r="Q227" s="426">
        <v>0</v>
      </c>
      <c r="R227" s="426">
        <v>0</v>
      </c>
      <c r="S227" s="426">
        <v>0</v>
      </c>
      <c r="T227" s="426">
        <v>0</v>
      </c>
      <c r="U227" s="426">
        <f t="shared" si="24"/>
        <v>0</v>
      </c>
    </row>
    <row r="228" spans="1:21">
      <c r="A228" s="426" t="str">
        <f t="shared" si="22"/>
        <v>KU</v>
      </c>
      <c r="B228" s="426" t="str">
        <f t="shared" si="21"/>
        <v>VA</v>
      </c>
      <c r="C228" s="426" t="str">
        <f t="shared" si="23"/>
        <v>E</v>
      </c>
      <c r="D228" s="426" t="s">
        <v>2656</v>
      </c>
      <c r="E228" s="426" t="str">
        <f t="shared" si="20"/>
        <v>392</v>
      </c>
      <c r="F228" s="741" t="s">
        <v>2401</v>
      </c>
      <c r="G228" s="425" t="str">
        <f t="shared" si="25"/>
        <v/>
      </c>
      <c r="H228" s="426">
        <v>0</v>
      </c>
      <c r="I228" s="426">
        <v>0</v>
      </c>
      <c r="J228" s="426">
        <v>0</v>
      </c>
      <c r="K228" s="426">
        <v>0</v>
      </c>
      <c r="L228" s="426">
        <v>0</v>
      </c>
      <c r="M228" s="426">
        <v>0</v>
      </c>
      <c r="N228" s="426">
        <v>0</v>
      </c>
      <c r="O228" s="426">
        <v>0</v>
      </c>
      <c r="P228" s="426">
        <v>0</v>
      </c>
      <c r="Q228" s="426">
        <v>0</v>
      </c>
      <c r="R228" s="426">
        <v>0</v>
      </c>
      <c r="S228" s="426">
        <v>0</v>
      </c>
      <c r="T228" s="426">
        <v>0</v>
      </c>
      <c r="U228" s="426">
        <f t="shared" si="24"/>
        <v>0</v>
      </c>
    </row>
    <row r="229" spans="1:21">
      <c r="A229" s="426" t="str">
        <f t="shared" si="22"/>
        <v>KU</v>
      </c>
      <c r="B229" s="426" t="str">
        <f t="shared" si="21"/>
        <v>KY</v>
      </c>
      <c r="C229" s="426" t="str">
        <f t="shared" si="23"/>
        <v>E</v>
      </c>
      <c r="D229" s="426" t="s">
        <v>2656</v>
      </c>
      <c r="E229" s="426" t="str">
        <f t="shared" si="20"/>
        <v>393</v>
      </c>
      <c r="F229" s="741" t="s">
        <v>1814</v>
      </c>
      <c r="G229" s="425" t="str">
        <f t="shared" si="25"/>
        <v/>
      </c>
      <c r="H229" s="426">
        <v>0</v>
      </c>
      <c r="I229" s="426">
        <v>0</v>
      </c>
      <c r="J229" s="426">
        <v>0</v>
      </c>
      <c r="K229" s="426">
        <v>0</v>
      </c>
      <c r="L229" s="426">
        <v>0</v>
      </c>
      <c r="M229" s="426">
        <v>0</v>
      </c>
      <c r="N229" s="426">
        <v>0</v>
      </c>
      <c r="O229" s="426">
        <v>0</v>
      </c>
      <c r="P229" s="426">
        <v>0</v>
      </c>
      <c r="Q229" s="426">
        <v>0</v>
      </c>
      <c r="R229" s="426">
        <v>0</v>
      </c>
      <c r="S229" s="426">
        <v>0</v>
      </c>
      <c r="T229" s="426">
        <v>0</v>
      </c>
      <c r="U229" s="426">
        <f t="shared" si="24"/>
        <v>0</v>
      </c>
    </row>
    <row r="230" spans="1:21">
      <c r="A230" s="426" t="str">
        <f t="shared" si="22"/>
        <v>KU</v>
      </c>
      <c r="B230" s="426" t="str">
        <f t="shared" si="21"/>
        <v>KY</v>
      </c>
      <c r="C230" s="426" t="str">
        <f t="shared" si="23"/>
        <v>E</v>
      </c>
      <c r="D230" s="426" t="s">
        <v>2656</v>
      </c>
      <c r="E230" s="426" t="str">
        <f t="shared" si="20"/>
        <v>394</v>
      </c>
      <c r="F230" s="741" t="s">
        <v>1816</v>
      </c>
      <c r="G230" s="425" t="str">
        <f t="shared" si="25"/>
        <v/>
      </c>
      <c r="H230" s="426">
        <v>242.26803000000001</v>
      </c>
      <c r="I230" s="426">
        <v>133.45025999999999</v>
      </c>
      <c r="J230" s="426">
        <v>340.83312999999998</v>
      </c>
      <c r="K230" s="426">
        <v>77.639989999999997</v>
      </c>
      <c r="L230" s="426">
        <v>226.98499999999899</v>
      </c>
      <c r="M230" s="426">
        <v>20.186</v>
      </c>
      <c r="N230" s="426">
        <v>861.3682</v>
      </c>
      <c r="O230" s="426">
        <v>49.872</v>
      </c>
      <c r="P230" s="426">
        <v>23.228999999999999</v>
      </c>
      <c r="Q230" s="426">
        <v>105.2821</v>
      </c>
      <c r="R230" s="426">
        <v>88.115300000000005</v>
      </c>
      <c r="S230" s="426">
        <v>81.705299999999994</v>
      </c>
      <c r="T230" s="426">
        <v>139.55329</v>
      </c>
      <c r="U230" s="426">
        <f t="shared" si="24"/>
        <v>2148.2195699999988</v>
      </c>
    </row>
    <row r="231" spans="1:21">
      <c r="A231" s="426" t="str">
        <f t="shared" si="22"/>
        <v>KU</v>
      </c>
      <c r="B231" s="426" t="str">
        <f t="shared" si="21"/>
        <v>VA</v>
      </c>
      <c r="C231" s="426" t="str">
        <f t="shared" si="23"/>
        <v>E</v>
      </c>
      <c r="D231" s="426" t="s">
        <v>2656</v>
      </c>
      <c r="E231" s="426" t="str">
        <f t="shared" si="20"/>
        <v>394</v>
      </c>
      <c r="F231" s="741" t="s">
        <v>1817</v>
      </c>
      <c r="G231" s="425" t="str">
        <f t="shared" si="25"/>
        <v/>
      </c>
      <c r="H231" s="426">
        <v>11.214</v>
      </c>
      <c r="I231" s="426">
        <v>0</v>
      </c>
      <c r="J231" s="426">
        <v>9.968</v>
      </c>
      <c r="K231" s="426">
        <v>0</v>
      </c>
      <c r="L231" s="426">
        <v>0</v>
      </c>
      <c r="M231" s="426">
        <v>11.214</v>
      </c>
      <c r="N231" s="426">
        <v>0</v>
      </c>
      <c r="O231" s="426">
        <v>0</v>
      </c>
      <c r="P231" s="426">
        <v>0</v>
      </c>
      <c r="Q231" s="426">
        <v>0</v>
      </c>
      <c r="R231" s="426">
        <v>12.46</v>
      </c>
      <c r="S231" s="426">
        <v>0</v>
      </c>
      <c r="T231" s="426">
        <v>11.214</v>
      </c>
      <c r="U231" s="426">
        <f t="shared" si="24"/>
        <v>44.856000000000002</v>
      </c>
    </row>
    <row r="232" spans="1:21">
      <c r="A232" s="426" t="str">
        <f t="shared" si="22"/>
        <v>KU</v>
      </c>
      <c r="B232" s="426" t="str">
        <f t="shared" si="21"/>
        <v>KY</v>
      </c>
      <c r="C232" s="426" t="str">
        <f t="shared" si="23"/>
        <v>E</v>
      </c>
      <c r="D232" s="426" t="s">
        <v>2656</v>
      </c>
      <c r="E232" s="426" t="str">
        <f t="shared" si="20"/>
        <v>396</v>
      </c>
      <c r="F232" s="741" t="s">
        <v>2402</v>
      </c>
      <c r="G232" s="425" t="str">
        <f t="shared" si="25"/>
        <v/>
      </c>
      <c r="H232" s="426">
        <v>0</v>
      </c>
      <c r="I232" s="426">
        <v>0</v>
      </c>
      <c r="J232" s="426">
        <v>0</v>
      </c>
      <c r="K232" s="426">
        <v>0</v>
      </c>
      <c r="L232" s="426">
        <v>0</v>
      </c>
      <c r="M232" s="426">
        <v>0</v>
      </c>
      <c r="N232" s="426">
        <v>0</v>
      </c>
      <c r="O232" s="426">
        <v>0</v>
      </c>
      <c r="P232" s="426">
        <v>0</v>
      </c>
      <c r="Q232" s="426">
        <v>0</v>
      </c>
      <c r="R232" s="426">
        <v>0</v>
      </c>
      <c r="S232" s="426">
        <v>0</v>
      </c>
      <c r="T232" s="426">
        <v>0</v>
      </c>
      <c r="U232" s="426">
        <f t="shared" si="24"/>
        <v>0</v>
      </c>
    </row>
    <row r="233" spans="1:21">
      <c r="A233" s="426" t="str">
        <f t="shared" si="22"/>
        <v>KU</v>
      </c>
      <c r="B233" s="426" t="str">
        <f t="shared" si="21"/>
        <v>VA</v>
      </c>
      <c r="C233" s="426" t="str">
        <f t="shared" si="23"/>
        <v>E</v>
      </c>
      <c r="D233" s="426" t="s">
        <v>2656</v>
      </c>
      <c r="E233" s="426" t="str">
        <f t="shared" si="20"/>
        <v>396</v>
      </c>
      <c r="F233" s="741" t="s">
        <v>2403</v>
      </c>
      <c r="G233" s="425" t="str">
        <f t="shared" si="25"/>
        <v/>
      </c>
      <c r="H233" s="426">
        <v>0</v>
      </c>
      <c r="I233" s="426">
        <v>0</v>
      </c>
      <c r="J233" s="426">
        <v>0</v>
      </c>
      <c r="K233" s="426">
        <v>0</v>
      </c>
      <c r="L233" s="426">
        <v>0</v>
      </c>
      <c r="M233" s="426">
        <v>0</v>
      </c>
      <c r="N233" s="426">
        <v>0</v>
      </c>
      <c r="O233" s="426">
        <v>0</v>
      </c>
      <c r="P233" s="426">
        <v>0</v>
      </c>
      <c r="Q233" s="426">
        <v>0</v>
      </c>
      <c r="R233" s="426">
        <v>0</v>
      </c>
      <c r="S233" s="426">
        <v>0</v>
      </c>
      <c r="T233" s="426">
        <v>0</v>
      </c>
      <c r="U233" s="426">
        <f t="shared" si="24"/>
        <v>0</v>
      </c>
    </row>
    <row r="234" spans="1:21">
      <c r="A234" s="426" t="str">
        <f t="shared" si="22"/>
        <v>KU</v>
      </c>
      <c r="B234" s="426" t="str">
        <f t="shared" si="21"/>
        <v>KY</v>
      </c>
      <c r="C234" s="426" t="str">
        <f t="shared" si="23"/>
        <v>E</v>
      </c>
      <c r="D234" s="426" t="s">
        <v>2656</v>
      </c>
      <c r="E234" s="426" t="str">
        <f t="shared" si="20"/>
        <v>397</v>
      </c>
      <c r="F234" s="741" t="s">
        <v>1819</v>
      </c>
      <c r="G234" s="425" t="str">
        <f t="shared" si="25"/>
        <v>DSM</v>
      </c>
      <c r="H234" s="426">
        <v>5.2916699999999999</v>
      </c>
      <c r="I234" s="426">
        <v>5.2916699999999999</v>
      </c>
      <c r="J234" s="426">
        <v>5.2916699999999999</v>
      </c>
      <c r="K234" s="426">
        <v>5.2916699999999999</v>
      </c>
      <c r="L234" s="426">
        <v>5.2916699999999999</v>
      </c>
      <c r="M234" s="426">
        <v>5.2916699999999999</v>
      </c>
      <c r="N234" s="426">
        <v>5.2916699999999999</v>
      </c>
      <c r="O234" s="426">
        <v>5.5833700000000004</v>
      </c>
      <c r="P234" s="426">
        <v>5.5833300000000001</v>
      </c>
      <c r="Q234" s="426">
        <v>5.5833300000000001</v>
      </c>
      <c r="R234" s="426">
        <v>5.5833300000000001</v>
      </c>
      <c r="S234" s="426">
        <v>5.5833300000000001</v>
      </c>
      <c r="T234" s="426">
        <v>5.5833300000000001</v>
      </c>
      <c r="U234" s="426">
        <f t="shared" si="24"/>
        <v>65.250040000000013</v>
      </c>
    </row>
    <row r="235" spans="1:21">
      <c r="A235" s="426" t="str">
        <f t="shared" si="22"/>
        <v>KU</v>
      </c>
      <c r="B235" s="426" t="str">
        <f t="shared" si="21"/>
        <v>KY</v>
      </c>
      <c r="C235" s="426" t="str">
        <f t="shared" si="23"/>
        <v>E</v>
      </c>
      <c r="D235" s="426" t="s">
        <v>2656</v>
      </c>
      <c r="E235" s="426" t="str">
        <f t="shared" si="20"/>
        <v>397</v>
      </c>
      <c r="F235" s="741" t="s">
        <v>1820</v>
      </c>
      <c r="G235" s="425" t="str">
        <f t="shared" si="25"/>
        <v/>
      </c>
      <c r="H235" s="426">
        <v>150.33762999999999</v>
      </c>
      <c r="I235" s="426">
        <v>150.33762999999999</v>
      </c>
      <c r="J235" s="426">
        <v>361.25396000000001</v>
      </c>
      <c r="K235" s="426">
        <v>150.33762999999999</v>
      </c>
      <c r="L235" s="426">
        <v>231.28867</v>
      </c>
      <c r="M235" s="426">
        <v>161.90206000000001</v>
      </c>
      <c r="N235" s="426">
        <v>1745.9643000000001</v>
      </c>
      <c r="O235" s="426">
        <v>0</v>
      </c>
      <c r="P235" s="426">
        <v>0</v>
      </c>
      <c r="Q235" s="426">
        <v>0</v>
      </c>
      <c r="R235" s="426">
        <v>2800</v>
      </c>
      <c r="S235" s="426">
        <v>0</v>
      </c>
      <c r="T235" s="426">
        <v>0</v>
      </c>
      <c r="U235" s="426">
        <f t="shared" si="24"/>
        <v>5601.0842499999999</v>
      </c>
    </row>
    <row r="236" spans="1:21">
      <c r="A236" s="426" t="str">
        <f t="shared" si="22"/>
        <v>KU</v>
      </c>
      <c r="B236" s="426" t="str">
        <f t="shared" si="21"/>
        <v>VA</v>
      </c>
      <c r="C236" s="426" t="str">
        <f t="shared" si="23"/>
        <v>E</v>
      </c>
      <c r="D236" s="426" t="s">
        <v>2656</v>
      </c>
      <c r="E236" s="426" t="str">
        <f t="shared" si="20"/>
        <v>397</v>
      </c>
      <c r="F236" s="741" t="s">
        <v>1821</v>
      </c>
      <c r="G236" s="425" t="str">
        <f t="shared" si="25"/>
        <v/>
      </c>
      <c r="H236" s="426">
        <v>0</v>
      </c>
      <c r="I236" s="426">
        <v>0</v>
      </c>
      <c r="J236" s="426">
        <v>0</v>
      </c>
      <c r="K236" s="426">
        <v>0</v>
      </c>
      <c r="L236" s="426">
        <v>0</v>
      </c>
      <c r="M236" s="426">
        <v>0</v>
      </c>
      <c r="N236" s="426">
        <v>0</v>
      </c>
      <c r="O236" s="426">
        <v>0</v>
      </c>
      <c r="P236" s="426">
        <v>0</v>
      </c>
      <c r="Q236" s="426">
        <v>0</v>
      </c>
      <c r="R236" s="426">
        <v>0</v>
      </c>
      <c r="S236" s="426">
        <v>0</v>
      </c>
      <c r="T236" s="426">
        <v>0</v>
      </c>
      <c r="U236" s="426">
        <f t="shared" si="24"/>
        <v>0</v>
      </c>
    </row>
    <row r="237" spans="1:21">
      <c r="F237" s="799" t="s">
        <v>1823</v>
      </c>
      <c r="G237" s="425" t="str">
        <f t="shared" si="25"/>
        <v/>
      </c>
      <c r="H237" s="426">
        <f>SUM(H147:H236)</f>
        <v>69598.322889999981</v>
      </c>
      <c r="I237" s="426">
        <f t="shared" ref="I237:T237" si="26">SUM(I147:I236)</f>
        <v>14907.582239999991</v>
      </c>
      <c r="J237" s="426">
        <f t="shared" si="26"/>
        <v>25805.662830000001</v>
      </c>
      <c r="K237" s="426">
        <f t="shared" si="26"/>
        <v>26647.62880999998</v>
      </c>
      <c r="L237" s="426">
        <f t="shared" si="26"/>
        <v>74722.749939999994</v>
      </c>
      <c r="M237" s="426">
        <f t="shared" si="26"/>
        <v>38217.717429999895</v>
      </c>
      <c r="N237" s="426">
        <f t="shared" si="26"/>
        <v>193424.32240999996</v>
      </c>
      <c r="O237" s="426">
        <f t="shared" si="26"/>
        <v>8349.1696999999986</v>
      </c>
      <c r="P237" s="426">
        <f t="shared" si="26"/>
        <v>8448.7440799999858</v>
      </c>
      <c r="Q237" s="426">
        <f t="shared" si="26"/>
        <v>27942.926829999986</v>
      </c>
      <c r="R237" s="426">
        <f t="shared" si="26"/>
        <v>36240.524299999968</v>
      </c>
      <c r="S237" s="426">
        <f t="shared" si="26"/>
        <v>29087.820599999995</v>
      </c>
      <c r="T237" s="426">
        <f t="shared" si="26"/>
        <v>49844.826629999887</v>
      </c>
      <c r="U237" s="426">
        <f t="shared" si="24"/>
        <v>533639.67579999962</v>
      </c>
    </row>
    <row r="238" spans="1:21">
      <c r="G238" s="425" t="str">
        <f t="shared" si="25"/>
        <v/>
      </c>
      <c r="U238" s="426">
        <f t="shared" si="24"/>
        <v>0</v>
      </c>
    </row>
    <row r="239" spans="1:21">
      <c r="F239" s="800" t="s">
        <v>1824</v>
      </c>
      <c r="G239" s="425" t="str">
        <f t="shared" si="25"/>
        <v/>
      </c>
      <c r="U239" s="426">
        <f t="shared" si="24"/>
        <v>0</v>
      </c>
    </row>
    <row r="240" spans="1:21">
      <c r="A240" s="426" t="str">
        <f t="shared" si="22"/>
        <v>KU</v>
      </c>
      <c r="B240" s="426" t="str">
        <f t="shared" si="21"/>
        <v>KY</v>
      </c>
      <c r="C240" s="426" t="str">
        <f t="shared" si="23"/>
        <v>E</v>
      </c>
      <c r="D240" s="426" t="s">
        <v>2657</v>
      </c>
      <c r="E240" s="426" t="str">
        <f t="shared" si="20"/>
        <v>303</v>
      </c>
      <c r="F240" s="741" t="s">
        <v>1721</v>
      </c>
      <c r="G240" s="425" t="str">
        <f t="shared" si="25"/>
        <v/>
      </c>
      <c r="H240" s="426">
        <v>2017.7218</v>
      </c>
      <c r="I240" s="426">
        <v>729.91202999999996</v>
      </c>
      <c r="J240" s="426">
        <v>287.09025000000003</v>
      </c>
      <c r="K240" s="426">
        <v>267.90303999999998</v>
      </c>
      <c r="L240" s="426">
        <v>1633.5499</v>
      </c>
      <c r="M240" s="426">
        <v>1182.35061</v>
      </c>
      <c r="N240" s="426">
        <v>4402.5154599999996</v>
      </c>
      <c r="O240" s="426">
        <v>1355.69821</v>
      </c>
      <c r="P240" s="426">
        <v>144.01275999999999</v>
      </c>
      <c r="Q240" s="426">
        <v>245.89718999999999</v>
      </c>
      <c r="R240" s="426">
        <v>321.69000999999997</v>
      </c>
      <c r="S240" s="426">
        <v>316.07508000000001</v>
      </c>
      <c r="T240" s="426">
        <v>931.94003999999995</v>
      </c>
      <c r="U240" s="426">
        <f t="shared" si="24"/>
        <v>11818.63458</v>
      </c>
    </row>
    <row r="241" spans="1:21">
      <c r="A241" s="426" t="str">
        <f t="shared" si="22"/>
        <v>KU</v>
      </c>
      <c r="B241" s="426" t="str">
        <f t="shared" si="21"/>
        <v>KY</v>
      </c>
      <c r="C241" s="426" t="str">
        <f t="shared" si="23"/>
        <v>E</v>
      </c>
      <c r="D241" s="426" t="s">
        <v>2657</v>
      </c>
      <c r="E241" s="426" t="str">
        <f t="shared" si="20"/>
        <v>303</v>
      </c>
      <c r="F241" s="741" t="s">
        <v>1722</v>
      </c>
      <c r="G241" s="425" t="str">
        <f t="shared" si="25"/>
        <v/>
      </c>
      <c r="H241" s="426">
        <v>0</v>
      </c>
      <c r="I241" s="426">
        <v>1900.15759</v>
      </c>
      <c r="J241" s="426">
        <v>37.226529999999997</v>
      </c>
      <c r="K241" s="426">
        <v>0</v>
      </c>
      <c r="L241" s="426">
        <v>149.27759</v>
      </c>
      <c r="M241" s="426">
        <v>0</v>
      </c>
      <c r="N241" s="426">
        <v>0</v>
      </c>
      <c r="O241" s="426">
        <v>0</v>
      </c>
      <c r="P241" s="426">
        <v>0</v>
      </c>
      <c r="Q241" s="426">
        <v>0</v>
      </c>
      <c r="R241" s="426">
        <v>0</v>
      </c>
      <c r="S241" s="426">
        <v>0</v>
      </c>
      <c r="T241" s="426">
        <v>0</v>
      </c>
      <c r="U241" s="426">
        <f t="shared" si="24"/>
        <v>2086.6617099999999</v>
      </c>
    </row>
    <row r="242" spans="1:21">
      <c r="A242" s="426" t="str">
        <f t="shared" si="22"/>
        <v>KU</v>
      </c>
      <c r="B242" s="426" t="str">
        <f t="shared" si="21"/>
        <v>KY</v>
      </c>
      <c r="C242" s="426" t="str">
        <f t="shared" si="23"/>
        <v>E</v>
      </c>
      <c r="D242" s="426" t="s">
        <v>2657</v>
      </c>
      <c r="E242" s="426" t="str">
        <f t="shared" si="20"/>
        <v>311</v>
      </c>
      <c r="F242" s="741" t="s">
        <v>1726</v>
      </c>
      <c r="G242" s="425" t="str">
        <f t="shared" si="25"/>
        <v>ECR</v>
      </c>
      <c r="H242" s="426">
        <v>0</v>
      </c>
      <c r="I242" s="426">
        <v>0</v>
      </c>
      <c r="J242" s="426">
        <v>0</v>
      </c>
      <c r="K242" s="426">
        <v>0</v>
      </c>
      <c r="L242" s="426">
        <v>0</v>
      </c>
      <c r="M242" s="426">
        <v>0</v>
      </c>
      <c r="N242" s="426">
        <v>0</v>
      </c>
      <c r="O242" s="426">
        <v>0</v>
      </c>
      <c r="P242" s="426">
        <v>0</v>
      </c>
      <c r="Q242" s="426">
        <v>0</v>
      </c>
      <c r="R242" s="426">
        <v>0</v>
      </c>
      <c r="S242" s="426">
        <v>0</v>
      </c>
      <c r="T242" s="426">
        <v>0</v>
      </c>
      <c r="U242" s="426">
        <f t="shared" si="24"/>
        <v>0</v>
      </c>
    </row>
    <row r="243" spans="1:21">
      <c r="A243" s="426" t="str">
        <f t="shared" si="22"/>
        <v>KU</v>
      </c>
      <c r="B243" s="426" t="str">
        <f t="shared" si="21"/>
        <v>KY</v>
      </c>
      <c r="C243" s="426" t="str">
        <f t="shared" si="23"/>
        <v>E</v>
      </c>
      <c r="D243" s="426" t="s">
        <v>2657</v>
      </c>
      <c r="E243" s="426" t="str">
        <f t="shared" ref="E243:E320" si="27">MID($F243,8,3)</f>
        <v>311</v>
      </c>
      <c r="F243" s="741" t="s">
        <v>1727</v>
      </c>
      <c r="G243" s="425" t="str">
        <f t="shared" si="25"/>
        <v/>
      </c>
      <c r="H243" s="426">
        <v>0</v>
      </c>
      <c r="I243" s="426">
        <v>0</v>
      </c>
      <c r="J243" s="426">
        <v>0</v>
      </c>
      <c r="K243" s="426">
        <v>0</v>
      </c>
      <c r="L243" s="426">
        <v>0</v>
      </c>
      <c r="M243" s="426">
        <v>0</v>
      </c>
      <c r="N243" s="426">
        <v>0</v>
      </c>
      <c r="O243" s="426">
        <v>0</v>
      </c>
      <c r="P243" s="426">
        <v>0</v>
      </c>
      <c r="Q243" s="426">
        <v>0</v>
      </c>
      <c r="R243" s="426">
        <v>0</v>
      </c>
      <c r="S243" s="426">
        <v>0</v>
      </c>
      <c r="T243" s="426">
        <v>0</v>
      </c>
      <c r="U243" s="426">
        <f t="shared" si="24"/>
        <v>0</v>
      </c>
    </row>
    <row r="244" spans="1:21">
      <c r="A244" s="426" t="str">
        <f t="shared" si="22"/>
        <v>KU</v>
      </c>
      <c r="B244" s="426" t="str">
        <f t="shared" si="21"/>
        <v>KY</v>
      </c>
      <c r="C244" s="426" t="str">
        <f t="shared" si="23"/>
        <v>E</v>
      </c>
      <c r="D244" s="426" t="s">
        <v>2657</v>
      </c>
      <c r="E244" s="426" t="str">
        <f t="shared" si="27"/>
        <v>312</v>
      </c>
      <c r="F244" s="741" t="s">
        <v>1728</v>
      </c>
      <c r="G244" s="425" t="str">
        <f t="shared" si="25"/>
        <v/>
      </c>
      <c r="H244" s="426">
        <v>288.77370000000002</v>
      </c>
      <c r="I244" s="426">
        <v>660.97753999999998</v>
      </c>
      <c r="J244" s="426">
        <v>1759.83716</v>
      </c>
      <c r="K244" s="426">
        <v>527.59177999999997</v>
      </c>
      <c r="L244" s="426">
        <v>338.87012999999899</v>
      </c>
      <c r="M244" s="426">
        <v>816.35341999999901</v>
      </c>
      <c r="N244" s="426">
        <v>9612.4240499999996</v>
      </c>
      <c r="O244" s="426">
        <v>1117.70433</v>
      </c>
      <c r="P244" s="426">
        <v>5615.66272999999</v>
      </c>
      <c r="Q244" s="426">
        <v>1382.94274</v>
      </c>
      <c r="R244" s="426">
        <v>129.40831</v>
      </c>
      <c r="S244" s="426">
        <v>1271.61481</v>
      </c>
      <c r="T244" s="426">
        <v>288.77370000000002</v>
      </c>
      <c r="U244" s="426">
        <f t="shared" si="24"/>
        <v>23522.160699999986</v>
      </c>
    </row>
    <row r="245" spans="1:21">
      <c r="A245" s="426" t="str">
        <f t="shared" si="22"/>
        <v>KU</v>
      </c>
      <c r="B245" s="426" t="str">
        <f t="shared" si="21"/>
        <v>KY</v>
      </c>
      <c r="C245" s="426" t="str">
        <f t="shared" si="23"/>
        <v>E</v>
      </c>
      <c r="D245" s="426" t="s">
        <v>2657</v>
      </c>
      <c r="E245" s="426" t="str">
        <f t="shared" si="27"/>
        <v>312</v>
      </c>
      <c r="F245" s="741" t="s">
        <v>1730</v>
      </c>
      <c r="G245" s="425" t="str">
        <f t="shared" si="25"/>
        <v>ECR</v>
      </c>
      <c r="H245" s="426">
        <v>176.48099999999999</v>
      </c>
      <c r="I245" s="426">
        <v>0</v>
      </c>
      <c r="J245" s="426">
        <v>0</v>
      </c>
      <c r="K245" s="426">
        <v>0</v>
      </c>
      <c r="L245" s="426">
        <v>0</v>
      </c>
      <c r="M245" s="426">
        <v>0</v>
      </c>
      <c r="N245" s="426">
        <v>0</v>
      </c>
      <c r="O245" s="426">
        <v>0</v>
      </c>
      <c r="P245" s="426">
        <v>0</v>
      </c>
      <c r="Q245" s="426">
        <v>0</v>
      </c>
      <c r="R245" s="426">
        <v>0</v>
      </c>
      <c r="S245" s="426">
        <v>0</v>
      </c>
      <c r="T245" s="426">
        <v>0</v>
      </c>
      <c r="U245" s="426">
        <f t="shared" si="24"/>
        <v>0</v>
      </c>
    </row>
    <row r="246" spans="1:21">
      <c r="A246" s="426" t="str">
        <f t="shared" si="22"/>
        <v>KU</v>
      </c>
      <c r="B246" s="426" t="str">
        <f t="shared" si="21"/>
        <v>KY</v>
      </c>
      <c r="C246" s="426" t="str">
        <f t="shared" si="23"/>
        <v>E</v>
      </c>
      <c r="D246" s="426" t="s">
        <v>2657</v>
      </c>
      <c r="E246" s="426" t="str">
        <f t="shared" si="27"/>
        <v>314</v>
      </c>
      <c r="F246" s="741" t="s">
        <v>1732</v>
      </c>
      <c r="G246" s="425" t="str">
        <f t="shared" si="25"/>
        <v/>
      </c>
      <c r="H246" s="426">
        <v>71.097899999999996</v>
      </c>
      <c r="I246" s="426">
        <v>162.73680999999999</v>
      </c>
      <c r="J246" s="426">
        <v>433.28291999999999</v>
      </c>
      <c r="K246" s="426">
        <v>129.89639</v>
      </c>
      <c r="L246" s="426">
        <v>83.431939999999997</v>
      </c>
      <c r="M246" s="426">
        <v>148.65082000000001</v>
      </c>
      <c r="N246" s="426">
        <v>246.20741000000001</v>
      </c>
      <c r="O246" s="426">
        <v>275.18579999999997</v>
      </c>
      <c r="P246" s="426">
        <v>1382.6113</v>
      </c>
      <c r="Q246" s="426">
        <v>37.40925</v>
      </c>
      <c r="R246" s="426">
        <v>31.861129999999999</v>
      </c>
      <c r="S246" s="426">
        <v>313.07952</v>
      </c>
      <c r="T246" s="426">
        <v>71.097899999999996</v>
      </c>
      <c r="U246" s="426">
        <f t="shared" si="24"/>
        <v>3315.4511900000002</v>
      </c>
    </row>
    <row r="247" spans="1:21">
      <c r="A247" s="426" t="str">
        <f t="shared" si="22"/>
        <v>KU</v>
      </c>
      <c r="B247" s="426" t="str">
        <f t="shared" si="21"/>
        <v>KY</v>
      </c>
      <c r="C247" s="426" t="str">
        <f t="shared" si="23"/>
        <v>E</v>
      </c>
      <c r="D247" s="426" t="s">
        <v>2657</v>
      </c>
      <c r="E247" s="426" t="str">
        <f t="shared" si="27"/>
        <v>315</v>
      </c>
      <c r="F247" s="741" t="s">
        <v>1733</v>
      </c>
      <c r="G247" s="425" t="str">
        <f t="shared" si="25"/>
        <v/>
      </c>
      <c r="H247" s="426">
        <v>0</v>
      </c>
      <c r="I247" s="426">
        <v>0</v>
      </c>
      <c r="J247" s="426">
        <v>0</v>
      </c>
      <c r="K247" s="426">
        <v>0</v>
      </c>
      <c r="L247" s="426">
        <v>0</v>
      </c>
      <c r="M247" s="426">
        <v>0</v>
      </c>
      <c r="N247" s="426">
        <v>0</v>
      </c>
      <c r="O247" s="426">
        <v>0</v>
      </c>
      <c r="P247" s="426">
        <v>0</v>
      </c>
      <c r="Q247" s="426">
        <v>0</v>
      </c>
      <c r="R247" s="426">
        <v>0</v>
      </c>
      <c r="S247" s="426">
        <v>0</v>
      </c>
      <c r="T247" s="426">
        <v>0</v>
      </c>
      <c r="U247" s="426">
        <f t="shared" si="24"/>
        <v>0</v>
      </c>
    </row>
    <row r="248" spans="1:21">
      <c r="A248" s="426" t="str">
        <f t="shared" si="22"/>
        <v>KU</v>
      </c>
      <c r="B248" s="426" t="str">
        <f t="shared" si="21"/>
        <v>KY</v>
      </c>
      <c r="C248" s="426" t="str">
        <f t="shared" si="23"/>
        <v>E</v>
      </c>
      <c r="D248" s="426" t="s">
        <v>2657</v>
      </c>
      <c r="E248" s="426" t="str">
        <f t="shared" si="27"/>
        <v>316</v>
      </c>
      <c r="F248" s="741" t="s">
        <v>1735</v>
      </c>
      <c r="G248" s="425" t="str">
        <f t="shared" si="25"/>
        <v/>
      </c>
      <c r="H248" s="426">
        <v>0</v>
      </c>
      <c r="I248" s="426">
        <v>0</v>
      </c>
      <c r="J248" s="426">
        <v>0</v>
      </c>
      <c r="K248" s="426">
        <v>0</v>
      </c>
      <c r="L248" s="426">
        <v>0</v>
      </c>
      <c r="M248" s="426">
        <v>0</v>
      </c>
      <c r="N248" s="426">
        <v>0</v>
      </c>
      <c r="O248" s="426">
        <v>0</v>
      </c>
      <c r="P248" s="426">
        <v>0</v>
      </c>
      <c r="Q248" s="426">
        <v>0</v>
      </c>
      <c r="R248" s="426">
        <v>0</v>
      </c>
      <c r="S248" s="426">
        <v>0</v>
      </c>
      <c r="T248" s="426">
        <v>0</v>
      </c>
      <c r="U248" s="426">
        <f t="shared" si="24"/>
        <v>0</v>
      </c>
    </row>
    <row r="249" spans="1:21">
      <c r="A249" s="426" t="str">
        <f t="shared" si="22"/>
        <v>KU</v>
      </c>
      <c r="B249" s="426" t="str">
        <f t="shared" si="21"/>
        <v>KY</v>
      </c>
      <c r="C249" s="426" t="str">
        <f t="shared" si="23"/>
        <v>E</v>
      </c>
      <c r="D249" s="426" t="s">
        <v>2657</v>
      </c>
      <c r="E249" s="426" t="str">
        <f t="shared" si="27"/>
        <v>317</v>
      </c>
      <c r="F249" s="741" t="s">
        <v>1736</v>
      </c>
      <c r="G249" s="425" t="str">
        <f t="shared" si="25"/>
        <v>ARO</v>
      </c>
      <c r="H249" s="426">
        <v>0</v>
      </c>
      <c r="I249" s="426">
        <v>0</v>
      </c>
      <c r="J249" s="426">
        <v>0</v>
      </c>
      <c r="K249" s="426">
        <v>0</v>
      </c>
      <c r="L249" s="426">
        <v>0</v>
      </c>
      <c r="M249" s="426">
        <v>0</v>
      </c>
      <c r="N249" s="426">
        <v>0</v>
      </c>
      <c r="O249" s="426">
        <v>0</v>
      </c>
      <c r="P249" s="426">
        <v>0</v>
      </c>
      <c r="Q249" s="426">
        <v>0</v>
      </c>
      <c r="R249" s="426">
        <v>0</v>
      </c>
      <c r="S249" s="426">
        <v>0</v>
      </c>
      <c r="T249" s="426">
        <v>0</v>
      </c>
      <c r="U249" s="426">
        <f t="shared" si="24"/>
        <v>0</v>
      </c>
    </row>
    <row r="250" spans="1:21">
      <c r="A250" s="426" t="str">
        <f t="shared" si="22"/>
        <v>KU</v>
      </c>
      <c r="B250" s="426" t="str">
        <f t="shared" si="21"/>
        <v>KY</v>
      </c>
      <c r="C250" s="426" t="str">
        <f t="shared" si="23"/>
        <v>E</v>
      </c>
      <c r="D250" s="426" t="s">
        <v>2657</v>
      </c>
      <c r="E250" s="426" t="str">
        <f t="shared" si="27"/>
        <v>317</v>
      </c>
      <c r="F250" s="741" t="s">
        <v>2398</v>
      </c>
      <c r="G250" s="425" t="str">
        <f t="shared" si="25"/>
        <v>ARO</v>
      </c>
      <c r="H250" s="426">
        <v>0</v>
      </c>
      <c r="I250" s="426">
        <v>0</v>
      </c>
      <c r="J250" s="426">
        <v>0</v>
      </c>
      <c r="K250" s="426">
        <v>0</v>
      </c>
      <c r="L250" s="426">
        <v>0</v>
      </c>
      <c r="M250" s="426">
        <v>0</v>
      </c>
      <c r="N250" s="426">
        <v>0</v>
      </c>
      <c r="O250" s="426">
        <v>23433.54062</v>
      </c>
      <c r="P250" s="426">
        <v>0</v>
      </c>
      <c r="Q250" s="426">
        <v>0</v>
      </c>
      <c r="R250" s="426">
        <v>0</v>
      </c>
      <c r="S250" s="426">
        <v>0</v>
      </c>
      <c r="T250" s="426">
        <v>0</v>
      </c>
      <c r="U250" s="426">
        <f t="shared" si="24"/>
        <v>23433.54062</v>
      </c>
    </row>
    <row r="251" spans="1:21">
      <c r="A251" s="426" t="str">
        <f t="shared" si="22"/>
        <v>KU</v>
      </c>
      <c r="B251" s="426" t="str">
        <f t="shared" si="21"/>
        <v>KY</v>
      </c>
      <c r="C251" s="426" t="str">
        <f t="shared" si="23"/>
        <v>E</v>
      </c>
      <c r="D251" s="426" t="s">
        <v>2657</v>
      </c>
      <c r="E251" s="426" t="str">
        <f t="shared" si="27"/>
        <v>332</v>
      </c>
      <c r="F251" s="741" t="s">
        <v>1739</v>
      </c>
      <c r="G251" s="425" t="str">
        <f t="shared" si="25"/>
        <v/>
      </c>
      <c r="H251" s="426">
        <v>0</v>
      </c>
      <c r="I251" s="426">
        <v>0</v>
      </c>
      <c r="J251" s="426">
        <v>0</v>
      </c>
      <c r="K251" s="426">
        <v>0</v>
      </c>
      <c r="L251" s="426">
        <v>0</v>
      </c>
      <c r="M251" s="426">
        <v>0</v>
      </c>
      <c r="N251" s="426">
        <v>0</v>
      </c>
      <c r="O251" s="426">
        <v>0</v>
      </c>
      <c r="P251" s="426">
        <v>0</v>
      </c>
      <c r="Q251" s="426">
        <v>0</v>
      </c>
      <c r="R251" s="426">
        <v>0</v>
      </c>
      <c r="S251" s="426">
        <v>0</v>
      </c>
      <c r="T251" s="426">
        <v>0</v>
      </c>
      <c r="U251" s="426">
        <f t="shared" si="24"/>
        <v>0</v>
      </c>
    </row>
    <row r="252" spans="1:21">
      <c r="A252" s="426" t="str">
        <f t="shared" si="22"/>
        <v>KU</v>
      </c>
      <c r="B252" s="426" t="str">
        <f t="shared" si="21"/>
        <v>KY</v>
      </c>
      <c r="C252" s="426" t="str">
        <f t="shared" si="23"/>
        <v>E</v>
      </c>
      <c r="D252" s="426" t="s">
        <v>2657</v>
      </c>
      <c r="E252" s="426" t="str">
        <f t="shared" si="27"/>
        <v>334</v>
      </c>
      <c r="F252" s="741" t="s">
        <v>1741</v>
      </c>
      <c r="G252" s="425" t="str">
        <f t="shared" si="25"/>
        <v/>
      </c>
      <c r="H252" s="426">
        <v>0</v>
      </c>
      <c r="I252" s="426">
        <v>0</v>
      </c>
      <c r="J252" s="426">
        <v>0</v>
      </c>
      <c r="K252" s="426">
        <v>0</v>
      </c>
      <c r="L252" s="426">
        <v>0</v>
      </c>
      <c r="M252" s="426">
        <v>0</v>
      </c>
      <c r="N252" s="426">
        <v>0</v>
      </c>
      <c r="O252" s="426">
        <v>0</v>
      </c>
      <c r="P252" s="426">
        <v>0</v>
      </c>
      <c r="Q252" s="426">
        <v>0</v>
      </c>
      <c r="R252" s="426">
        <v>0</v>
      </c>
      <c r="S252" s="426">
        <v>0</v>
      </c>
      <c r="T252" s="426">
        <v>0</v>
      </c>
      <c r="U252" s="426">
        <f t="shared" si="24"/>
        <v>0</v>
      </c>
    </row>
    <row r="253" spans="1:21">
      <c r="A253" s="426" t="str">
        <f t="shared" si="22"/>
        <v>KU</v>
      </c>
      <c r="B253" s="426" t="str">
        <f t="shared" si="21"/>
        <v>KY</v>
      </c>
      <c r="C253" s="426" t="str">
        <f t="shared" si="23"/>
        <v>E</v>
      </c>
      <c r="D253" s="426" t="s">
        <v>2657</v>
      </c>
      <c r="E253" s="426" t="str">
        <f t="shared" si="27"/>
        <v>336</v>
      </c>
      <c r="F253" s="741" t="s">
        <v>1743</v>
      </c>
      <c r="G253" s="425" t="str">
        <f t="shared" si="25"/>
        <v/>
      </c>
      <c r="H253" s="426">
        <v>0</v>
      </c>
      <c r="I253" s="426">
        <v>0</v>
      </c>
      <c r="J253" s="426">
        <v>0</v>
      </c>
      <c r="K253" s="426">
        <v>0</v>
      </c>
      <c r="L253" s="426">
        <v>0</v>
      </c>
      <c r="M253" s="426">
        <v>0</v>
      </c>
      <c r="N253" s="426">
        <v>0</v>
      </c>
      <c r="O253" s="426">
        <v>0</v>
      </c>
      <c r="P253" s="426">
        <v>0</v>
      </c>
      <c r="Q253" s="426">
        <v>0</v>
      </c>
      <c r="R253" s="426">
        <v>0</v>
      </c>
      <c r="S253" s="426">
        <v>0</v>
      </c>
      <c r="T253" s="426">
        <v>0</v>
      </c>
      <c r="U253" s="426">
        <f t="shared" si="24"/>
        <v>0</v>
      </c>
    </row>
    <row r="254" spans="1:21">
      <c r="A254" s="426" t="str">
        <f t="shared" si="22"/>
        <v>KU</v>
      </c>
      <c r="B254" s="426" t="str">
        <f t="shared" si="21"/>
        <v>KY</v>
      </c>
      <c r="C254" s="426" t="str">
        <f t="shared" si="23"/>
        <v>E</v>
      </c>
      <c r="D254" s="426" t="s">
        <v>2657</v>
      </c>
      <c r="E254" s="426" t="str">
        <f t="shared" si="27"/>
        <v>341</v>
      </c>
      <c r="F254" s="741" t="s">
        <v>1746</v>
      </c>
      <c r="G254" s="425" t="str">
        <f t="shared" si="25"/>
        <v/>
      </c>
      <c r="H254" s="426">
        <v>0</v>
      </c>
      <c r="I254" s="426">
        <v>0</v>
      </c>
      <c r="J254" s="426">
        <v>0</v>
      </c>
      <c r="K254" s="426">
        <v>0</v>
      </c>
      <c r="L254" s="426">
        <v>0</v>
      </c>
      <c r="M254" s="426">
        <v>0</v>
      </c>
      <c r="N254" s="426">
        <v>0</v>
      </c>
      <c r="O254" s="426">
        <v>0</v>
      </c>
      <c r="P254" s="426">
        <v>0</v>
      </c>
      <c r="Q254" s="426">
        <v>0</v>
      </c>
      <c r="R254" s="426">
        <v>0</v>
      </c>
      <c r="S254" s="426">
        <v>0</v>
      </c>
      <c r="T254" s="426">
        <v>0</v>
      </c>
      <c r="U254" s="426">
        <f t="shared" si="24"/>
        <v>0</v>
      </c>
    </row>
    <row r="255" spans="1:21">
      <c r="A255" s="426" t="str">
        <f t="shared" si="22"/>
        <v>KU</v>
      </c>
      <c r="B255" s="426" t="str">
        <f t="shared" si="21"/>
        <v>KY</v>
      </c>
      <c r="C255" s="426" t="str">
        <f t="shared" si="23"/>
        <v>E</v>
      </c>
      <c r="D255" s="426" t="s">
        <v>2657</v>
      </c>
      <c r="E255" s="426" t="str">
        <f t="shared" si="27"/>
        <v>341</v>
      </c>
      <c r="F255" s="741" t="s">
        <v>2184</v>
      </c>
      <c r="G255" s="425" t="str">
        <f t="shared" si="25"/>
        <v/>
      </c>
      <c r="H255" s="426">
        <v>0</v>
      </c>
      <c r="I255" s="426">
        <v>0</v>
      </c>
      <c r="J255" s="426">
        <v>0</v>
      </c>
      <c r="K255" s="426">
        <v>0</v>
      </c>
      <c r="L255" s="426">
        <v>0</v>
      </c>
      <c r="M255" s="426">
        <v>0</v>
      </c>
      <c r="N255" s="426">
        <v>0</v>
      </c>
      <c r="O255" s="426">
        <v>0</v>
      </c>
      <c r="P255" s="426">
        <v>0</v>
      </c>
      <c r="Q255" s="426">
        <v>0</v>
      </c>
      <c r="R255" s="426">
        <v>0</v>
      </c>
      <c r="S255" s="426">
        <v>0</v>
      </c>
      <c r="T255" s="426">
        <v>0</v>
      </c>
      <c r="U255" s="426">
        <f t="shared" si="24"/>
        <v>0</v>
      </c>
    </row>
    <row r="256" spans="1:21">
      <c r="A256" s="426" t="str">
        <f t="shared" si="22"/>
        <v>KU</v>
      </c>
      <c r="B256" s="426" t="str">
        <f t="shared" si="21"/>
        <v>KY</v>
      </c>
      <c r="C256" s="426" t="str">
        <f t="shared" si="23"/>
        <v>E</v>
      </c>
      <c r="D256" s="426" t="s">
        <v>2657</v>
      </c>
      <c r="E256" s="426" t="str">
        <f t="shared" si="27"/>
        <v>342</v>
      </c>
      <c r="F256" s="741" t="s">
        <v>1747</v>
      </c>
      <c r="G256" s="425" t="str">
        <f t="shared" si="25"/>
        <v/>
      </c>
      <c r="H256" s="426">
        <v>0</v>
      </c>
      <c r="I256" s="426">
        <v>0</v>
      </c>
      <c r="J256" s="426">
        <v>0</v>
      </c>
      <c r="K256" s="426">
        <v>0</v>
      </c>
      <c r="L256" s="426">
        <v>0</v>
      </c>
      <c r="M256" s="426">
        <v>0</v>
      </c>
      <c r="N256" s="426">
        <v>0</v>
      </c>
      <c r="O256" s="426">
        <v>0</v>
      </c>
      <c r="P256" s="426">
        <v>0</v>
      </c>
      <c r="Q256" s="426">
        <v>0</v>
      </c>
      <c r="R256" s="426">
        <v>0</v>
      </c>
      <c r="S256" s="426">
        <v>0</v>
      </c>
      <c r="T256" s="426">
        <v>0</v>
      </c>
      <c r="U256" s="426">
        <f t="shared" si="24"/>
        <v>0</v>
      </c>
    </row>
    <row r="257" spans="1:21">
      <c r="A257" s="426" t="str">
        <f t="shared" si="22"/>
        <v>KU</v>
      </c>
      <c r="B257" s="426" t="str">
        <f t="shared" si="21"/>
        <v>KY</v>
      </c>
      <c r="C257" s="426" t="str">
        <f t="shared" si="23"/>
        <v>E</v>
      </c>
      <c r="D257" s="426" t="s">
        <v>2657</v>
      </c>
      <c r="E257" s="426" t="str">
        <f t="shared" si="27"/>
        <v>343</v>
      </c>
      <c r="F257" s="741" t="s">
        <v>1748</v>
      </c>
      <c r="G257" s="425" t="str">
        <f t="shared" si="25"/>
        <v/>
      </c>
      <c r="H257" s="426">
        <v>0</v>
      </c>
      <c r="I257" s="426">
        <v>0</v>
      </c>
      <c r="J257" s="426">
        <v>0</v>
      </c>
      <c r="K257" s="426">
        <v>0</v>
      </c>
      <c r="L257" s="426">
        <v>0</v>
      </c>
      <c r="M257" s="426">
        <v>0</v>
      </c>
      <c r="N257" s="426">
        <v>0</v>
      </c>
      <c r="O257" s="426">
        <v>0</v>
      </c>
      <c r="P257" s="426">
        <v>0</v>
      </c>
      <c r="Q257" s="426">
        <v>0</v>
      </c>
      <c r="R257" s="426">
        <v>0</v>
      </c>
      <c r="S257" s="426">
        <v>0</v>
      </c>
      <c r="T257" s="426">
        <v>0</v>
      </c>
      <c r="U257" s="426">
        <f t="shared" si="24"/>
        <v>0</v>
      </c>
    </row>
    <row r="258" spans="1:21">
      <c r="A258" s="426" t="str">
        <f t="shared" si="22"/>
        <v>KU</v>
      </c>
      <c r="B258" s="426" t="str">
        <f t="shared" si="21"/>
        <v>KY</v>
      </c>
      <c r="C258" s="426" t="str">
        <f t="shared" si="23"/>
        <v>E</v>
      </c>
      <c r="D258" s="426" t="s">
        <v>2657</v>
      </c>
      <c r="E258" s="426" t="str">
        <f t="shared" si="27"/>
        <v>343</v>
      </c>
      <c r="F258" s="741" t="s">
        <v>2188</v>
      </c>
      <c r="G258" s="425" t="str">
        <f t="shared" si="25"/>
        <v/>
      </c>
      <c r="H258" s="426">
        <v>0</v>
      </c>
      <c r="I258" s="426">
        <v>0</v>
      </c>
      <c r="J258" s="426">
        <v>0</v>
      </c>
      <c r="K258" s="426">
        <v>0</v>
      </c>
      <c r="L258" s="426">
        <v>0</v>
      </c>
      <c r="M258" s="426">
        <v>0</v>
      </c>
      <c r="N258" s="426">
        <v>0</v>
      </c>
      <c r="O258" s="426">
        <v>0</v>
      </c>
      <c r="P258" s="426">
        <v>0</v>
      </c>
      <c r="Q258" s="426">
        <v>1346.8535199999999</v>
      </c>
      <c r="R258" s="426">
        <v>0</v>
      </c>
      <c r="S258" s="426">
        <v>0</v>
      </c>
      <c r="T258" s="426">
        <v>0</v>
      </c>
      <c r="U258" s="426">
        <f t="shared" si="24"/>
        <v>1346.8535199999999</v>
      </c>
    </row>
    <row r="259" spans="1:21">
      <c r="A259" s="426" t="str">
        <f t="shared" si="22"/>
        <v>KU</v>
      </c>
      <c r="B259" s="426" t="str">
        <f t="shared" si="21"/>
        <v>KY</v>
      </c>
      <c r="C259" s="426" t="str">
        <f t="shared" si="23"/>
        <v>E</v>
      </c>
      <c r="D259" s="426" t="s">
        <v>2657</v>
      </c>
      <c r="E259" s="426" t="str">
        <f t="shared" si="27"/>
        <v>344</v>
      </c>
      <c r="F259" s="741" t="s">
        <v>1749</v>
      </c>
      <c r="G259" s="425" t="str">
        <f t="shared" si="25"/>
        <v/>
      </c>
      <c r="H259" s="426">
        <v>0</v>
      </c>
      <c r="I259" s="426">
        <v>0</v>
      </c>
      <c r="J259" s="426">
        <v>0</v>
      </c>
      <c r="K259" s="426">
        <v>0</v>
      </c>
      <c r="L259" s="426">
        <v>0</v>
      </c>
      <c r="M259" s="426">
        <v>0</v>
      </c>
      <c r="N259" s="426">
        <v>0</v>
      </c>
      <c r="O259" s="426">
        <v>0</v>
      </c>
      <c r="P259" s="426">
        <v>0</v>
      </c>
      <c r="Q259" s="426">
        <v>0</v>
      </c>
      <c r="R259" s="426">
        <v>0</v>
      </c>
      <c r="S259" s="426">
        <v>0</v>
      </c>
      <c r="T259" s="426">
        <v>0</v>
      </c>
      <c r="U259" s="426">
        <f t="shared" si="24"/>
        <v>0</v>
      </c>
    </row>
    <row r="260" spans="1:21">
      <c r="A260" s="426" t="str">
        <f t="shared" si="22"/>
        <v>KU</v>
      </c>
      <c r="B260" s="426" t="str">
        <f t="shared" si="21"/>
        <v>KY</v>
      </c>
      <c r="C260" s="426" t="str">
        <f t="shared" si="23"/>
        <v>E</v>
      </c>
      <c r="D260" s="426" t="s">
        <v>2657</v>
      </c>
      <c r="E260" s="426" t="str">
        <f t="shared" si="27"/>
        <v>352</v>
      </c>
      <c r="F260" s="741" t="s">
        <v>1756</v>
      </c>
      <c r="G260" s="425" t="str">
        <f t="shared" si="25"/>
        <v/>
      </c>
      <c r="H260" s="426">
        <v>0</v>
      </c>
      <c r="I260" s="426">
        <v>0</v>
      </c>
      <c r="J260" s="426">
        <v>0</v>
      </c>
      <c r="K260" s="426">
        <v>0</v>
      </c>
      <c r="L260" s="426">
        <v>0</v>
      </c>
      <c r="M260" s="426">
        <v>0</v>
      </c>
      <c r="N260" s="426">
        <v>0</v>
      </c>
      <c r="O260" s="426">
        <v>0</v>
      </c>
      <c r="P260" s="426">
        <v>0</v>
      </c>
      <c r="Q260" s="426">
        <v>0</v>
      </c>
      <c r="R260" s="426">
        <v>0</v>
      </c>
      <c r="S260" s="426">
        <v>0</v>
      </c>
      <c r="T260" s="426">
        <v>0</v>
      </c>
      <c r="U260" s="426">
        <f t="shared" si="24"/>
        <v>0</v>
      </c>
    </row>
    <row r="261" spans="1:21">
      <c r="A261" s="426" t="str">
        <f t="shared" si="22"/>
        <v>KU</v>
      </c>
      <c r="B261" s="426" t="str">
        <f t="shared" si="21"/>
        <v>VA</v>
      </c>
      <c r="C261" s="426" t="str">
        <f t="shared" si="23"/>
        <v>E</v>
      </c>
      <c r="D261" s="426" t="s">
        <v>2657</v>
      </c>
      <c r="E261" s="426" t="str">
        <f t="shared" si="27"/>
        <v>352</v>
      </c>
      <c r="F261" s="741" t="s">
        <v>1757</v>
      </c>
      <c r="G261" s="425" t="str">
        <f t="shared" si="25"/>
        <v/>
      </c>
      <c r="H261" s="426">
        <v>0</v>
      </c>
      <c r="I261" s="426">
        <v>0</v>
      </c>
      <c r="J261" s="426">
        <v>0</v>
      </c>
      <c r="K261" s="426">
        <v>0</v>
      </c>
      <c r="L261" s="426">
        <v>0</v>
      </c>
      <c r="M261" s="426">
        <v>0</v>
      </c>
      <c r="N261" s="426">
        <v>0</v>
      </c>
      <c r="O261" s="426">
        <v>0</v>
      </c>
      <c r="P261" s="426">
        <v>0</v>
      </c>
      <c r="Q261" s="426">
        <v>0</v>
      </c>
      <c r="R261" s="426">
        <v>0</v>
      </c>
      <c r="S261" s="426">
        <v>0</v>
      </c>
      <c r="T261" s="426">
        <v>0</v>
      </c>
      <c r="U261" s="426">
        <f t="shared" si="24"/>
        <v>0</v>
      </c>
    </row>
    <row r="262" spans="1:21">
      <c r="A262" s="426" t="str">
        <f t="shared" si="22"/>
        <v>KU</v>
      </c>
      <c r="B262" s="426" t="str">
        <f t="shared" si="21"/>
        <v>KY</v>
      </c>
      <c r="C262" s="426" t="str">
        <f t="shared" si="23"/>
        <v>E</v>
      </c>
      <c r="D262" s="426" t="s">
        <v>2657</v>
      </c>
      <c r="E262" s="426" t="str">
        <f t="shared" si="27"/>
        <v>353</v>
      </c>
      <c r="F262" s="741" t="s">
        <v>1758</v>
      </c>
      <c r="G262" s="425" t="str">
        <f t="shared" si="25"/>
        <v/>
      </c>
      <c r="H262" s="426">
        <v>297.10507999999999</v>
      </c>
      <c r="I262" s="426">
        <v>235.21674999999999</v>
      </c>
      <c r="J262" s="426">
        <v>214.01203000000001</v>
      </c>
      <c r="K262" s="426">
        <v>179.55958999999999</v>
      </c>
      <c r="L262" s="426">
        <v>248.89492999999999</v>
      </c>
      <c r="M262" s="426">
        <v>389.31554999999997</v>
      </c>
      <c r="N262" s="426">
        <v>296.33222999999998</v>
      </c>
      <c r="O262" s="426">
        <v>155.90189000000001</v>
      </c>
      <c r="P262" s="426">
        <v>243.24212</v>
      </c>
      <c r="Q262" s="426">
        <v>170.45784</v>
      </c>
      <c r="R262" s="426">
        <v>202.41368</v>
      </c>
      <c r="S262" s="426">
        <v>340.14636000000002</v>
      </c>
      <c r="T262" s="426">
        <v>297.10507999999999</v>
      </c>
      <c r="U262" s="426">
        <f t="shared" si="24"/>
        <v>2972.5980500000001</v>
      </c>
    </row>
    <row r="263" spans="1:21">
      <c r="A263" s="426" t="str">
        <f t="shared" si="22"/>
        <v>KU</v>
      </c>
      <c r="B263" s="426" t="str">
        <f t="shared" ref="B263:B364" si="28">IF(MID($F263,12,2)="- ","KY",IF(MID($F263,12,2)="SY","KY",MID($F263,12,2)))</f>
        <v>VA</v>
      </c>
      <c r="C263" s="426" t="str">
        <f t="shared" si="23"/>
        <v>E</v>
      </c>
      <c r="D263" s="426" t="s">
        <v>2657</v>
      </c>
      <c r="E263" s="426" t="str">
        <f t="shared" si="27"/>
        <v>353</v>
      </c>
      <c r="F263" s="741" t="s">
        <v>1760</v>
      </c>
      <c r="G263" s="425" t="str">
        <f t="shared" si="25"/>
        <v/>
      </c>
      <c r="H263" s="426">
        <v>0</v>
      </c>
      <c r="I263" s="426">
        <v>0</v>
      </c>
      <c r="J263" s="426">
        <v>0</v>
      </c>
      <c r="K263" s="426">
        <v>0</v>
      </c>
      <c r="L263" s="426">
        <v>0</v>
      </c>
      <c r="M263" s="426">
        <v>0</v>
      </c>
      <c r="N263" s="426">
        <v>0</v>
      </c>
      <c r="O263" s="426">
        <v>0</v>
      </c>
      <c r="P263" s="426">
        <v>0</v>
      </c>
      <c r="Q263" s="426">
        <v>0</v>
      </c>
      <c r="R263" s="426">
        <v>0</v>
      </c>
      <c r="S263" s="426">
        <v>0</v>
      </c>
      <c r="T263" s="426">
        <v>0</v>
      </c>
      <c r="U263" s="426">
        <f t="shared" si="24"/>
        <v>0</v>
      </c>
    </row>
    <row r="264" spans="1:21">
      <c r="A264" s="426" t="str">
        <f t="shared" si="22"/>
        <v>KU</v>
      </c>
      <c r="B264" s="426" t="str">
        <f t="shared" si="28"/>
        <v>KY</v>
      </c>
      <c r="C264" s="426" t="str">
        <f t="shared" si="23"/>
        <v>E</v>
      </c>
      <c r="D264" s="426" t="s">
        <v>2657</v>
      </c>
      <c r="E264" s="426" t="str">
        <f t="shared" si="27"/>
        <v>355</v>
      </c>
      <c r="F264" s="741" t="s">
        <v>1763</v>
      </c>
      <c r="G264" s="425" t="str">
        <f t="shared" si="25"/>
        <v/>
      </c>
      <c r="H264" s="426">
        <v>285.68768</v>
      </c>
      <c r="I264" s="426">
        <v>226.17765</v>
      </c>
      <c r="J264" s="426">
        <v>205.7878</v>
      </c>
      <c r="K264" s="426">
        <v>172.65932999999899</v>
      </c>
      <c r="L264" s="426">
        <v>239.33018999999999</v>
      </c>
      <c r="M264" s="426">
        <v>374.35460999999998</v>
      </c>
      <c r="N264" s="426">
        <v>284.94453999999899</v>
      </c>
      <c r="O264" s="426">
        <v>149.91076000000001</v>
      </c>
      <c r="P264" s="426">
        <v>233.89461</v>
      </c>
      <c r="Q264" s="426">
        <v>163.90735000000001</v>
      </c>
      <c r="R264" s="426">
        <v>194.63516000000001</v>
      </c>
      <c r="S264" s="426">
        <v>327.07492999999999</v>
      </c>
      <c r="T264" s="426">
        <v>285.68768</v>
      </c>
      <c r="U264" s="426">
        <f t="shared" si="24"/>
        <v>2858.3646099999978</v>
      </c>
    </row>
    <row r="265" spans="1:21">
      <c r="A265" s="426" t="str">
        <f t="shared" si="22"/>
        <v>KU</v>
      </c>
      <c r="B265" s="426" t="str">
        <f t="shared" si="28"/>
        <v>VA</v>
      </c>
      <c r="C265" s="426" t="str">
        <f t="shared" si="23"/>
        <v>E</v>
      </c>
      <c r="D265" s="426" t="s">
        <v>2657</v>
      </c>
      <c r="E265" s="426" t="str">
        <f t="shared" si="27"/>
        <v>355</v>
      </c>
      <c r="F265" s="741" t="s">
        <v>1765</v>
      </c>
      <c r="G265" s="425" t="str">
        <f t="shared" si="25"/>
        <v/>
      </c>
      <c r="H265" s="426">
        <v>0</v>
      </c>
      <c r="I265" s="426">
        <v>0</v>
      </c>
      <c r="J265" s="426">
        <v>0</v>
      </c>
      <c r="K265" s="426">
        <v>0</v>
      </c>
      <c r="L265" s="426">
        <v>0</v>
      </c>
      <c r="M265" s="426">
        <v>0</v>
      </c>
      <c r="N265" s="426">
        <v>0</v>
      </c>
      <c r="O265" s="426">
        <v>0</v>
      </c>
      <c r="P265" s="426">
        <v>0</v>
      </c>
      <c r="Q265" s="426">
        <v>0</v>
      </c>
      <c r="R265" s="426">
        <v>0</v>
      </c>
      <c r="S265" s="426">
        <v>0</v>
      </c>
      <c r="T265" s="426">
        <v>0</v>
      </c>
      <c r="U265" s="426">
        <f t="shared" si="24"/>
        <v>0</v>
      </c>
    </row>
    <row r="266" spans="1:21">
      <c r="A266" s="426" t="str">
        <f t="shared" ref="A266:A351" si="29">MID($F266,4,2)</f>
        <v>KU</v>
      </c>
      <c r="B266" s="426" t="str">
        <f t="shared" si="28"/>
        <v>KY</v>
      </c>
      <c r="C266" s="426" t="str">
        <f t="shared" si="23"/>
        <v>E</v>
      </c>
      <c r="D266" s="426" t="s">
        <v>2657</v>
      </c>
      <c r="E266" s="426" t="str">
        <f t="shared" si="27"/>
        <v>356</v>
      </c>
      <c r="F266" s="741" t="s">
        <v>1766</v>
      </c>
      <c r="G266" s="425" t="str">
        <f t="shared" si="25"/>
        <v/>
      </c>
      <c r="H266" s="426">
        <v>156.83843999999999</v>
      </c>
      <c r="I266" s="426">
        <v>124.16829</v>
      </c>
      <c r="J266" s="426">
        <v>112.97454999999999</v>
      </c>
      <c r="K266" s="426">
        <v>94.787490000000005</v>
      </c>
      <c r="L266" s="426">
        <v>131.38884999999999</v>
      </c>
      <c r="M266" s="426">
        <v>205.51532</v>
      </c>
      <c r="N266" s="426">
        <v>156.43047000000001</v>
      </c>
      <c r="O266" s="426">
        <v>82.298860000000005</v>
      </c>
      <c r="P266" s="426">
        <v>128.40478999999999</v>
      </c>
      <c r="Q266" s="426">
        <v>89.982789999999994</v>
      </c>
      <c r="R266" s="426">
        <v>106.85191</v>
      </c>
      <c r="S266" s="426">
        <v>179.55945</v>
      </c>
      <c r="T266" s="426">
        <v>156.83843999999999</v>
      </c>
      <c r="U266" s="426">
        <f t="shared" si="24"/>
        <v>1569.2012099999999</v>
      </c>
    </row>
    <row r="267" spans="1:21">
      <c r="A267" s="426" t="str">
        <f t="shared" si="29"/>
        <v>KU</v>
      </c>
      <c r="B267" s="426" t="str">
        <f t="shared" si="28"/>
        <v>VA</v>
      </c>
      <c r="C267" s="426" t="str">
        <f t="shared" ref="C267:C368" si="30">IF(ISTEXT(MID($F267,SEARCH("FUTURE USE",$F267),3)),"F",IF(MID($F267,7,1)="1","E",IF(MID($F267,7,1)="2","G",IF(MID($F267,7,1)="3","C",""))))</f>
        <v>E</v>
      </c>
      <c r="D267" s="426" t="s">
        <v>2657</v>
      </c>
      <c r="E267" s="426" t="str">
        <f t="shared" si="27"/>
        <v>356</v>
      </c>
      <c r="F267" s="741" t="s">
        <v>1768</v>
      </c>
      <c r="G267" s="425" t="str">
        <f t="shared" si="25"/>
        <v/>
      </c>
      <c r="H267" s="426">
        <v>0</v>
      </c>
      <c r="I267" s="426">
        <v>0</v>
      </c>
      <c r="J267" s="426">
        <v>0</v>
      </c>
      <c r="K267" s="426">
        <v>0</v>
      </c>
      <c r="L267" s="426">
        <v>0</v>
      </c>
      <c r="M267" s="426">
        <v>0</v>
      </c>
      <c r="N267" s="426">
        <v>0</v>
      </c>
      <c r="O267" s="426">
        <v>0</v>
      </c>
      <c r="P267" s="426">
        <v>0</v>
      </c>
      <c r="Q267" s="426">
        <v>0</v>
      </c>
      <c r="R267" s="426">
        <v>0</v>
      </c>
      <c r="S267" s="426">
        <v>0</v>
      </c>
      <c r="T267" s="426">
        <v>0</v>
      </c>
      <c r="U267" s="426">
        <f t="shared" si="24"/>
        <v>0</v>
      </c>
    </row>
    <row r="268" spans="1:21">
      <c r="A268" s="426" t="str">
        <f t="shared" si="29"/>
        <v>KU</v>
      </c>
      <c r="B268" s="426" t="str">
        <f t="shared" si="28"/>
        <v>KY</v>
      </c>
      <c r="C268" s="426" t="str">
        <f t="shared" si="30"/>
        <v>E</v>
      </c>
      <c r="D268" s="426" t="s">
        <v>2657</v>
      </c>
      <c r="E268" s="426" t="str">
        <f t="shared" si="27"/>
        <v>357</v>
      </c>
      <c r="F268" s="741" t="s">
        <v>1769</v>
      </c>
      <c r="G268" s="425" t="str">
        <f t="shared" si="25"/>
        <v/>
      </c>
      <c r="H268" s="426">
        <v>0</v>
      </c>
      <c r="I268" s="426">
        <v>0</v>
      </c>
      <c r="J268" s="426">
        <v>0</v>
      </c>
      <c r="K268" s="426">
        <v>0</v>
      </c>
      <c r="L268" s="426">
        <v>0</v>
      </c>
      <c r="M268" s="426">
        <v>0</v>
      </c>
      <c r="N268" s="426">
        <v>0</v>
      </c>
      <c r="O268" s="426">
        <v>0</v>
      </c>
      <c r="P268" s="426">
        <v>0</v>
      </c>
      <c r="Q268" s="426">
        <v>0</v>
      </c>
      <c r="R268" s="426">
        <v>0</v>
      </c>
      <c r="S268" s="426">
        <v>0</v>
      </c>
      <c r="T268" s="426">
        <v>0</v>
      </c>
      <c r="U268" s="426">
        <f t="shared" si="24"/>
        <v>0</v>
      </c>
    </row>
    <row r="269" spans="1:21">
      <c r="A269" s="426" t="str">
        <f t="shared" si="29"/>
        <v>KU</v>
      </c>
      <c r="B269" s="426" t="str">
        <f t="shared" si="28"/>
        <v>KY</v>
      </c>
      <c r="C269" s="426" t="str">
        <f t="shared" si="30"/>
        <v>E</v>
      </c>
      <c r="D269" s="426" t="s">
        <v>2657</v>
      </c>
      <c r="E269" s="426" t="str">
        <f t="shared" si="27"/>
        <v>358</v>
      </c>
      <c r="F269" s="741" t="s">
        <v>1770</v>
      </c>
      <c r="G269" s="425" t="str">
        <f t="shared" si="25"/>
        <v/>
      </c>
      <c r="H269" s="426">
        <v>0</v>
      </c>
      <c r="I269" s="426">
        <v>0</v>
      </c>
      <c r="J269" s="426">
        <v>0</v>
      </c>
      <c r="K269" s="426">
        <v>0</v>
      </c>
      <c r="L269" s="426">
        <v>0</v>
      </c>
      <c r="M269" s="426">
        <v>0</v>
      </c>
      <c r="N269" s="426">
        <v>0</v>
      </c>
      <c r="O269" s="426">
        <v>0</v>
      </c>
      <c r="P269" s="426">
        <v>0</v>
      </c>
      <c r="Q269" s="426">
        <v>0</v>
      </c>
      <c r="R269" s="426">
        <v>0</v>
      </c>
      <c r="S269" s="426">
        <v>0</v>
      </c>
      <c r="T269" s="426">
        <v>0</v>
      </c>
      <c r="U269" s="426">
        <f t="shared" si="24"/>
        <v>0</v>
      </c>
    </row>
    <row r="270" spans="1:21">
      <c r="A270" s="426" t="str">
        <f t="shared" si="29"/>
        <v>KU</v>
      </c>
      <c r="B270" s="426" t="str">
        <f t="shared" si="28"/>
        <v>KY</v>
      </c>
      <c r="C270" s="426" t="str">
        <f t="shared" si="30"/>
        <v>E</v>
      </c>
      <c r="D270" s="426" t="s">
        <v>2657</v>
      </c>
      <c r="E270" s="426" t="str">
        <f t="shared" si="27"/>
        <v>361</v>
      </c>
      <c r="F270" s="741" t="s">
        <v>1776</v>
      </c>
      <c r="G270" s="425" t="str">
        <f t="shared" si="25"/>
        <v/>
      </c>
      <c r="H270" s="426">
        <v>0</v>
      </c>
      <c r="I270" s="426">
        <v>0</v>
      </c>
      <c r="J270" s="426">
        <v>0</v>
      </c>
      <c r="K270" s="426">
        <v>0</v>
      </c>
      <c r="L270" s="426">
        <v>0</v>
      </c>
      <c r="M270" s="426">
        <v>0</v>
      </c>
      <c r="N270" s="426">
        <v>0</v>
      </c>
      <c r="O270" s="426">
        <v>0</v>
      </c>
      <c r="P270" s="426">
        <v>0</v>
      </c>
      <c r="Q270" s="426">
        <v>0</v>
      </c>
      <c r="R270" s="426">
        <v>0</v>
      </c>
      <c r="S270" s="426">
        <v>0</v>
      </c>
      <c r="T270" s="426">
        <v>0</v>
      </c>
      <c r="U270" s="426">
        <f t="shared" si="24"/>
        <v>0</v>
      </c>
    </row>
    <row r="271" spans="1:21">
      <c r="A271" s="426" t="str">
        <f t="shared" si="29"/>
        <v>KU</v>
      </c>
      <c r="B271" s="426" t="str">
        <f t="shared" si="28"/>
        <v>KY</v>
      </c>
      <c r="C271" s="426" t="str">
        <f t="shared" si="30"/>
        <v>E</v>
      </c>
      <c r="D271" s="426" t="s">
        <v>2657</v>
      </c>
      <c r="E271" s="426" t="str">
        <f t="shared" si="27"/>
        <v>362</v>
      </c>
      <c r="F271" s="741" t="s">
        <v>1779</v>
      </c>
      <c r="G271" s="425" t="str">
        <f t="shared" si="25"/>
        <v/>
      </c>
      <c r="H271" s="426">
        <v>69.112279999999998</v>
      </c>
      <c r="I271" s="426">
        <v>193.51678000000001</v>
      </c>
      <c r="J271" s="426">
        <v>242.80242999999999</v>
      </c>
      <c r="K271" s="426">
        <v>70.13261</v>
      </c>
      <c r="L271" s="426">
        <v>137.35266999999999</v>
      </c>
      <c r="M271" s="426">
        <v>147.59801999999999</v>
      </c>
      <c r="N271" s="426">
        <v>166.2398</v>
      </c>
      <c r="O271" s="426">
        <v>13.492430000000001</v>
      </c>
      <c r="P271" s="426">
        <v>68.914230000000003</v>
      </c>
      <c r="Q271" s="426">
        <v>62.819850000000002</v>
      </c>
      <c r="R271" s="426">
        <v>78.647689999999997</v>
      </c>
      <c r="S271" s="426">
        <v>137.61739</v>
      </c>
      <c r="T271" s="426">
        <v>69.112279999999998</v>
      </c>
      <c r="U271" s="426">
        <f t="shared" si="24"/>
        <v>1388.2461800000003</v>
      </c>
    </row>
    <row r="272" spans="1:21">
      <c r="A272" s="426" t="str">
        <f t="shared" si="29"/>
        <v>KU</v>
      </c>
      <c r="B272" s="426" t="str">
        <f t="shared" si="28"/>
        <v>VA</v>
      </c>
      <c r="C272" s="426" t="str">
        <f t="shared" si="30"/>
        <v>E</v>
      </c>
      <c r="D272" s="426" t="s">
        <v>2657</v>
      </c>
      <c r="E272" s="426" t="str">
        <f t="shared" si="27"/>
        <v>362</v>
      </c>
      <c r="F272" s="741" t="s">
        <v>1781</v>
      </c>
      <c r="G272" s="425" t="str">
        <f t="shared" si="25"/>
        <v/>
      </c>
      <c r="H272" s="426">
        <v>0</v>
      </c>
      <c r="I272" s="426">
        <v>0</v>
      </c>
      <c r="J272" s="426">
        <v>0</v>
      </c>
      <c r="K272" s="426">
        <v>0</v>
      </c>
      <c r="L272" s="426">
        <v>0</v>
      </c>
      <c r="M272" s="426">
        <v>0</v>
      </c>
      <c r="N272" s="426">
        <v>0</v>
      </c>
      <c r="O272" s="426">
        <v>0</v>
      </c>
      <c r="P272" s="426">
        <v>0</v>
      </c>
      <c r="Q272" s="426">
        <v>0</v>
      </c>
      <c r="R272" s="426">
        <v>0</v>
      </c>
      <c r="S272" s="426">
        <v>0</v>
      </c>
      <c r="T272" s="426">
        <v>0</v>
      </c>
      <c r="U272" s="426">
        <f t="shared" si="24"/>
        <v>0</v>
      </c>
    </row>
    <row r="273" spans="1:21">
      <c r="A273" s="426" t="str">
        <f t="shared" si="29"/>
        <v>KU</v>
      </c>
      <c r="B273" s="426" t="str">
        <f t="shared" si="28"/>
        <v>KY</v>
      </c>
      <c r="C273" s="426" t="str">
        <f t="shared" si="30"/>
        <v>E</v>
      </c>
      <c r="D273" s="426" t="s">
        <v>2657</v>
      </c>
      <c r="E273" s="426" t="str">
        <f t="shared" si="27"/>
        <v>364</v>
      </c>
      <c r="F273" s="741" t="s">
        <v>1782</v>
      </c>
      <c r="G273" s="425" t="str">
        <f t="shared" si="25"/>
        <v/>
      </c>
      <c r="H273" s="426">
        <v>84.053910000000002</v>
      </c>
      <c r="I273" s="426">
        <v>235.35386</v>
      </c>
      <c r="J273" s="426">
        <v>295.29475000000002</v>
      </c>
      <c r="K273" s="426">
        <v>85.294830000000005</v>
      </c>
      <c r="L273" s="426">
        <v>167.04742999999999</v>
      </c>
      <c r="M273" s="426">
        <v>179.50775999999999</v>
      </c>
      <c r="N273" s="426">
        <v>202.17976999999999</v>
      </c>
      <c r="O273" s="426">
        <v>16.409410000000001</v>
      </c>
      <c r="P273" s="426">
        <v>83.813050000000004</v>
      </c>
      <c r="Q273" s="426">
        <v>76.4011</v>
      </c>
      <c r="R273" s="426">
        <v>95.650819999999996</v>
      </c>
      <c r="S273" s="426">
        <v>167.36938000000001</v>
      </c>
      <c r="T273" s="426">
        <v>84.053910000000002</v>
      </c>
      <c r="U273" s="426">
        <f t="shared" si="24"/>
        <v>1688.3760700000003</v>
      </c>
    </row>
    <row r="274" spans="1:21">
      <c r="A274" s="426" t="str">
        <f t="shared" si="29"/>
        <v>KU</v>
      </c>
      <c r="B274" s="426" t="str">
        <f t="shared" si="28"/>
        <v>VA</v>
      </c>
      <c r="C274" s="426" t="str">
        <f t="shared" si="30"/>
        <v>E</v>
      </c>
      <c r="D274" s="426" t="s">
        <v>2657</v>
      </c>
      <c r="E274" s="426" t="str">
        <f t="shared" si="27"/>
        <v>364</v>
      </c>
      <c r="F274" s="741" t="s">
        <v>1784</v>
      </c>
      <c r="G274" s="425" t="str">
        <f t="shared" si="25"/>
        <v/>
      </c>
      <c r="H274" s="426">
        <v>0</v>
      </c>
      <c r="I274" s="426">
        <v>0</v>
      </c>
      <c r="J274" s="426">
        <v>0</v>
      </c>
      <c r="K274" s="426">
        <v>0</v>
      </c>
      <c r="L274" s="426">
        <v>0</v>
      </c>
      <c r="M274" s="426">
        <v>0</v>
      </c>
      <c r="N274" s="426">
        <v>0</v>
      </c>
      <c r="O274" s="426">
        <v>0</v>
      </c>
      <c r="P274" s="426">
        <v>0</v>
      </c>
      <c r="Q274" s="426">
        <v>0</v>
      </c>
      <c r="R274" s="426">
        <v>0</v>
      </c>
      <c r="S274" s="426">
        <v>0</v>
      </c>
      <c r="T274" s="426">
        <v>0</v>
      </c>
      <c r="U274" s="426">
        <f t="shared" si="24"/>
        <v>0</v>
      </c>
    </row>
    <row r="275" spans="1:21">
      <c r="A275" s="426" t="str">
        <f t="shared" si="29"/>
        <v>KU</v>
      </c>
      <c r="B275" s="426" t="str">
        <f t="shared" si="28"/>
        <v>KY</v>
      </c>
      <c r="C275" s="426" t="str">
        <f t="shared" si="30"/>
        <v>E</v>
      </c>
      <c r="D275" s="426" t="s">
        <v>2657</v>
      </c>
      <c r="E275" s="426" t="str">
        <f t="shared" si="27"/>
        <v>365</v>
      </c>
      <c r="F275" s="741" t="s">
        <v>1785</v>
      </c>
      <c r="G275" s="425" t="str">
        <f t="shared" si="25"/>
        <v/>
      </c>
      <c r="H275" s="426">
        <v>404.85354000000001</v>
      </c>
      <c r="I275" s="426">
        <v>1133.6039699999999</v>
      </c>
      <c r="J275" s="426">
        <v>1422.31486</v>
      </c>
      <c r="K275" s="426">
        <v>410.83055999999999</v>
      </c>
      <c r="L275" s="426">
        <v>804.59961999999996</v>
      </c>
      <c r="M275" s="426">
        <v>864.61599000000001</v>
      </c>
      <c r="N275" s="426">
        <v>973.81785000000002</v>
      </c>
      <c r="O275" s="426">
        <v>79.037449999999893</v>
      </c>
      <c r="P275" s="426">
        <v>403.69340999999997</v>
      </c>
      <c r="Q275" s="426">
        <v>367.99304999999998</v>
      </c>
      <c r="R275" s="426">
        <v>460.71114</v>
      </c>
      <c r="S275" s="426">
        <v>806.15035</v>
      </c>
      <c r="T275" s="426">
        <v>404.85354000000001</v>
      </c>
      <c r="U275" s="426">
        <f t="shared" si="24"/>
        <v>8132.2217899999996</v>
      </c>
    </row>
    <row r="276" spans="1:21">
      <c r="A276" s="426" t="str">
        <f t="shared" si="29"/>
        <v>KU</v>
      </c>
      <c r="B276" s="426" t="str">
        <f t="shared" si="28"/>
        <v>VA</v>
      </c>
      <c r="C276" s="426" t="str">
        <f t="shared" si="30"/>
        <v>E</v>
      </c>
      <c r="D276" s="426" t="s">
        <v>2657</v>
      </c>
      <c r="E276" s="426" t="str">
        <f t="shared" si="27"/>
        <v>365</v>
      </c>
      <c r="F276" s="741" t="s">
        <v>1787</v>
      </c>
      <c r="G276" s="425" t="str">
        <f t="shared" si="25"/>
        <v/>
      </c>
      <c r="H276" s="426">
        <v>0</v>
      </c>
      <c r="I276" s="426">
        <v>0</v>
      </c>
      <c r="J276" s="426">
        <v>0</v>
      </c>
      <c r="K276" s="426">
        <v>0</v>
      </c>
      <c r="L276" s="426">
        <v>0</v>
      </c>
      <c r="M276" s="426">
        <v>0</v>
      </c>
      <c r="N276" s="426">
        <v>0</v>
      </c>
      <c r="O276" s="426">
        <v>0</v>
      </c>
      <c r="P276" s="426">
        <v>0</v>
      </c>
      <c r="Q276" s="426">
        <v>0</v>
      </c>
      <c r="R276" s="426">
        <v>0</v>
      </c>
      <c r="S276" s="426">
        <v>0</v>
      </c>
      <c r="T276" s="426">
        <v>0</v>
      </c>
      <c r="U276" s="426">
        <f t="shared" si="24"/>
        <v>0</v>
      </c>
    </row>
    <row r="277" spans="1:21">
      <c r="A277" s="426" t="str">
        <f t="shared" si="29"/>
        <v>KU</v>
      </c>
      <c r="B277" s="426" t="str">
        <f t="shared" si="28"/>
        <v>KY</v>
      </c>
      <c r="C277" s="426" t="str">
        <f t="shared" si="30"/>
        <v>E</v>
      </c>
      <c r="D277" s="426" t="s">
        <v>2657</v>
      </c>
      <c r="E277" s="426" t="str">
        <f t="shared" si="27"/>
        <v>367</v>
      </c>
      <c r="F277" s="741" t="s">
        <v>1789</v>
      </c>
      <c r="G277" s="425" t="str">
        <f t="shared" si="25"/>
        <v/>
      </c>
      <c r="H277" s="426">
        <v>0</v>
      </c>
      <c r="I277" s="426">
        <v>0</v>
      </c>
      <c r="J277" s="426">
        <v>0</v>
      </c>
      <c r="K277" s="426">
        <v>0</v>
      </c>
      <c r="L277" s="426">
        <v>0</v>
      </c>
      <c r="M277" s="426">
        <v>0</v>
      </c>
      <c r="N277" s="426">
        <v>0</v>
      </c>
      <c r="O277" s="426">
        <v>0</v>
      </c>
      <c r="P277" s="426">
        <v>0</v>
      </c>
      <c r="Q277" s="426">
        <v>0</v>
      </c>
      <c r="R277" s="426">
        <v>0</v>
      </c>
      <c r="S277" s="426">
        <v>0</v>
      </c>
      <c r="T277" s="426">
        <v>0</v>
      </c>
      <c r="U277" s="426">
        <f t="shared" si="24"/>
        <v>0</v>
      </c>
    </row>
    <row r="278" spans="1:21">
      <c r="A278" s="426" t="str">
        <f t="shared" si="29"/>
        <v>KU</v>
      </c>
      <c r="B278" s="426" t="str">
        <f t="shared" si="28"/>
        <v>VA</v>
      </c>
      <c r="C278" s="426" t="str">
        <f t="shared" si="30"/>
        <v>E</v>
      </c>
      <c r="D278" s="426" t="s">
        <v>2657</v>
      </c>
      <c r="E278" s="426" t="str">
        <f t="shared" si="27"/>
        <v>367</v>
      </c>
      <c r="F278" s="741" t="s">
        <v>1790</v>
      </c>
      <c r="G278" s="425" t="str">
        <f t="shared" si="25"/>
        <v/>
      </c>
      <c r="H278" s="426">
        <v>0</v>
      </c>
      <c r="I278" s="426">
        <v>0</v>
      </c>
      <c r="J278" s="426">
        <v>0</v>
      </c>
      <c r="K278" s="426">
        <v>0</v>
      </c>
      <c r="L278" s="426">
        <v>0</v>
      </c>
      <c r="M278" s="426">
        <v>0</v>
      </c>
      <c r="N278" s="426">
        <v>0</v>
      </c>
      <c r="O278" s="426">
        <v>0</v>
      </c>
      <c r="P278" s="426">
        <v>0</v>
      </c>
      <c r="Q278" s="426">
        <v>0</v>
      </c>
      <c r="R278" s="426">
        <v>0</v>
      </c>
      <c r="S278" s="426">
        <v>0</v>
      </c>
      <c r="T278" s="426">
        <v>0</v>
      </c>
      <c r="U278" s="426">
        <f t="shared" si="24"/>
        <v>0</v>
      </c>
    </row>
    <row r="279" spans="1:21">
      <c r="A279" s="426" t="str">
        <f t="shared" si="29"/>
        <v>KU</v>
      </c>
      <c r="B279" s="426" t="str">
        <f t="shared" si="28"/>
        <v>KY</v>
      </c>
      <c r="C279" s="426" t="str">
        <f t="shared" si="30"/>
        <v>E</v>
      </c>
      <c r="D279" s="426" t="s">
        <v>2657</v>
      </c>
      <c r="E279" s="426" t="str">
        <f t="shared" si="27"/>
        <v>368</v>
      </c>
      <c r="F279" s="741" t="s">
        <v>1791</v>
      </c>
      <c r="G279" s="425" t="str">
        <f t="shared" si="25"/>
        <v/>
      </c>
      <c r="H279" s="426">
        <v>156.57032000000001</v>
      </c>
      <c r="I279" s="426">
        <v>438.40231999999997</v>
      </c>
      <c r="J279" s="426">
        <v>550.05642</v>
      </c>
      <c r="K279" s="426">
        <v>158.88182999999901</v>
      </c>
      <c r="L279" s="426">
        <v>311.16541000000001</v>
      </c>
      <c r="M279" s="426">
        <v>334.37572999999998</v>
      </c>
      <c r="N279" s="426">
        <v>376.60771999999997</v>
      </c>
      <c r="O279" s="426">
        <v>30.566410000000001</v>
      </c>
      <c r="P279" s="426">
        <v>156.12164999999999</v>
      </c>
      <c r="Q279" s="426">
        <v>142.31514000000001</v>
      </c>
      <c r="R279" s="426">
        <v>178.17229999999901</v>
      </c>
      <c r="S279" s="426">
        <v>311.76513</v>
      </c>
      <c r="T279" s="426">
        <v>156.57032000000001</v>
      </c>
      <c r="U279" s="426">
        <f t="shared" ref="U279:U323" si="31">SUM(I279:T279)</f>
        <v>3145.0003799999977</v>
      </c>
    </row>
    <row r="280" spans="1:21">
      <c r="A280" s="426" t="str">
        <f t="shared" si="29"/>
        <v>KU</v>
      </c>
      <c r="B280" s="426" t="str">
        <f t="shared" si="28"/>
        <v>KY</v>
      </c>
      <c r="C280" s="426" t="str">
        <f t="shared" si="30"/>
        <v>E</v>
      </c>
      <c r="D280" s="426" t="s">
        <v>2657</v>
      </c>
      <c r="E280" s="426" t="str">
        <f t="shared" si="27"/>
        <v>370</v>
      </c>
      <c r="F280" s="741" t="s">
        <v>1797</v>
      </c>
      <c r="G280" s="425" t="str">
        <f t="shared" si="25"/>
        <v/>
      </c>
      <c r="H280" s="426">
        <v>0</v>
      </c>
      <c r="I280" s="426">
        <v>0</v>
      </c>
      <c r="J280" s="426">
        <v>0</v>
      </c>
      <c r="K280" s="426">
        <v>0</v>
      </c>
      <c r="L280" s="426">
        <v>0</v>
      </c>
      <c r="M280" s="426">
        <v>0</v>
      </c>
      <c r="N280" s="426">
        <v>171.2338278</v>
      </c>
      <c r="O280" s="426">
        <v>167.01773900000001</v>
      </c>
      <c r="P280" s="426">
        <v>136.84341089999899</v>
      </c>
      <c r="Q280" s="426">
        <v>38.31840433</v>
      </c>
      <c r="R280" s="426">
        <v>174.1538539</v>
      </c>
      <c r="S280" s="426">
        <v>81.241154679999994</v>
      </c>
      <c r="T280" s="426">
        <v>80.460017329999999</v>
      </c>
      <c r="U280" s="426">
        <f t="shared" si="31"/>
        <v>849.26840793999907</v>
      </c>
    </row>
    <row r="281" spans="1:21">
      <c r="A281" s="426" t="str">
        <f t="shared" si="29"/>
        <v>KU</v>
      </c>
      <c r="B281" s="426" t="str">
        <f t="shared" si="28"/>
        <v>KY</v>
      </c>
      <c r="C281" s="426" t="str">
        <f t="shared" si="30"/>
        <v>E</v>
      </c>
      <c r="D281" s="426" t="s">
        <v>2657</v>
      </c>
      <c r="E281" s="426" t="str">
        <f t="shared" si="27"/>
        <v>373</v>
      </c>
      <c r="F281" s="741" t="s">
        <v>1801</v>
      </c>
      <c r="G281" s="425" t="str">
        <f t="shared" si="25"/>
        <v/>
      </c>
      <c r="H281" s="426">
        <v>92.706909999999993</v>
      </c>
      <c r="I281" s="426">
        <v>259.58256999999998</v>
      </c>
      <c r="J281" s="426">
        <v>325.69412</v>
      </c>
      <c r="K281" s="426">
        <v>94.075580000000002</v>
      </c>
      <c r="L281" s="426">
        <v>184.24427</v>
      </c>
      <c r="M281" s="426">
        <v>197.98734999999999</v>
      </c>
      <c r="N281" s="426">
        <v>222.99333999999999</v>
      </c>
      <c r="O281" s="426">
        <v>18.098689999999898</v>
      </c>
      <c r="P281" s="426">
        <v>92.441249999999997</v>
      </c>
      <c r="Q281" s="426">
        <v>84.266270000000006</v>
      </c>
      <c r="R281" s="426">
        <v>105.49767</v>
      </c>
      <c r="S281" s="426">
        <v>184.59936999999999</v>
      </c>
      <c r="T281" s="426">
        <v>92.706909999999993</v>
      </c>
      <c r="U281" s="426">
        <f t="shared" si="31"/>
        <v>1862.1873899999996</v>
      </c>
    </row>
    <row r="282" spans="1:21">
      <c r="A282" s="426" t="str">
        <f t="shared" si="29"/>
        <v>KU</v>
      </c>
      <c r="B282" s="426" t="str">
        <f t="shared" si="28"/>
        <v>VA</v>
      </c>
      <c r="C282" s="426" t="str">
        <f t="shared" si="30"/>
        <v>E</v>
      </c>
      <c r="D282" s="426" t="s">
        <v>2657</v>
      </c>
      <c r="E282" s="426" t="str">
        <f t="shared" si="27"/>
        <v>373</v>
      </c>
      <c r="F282" s="741" t="s">
        <v>1802</v>
      </c>
      <c r="G282" s="425" t="str">
        <f t="shared" si="25"/>
        <v/>
      </c>
      <c r="H282" s="426">
        <v>0</v>
      </c>
      <c r="I282" s="426">
        <v>0</v>
      </c>
      <c r="J282" s="426">
        <v>0</v>
      </c>
      <c r="K282" s="426">
        <v>0</v>
      </c>
      <c r="L282" s="426">
        <v>0</v>
      </c>
      <c r="M282" s="426">
        <v>0</v>
      </c>
      <c r="N282" s="426">
        <v>0</v>
      </c>
      <c r="O282" s="426">
        <v>0</v>
      </c>
      <c r="P282" s="426">
        <v>0</v>
      </c>
      <c r="Q282" s="426">
        <v>0</v>
      </c>
      <c r="R282" s="426">
        <v>0</v>
      </c>
      <c r="S282" s="426">
        <v>0</v>
      </c>
      <c r="T282" s="426">
        <v>0</v>
      </c>
      <c r="U282" s="426">
        <f t="shared" si="31"/>
        <v>0</v>
      </c>
    </row>
    <row r="283" spans="1:21">
      <c r="A283" s="426" t="str">
        <f t="shared" si="29"/>
        <v>KU</v>
      </c>
      <c r="B283" s="426" t="str">
        <f t="shared" si="28"/>
        <v>KY</v>
      </c>
      <c r="C283" s="426" t="str">
        <f t="shared" si="30"/>
        <v>E</v>
      </c>
      <c r="D283" s="426" t="s">
        <v>2657</v>
      </c>
      <c r="E283" s="426" t="str">
        <f t="shared" si="27"/>
        <v>390</v>
      </c>
      <c r="F283" s="741" t="s">
        <v>1806</v>
      </c>
      <c r="G283" s="425" t="str">
        <f t="shared" si="25"/>
        <v/>
      </c>
      <c r="H283" s="426">
        <v>0</v>
      </c>
      <c r="I283" s="426">
        <v>0</v>
      </c>
      <c r="J283" s="426">
        <v>0</v>
      </c>
      <c r="K283" s="426">
        <v>0</v>
      </c>
      <c r="L283" s="426">
        <v>0</v>
      </c>
      <c r="M283" s="426">
        <v>0</v>
      </c>
      <c r="N283" s="426">
        <v>0</v>
      </c>
      <c r="O283" s="426">
        <v>0</v>
      </c>
      <c r="P283" s="426">
        <v>0</v>
      </c>
      <c r="Q283" s="426">
        <v>0</v>
      </c>
      <c r="R283" s="426">
        <v>0</v>
      </c>
      <c r="S283" s="426">
        <v>0</v>
      </c>
      <c r="T283" s="426">
        <v>0</v>
      </c>
      <c r="U283" s="426">
        <f t="shared" si="31"/>
        <v>0</v>
      </c>
    </row>
    <row r="284" spans="1:21">
      <c r="A284" s="426" t="str">
        <f t="shared" si="29"/>
        <v>KU</v>
      </c>
      <c r="B284" s="426" t="str">
        <f t="shared" si="28"/>
        <v>KY</v>
      </c>
      <c r="C284" s="426" t="str">
        <f t="shared" si="30"/>
        <v>E</v>
      </c>
      <c r="D284" s="426" t="s">
        <v>2657</v>
      </c>
      <c r="E284" s="426" t="str">
        <f t="shared" si="27"/>
        <v>390</v>
      </c>
      <c r="F284" s="741" t="s">
        <v>1807</v>
      </c>
      <c r="G284" s="425" t="str">
        <f t="shared" si="25"/>
        <v/>
      </c>
      <c r="H284" s="426">
        <v>0</v>
      </c>
      <c r="I284" s="426">
        <v>0</v>
      </c>
      <c r="J284" s="426">
        <v>0</v>
      </c>
      <c r="K284" s="426">
        <v>0</v>
      </c>
      <c r="L284" s="426">
        <v>0</v>
      </c>
      <c r="M284" s="426">
        <v>0</v>
      </c>
      <c r="N284" s="426">
        <v>0</v>
      </c>
      <c r="O284" s="426">
        <v>0</v>
      </c>
      <c r="P284" s="426">
        <v>0</v>
      </c>
      <c r="Q284" s="426">
        <v>0</v>
      </c>
      <c r="R284" s="426">
        <v>0</v>
      </c>
      <c r="S284" s="426">
        <v>0</v>
      </c>
      <c r="T284" s="426">
        <v>0</v>
      </c>
      <c r="U284" s="426">
        <f t="shared" si="31"/>
        <v>0</v>
      </c>
    </row>
    <row r="285" spans="1:21">
      <c r="A285" s="426" t="str">
        <f t="shared" si="29"/>
        <v>KU</v>
      </c>
      <c r="B285" s="426" t="str">
        <f t="shared" si="28"/>
        <v>VA</v>
      </c>
      <c r="C285" s="426" t="str">
        <f t="shared" si="30"/>
        <v>E</v>
      </c>
      <c r="D285" s="426" t="s">
        <v>2657</v>
      </c>
      <c r="E285" s="426" t="str">
        <f t="shared" si="27"/>
        <v>390</v>
      </c>
      <c r="F285" s="741" t="s">
        <v>1808</v>
      </c>
      <c r="G285" s="425" t="str">
        <f t="shared" si="25"/>
        <v/>
      </c>
      <c r="H285" s="426">
        <v>0</v>
      </c>
      <c r="I285" s="426">
        <v>0</v>
      </c>
      <c r="J285" s="426">
        <v>0</v>
      </c>
      <c r="K285" s="426">
        <v>0</v>
      </c>
      <c r="L285" s="426">
        <v>0</v>
      </c>
      <c r="M285" s="426">
        <v>0</v>
      </c>
      <c r="N285" s="426">
        <v>0</v>
      </c>
      <c r="O285" s="426">
        <v>0</v>
      </c>
      <c r="P285" s="426">
        <v>0</v>
      </c>
      <c r="Q285" s="426">
        <v>0</v>
      </c>
      <c r="R285" s="426">
        <v>0</v>
      </c>
      <c r="S285" s="426">
        <v>0</v>
      </c>
      <c r="T285" s="426">
        <v>0</v>
      </c>
      <c r="U285" s="426">
        <f t="shared" si="31"/>
        <v>0</v>
      </c>
    </row>
    <row r="286" spans="1:21">
      <c r="A286" s="426" t="str">
        <f t="shared" si="29"/>
        <v>KU</v>
      </c>
      <c r="B286" s="426" t="str">
        <f t="shared" si="28"/>
        <v>KY</v>
      </c>
      <c r="C286" s="426" t="str">
        <f t="shared" si="30"/>
        <v>E</v>
      </c>
      <c r="D286" s="426" t="s">
        <v>2657</v>
      </c>
      <c r="E286" s="426" t="str">
        <f t="shared" si="27"/>
        <v>391</v>
      </c>
      <c r="F286" s="741" t="s">
        <v>1809</v>
      </c>
      <c r="G286" s="425" t="str">
        <f t="shared" si="25"/>
        <v/>
      </c>
      <c r="H286" s="426">
        <v>924.36901</v>
      </c>
      <c r="I286" s="426">
        <v>68.200580000000002</v>
      </c>
      <c r="J286" s="426">
        <v>0</v>
      </c>
      <c r="K286" s="426">
        <v>0</v>
      </c>
      <c r="L286" s="426">
        <v>66.365899999999996</v>
      </c>
      <c r="M286" s="426">
        <v>0</v>
      </c>
      <c r="N286" s="426">
        <v>0</v>
      </c>
      <c r="O286" s="426">
        <v>0</v>
      </c>
      <c r="P286" s="426">
        <v>0</v>
      </c>
      <c r="Q286" s="426">
        <v>2.6339299999999999</v>
      </c>
      <c r="R286" s="426">
        <v>0</v>
      </c>
      <c r="S286" s="426">
        <v>0</v>
      </c>
      <c r="T286" s="426">
        <v>9.2777700000000003</v>
      </c>
      <c r="U286" s="426">
        <f t="shared" si="31"/>
        <v>146.47818000000001</v>
      </c>
    </row>
    <row r="287" spans="1:21">
      <c r="A287" s="426" t="str">
        <f t="shared" si="29"/>
        <v>KU</v>
      </c>
      <c r="B287" s="426" t="str">
        <f t="shared" si="28"/>
        <v>KY</v>
      </c>
      <c r="C287" s="426" t="str">
        <f t="shared" si="30"/>
        <v>E</v>
      </c>
      <c r="D287" s="426" t="s">
        <v>2657</v>
      </c>
      <c r="E287" s="426" t="str">
        <f t="shared" si="27"/>
        <v>391</v>
      </c>
      <c r="F287" s="741" t="s">
        <v>1810</v>
      </c>
      <c r="G287" s="425" t="str">
        <f t="shared" si="25"/>
        <v/>
      </c>
      <c r="H287" s="426">
        <v>83.59084</v>
      </c>
      <c r="I287" s="426">
        <v>69.305369999999996</v>
      </c>
      <c r="J287" s="426">
        <v>303.22904</v>
      </c>
      <c r="K287" s="426">
        <v>606.09262000000001</v>
      </c>
      <c r="L287" s="426">
        <v>1124.2213999999999</v>
      </c>
      <c r="M287" s="426">
        <v>170.67393000000001</v>
      </c>
      <c r="N287" s="426">
        <v>61.257129999999997</v>
      </c>
      <c r="O287" s="426">
        <v>44.446719999999999</v>
      </c>
      <c r="P287" s="426">
        <v>661.21198000000004</v>
      </c>
      <c r="Q287" s="426">
        <v>455.33830999999998</v>
      </c>
      <c r="R287" s="426">
        <v>324.85586000000001</v>
      </c>
      <c r="S287" s="426">
        <v>181.09531999999999</v>
      </c>
      <c r="T287" s="426">
        <v>405.75071000000003</v>
      </c>
      <c r="U287" s="426">
        <f t="shared" si="31"/>
        <v>4407.4783900000002</v>
      </c>
    </row>
    <row r="288" spans="1:21">
      <c r="A288" s="426" t="str">
        <f t="shared" si="29"/>
        <v>KU</v>
      </c>
      <c r="B288" s="426" t="str">
        <f t="shared" si="28"/>
        <v>KY</v>
      </c>
      <c r="C288" s="426" t="str">
        <f t="shared" si="30"/>
        <v>E</v>
      </c>
      <c r="D288" s="426" t="s">
        <v>2657</v>
      </c>
      <c r="E288" s="426" t="str">
        <f t="shared" si="27"/>
        <v>392</v>
      </c>
      <c r="F288" s="741" t="s">
        <v>1813</v>
      </c>
      <c r="G288" s="425" t="str">
        <f t="shared" si="25"/>
        <v/>
      </c>
      <c r="H288" s="426">
        <v>0</v>
      </c>
      <c r="I288" s="426">
        <v>0</v>
      </c>
      <c r="J288" s="426">
        <v>0</v>
      </c>
      <c r="K288" s="426">
        <v>0</v>
      </c>
      <c r="L288" s="426">
        <v>0</v>
      </c>
      <c r="M288" s="426">
        <v>0</v>
      </c>
      <c r="N288" s="426">
        <v>0</v>
      </c>
      <c r="O288" s="426">
        <v>0</v>
      </c>
      <c r="P288" s="426">
        <v>0</v>
      </c>
      <c r="Q288" s="426">
        <v>0</v>
      </c>
      <c r="R288" s="426">
        <v>0</v>
      </c>
      <c r="S288" s="426">
        <v>0</v>
      </c>
      <c r="T288" s="426">
        <v>0</v>
      </c>
      <c r="U288" s="426">
        <f t="shared" si="31"/>
        <v>0</v>
      </c>
    </row>
    <row r="289" spans="1:22">
      <c r="A289" s="426" t="str">
        <f t="shared" si="29"/>
        <v>KU</v>
      </c>
      <c r="B289" s="426" t="str">
        <f t="shared" si="28"/>
        <v>KY</v>
      </c>
      <c r="C289" s="426" t="str">
        <f t="shared" si="30"/>
        <v>E</v>
      </c>
      <c r="D289" s="426" t="s">
        <v>2657</v>
      </c>
      <c r="E289" s="426" t="str">
        <f t="shared" si="27"/>
        <v>393</v>
      </c>
      <c r="F289" s="741" t="s">
        <v>1814</v>
      </c>
      <c r="G289" s="425" t="str">
        <f t="shared" si="25"/>
        <v/>
      </c>
      <c r="H289" s="426">
        <v>2.4007000000000001</v>
      </c>
      <c r="I289" s="426">
        <v>0.81499999999999995</v>
      </c>
      <c r="J289" s="426">
        <v>8.1288</v>
      </c>
      <c r="K289" s="426">
        <v>4.2591999999999999</v>
      </c>
      <c r="L289" s="426">
        <v>0</v>
      </c>
      <c r="M289" s="426">
        <v>0</v>
      </c>
      <c r="N289" s="426">
        <v>0</v>
      </c>
      <c r="O289" s="426">
        <v>0</v>
      </c>
      <c r="P289" s="426">
        <v>0</v>
      </c>
      <c r="Q289" s="426">
        <v>0</v>
      </c>
      <c r="R289" s="426">
        <v>0</v>
      </c>
      <c r="S289" s="426">
        <v>0</v>
      </c>
      <c r="T289" s="426">
        <v>0</v>
      </c>
      <c r="U289" s="426">
        <f t="shared" si="31"/>
        <v>13.202999999999999</v>
      </c>
    </row>
    <row r="290" spans="1:22">
      <c r="A290" s="426" t="str">
        <f t="shared" si="29"/>
        <v>KU</v>
      </c>
      <c r="B290" s="426" t="str">
        <f t="shared" si="28"/>
        <v>VA</v>
      </c>
      <c r="C290" s="426" t="str">
        <f t="shared" si="30"/>
        <v>E</v>
      </c>
      <c r="D290" s="426" t="s">
        <v>2657</v>
      </c>
      <c r="E290" s="426" t="str">
        <f t="shared" si="27"/>
        <v>393</v>
      </c>
      <c r="F290" s="741" t="s">
        <v>1815</v>
      </c>
      <c r="G290" s="425" t="str">
        <f t="shared" si="25"/>
        <v/>
      </c>
      <c r="H290" s="426">
        <v>0</v>
      </c>
      <c r="I290" s="426">
        <v>0</v>
      </c>
      <c r="J290" s="426">
        <v>0</v>
      </c>
      <c r="K290" s="426">
        <v>0</v>
      </c>
      <c r="L290" s="426">
        <v>0</v>
      </c>
      <c r="M290" s="426">
        <v>0</v>
      </c>
      <c r="N290" s="426">
        <v>0</v>
      </c>
      <c r="O290" s="426">
        <v>0</v>
      </c>
      <c r="P290" s="426">
        <v>0</v>
      </c>
      <c r="Q290" s="426">
        <v>0</v>
      </c>
      <c r="R290" s="426">
        <v>0</v>
      </c>
      <c r="S290" s="426">
        <v>0</v>
      </c>
      <c r="T290" s="426">
        <v>0</v>
      </c>
      <c r="U290" s="426">
        <f t="shared" si="31"/>
        <v>0</v>
      </c>
    </row>
    <row r="291" spans="1:22">
      <c r="A291" s="426" t="str">
        <f t="shared" si="29"/>
        <v>KU</v>
      </c>
      <c r="B291" s="426" t="str">
        <f t="shared" si="28"/>
        <v>KY</v>
      </c>
      <c r="C291" s="426" t="str">
        <f t="shared" si="30"/>
        <v>E</v>
      </c>
      <c r="D291" s="426" t="s">
        <v>2657</v>
      </c>
      <c r="E291" s="426" t="str">
        <f t="shared" si="27"/>
        <v>394</v>
      </c>
      <c r="F291" s="741" t="s">
        <v>1816</v>
      </c>
      <c r="G291" s="425" t="str">
        <f t="shared" ref="G291:G371" si="32">IF(ISTEXT(MID($F291,SEARCH("FUTURE USE",$F291),3)),"FUTURE USE",IF(ISTEXT(MID($F291,SEARCH("ECR",$F291),3)),"ECR",IF(ISTEXT(MID($F291,SEARCH("ARO",$F291),3)),"ARO",IF(ISTEXT(MID($F291,SEARCH("DSM",$F291),3)),"DSM",""))))</f>
        <v/>
      </c>
      <c r="H291" s="426">
        <v>17.072019999999998</v>
      </c>
      <c r="I291" s="426">
        <v>29.24783</v>
      </c>
      <c r="J291" s="426">
        <v>8.22377</v>
      </c>
      <c r="K291" s="426">
        <v>3.33265999999999</v>
      </c>
      <c r="L291" s="426">
        <v>0</v>
      </c>
      <c r="M291" s="426">
        <v>75.986899999999906</v>
      </c>
      <c r="N291" s="426">
        <v>51.75206</v>
      </c>
      <c r="O291" s="426">
        <v>0</v>
      </c>
      <c r="P291" s="426">
        <v>6.50129</v>
      </c>
      <c r="Q291" s="426">
        <v>9.3736700000000006</v>
      </c>
      <c r="R291" s="426">
        <v>56.767000000000003</v>
      </c>
      <c r="S291" s="426">
        <v>0.87450000000000006</v>
      </c>
      <c r="T291" s="426">
        <v>3.73258</v>
      </c>
      <c r="U291" s="426">
        <f t="shared" si="31"/>
        <v>245.79225999999994</v>
      </c>
    </row>
    <row r="292" spans="1:22">
      <c r="A292" s="426" t="str">
        <f t="shared" si="29"/>
        <v>KU</v>
      </c>
      <c r="B292" s="426" t="str">
        <f t="shared" si="28"/>
        <v>VA</v>
      </c>
      <c r="C292" s="426" t="str">
        <f t="shared" si="30"/>
        <v>E</v>
      </c>
      <c r="D292" s="426" t="s">
        <v>2657</v>
      </c>
      <c r="E292" s="426" t="str">
        <f t="shared" si="27"/>
        <v>394</v>
      </c>
      <c r="F292" s="741" t="s">
        <v>1817</v>
      </c>
      <c r="G292" s="425" t="str">
        <f t="shared" si="32"/>
        <v/>
      </c>
      <c r="H292" s="426">
        <v>0</v>
      </c>
      <c r="I292" s="426">
        <v>0</v>
      </c>
      <c r="J292" s="426">
        <v>0</v>
      </c>
      <c r="K292" s="426">
        <v>0</v>
      </c>
      <c r="L292" s="426">
        <v>0</v>
      </c>
      <c r="M292" s="426">
        <v>0</v>
      </c>
      <c r="N292" s="426">
        <v>1.0068299999999999</v>
      </c>
      <c r="O292" s="426">
        <v>0</v>
      </c>
      <c r="P292" s="426">
        <v>0</v>
      </c>
      <c r="Q292" s="426">
        <v>0</v>
      </c>
      <c r="R292" s="426">
        <v>0</v>
      </c>
      <c r="S292" s="426">
        <v>0</v>
      </c>
      <c r="T292" s="426">
        <v>0</v>
      </c>
      <c r="U292" s="426">
        <f t="shared" si="31"/>
        <v>1.0068299999999999</v>
      </c>
    </row>
    <row r="293" spans="1:22">
      <c r="A293" s="426" t="str">
        <f t="shared" si="29"/>
        <v>KU</v>
      </c>
      <c r="B293" s="426" t="str">
        <f t="shared" si="28"/>
        <v>KY</v>
      </c>
      <c r="C293" s="426" t="str">
        <f t="shared" si="30"/>
        <v>E</v>
      </c>
      <c r="D293" s="426" t="s">
        <v>2657</v>
      </c>
      <c r="E293" s="426" t="str">
        <f t="shared" si="27"/>
        <v>396</v>
      </c>
      <c r="F293" s="741" t="s">
        <v>2402</v>
      </c>
      <c r="G293" s="425" t="str">
        <f t="shared" si="32"/>
        <v/>
      </c>
      <c r="H293" s="426">
        <v>0</v>
      </c>
      <c r="I293" s="426">
        <v>0</v>
      </c>
      <c r="J293" s="426">
        <v>0</v>
      </c>
      <c r="K293" s="426">
        <v>0</v>
      </c>
      <c r="L293" s="426">
        <v>0</v>
      </c>
      <c r="M293" s="426">
        <v>0</v>
      </c>
      <c r="N293" s="426">
        <v>0</v>
      </c>
      <c r="O293" s="426">
        <v>0</v>
      </c>
      <c r="P293" s="426">
        <v>0</v>
      </c>
      <c r="Q293" s="426">
        <v>0</v>
      </c>
      <c r="R293" s="426">
        <v>0</v>
      </c>
      <c r="S293" s="426">
        <v>0</v>
      </c>
      <c r="T293" s="426">
        <v>0</v>
      </c>
      <c r="U293" s="426">
        <f t="shared" si="31"/>
        <v>0</v>
      </c>
    </row>
    <row r="294" spans="1:22">
      <c r="A294" s="426" t="str">
        <f t="shared" si="29"/>
        <v>KU</v>
      </c>
      <c r="B294" s="426" t="str">
        <f t="shared" si="28"/>
        <v>KY</v>
      </c>
      <c r="C294" s="426" t="str">
        <f t="shared" si="30"/>
        <v>E</v>
      </c>
      <c r="D294" s="426" t="s">
        <v>2657</v>
      </c>
      <c r="E294" s="426" t="str">
        <f t="shared" si="27"/>
        <v>397</v>
      </c>
      <c r="F294" s="741" t="s">
        <v>1820</v>
      </c>
      <c r="G294" s="425" t="str">
        <f t="shared" si="32"/>
        <v/>
      </c>
      <c r="H294" s="426">
        <v>0</v>
      </c>
      <c r="I294" s="426">
        <v>0</v>
      </c>
      <c r="J294" s="426">
        <v>0</v>
      </c>
      <c r="K294" s="426">
        <v>0</v>
      </c>
      <c r="L294" s="426">
        <v>0</v>
      </c>
      <c r="M294" s="426">
        <v>0</v>
      </c>
      <c r="N294" s="426">
        <v>0</v>
      </c>
      <c r="O294" s="426">
        <v>0</v>
      </c>
      <c r="P294" s="426">
        <v>0</v>
      </c>
      <c r="Q294" s="426">
        <v>0</v>
      </c>
      <c r="R294" s="426">
        <v>0</v>
      </c>
      <c r="S294" s="426">
        <v>0</v>
      </c>
      <c r="T294" s="426">
        <v>0</v>
      </c>
      <c r="U294" s="426">
        <f t="shared" si="31"/>
        <v>0</v>
      </c>
    </row>
    <row r="295" spans="1:22">
      <c r="F295" s="799" t="s">
        <v>1823</v>
      </c>
      <c r="G295" s="425" t="str">
        <f t="shared" si="32"/>
        <v/>
      </c>
      <c r="H295" s="426">
        <f>SUM(H240:H294)</f>
        <v>5128.4351299999998</v>
      </c>
      <c r="I295" s="426">
        <f t="shared" ref="I295:T295" si="33">SUM(I240:I294)</f>
        <v>6467.3749399999997</v>
      </c>
      <c r="J295" s="426">
        <f t="shared" si="33"/>
        <v>6205.95543</v>
      </c>
      <c r="K295" s="426">
        <f t="shared" si="33"/>
        <v>2805.2975099999981</v>
      </c>
      <c r="L295" s="426">
        <f t="shared" si="33"/>
        <v>5619.7402299999994</v>
      </c>
      <c r="M295" s="426">
        <f t="shared" si="33"/>
        <v>5087.286009999998</v>
      </c>
      <c r="N295" s="426">
        <f t="shared" si="33"/>
        <v>17225.942487799999</v>
      </c>
      <c r="O295" s="426">
        <f t="shared" si="33"/>
        <v>26939.309318999996</v>
      </c>
      <c r="P295" s="426">
        <f t="shared" si="33"/>
        <v>9357.3685808999871</v>
      </c>
      <c r="Q295" s="426">
        <f t="shared" si="33"/>
        <v>4676.9104043299994</v>
      </c>
      <c r="R295" s="426">
        <f t="shared" si="33"/>
        <v>2461.3165338999993</v>
      </c>
      <c r="S295" s="426">
        <f t="shared" si="33"/>
        <v>4618.2627446800007</v>
      </c>
      <c r="T295" s="426">
        <f t="shared" si="33"/>
        <v>3337.9608773299997</v>
      </c>
      <c r="U295" s="426">
        <f t="shared" si="31"/>
        <v>94802.725067939973</v>
      </c>
    </row>
    <row r="296" spans="1:22">
      <c r="G296" s="425" t="str">
        <f t="shared" si="32"/>
        <v/>
      </c>
      <c r="U296" s="426">
        <f t="shared" si="31"/>
        <v>0</v>
      </c>
      <c r="V296" s="426">
        <f t="shared" ref="V296:V376" si="34">SUM(H296:T296)/13</f>
        <v>0</v>
      </c>
    </row>
    <row r="297" spans="1:22">
      <c r="F297" s="800" t="s">
        <v>2669</v>
      </c>
      <c r="G297" s="425" t="str">
        <f t="shared" si="32"/>
        <v/>
      </c>
      <c r="U297" s="426">
        <f t="shared" si="31"/>
        <v>0</v>
      </c>
      <c r="V297" s="426">
        <f t="shared" si="34"/>
        <v>0</v>
      </c>
    </row>
    <row r="298" spans="1:22">
      <c r="A298" s="426" t="str">
        <f t="shared" si="29"/>
        <v>KU</v>
      </c>
      <c r="B298" s="426" t="str">
        <f t="shared" si="28"/>
        <v>KY</v>
      </c>
      <c r="C298" s="426" t="str">
        <f t="shared" si="30"/>
        <v>E</v>
      </c>
      <c r="D298" s="426" t="s">
        <v>2658</v>
      </c>
      <c r="E298" s="426" t="str">
        <f t="shared" si="27"/>
        <v>310</v>
      </c>
      <c r="F298" s="741" t="s">
        <v>1723</v>
      </c>
      <c r="H298" s="426">
        <v>0</v>
      </c>
      <c r="I298" s="426">
        <v>-10406.297269999901</v>
      </c>
      <c r="J298" s="426">
        <v>0</v>
      </c>
      <c r="K298" s="426">
        <v>0</v>
      </c>
      <c r="L298" s="426">
        <v>0</v>
      </c>
      <c r="M298" s="426">
        <v>0</v>
      </c>
      <c r="N298" s="426">
        <v>0</v>
      </c>
      <c r="O298" s="426">
        <v>0</v>
      </c>
      <c r="P298" s="426">
        <v>0</v>
      </c>
      <c r="Q298" s="426">
        <v>0</v>
      </c>
      <c r="R298" s="426">
        <v>0</v>
      </c>
      <c r="S298" s="426">
        <v>0</v>
      </c>
      <c r="T298" s="426">
        <v>0</v>
      </c>
      <c r="U298" s="426">
        <f t="shared" si="31"/>
        <v>-10406.297269999901</v>
      </c>
      <c r="V298" s="426">
        <f t="shared" si="34"/>
        <v>-800.48440538460773</v>
      </c>
    </row>
    <row r="299" spans="1:22">
      <c r="A299" s="426" t="str">
        <f t="shared" si="29"/>
        <v>KU</v>
      </c>
      <c r="B299" s="426" t="str">
        <f t="shared" si="28"/>
        <v>KY</v>
      </c>
      <c r="C299" s="426" t="str">
        <f t="shared" si="30"/>
        <v>E</v>
      </c>
      <c r="D299" s="426" t="s">
        <v>2658</v>
      </c>
      <c r="E299" s="426" t="str">
        <f t="shared" si="27"/>
        <v>310</v>
      </c>
      <c r="F299" s="741" t="s">
        <v>1724</v>
      </c>
      <c r="H299" s="426">
        <v>0</v>
      </c>
      <c r="I299" s="426">
        <v>-1406.9974500000001</v>
      </c>
      <c r="J299" s="426">
        <v>0</v>
      </c>
      <c r="K299" s="426">
        <v>0</v>
      </c>
      <c r="L299" s="426">
        <v>0</v>
      </c>
      <c r="M299" s="426">
        <v>0</v>
      </c>
      <c r="N299" s="426">
        <v>0</v>
      </c>
      <c r="O299" s="426">
        <v>0</v>
      </c>
      <c r="P299" s="426">
        <v>0</v>
      </c>
      <c r="Q299" s="426">
        <v>0</v>
      </c>
      <c r="R299" s="426">
        <v>0</v>
      </c>
      <c r="S299" s="426">
        <v>0</v>
      </c>
      <c r="T299" s="426">
        <v>0</v>
      </c>
      <c r="U299" s="426">
        <f t="shared" ref="U299:U312" si="35">SUM(I299:T299)</f>
        <v>-1406.9974500000001</v>
      </c>
      <c r="V299" s="426">
        <f t="shared" ref="V299:V312" si="36">SUM(H299:T299)/13</f>
        <v>-108.23057307692308</v>
      </c>
    </row>
    <row r="300" spans="1:22">
      <c r="A300" s="426" t="str">
        <f t="shared" si="29"/>
        <v>KU</v>
      </c>
      <c r="B300" s="426" t="str">
        <f t="shared" si="28"/>
        <v>KY</v>
      </c>
      <c r="C300" s="426" t="str">
        <f t="shared" si="30"/>
        <v>E</v>
      </c>
      <c r="D300" s="426" t="s">
        <v>2658</v>
      </c>
      <c r="E300" s="426" t="str">
        <f t="shared" si="27"/>
        <v>310</v>
      </c>
      <c r="F300" s="741" t="s">
        <v>1725</v>
      </c>
      <c r="G300" s="425" t="str">
        <f t="shared" si="32"/>
        <v/>
      </c>
      <c r="H300" s="426">
        <v>0</v>
      </c>
      <c r="I300" s="426">
        <v>11813.2947199999</v>
      </c>
      <c r="J300" s="426">
        <v>0</v>
      </c>
      <c r="K300" s="426">
        <v>0</v>
      </c>
      <c r="L300" s="426">
        <v>0</v>
      </c>
      <c r="M300" s="426">
        <v>0</v>
      </c>
      <c r="N300" s="426">
        <v>0</v>
      </c>
      <c r="O300" s="426">
        <v>0</v>
      </c>
      <c r="P300" s="426">
        <v>0</v>
      </c>
      <c r="Q300" s="426">
        <v>0</v>
      </c>
      <c r="R300" s="426">
        <v>0</v>
      </c>
      <c r="S300" s="426">
        <v>0</v>
      </c>
      <c r="T300" s="426">
        <v>0</v>
      </c>
      <c r="U300" s="426">
        <f t="shared" si="35"/>
        <v>11813.2947199999</v>
      </c>
      <c r="V300" s="426">
        <f t="shared" si="36"/>
        <v>908.71497846153079</v>
      </c>
    </row>
    <row r="301" spans="1:22">
      <c r="A301" s="426" t="str">
        <f t="shared" si="29"/>
        <v>KU</v>
      </c>
      <c r="B301" s="426" t="str">
        <f t="shared" si="28"/>
        <v>KY</v>
      </c>
      <c r="C301" s="426" t="str">
        <f t="shared" si="30"/>
        <v>E</v>
      </c>
      <c r="D301" s="426" t="s">
        <v>2658</v>
      </c>
      <c r="E301" s="426" t="str">
        <f t="shared" si="27"/>
        <v>311</v>
      </c>
      <c r="F301" s="741" t="s">
        <v>1726</v>
      </c>
      <c r="H301" s="426">
        <v>0</v>
      </c>
      <c r="I301" s="426">
        <v>-10014.774890000001</v>
      </c>
      <c r="J301" s="426">
        <v>0</v>
      </c>
      <c r="K301" s="426">
        <v>0</v>
      </c>
      <c r="L301" s="426">
        <v>0</v>
      </c>
      <c r="M301" s="426">
        <v>0</v>
      </c>
      <c r="N301" s="426">
        <v>0</v>
      </c>
      <c r="O301" s="426">
        <v>0</v>
      </c>
      <c r="P301" s="426">
        <v>0</v>
      </c>
      <c r="Q301" s="426">
        <v>0</v>
      </c>
      <c r="R301" s="426">
        <v>0</v>
      </c>
      <c r="S301" s="426">
        <v>0</v>
      </c>
      <c r="T301" s="426">
        <v>0</v>
      </c>
      <c r="U301" s="426">
        <f t="shared" si="35"/>
        <v>-10014.774890000001</v>
      </c>
      <c r="V301" s="426">
        <f t="shared" si="36"/>
        <v>-770.36729923076928</v>
      </c>
    </row>
    <row r="302" spans="1:22">
      <c r="A302" s="426" t="str">
        <f t="shared" si="29"/>
        <v>KU</v>
      </c>
      <c r="B302" s="426" t="str">
        <f t="shared" si="28"/>
        <v>KY</v>
      </c>
      <c r="C302" s="426" t="str">
        <f t="shared" si="30"/>
        <v>E</v>
      </c>
      <c r="D302" s="426" t="s">
        <v>2658</v>
      </c>
      <c r="E302" s="426" t="str">
        <f t="shared" si="27"/>
        <v>311</v>
      </c>
      <c r="F302" s="741" t="s">
        <v>2178</v>
      </c>
      <c r="H302" s="426">
        <v>0</v>
      </c>
      <c r="I302" s="426">
        <v>-14572.80107</v>
      </c>
      <c r="J302" s="426">
        <v>0</v>
      </c>
      <c r="K302" s="426">
        <v>0</v>
      </c>
      <c r="L302" s="426">
        <v>0</v>
      </c>
      <c r="M302" s="426">
        <v>0</v>
      </c>
      <c r="N302" s="426">
        <v>0</v>
      </c>
      <c r="O302" s="426">
        <v>0</v>
      </c>
      <c r="P302" s="426">
        <v>0</v>
      </c>
      <c r="Q302" s="426">
        <v>0</v>
      </c>
      <c r="R302" s="426">
        <v>0</v>
      </c>
      <c r="S302" s="426">
        <v>0</v>
      </c>
      <c r="T302" s="426">
        <v>0</v>
      </c>
      <c r="U302" s="426">
        <f t="shared" si="35"/>
        <v>-14572.80107</v>
      </c>
      <c r="V302" s="426">
        <f t="shared" si="36"/>
        <v>-1120.9846976923077</v>
      </c>
    </row>
    <row r="303" spans="1:22">
      <c r="A303" s="426" t="str">
        <f t="shared" si="29"/>
        <v>KU</v>
      </c>
      <c r="B303" s="426" t="str">
        <f t="shared" si="28"/>
        <v>KY</v>
      </c>
      <c r="C303" s="426" t="str">
        <f t="shared" si="30"/>
        <v>E</v>
      </c>
      <c r="D303" s="426" t="s">
        <v>2658</v>
      </c>
      <c r="E303" s="426" t="str">
        <f t="shared" si="27"/>
        <v>311</v>
      </c>
      <c r="F303" s="741" t="s">
        <v>1727</v>
      </c>
      <c r="G303" s="425" t="str">
        <f t="shared" si="32"/>
        <v/>
      </c>
      <c r="H303" s="426">
        <v>0</v>
      </c>
      <c r="I303" s="426">
        <v>24587.575959999998</v>
      </c>
      <c r="J303" s="426">
        <v>0</v>
      </c>
      <c r="K303" s="426">
        <v>0</v>
      </c>
      <c r="L303" s="426">
        <v>0</v>
      </c>
      <c r="M303" s="426">
        <v>0</v>
      </c>
      <c r="N303" s="426">
        <v>0</v>
      </c>
      <c r="O303" s="426">
        <v>0</v>
      </c>
      <c r="P303" s="426">
        <v>0</v>
      </c>
      <c r="Q303" s="426">
        <v>0</v>
      </c>
      <c r="R303" s="426">
        <v>0</v>
      </c>
      <c r="S303" s="426">
        <v>0</v>
      </c>
      <c r="T303" s="426">
        <v>0</v>
      </c>
      <c r="U303" s="426">
        <f t="shared" si="35"/>
        <v>24587.575959999998</v>
      </c>
      <c r="V303" s="426">
        <f t="shared" si="36"/>
        <v>1891.3519969230767</v>
      </c>
    </row>
    <row r="304" spans="1:22">
      <c r="A304" s="426" t="str">
        <f t="shared" si="29"/>
        <v>KU</v>
      </c>
      <c r="B304" s="426" t="str">
        <f t="shared" si="28"/>
        <v>KY</v>
      </c>
      <c r="C304" s="426" t="str">
        <f t="shared" si="30"/>
        <v>E</v>
      </c>
      <c r="D304" s="426" t="s">
        <v>2658</v>
      </c>
      <c r="E304" s="426" t="str">
        <f t="shared" si="27"/>
        <v>312</v>
      </c>
      <c r="F304" s="741" t="s">
        <v>1728</v>
      </c>
      <c r="G304" s="425" t="str">
        <f t="shared" si="32"/>
        <v/>
      </c>
      <c r="H304" s="426">
        <v>0</v>
      </c>
      <c r="I304" s="426">
        <v>1292003.6499000001</v>
      </c>
      <c r="J304" s="426">
        <v>0</v>
      </c>
      <c r="K304" s="426">
        <v>0</v>
      </c>
      <c r="L304" s="426">
        <v>0</v>
      </c>
      <c r="M304" s="426">
        <v>0</v>
      </c>
      <c r="N304" s="426">
        <v>0</v>
      </c>
      <c r="O304" s="426">
        <v>0</v>
      </c>
      <c r="P304" s="426">
        <v>0</v>
      </c>
      <c r="Q304" s="426">
        <v>0</v>
      </c>
      <c r="R304" s="426">
        <v>0</v>
      </c>
      <c r="S304" s="426">
        <v>0</v>
      </c>
      <c r="T304" s="426">
        <v>0</v>
      </c>
      <c r="U304" s="426">
        <f t="shared" si="35"/>
        <v>1292003.6499000001</v>
      </c>
      <c r="V304" s="426">
        <f t="shared" si="36"/>
        <v>99384.896146153857</v>
      </c>
    </row>
    <row r="305" spans="1:22">
      <c r="A305" s="426" t="str">
        <f t="shared" si="29"/>
        <v>KU</v>
      </c>
      <c r="B305" s="426" t="str">
        <f t="shared" si="28"/>
        <v>KY</v>
      </c>
      <c r="C305" s="426" t="str">
        <f t="shared" si="30"/>
        <v>E</v>
      </c>
      <c r="D305" s="426" t="s">
        <v>2658</v>
      </c>
      <c r="E305" s="426" t="str">
        <f t="shared" si="27"/>
        <v>312</v>
      </c>
      <c r="F305" s="741" t="s">
        <v>1729</v>
      </c>
      <c r="H305" s="426">
        <v>0</v>
      </c>
      <c r="I305" s="426">
        <v>-444366.08430999902</v>
      </c>
      <c r="J305" s="426">
        <v>0</v>
      </c>
      <c r="K305" s="426">
        <v>0</v>
      </c>
      <c r="L305" s="426">
        <v>0</v>
      </c>
      <c r="M305" s="426">
        <v>0</v>
      </c>
      <c r="N305" s="426">
        <v>0</v>
      </c>
      <c r="O305" s="426">
        <v>0</v>
      </c>
      <c r="P305" s="426">
        <v>0</v>
      </c>
      <c r="Q305" s="426">
        <v>0</v>
      </c>
      <c r="R305" s="426">
        <v>0</v>
      </c>
      <c r="S305" s="426">
        <v>0</v>
      </c>
      <c r="T305" s="426">
        <v>0</v>
      </c>
      <c r="U305" s="426">
        <f t="shared" si="35"/>
        <v>-444366.08430999902</v>
      </c>
      <c r="V305" s="426">
        <f t="shared" si="36"/>
        <v>-34182.00648538454</v>
      </c>
    </row>
    <row r="306" spans="1:22">
      <c r="A306" s="426" t="str">
        <f t="shared" si="29"/>
        <v>KU</v>
      </c>
      <c r="B306" s="426" t="str">
        <f t="shared" si="28"/>
        <v>KY</v>
      </c>
      <c r="C306" s="426" t="str">
        <f t="shared" si="30"/>
        <v>E</v>
      </c>
      <c r="D306" s="426" t="s">
        <v>2658</v>
      </c>
      <c r="E306" s="426" t="str">
        <f t="shared" si="27"/>
        <v>312</v>
      </c>
      <c r="F306" s="741" t="s">
        <v>1730</v>
      </c>
      <c r="H306" s="426">
        <v>0</v>
      </c>
      <c r="I306" s="426">
        <v>-830339.97248999996</v>
      </c>
      <c r="J306" s="426">
        <v>0</v>
      </c>
      <c r="K306" s="426">
        <v>0</v>
      </c>
      <c r="L306" s="426">
        <v>0</v>
      </c>
      <c r="M306" s="426">
        <v>0</v>
      </c>
      <c r="N306" s="426">
        <v>0</v>
      </c>
      <c r="O306" s="426">
        <v>0</v>
      </c>
      <c r="P306" s="426">
        <v>0</v>
      </c>
      <c r="Q306" s="426">
        <v>0</v>
      </c>
      <c r="R306" s="426">
        <v>0</v>
      </c>
      <c r="S306" s="426">
        <v>0</v>
      </c>
      <c r="T306" s="426">
        <v>0</v>
      </c>
      <c r="U306" s="426">
        <f t="shared" si="35"/>
        <v>-830339.97248999996</v>
      </c>
      <c r="V306" s="426">
        <f t="shared" si="36"/>
        <v>-63872.305576153842</v>
      </c>
    </row>
    <row r="307" spans="1:22">
      <c r="A307" s="426" t="str">
        <f t="shared" si="29"/>
        <v>KU</v>
      </c>
      <c r="B307" s="426" t="str">
        <f t="shared" si="28"/>
        <v>KY</v>
      </c>
      <c r="C307" s="426" t="str">
        <f t="shared" si="30"/>
        <v>E</v>
      </c>
      <c r="D307" s="426" t="s">
        <v>2658</v>
      </c>
      <c r="E307" s="426" t="str">
        <f t="shared" si="27"/>
        <v>312</v>
      </c>
      <c r="F307" s="741" t="s">
        <v>2179</v>
      </c>
      <c r="H307" s="426">
        <v>0</v>
      </c>
      <c r="I307" s="426">
        <v>-17297.5930999999</v>
      </c>
      <c r="J307" s="426">
        <v>0</v>
      </c>
      <c r="K307" s="426">
        <v>0</v>
      </c>
      <c r="L307" s="426">
        <v>0</v>
      </c>
      <c r="M307" s="426">
        <v>0</v>
      </c>
      <c r="N307" s="426">
        <v>0</v>
      </c>
      <c r="O307" s="426">
        <v>0</v>
      </c>
      <c r="P307" s="426">
        <v>0</v>
      </c>
      <c r="Q307" s="426">
        <v>0</v>
      </c>
      <c r="R307" s="426">
        <v>0</v>
      </c>
      <c r="S307" s="426">
        <v>0</v>
      </c>
      <c r="T307" s="426">
        <v>0</v>
      </c>
      <c r="U307" s="426">
        <f t="shared" si="35"/>
        <v>-17297.5930999999</v>
      </c>
      <c r="V307" s="426">
        <f t="shared" si="36"/>
        <v>-1330.5840846153769</v>
      </c>
    </row>
    <row r="308" spans="1:22">
      <c r="A308" s="426" t="str">
        <f t="shared" si="29"/>
        <v>KU</v>
      </c>
      <c r="B308" s="426" t="str">
        <f t="shared" si="28"/>
        <v>KY</v>
      </c>
      <c r="C308" s="426" t="str">
        <f t="shared" si="30"/>
        <v>E</v>
      </c>
      <c r="D308" s="426" t="s">
        <v>2658</v>
      </c>
      <c r="E308" s="426" t="str">
        <f t="shared" si="27"/>
        <v>315</v>
      </c>
      <c r="F308" s="741" t="s">
        <v>1733</v>
      </c>
      <c r="G308" s="425" t="str">
        <f t="shared" si="32"/>
        <v/>
      </c>
      <c r="H308" s="426">
        <v>0</v>
      </c>
      <c r="I308" s="426">
        <v>36344.623809999903</v>
      </c>
      <c r="J308" s="426">
        <v>0</v>
      </c>
      <c r="K308" s="426">
        <v>0</v>
      </c>
      <c r="L308" s="426">
        <v>0</v>
      </c>
      <c r="M308" s="426">
        <v>0</v>
      </c>
      <c r="N308" s="426">
        <v>0</v>
      </c>
      <c r="O308" s="426">
        <v>0</v>
      </c>
      <c r="P308" s="426">
        <v>0</v>
      </c>
      <c r="Q308" s="426">
        <v>0</v>
      </c>
      <c r="R308" s="426">
        <v>0</v>
      </c>
      <c r="S308" s="426">
        <v>0</v>
      </c>
      <c r="T308" s="426">
        <v>0</v>
      </c>
      <c r="U308" s="426">
        <f t="shared" si="35"/>
        <v>36344.623809999903</v>
      </c>
      <c r="V308" s="426">
        <f t="shared" si="36"/>
        <v>2795.7402930769158</v>
      </c>
    </row>
    <row r="309" spans="1:22">
      <c r="A309" s="426" t="str">
        <f t="shared" si="29"/>
        <v>KU</v>
      </c>
      <c r="B309" s="426" t="str">
        <f t="shared" si="28"/>
        <v>KY</v>
      </c>
      <c r="C309" s="426" t="str">
        <f t="shared" si="30"/>
        <v>E</v>
      </c>
      <c r="D309" s="426" t="s">
        <v>2658</v>
      </c>
      <c r="E309" s="426" t="str">
        <f t="shared" si="27"/>
        <v>315</v>
      </c>
      <c r="F309" s="741" t="s">
        <v>2180</v>
      </c>
      <c r="H309" s="426">
        <v>0</v>
      </c>
      <c r="I309" s="426">
        <v>-20283.6506899999</v>
      </c>
      <c r="J309" s="426">
        <v>0</v>
      </c>
      <c r="K309" s="426">
        <v>0</v>
      </c>
      <c r="L309" s="426">
        <v>0</v>
      </c>
      <c r="M309" s="426">
        <v>0</v>
      </c>
      <c r="N309" s="426">
        <v>0</v>
      </c>
      <c r="O309" s="426">
        <v>0</v>
      </c>
      <c r="P309" s="426">
        <v>0</v>
      </c>
      <c r="Q309" s="426">
        <v>0</v>
      </c>
      <c r="R309" s="426">
        <v>0</v>
      </c>
      <c r="S309" s="426">
        <v>0</v>
      </c>
      <c r="T309" s="426">
        <v>0</v>
      </c>
      <c r="U309" s="426">
        <f t="shared" si="35"/>
        <v>-20283.6506899999</v>
      </c>
      <c r="V309" s="426">
        <f t="shared" si="36"/>
        <v>-1560.2808223076847</v>
      </c>
    </row>
    <row r="310" spans="1:22">
      <c r="A310" s="426" t="str">
        <f t="shared" si="29"/>
        <v>KU</v>
      </c>
      <c r="B310" s="426" t="str">
        <f t="shared" si="28"/>
        <v>KY</v>
      </c>
      <c r="C310" s="426" t="str">
        <f t="shared" si="30"/>
        <v>E</v>
      </c>
      <c r="D310" s="426" t="s">
        <v>2658</v>
      </c>
      <c r="E310" s="426" t="str">
        <f t="shared" si="27"/>
        <v>315</v>
      </c>
      <c r="F310" s="741" t="s">
        <v>1734</v>
      </c>
      <c r="H310" s="426">
        <v>0</v>
      </c>
      <c r="I310" s="426">
        <v>-16060.973120000001</v>
      </c>
      <c r="J310" s="426">
        <v>0</v>
      </c>
      <c r="K310" s="426">
        <v>0</v>
      </c>
      <c r="L310" s="426">
        <v>0</v>
      </c>
      <c r="M310" s="426">
        <v>0</v>
      </c>
      <c r="N310" s="426">
        <v>0</v>
      </c>
      <c r="O310" s="426">
        <v>0</v>
      </c>
      <c r="P310" s="426">
        <v>0</v>
      </c>
      <c r="Q310" s="426">
        <v>0</v>
      </c>
      <c r="R310" s="426">
        <v>0</v>
      </c>
      <c r="S310" s="426">
        <v>0</v>
      </c>
      <c r="T310" s="426">
        <v>0</v>
      </c>
      <c r="U310" s="426">
        <f t="shared" si="35"/>
        <v>-16060.973120000001</v>
      </c>
      <c r="V310" s="426">
        <f t="shared" si="36"/>
        <v>-1235.4594707692308</v>
      </c>
    </row>
    <row r="311" spans="1:22">
      <c r="A311" s="426" t="str">
        <f t="shared" si="29"/>
        <v>KU</v>
      </c>
      <c r="B311" s="426" t="str">
        <f t="shared" si="28"/>
        <v>KY</v>
      </c>
      <c r="C311" s="426" t="str">
        <f t="shared" si="30"/>
        <v>E</v>
      </c>
      <c r="D311" s="426" t="s">
        <v>2658</v>
      </c>
      <c r="E311" s="426" t="str">
        <f t="shared" si="27"/>
        <v>316</v>
      </c>
      <c r="F311" s="741" t="s">
        <v>2181</v>
      </c>
      <c r="H311" s="426">
        <v>0</v>
      </c>
      <c r="I311" s="426">
        <v>-558.11644000000001</v>
      </c>
      <c r="J311" s="426">
        <v>0</v>
      </c>
      <c r="K311" s="426">
        <v>0</v>
      </c>
      <c r="L311" s="426">
        <v>0</v>
      </c>
      <c r="M311" s="426">
        <v>0</v>
      </c>
      <c r="N311" s="426">
        <v>0</v>
      </c>
      <c r="O311" s="426">
        <v>0</v>
      </c>
      <c r="P311" s="426">
        <v>0</v>
      </c>
      <c r="Q311" s="426">
        <v>0</v>
      </c>
      <c r="R311" s="426">
        <v>0</v>
      </c>
      <c r="S311" s="426">
        <v>0</v>
      </c>
      <c r="T311" s="426">
        <v>0</v>
      </c>
      <c r="U311" s="426">
        <f t="shared" si="35"/>
        <v>-558.11644000000001</v>
      </c>
      <c r="V311" s="426">
        <f t="shared" si="36"/>
        <v>-42.93203384615385</v>
      </c>
    </row>
    <row r="312" spans="1:22">
      <c r="A312" s="426" t="str">
        <f t="shared" si="29"/>
        <v>KU</v>
      </c>
      <c r="B312" s="426" t="str">
        <f t="shared" si="28"/>
        <v>KY</v>
      </c>
      <c r="C312" s="426" t="str">
        <f t="shared" si="30"/>
        <v>E</v>
      </c>
      <c r="D312" s="426" t="s">
        <v>2658</v>
      </c>
      <c r="E312" s="426" t="str">
        <f t="shared" si="27"/>
        <v>316</v>
      </c>
      <c r="F312" s="741" t="s">
        <v>1735</v>
      </c>
      <c r="G312" s="425" t="str">
        <f t="shared" si="32"/>
        <v/>
      </c>
      <c r="H312" s="426">
        <v>0</v>
      </c>
      <c r="I312" s="426">
        <v>558.11644000000001</v>
      </c>
      <c r="J312" s="426">
        <v>0</v>
      </c>
      <c r="K312" s="426">
        <v>0</v>
      </c>
      <c r="L312" s="426">
        <v>0</v>
      </c>
      <c r="M312" s="426">
        <v>0</v>
      </c>
      <c r="N312" s="426">
        <v>0</v>
      </c>
      <c r="O312" s="426">
        <v>0</v>
      </c>
      <c r="P312" s="426">
        <v>0</v>
      </c>
      <c r="Q312" s="426">
        <v>0</v>
      </c>
      <c r="R312" s="426">
        <v>0</v>
      </c>
      <c r="S312" s="426">
        <v>0</v>
      </c>
      <c r="T312" s="426">
        <v>0</v>
      </c>
      <c r="U312" s="426">
        <f t="shared" si="35"/>
        <v>558.11644000000001</v>
      </c>
      <c r="V312" s="426">
        <f t="shared" si="36"/>
        <v>42.93203384615385</v>
      </c>
    </row>
    <row r="313" spans="1:22">
      <c r="A313" s="426" t="str">
        <f t="shared" si="29"/>
        <v>KU</v>
      </c>
      <c r="B313" s="426" t="str">
        <f t="shared" si="28"/>
        <v>KY</v>
      </c>
      <c r="C313" s="426" t="str">
        <f t="shared" si="30"/>
        <v>E</v>
      </c>
      <c r="D313" s="426" t="s">
        <v>2658</v>
      </c>
      <c r="E313" s="426" t="str">
        <f t="shared" si="27"/>
        <v>364</v>
      </c>
      <c r="F313" s="741" t="s">
        <v>2196</v>
      </c>
      <c r="H313" s="426">
        <v>0</v>
      </c>
      <c r="I313" s="426">
        <v>-103.64113999999999</v>
      </c>
      <c r="J313" s="426">
        <v>0</v>
      </c>
      <c r="K313" s="426">
        <v>0</v>
      </c>
      <c r="L313" s="426">
        <v>0</v>
      </c>
      <c r="M313" s="426">
        <v>0</v>
      </c>
      <c r="N313" s="426">
        <v>0</v>
      </c>
      <c r="O313" s="426">
        <v>0</v>
      </c>
      <c r="P313" s="426">
        <v>0</v>
      </c>
      <c r="Q313" s="426">
        <v>0</v>
      </c>
      <c r="R313" s="426">
        <v>0</v>
      </c>
      <c r="S313" s="426">
        <v>0</v>
      </c>
      <c r="T313" s="426">
        <v>0</v>
      </c>
      <c r="U313" s="426">
        <f t="shared" si="31"/>
        <v>-103.64113999999999</v>
      </c>
      <c r="V313" s="426">
        <f t="shared" si="34"/>
        <v>-7.9723953846153837</v>
      </c>
    </row>
    <row r="314" spans="1:22">
      <c r="A314" s="426" t="str">
        <f t="shared" si="29"/>
        <v>KU</v>
      </c>
      <c r="B314" s="426" t="str">
        <f t="shared" si="28"/>
        <v>KY</v>
      </c>
      <c r="C314" s="426" t="str">
        <f t="shared" si="30"/>
        <v>E</v>
      </c>
      <c r="D314" s="426" t="s">
        <v>2658</v>
      </c>
      <c r="E314" s="426" t="str">
        <f t="shared" si="27"/>
        <v>364</v>
      </c>
      <c r="F314" s="741" t="s">
        <v>1782</v>
      </c>
      <c r="G314" s="425" t="str">
        <f t="shared" si="32"/>
        <v/>
      </c>
      <c r="H314" s="426">
        <v>0</v>
      </c>
      <c r="I314" s="426">
        <v>103.64113999999999</v>
      </c>
      <c r="J314" s="426">
        <v>0</v>
      </c>
      <c r="K314" s="426">
        <v>0</v>
      </c>
      <c r="L314" s="426">
        <v>0</v>
      </c>
      <c r="M314" s="426">
        <v>0</v>
      </c>
      <c r="N314" s="426">
        <v>0</v>
      </c>
      <c r="O314" s="426">
        <v>0</v>
      </c>
      <c r="P314" s="426">
        <v>0</v>
      </c>
      <c r="Q314" s="426">
        <v>0</v>
      </c>
      <c r="R314" s="426">
        <v>0</v>
      </c>
      <c r="S314" s="426">
        <v>0</v>
      </c>
      <c r="T314" s="426">
        <v>0</v>
      </c>
      <c r="U314" s="426">
        <f t="shared" si="31"/>
        <v>103.64113999999999</v>
      </c>
      <c r="V314" s="426">
        <f t="shared" si="34"/>
        <v>7.9723953846153837</v>
      </c>
    </row>
    <row r="315" spans="1:22">
      <c r="A315" s="426" t="str">
        <f t="shared" si="29"/>
        <v>KU</v>
      </c>
      <c r="B315" s="426" t="str">
        <f t="shared" si="28"/>
        <v>KY</v>
      </c>
      <c r="C315" s="426" t="str">
        <f t="shared" si="30"/>
        <v>E</v>
      </c>
      <c r="D315" s="426" t="s">
        <v>2658</v>
      </c>
      <c r="E315" s="426" t="str">
        <f t="shared" si="27"/>
        <v>365</v>
      </c>
      <c r="F315" s="741" t="s">
        <v>2197</v>
      </c>
      <c r="H315" s="426">
        <v>0</v>
      </c>
      <c r="I315" s="426">
        <v>-89.787700000000001</v>
      </c>
      <c r="J315" s="426">
        <v>0</v>
      </c>
      <c r="K315" s="426">
        <v>0</v>
      </c>
      <c r="L315" s="426">
        <v>0</v>
      </c>
      <c r="M315" s="426">
        <v>0</v>
      </c>
      <c r="N315" s="426">
        <v>0</v>
      </c>
      <c r="O315" s="426">
        <v>0</v>
      </c>
      <c r="P315" s="426">
        <v>0</v>
      </c>
      <c r="Q315" s="426">
        <v>0</v>
      </c>
      <c r="R315" s="426">
        <v>0</v>
      </c>
      <c r="S315" s="426">
        <v>0</v>
      </c>
      <c r="T315" s="426">
        <v>0</v>
      </c>
      <c r="U315" s="426">
        <f t="shared" si="31"/>
        <v>-89.787700000000001</v>
      </c>
      <c r="V315" s="426">
        <f t="shared" si="34"/>
        <v>-6.9067461538461536</v>
      </c>
    </row>
    <row r="316" spans="1:22">
      <c r="A316" s="426" t="str">
        <f t="shared" si="29"/>
        <v>KU</v>
      </c>
      <c r="B316" s="426" t="str">
        <f t="shared" si="28"/>
        <v>KY</v>
      </c>
      <c r="C316" s="426" t="str">
        <f t="shared" si="30"/>
        <v>E</v>
      </c>
      <c r="D316" s="426" t="s">
        <v>2658</v>
      </c>
      <c r="E316" s="426" t="str">
        <f t="shared" si="27"/>
        <v>365</v>
      </c>
      <c r="F316" s="741" t="s">
        <v>1785</v>
      </c>
      <c r="G316" s="425" t="str">
        <f t="shared" si="32"/>
        <v/>
      </c>
      <c r="H316" s="426">
        <v>0</v>
      </c>
      <c r="I316" s="426">
        <v>89.787700000000001</v>
      </c>
      <c r="J316" s="426">
        <v>0</v>
      </c>
      <c r="K316" s="426">
        <v>0</v>
      </c>
      <c r="L316" s="426">
        <v>0</v>
      </c>
      <c r="M316" s="426">
        <v>0</v>
      </c>
      <c r="N316" s="426">
        <v>0</v>
      </c>
      <c r="O316" s="426">
        <v>0</v>
      </c>
      <c r="P316" s="426">
        <v>0</v>
      </c>
      <c r="Q316" s="426">
        <v>0</v>
      </c>
      <c r="R316" s="426">
        <v>0</v>
      </c>
      <c r="S316" s="426">
        <v>0</v>
      </c>
      <c r="T316" s="426">
        <v>0</v>
      </c>
      <c r="U316" s="426">
        <f t="shared" si="31"/>
        <v>89.787700000000001</v>
      </c>
      <c r="V316" s="426">
        <f t="shared" si="34"/>
        <v>6.9067461538461536</v>
      </c>
    </row>
    <row r="317" spans="1:22">
      <c r="A317" s="426" t="str">
        <f t="shared" si="29"/>
        <v>KU</v>
      </c>
      <c r="B317" s="426" t="str">
        <f t="shared" si="28"/>
        <v>KY</v>
      </c>
      <c r="C317" s="426" t="str">
        <f t="shared" si="30"/>
        <v>E</v>
      </c>
      <c r="D317" s="426" t="s">
        <v>2658</v>
      </c>
      <c r="E317" s="426" t="str">
        <f t="shared" si="27"/>
        <v>366</v>
      </c>
      <c r="F317" s="741" t="s">
        <v>2198</v>
      </c>
      <c r="H317" s="426">
        <v>0</v>
      </c>
      <c r="I317" s="426">
        <v>-216.87011000000001</v>
      </c>
      <c r="J317" s="426">
        <v>0</v>
      </c>
      <c r="K317" s="426">
        <v>0</v>
      </c>
      <c r="L317" s="426">
        <v>0</v>
      </c>
      <c r="M317" s="426">
        <v>0</v>
      </c>
      <c r="N317" s="426">
        <v>0</v>
      </c>
      <c r="O317" s="426">
        <v>0</v>
      </c>
      <c r="P317" s="426">
        <v>0</v>
      </c>
      <c r="Q317" s="426">
        <v>0</v>
      </c>
      <c r="R317" s="426">
        <v>0</v>
      </c>
      <c r="S317" s="426">
        <v>0</v>
      </c>
      <c r="T317" s="426">
        <v>0</v>
      </c>
      <c r="U317" s="426">
        <f t="shared" si="31"/>
        <v>-216.87011000000001</v>
      </c>
      <c r="V317" s="426">
        <f t="shared" si="34"/>
        <v>-16.682316153846156</v>
      </c>
    </row>
    <row r="318" spans="1:22">
      <c r="A318" s="426" t="str">
        <f t="shared" si="29"/>
        <v>KU</v>
      </c>
      <c r="B318" s="426" t="str">
        <f t="shared" si="28"/>
        <v>KY</v>
      </c>
      <c r="C318" s="426" t="str">
        <f t="shared" si="30"/>
        <v>E</v>
      </c>
      <c r="D318" s="426" t="s">
        <v>2658</v>
      </c>
      <c r="E318" s="426" t="str">
        <f t="shared" si="27"/>
        <v>366</v>
      </c>
      <c r="F318" s="741" t="s">
        <v>1788</v>
      </c>
      <c r="G318" s="425" t="str">
        <f t="shared" si="32"/>
        <v/>
      </c>
      <c r="H318" s="426">
        <v>0</v>
      </c>
      <c r="I318" s="426">
        <v>216.87011000000001</v>
      </c>
      <c r="J318" s="426">
        <v>0</v>
      </c>
      <c r="K318" s="426">
        <v>0</v>
      </c>
      <c r="L318" s="426">
        <v>0</v>
      </c>
      <c r="M318" s="426">
        <v>0</v>
      </c>
      <c r="N318" s="426">
        <v>0</v>
      </c>
      <c r="O318" s="426">
        <v>0</v>
      </c>
      <c r="P318" s="426">
        <v>0</v>
      </c>
      <c r="Q318" s="426">
        <v>0</v>
      </c>
      <c r="R318" s="426">
        <v>0</v>
      </c>
      <c r="S318" s="426">
        <v>0</v>
      </c>
      <c r="T318" s="426">
        <v>0</v>
      </c>
      <c r="U318" s="426">
        <f t="shared" si="31"/>
        <v>216.87011000000001</v>
      </c>
      <c r="V318" s="426">
        <f t="shared" si="34"/>
        <v>16.682316153846156</v>
      </c>
    </row>
    <row r="319" spans="1:22">
      <c r="A319" s="426" t="str">
        <f t="shared" si="29"/>
        <v>KU</v>
      </c>
      <c r="B319" s="426" t="str">
        <f t="shared" si="28"/>
        <v>KY</v>
      </c>
      <c r="C319" s="426" t="str">
        <f t="shared" si="30"/>
        <v>E</v>
      </c>
      <c r="D319" s="426" t="s">
        <v>2658</v>
      </c>
      <c r="E319" s="426" t="str">
        <f t="shared" si="27"/>
        <v>367</v>
      </c>
      <c r="F319" s="741" t="s">
        <v>2199</v>
      </c>
      <c r="H319" s="426">
        <v>0</v>
      </c>
      <c r="I319" s="426">
        <v>-1176.77197</v>
      </c>
      <c r="J319" s="426">
        <v>0</v>
      </c>
      <c r="K319" s="426">
        <v>0</v>
      </c>
      <c r="L319" s="426">
        <v>0</v>
      </c>
      <c r="M319" s="426">
        <v>0</v>
      </c>
      <c r="N319" s="426">
        <v>0</v>
      </c>
      <c r="O319" s="426">
        <v>0</v>
      </c>
      <c r="P319" s="426">
        <v>0</v>
      </c>
      <c r="Q319" s="426">
        <v>0</v>
      </c>
      <c r="R319" s="426">
        <v>0</v>
      </c>
      <c r="S319" s="426">
        <v>0</v>
      </c>
      <c r="T319" s="426">
        <v>0</v>
      </c>
      <c r="U319" s="426">
        <f t="shared" si="31"/>
        <v>-1176.77197</v>
      </c>
      <c r="V319" s="426">
        <f t="shared" si="34"/>
        <v>-90.52092076923077</v>
      </c>
    </row>
    <row r="320" spans="1:22">
      <c r="A320" s="426" t="str">
        <f t="shared" si="29"/>
        <v>KU</v>
      </c>
      <c r="B320" s="426" t="str">
        <f t="shared" si="28"/>
        <v>KY</v>
      </c>
      <c r="C320" s="426" t="str">
        <f t="shared" si="30"/>
        <v>E</v>
      </c>
      <c r="D320" s="426" t="s">
        <v>2658</v>
      </c>
      <c r="E320" s="426" t="str">
        <f t="shared" si="27"/>
        <v>367</v>
      </c>
      <c r="F320" s="741" t="s">
        <v>1789</v>
      </c>
      <c r="G320" s="425" t="str">
        <f t="shared" si="32"/>
        <v/>
      </c>
      <c r="H320" s="426">
        <v>0</v>
      </c>
      <c r="I320" s="426">
        <v>1176.77197</v>
      </c>
      <c r="J320" s="426">
        <v>0</v>
      </c>
      <c r="K320" s="426">
        <v>0</v>
      </c>
      <c r="L320" s="426">
        <v>0</v>
      </c>
      <c r="M320" s="426">
        <v>0</v>
      </c>
      <c r="N320" s="426">
        <v>0</v>
      </c>
      <c r="O320" s="426">
        <v>0</v>
      </c>
      <c r="P320" s="426">
        <v>0</v>
      </c>
      <c r="Q320" s="426">
        <v>0</v>
      </c>
      <c r="R320" s="426">
        <v>0</v>
      </c>
      <c r="S320" s="426">
        <v>0</v>
      </c>
      <c r="T320" s="426">
        <v>0</v>
      </c>
      <c r="U320" s="426">
        <f t="shared" si="31"/>
        <v>1176.77197</v>
      </c>
      <c r="V320" s="426">
        <f t="shared" si="34"/>
        <v>90.52092076923077</v>
      </c>
    </row>
    <row r="321" spans="1:22">
      <c r="F321" s="799" t="s">
        <v>1823</v>
      </c>
      <c r="G321" s="425" t="str">
        <f t="shared" si="32"/>
        <v/>
      </c>
      <c r="H321" s="426">
        <v>0</v>
      </c>
      <c r="I321" s="426">
        <v>0</v>
      </c>
      <c r="J321" s="426">
        <v>0</v>
      </c>
      <c r="K321" s="426">
        <v>0</v>
      </c>
      <c r="L321" s="426">
        <v>0</v>
      </c>
      <c r="M321" s="426">
        <v>0</v>
      </c>
      <c r="N321" s="426">
        <v>0</v>
      </c>
      <c r="O321" s="426">
        <v>0</v>
      </c>
      <c r="P321" s="426">
        <v>0</v>
      </c>
      <c r="Q321" s="426">
        <v>0</v>
      </c>
      <c r="R321" s="426">
        <v>0</v>
      </c>
      <c r="S321" s="426">
        <v>0</v>
      </c>
      <c r="T321" s="426">
        <v>0</v>
      </c>
      <c r="U321" s="426">
        <f t="shared" si="31"/>
        <v>0</v>
      </c>
      <c r="V321" s="426">
        <f t="shared" si="34"/>
        <v>0</v>
      </c>
    </row>
    <row r="322" spans="1:22">
      <c r="G322" s="425" t="str">
        <f t="shared" si="32"/>
        <v/>
      </c>
      <c r="U322" s="426">
        <f t="shared" si="31"/>
        <v>0</v>
      </c>
      <c r="V322" s="426">
        <f t="shared" si="34"/>
        <v>0</v>
      </c>
    </row>
    <row r="323" spans="1:22">
      <c r="F323" s="800" t="s">
        <v>1825</v>
      </c>
      <c r="G323" s="425" t="str">
        <f t="shared" si="32"/>
        <v/>
      </c>
      <c r="U323" s="426">
        <f t="shared" si="31"/>
        <v>0</v>
      </c>
      <c r="V323" s="426">
        <f t="shared" si="34"/>
        <v>0</v>
      </c>
    </row>
    <row r="324" spans="1:22">
      <c r="A324" s="426" t="str">
        <f t="shared" si="29"/>
        <v>KU</v>
      </c>
      <c r="B324" s="426" t="str">
        <f t="shared" si="28"/>
        <v>KY</v>
      </c>
      <c r="C324" s="426" t="str">
        <f t="shared" si="30"/>
        <v>E</v>
      </c>
      <c r="D324" s="426" t="s">
        <v>2659</v>
      </c>
      <c r="E324" s="426" t="str">
        <f t="shared" ref="E324:E392" si="37">MID($F324,8,3)</f>
        <v>302</v>
      </c>
      <c r="F324" s="741" t="s">
        <v>1720</v>
      </c>
      <c r="G324" s="425" t="str">
        <f t="shared" si="32"/>
        <v/>
      </c>
      <c r="H324" s="426">
        <v>62.393489389999999</v>
      </c>
      <c r="I324" s="426">
        <v>62.830204586500003</v>
      </c>
      <c r="J324" s="426">
        <v>63.266919782999999</v>
      </c>
      <c r="K324" s="426">
        <v>63.703634979500002</v>
      </c>
      <c r="L324" s="426">
        <v>64.140350175999998</v>
      </c>
      <c r="M324" s="426">
        <v>64.577065372500002</v>
      </c>
      <c r="N324" s="426">
        <v>65.013780569000005</v>
      </c>
      <c r="O324" s="426">
        <v>65.450495765499994</v>
      </c>
      <c r="P324" s="426">
        <v>65.887210961999997</v>
      </c>
      <c r="Q324" s="426">
        <v>66.323926158500001</v>
      </c>
      <c r="R324" s="426">
        <v>66.760641355000004</v>
      </c>
      <c r="S324" s="426">
        <v>67.197356551499993</v>
      </c>
      <c r="T324" s="426">
        <v>67.634071747999997</v>
      </c>
      <c r="V324" s="426">
        <f t="shared" si="34"/>
        <v>65.013780568999991</v>
      </c>
    </row>
    <row r="325" spans="1:22">
      <c r="A325" s="426" t="str">
        <f t="shared" si="29"/>
        <v>KU</v>
      </c>
      <c r="B325" s="426" t="str">
        <f t="shared" si="28"/>
        <v>KY</v>
      </c>
      <c r="C325" s="426" t="str">
        <f t="shared" si="30"/>
        <v>E</v>
      </c>
      <c r="D325" s="426" t="s">
        <v>2659</v>
      </c>
      <c r="E325" s="426" t="str">
        <f t="shared" si="37"/>
        <v>303</v>
      </c>
      <c r="F325" s="741" t="s">
        <v>2710</v>
      </c>
      <c r="G325" s="425" t="str">
        <f t="shared" si="32"/>
        <v/>
      </c>
      <c r="H325" s="426">
        <v>253.38189655400001</v>
      </c>
      <c r="I325" s="426">
        <v>284.93740327400002</v>
      </c>
      <c r="J325" s="426">
        <v>316.492909994</v>
      </c>
      <c r="K325" s="426">
        <v>348.04841671399998</v>
      </c>
      <c r="L325" s="426">
        <v>379.603923433999</v>
      </c>
      <c r="M325" s="426">
        <v>411.15943015399898</v>
      </c>
      <c r="N325" s="426">
        <v>442.71493687399902</v>
      </c>
      <c r="O325" s="426">
        <v>474.270443593999</v>
      </c>
      <c r="P325" s="426">
        <v>505.82595031399899</v>
      </c>
      <c r="Q325" s="426">
        <v>537.38145703399903</v>
      </c>
      <c r="R325" s="426">
        <v>568.93696375399998</v>
      </c>
      <c r="S325" s="426">
        <v>600.49247047400002</v>
      </c>
      <c r="T325" s="426">
        <v>632.04797719400005</v>
      </c>
      <c r="V325" s="426">
        <f t="shared" si="34"/>
        <v>442.71493687399953</v>
      </c>
    </row>
    <row r="326" spans="1:22">
      <c r="A326" s="426" t="str">
        <f t="shared" si="29"/>
        <v>KU</v>
      </c>
      <c r="B326" s="426" t="str">
        <f t="shared" si="28"/>
        <v>KY</v>
      </c>
      <c r="C326" s="426" t="str">
        <f t="shared" si="30"/>
        <v>E</v>
      </c>
      <c r="D326" s="426" t="s">
        <v>2659</v>
      </c>
      <c r="E326" s="426" t="str">
        <f t="shared" si="37"/>
        <v>303</v>
      </c>
      <c r="F326" s="741" t="s">
        <v>1721</v>
      </c>
      <c r="G326" s="425" t="str">
        <f t="shared" si="32"/>
        <v/>
      </c>
      <c r="H326" s="426">
        <v>40223.286169999999</v>
      </c>
      <c r="I326" s="426">
        <v>41125.272783</v>
      </c>
      <c r="J326" s="426">
        <v>42467.507253000003</v>
      </c>
      <c r="K326" s="426">
        <v>43863.711092999998</v>
      </c>
      <c r="L326" s="426">
        <v>43915.107528</v>
      </c>
      <c r="M326" s="426">
        <v>44394.953787999999</v>
      </c>
      <c r="N326" s="426">
        <v>41664.909103999998</v>
      </c>
      <c r="O326" s="426">
        <v>41988.598939000003</v>
      </c>
      <c r="P326" s="426">
        <v>43510.876749000003</v>
      </c>
      <c r="Q326" s="426">
        <v>44928.54939</v>
      </c>
      <c r="R326" s="426">
        <v>46267.748407999999</v>
      </c>
      <c r="S326" s="426">
        <v>47608.584191000002</v>
      </c>
      <c r="T326" s="426">
        <v>48337.242830000003</v>
      </c>
      <c r="V326" s="426">
        <f t="shared" si="34"/>
        <v>43868.949863538459</v>
      </c>
    </row>
    <row r="327" spans="1:22">
      <c r="A327" s="426" t="str">
        <f t="shared" si="29"/>
        <v>KU</v>
      </c>
      <c r="B327" s="426" t="str">
        <f t="shared" si="28"/>
        <v>KY</v>
      </c>
      <c r="C327" s="426" t="str">
        <f t="shared" si="30"/>
        <v>E</v>
      </c>
      <c r="D327" s="426" t="s">
        <v>2659</v>
      </c>
      <c r="E327" s="426" t="str">
        <f t="shared" si="37"/>
        <v>303</v>
      </c>
      <c r="F327" s="741" t="s">
        <v>1722</v>
      </c>
      <c r="G327" s="425" t="str">
        <f t="shared" si="32"/>
        <v/>
      </c>
      <c r="H327" s="426">
        <v>9212.0631543999898</v>
      </c>
      <c r="I327" s="426">
        <v>7454.4929033999897</v>
      </c>
      <c r="J327" s="426">
        <v>7551.7328439999901</v>
      </c>
      <c r="K327" s="426">
        <v>7686.0432733999996</v>
      </c>
      <c r="L327" s="426">
        <v>7670.4503908999995</v>
      </c>
      <c r="M327" s="426">
        <v>7803.5093764999901</v>
      </c>
      <c r="N327" s="426">
        <v>7936.5683620999898</v>
      </c>
      <c r="O327" s="426">
        <v>8069.6273476999904</v>
      </c>
      <c r="P327" s="426">
        <v>8202.6863332999892</v>
      </c>
      <c r="Q327" s="426">
        <v>8335.7453188999898</v>
      </c>
      <c r="R327" s="426">
        <v>8469.0767627999994</v>
      </c>
      <c r="S327" s="426">
        <v>8602.6806650999897</v>
      </c>
      <c r="T327" s="426">
        <v>8736.2845673999891</v>
      </c>
      <c r="V327" s="426">
        <f t="shared" si="34"/>
        <v>8133.15086922307</v>
      </c>
    </row>
    <row r="328" spans="1:22">
      <c r="A328" s="426" t="str">
        <f t="shared" si="29"/>
        <v>KU</v>
      </c>
      <c r="B328" s="426" t="str">
        <f t="shared" si="28"/>
        <v>KY</v>
      </c>
      <c r="C328" s="426" t="str">
        <f t="shared" si="30"/>
        <v>E</v>
      </c>
      <c r="D328" s="426" t="s">
        <v>2659</v>
      </c>
      <c r="E328" s="426" t="str">
        <f t="shared" si="37"/>
        <v>311</v>
      </c>
      <c r="F328" s="741" t="s">
        <v>1726</v>
      </c>
      <c r="H328" s="426">
        <v>1147.0972472375001</v>
      </c>
      <c r="I328" s="426">
        <v>0</v>
      </c>
      <c r="J328" s="426">
        <v>0</v>
      </c>
      <c r="K328" s="426">
        <v>0</v>
      </c>
      <c r="L328" s="426">
        <v>0</v>
      </c>
      <c r="M328" s="426">
        <v>0</v>
      </c>
      <c r="N328" s="426">
        <v>0</v>
      </c>
      <c r="O328" s="426">
        <v>0</v>
      </c>
      <c r="P328" s="426">
        <v>0</v>
      </c>
      <c r="Q328" s="426">
        <v>0</v>
      </c>
      <c r="R328" s="426">
        <v>0</v>
      </c>
      <c r="S328" s="426">
        <v>0</v>
      </c>
      <c r="T328" s="426">
        <v>0</v>
      </c>
      <c r="V328" s="426">
        <f t="shared" si="34"/>
        <v>88.23824978750001</v>
      </c>
    </row>
    <row r="329" spans="1:22">
      <c r="A329" s="426" t="str">
        <f t="shared" si="29"/>
        <v>KU</v>
      </c>
      <c r="B329" s="426" t="str">
        <f t="shared" si="28"/>
        <v>KY</v>
      </c>
      <c r="C329" s="426" t="str">
        <f t="shared" si="30"/>
        <v>E</v>
      </c>
      <c r="D329" s="426" t="s">
        <v>2659</v>
      </c>
      <c r="E329" s="426" t="str">
        <f t="shared" si="37"/>
        <v>311</v>
      </c>
      <c r="F329" s="741" t="s">
        <v>3665</v>
      </c>
      <c r="G329" s="425" t="str">
        <f t="shared" si="32"/>
        <v/>
      </c>
      <c r="H329" s="426">
        <v>-31.476089999999999</v>
      </c>
      <c r="V329" s="426">
        <f t="shared" si="34"/>
        <v>-2.4212376923076921</v>
      </c>
    </row>
    <row r="330" spans="1:22">
      <c r="A330" s="426" t="str">
        <f t="shared" si="29"/>
        <v>KU</v>
      </c>
      <c r="B330" s="426" t="str">
        <f t="shared" si="28"/>
        <v>KY</v>
      </c>
      <c r="C330" s="426" t="str">
        <f t="shared" si="30"/>
        <v>E</v>
      </c>
      <c r="D330" s="426" t="s">
        <v>2659</v>
      </c>
      <c r="E330" s="426" t="str">
        <f t="shared" si="37"/>
        <v>311</v>
      </c>
      <c r="F330" s="741" t="s">
        <v>2713</v>
      </c>
      <c r="G330" s="425" t="str">
        <f t="shared" si="32"/>
        <v>ECR</v>
      </c>
      <c r="H330" s="426">
        <v>46.3772329325</v>
      </c>
      <c r="I330" s="426">
        <v>46.926595431999999</v>
      </c>
      <c r="J330" s="426">
        <v>47.475957931499998</v>
      </c>
      <c r="K330" s="426">
        <v>48.025320430999997</v>
      </c>
      <c r="L330" s="426">
        <v>48.574682930500003</v>
      </c>
      <c r="M330" s="426">
        <v>49.124045430000002</v>
      </c>
      <c r="N330" s="426">
        <v>49.673407929500002</v>
      </c>
      <c r="O330" s="426">
        <v>50.222770429000001</v>
      </c>
      <c r="P330" s="426">
        <v>50.7721329285</v>
      </c>
      <c r="Q330" s="426">
        <v>51.321495427999999</v>
      </c>
      <c r="R330" s="426">
        <v>51.870857927499998</v>
      </c>
      <c r="S330" s="426">
        <v>52.420220426999997</v>
      </c>
      <c r="T330" s="426">
        <v>52.969582926500003</v>
      </c>
      <c r="V330" s="426">
        <f t="shared" si="34"/>
        <v>49.673407929500009</v>
      </c>
    </row>
    <row r="331" spans="1:22">
      <c r="A331" s="426" t="str">
        <f t="shared" si="29"/>
        <v>KU</v>
      </c>
      <c r="B331" s="426" t="str">
        <f t="shared" si="28"/>
        <v>KY</v>
      </c>
      <c r="C331" s="426" t="str">
        <f t="shared" si="30"/>
        <v>E</v>
      </c>
      <c r="D331" s="426" t="s">
        <v>2659</v>
      </c>
      <c r="E331" s="426" t="str">
        <f t="shared" si="37"/>
        <v>311</v>
      </c>
      <c r="F331" s="741" t="s">
        <v>2178</v>
      </c>
      <c r="H331" s="426">
        <v>1469.3136198499999</v>
      </c>
      <c r="I331" s="426">
        <v>1.81898940354585E-12</v>
      </c>
      <c r="J331" s="426">
        <v>1.81898940354585E-12</v>
      </c>
      <c r="K331" s="426">
        <v>1.81898940354585E-12</v>
      </c>
      <c r="L331" s="426">
        <v>1.81898940354585E-12</v>
      </c>
      <c r="M331" s="426">
        <v>1.81898940354585E-12</v>
      </c>
      <c r="N331" s="426">
        <v>1.81898940354585E-12</v>
      </c>
      <c r="O331" s="426">
        <v>1.81898940354585E-12</v>
      </c>
      <c r="P331" s="426">
        <v>1.81898940354585E-12</v>
      </c>
      <c r="Q331" s="426">
        <v>1.81898940354585E-12</v>
      </c>
      <c r="R331" s="426">
        <v>1.81898940354585E-12</v>
      </c>
      <c r="S331" s="426">
        <v>1.81898940354585E-12</v>
      </c>
      <c r="T331" s="426">
        <v>1.81898940354585E-12</v>
      </c>
      <c r="V331" s="426">
        <f t="shared" si="34"/>
        <v>113.02412460384782</v>
      </c>
    </row>
    <row r="332" spans="1:22">
      <c r="A332" s="426" t="str">
        <f t="shared" si="29"/>
        <v>KU</v>
      </c>
      <c r="B332" s="426" t="str">
        <f t="shared" si="28"/>
        <v>KY</v>
      </c>
      <c r="C332" s="426" t="str">
        <f t="shared" si="30"/>
        <v>E</v>
      </c>
      <c r="D332" s="426" t="s">
        <v>2659</v>
      </c>
      <c r="E332" s="426" t="str">
        <f t="shared" si="37"/>
        <v>311</v>
      </c>
      <c r="F332" s="741" t="s">
        <v>1727</v>
      </c>
      <c r="G332" s="425" t="str">
        <f t="shared" si="32"/>
        <v/>
      </c>
      <c r="H332" s="426">
        <v>162901.74770388601</v>
      </c>
      <c r="I332" s="426">
        <v>166595.08385674699</v>
      </c>
      <c r="J332" s="426">
        <v>167549.32995849301</v>
      </c>
      <c r="K332" s="426">
        <v>168642.82128853301</v>
      </c>
      <c r="L332" s="426">
        <v>169750.15595313601</v>
      </c>
      <c r="M332" s="426">
        <v>170862.812609888</v>
      </c>
      <c r="N332" s="426">
        <v>171975.46926664101</v>
      </c>
      <c r="O332" s="426">
        <v>173088.12592339399</v>
      </c>
      <c r="P332" s="426">
        <v>174200.78258014601</v>
      </c>
      <c r="Q332" s="426">
        <v>175313.43923689899</v>
      </c>
      <c r="R332" s="426">
        <v>176417.86314695701</v>
      </c>
      <c r="S332" s="426">
        <v>177531.73307041099</v>
      </c>
      <c r="T332" s="426">
        <v>178645.602993865</v>
      </c>
      <c r="V332" s="426">
        <f t="shared" si="34"/>
        <v>171805.76673761508</v>
      </c>
    </row>
    <row r="333" spans="1:22">
      <c r="A333" s="426" t="str">
        <f t="shared" si="29"/>
        <v>KU</v>
      </c>
      <c r="B333" s="426" t="str">
        <f t="shared" si="28"/>
        <v>KY</v>
      </c>
      <c r="C333" s="426" t="str">
        <f t="shared" si="30"/>
        <v>E</v>
      </c>
      <c r="D333" s="426" t="s">
        <v>2659</v>
      </c>
      <c r="E333" s="426" t="str">
        <f t="shared" si="37"/>
        <v>312</v>
      </c>
      <c r="F333" s="741" t="s">
        <v>1728</v>
      </c>
      <c r="G333" s="425" t="str">
        <f t="shared" si="32"/>
        <v/>
      </c>
      <c r="H333" s="426">
        <v>1232923.17891615</v>
      </c>
      <c r="I333" s="426">
        <v>1493297.6616513601</v>
      </c>
      <c r="J333" s="426">
        <v>1509084.0517321001</v>
      </c>
      <c r="K333" s="426">
        <v>1526065.183247</v>
      </c>
      <c r="L333" s="426">
        <v>1543177.7571549199</v>
      </c>
      <c r="M333" s="426">
        <v>1559452.21687824</v>
      </c>
      <c r="N333" s="426">
        <v>1563792.1307725101</v>
      </c>
      <c r="O333" s="426">
        <v>1580268.02588906</v>
      </c>
      <c r="P333" s="426">
        <v>1592234.19455961</v>
      </c>
      <c r="Q333" s="426">
        <v>1607159.43598211</v>
      </c>
      <c r="R333" s="426">
        <v>1624285.2662758799</v>
      </c>
      <c r="S333" s="426">
        <v>1640567.8134073999</v>
      </c>
      <c r="T333" s="426">
        <v>1657855.3401589801</v>
      </c>
      <c r="V333" s="426">
        <f t="shared" si="34"/>
        <v>1548474.019740409</v>
      </c>
    </row>
    <row r="334" spans="1:22">
      <c r="A334" s="426" t="str">
        <f t="shared" si="29"/>
        <v>KU</v>
      </c>
      <c r="B334" s="426" t="str">
        <f t="shared" si="28"/>
        <v>KY</v>
      </c>
      <c r="C334" s="426" t="str">
        <f t="shared" si="30"/>
        <v>E</v>
      </c>
      <c r="D334" s="426" t="s">
        <v>2659</v>
      </c>
      <c r="E334" s="426" t="str">
        <f t="shared" si="37"/>
        <v>312</v>
      </c>
      <c r="F334" s="427" t="s">
        <v>1729</v>
      </c>
      <c r="H334" s="426">
        <v>91615.923215479997</v>
      </c>
      <c r="I334" s="426">
        <v>2.91038304567337E-11</v>
      </c>
      <c r="J334" s="426">
        <v>2.91038304567337E-11</v>
      </c>
      <c r="K334" s="426">
        <v>2.91038304567337E-11</v>
      </c>
      <c r="L334" s="426">
        <v>2.91038304567337E-11</v>
      </c>
      <c r="M334" s="426">
        <v>2.91038304567337E-11</v>
      </c>
      <c r="N334" s="426">
        <v>2.91038304567337E-11</v>
      </c>
      <c r="O334" s="426">
        <v>2.91038304567337E-11</v>
      </c>
      <c r="P334" s="426">
        <v>2.91038304567337E-11</v>
      </c>
      <c r="Q334" s="426">
        <v>2.91038304567337E-11</v>
      </c>
      <c r="R334" s="426">
        <v>2.91038304567337E-11</v>
      </c>
      <c r="S334" s="426">
        <v>2.91038304567337E-11</v>
      </c>
      <c r="T334" s="426">
        <v>2.91038304567337E-11</v>
      </c>
      <c r="V334" s="426">
        <f t="shared" si="34"/>
        <v>7047.3787088831032</v>
      </c>
    </row>
    <row r="335" spans="1:22">
      <c r="A335" s="426" t="str">
        <f t="shared" si="29"/>
        <v>KU</v>
      </c>
      <c r="B335" s="426" t="str">
        <f t="shared" si="28"/>
        <v>KY</v>
      </c>
      <c r="C335" s="426" t="str">
        <f t="shared" si="30"/>
        <v>E</v>
      </c>
      <c r="D335" s="426" t="s">
        <v>2659</v>
      </c>
      <c r="E335" s="426" t="str">
        <f t="shared" si="37"/>
        <v>312</v>
      </c>
      <c r="F335" s="427" t="s">
        <v>3666</v>
      </c>
      <c r="G335" s="425" t="str">
        <f t="shared" si="32"/>
        <v/>
      </c>
      <c r="H335" s="426">
        <v>-1533.54108</v>
      </c>
      <c r="I335" s="426">
        <v>0</v>
      </c>
      <c r="J335" s="426">
        <v>0</v>
      </c>
      <c r="K335" s="426">
        <v>0</v>
      </c>
      <c r="L335" s="426">
        <v>0</v>
      </c>
      <c r="M335" s="426">
        <v>0</v>
      </c>
      <c r="N335" s="426">
        <v>0</v>
      </c>
      <c r="O335" s="426">
        <v>0</v>
      </c>
      <c r="P335" s="426">
        <v>0</v>
      </c>
      <c r="Q335" s="426">
        <v>0</v>
      </c>
      <c r="R335" s="426">
        <v>0</v>
      </c>
      <c r="S335" s="426">
        <v>0</v>
      </c>
      <c r="T335" s="426">
        <v>0</v>
      </c>
      <c r="V335" s="426">
        <f t="shared" si="34"/>
        <v>-117.96469846153846</v>
      </c>
    </row>
    <row r="336" spans="1:22">
      <c r="A336" s="426" t="str">
        <f t="shared" si="29"/>
        <v>KU</v>
      </c>
      <c r="B336" s="426" t="str">
        <f t="shared" si="28"/>
        <v>KY</v>
      </c>
      <c r="C336" s="426" t="str">
        <f t="shared" si="30"/>
        <v>E</v>
      </c>
      <c r="D336" s="426" t="s">
        <v>2659</v>
      </c>
      <c r="E336" s="426" t="str">
        <f t="shared" si="37"/>
        <v>312</v>
      </c>
      <c r="F336" s="427" t="s">
        <v>2714</v>
      </c>
      <c r="G336" s="425" t="str">
        <f t="shared" si="32"/>
        <v>ECR</v>
      </c>
      <c r="H336" s="426">
        <v>4092.9622993128201</v>
      </c>
      <c r="I336" s="426">
        <v>4282.6676241985997</v>
      </c>
      <c r="J336" s="426">
        <v>4472.3729490843798</v>
      </c>
      <c r="K336" s="426">
        <v>4662.0782739701599</v>
      </c>
      <c r="L336" s="426">
        <v>4897.6791426849404</v>
      </c>
      <c r="M336" s="426">
        <v>5179.1755352197197</v>
      </c>
      <c r="N336" s="426">
        <v>5460.6719277544998</v>
      </c>
      <c r="O336" s="426">
        <v>5742.16832028928</v>
      </c>
      <c r="P336" s="426">
        <v>6023.6647128240602</v>
      </c>
      <c r="Q336" s="426">
        <v>6305.1611053588404</v>
      </c>
      <c r="R336" s="426">
        <v>6586.6574978936296</v>
      </c>
      <c r="S336" s="426">
        <v>6868.1538904284098</v>
      </c>
      <c r="T336" s="426">
        <v>7149.65028296319</v>
      </c>
      <c r="V336" s="426">
        <f t="shared" si="34"/>
        <v>5517.1587355371175</v>
      </c>
    </row>
    <row r="337" spans="1:22">
      <c r="A337" s="426" t="str">
        <f t="shared" si="29"/>
        <v>KU</v>
      </c>
      <c r="B337" s="426" t="str">
        <f t="shared" si="28"/>
        <v>KY</v>
      </c>
      <c r="C337" s="426" t="str">
        <f t="shared" si="30"/>
        <v>E</v>
      </c>
      <c r="D337" s="426" t="s">
        <v>2659</v>
      </c>
      <c r="E337" s="426" t="str">
        <f t="shared" si="37"/>
        <v>312</v>
      </c>
      <c r="F337" s="741" t="s">
        <v>1730</v>
      </c>
      <c r="H337" s="426">
        <v>153762.35053198901</v>
      </c>
      <c r="I337" s="426">
        <v>9.6042640507221201E-10</v>
      </c>
      <c r="J337" s="426">
        <v>9.6042640507221201E-10</v>
      </c>
      <c r="K337" s="426">
        <v>9.6042640507221201E-10</v>
      </c>
      <c r="L337" s="426">
        <v>9.6042640507221201E-10</v>
      </c>
      <c r="M337" s="426">
        <v>9.6042640507221201E-10</v>
      </c>
      <c r="N337" s="426">
        <v>9.6042640507221201E-10</v>
      </c>
      <c r="O337" s="426">
        <v>9.6042640507221201E-10</v>
      </c>
      <c r="P337" s="426">
        <v>9.6042640507221201E-10</v>
      </c>
      <c r="Q337" s="426">
        <v>9.6042640507221201E-10</v>
      </c>
      <c r="R337" s="426">
        <v>9.6042640507221201E-10</v>
      </c>
      <c r="S337" s="426">
        <v>9.6042640507221201E-10</v>
      </c>
      <c r="T337" s="426">
        <v>9.6042640507221201E-10</v>
      </c>
      <c r="V337" s="426">
        <f t="shared" si="34"/>
        <v>11827.873117846195</v>
      </c>
    </row>
    <row r="338" spans="1:22">
      <c r="A338" s="426" t="str">
        <f t="shared" si="29"/>
        <v>KU</v>
      </c>
      <c r="B338" s="426" t="str">
        <f t="shared" si="28"/>
        <v>KY</v>
      </c>
      <c r="C338" s="426" t="str">
        <f t="shared" si="30"/>
        <v>E</v>
      </c>
      <c r="D338" s="426" t="s">
        <v>2659</v>
      </c>
      <c r="E338" s="426" t="str">
        <f t="shared" si="37"/>
        <v>312</v>
      </c>
      <c r="F338" s="741" t="s">
        <v>3668</v>
      </c>
      <c r="G338" s="425" t="str">
        <f t="shared" si="32"/>
        <v/>
      </c>
      <c r="H338" s="426">
        <v>-892.98839999999996</v>
      </c>
      <c r="I338" s="426">
        <v>0</v>
      </c>
      <c r="J338" s="426">
        <v>0</v>
      </c>
      <c r="K338" s="426">
        <v>0</v>
      </c>
      <c r="L338" s="426">
        <v>0</v>
      </c>
      <c r="M338" s="426">
        <v>0</v>
      </c>
      <c r="N338" s="426">
        <v>0</v>
      </c>
      <c r="O338" s="426">
        <v>0</v>
      </c>
      <c r="P338" s="426">
        <v>0</v>
      </c>
      <c r="Q338" s="426">
        <v>0</v>
      </c>
      <c r="R338" s="426">
        <v>0</v>
      </c>
      <c r="S338" s="426">
        <v>0</v>
      </c>
      <c r="T338" s="426">
        <v>0</v>
      </c>
      <c r="V338" s="426">
        <f t="shared" si="34"/>
        <v>-68.691415384615382</v>
      </c>
    </row>
    <row r="339" spans="1:22">
      <c r="A339" s="426" t="str">
        <f t="shared" si="29"/>
        <v>KU</v>
      </c>
      <c r="B339" s="426" t="str">
        <f t="shared" si="28"/>
        <v>KY</v>
      </c>
      <c r="C339" s="426" t="str">
        <f t="shared" si="30"/>
        <v>E</v>
      </c>
      <c r="D339" s="426" t="s">
        <v>2659</v>
      </c>
      <c r="E339" s="426" t="str">
        <f t="shared" si="37"/>
        <v>312</v>
      </c>
      <c r="F339" s="741" t="s">
        <v>2179</v>
      </c>
      <c r="H339" s="426">
        <v>1085.457900915889</v>
      </c>
      <c r="I339" s="426">
        <v>9.0949470177292804E-13</v>
      </c>
      <c r="J339" s="426">
        <v>9.0949470177292804E-13</v>
      </c>
      <c r="K339" s="426">
        <v>9.0949470177292804E-13</v>
      </c>
      <c r="L339" s="426">
        <v>9.0949470177292804E-13</v>
      </c>
      <c r="M339" s="426">
        <v>9.0949470177292804E-13</v>
      </c>
      <c r="N339" s="426">
        <v>9.0949470177292804E-13</v>
      </c>
      <c r="O339" s="426">
        <v>9.0949470177292804E-13</v>
      </c>
      <c r="P339" s="426">
        <v>9.0949470177292804E-13</v>
      </c>
      <c r="Q339" s="426">
        <v>9.0949470177292804E-13</v>
      </c>
      <c r="R339" s="426">
        <v>9.0949470177292804E-13</v>
      </c>
      <c r="S339" s="426">
        <v>9.0949470177292804E-13</v>
      </c>
      <c r="T339" s="426">
        <v>9.0949470177292804E-13</v>
      </c>
      <c r="V339" s="426">
        <f t="shared" si="34"/>
        <v>83.496761608915378</v>
      </c>
    </row>
    <row r="340" spans="1:22">
      <c r="A340" s="426" t="str">
        <f t="shared" si="29"/>
        <v>KU</v>
      </c>
      <c r="B340" s="426" t="str">
        <f t="shared" si="28"/>
        <v>KY</v>
      </c>
      <c r="C340" s="426" t="str">
        <f t="shared" si="30"/>
        <v>E</v>
      </c>
      <c r="D340" s="426" t="s">
        <v>2659</v>
      </c>
      <c r="E340" s="426" t="str">
        <f t="shared" si="37"/>
        <v>312</v>
      </c>
      <c r="F340" s="741" t="s">
        <v>3669</v>
      </c>
      <c r="G340" s="425" t="str">
        <f t="shared" si="32"/>
        <v/>
      </c>
      <c r="H340" s="426">
        <v>-490.87918999999999</v>
      </c>
      <c r="I340" s="426">
        <v>0</v>
      </c>
      <c r="J340" s="426">
        <v>0</v>
      </c>
      <c r="K340" s="426">
        <v>0</v>
      </c>
      <c r="L340" s="426">
        <v>0</v>
      </c>
      <c r="M340" s="426">
        <v>0</v>
      </c>
      <c r="N340" s="426">
        <v>0</v>
      </c>
      <c r="O340" s="426">
        <v>0</v>
      </c>
      <c r="P340" s="426">
        <v>0</v>
      </c>
      <c r="Q340" s="426">
        <v>0</v>
      </c>
      <c r="R340" s="426">
        <v>0</v>
      </c>
      <c r="S340" s="426">
        <v>0</v>
      </c>
      <c r="T340" s="426">
        <v>0</v>
      </c>
      <c r="V340" s="426">
        <f t="shared" si="34"/>
        <v>-37.759937692307695</v>
      </c>
    </row>
    <row r="341" spans="1:22">
      <c r="A341" s="426" t="str">
        <f t="shared" si="29"/>
        <v>KU</v>
      </c>
      <c r="B341" s="426" t="str">
        <f t="shared" si="28"/>
        <v>KY</v>
      </c>
      <c r="C341" s="426" t="str">
        <f t="shared" si="30"/>
        <v>E</v>
      </c>
      <c r="D341" s="426" t="s">
        <v>2659</v>
      </c>
      <c r="E341" s="426" t="str">
        <f t="shared" si="37"/>
        <v>312</v>
      </c>
      <c r="F341" s="741" t="s">
        <v>2715</v>
      </c>
      <c r="G341" s="425" t="str">
        <f t="shared" si="32"/>
        <v>ECR</v>
      </c>
      <c r="H341" s="426">
        <v>11832.325340774602</v>
      </c>
      <c r="I341" s="426">
        <v>12959.4386247166</v>
      </c>
      <c r="J341" s="426">
        <v>14088.6935753256</v>
      </c>
      <c r="K341" s="426">
        <v>15217.9485259346</v>
      </c>
      <c r="L341" s="426">
        <v>16347.2034765436</v>
      </c>
      <c r="M341" s="426">
        <v>17476.4584271526</v>
      </c>
      <c r="N341" s="426">
        <v>18712.208102084598</v>
      </c>
      <c r="O341" s="426">
        <v>20054.4525013206</v>
      </c>
      <c r="P341" s="426">
        <v>21396.696900556599</v>
      </c>
      <c r="Q341" s="426">
        <v>22738.941299792597</v>
      </c>
      <c r="R341" s="426">
        <v>24081.1856990286</v>
      </c>
      <c r="S341" s="426">
        <v>25423.430098264598</v>
      </c>
      <c r="T341" s="426">
        <v>26765.6744975006</v>
      </c>
      <c r="V341" s="426">
        <f t="shared" si="34"/>
        <v>19007.281312999672</v>
      </c>
    </row>
    <row r="342" spans="1:22">
      <c r="A342" s="426" t="str">
        <f t="shared" si="29"/>
        <v>KU</v>
      </c>
      <c r="B342" s="426" t="str">
        <f t="shared" si="28"/>
        <v>KY</v>
      </c>
      <c r="C342" s="426" t="str">
        <f t="shared" si="30"/>
        <v>E</v>
      </c>
      <c r="D342" s="426" t="s">
        <v>2659</v>
      </c>
      <c r="E342" s="426" t="str">
        <f t="shared" si="37"/>
        <v>312</v>
      </c>
      <c r="F342" s="741" t="s">
        <v>3670</v>
      </c>
      <c r="G342" s="425" t="str">
        <f t="shared" si="32"/>
        <v/>
      </c>
      <c r="H342" s="426">
        <v>-3.9699399999999998</v>
      </c>
      <c r="I342" s="426">
        <v>-3.9699399999999998</v>
      </c>
      <c r="J342" s="426">
        <v>-3.9699399999999998</v>
      </c>
      <c r="K342" s="426">
        <v>-3.9699399999999998</v>
      </c>
      <c r="L342" s="426">
        <v>-3.9699399999999998</v>
      </c>
      <c r="M342" s="426">
        <v>-3.9699399999999998</v>
      </c>
      <c r="N342" s="426">
        <v>-3.9699399999999998</v>
      </c>
      <c r="O342" s="426">
        <v>-3.9699399999999998</v>
      </c>
      <c r="P342" s="426">
        <v>-3.9699399999999998</v>
      </c>
      <c r="Q342" s="426">
        <v>-3.9699399999999998</v>
      </c>
      <c r="R342" s="426">
        <v>-3.9699399999999998</v>
      </c>
      <c r="S342" s="426">
        <v>-3.9699399999999998</v>
      </c>
      <c r="T342" s="426">
        <v>-3.9699399999999998</v>
      </c>
      <c r="V342" s="426">
        <f t="shared" si="34"/>
        <v>-3.9699400000000007</v>
      </c>
    </row>
    <row r="343" spans="1:22">
      <c r="A343" s="426" t="str">
        <f t="shared" si="29"/>
        <v>KU</v>
      </c>
      <c r="B343" s="426" t="str">
        <f t="shared" si="28"/>
        <v>KY</v>
      </c>
      <c r="C343" s="426" t="str">
        <f t="shared" si="30"/>
        <v>E</v>
      </c>
      <c r="D343" s="426" t="s">
        <v>2659</v>
      </c>
      <c r="E343" s="426" t="str">
        <f t="shared" si="37"/>
        <v>312</v>
      </c>
      <c r="F343" s="741" t="s">
        <v>2716</v>
      </c>
      <c r="G343" s="425" t="str">
        <f t="shared" si="32"/>
        <v>ECR</v>
      </c>
      <c r="H343" s="426">
        <v>0</v>
      </c>
      <c r="I343" s="426">
        <v>0</v>
      </c>
      <c r="J343" s="426">
        <v>0</v>
      </c>
      <c r="K343" s="426">
        <v>0</v>
      </c>
      <c r="L343" s="426">
        <v>0</v>
      </c>
      <c r="M343" s="426">
        <v>0</v>
      </c>
      <c r="N343" s="426">
        <v>34.422537167000002</v>
      </c>
      <c r="O343" s="426">
        <v>103.2676115</v>
      </c>
      <c r="P343" s="426">
        <v>172.112685833</v>
      </c>
      <c r="Q343" s="426">
        <v>240.95776016600001</v>
      </c>
      <c r="R343" s="426">
        <v>309.80283449900003</v>
      </c>
      <c r="S343" s="426">
        <v>378.64790883199998</v>
      </c>
      <c r="T343" s="426">
        <v>447.49298316499898</v>
      </c>
      <c r="V343" s="426">
        <f t="shared" si="34"/>
        <v>129.74648624323069</v>
      </c>
    </row>
    <row r="344" spans="1:22">
      <c r="A344" s="426" t="str">
        <f t="shared" si="29"/>
        <v>KU</v>
      </c>
      <c r="B344" s="426" t="str">
        <f t="shared" si="28"/>
        <v>KY</v>
      </c>
      <c r="C344" s="426" t="str">
        <f t="shared" si="30"/>
        <v>E</v>
      </c>
      <c r="D344" s="426" t="s">
        <v>2659</v>
      </c>
      <c r="E344" s="426" t="str">
        <f t="shared" si="37"/>
        <v>314</v>
      </c>
      <c r="F344" s="427" t="s">
        <v>1732</v>
      </c>
      <c r="G344" s="425" t="str">
        <f t="shared" si="32"/>
        <v/>
      </c>
      <c r="H344" s="426">
        <v>145050.49904752901</v>
      </c>
      <c r="I344" s="426">
        <v>146152.711226304</v>
      </c>
      <c r="J344" s="426">
        <v>146990.619863823</v>
      </c>
      <c r="K344" s="426">
        <v>148126.236676523</v>
      </c>
      <c r="L344" s="426">
        <v>149315.46445630299</v>
      </c>
      <c r="M344" s="426">
        <v>150207.48569459599</v>
      </c>
      <c r="N344" s="426">
        <v>151060.02987268101</v>
      </c>
      <c r="O344" s="426">
        <v>152060.31011315499</v>
      </c>
      <c r="P344" s="426">
        <v>151950.88704897801</v>
      </c>
      <c r="Q344" s="426">
        <v>153184.714933874</v>
      </c>
      <c r="R344" s="426">
        <v>154414.257671178</v>
      </c>
      <c r="S344" s="426">
        <v>155372.10074145001</v>
      </c>
      <c r="T344" s="426">
        <v>156571.39757391601</v>
      </c>
      <c r="V344" s="426">
        <f t="shared" si="34"/>
        <v>150804.36268617769</v>
      </c>
    </row>
    <row r="345" spans="1:22">
      <c r="A345" s="426" t="str">
        <f t="shared" si="29"/>
        <v>KU</v>
      </c>
      <c r="B345" s="426" t="str">
        <f t="shared" si="28"/>
        <v>KY</v>
      </c>
      <c r="C345" s="426" t="str">
        <f t="shared" si="30"/>
        <v>E</v>
      </c>
      <c r="D345" s="426" t="s">
        <v>2659</v>
      </c>
      <c r="E345" s="426" t="str">
        <f t="shared" si="37"/>
        <v>315</v>
      </c>
      <c r="F345" s="741" t="s">
        <v>1733</v>
      </c>
      <c r="G345" s="425" t="str">
        <f t="shared" si="32"/>
        <v/>
      </c>
      <c r="H345" s="426">
        <v>124522.675032296</v>
      </c>
      <c r="I345" s="426">
        <v>129155.65480678499</v>
      </c>
      <c r="J345" s="426">
        <v>130004.16956054801</v>
      </c>
      <c r="K345" s="426">
        <v>130852.684314311</v>
      </c>
      <c r="L345" s="426">
        <v>131701.38564570199</v>
      </c>
      <c r="M345" s="426">
        <v>132550.27355471801</v>
      </c>
      <c r="N345" s="426">
        <v>133399.16146373501</v>
      </c>
      <c r="O345" s="426">
        <v>134248.04937275199</v>
      </c>
      <c r="P345" s="426">
        <v>135096.937281769</v>
      </c>
      <c r="Q345" s="426">
        <v>135945.82519078601</v>
      </c>
      <c r="R345" s="426">
        <v>136794.71309980299</v>
      </c>
      <c r="S345" s="426">
        <v>137643.60100881901</v>
      </c>
      <c r="T345" s="426">
        <v>138492.48891783599</v>
      </c>
      <c r="V345" s="426">
        <f t="shared" si="34"/>
        <v>133108.2784038354</v>
      </c>
    </row>
    <row r="346" spans="1:22">
      <c r="A346" s="426" t="str">
        <f t="shared" si="29"/>
        <v>KU</v>
      </c>
      <c r="B346" s="426" t="str">
        <f t="shared" si="28"/>
        <v>KY</v>
      </c>
      <c r="C346" s="426" t="str">
        <f t="shared" si="30"/>
        <v>E</v>
      </c>
      <c r="D346" s="426" t="s">
        <v>2659</v>
      </c>
      <c r="E346" s="426" t="str">
        <f t="shared" si="37"/>
        <v>315</v>
      </c>
      <c r="F346" s="741" t="s">
        <v>2180</v>
      </c>
      <c r="H346" s="426">
        <v>2184.0472238569901</v>
      </c>
      <c r="I346" s="426">
        <v>9.54969436861574E-12</v>
      </c>
      <c r="J346" s="426">
        <v>9.54969436861574E-12</v>
      </c>
      <c r="K346" s="426">
        <v>9.54969436861574E-12</v>
      </c>
      <c r="L346" s="426">
        <v>9.54969436861574E-12</v>
      </c>
      <c r="M346" s="426">
        <v>9.54969436861574E-12</v>
      </c>
      <c r="N346" s="426">
        <v>9.54969436861574E-12</v>
      </c>
      <c r="O346" s="426">
        <v>9.54969436861574E-12</v>
      </c>
      <c r="P346" s="426">
        <v>9.54969436861574E-12</v>
      </c>
      <c r="Q346" s="426">
        <v>9.54969436861574E-12</v>
      </c>
      <c r="R346" s="426">
        <v>9.54969436861574E-12</v>
      </c>
      <c r="S346" s="426">
        <v>9.54969436861574E-12</v>
      </c>
      <c r="T346" s="426">
        <v>9.54969436861574E-12</v>
      </c>
      <c r="V346" s="426">
        <f t="shared" si="34"/>
        <v>168.00363260439266</v>
      </c>
    </row>
    <row r="347" spans="1:22">
      <c r="A347" s="426" t="str">
        <f t="shared" si="29"/>
        <v>KU</v>
      </c>
      <c r="B347" s="426" t="str">
        <f t="shared" si="28"/>
        <v>KY</v>
      </c>
      <c r="C347" s="426" t="str">
        <f t="shared" si="30"/>
        <v>E</v>
      </c>
      <c r="D347" s="426" t="s">
        <v>2659</v>
      </c>
      <c r="E347" s="426" t="str">
        <f t="shared" si="37"/>
        <v>315</v>
      </c>
      <c r="F347" s="741" t="s">
        <v>2717</v>
      </c>
      <c r="G347" s="425" t="str">
        <f t="shared" si="32"/>
        <v>ECR</v>
      </c>
      <c r="H347" s="426">
        <v>161.99538575369999</v>
      </c>
      <c r="I347" s="426">
        <v>164.13438816006999</v>
      </c>
      <c r="J347" s="426">
        <v>166.27339056644001</v>
      </c>
      <c r="K347" s="426">
        <v>168.41239297281001</v>
      </c>
      <c r="L347" s="426">
        <v>170.55139537918001</v>
      </c>
      <c r="M347" s="426">
        <v>172.69039778555</v>
      </c>
      <c r="N347" s="426">
        <v>174.82940019192</v>
      </c>
      <c r="O347" s="426">
        <v>176.96840259829</v>
      </c>
      <c r="P347" s="426">
        <v>179.10740500466</v>
      </c>
      <c r="Q347" s="426">
        <v>181.24640741102999</v>
      </c>
      <c r="R347" s="426">
        <v>183.38540981739999</v>
      </c>
      <c r="S347" s="426">
        <v>185.52441222377001</v>
      </c>
      <c r="T347" s="426">
        <v>187.66341463014001</v>
      </c>
      <c r="V347" s="426">
        <f t="shared" si="34"/>
        <v>174.82940019191997</v>
      </c>
    </row>
    <row r="348" spans="1:22">
      <c r="A348" s="426" t="str">
        <f t="shared" si="29"/>
        <v>KU</v>
      </c>
      <c r="B348" s="426" t="str">
        <f t="shared" si="28"/>
        <v>KY</v>
      </c>
      <c r="C348" s="426" t="str">
        <f t="shared" si="30"/>
        <v>E</v>
      </c>
      <c r="D348" s="426" t="s">
        <v>2659</v>
      </c>
      <c r="E348" s="426" t="str">
        <f t="shared" si="37"/>
        <v>315</v>
      </c>
      <c r="F348" s="741" t="s">
        <v>1734</v>
      </c>
      <c r="H348" s="426">
        <v>1600.4177968684</v>
      </c>
      <c r="I348" s="426">
        <v>2.2737367544323201E-13</v>
      </c>
      <c r="J348" s="426">
        <v>2.2737367544323201E-13</v>
      </c>
      <c r="K348" s="426">
        <v>2.2737367544323201E-13</v>
      </c>
      <c r="L348" s="426">
        <v>2.2737367544323201E-13</v>
      </c>
      <c r="M348" s="426">
        <v>2.2737367544323201E-13</v>
      </c>
      <c r="N348" s="426">
        <v>2.2737367544323201E-13</v>
      </c>
      <c r="O348" s="426">
        <v>2.2737367544323201E-13</v>
      </c>
      <c r="P348" s="426">
        <v>2.2737367544323201E-13</v>
      </c>
      <c r="Q348" s="426">
        <v>2.2737367544323201E-13</v>
      </c>
      <c r="R348" s="426">
        <v>2.2737367544323201E-13</v>
      </c>
      <c r="S348" s="426">
        <v>2.2737367544323201E-13</v>
      </c>
      <c r="T348" s="426">
        <v>2.2737367544323201E-13</v>
      </c>
      <c r="V348" s="426">
        <f t="shared" si="34"/>
        <v>123.10906129756944</v>
      </c>
    </row>
    <row r="349" spans="1:22">
      <c r="A349" s="426" t="str">
        <f t="shared" si="29"/>
        <v>KU</v>
      </c>
      <c r="B349" s="426" t="str">
        <f t="shared" si="28"/>
        <v>KY</v>
      </c>
      <c r="C349" s="426" t="str">
        <f t="shared" si="30"/>
        <v>E</v>
      </c>
      <c r="D349" s="426" t="s">
        <v>2659</v>
      </c>
      <c r="E349" s="426" t="str">
        <f t="shared" si="37"/>
        <v>316</v>
      </c>
      <c r="F349" s="741" t="s">
        <v>2181</v>
      </c>
      <c r="H349" s="426">
        <v>62.87989562333</v>
      </c>
      <c r="I349" s="426">
        <v>4.2632564145605999E-14</v>
      </c>
      <c r="J349" s="426">
        <v>4.2632564145605999E-14</v>
      </c>
      <c r="K349" s="426">
        <v>4.2632564145605999E-14</v>
      </c>
      <c r="L349" s="426">
        <v>4.2632564145605999E-14</v>
      </c>
      <c r="M349" s="426">
        <v>4.2632564145605999E-14</v>
      </c>
      <c r="N349" s="426">
        <v>4.2632564145605999E-14</v>
      </c>
      <c r="O349" s="426">
        <v>4.2632564145605999E-14</v>
      </c>
      <c r="P349" s="426">
        <v>4.2632564145605999E-14</v>
      </c>
      <c r="Q349" s="426">
        <v>4.2632564145605999E-14</v>
      </c>
      <c r="R349" s="426">
        <v>4.2632564145605999E-14</v>
      </c>
      <c r="S349" s="426">
        <v>4.2632564145605999E-14</v>
      </c>
      <c r="T349" s="426">
        <v>4.2632564145605999E-14</v>
      </c>
      <c r="V349" s="426">
        <f t="shared" si="34"/>
        <v>4.8369150479485006</v>
      </c>
    </row>
    <row r="350" spans="1:22">
      <c r="A350" s="426" t="str">
        <f t="shared" si="29"/>
        <v>KU</v>
      </c>
      <c r="B350" s="426" t="str">
        <f t="shared" si="28"/>
        <v>KY</v>
      </c>
      <c r="C350" s="426" t="str">
        <f t="shared" si="30"/>
        <v>E</v>
      </c>
      <c r="D350" s="426" t="s">
        <v>2659</v>
      </c>
      <c r="E350" s="426" t="str">
        <f t="shared" si="37"/>
        <v>316</v>
      </c>
      <c r="F350" s="741" t="s">
        <v>1735</v>
      </c>
      <c r="G350" s="425" t="str">
        <f t="shared" si="32"/>
        <v/>
      </c>
      <c r="H350" s="426">
        <v>18116.079928245501</v>
      </c>
      <c r="I350" s="426">
        <v>18297.817611660499</v>
      </c>
      <c r="J350" s="426">
        <v>18425.731326457699</v>
      </c>
      <c r="K350" s="426">
        <v>18568.4628293967</v>
      </c>
      <c r="L350" s="426">
        <v>18717.186734993898</v>
      </c>
      <c r="M350" s="426">
        <v>18827.3145799349</v>
      </c>
      <c r="N350" s="426">
        <v>18981.640333404001</v>
      </c>
      <c r="O350" s="426">
        <v>19136.994886544999</v>
      </c>
      <c r="P350" s="426">
        <v>19292.4044954766</v>
      </c>
      <c r="Q350" s="426">
        <v>19447.996309712598</v>
      </c>
      <c r="R350" s="426">
        <v>19604.338902844502</v>
      </c>
      <c r="S350" s="426">
        <v>19715.201268991499</v>
      </c>
      <c r="T350" s="426">
        <v>19884.529244780198</v>
      </c>
      <c r="V350" s="426">
        <f t="shared" si="34"/>
        <v>19001.207573264892</v>
      </c>
    </row>
    <row r="351" spans="1:22">
      <c r="A351" s="426" t="str">
        <f t="shared" si="29"/>
        <v>KU</v>
      </c>
      <c r="B351" s="426" t="str">
        <f t="shared" si="28"/>
        <v>KY</v>
      </c>
      <c r="C351" s="426" t="str">
        <f t="shared" si="30"/>
        <v>E</v>
      </c>
      <c r="D351" s="426" t="s">
        <v>2659</v>
      </c>
      <c r="E351" s="426" t="str">
        <f t="shared" si="37"/>
        <v>317</v>
      </c>
      <c r="F351" s="741" t="s">
        <v>1736</v>
      </c>
      <c r="G351" s="425" t="str">
        <f t="shared" si="32"/>
        <v>ARO</v>
      </c>
      <c r="H351" s="426">
        <v>4655.2289449834998</v>
      </c>
      <c r="I351" s="426">
        <v>4706.8306604818499</v>
      </c>
      <c r="J351" s="426">
        <v>4758.4323759802</v>
      </c>
      <c r="K351" s="426">
        <v>4810.0340914785502</v>
      </c>
      <c r="L351" s="426">
        <v>4861.6358069769003</v>
      </c>
      <c r="M351" s="426">
        <v>4913.2375224752504</v>
      </c>
      <c r="N351" s="426">
        <v>4964.8392379735997</v>
      </c>
      <c r="O351" s="426">
        <v>5016.4409534719498</v>
      </c>
      <c r="P351" s="426">
        <v>5068.0426689702999</v>
      </c>
      <c r="Q351" s="426">
        <v>5119.6443844686501</v>
      </c>
      <c r="R351" s="426">
        <v>5171.2460999670002</v>
      </c>
      <c r="S351" s="426">
        <v>5222.8478154653503</v>
      </c>
      <c r="T351" s="426">
        <v>5274.4495309637005</v>
      </c>
      <c r="V351" s="426">
        <f t="shared" si="34"/>
        <v>4964.8392379736006</v>
      </c>
    </row>
    <row r="352" spans="1:22">
      <c r="A352" s="426" t="str">
        <f t="shared" ref="A352:A415" si="38">MID($F352,4,2)</f>
        <v>KU</v>
      </c>
      <c r="B352" s="426" t="str">
        <f t="shared" si="28"/>
        <v>KY</v>
      </c>
      <c r="C352" s="426" t="str">
        <f t="shared" si="30"/>
        <v>E</v>
      </c>
      <c r="D352" s="426" t="s">
        <v>2659</v>
      </c>
      <c r="E352" s="426" t="str">
        <f t="shared" si="37"/>
        <v>317</v>
      </c>
      <c r="F352" s="741" t="s">
        <v>2398</v>
      </c>
      <c r="G352" s="425" t="str">
        <f t="shared" si="32"/>
        <v>ARO</v>
      </c>
      <c r="H352" s="426">
        <v>115619.0076</v>
      </c>
      <c r="I352" s="426">
        <v>116879.0076</v>
      </c>
      <c r="J352" s="426">
        <v>118139.0076</v>
      </c>
      <c r="K352" s="426">
        <v>119399.0076</v>
      </c>
      <c r="L352" s="426">
        <v>120659.0076</v>
      </c>
      <c r="M352" s="426">
        <v>121919.0076</v>
      </c>
      <c r="N352" s="426">
        <v>123179.0076</v>
      </c>
      <c r="O352" s="426">
        <v>100666.83657</v>
      </c>
      <c r="P352" s="426">
        <v>101588.20616</v>
      </c>
      <c r="Q352" s="426">
        <v>102509.57575</v>
      </c>
      <c r="R352" s="426">
        <v>103430.94534000001</v>
      </c>
      <c r="S352" s="426">
        <v>104352.31492999999</v>
      </c>
      <c r="T352" s="426">
        <v>105273.68452</v>
      </c>
      <c r="V352" s="426">
        <f t="shared" si="34"/>
        <v>111816.50895923076</v>
      </c>
    </row>
    <row r="353" spans="1:22">
      <c r="A353" s="426" t="str">
        <f t="shared" si="38"/>
        <v>KU</v>
      </c>
      <c r="B353" s="426" t="str">
        <f t="shared" si="28"/>
        <v>KY</v>
      </c>
      <c r="C353" s="426" t="str">
        <f t="shared" si="30"/>
        <v>E</v>
      </c>
      <c r="D353" s="426" t="s">
        <v>2659</v>
      </c>
      <c r="E353" s="426" t="str">
        <f t="shared" si="37"/>
        <v>330</v>
      </c>
      <c r="F353" s="741" t="s">
        <v>1737</v>
      </c>
      <c r="G353" s="425" t="str">
        <f t="shared" si="32"/>
        <v/>
      </c>
      <c r="H353" s="426">
        <v>855.63559999999995</v>
      </c>
      <c r="I353" s="426">
        <v>855.63559999999995</v>
      </c>
      <c r="J353" s="426">
        <v>855.63559999999995</v>
      </c>
      <c r="K353" s="426">
        <v>855.63559999999995</v>
      </c>
      <c r="L353" s="426">
        <v>855.63559999999995</v>
      </c>
      <c r="M353" s="426">
        <v>855.63559999999995</v>
      </c>
      <c r="N353" s="426">
        <v>855.63559999999995</v>
      </c>
      <c r="O353" s="426">
        <v>855.63559999999995</v>
      </c>
      <c r="P353" s="426">
        <v>855.63559999999995</v>
      </c>
      <c r="Q353" s="426">
        <v>855.63559999999995</v>
      </c>
      <c r="R353" s="426">
        <v>855.63559999999995</v>
      </c>
      <c r="S353" s="426">
        <v>855.63559999999995</v>
      </c>
      <c r="T353" s="426">
        <v>855.63559999999995</v>
      </c>
      <c r="V353" s="426">
        <f t="shared" si="34"/>
        <v>855.63559999999973</v>
      </c>
    </row>
    <row r="354" spans="1:22">
      <c r="A354" s="426" t="str">
        <f t="shared" si="38"/>
        <v>KU</v>
      </c>
      <c r="B354" s="426" t="str">
        <f t="shared" si="28"/>
        <v>KY</v>
      </c>
      <c r="C354" s="426" t="str">
        <f t="shared" si="30"/>
        <v>E</v>
      </c>
      <c r="D354" s="426" t="s">
        <v>2659</v>
      </c>
      <c r="E354" s="426" t="str">
        <f t="shared" si="37"/>
        <v>331</v>
      </c>
      <c r="F354" s="741" t="s">
        <v>1738</v>
      </c>
      <c r="G354" s="425" t="str">
        <f t="shared" si="32"/>
        <v/>
      </c>
      <c r="H354" s="426">
        <v>638.65044659399905</v>
      </c>
      <c r="I354" s="426">
        <v>655.05942302829897</v>
      </c>
      <c r="J354" s="426">
        <v>671.468399462599</v>
      </c>
      <c r="K354" s="426">
        <v>689.43145563059898</v>
      </c>
      <c r="L354" s="426">
        <v>708.94859153239895</v>
      </c>
      <c r="M354" s="426">
        <v>728.46572743419904</v>
      </c>
      <c r="N354" s="426">
        <v>747.98286333599901</v>
      </c>
      <c r="O354" s="426">
        <v>767.49999923779899</v>
      </c>
      <c r="P354" s="426">
        <v>787.01713513959896</v>
      </c>
      <c r="Q354" s="426">
        <v>806.53427104139803</v>
      </c>
      <c r="R354" s="426">
        <v>826.051406943198</v>
      </c>
      <c r="S354" s="426">
        <v>845.56854284499798</v>
      </c>
      <c r="T354" s="426">
        <v>865.08567874679795</v>
      </c>
      <c r="V354" s="426">
        <f t="shared" si="34"/>
        <v>749.05876469014481</v>
      </c>
    </row>
    <row r="355" spans="1:22">
      <c r="A355" s="426" t="str">
        <f t="shared" si="38"/>
        <v>KU</v>
      </c>
      <c r="B355" s="426" t="str">
        <f t="shared" si="28"/>
        <v>KY</v>
      </c>
      <c r="C355" s="426" t="str">
        <f t="shared" si="30"/>
        <v>E</v>
      </c>
      <c r="D355" s="426" t="s">
        <v>2659</v>
      </c>
      <c r="E355" s="426" t="str">
        <f t="shared" si="37"/>
        <v>332</v>
      </c>
      <c r="F355" s="741" t="s">
        <v>1739</v>
      </c>
      <c r="G355" s="425" t="str">
        <f t="shared" si="32"/>
        <v/>
      </c>
      <c r="H355" s="426">
        <v>11171.438606117899</v>
      </c>
      <c r="I355" s="426">
        <v>11218.694813734999</v>
      </c>
      <c r="J355" s="426">
        <v>11265.951021352101</v>
      </c>
      <c r="K355" s="426">
        <v>11313.207228969201</v>
      </c>
      <c r="L355" s="426">
        <v>11360.4634365863</v>
      </c>
      <c r="M355" s="426">
        <v>11414.5862303993</v>
      </c>
      <c r="N355" s="426">
        <v>11475.5756103983</v>
      </c>
      <c r="O355" s="426">
        <v>11536.564990397301</v>
      </c>
      <c r="P355" s="426">
        <v>11597.554370396299</v>
      </c>
      <c r="Q355" s="426">
        <v>11658.5437503953</v>
      </c>
      <c r="R355" s="426">
        <v>11719.5331303943</v>
      </c>
      <c r="S355" s="426">
        <v>11780.522510393301</v>
      </c>
      <c r="T355" s="426">
        <v>11841.511890392299</v>
      </c>
      <c r="V355" s="426">
        <f t="shared" si="34"/>
        <v>11488.780583840531</v>
      </c>
    </row>
    <row r="356" spans="1:22">
      <c r="A356" s="426" t="str">
        <f t="shared" si="38"/>
        <v>KU</v>
      </c>
      <c r="B356" s="426" t="str">
        <f t="shared" si="28"/>
        <v>KY</v>
      </c>
      <c r="C356" s="426" t="str">
        <f t="shared" si="30"/>
        <v>E</v>
      </c>
      <c r="D356" s="426" t="s">
        <v>2659</v>
      </c>
      <c r="E356" s="426" t="str">
        <f t="shared" si="37"/>
        <v>333</v>
      </c>
      <c r="F356" s="741" t="s">
        <v>1740</v>
      </c>
      <c r="G356" s="425" t="str">
        <f t="shared" si="32"/>
        <v/>
      </c>
      <c r="H356" s="426">
        <v>3744.9230841869899</v>
      </c>
      <c r="I356" s="426">
        <v>3788.1986388641899</v>
      </c>
      <c r="J356" s="426">
        <v>3833.1122875296901</v>
      </c>
      <c r="K356" s="426">
        <v>3878.0259361951898</v>
      </c>
      <c r="L356" s="426">
        <v>3822.1171900273898</v>
      </c>
      <c r="M356" s="426">
        <v>3870.5860490261898</v>
      </c>
      <c r="N356" s="426">
        <v>3919.0549080249898</v>
      </c>
      <c r="O356" s="426">
        <v>3967.5237670237898</v>
      </c>
      <c r="P356" s="426">
        <v>4015.9926260225898</v>
      </c>
      <c r="Q356" s="426">
        <v>4064.4614850213902</v>
      </c>
      <c r="R356" s="426">
        <v>4112.9303440201902</v>
      </c>
      <c r="S356" s="426">
        <v>4161.3992030189902</v>
      </c>
      <c r="T356" s="426">
        <v>4209.8680620177902</v>
      </c>
      <c r="V356" s="426">
        <f t="shared" si="34"/>
        <v>3952.9379677676447</v>
      </c>
    </row>
    <row r="357" spans="1:22">
      <c r="A357" s="426" t="str">
        <f t="shared" si="38"/>
        <v>KU</v>
      </c>
      <c r="B357" s="426" t="str">
        <f t="shared" si="28"/>
        <v>KY</v>
      </c>
      <c r="C357" s="426" t="str">
        <f t="shared" si="30"/>
        <v>E</v>
      </c>
      <c r="D357" s="426" t="s">
        <v>2659</v>
      </c>
      <c r="E357" s="426" t="str">
        <f t="shared" si="37"/>
        <v>334</v>
      </c>
      <c r="F357" s="741" t="s">
        <v>1741</v>
      </c>
      <c r="G357" s="425" t="str">
        <f t="shared" si="32"/>
        <v/>
      </c>
      <c r="H357" s="426">
        <v>432.46795701799903</v>
      </c>
      <c r="I357" s="426">
        <v>436.87931668432901</v>
      </c>
      <c r="J357" s="426">
        <v>441.32528768399902</v>
      </c>
      <c r="K357" s="426">
        <v>445.77125868366898</v>
      </c>
      <c r="L357" s="426">
        <v>450.21722968333899</v>
      </c>
      <c r="M357" s="426">
        <v>454.66320068300899</v>
      </c>
      <c r="N357" s="426">
        <v>459.109171682679</v>
      </c>
      <c r="O357" s="426">
        <v>463.55514268234901</v>
      </c>
      <c r="P357" s="426">
        <v>468.00111368201902</v>
      </c>
      <c r="Q357" s="426">
        <v>472.44708468168898</v>
      </c>
      <c r="R357" s="426">
        <v>476.89305568135899</v>
      </c>
      <c r="S357" s="426">
        <v>481.43511012268903</v>
      </c>
      <c r="T357" s="426">
        <v>486.07324800568898</v>
      </c>
      <c r="V357" s="426">
        <f t="shared" si="34"/>
        <v>459.14139822883214</v>
      </c>
    </row>
    <row r="358" spans="1:22">
      <c r="A358" s="426" t="str">
        <f t="shared" si="38"/>
        <v>KU</v>
      </c>
      <c r="B358" s="426" t="str">
        <f t="shared" si="28"/>
        <v>KY</v>
      </c>
      <c r="C358" s="426" t="str">
        <f t="shared" si="30"/>
        <v>E</v>
      </c>
      <c r="D358" s="426" t="s">
        <v>2659</v>
      </c>
      <c r="E358" s="426" t="str">
        <f t="shared" si="37"/>
        <v>335</v>
      </c>
      <c r="F358" s="741" t="s">
        <v>1742</v>
      </c>
      <c r="G358" s="425" t="str">
        <f t="shared" si="32"/>
        <v/>
      </c>
      <c r="H358" s="426">
        <v>186.8994809717</v>
      </c>
      <c r="I358" s="426">
        <v>187.7037029279</v>
      </c>
      <c r="J358" s="426">
        <v>188.50792488409999</v>
      </c>
      <c r="K358" s="426">
        <v>189.31214684029999</v>
      </c>
      <c r="L358" s="426">
        <v>190.11636879650001</v>
      </c>
      <c r="M358" s="426">
        <v>190.92059075270001</v>
      </c>
      <c r="N358" s="426">
        <v>191.7248127089</v>
      </c>
      <c r="O358" s="426">
        <v>192.5290346651</v>
      </c>
      <c r="P358" s="426">
        <v>193.3332566213</v>
      </c>
      <c r="Q358" s="426">
        <v>194.13747857749999</v>
      </c>
      <c r="R358" s="426">
        <v>194.94170053369999</v>
      </c>
      <c r="S358" s="426">
        <v>195.74592248990001</v>
      </c>
      <c r="T358" s="426">
        <v>196.55014444610001</v>
      </c>
      <c r="V358" s="426">
        <f t="shared" si="34"/>
        <v>191.7248127089</v>
      </c>
    </row>
    <row r="359" spans="1:22">
      <c r="A359" s="426" t="str">
        <f t="shared" si="38"/>
        <v>KU</v>
      </c>
      <c r="B359" s="426" t="str">
        <f t="shared" si="28"/>
        <v>KY</v>
      </c>
      <c r="C359" s="426" t="str">
        <f t="shared" si="30"/>
        <v>E</v>
      </c>
      <c r="D359" s="426" t="s">
        <v>2659</v>
      </c>
      <c r="E359" s="426" t="str">
        <f t="shared" si="37"/>
        <v>336</v>
      </c>
      <c r="F359" s="741" t="s">
        <v>1743</v>
      </c>
      <c r="G359" s="425" t="str">
        <f t="shared" si="32"/>
        <v/>
      </c>
      <c r="H359" s="426">
        <v>71.985870282299999</v>
      </c>
      <c r="I359" s="426">
        <v>72.551077299179994</v>
      </c>
      <c r="J359" s="426">
        <v>73.116284316060003</v>
      </c>
      <c r="K359" s="426">
        <v>73.681491332939999</v>
      </c>
      <c r="L359" s="426">
        <v>74.246698349819994</v>
      </c>
      <c r="M359" s="426">
        <v>74.811905366700003</v>
      </c>
      <c r="N359" s="426">
        <v>75.377112383579998</v>
      </c>
      <c r="O359" s="426">
        <v>75.942319400459994</v>
      </c>
      <c r="P359" s="426">
        <v>76.507526417339903</v>
      </c>
      <c r="Q359" s="426">
        <v>77.072733434219899</v>
      </c>
      <c r="R359" s="426">
        <v>77.637940451099894</v>
      </c>
      <c r="S359" s="426">
        <v>78.203147467979903</v>
      </c>
      <c r="T359" s="426">
        <v>78.768354484859898</v>
      </c>
      <c r="V359" s="426">
        <f t="shared" si="34"/>
        <v>75.377112383579956</v>
      </c>
    </row>
    <row r="360" spans="1:22">
      <c r="A360" s="426" t="str">
        <f t="shared" si="38"/>
        <v>KU</v>
      </c>
      <c r="B360" s="426" t="str">
        <f t="shared" si="28"/>
        <v>KY</v>
      </c>
      <c r="C360" s="426" t="str">
        <f t="shared" si="30"/>
        <v>E</v>
      </c>
      <c r="D360" s="426" t="s">
        <v>2659</v>
      </c>
      <c r="E360" s="426" t="str">
        <f t="shared" si="37"/>
        <v>337</v>
      </c>
      <c r="F360" s="741" t="s">
        <v>1744</v>
      </c>
      <c r="G360" s="425" t="str">
        <f t="shared" si="32"/>
        <v>ARO</v>
      </c>
      <c r="H360" s="426">
        <v>100.039455564091</v>
      </c>
      <c r="I360" s="426">
        <v>101.5142301205</v>
      </c>
      <c r="J360" s="426">
        <v>102.989004676909</v>
      </c>
      <c r="K360" s="426">
        <v>104.46377923331799</v>
      </c>
      <c r="L360" s="426">
        <v>105.938553789727</v>
      </c>
      <c r="M360" s="426">
        <v>107.413328346136</v>
      </c>
      <c r="N360" s="426">
        <v>108.888102902546</v>
      </c>
      <c r="O360" s="426">
        <v>110.362877458955</v>
      </c>
      <c r="P360" s="426">
        <v>111.837652015364</v>
      </c>
      <c r="Q360" s="426">
        <v>113.312426571773</v>
      </c>
      <c r="R360" s="426">
        <v>114.78720112818201</v>
      </c>
      <c r="S360" s="426">
        <v>116.26197568459099</v>
      </c>
      <c r="T360" s="426">
        <v>117.736750241</v>
      </c>
      <c r="V360" s="426">
        <f t="shared" si="34"/>
        <v>108.88810290254554</v>
      </c>
    </row>
    <row r="361" spans="1:22">
      <c r="A361" s="426" t="str">
        <f t="shared" si="38"/>
        <v>KU</v>
      </c>
      <c r="B361" s="426" t="str">
        <f t="shared" si="28"/>
        <v>KY</v>
      </c>
      <c r="C361" s="426" t="str">
        <f t="shared" si="30"/>
        <v>E</v>
      </c>
      <c r="D361" s="426" t="s">
        <v>2659</v>
      </c>
      <c r="E361" s="426" t="str">
        <f t="shared" si="37"/>
        <v>340</v>
      </c>
      <c r="F361" s="741" t="s">
        <v>2183</v>
      </c>
      <c r="G361" s="425" t="str">
        <f t="shared" si="32"/>
        <v/>
      </c>
      <c r="H361" s="426">
        <v>137.91336990799999</v>
      </c>
      <c r="I361" s="426">
        <v>138.08095875249899</v>
      </c>
      <c r="J361" s="426">
        <v>138.248547596999</v>
      </c>
      <c r="K361" s="426">
        <v>138.41613644149899</v>
      </c>
      <c r="L361" s="426">
        <v>138.58372528599901</v>
      </c>
      <c r="M361" s="426">
        <v>138.751314130499</v>
      </c>
      <c r="N361" s="426">
        <v>138.91890297499901</v>
      </c>
      <c r="O361" s="426">
        <v>139.086491819499</v>
      </c>
      <c r="P361" s="426">
        <v>139.25408066399899</v>
      </c>
      <c r="Q361" s="426">
        <v>139.42166950849901</v>
      </c>
      <c r="R361" s="426">
        <v>139.589258352999</v>
      </c>
      <c r="S361" s="426">
        <v>139.75684719749901</v>
      </c>
      <c r="T361" s="426">
        <v>139.924436041999</v>
      </c>
      <c r="V361" s="426">
        <f t="shared" si="34"/>
        <v>138.91890297499907</v>
      </c>
    </row>
    <row r="362" spans="1:22">
      <c r="A362" s="426" t="str">
        <f t="shared" si="38"/>
        <v>KU</v>
      </c>
      <c r="B362" s="426" t="str">
        <f t="shared" si="28"/>
        <v>KY</v>
      </c>
      <c r="C362" s="426" t="str">
        <f t="shared" si="30"/>
        <v>E</v>
      </c>
      <c r="D362" s="426" t="s">
        <v>2659</v>
      </c>
      <c r="E362" s="426" t="str">
        <f t="shared" si="37"/>
        <v>341</v>
      </c>
      <c r="F362" s="741" t="s">
        <v>1746</v>
      </c>
      <c r="G362" s="425" t="str">
        <f t="shared" si="32"/>
        <v/>
      </c>
      <c r="H362" s="426">
        <v>25331.846804214001</v>
      </c>
      <c r="I362" s="426">
        <v>25400.2659244346</v>
      </c>
      <c r="J362" s="426">
        <v>25468.6850446553</v>
      </c>
      <c r="K362" s="426">
        <v>25537.104164875898</v>
      </c>
      <c r="L362" s="426">
        <v>25605.523285096599</v>
      </c>
      <c r="M362" s="426">
        <v>25673.942405317201</v>
      </c>
      <c r="N362" s="426">
        <v>25742.361525537901</v>
      </c>
      <c r="O362" s="426">
        <v>25810.780645758499</v>
      </c>
      <c r="P362" s="426">
        <v>25879.1997659792</v>
      </c>
      <c r="Q362" s="426">
        <v>25947.618886199802</v>
      </c>
      <c r="R362" s="426">
        <v>26016.038006420498</v>
      </c>
      <c r="S362" s="426">
        <v>26084.457126641199</v>
      </c>
      <c r="T362" s="426">
        <v>26152.876246861801</v>
      </c>
      <c r="V362" s="426">
        <f t="shared" si="34"/>
        <v>25742.361525537886</v>
      </c>
    </row>
    <row r="363" spans="1:22">
      <c r="A363" s="426" t="str">
        <f t="shared" si="38"/>
        <v>KU</v>
      </c>
      <c r="B363" s="426" t="str">
        <f t="shared" si="28"/>
        <v>KY</v>
      </c>
      <c r="C363" s="426" t="str">
        <f t="shared" si="30"/>
        <v>E</v>
      </c>
      <c r="D363" s="426" t="s">
        <v>2659</v>
      </c>
      <c r="E363" s="426" t="str">
        <f t="shared" si="37"/>
        <v>341</v>
      </c>
      <c r="F363" s="741" t="s">
        <v>2184</v>
      </c>
      <c r="G363" s="425" t="str">
        <f t="shared" si="32"/>
        <v/>
      </c>
      <c r="H363" s="426">
        <v>8404.97040758</v>
      </c>
      <c r="I363" s="426">
        <v>8529.9243569800001</v>
      </c>
      <c r="J363" s="426">
        <v>8654.8783063800001</v>
      </c>
      <c r="K363" s="426">
        <v>8779.8322557799893</v>
      </c>
      <c r="L363" s="426">
        <v>8904.7862051799893</v>
      </c>
      <c r="M363" s="426">
        <v>9029.7401545799894</v>
      </c>
      <c r="N363" s="426">
        <v>9154.6941039799894</v>
      </c>
      <c r="O363" s="426">
        <v>9279.6480533799895</v>
      </c>
      <c r="P363" s="426">
        <v>9404.6020027799896</v>
      </c>
      <c r="Q363" s="426">
        <v>9529.5559521799805</v>
      </c>
      <c r="R363" s="426">
        <v>9654.5099015799806</v>
      </c>
      <c r="S363" s="426">
        <v>9779.4638509799806</v>
      </c>
      <c r="T363" s="426">
        <v>9904.4178003799807</v>
      </c>
      <c r="V363" s="426">
        <f t="shared" si="34"/>
        <v>9154.6941039799876</v>
      </c>
    </row>
    <row r="364" spans="1:22">
      <c r="A364" s="426" t="str">
        <f t="shared" si="38"/>
        <v>KU</v>
      </c>
      <c r="B364" s="426" t="str">
        <f t="shared" si="28"/>
        <v>KY</v>
      </c>
      <c r="C364" s="426" t="str">
        <f t="shared" si="30"/>
        <v>E</v>
      </c>
      <c r="D364" s="426" t="s">
        <v>2659</v>
      </c>
      <c r="E364" s="426" t="str">
        <f t="shared" si="37"/>
        <v>341</v>
      </c>
      <c r="F364" s="741" t="s">
        <v>2185</v>
      </c>
      <c r="G364" s="425" t="str">
        <f t="shared" si="32"/>
        <v/>
      </c>
      <c r="H364" s="426">
        <v>336.06278921540002</v>
      </c>
      <c r="I364" s="426">
        <v>343.95635029107001</v>
      </c>
      <c r="J364" s="426">
        <v>351.84991136674</v>
      </c>
      <c r="K364" s="426">
        <v>359.74347244241</v>
      </c>
      <c r="L364" s="426">
        <v>367.63703351807999</v>
      </c>
      <c r="M364" s="426">
        <v>375.53059459374998</v>
      </c>
      <c r="N364" s="426">
        <v>383.42415566941997</v>
      </c>
      <c r="O364" s="426">
        <v>391.31771674509002</v>
      </c>
      <c r="P364" s="426">
        <v>399.21127782076002</v>
      </c>
      <c r="Q364" s="426">
        <v>407.10483889643001</v>
      </c>
      <c r="R364" s="426">
        <v>414.9983999721</v>
      </c>
      <c r="S364" s="426">
        <v>422.89196104777</v>
      </c>
      <c r="T364" s="426">
        <v>430.78552212343999</v>
      </c>
      <c r="V364" s="426">
        <f t="shared" si="34"/>
        <v>383.42415566942003</v>
      </c>
    </row>
    <row r="365" spans="1:22">
      <c r="A365" s="426" t="str">
        <f t="shared" si="38"/>
        <v>KU</v>
      </c>
      <c r="B365" s="426" t="str">
        <f t="shared" ref="B365:B428" si="39">IF(MID($F365,12,2)="- ","KY",IF(MID($F365,12,2)="SY","KY",MID($F365,12,2)))</f>
        <v>KY</v>
      </c>
      <c r="C365" s="426" t="str">
        <f t="shared" si="30"/>
        <v>E</v>
      </c>
      <c r="D365" s="426" t="s">
        <v>2659</v>
      </c>
      <c r="E365" s="426" t="str">
        <f t="shared" si="37"/>
        <v>342</v>
      </c>
      <c r="F365" s="741" t="s">
        <v>1747</v>
      </c>
      <c r="G365" s="425" t="str">
        <f t="shared" si="32"/>
        <v/>
      </c>
      <c r="H365" s="426">
        <v>7619.1605383719998</v>
      </c>
      <c r="I365" s="426">
        <v>7650.1365419304802</v>
      </c>
      <c r="J365" s="426">
        <v>7681.1125454889598</v>
      </c>
      <c r="K365" s="426">
        <v>7712.0885490474402</v>
      </c>
      <c r="L365" s="426">
        <v>7743.0645526059197</v>
      </c>
      <c r="M365" s="426">
        <v>7774.0405561644002</v>
      </c>
      <c r="N365" s="426">
        <v>7805.0165597228797</v>
      </c>
      <c r="O365" s="426">
        <v>7835.9925632813602</v>
      </c>
      <c r="P365" s="426">
        <v>7866.9685668398397</v>
      </c>
      <c r="Q365" s="426">
        <v>7897.9445703983201</v>
      </c>
      <c r="R365" s="426">
        <v>7928.9205739567997</v>
      </c>
      <c r="S365" s="426">
        <v>7959.8965775152801</v>
      </c>
      <c r="T365" s="426">
        <v>7990.8725810737596</v>
      </c>
      <c r="V365" s="426">
        <f t="shared" si="34"/>
        <v>7805.0165597228806</v>
      </c>
    </row>
    <row r="366" spans="1:22">
      <c r="A366" s="426" t="str">
        <f t="shared" si="38"/>
        <v>KU</v>
      </c>
      <c r="B366" s="426" t="str">
        <f t="shared" si="39"/>
        <v>KY</v>
      </c>
      <c r="C366" s="426" t="str">
        <f t="shared" si="30"/>
        <v>E</v>
      </c>
      <c r="D366" s="426" t="s">
        <v>2659</v>
      </c>
      <c r="E366" s="426" t="str">
        <f t="shared" si="37"/>
        <v>342</v>
      </c>
      <c r="F366" s="741" t="s">
        <v>2186</v>
      </c>
      <c r="G366" s="425" t="str">
        <f t="shared" si="32"/>
        <v/>
      </c>
      <c r="H366" s="426">
        <v>4273.3301975799995</v>
      </c>
      <c r="I366" s="426">
        <v>4281.7394831577003</v>
      </c>
      <c r="J366" s="426">
        <v>4290.1487687354002</v>
      </c>
      <c r="K366" s="426">
        <v>4298.5580543131</v>
      </c>
      <c r="L366" s="426">
        <v>4306.9673398907998</v>
      </c>
      <c r="M366" s="426">
        <v>4315.3766254684997</v>
      </c>
      <c r="N366" s="426">
        <v>4323.7859110462005</v>
      </c>
      <c r="O366" s="426">
        <v>4332.1951966239003</v>
      </c>
      <c r="P366" s="426">
        <v>4340.6044822016102</v>
      </c>
      <c r="Q366" s="426">
        <v>4349.01376777931</v>
      </c>
      <c r="R366" s="426">
        <v>4357.4230533570098</v>
      </c>
      <c r="S366" s="426">
        <v>4365.8323389347097</v>
      </c>
      <c r="T366" s="426">
        <v>4374.2416245124105</v>
      </c>
      <c r="V366" s="426">
        <f t="shared" si="34"/>
        <v>4323.7859110462041</v>
      </c>
    </row>
    <row r="367" spans="1:22">
      <c r="A367" s="426" t="str">
        <f t="shared" si="38"/>
        <v>KU</v>
      </c>
      <c r="B367" s="426" t="str">
        <f t="shared" si="39"/>
        <v>KY</v>
      </c>
      <c r="C367" s="426" t="str">
        <f t="shared" si="30"/>
        <v>E</v>
      </c>
      <c r="D367" s="426" t="s">
        <v>2659</v>
      </c>
      <c r="E367" s="426" t="str">
        <f t="shared" si="37"/>
        <v>342</v>
      </c>
      <c r="F367" s="741" t="s">
        <v>2187</v>
      </c>
      <c r="G367" s="425" t="str">
        <f t="shared" si="32"/>
        <v/>
      </c>
      <c r="H367" s="426">
        <v>15454.289256337999</v>
      </c>
      <c r="I367" s="426">
        <v>15591.622348987001</v>
      </c>
      <c r="J367" s="426">
        <v>15728.955441636001</v>
      </c>
      <c r="K367" s="426">
        <v>15866.288534285</v>
      </c>
      <c r="L367" s="426">
        <v>16003.621626934</v>
      </c>
      <c r="M367" s="426">
        <v>16140.954719583</v>
      </c>
      <c r="N367" s="426">
        <v>16278.287812232</v>
      </c>
      <c r="O367" s="426">
        <v>16415.620904881001</v>
      </c>
      <c r="P367" s="426">
        <v>16552.953997529999</v>
      </c>
      <c r="Q367" s="426">
        <v>16690.287090179001</v>
      </c>
      <c r="R367" s="426">
        <v>16827.620182827999</v>
      </c>
      <c r="S367" s="426">
        <v>16964.953275477001</v>
      </c>
      <c r="T367" s="426">
        <v>17102.286368125999</v>
      </c>
      <c r="V367" s="426">
        <f t="shared" si="34"/>
        <v>16278.287812231994</v>
      </c>
    </row>
    <row r="368" spans="1:22">
      <c r="A368" s="426" t="str">
        <f t="shared" si="38"/>
        <v>KU</v>
      </c>
      <c r="B368" s="426" t="str">
        <f t="shared" si="39"/>
        <v>KY</v>
      </c>
      <c r="C368" s="426" t="str">
        <f t="shared" si="30"/>
        <v>E</v>
      </c>
      <c r="D368" s="426" t="s">
        <v>2659</v>
      </c>
      <c r="E368" s="426" t="str">
        <f t="shared" si="37"/>
        <v>343</v>
      </c>
      <c r="F368" s="741" t="s">
        <v>1748</v>
      </c>
      <c r="G368" s="425" t="str">
        <f t="shared" si="32"/>
        <v/>
      </c>
      <c r="H368" s="426">
        <v>250414.24382980901</v>
      </c>
      <c r="I368" s="426">
        <v>251454.28238744001</v>
      </c>
      <c r="J368" s="426">
        <v>252495.028013982</v>
      </c>
      <c r="K368" s="426">
        <v>253536.72328783301</v>
      </c>
      <c r="L368" s="426">
        <v>254579.055722586</v>
      </c>
      <c r="M368" s="426">
        <v>255621.78273984499</v>
      </c>
      <c r="N368" s="426">
        <v>256479.03052677901</v>
      </c>
      <c r="O368" s="426">
        <v>257531.91002339899</v>
      </c>
      <c r="P368" s="426">
        <v>258584.78952001801</v>
      </c>
      <c r="Q368" s="426">
        <v>259637.66901663801</v>
      </c>
      <c r="R368" s="426">
        <v>260394.441689478</v>
      </c>
      <c r="S368" s="426">
        <v>261461.473538538</v>
      </c>
      <c r="T368" s="426">
        <v>262528.50538759801</v>
      </c>
      <c r="V368" s="426">
        <f t="shared" si="34"/>
        <v>256516.84120645717</v>
      </c>
    </row>
    <row r="369" spans="1:22">
      <c r="A369" s="426" t="str">
        <f t="shared" si="38"/>
        <v>KU</v>
      </c>
      <c r="B369" s="426" t="str">
        <f t="shared" si="39"/>
        <v>KY</v>
      </c>
      <c r="C369" s="426" t="str">
        <f t="shared" ref="C369:C432" si="40">IF(ISTEXT(MID($F369,SEARCH("FUTURE USE",$F369),3)),"F",IF(MID($F369,7,1)="1","E",IF(MID($F369,7,1)="2","G",IF(MID($F369,7,1)="3","C",""))))</f>
        <v>E</v>
      </c>
      <c r="D369" s="426" t="s">
        <v>2659</v>
      </c>
      <c r="E369" s="426" t="str">
        <f t="shared" si="37"/>
        <v>343</v>
      </c>
      <c r="F369" s="741" t="s">
        <v>2188</v>
      </c>
      <c r="G369" s="425" t="str">
        <f t="shared" si="32"/>
        <v/>
      </c>
      <c r="H369" s="426">
        <v>29272.043691261999</v>
      </c>
      <c r="I369" s="426">
        <v>30063.999683657999</v>
      </c>
      <c r="J369" s="426">
        <v>30855.955676054</v>
      </c>
      <c r="K369" s="426">
        <v>31647.91166845</v>
      </c>
      <c r="L369" s="426">
        <v>32364.677359243</v>
      </c>
      <c r="M369" s="426">
        <v>33161.677228342</v>
      </c>
      <c r="N369" s="426">
        <v>33958.677097441003</v>
      </c>
      <c r="O369" s="426">
        <v>34755.676966539999</v>
      </c>
      <c r="P369" s="426">
        <v>35552.676835639002</v>
      </c>
      <c r="Q369" s="426">
        <v>33959.326862280002</v>
      </c>
      <c r="R369" s="426">
        <v>34770.425586473</v>
      </c>
      <c r="S369" s="426">
        <v>35581.524310665998</v>
      </c>
      <c r="T369" s="426">
        <v>36392.623034859003</v>
      </c>
      <c r="V369" s="426">
        <f t="shared" si="34"/>
        <v>33256.707384685156</v>
      </c>
    </row>
    <row r="370" spans="1:22">
      <c r="A370" s="426" t="str">
        <f t="shared" si="38"/>
        <v>KU</v>
      </c>
      <c r="B370" s="426" t="str">
        <f t="shared" si="39"/>
        <v>KY</v>
      </c>
      <c r="C370" s="426" t="str">
        <f t="shared" si="40"/>
        <v>E</v>
      </c>
      <c r="D370" s="426" t="s">
        <v>2659</v>
      </c>
      <c r="E370" s="426" t="str">
        <f t="shared" si="37"/>
        <v>344</v>
      </c>
      <c r="F370" s="741" t="s">
        <v>1749</v>
      </c>
      <c r="G370" s="425" t="str">
        <f t="shared" si="32"/>
        <v/>
      </c>
      <c r="H370" s="426">
        <v>40754.100315539901</v>
      </c>
      <c r="I370" s="426">
        <v>40874.168181982197</v>
      </c>
      <c r="J370" s="426">
        <v>40994.2360484245</v>
      </c>
      <c r="K370" s="426">
        <v>41114.303914866803</v>
      </c>
      <c r="L370" s="426">
        <v>41234.371781309099</v>
      </c>
      <c r="M370" s="426">
        <v>41354.439647751402</v>
      </c>
      <c r="N370" s="426">
        <v>41474.507514193698</v>
      </c>
      <c r="O370" s="426">
        <v>41594.575380636001</v>
      </c>
      <c r="P370" s="426">
        <v>41714.643247078297</v>
      </c>
      <c r="Q370" s="426">
        <v>41834.7111135206</v>
      </c>
      <c r="R370" s="426">
        <v>41954.778979962903</v>
      </c>
      <c r="S370" s="426">
        <v>42074.846846405198</v>
      </c>
      <c r="T370" s="426">
        <v>42194.914712847502</v>
      </c>
      <c r="V370" s="426">
        <f t="shared" si="34"/>
        <v>41474.507514193698</v>
      </c>
    </row>
    <row r="371" spans="1:22">
      <c r="A371" s="426" t="str">
        <f t="shared" si="38"/>
        <v>KU</v>
      </c>
      <c r="B371" s="426" t="str">
        <f t="shared" si="39"/>
        <v>KY</v>
      </c>
      <c r="C371" s="426" t="str">
        <f t="shared" si="40"/>
        <v>E</v>
      </c>
      <c r="D371" s="426" t="s">
        <v>2659</v>
      </c>
      <c r="E371" s="426" t="str">
        <f t="shared" si="37"/>
        <v>344</v>
      </c>
      <c r="F371" s="741" t="s">
        <v>2189</v>
      </c>
      <c r="G371" s="425" t="str">
        <f t="shared" si="32"/>
        <v/>
      </c>
      <c r="H371" s="426">
        <v>12646.403775250001</v>
      </c>
      <c r="I371" s="426">
        <v>12792.90114473</v>
      </c>
      <c r="J371" s="426">
        <v>12939.398514209999</v>
      </c>
      <c r="K371" s="426">
        <v>13085.89588369</v>
      </c>
      <c r="L371" s="426">
        <v>13232.393253169999</v>
      </c>
      <c r="M371" s="426">
        <v>13378.89062265</v>
      </c>
      <c r="N371" s="426">
        <v>13525.387992129999</v>
      </c>
      <c r="O371" s="426">
        <v>13671.88536161</v>
      </c>
      <c r="P371" s="426">
        <v>13818.38273109</v>
      </c>
      <c r="Q371" s="426">
        <v>13964.880100570001</v>
      </c>
      <c r="R371" s="426">
        <v>14111.37747005</v>
      </c>
      <c r="S371" s="426">
        <v>14257.874839530001</v>
      </c>
      <c r="T371" s="426">
        <v>14404.37220901</v>
      </c>
      <c r="V371" s="426">
        <f t="shared" si="34"/>
        <v>13525.387992129999</v>
      </c>
    </row>
    <row r="372" spans="1:22">
      <c r="A372" s="426" t="str">
        <f t="shared" si="38"/>
        <v>KU</v>
      </c>
      <c r="B372" s="426" t="str">
        <f t="shared" si="39"/>
        <v>KY</v>
      </c>
      <c r="C372" s="426" t="str">
        <f t="shared" si="40"/>
        <v>E</v>
      </c>
      <c r="D372" s="426" t="s">
        <v>2659</v>
      </c>
      <c r="E372" s="426" t="str">
        <f t="shared" si="37"/>
        <v>344</v>
      </c>
      <c r="F372" s="741" t="s">
        <v>2190</v>
      </c>
      <c r="G372" s="425" t="str">
        <f t="shared" ref="G372:G435" si="41">IF(ISTEXT(MID($F372,SEARCH("FUTURE USE",$F372),3)),"FUTURE USE",IF(ISTEXT(MID($F372,SEARCH("ECR",$F372),3)),"ECR",IF(ISTEXT(MID($F372,SEARCH("ARO",$F372),3)),"ARO",IF(ISTEXT(MID($F372,SEARCH("DSM",$F372),3)),"DSM",""))))</f>
        <v/>
      </c>
      <c r="H372" s="426">
        <v>3112.4469754366301</v>
      </c>
      <c r="I372" s="426">
        <v>3165.5790437487999</v>
      </c>
      <c r="J372" s="426">
        <v>3218.7111120609702</v>
      </c>
      <c r="K372" s="426">
        <v>3271.8431803731401</v>
      </c>
      <c r="L372" s="426">
        <v>3324.9752486853099</v>
      </c>
      <c r="M372" s="426">
        <v>3378.1073169974802</v>
      </c>
      <c r="N372" s="426">
        <v>3433.1560211626502</v>
      </c>
      <c r="O372" s="426">
        <v>3490.12136118132</v>
      </c>
      <c r="P372" s="426">
        <v>3547.0867011999899</v>
      </c>
      <c r="Q372" s="426">
        <v>3604.0520412186502</v>
      </c>
      <c r="R372" s="426">
        <v>3661.01738123732</v>
      </c>
      <c r="S372" s="426">
        <v>3717.9827212559899</v>
      </c>
      <c r="T372" s="426">
        <v>3774.9480612746602</v>
      </c>
      <c r="V372" s="426">
        <f t="shared" si="34"/>
        <v>3438.463628140993</v>
      </c>
    </row>
    <row r="373" spans="1:22">
      <c r="A373" s="426" t="str">
        <f t="shared" si="38"/>
        <v>KU</v>
      </c>
      <c r="B373" s="426" t="str">
        <f t="shared" si="39"/>
        <v>KY</v>
      </c>
      <c r="C373" s="426" t="str">
        <f t="shared" si="40"/>
        <v>E</v>
      </c>
      <c r="D373" s="426" t="s">
        <v>2659</v>
      </c>
      <c r="E373" s="426" t="str">
        <f t="shared" si="37"/>
        <v>344</v>
      </c>
      <c r="F373" s="741" t="s">
        <v>2718</v>
      </c>
      <c r="G373" s="425" t="str">
        <f t="shared" si="41"/>
        <v/>
      </c>
      <c r="H373" s="426">
        <v>16.165050102146001</v>
      </c>
      <c r="I373" s="426">
        <v>17.067767156576</v>
      </c>
      <c r="J373" s="426">
        <v>17.970484211005999</v>
      </c>
      <c r="K373" s="426">
        <v>18.873201265435998</v>
      </c>
      <c r="L373" s="426">
        <v>19.775918319866001</v>
      </c>
      <c r="M373" s="426">
        <v>20.678635374296</v>
      </c>
      <c r="N373" s="426">
        <v>21.581352428725999</v>
      </c>
      <c r="O373" s="426">
        <v>22.484069483155999</v>
      </c>
      <c r="P373" s="426">
        <v>23.386786537586001</v>
      </c>
      <c r="Q373" s="426">
        <v>24.289503592016001</v>
      </c>
      <c r="R373" s="426">
        <v>25.192220646446</v>
      </c>
      <c r="S373" s="426">
        <v>26.094937700875999</v>
      </c>
      <c r="T373" s="426">
        <v>26.997654755306002</v>
      </c>
      <c r="V373" s="426">
        <f t="shared" si="34"/>
        <v>21.581352428725999</v>
      </c>
    </row>
    <row r="374" spans="1:22">
      <c r="A374" s="426" t="str">
        <f t="shared" si="38"/>
        <v>KU</v>
      </c>
      <c r="B374" s="426" t="str">
        <f t="shared" si="39"/>
        <v>KY</v>
      </c>
      <c r="C374" s="426" t="str">
        <f t="shared" si="40"/>
        <v>E</v>
      </c>
      <c r="D374" s="426" t="s">
        <v>2659</v>
      </c>
      <c r="E374" s="426" t="str">
        <f t="shared" si="37"/>
        <v>345</v>
      </c>
      <c r="F374" s="741" t="s">
        <v>1750</v>
      </c>
      <c r="G374" s="425" t="str">
        <f t="shared" si="41"/>
        <v/>
      </c>
      <c r="H374" s="426">
        <v>31875.6301233265</v>
      </c>
      <c r="I374" s="426">
        <v>31987.046297987999</v>
      </c>
      <c r="J374" s="426">
        <v>32098.462472649499</v>
      </c>
      <c r="K374" s="426">
        <v>32209.878647311001</v>
      </c>
      <c r="L374" s="426">
        <v>32321.2948219725</v>
      </c>
      <c r="M374" s="426">
        <v>32432.710996633999</v>
      </c>
      <c r="N374" s="426">
        <v>32544.127171295499</v>
      </c>
      <c r="O374" s="426">
        <v>32655.543345957001</v>
      </c>
      <c r="P374" s="426">
        <v>32766.9595206185</v>
      </c>
      <c r="Q374" s="426">
        <v>32878.375695280003</v>
      </c>
      <c r="R374" s="426">
        <v>32989.791869941502</v>
      </c>
      <c r="S374" s="426">
        <v>33101.208044603001</v>
      </c>
      <c r="T374" s="426">
        <v>33212.6242192645</v>
      </c>
      <c r="V374" s="426">
        <f t="shared" si="34"/>
        <v>32544.127171295499</v>
      </c>
    </row>
    <row r="375" spans="1:22">
      <c r="A375" s="426" t="str">
        <f t="shared" si="38"/>
        <v>KU</v>
      </c>
      <c r="B375" s="426" t="str">
        <f t="shared" si="39"/>
        <v>KY</v>
      </c>
      <c r="C375" s="426" t="str">
        <f t="shared" si="40"/>
        <v>E</v>
      </c>
      <c r="D375" s="426" t="s">
        <v>2659</v>
      </c>
      <c r="E375" s="426" t="str">
        <f t="shared" si="37"/>
        <v>345</v>
      </c>
      <c r="F375" s="741" t="s">
        <v>2191</v>
      </c>
      <c r="G375" s="425" t="str">
        <f t="shared" si="41"/>
        <v/>
      </c>
      <c r="H375" s="426">
        <v>4159.3546095739903</v>
      </c>
      <c r="I375" s="426">
        <v>4218.1615350689899</v>
      </c>
      <c r="J375" s="426">
        <v>4276.9684605639904</v>
      </c>
      <c r="K375" s="426">
        <v>4335.7753860589901</v>
      </c>
      <c r="L375" s="426">
        <v>4394.5823115539897</v>
      </c>
      <c r="M375" s="426">
        <v>4453.3892370489903</v>
      </c>
      <c r="N375" s="426">
        <v>4512.1961625439899</v>
      </c>
      <c r="O375" s="426">
        <v>4571.0030880389904</v>
      </c>
      <c r="P375" s="426">
        <v>4629.8100135339901</v>
      </c>
      <c r="Q375" s="426">
        <v>4688.6169390289897</v>
      </c>
      <c r="R375" s="426">
        <v>4747.4238645239902</v>
      </c>
      <c r="S375" s="426">
        <v>4806.2307900189899</v>
      </c>
      <c r="T375" s="426">
        <v>4865.0377155139904</v>
      </c>
      <c r="V375" s="426">
        <f t="shared" si="34"/>
        <v>4512.1961625439908</v>
      </c>
    </row>
    <row r="376" spans="1:22">
      <c r="A376" s="426" t="str">
        <f t="shared" si="38"/>
        <v>KU</v>
      </c>
      <c r="B376" s="426" t="str">
        <f t="shared" si="39"/>
        <v>KY</v>
      </c>
      <c r="C376" s="426" t="str">
        <f t="shared" si="40"/>
        <v>E</v>
      </c>
      <c r="D376" s="426" t="s">
        <v>2659</v>
      </c>
      <c r="E376" s="426" t="str">
        <f t="shared" si="37"/>
        <v>345</v>
      </c>
      <c r="F376" s="741" t="s">
        <v>2192</v>
      </c>
      <c r="G376" s="425" t="str">
        <f t="shared" si="41"/>
        <v/>
      </c>
      <c r="H376" s="426">
        <v>137.5288322095</v>
      </c>
      <c r="I376" s="426">
        <v>140.52694868613</v>
      </c>
      <c r="J376" s="426">
        <v>143.52506516276</v>
      </c>
      <c r="K376" s="426">
        <v>146.52318163939</v>
      </c>
      <c r="L376" s="426">
        <v>149.52129811602001</v>
      </c>
      <c r="M376" s="426">
        <v>152.51941459265001</v>
      </c>
      <c r="N376" s="426">
        <v>155.51753106928001</v>
      </c>
      <c r="O376" s="426">
        <v>158.51564754591001</v>
      </c>
      <c r="P376" s="426">
        <v>161.51376402253999</v>
      </c>
      <c r="Q376" s="426">
        <v>164.51188049916999</v>
      </c>
      <c r="R376" s="426">
        <v>167.50999697579999</v>
      </c>
      <c r="S376" s="426">
        <v>170.50811345243</v>
      </c>
      <c r="T376" s="426">
        <v>173.50622992906</v>
      </c>
      <c r="V376" s="426">
        <f t="shared" si="34"/>
        <v>155.51753106928001</v>
      </c>
    </row>
    <row r="377" spans="1:22">
      <c r="A377" s="426" t="str">
        <f t="shared" si="38"/>
        <v>KU</v>
      </c>
      <c r="B377" s="426" t="str">
        <f t="shared" si="39"/>
        <v>KY</v>
      </c>
      <c r="C377" s="426" t="str">
        <f t="shared" si="40"/>
        <v>E</v>
      </c>
      <c r="D377" s="426" t="s">
        <v>2659</v>
      </c>
      <c r="E377" s="426" t="str">
        <f t="shared" si="37"/>
        <v>346</v>
      </c>
      <c r="F377" s="741" t="s">
        <v>1751</v>
      </c>
      <c r="G377" s="425" t="str">
        <f t="shared" si="41"/>
        <v/>
      </c>
      <c r="H377" s="426">
        <v>4036.6518825517301</v>
      </c>
      <c r="I377" s="426">
        <v>4048.2769195701699</v>
      </c>
      <c r="J377" s="426">
        <v>4059.9019565886101</v>
      </c>
      <c r="K377" s="426">
        <v>4071.8146165445601</v>
      </c>
      <c r="L377" s="426">
        <v>4084.0148994380302</v>
      </c>
      <c r="M377" s="426">
        <v>3479.8793535705499</v>
      </c>
      <c r="N377" s="426">
        <v>3527.4853545937699</v>
      </c>
      <c r="O377" s="426">
        <v>3577.0847312669998</v>
      </c>
      <c r="P377" s="426">
        <v>3626.6841079402202</v>
      </c>
      <c r="Q377" s="426">
        <v>3677.10636541344</v>
      </c>
      <c r="R377" s="426">
        <v>3728.3515036866702</v>
      </c>
      <c r="S377" s="426">
        <v>3779.5966419598899</v>
      </c>
      <c r="T377" s="426">
        <v>3825.2089358251101</v>
      </c>
      <c r="V377" s="426">
        <f t="shared" ref="V377:V440" si="42">SUM(H377:T377)/13</f>
        <v>3809.389020688443</v>
      </c>
    </row>
    <row r="378" spans="1:22">
      <c r="A378" s="426" t="str">
        <f t="shared" si="38"/>
        <v>KU</v>
      </c>
      <c r="B378" s="426" t="str">
        <f t="shared" si="39"/>
        <v>KY</v>
      </c>
      <c r="C378" s="426" t="str">
        <f t="shared" si="40"/>
        <v>E</v>
      </c>
      <c r="D378" s="426" t="s">
        <v>2659</v>
      </c>
      <c r="E378" s="426" t="str">
        <f t="shared" si="37"/>
        <v>346</v>
      </c>
      <c r="F378" s="741" t="s">
        <v>2193</v>
      </c>
      <c r="G378" s="425" t="str">
        <f t="shared" si="41"/>
        <v/>
      </c>
      <c r="H378" s="426">
        <v>491.558610049999</v>
      </c>
      <c r="I378" s="426">
        <v>500.00652880169901</v>
      </c>
      <c r="J378" s="426">
        <v>508.45444755339901</v>
      </c>
      <c r="K378" s="426">
        <v>516.90236630509901</v>
      </c>
      <c r="L378" s="426">
        <v>525.35028505679895</v>
      </c>
      <c r="M378" s="426">
        <v>533.79820380849901</v>
      </c>
      <c r="N378" s="426">
        <v>542.24612256019998</v>
      </c>
      <c r="O378" s="426">
        <v>550.69404131190004</v>
      </c>
      <c r="P378" s="426">
        <v>559.14196006359998</v>
      </c>
      <c r="Q378" s="426">
        <v>529.40074121880002</v>
      </c>
      <c r="R378" s="426">
        <v>538.94492477649999</v>
      </c>
      <c r="S378" s="426">
        <v>548.48910833419995</v>
      </c>
      <c r="T378" s="426">
        <v>558.03329189190003</v>
      </c>
      <c r="V378" s="426">
        <f t="shared" si="42"/>
        <v>531.0015870563534</v>
      </c>
    </row>
    <row r="379" spans="1:22">
      <c r="A379" s="426" t="str">
        <f t="shared" si="38"/>
        <v>KU</v>
      </c>
      <c r="B379" s="426" t="str">
        <f t="shared" si="39"/>
        <v>KY</v>
      </c>
      <c r="C379" s="426" t="str">
        <f t="shared" si="40"/>
        <v>E</v>
      </c>
      <c r="D379" s="426" t="s">
        <v>2659</v>
      </c>
      <c r="E379" s="426" t="str">
        <f t="shared" si="37"/>
        <v>346</v>
      </c>
      <c r="F379" s="741" t="s">
        <v>2194</v>
      </c>
      <c r="G379" s="425" t="str">
        <f t="shared" si="41"/>
        <v/>
      </c>
      <c r="H379" s="426">
        <v>86.946294273999897</v>
      </c>
      <c r="I379" s="426">
        <v>88.9740135314469</v>
      </c>
      <c r="J379" s="426">
        <v>91.001732788893904</v>
      </c>
      <c r="K379" s="426">
        <v>93.029452046340893</v>
      </c>
      <c r="L379" s="426">
        <v>95.057171303787996</v>
      </c>
      <c r="M379" s="426">
        <v>97.084890561234999</v>
      </c>
      <c r="N379" s="426">
        <v>99.112609818682003</v>
      </c>
      <c r="O379" s="426">
        <v>101.14032907612901</v>
      </c>
      <c r="P379" s="426">
        <v>103.168048333576</v>
      </c>
      <c r="Q379" s="426">
        <v>105.195767591023</v>
      </c>
      <c r="R379" s="426">
        <v>107.22348684847</v>
      </c>
      <c r="S379" s="426">
        <v>109.25120610591701</v>
      </c>
      <c r="T379" s="426">
        <v>111.278925363364</v>
      </c>
      <c r="V379" s="426">
        <f t="shared" si="42"/>
        <v>99.11260981868196</v>
      </c>
    </row>
    <row r="380" spans="1:22">
      <c r="A380" s="426" t="str">
        <f t="shared" si="38"/>
        <v>KU</v>
      </c>
      <c r="B380" s="426" t="str">
        <f t="shared" si="39"/>
        <v>KY</v>
      </c>
      <c r="C380" s="426" t="str">
        <f t="shared" si="40"/>
        <v>E</v>
      </c>
      <c r="D380" s="426" t="s">
        <v>2659</v>
      </c>
      <c r="E380" s="426" t="str">
        <f t="shared" si="37"/>
        <v>347</v>
      </c>
      <c r="F380" s="741" t="s">
        <v>2195</v>
      </c>
      <c r="G380" s="425" t="str">
        <f t="shared" si="41"/>
        <v>ARO</v>
      </c>
      <c r="H380" s="426">
        <v>123.721459157684</v>
      </c>
      <c r="I380" s="426">
        <v>125.38266307345199</v>
      </c>
      <c r="J380" s="426">
        <v>127.043866989221</v>
      </c>
      <c r="K380" s="426">
        <v>128.70507090498899</v>
      </c>
      <c r="L380" s="426">
        <v>130.36627482075801</v>
      </c>
      <c r="M380" s="426">
        <v>132.02747873652601</v>
      </c>
      <c r="N380" s="426">
        <v>133.688682652295</v>
      </c>
      <c r="O380" s="426">
        <v>135.349886568063</v>
      </c>
      <c r="P380" s="426">
        <v>137.01109048383199</v>
      </c>
      <c r="Q380" s="426">
        <v>138.67229439959999</v>
      </c>
      <c r="R380" s="426">
        <v>140.33349831536799</v>
      </c>
      <c r="S380" s="426">
        <v>141.99470223113701</v>
      </c>
      <c r="T380" s="426">
        <v>143.65590614690501</v>
      </c>
      <c r="V380" s="426">
        <f t="shared" si="42"/>
        <v>133.68868265229463</v>
      </c>
    </row>
    <row r="381" spans="1:22">
      <c r="A381" s="426" t="str">
        <f t="shared" si="38"/>
        <v>KU</v>
      </c>
      <c r="B381" s="426" t="str">
        <f t="shared" si="39"/>
        <v>KY</v>
      </c>
      <c r="C381" s="426" t="str">
        <f t="shared" si="40"/>
        <v>E</v>
      </c>
      <c r="D381" s="426" t="s">
        <v>2659</v>
      </c>
      <c r="E381" s="426" t="str">
        <f t="shared" si="37"/>
        <v>350</v>
      </c>
      <c r="F381" s="741" t="s">
        <v>1752</v>
      </c>
      <c r="G381" s="425" t="str">
        <f t="shared" si="41"/>
        <v/>
      </c>
      <c r="H381" s="426">
        <v>16477.089951229998</v>
      </c>
      <c r="I381" s="426">
        <v>16497.3089712</v>
      </c>
      <c r="J381" s="426">
        <v>16517.527991170002</v>
      </c>
      <c r="K381" s="426">
        <v>16537.74701114</v>
      </c>
      <c r="L381" s="426">
        <v>16557.966031110001</v>
      </c>
      <c r="M381" s="426">
        <v>16579.264142960001</v>
      </c>
      <c r="N381" s="426">
        <v>16601.64134668</v>
      </c>
      <c r="O381" s="426">
        <v>16624.0185504</v>
      </c>
      <c r="P381" s="426">
        <v>16646.39575412</v>
      </c>
      <c r="Q381" s="426">
        <v>16668.772957839999</v>
      </c>
      <c r="R381" s="426">
        <v>16691.71372132</v>
      </c>
      <c r="S381" s="426">
        <v>16715.21804457</v>
      </c>
      <c r="T381" s="426">
        <v>16739.406351109999</v>
      </c>
      <c r="V381" s="426">
        <f t="shared" si="42"/>
        <v>16604.159294219233</v>
      </c>
    </row>
    <row r="382" spans="1:22">
      <c r="A382" s="426" t="str">
        <f t="shared" si="38"/>
        <v>KU</v>
      </c>
      <c r="B382" s="426" t="str">
        <f t="shared" si="39"/>
        <v>TN</v>
      </c>
      <c r="C382" s="426" t="str">
        <f t="shared" si="40"/>
        <v>E</v>
      </c>
      <c r="D382" s="426" t="s">
        <v>2659</v>
      </c>
      <c r="E382" s="426" t="str">
        <f t="shared" si="37"/>
        <v>350</v>
      </c>
      <c r="F382" s="741" t="s">
        <v>1753</v>
      </c>
      <c r="G382" s="425" t="str">
        <f t="shared" si="41"/>
        <v/>
      </c>
      <c r="H382" s="426">
        <v>0.38228996499999901</v>
      </c>
      <c r="I382" s="426">
        <v>0.38260496149999901</v>
      </c>
      <c r="J382" s="426">
        <v>0.38291995799999901</v>
      </c>
      <c r="K382" s="426">
        <v>0.383234954499999</v>
      </c>
      <c r="L382" s="426">
        <v>0.383549950999999</v>
      </c>
      <c r="M382" s="426">
        <v>0.383864947499999</v>
      </c>
      <c r="N382" s="426">
        <v>0.384179943999999</v>
      </c>
      <c r="O382" s="426">
        <v>0.38449494049999899</v>
      </c>
      <c r="P382" s="426">
        <v>0.38480993699999899</v>
      </c>
      <c r="Q382" s="426">
        <v>0.38512493349999899</v>
      </c>
      <c r="R382" s="426">
        <v>0.38543992999999899</v>
      </c>
      <c r="S382" s="426">
        <v>0.38575492649999898</v>
      </c>
      <c r="T382" s="426">
        <v>0.38606992299999898</v>
      </c>
      <c r="V382" s="426">
        <f t="shared" si="42"/>
        <v>0.384179943999999</v>
      </c>
    </row>
    <row r="383" spans="1:22">
      <c r="A383" s="426" t="str">
        <f t="shared" si="38"/>
        <v>KU</v>
      </c>
      <c r="B383" s="426" t="str">
        <f t="shared" si="39"/>
        <v>VA</v>
      </c>
      <c r="C383" s="426" t="str">
        <f t="shared" si="40"/>
        <v>E</v>
      </c>
      <c r="D383" s="426" t="s">
        <v>2659</v>
      </c>
      <c r="E383" s="426" t="str">
        <f t="shared" si="37"/>
        <v>350</v>
      </c>
      <c r="F383" s="741" t="s">
        <v>1754</v>
      </c>
      <c r="G383" s="425" t="str">
        <f t="shared" si="41"/>
        <v/>
      </c>
      <c r="H383" s="426">
        <v>2014.671307933</v>
      </c>
      <c r="I383" s="426">
        <v>2016.700393288</v>
      </c>
      <c r="J383" s="426">
        <v>2018.729478643</v>
      </c>
      <c r="K383" s="426">
        <v>2020.758563998</v>
      </c>
      <c r="L383" s="426">
        <v>2022.787649353</v>
      </c>
      <c r="M383" s="426">
        <v>2024.816734708</v>
      </c>
      <c r="N383" s="426">
        <v>2026.845820063</v>
      </c>
      <c r="O383" s="426">
        <v>2028.874905418</v>
      </c>
      <c r="P383" s="426">
        <v>2030.903990773</v>
      </c>
      <c r="Q383" s="426">
        <v>2032.933076128</v>
      </c>
      <c r="R383" s="426">
        <v>2034.962161483</v>
      </c>
      <c r="S383" s="426">
        <v>2036.9912468380001</v>
      </c>
      <c r="T383" s="426">
        <v>2039.0203321930001</v>
      </c>
      <c r="V383" s="426">
        <f t="shared" si="42"/>
        <v>2026.8458200629998</v>
      </c>
    </row>
    <row r="384" spans="1:22">
      <c r="A384" s="426" t="str">
        <f t="shared" si="38"/>
        <v>KU</v>
      </c>
      <c r="B384" s="426" t="str">
        <f t="shared" si="39"/>
        <v>KY</v>
      </c>
      <c r="C384" s="426" t="str">
        <f t="shared" si="40"/>
        <v>E</v>
      </c>
      <c r="D384" s="426" t="s">
        <v>2659</v>
      </c>
      <c r="E384" s="426" t="str">
        <f t="shared" si="37"/>
        <v>352</v>
      </c>
      <c r="F384" s="741" t="s">
        <v>1755</v>
      </c>
      <c r="G384" s="425" t="str">
        <f t="shared" si="41"/>
        <v/>
      </c>
      <c r="H384" s="426">
        <v>931.78389932537402</v>
      </c>
      <c r="I384" s="426">
        <v>933.52378637992399</v>
      </c>
      <c r="J384" s="426">
        <v>935.26367343447396</v>
      </c>
      <c r="K384" s="426">
        <v>937.00356048902404</v>
      </c>
      <c r="L384" s="426">
        <v>938.81970916407397</v>
      </c>
      <c r="M384" s="426">
        <v>940.71211945962398</v>
      </c>
      <c r="N384" s="426">
        <v>942.60452975517398</v>
      </c>
      <c r="O384" s="426">
        <v>944.49694005072399</v>
      </c>
      <c r="P384" s="426">
        <v>946.389350346274</v>
      </c>
      <c r="Q384" s="426">
        <v>948.28176064182401</v>
      </c>
      <c r="R384" s="426">
        <v>950.17417093737402</v>
      </c>
      <c r="S384" s="426">
        <v>952.06658123292402</v>
      </c>
      <c r="T384" s="426">
        <v>953.95899152847403</v>
      </c>
      <c r="V384" s="426">
        <f t="shared" si="42"/>
        <v>942.698390211174</v>
      </c>
    </row>
    <row r="385" spans="1:22">
      <c r="A385" s="426" t="str">
        <f t="shared" si="38"/>
        <v>KU</v>
      </c>
      <c r="B385" s="426" t="str">
        <f t="shared" si="39"/>
        <v>KY</v>
      </c>
      <c r="C385" s="426" t="str">
        <f t="shared" si="40"/>
        <v>E</v>
      </c>
      <c r="D385" s="426" t="s">
        <v>2659</v>
      </c>
      <c r="E385" s="426" t="str">
        <f t="shared" si="37"/>
        <v>352</v>
      </c>
      <c r="F385" s="741" t="s">
        <v>1756</v>
      </c>
      <c r="G385" s="425" t="str">
        <f t="shared" si="41"/>
        <v/>
      </c>
      <c r="H385" s="426">
        <v>7026.5276708620004</v>
      </c>
      <c r="I385" s="426">
        <v>7069.0105175210001</v>
      </c>
      <c r="J385" s="426">
        <v>7111.4933641799998</v>
      </c>
      <c r="K385" s="426">
        <v>7153.9762108389996</v>
      </c>
      <c r="L385" s="426">
        <v>7196.4590574980002</v>
      </c>
      <c r="M385" s="426">
        <v>7238.941904157</v>
      </c>
      <c r="N385" s="426">
        <v>7281.4247508160097</v>
      </c>
      <c r="O385" s="426">
        <v>7323.9075974750103</v>
      </c>
      <c r="P385" s="426">
        <v>7366.3904441340101</v>
      </c>
      <c r="Q385" s="426">
        <v>7408.8732907930098</v>
      </c>
      <c r="R385" s="426">
        <v>7451.3561374520104</v>
      </c>
      <c r="S385" s="426">
        <v>7493.8389841110102</v>
      </c>
      <c r="T385" s="426">
        <v>7536.3218307700099</v>
      </c>
      <c r="V385" s="426">
        <f t="shared" si="42"/>
        <v>7281.4247508160051</v>
      </c>
    </row>
    <row r="386" spans="1:22">
      <c r="A386" s="426" t="str">
        <f t="shared" si="38"/>
        <v>KU</v>
      </c>
      <c r="B386" s="426" t="str">
        <f t="shared" si="39"/>
        <v>VA</v>
      </c>
      <c r="C386" s="426" t="str">
        <f t="shared" si="40"/>
        <v>E</v>
      </c>
      <c r="D386" s="426" t="s">
        <v>2659</v>
      </c>
      <c r="E386" s="426" t="str">
        <f t="shared" si="37"/>
        <v>352</v>
      </c>
      <c r="F386" s="741" t="s">
        <v>1757</v>
      </c>
      <c r="G386" s="425" t="str">
        <f t="shared" si="41"/>
        <v/>
      </c>
      <c r="H386" s="426">
        <v>869.57861685500097</v>
      </c>
      <c r="I386" s="426">
        <v>872.07124754050096</v>
      </c>
      <c r="J386" s="426">
        <v>874.56387822600095</v>
      </c>
      <c r="K386" s="426">
        <v>877.05650891150106</v>
      </c>
      <c r="L386" s="426">
        <v>879.54913959700104</v>
      </c>
      <c r="M386" s="426">
        <v>882.04177028250103</v>
      </c>
      <c r="N386" s="426">
        <v>884.53440096800102</v>
      </c>
      <c r="O386" s="426">
        <v>887.02703165350101</v>
      </c>
      <c r="P386" s="426">
        <v>889.519662339001</v>
      </c>
      <c r="Q386" s="426">
        <v>892.01229302450201</v>
      </c>
      <c r="R386" s="426">
        <v>894.504923710002</v>
      </c>
      <c r="S386" s="426">
        <v>896.99755439550199</v>
      </c>
      <c r="T386" s="426">
        <v>899.49018508100198</v>
      </c>
      <c r="V386" s="426">
        <f t="shared" si="42"/>
        <v>884.53440096800125</v>
      </c>
    </row>
    <row r="387" spans="1:22">
      <c r="A387" s="426" t="str">
        <f t="shared" si="38"/>
        <v>KU</v>
      </c>
      <c r="B387" s="426" t="str">
        <f t="shared" si="39"/>
        <v>KY</v>
      </c>
      <c r="C387" s="426" t="str">
        <f t="shared" si="40"/>
        <v>E</v>
      </c>
      <c r="D387" s="426" t="s">
        <v>2659</v>
      </c>
      <c r="E387" s="426" t="str">
        <f t="shared" si="37"/>
        <v>353</v>
      </c>
      <c r="F387" s="741" t="s">
        <v>1758</v>
      </c>
      <c r="G387" s="425" t="str">
        <f t="shared" si="41"/>
        <v/>
      </c>
      <c r="H387" s="426">
        <v>77524.640142880002</v>
      </c>
      <c r="I387" s="426">
        <v>77837.784243450005</v>
      </c>
      <c r="J387" s="426">
        <v>78033.006712219998</v>
      </c>
      <c r="K387" s="426">
        <v>78410.780068220003</v>
      </c>
      <c r="L387" s="426">
        <v>78739.071703189999</v>
      </c>
      <c r="M387" s="426">
        <v>78937.287317540002</v>
      </c>
      <c r="N387" s="426">
        <v>79029.578521069998</v>
      </c>
      <c r="O387" s="426">
        <v>79503.821120359993</v>
      </c>
      <c r="P387" s="426">
        <v>79890.857669260004</v>
      </c>
      <c r="Q387" s="426">
        <v>80329.908286189995</v>
      </c>
      <c r="R387" s="426">
        <v>80760.885445139997</v>
      </c>
      <c r="S387" s="426">
        <v>81014.263132640001</v>
      </c>
      <c r="T387" s="426">
        <v>81354.342365699995</v>
      </c>
      <c r="V387" s="426">
        <f t="shared" si="42"/>
        <v>79335.86359445077</v>
      </c>
    </row>
    <row r="388" spans="1:22">
      <c r="A388" s="426" t="str">
        <f t="shared" si="38"/>
        <v>KU</v>
      </c>
      <c r="B388" s="426" t="str">
        <f t="shared" si="39"/>
        <v>KY</v>
      </c>
      <c r="C388" s="426" t="str">
        <f t="shared" si="40"/>
        <v>E</v>
      </c>
      <c r="D388" s="426" t="s">
        <v>2659</v>
      </c>
      <c r="E388" s="426" t="str">
        <f t="shared" si="37"/>
        <v>353</v>
      </c>
      <c r="F388" s="741" t="s">
        <v>1759</v>
      </c>
      <c r="G388" s="425" t="str">
        <f t="shared" si="41"/>
        <v/>
      </c>
      <c r="H388" s="426">
        <v>1251.8806199999999</v>
      </c>
      <c r="I388" s="426">
        <v>1251.8806199999999</v>
      </c>
      <c r="J388" s="426">
        <v>1251.8806199999999</v>
      </c>
      <c r="K388" s="426">
        <v>1251.8806199999999</v>
      </c>
      <c r="L388" s="426">
        <v>1251.8806199999999</v>
      </c>
      <c r="M388" s="426">
        <v>1251.8806199999999</v>
      </c>
      <c r="N388" s="426">
        <v>1251.8806199999999</v>
      </c>
      <c r="O388" s="426">
        <v>1251.8806199999999</v>
      </c>
      <c r="P388" s="426">
        <v>1251.8806199999999</v>
      </c>
      <c r="Q388" s="426">
        <v>1251.8806199999999</v>
      </c>
      <c r="R388" s="426">
        <v>1251.8806199999999</v>
      </c>
      <c r="S388" s="426">
        <v>1251.8806199999999</v>
      </c>
      <c r="T388" s="426">
        <v>1251.8806199999999</v>
      </c>
      <c r="V388" s="426">
        <f t="shared" si="42"/>
        <v>1251.8806199999999</v>
      </c>
    </row>
    <row r="389" spans="1:22">
      <c r="A389" s="426" t="str">
        <f t="shared" si="38"/>
        <v>KU</v>
      </c>
      <c r="B389" s="426" t="str">
        <f t="shared" si="39"/>
        <v>VA</v>
      </c>
      <c r="C389" s="426" t="str">
        <f t="shared" si="40"/>
        <v>E</v>
      </c>
      <c r="D389" s="426" t="s">
        <v>2659</v>
      </c>
      <c r="E389" s="426" t="str">
        <f t="shared" si="37"/>
        <v>353</v>
      </c>
      <c r="F389" s="741" t="s">
        <v>1760</v>
      </c>
      <c r="G389" s="425" t="str">
        <f t="shared" si="41"/>
        <v/>
      </c>
      <c r="H389" s="426">
        <v>8985.0927082639901</v>
      </c>
      <c r="I389" s="426">
        <v>9037.2653615569907</v>
      </c>
      <c r="J389" s="426">
        <v>9089.4380148499895</v>
      </c>
      <c r="K389" s="426">
        <v>9141.6106681429901</v>
      </c>
      <c r="L389" s="426">
        <v>9193.7833214359907</v>
      </c>
      <c r="M389" s="426">
        <v>9245.9559747289895</v>
      </c>
      <c r="N389" s="426">
        <v>9298.1286280219792</v>
      </c>
      <c r="O389" s="426">
        <v>9350.3012813149799</v>
      </c>
      <c r="P389" s="426">
        <v>9402.4739346079805</v>
      </c>
      <c r="Q389" s="426">
        <v>9454.6465879009793</v>
      </c>
      <c r="R389" s="426">
        <v>9506.8192411939799</v>
      </c>
      <c r="S389" s="426">
        <v>9454.7771905599802</v>
      </c>
      <c r="T389" s="426">
        <v>9511.8700759989806</v>
      </c>
      <c r="V389" s="426">
        <f t="shared" si="42"/>
        <v>9282.4740760444456</v>
      </c>
    </row>
    <row r="390" spans="1:22">
      <c r="A390" s="426" t="str">
        <f t="shared" si="38"/>
        <v>KU</v>
      </c>
      <c r="B390" s="426" t="str">
        <f t="shared" si="39"/>
        <v>KY</v>
      </c>
      <c r="C390" s="426" t="str">
        <f t="shared" si="40"/>
        <v>E</v>
      </c>
      <c r="D390" s="426" t="s">
        <v>2659</v>
      </c>
      <c r="E390" s="426" t="str">
        <f t="shared" si="37"/>
        <v>354</v>
      </c>
      <c r="F390" s="741" t="s">
        <v>1761</v>
      </c>
      <c r="G390" s="425" t="str">
        <f t="shared" si="41"/>
        <v/>
      </c>
      <c r="H390" s="426">
        <v>50129.6572320099</v>
      </c>
      <c r="I390" s="426">
        <v>50229.348775210899</v>
      </c>
      <c r="J390" s="426">
        <v>50329.040318411899</v>
      </c>
      <c r="K390" s="426">
        <v>50428.731861612898</v>
      </c>
      <c r="L390" s="426">
        <v>50528.423404813897</v>
      </c>
      <c r="M390" s="426">
        <v>50628.114948014903</v>
      </c>
      <c r="N390" s="426">
        <v>50727.806491215902</v>
      </c>
      <c r="O390" s="426">
        <v>50827.498034416902</v>
      </c>
      <c r="P390" s="426">
        <v>50927.189577617901</v>
      </c>
      <c r="Q390" s="426">
        <v>51026.8811208189</v>
      </c>
      <c r="R390" s="426">
        <v>51126.572664019899</v>
      </c>
      <c r="S390" s="426">
        <v>51226.264207220898</v>
      </c>
      <c r="T390" s="426">
        <v>51325.955750421897</v>
      </c>
      <c r="V390" s="426">
        <f t="shared" si="42"/>
        <v>50727.806491215895</v>
      </c>
    </row>
    <row r="391" spans="1:22">
      <c r="A391" s="426" t="str">
        <f t="shared" si="38"/>
        <v>KU</v>
      </c>
      <c r="B391" s="426" t="str">
        <f t="shared" si="39"/>
        <v>VA</v>
      </c>
      <c r="C391" s="426" t="str">
        <f t="shared" si="40"/>
        <v>E</v>
      </c>
      <c r="D391" s="426" t="s">
        <v>2659</v>
      </c>
      <c r="E391" s="426" t="str">
        <f t="shared" si="37"/>
        <v>354</v>
      </c>
      <c r="F391" s="741" t="s">
        <v>1762</v>
      </c>
      <c r="G391" s="425" t="str">
        <f t="shared" si="41"/>
        <v/>
      </c>
      <c r="H391" s="426">
        <v>5459.3232916400002</v>
      </c>
      <c r="I391" s="426">
        <v>5469.4366478040001</v>
      </c>
      <c r="J391" s="426">
        <v>5479.5500039680001</v>
      </c>
      <c r="K391" s="426">
        <v>5489.663360132</v>
      </c>
      <c r="L391" s="426">
        <v>5499.7767162959999</v>
      </c>
      <c r="M391" s="426">
        <v>5509.8900724599998</v>
      </c>
      <c r="N391" s="426">
        <v>5520.0034286239998</v>
      </c>
      <c r="O391" s="426">
        <v>5530.1167847879997</v>
      </c>
      <c r="P391" s="426">
        <v>5540.2301409519996</v>
      </c>
      <c r="Q391" s="426">
        <v>5550.3434971159904</v>
      </c>
      <c r="R391" s="426">
        <v>5560.4568532799904</v>
      </c>
      <c r="S391" s="426">
        <v>5570.5702094439903</v>
      </c>
      <c r="T391" s="426">
        <v>5580.6835656079902</v>
      </c>
      <c r="V391" s="426">
        <f t="shared" si="42"/>
        <v>5520.003428623997</v>
      </c>
    </row>
    <row r="392" spans="1:22">
      <c r="A392" s="426" t="str">
        <f t="shared" si="38"/>
        <v>KU</v>
      </c>
      <c r="B392" s="426" t="str">
        <f t="shared" si="39"/>
        <v>KY</v>
      </c>
      <c r="C392" s="426" t="str">
        <f t="shared" si="40"/>
        <v>E</v>
      </c>
      <c r="D392" s="426" t="s">
        <v>2659</v>
      </c>
      <c r="E392" s="426" t="str">
        <f t="shared" si="37"/>
        <v>355</v>
      </c>
      <c r="F392" s="741" t="s">
        <v>1763</v>
      </c>
      <c r="G392" s="425" t="str">
        <f t="shared" si="41"/>
        <v/>
      </c>
      <c r="H392" s="426">
        <v>86495.342254749994</v>
      </c>
      <c r="I392" s="426">
        <v>86702.057390500093</v>
      </c>
      <c r="J392" s="426">
        <v>87794.021943020096</v>
      </c>
      <c r="K392" s="426">
        <v>88383.137269380095</v>
      </c>
      <c r="L392" s="426">
        <v>89072.063685750094</v>
      </c>
      <c r="M392" s="426">
        <v>90011.797926060099</v>
      </c>
      <c r="N392" s="426">
        <v>88754.894197640097</v>
      </c>
      <c r="O392" s="426">
        <v>89970.089564590104</v>
      </c>
      <c r="P392" s="426">
        <v>91103.310077060101</v>
      </c>
      <c r="Q392" s="426">
        <v>92276.768481300096</v>
      </c>
      <c r="R392" s="426">
        <v>93278.736051360102</v>
      </c>
      <c r="S392" s="426">
        <v>93809.875825730094</v>
      </c>
      <c r="T392" s="426">
        <v>93758.163504550103</v>
      </c>
      <c r="V392" s="426">
        <f t="shared" si="42"/>
        <v>90108.481397822412</v>
      </c>
    </row>
    <row r="393" spans="1:22">
      <c r="A393" s="426" t="str">
        <f t="shared" si="38"/>
        <v>KU</v>
      </c>
      <c r="B393" s="426" t="str">
        <f t="shared" si="39"/>
        <v>TN</v>
      </c>
      <c r="C393" s="426" t="str">
        <f t="shared" si="40"/>
        <v>E</v>
      </c>
      <c r="D393" s="426" t="s">
        <v>2659</v>
      </c>
      <c r="E393" s="426" t="str">
        <f t="shared" ref="E393:E454" si="43">MID($F393,8,3)</f>
        <v>355</v>
      </c>
      <c r="F393" s="741" t="s">
        <v>1764</v>
      </c>
      <c r="G393" s="425" t="str">
        <f t="shared" si="41"/>
        <v/>
      </c>
      <c r="H393" s="426">
        <v>101.4018531912</v>
      </c>
      <c r="I393" s="426">
        <v>101.71622151032</v>
      </c>
      <c r="J393" s="426">
        <v>102.03058982944</v>
      </c>
      <c r="K393" s="426">
        <v>102.34495814856</v>
      </c>
      <c r="L393" s="426">
        <v>102.65932646768</v>
      </c>
      <c r="M393" s="426">
        <v>102.9736947868</v>
      </c>
      <c r="N393" s="426">
        <v>103.28806310592</v>
      </c>
      <c r="O393" s="426">
        <v>103.60243142504</v>
      </c>
      <c r="P393" s="426">
        <v>103.91679974416</v>
      </c>
      <c r="Q393" s="426">
        <v>104.23116806327999</v>
      </c>
      <c r="R393" s="426">
        <v>104.5455363824</v>
      </c>
      <c r="S393" s="426">
        <v>104.85990470151999</v>
      </c>
      <c r="T393" s="426">
        <v>105.17427302064</v>
      </c>
      <c r="V393" s="426">
        <f t="shared" si="42"/>
        <v>103.28806310592</v>
      </c>
    </row>
    <row r="394" spans="1:22">
      <c r="A394" s="426" t="str">
        <f t="shared" si="38"/>
        <v>KU</v>
      </c>
      <c r="B394" s="426" t="str">
        <f t="shared" si="39"/>
        <v>VA</v>
      </c>
      <c r="C394" s="426" t="str">
        <f t="shared" si="40"/>
        <v>E</v>
      </c>
      <c r="D394" s="426" t="s">
        <v>2659</v>
      </c>
      <c r="E394" s="426" t="str">
        <f t="shared" si="43"/>
        <v>355</v>
      </c>
      <c r="F394" s="741" t="s">
        <v>1765</v>
      </c>
      <c r="G394" s="425" t="str">
        <f t="shared" si="41"/>
        <v/>
      </c>
      <c r="H394" s="426">
        <v>4821.5266370600002</v>
      </c>
      <c r="I394" s="426">
        <v>4887.71989975</v>
      </c>
      <c r="J394" s="426">
        <v>4953.9131624399997</v>
      </c>
      <c r="K394" s="426">
        <v>5020.1064251300004</v>
      </c>
      <c r="L394" s="426">
        <v>3666.7770903380001</v>
      </c>
      <c r="M394" s="426">
        <v>3753.0678780530002</v>
      </c>
      <c r="N394" s="426">
        <v>2802.5874936750001</v>
      </c>
      <c r="O394" s="426">
        <v>2905.038757193</v>
      </c>
      <c r="P394" s="426">
        <v>3007.4900207109999</v>
      </c>
      <c r="Q394" s="426">
        <v>3109.9412842289998</v>
      </c>
      <c r="R394" s="426">
        <v>3140.8656772939999</v>
      </c>
      <c r="S394" s="426">
        <v>3244.5055199049998</v>
      </c>
      <c r="T394" s="426">
        <v>1777.9432864549999</v>
      </c>
      <c r="V394" s="426">
        <f t="shared" si="42"/>
        <v>3622.4217794025371</v>
      </c>
    </row>
    <row r="395" spans="1:22">
      <c r="A395" s="426" t="str">
        <f t="shared" si="38"/>
        <v>KU</v>
      </c>
      <c r="B395" s="426" t="str">
        <f t="shared" si="39"/>
        <v>KY</v>
      </c>
      <c r="C395" s="426" t="str">
        <f t="shared" si="40"/>
        <v>E</v>
      </c>
      <c r="D395" s="426" t="s">
        <v>2659</v>
      </c>
      <c r="E395" s="426" t="str">
        <f t="shared" si="43"/>
        <v>356</v>
      </c>
      <c r="F395" s="741" t="s">
        <v>1766</v>
      </c>
      <c r="G395" s="425" t="str">
        <f t="shared" si="41"/>
        <v/>
      </c>
      <c r="H395" s="426">
        <v>112328.66084079001</v>
      </c>
      <c r="I395" s="426">
        <v>112696.23995153001</v>
      </c>
      <c r="J395" s="426">
        <v>113074.88697747</v>
      </c>
      <c r="K395" s="426">
        <v>113471.62633321001</v>
      </c>
      <c r="L395" s="426">
        <v>113831.65011024001</v>
      </c>
      <c r="M395" s="426">
        <v>114117.31601174999</v>
      </c>
      <c r="N395" s="426">
        <v>114013.96511759001</v>
      </c>
      <c r="O395" s="426">
        <v>114428.39229672001</v>
      </c>
      <c r="P395" s="426">
        <v>114796.61877189</v>
      </c>
      <c r="Q395" s="426">
        <v>115203.16440095</v>
      </c>
      <c r="R395" s="426">
        <v>115110.755355809</v>
      </c>
      <c r="S395" s="426">
        <v>115386.492954139</v>
      </c>
      <c r="T395" s="426">
        <v>115152.67560777999</v>
      </c>
      <c r="V395" s="426">
        <f t="shared" si="42"/>
        <v>114124.03420998986</v>
      </c>
    </row>
    <row r="396" spans="1:22">
      <c r="A396" s="426" t="str">
        <f t="shared" si="38"/>
        <v>KU</v>
      </c>
      <c r="B396" s="426" t="str">
        <f t="shared" si="39"/>
        <v>TN</v>
      </c>
      <c r="C396" s="426" t="str">
        <f t="shared" si="40"/>
        <v>E</v>
      </c>
      <c r="D396" s="426" t="s">
        <v>2659</v>
      </c>
      <c r="E396" s="426" t="str">
        <f t="shared" si="43"/>
        <v>356</v>
      </c>
      <c r="F396" s="741" t="s">
        <v>1767</v>
      </c>
      <c r="G396" s="425" t="str">
        <f t="shared" si="41"/>
        <v/>
      </c>
      <c r="H396" s="426">
        <v>59.775236485000001</v>
      </c>
      <c r="I396" s="426">
        <v>59.946033133500002</v>
      </c>
      <c r="J396" s="426">
        <v>60.116829782000003</v>
      </c>
      <c r="K396" s="426">
        <v>60.287626430499998</v>
      </c>
      <c r="L396" s="426">
        <v>60.458423078999999</v>
      </c>
      <c r="M396" s="426">
        <v>60.629219727500001</v>
      </c>
      <c r="N396" s="426">
        <v>60.800016376000002</v>
      </c>
      <c r="O396" s="426">
        <v>60.970813024500004</v>
      </c>
      <c r="P396" s="426">
        <v>61.141609672999998</v>
      </c>
      <c r="Q396" s="426">
        <v>61.312406321499999</v>
      </c>
      <c r="R396" s="426">
        <v>61.483202970000001</v>
      </c>
      <c r="S396" s="426">
        <v>61.653999618500002</v>
      </c>
      <c r="T396" s="426">
        <v>61.824796267000004</v>
      </c>
      <c r="V396" s="426">
        <f t="shared" si="42"/>
        <v>60.800016376000002</v>
      </c>
    </row>
    <row r="397" spans="1:22">
      <c r="A397" s="426" t="str">
        <f t="shared" si="38"/>
        <v>KU</v>
      </c>
      <c r="B397" s="426" t="str">
        <f t="shared" si="39"/>
        <v>VA</v>
      </c>
      <c r="C397" s="426" t="str">
        <f t="shared" si="40"/>
        <v>E</v>
      </c>
      <c r="D397" s="426" t="s">
        <v>2659</v>
      </c>
      <c r="E397" s="426" t="str">
        <f t="shared" si="43"/>
        <v>356</v>
      </c>
      <c r="F397" s="741" t="s">
        <v>1768</v>
      </c>
      <c r="G397" s="425" t="str">
        <f t="shared" si="41"/>
        <v/>
      </c>
      <c r="H397" s="426">
        <v>11691.249789850001</v>
      </c>
      <c r="I397" s="426">
        <v>11732.825974834999</v>
      </c>
      <c r="J397" s="426">
        <v>11774.40215982</v>
      </c>
      <c r="K397" s="426">
        <v>11815.978344805</v>
      </c>
      <c r="L397" s="426">
        <v>11857.554529790001</v>
      </c>
      <c r="M397" s="426">
        <v>11899.130714774999</v>
      </c>
      <c r="N397" s="426">
        <v>11940.70689976</v>
      </c>
      <c r="O397" s="426">
        <v>11982.283084745</v>
      </c>
      <c r="P397" s="426">
        <v>12023.859269729999</v>
      </c>
      <c r="Q397" s="426">
        <v>12065.435454715</v>
      </c>
      <c r="R397" s="426">
        <v>12107.0116397</v>
      </c>
      <c r="S397" s="426">
        <v>12148.587824685001</v>
      </c>
      <c r="T397" s="426">
        <v>12190.164009669999</v>
      </c>
      <c r="V397" s="426">
        <f t="shared" si="42"/>
        <v>11940.70689976</v>
      </c>
    </row>
    <row r="398" spans="1:22">
      <c r="A398" s="426" t="str">
        <f t="shared" si="38"/>
        <v>KU</v>
      </c>
      <c r="B398" s="426" t="str">
        <f t="shared" si="39"/>
        <v>KY</v>
      </c>
      <c r="C398" s="426" t="str">
        <f t="shared" si="40"/>
        <v>E</v>
      </c>
      <c r="D398" s="426" t="s">
        <v>2659</v>
      </c>
      <c r="E398" s="426" t="str">
        <f t="shared" si="43"/>
        <v>357</v>
      </c>
      <c r="F398" s="741" t="s">
        <v>1769</v>
      </c>
      <c r="G398" s="425" t="str">
        <f t="shared" si="41"/>
        <v/>
      </c>
      <c r="H398" s="426">
        <v>216.945395641999</v>
      </c>
      <c r="I398" s="426">
        <v>217.82159520619899</v>
      </c>
      <c r="J398" s="426">
        <v>218.69779477039901</v>
      </c>
      <c r="K398" s="426">
        <v>219.57399433459901</v>
      </c>
      <c r="L398" s="426">
        <v>220.450193898799</v>
      </c>
      <c r="M398" s="426">
        <v>221.32639346299899</v>
      </c>
      <c r="N398" s="426">
        <v>222.20259302719899</v>
      </c>
      <c r="O398" s="426">
        <v>223.07879259139901</v>
      </c>
      <c r="P398" s="426">
        <v>223.954992155599</v>
      </c>
      <c r="Q398" s="426">
        <v>224.83119171979899</v>
      </c>
      <c r="R398" s="426">
        <v>225.70739128399899</v>
      </c>
      <c r="S398" s="426">
        <v>226.58359084819901</v>
      </c>
      <c r="T398" s="426">
        <v>227.459790412399</v>
      </c>
      <c r="V398" s="426">
        <f t="shared" si="42"/>
        <v>222.20259302719901</v>
      </c>
    </row>
    <row r="399" spans="1:22">
      <c r="A399" s="426" t="str">
        <f t="shared" si="38"/>
        <v>KU</v>
      </c>
      <c r="B399" s="426" t="str">
        <f t="shared" si="39"/>
        <v>KY</v>
      </c>
      <c r="C399" s="426" t="str">
        <f t="shared" si="40"/>
        <v>E</v>
      </c>
      <c r="D399" s="426" t="s">
        <v>2659</v>
      </c>
      <c r="E399" s="426" t="str">
        <f t="shared" si="43"/>
        <v>358</v>
      </c>
      <c r="F399" s="741" t="s">
        <v>1770</v>
      </c>
      <c r="G399" s="425" t="str">
        <f t="shared" si="41"/>
        <v/>
      </c>
      <c r="H399" s="426">
        <v>822.91008688199997</v>
      </c>
      <c r="I399" s="426">
        <v>823.67167957020001</v>
      </c>
      <c r="J399" s="426">
        <v>824.43327225840005</v>
      </c>
      <c r="K399" s="426">
        <v>825.19486494659998</v>
      </c>
      <c r="L399" s="426">
        <v>825.95645763480002</v>
      </c>
      <c r="M399" s="426">
        <v>826.71805032300006</v>
      </c>
      <c r="N399" s="426">
        <v>827.47964301119998</v>
      </c>
      <c r="O399" s="426">
        <v>828.24123569940002</v>
      </c>
      <c r="P399" s="426">
        <v>829.00282838759995</v>
      </c>
      <c r="Q399" s="426">
        <v>829.76442107579999</v>
      </c>
      <c r="R399" s="426">
        <v>830.52601376400003</v>
      </c>
      <c r="S399" s="426">
        <v>831.28760645219995</v>
      </c>
      <c r="T399" s="426">
        <v>832.04919914039999</v>
      </c>
      <c r="V399" s="426">
        <f t="shared" si="42"/>
        <v>827.4796430112001</v>
      </c>
    </row>
    <row r="400" spans="1:22">
      <c r="A400" s="426" t="str">
        <f t="shared" si="38"/>
        <v>KU</v>
      </c>
      <c r="B400" s="426" t="str">
        <f t="shared" si="39"/>
        <v>KY</v>
      </c>
      <c r="C400" s="426" t="str">
        <f t="shared" si="40"/>
        <v>E</v>
      </c>
      <c r="D400" s="426" t="s">
        <v>2659</v>
      </c>
      <c r="E400" s="426" t="str">
        <f t="shared" si="43"/>
        <v>359</v>
      </c>
      <c r="F400" s="741" t="s">
        <v>1771</v>
      </c>
      <c r="G400" s="425" t="str">
        <f t="shared" si="41"/>
        <v>ARO</v>
      </c>
      <c r="H400" s="426">
        <v>117.53122705842399</v>
      </c>
      <c r="I400" s="426">
        <v>118.13876476426699</v>
      </c>
      <c r="J400" s="426">
        <v>118.746302470109</v>
      </c>
      <c r="K400" s="426">
        <v>119.353840175952</v>
      </c>
      <c r="L400" s="426">
        <v>119.96137788179399</v>
      </c>
      <c r="M400" s="426">
        <v>120.56891558763699</v>
      </c>
      <c r="N400" s="426">
        <v>121.176453293479</v>
      </c>
      <c r="O400" s="426">
        <v>121.783990999322</v>
      </c>
      <c r="P400" s="426">
        <v>122.39152870516401</v>
      </c>
      <c r="Q400" s="426">
        <v>122.99906641100699</v>
      </c>
      <c r="R400" s="426">
        <v>123.606604116849</v>
      </c>
      <c r="S400" s="426">
        <v>124.214141822692</v>
      </c>
      <c r="T400" s="426">
        <v>124.82167952853401</v>
      </c>
      <c r="V400" s="426">
        <f t="shared" si="42"/>
        <v>121.17645329347921</v>
      </c>
    </row>
    <row r="401" spans="1:22">
      <c r="A401" s="426" t="str">
        <f t="shared" si="38"/>
        <v>KU</v>
      </c>
      <c r="B401" s="426" t="str">
        <f t="shared" si="39"/>
        <v>KY</v>
      </c>
      <c r="C401" s="426" t="str">
        <f t="shared" si="40"/>
        <v>E</v>
      </c>
      <c r="D401" s="426" t="s">
        <v>2659</v>
      </c>
      <c r="E401" s="426" t="str">
        <f t="shared" si="43"/>
        <v>360</v>
      </c>
      <c r="F401" s="741" t="s">
        <v>1773</v>
      </c>
      <c r="G401" s="425" t="str">
        <f t="shared" si="41"/>
        <v/>
      </c>
      <c r="H401" s="426">
        <v>1452.21472818999</v>
      </c>
      <c r="I401" s="426">
        <v>1453.4989300089901</v>
      </c>
      <c r="J401" s="426">
        <v>1454.78313182799</v>
      </c>
      <c r="K401" s="426">
        <v>1456.0673336469899</v>
      </c>
      <c r="L401" s="426">
        <v>1457.3515354659901</v>
      </c>
      <c r="M401" s="426">
        <v>1458.63573728499</v>
      </c>
      <c r="N401" s="426">
        <v>1459.9199391039899</v>
      </c>
      <c r="O401" s="426">
        <v>1461.2041409229901</v>
      </c>
      <c r="P401" s="426">
        <v>1462.48834274199</v>
      </c>
      <c r="Q401" s="426">
        <v>1463.7725445609899</v>
      </c>
      <c r="R401" s="426">
        <v>1465.05674637999</v>
      </c>
      <c r="S401" s="426">
        <v>1466.34094819899</v>
      </c>
      <c r="T401" s="426">
        <v>1467.6251500179901</v>
      </c>
      <c r="V401" s="426">
        <f t="shared" si="42"/>
        <v>1459.9199391039899</v>
      </c>
    </row>
    <row r="402" spans="1:22">
      <c r="A402" s="426" t="str">
        <f t="shared" si="38"/>
        <v>KU</v>
      </c>
      <c r="B402" s="426" t="str">
        <f t="shared" si="39"/>
        <v>TN</v>
      </c>
      <c r="C402" s="426" t="str">
        <f t="shared" si="40"/>
        <v>E</v>
      </c>
      <c r="D402" s="426" t="s">
        <v>2659</v>
      </c>
      <c r="E402" s="426" t="str">
        <f t="shared" si="43"/>
        <v>360</v>
      </c>
      <c r="F402" s="741" t="s">
        <v>1774</v>
      </c>
      <c r="G402" s="425" t="str">
        <f t="shared" si="41"/>
        <v/>
      </c>
      <c r="H402" s="426">
        <v>2.5279628533299898</v>
      </c>
      <c r="I402" s="426">
        <v>2.5293641386629901</v>
      </c>
      <c r="J402" s="426">
        <v>2.53076542399599</v>
      </c>
      <c r="K402" s="426">
        <v>2.5321667093289899</v>
      </c>
      <c r="L402" s="426">
        <v>2.5335679946619898</v>
      </c>
      <c r="M402" s="426">
        <v>2.5349692799949901</v>
      </c>
      <c r="N402" s="426">
        <v>2.53637056532799</v>
      </c>
      <c r="O402" s="426">
        <v>2.5377718506609899</v>
      </c>
      <c r="P402" s="426">
        <v>2.5391731359939902</v>
      </c>
      <c r="Q402" s="426">
        <v>2.5405744213269901</v>
      </c>
      <c r="R402" s="426">
        <v>2.54197570665999</v>
      </c>
      <c r="S402" s="426">
        <v>2.5433769919929898</v>
      </c>
      <c r="T402" s="426">
        <v>2.5447782773259902</v>
      </c>
      <c r="V402" s="426">
        <f t="shared" si="42"/>
        <v>2.53637056532799</v>
      </c>
    </row>
    <row r="403" spans="1:22">
      <c r="A403" s="426" t="str">
        <f t="shared" si="38"/>
        <v>KU</v>
      </c>
      <c r="B403" s="426" t="str">
        <f t="shared" si="39"/>
        <v>VA</v>
      </c>
      <c r="C403" s="426" t="str">
        <f t="shared" si="40"/>
        <v>E</v>
      </c>
      <c r="D403" s="426" t="s">
        <v>2659</v>
      </c>
      <c r="E403" s="426" t="str">
        <f t="shared" si="43"/>
        <v>360</v>
      </c>
      <c r="F403" s="741" t="s">
        <v>1775</v>
      </c>
      <c r="G403" s="425" t="str">
        <f t="shared" si="41"/>
        <v/>
      </c>
      <c r="H403" s="426">
        <v>72.593992880000002</v>
      </c>
      <c r="I403" s="426">
        <v>72.702387168000001</v>
      </c>
      <c r="J403" s="426">
        <v>72.810781456000001</v>
      </c>
      <c r="K403" s="426">
        <v>72.919175744</v>
      </c>
      <c r="L403" s="426">
        <v>73.027570032</v>
      </c>
      <c r="M403" s="426">
        <v>73.135964319999999</v>
      </c>
      <c r="N403" s="426">
        <v>73.244358607999999</v>
      </c>
      <c r="O403" s="426">
        <v>73.352752895999998</v>
      </c>
      <c r="P403" s="426">
        <v>73.461147183999998</v>
      </c>
      <c r="Q403" s="426">
        <v>73.569541471999997</v>
      </c>
      <c r="R403" s="426">
        <v>73.677935759999997</v>
      </c>
      <c r="S403" s="426">
        <v>73.786330047999996</v>
      </c>
      <c r="T403" s="426">
        <v>73.894724335999996</v>
      </c>
      <c r="V403" s="426">
        <f t="shared" si="42"/>
        <v>73.244358607999985</v>
      </c>
    </row>
    <row r="404" spans="1:22">
      <c r="A404" s="426" t="str">
        <f t="shared" si="38"/>
        <v>KU</v>
      </c>
      <c r="B404" s="426" t="str">
        <f t="shared" si="39"/>
        <v>KY</v>
      </c>
      <c r="C404" s="426" t="str">
        <f t="shared" si="40"/>
        <v>E</v>
      </c>
      <c r="D404" s="426" t="s">
        <v>2659</v>
      </c>
      <c r="E404" s="426" t="str">
        <f t="shared" si="43"/>
        <v>361</v>
      </c>
      <c r="F404" s="741" t="s">
        <v>1776</v>
      </c>
      <c r="G404" s="425" t="str">
        <f t="shared" si="41"/>
        <v/>
      </c>
      <c r="H404" s="426">
        <v>4468.2681682820003</v>
      </c>
      <c r="I404" s="426">
        <v>4523.084894392</v>
      </c>
      <c r="J404" s="426">
        <v>4578.2500309520001</v>
      </c>
      <c r="K404" s="426">
        <v>4633.3554346620003</v>
      </c>
      <c r="L404" s="426">
        <v>4688.4011055419996</v>
      </c>
      <c r="M404" s="426">
        <v>4743.3870435819999</v>
      </c>
      <c r="N404" s="426">
        <v>4798.4046237820003</v>
      </c>
      <c r="O404" s="426">
        <v>4853.4837125519998</v>
      </c>
      <c r="P404" s="426">
        <v>4908.5628013220003</v>
      </c>
      <c r="Q404" s="426">
        <v>4963.6418900919998</v>
      </c>
      <c r="R404" s="426">
        <v>5018.7209788620003</v>
      </c>
      <c r="S404" s="426">
        <v>5074.4271509720002</v>
      </c>
      <c r="T404" s="426">
        <v>5130.7604064119996</v>
      </c>
      <c r="V404" s="426">
        <f t="shared" si="42"/>
        <v>4798.6729416466151</v>
      </c>
    </row>
    <row r="405" spans="1:22">
      <c r="A405" s="426" t="str">
        <f t="shared" si="38"/>
        <v>KU</v>
      </c>
      <c r="B405" s="426" t="str">
        <f t="shared" si="39"/>
        <v>TN</v>
      </c>
      <c r="C405" s="426" t="str">
        <f t="shared" si="40"/>
        <v>E</v>
      </c>
      <c r="D405" s="426" t="s">
        <v>2659</v>
      </c>
      <c r="E405" s="426" t="str">
        <f t="shared" si="43"/>
        <v>361</v>
      </c>
      <c r="F405" s="741" t="s">
        <v>1777</v>
      </c>
      <c r="G405" s="425" t="str">
        <f t="shared" si="41"/>
        <v/>
      </c>
      <c r="H405" s="426">
        <v>2.6493802458400002</v>
      </c>
      <c r="I405" s="426">
        <v>2.653940270424</v>
      </c>
      <c r="J405" s="426">
        <v>2.6585002950079999</v>
      </c>
      <c r="K405" s="426">
        <v>2.6630603195920002</v>
      </c>
      <c r="L405" s="426">
        <v>2.667620344176</v>
      </c>
      <c r="M405" s="426">
        <v>2.6721803687599999</v>
      </c>
      <c r="N405" s="426">
        <v>2.6767403933440002</v>
      </c>
      <c r="O405" s="426">
        <v>2.681300417928</v>
      </c>
      <c r="P405" s="426">
        <v>2.6858604425119998</v>
      </c>
      <c r="Q405" s="426">
        <v>2.6904204670960001</v>
      </c>
      <c r="R405" s="426">
        <v>2.69498049168</v>
      </c>
      <c r="S405" s="426">
        <v>2.6995405162639998</v>
      </c>
      <c r="T405" s="426">
        <v>2.7041005408480001</v>
      </c>
      <c r="V405" s="426">
        <f t="shared" si="42"/>
        <v>2.6767403933440002</v>
      </c>
    </row>
    <row r="406" spans="1:22">
      <c r="A406" s="426" t="str">
        <f t="shared" si="38"/>
        <v>KU</v>
      </c>
      <c r="B406" s="426" t="str">
        <f t="shared" si="39"/>
        <v>VA</v>
      </c>
      <c r="C406" s="426" t="str">
        <f t="shared" si="40"/>
        <v>E</v>
      </c>
      <c r="D406" s="426" t="s">
        <v>2659</v>
      </c>
      <c r="E406" s="426" t="str">
        <f t="shared" si="43"/>
        <v>361</v>
      </c>
      <c r="F406" s="741" t="s">
        <v>1778</v>
      </c>
      <c r="G406" s="425" t="str">
        <f t="shared" si="41"/>
        <v/>
      </c>
      <c r="H406" s="426">
        <v>180.105968429299</v>
      </c>
      <c r="I406" s="426">
        <v>181.274610711799</v>
      </c>
      <c r="J406" s="426">
        <v>182.443252994299</v>
      </c>
      <c r="K406" s="426">
        <v>183.611895276799</v>
      </c>
      <c r="L406" s="426">
        <v>184.78053755929901</v>
      </c>
      <c r="M406" s="426">
        <v>185.94917984179901</v>
      </c>
      <c r="N406" s="426">
        <v>187.11782212429901</v>
      </c>
      <c r="O406" s="426">
        <v>188.28646440679901</v>
      </c>
      <c r="P406" s="426">
        <v>189.45510668929899</v>
      </c>
      <c r="Q406" s="426">
        <v>190.62374897179899</v>
      </c>
      <c r="R406" s="426">
        <v>191.79239125429999</v>
      </c>
      <c r="S406" s="426">
        <v>192.96103353679999</v>
      </c>
      <c r="T406" s="426">
        <v>194.12967581929999</v>
      </c>
      <c r="V406" s="426">
        <f t="shared" si="42"/>
        <v>187.11782212429924</v>
      </c>
    </row>
    <row r="407" spans="1:22">
      <c r="A407" s="426" t="str">
        <f t="shared" si="38"/>
        <v>KU</v>
      </c>
      <c r="B407" s="426" t="str">
        <f t="shared" si="39"/>
        <v>KY</v>
      </c>
      <c r="C407" s="426" t="str">
        <f t="shared" si="40"/>
        <v>E</v>
      </c>
      <c r="D407" s="426" t="s">
        <v>2659</v>
      </c>
      <c r="E407" s="426" t="str">
        <f t="shared" si="43"/>
        <v>362</v>
      </c>
      <c r="F407" s="741" t="s">
        <v>1779</v>
      </c>
      <c r="G407" s="425" t="str">
        <f t="shared" si="41"/>
        <v/>
      </c>
      <c r="H407" s="426">
        <v>54846.814480907902</v>
      </c>
      <c r="I407" s="426">
        <v>55014.2253508719</v>
      </c>
      <c r="J407" s="426">
        <v>55126.830654300902</v>
      </c>
      <c r="K407" s="426">
        <v>55429.064594147902</v>
      </c>
      <c r="L407" s="426">
        <v>55609.476837077898</v>
      </c>
      <c r="M407" s="426">
        <v>55842.7366263769</v>
      </c>
      <c r="N407" s="426">
        <v>55755.7132258739</v>
      </c>
      <c r="O407" s="426">
        <v>56150.322163833902</v>
      </c>
      <c r="P407" s="426">
        <v>56489.601873131898</v>
      </c>
      <c r="Q407" s="426">
        <v>56835.296679393898</v>
      </c>
      <c r="R407" s="426">
        <v>57161.308790125899</v>
      </c>
      <c r="S407" s="426">
        <v>57433.084488546898</v>
      </c>
      <c r="T407" s="426">
        <v>57698.594246804903</v>
      </c>
      <c r="V407" s="426">
        <f t="shared" si="42"/>
        <v>56107.159231645746</v>
      </c>
    </row>
    <row r="408" spans="1:22">
      <c r="A408" s="426" t="str">
        <f t="shared" si="38"/>
        <v>KU</v>
      </c>
      <c r="B408" s="426" t="str">
        <f t="shared" si="39"/>
        <v>TN</v>
      </c>
      <c r="C408" s="426" t="str">
        <f t="shared" si="40"/>
        <v>E</v>
      </c>
      <c r="D408" s="426" t="s">
        <v>2659</v>
      </c>
      <c r="E408" s="426" t="str">
        <f t="shared" si="43"/>
        <v>362</v>
      </c>
      <c r="F408" s="741" t="s">
        <v>1780</v>
      </c>
      <c r="G408" s="425" t="str">
        <f t="shared" si="41"/>
        <v/>
      </c>
      <c r="H408" s="426">
        <v>38.190674459999997</v>
      </c>
      <c r="I408" s="426">
        <v>38.277583905999997</v>
      </c>
      <c r="J408" s="426">
        <v>38.364493351999997</v>
      </c>
      <c r="K408" s="426">
        <v>38.451402797999997</v>
      </c>
      <c r="L408" s="426">
        <v>38.538312243999997</v>
      </c>
      <c r="M408" s="426">
        <v>38.625221689999996</v>
      </c>
      <c r="N408" s="426">
        <v>38.712131135999996</v>
      </c>
      <c r="O408" s="426">
        <v>38.799040582000003</v>
      </c>
      <c r="P408" s="426">
        <v>38.885950028000003</v>
      </c>
      <c r="Q408" s="426">
        <v>38.972859474000003</v>
      </c>
      <c r="R408" s="426">
        <v>39.059768920000003</v>
      </c>
      <c r="S408" s="426">
        <v>39.146678366000003</v>
      </c>
      <c r="T408" s="426">
        <v>39.233587812000003</v>
      </c>
      <c r="V408" s="426">
        <f t="shared" ref="V408" si="44">SUM(H408:T408)/13</f>
        <v>38.712131136000004</v>
      </c>
    </row>
    <row r="409" spans="1:22">
      <c r="A409" s="426" t="str">
        <f t="shared" si="38"/>
        <v>KU</v>
      </c>
      <c r="B409" s="426" t="str">
        <f t="shared" si="39"/>
        <v>VA</v>
      </c>
      <c r="C409" s="426" t="str">
        <f t="shared" si="40"/>
        <v>E</v>
      </c>
      <c r="D409" s="426" t="s">
        <v>2659</v>
      </c>
      <c r="E409" s="426" t="str">
        <f t="shared" si="43"/>
        <v>362</v>
      </c>
      <c r="F409" s="741" t="s">
        <v>1781</v>
      </c>
      <c r="G409" s="425" t="str">
        <f t="shared" si="41"/>
        <v/>
      </c>
      <c r="H409" s="426">
        <v>3470.1255378974902</v>
      </c>
      <c r="I409" s="426">
        <v>3482.10982791899</v>
      </c>
      <c r="J409" s="426">
        <v>3494.0941179404899</v>
      </c>
      <c r="K409" s="426">
        <v>3506.0784079619898</v>
      </c>
      <c r="L409" s="426">
        <v>3518.0626979834901</v>
      </c>
      <c r="M409" s="426">
        <v>3530.04698800499</v>
      </c>
      <c r="N409" s="426">
        <v>3542.0312780264899</v>
      </c>
      <c r="O409" s="426">
        <v>3554.0155680479902</v>
      </c>
      <c r="P409" s="426">
        <v>3565.9998580694901</v>
      </c>
      <c r="Q409" s="426">
        <v>3577.9841480909899</v>
      </c>
      <c r="R409" s="426">
        <v>3589.9684381124898</v>
      </c>
      <c r="S409" s="426">
        <v>3601.9527281339901</v>
      </c>
      <c r="T409" s="426">
        <v>3613.93701815549</v>
      </c>
      <c r="V409" s="426">
        <f t="shared" si="42"/>
        <v>3542.0312780264899</v>
      </c>
    </row>
    <row r="410" spans="1:22">
      <c r="A410" s="426" t="str">
        <f t="shared" si="38"/>
        <v>KU</v>
      </c>
      <c r="B410" s="426" t="str">
        <f t="shared" si="39"/>
        <v>KY</v>
      </c>
      <c r="C410" s="426" t="str">
        <f t="shared" si="40"/>
        <v>E</v>
      </c>
      <c r="D410" s="426" t="s">
        <v>2659</v>
      </c>
      <c r="E410" s="426" t="str">
        <f t="shared" si="43"/>
        <v>364</v>
      </c>
      <c r="F410" s="741" t="s">
        <v>2196</v>
      </c>
      <c r="H410" s="426">
        <v>6.27698482007</v>
      </c>
      <c r="I410" s="426">
        <v>2.6645352591003702E-15</v>
      </c>
      <c r="J410" s="426">
        <v>2.6645352591003702E-15</v>
      </c>
      <c r="K410" s="426">
        <v>2.6645352591003702E-15</v>
      </c>
      <c r="L410" s="426">
        <v>2.6645352591003702E-15</v>
      </c>
      <c r="M410" s="426">
        <v>2.6645352591003702E-15</v>
      </c>
      <c r="N410" s="426">
        <v>2.6645352591003702E-15</v>
      </c>
      <c r="O410" s="426">
        <v>2.6645352591003702E-15</v>
      </c>
      <c r="P410" s="426">
        <v>2.6645352591003702E-15</v>
      </c>
      <c r="Q410" s="426">
        <v>2.6645352591003702E-15</v>
      </c>
      <c r="R410" s="426">
        <v>2.6645352591003702E-15</v>
      </c>
      <c r="S410" s="426">
        <v>2.6645352591003702E-15</v>
      </c>
      <c r="T410" s="426">
        <v>2.6645352591003702E-15</v>
      </c>
      <c r="V410" s="426">
        <f t="shared" si="42"/>
        <v>0.48284498615923321</v>
      </c>
    </row>
    <row r="411" spans="1:22">
      <c r="A411" s="426" t="str">
        <f t="shared" si="38"/>
        <v>KU</v>
      </c>
      <c r="B411" s="426" t="str">
        <f t="shared" si="39"/>
        <v>KY</v>
      </c>
      <c r="C411" s="426" t="str">
        <f t="shared" si="40"/>
        <v>E</v>
      </c>
      <c r="D411" s="426" t="s">
        <v>2659</v>
      </c>
      <c r="E411" s="426" t="str">
        <f t="shared" si="43"/>
        <v>364</v>
      </c>
      <c r="F411" s="741" t="s">
        <v>1782</v>
      </c>
      <c r="G411" s="425" t="str">
        <f t="shared" si="41"/>
        <v/>
      </c>
      <c r="H411" s="426">
        <v>167738.48852548999</v>
      </c>
      <c r="I411" s="426">
        <v>167871.32601615001</v>
      </c>
      <c r="J411" s="426">
        <v>167938.00653128</v>
      </c>
      <c r="K411" s="426">
        <v>168214.40894892</v>
      </c>
      <c r="L411" s="426">
        <v>168411.59082914999</v>
      </c>
      <c r="M411" s="426">
        <v>168600.31587024001</v>
      </c>
      <c r="N411" s="426">
        <v>168765.76307921001</v>
      </c>
      <c r="O411" s="426">
        <v>169064.38344435001</v>
      </c>
      <c r="P411" s="426">
        <v>169301.26813333001</v>
      </c>
      <c r="Q411" s="426">
        <v>169546.21568118999</v>
      </c>
      <c r="R411" s="426">
        <v>169776.70280820999</v>
      </c>
      <c r="S411" s="426">
        <v>169937.18142840001</v>
      </c>
      <c r="T411" s="426">
        <v>170177.08950857999</v>
      </c>
      <c r="V411" s="426">
        <f t="shared" si="42"/>
        <v>168872.51852342306</v>
      </c>
    </row>
    <row r="412" spans="1:22">
      <c r="A412" s="426" t="str">
        <f t="shared" si="38"/>
        <v>KU</v>
      </c>
      <c r="B412" s="426" t="str">
        <f t="shared" si="39"/>
        <v>TN</v>
      </c>
      <c r="C412" s="426" t="str">
        <f t="shared" si="40"/>
        <v>E</v>
      </c>
      <c r="D412" s="426" t="s">
        <v>2659</v>
      </c>
      <c r="E412" s="426" t="str">
        <f t="shared" si="43"/>
        <v>364</v>
      </c>
      <c r="F412" s="741" t="s">
        <v>1783</v>
      </c>
      <c r="G412" s="425" t="str">
        <f t="shared" si="41"/>
        <v/>
      </c>
      <c r="H412" s="426">
        <v>-13.045351240039899</v>
      </c>
      <c r="I412" s="426">
        <v>-13.0246103640439</v>
      </c>
      <c r="J412" s="426">
        <v>-13.003869488047901</v>
      </c>
      <c r="K412" s="426">
        <v>-12.9831286120519</v>
      </c>
      <c r="L412" s="426">
        <v>-12.9623877360559</v>
      </c>
      <c r="M412" s="426">
        <v>-12.941646860059899</v>
      </c>
      <c r="N412" s="426">
        <v>-12.9209059840639</v>
      </c>
      <c r="O412" s="426">
        <v>-12.900165108067901</v>
      </c>
      <c r="P412" s="426">
        <v>-12.8794242320719</v>
      </c>
      <c r="Q412" s="426">
        <v>-12.8586833560759</v>
      </c>
      <c r="R412" s="426">
        <v>-12.837942480079899</v>
      </c>
      <c r="S412" s="426">
        <v>-12.8172016040839</v>
      </c>
      <c r="T412" s="426">
        <v>-12.796460728087901</v>
      </c>
      <c r="V412" s="426">
        <f t="shared" si="42"/>
        <v>-12.9209059840639</v>
      </c>
    </row>
    <row r="413" spans="1:22">
      <c r="A413" s="426" t="str">
        <f t="shared" si="38"/>
        <v>KU</v>
      </c>
      <c r="B413" s="426" t="str">
        <f t="shared" si="39"/>
        <v>VA</v>
      </c>
      <c r="C413" s="426" t="str">
        <f t="shared" si="40"/>
        <v>E</v>
      </c>
      <c r="D413" s="426" t="s">
        <v>2659</v>
      </c>
      <c r="E413" s="426" t="str">
        <f t="shared" si="43"/>
        <v>364</v>
      </c>
      <c r="F413" s="741" t="s">
        <v>1784</v>
      </c>
      <c r="G413" s="425" t="str">
        <f t="shared" si="41"/>
        <v/>
      </c>
      <c r="H413" s="426">
        <v>13953.042937663</v>
      </c>
      <c r="I413" s="426">
        <v>13993.940744105001</v>
      </c>
      <c r="J413" s="426">
        <v>14034.874919215001</v>
      </c>
      <c r="K413" s="426">
        <v>14075.846611065001</v>
      </c>
      <c r="L413" s="426">
        <v>14115.728781364</v>
      </c>
      <c r="M413" s="426">
        <v>14156.772730901999</v>
      </c>
      <c r="N413" s="426">
        <v>14196.729352763001</v>
      </c>
      <c r="O413" s="426">
        <v>14237.845620402</v>
      </c>
      <c r="P413" s="426">
        <v>14278.994215534</v>
      </c>
      <c r="Q413" s="426">
        <v>14320.180043728</v>
      </c>
      <c r="R413" s="426">
        <v>14361.401957048</v>
      </c>
      <c r="S413" s="426">
        <v>14401.532936309</v>
      </c>
      <c r="T413" s="426">
        <v>14442.829697953999</v>
      </c>
      <c r="V413" s="426">
        <f t="shared" si="42"/>
        <v>14197.670811388614</v>
      </c>
    </row>
    <row r="414" spans="1:22">
      <c r="A414" s="426" t="str">
        <f t="shared" si="38"/>
        <v>KU</v>
      </c>
      <c r="B414" s="426" t="str">
        <f t="shared" si="39"/>
        <v>KY</v>
      </c>
      <c r="C414" s="426" t="str">
        <f t="shared" si="40"/>
        <v>E</v>
      </c>
      <c r="D414" s="426" t="s">
        <v>2659</v>
      </c>
      <c r="E414" s="426" t="str">
        <f t="shared" si="43"/>
        <v>365</v>
      </c>
      <c r="F414" s="741" t="s">
        <v>2197</v>
      </c>
      <c r="H414" s="426">
        <v>6.0166800999999897</v>
      </c>
      <c r="I414" s="426">
        <v>5.3290705182007498E-15</v>
      </c>
      <c r="J414" s="426">
        <v>5.3290705182007498E-15</v>
      </c>
      <c r="K414" s="426">
        <v>5.3290705182007498E-15</v>
      </c>
      <c r="L414" s="426">
        <v>5.3290705182007498E-15</v>
      </c>
      <c r="M414" s="426">
        <v>5.3290705182007498E-15</v>
      </c>
      <c r="N414" s="426">
        <v>5.3290705182007498E-15</v>
      </c>
      <c r="O414" s="426">
        <v>5.3290705182007498E-15</v>
      </c>
      <c r="P414" s="426">
        <v>5.3290705182007498E-15</v>
      </c>
      <c r="Q414" s="426">
        <v>5.3290705182007498E-15</v>
      </c>
      <c r="R414" s="426">
        <v>5.3290705182007498E-15</v>
      </c>
      <c r="S414" s="426">
        <v>5.3290705182007498E-15</v>
      </c>
      <c r="T414" s="426">
        <v>5.3290705182007498E-15</v>
      </c>
      <c r="V414" s="426">
        <f t="shared" si="42"/>
        <v>0.46282154615385029</v>
      </c>
    </row>
    <row r="415" spans="1:22">
      <c r="A415" s="426" t="str">
        <f t="shared" si="38"/>
        <v>KU</v>
      </c>
      <c r="B415" s="426" t="str">
        <f t="shared" si="39"/>
        <v>KY</v>
      </c>
      <c r="C415" s="426" t="str">
        <f t="shared" si="40"/>
        <v>E</v>
      </c>
      <c r="D415" s="426" t="s">
        <v>2659</v>
      </c>
      <c r="E415" s="426" t="str">
        <f t="shared" si="43"/>
        <v>365</v>
      </c>
      <c r="F415" s="741" t="s">
        <v>1785</v>
      </c>
      <c r="G415" s="425" t="str">
        <f t="shared" si="41"/>
        <v/>
      </c>
      <c r="H415" s="426">
        <v>92567.906689229902</v>
      </c>
      <c r="I415" s="426">
        <v>91895.443354249903</v>
      </c>
      <c r="J415" s="426">
        <v>90930.279447729903</v>
      </c>
      <c r="K415" s="426">
        <v>90988.887869009995</v>
      </c>
      <c r="L415" s="426">
        <v>90676.665620519998</v>
      </c>
      <c r="M415" s="426">
        <v>90284.652199360004</v>
      </c>
      <c r="N415" s="426">
        <v>89683.891608060003</v>
      </c>
      <c r="O415" s="426">
        <v>90083.566456750006</v>
      </c>
      <c r="P415" s="426">
        <v>90156.45213659</v>
      </c>
      <c r="Q415" s="426">
        <v>90213.25069827</v>
      </c>
      <c r="R415" s="426">
        <v>90227.856793009996</v>
      </c>
      <c r="S415" s="426">
        <v>89898.824883499998</v>
      </c>
      <c r="T415" s="426">
        <v>89952.902168949993</v>
      </c>
      <c r="V415" s="426">
        <f t="shared" si="42"/>
        <v>90581.583071171524</v>
      </c>
    </row>
    <row r="416" spans="1:22">
      <c r="A416" s="426" t="str">
        <f t="shared" ref="A416:A482" si="45">MID($F416,4,2)</f>
        <v>KU</v>
      </c>
      <c r="B416" s="426" t="str">
        <f t="shared" si="39"/>
        <v>TN</v>
      </c>
      <c r="C416" s="426" t="str">
        <f t="shared" si="40"/>
        <v>E</v>
      </c>
      <c r="D416" s="426" t="s">
        <v>2659</v>
      </c>
      <c r="E416" s="426" t="str">
        <f t="shared" si="43"/>
        <v>365</v>
      </c>
      <c r="F416" s="741" t="s">
        <v>1786</v>
      </c>
      <c r="G416" s="425" t="str">
        <f t="shared" si="41"/>
        <v/>
      </c>
      <c r="H416" s="426">
        <v>-4.74489597</v>
      </c>
      <c r="I416" s="426">
        <v>-4.7226135669999998</v>
      </c>
      <c r="J416" s="426">
        <v>-4.7003311639999996</v>
      </c>
      <c r="K416" s="426">
        <v>-4.6780487610000101</v>
      </c>
      <c r="L416" s="426">
        <v>-4.6557663580000099</v>
      </c>
      <c r="M416" s="426">
        <v>-4.6334839550000098</v>
      </c>
      <c r="N416" s="426">
        <v>-4.6112015520000096</v>
      </c>
      <c r="O416" s="426">
        <v>-4.5889191490000103</v>
      </c>
      <c r="P416" s="426">
        <v>-4.5666367460000101</v>
      </c>
      <c r="Q416" s="426">
        <v>-4.54435434300001</v>
      </c>
      <c r="R416" s="426">
        <v>-4.5220719400000098</v>
      </c>
      <c r="S416" s="426">
        <v>-4.4997895370000096</v>
      </c>
      <c r="T416" s="426">
        <v>-4.4775071340000103</v>
      </c>
      <c r="V416" s="426">
        <f t="shared" si="42"/>
        <v>-4.6112015520000078</v>
      </c>
    </row>
    <row r="417" spans="1:22">
      <c r="A417" s="426" t="str">
        <f t="shared" si="45"/>
        <v>KU</v>
      </c>
      <c r="B417" s="426" t="str">
        <f t="shared" si="39"/>
        <v>VA</v>
      </c>
      <c r="C417" s="426" t="str">
        <f t="shared" si="40"/>
        <v>E</v>
      </c>
      <c r="D417" s="426" t="s">
        <v>2659</v>
      </c>
      <c r="E417" s="426" t="str">
        <f t="shared" si="43"/>
        <v>365</v>
      </c>
      <c r="F417" s="741" t="s">
        <v>1787</v>
      </c>
      <c r="G417" s="425" t="str">
        <f t="shared" si="41"/>
        <v/>
      </c>
      <c r="H417" s="426">
        <v>8954.46561501</v>
      </c>
      <c r="I417" s="426">
        <v>8987.2727420029896</v>
      </c>
      <c r="J417" s="426">
        <v>9018.9063826649908</v>
      </c>
      <c r="K417" s="426">
        <v>9050.1787413959992</v>
      </c>
      <c r="L417" s="426">
        <v>9084.9205525149991</v>
      </c>
      <c r="M417" s="426">
        <v>9121.119762028</v>
      </c>
      <c r="N417" s="426">
        <v>8766.0702457019997</v>
      </c>
      <c r="O417" s="426">
        <v>8808.4599599569992</v>
      </c>
      <c r="P417" s="426">
        <v>8842.1627196999998</v>
      </c>
      <c r="Q417" s="426">
        <v>8871.3619738990001</v>
      </c>
      <c r="R417" s="426">
        <v>8914.1909835079896</v>
      </c>
      <c r="S417" s="426">
        <v>8950.1879561469996</v>
      </c>
      <c r="T417" s="426">
        <v>8984.4996305519999</v>
      </c>
      <c r="V417" s="426">
        <f t="shared" si="42"/>
        <v>8950.2920973139971</v>
      </c>
    </row>
    <row r="418" spans="1:22">
      <c r="A418" s="426" t="str">
        <f t="shared" si="45"/>
        <v>KU</v>
      </c>
      <c r="B418" s="426" t="str">
        <f t="shared" si="39"/>
        <v>KY</v>
      </c>
      <c r="C418" s="426" t="str">
        <f t="shared" si="40"/>
        <v>E</v>
      </c>
      <c r="D418" s="426" t="s">
        <v>2659</v>
      </c>
      <c r="E418" s="426" t="str">
        <f t="shared" si="43"/>
        <v>366</v>
      </c>
      <c r="F418" s="741" t="s">
        <v>2198</v>
      </c>
      <c r="H418" s="426">
        <v>30.842262127000001</v>
      </c>
      <c r="I418" s="426">
        <v>3.5527136788005001E-15</v>
      </c>
      <c r="J418" s="426">
        <v>3.5527136788005001E-15</v>
      </c>
      <c r="K418" s="426">
        <v>3.5527136788005001E-15</v>
      </c>
      <c r="L418" s="426">
        <v>3.5527136788005001E-15</v>
      </c>
      <c r="M418" s="426">
        <v>3.5527136788005001E-15</v>
      </c>
      <c r="N418" s="426">
        <v>3.5527136788005001E-15</v>
      </c>
      <c r="O418" s="426">
        <v>3.5527136788005001E-15</v>
      </c>
      <c r="P418" s="426">
        <v>3.5527136788005001E-15</v>
      </c>
      <c r="Q418" s="426">
        <v>3.5527136788005001E-15</v>
      </c>
      <c r="R418" s="426">
        <v>3.5527136788005001E-15</v>
      </c>
      <c r="S418" s="426">
        <v>3.5527136788005001E-15</v>
      </c>
      <c r="T418" s="426">
        <v>3.5527136788005001E-15</v>
      </c>
      <c r="V418" s="426">
        <f t="shared" si="42"/>
        <v>2.3724817020769264</v>
      </c>
    </row>
    <row r="419" spans="1:22">
      <c r="A419" s="426" t="str">
        <f t="shared" si="45"/>
        <v>KU</v>
      </c>
      <c r="B419" s="426" t="str">
        <f t="shared" si="39"/>
        <v>KY</v>
      </c>
      <c r="C419" s="426" t="str">
        <f t="shared" si="40"/>
        <v>E</v>
      </c>
      <c r="D419" s="426" t="s">
        <v>2659</v>
      </c>
      <c r="E419" s="426" t="str">
        <f t="shared" si="43"/>
        <v>366</v>
      </c>
      <c r="F419" s="741" t="s">
        <v>1788</v>
      </c>
      <c r="G419" s="425" t="str">
        <f t="shared" si="41"/>
        <v/>
      </c>
      <c r="H419" s="426">
        <v>1116.7878052599899</v>
      </c>
      <c r="I419" s="426">
        <v>1152.51008012599</v>
      </c>
      <c r="J419" s="426">
        <v>1157.39009286499</v>
      </c>
      <c r="K419" s="426">
        <v>1162.27010560399</v>
      </c>
      <c r="L419" s="426">
        <v>1167.15011834299</v>
      </c>
      <c r="M419" s="426">
        <v>1172.03013108199</v>
      </c>
      <c r="N419" s="426">
        <v>1176.91014382099</v>
      </c>
      <c r="O419" s="426">
        <v>1181.79015655999</v>
      </c>
      <c r="P419" s="426">
        <v>1186.67016929899</v>
      </c>
      <c r="Q419" s="426">
        <v>1191.55018203799</v>
      </c>
      <c r="R419" s="426">
        <v>1196.43019477699</v>
      </c>
      <c r="S419" s="426">
        <v>1201.31020751599</v>
      </c>
      <c r="T419" s="426">
        <v>1206.19022025499</v>
      </c>
      <c r="V419" s="426">
        <f t="shared" si="42"/>
        <v>1174.537662118913</v>
      </c>
    </row>
    <row r="420" spans="1:22">
      <c r="A420" s="426" t="str">
        <f t="shared" si="45"/>
        <v>KU</v>
      </c>
      <c r="B420" s="426" t="str">
        <f t="shared" si="39"/>
        <v>KY</v>
      </c>
      <c r="C420" s="426" t="str">
        <f t="shared" si="40"/>
        <v>E</v>
      </c>
      <c r="D420" s="426" t="s">
        <v>2659</v>
      </c>
      <c r="E420" s="426" t="str">
        <f t="shared" si="43"/>
        <v>367</v>
      </c>
      <c r="F420" s="741" t="s">
        <v>2199</v>
      </c>
      <c r="H420" s="426">
        <v>187.07788561499899</v>
      </c>
      <c r="I420" s="426">
        <v>9.0949470177292804E-13</v>
      </c>
      <c r="J420" s="426">
        <v>9.0949470177292804E-13</v>
      </c>
      <c r="K420" s="426">
        <v>9.0949470177292804E-13</v>
      </c>
      <c r="L420" s="426">
        <v>9.0949470177292804E-13</v>
      </c>
      <c r="M420" s="426">
        <v>9.0949470177292804E-13</v>
      </c>
      <c r="N420" s="426">
        <v>9.0949470177292804E-13</v>
      </c>
      <c r="O420" s="426">
        <v>9.0949470177292804E-13</v>
      </c>
      <c r="P420" s="426">
        <v>9.0949470177292804E-13</v>
      </c>
      <c r="Q420" s="426">
        <v>9.0949470177292804E-13</v>
      </c>
      <c r="R420" s="426">
        <v>9.0949470177292804E-13</v>
      </c>
      <c r="S420" s="426">
        <v>9.0949470177292804E-13</v>
      </c>
      <c r="T420" s="426">
        <v>9.0949470177292804E-13</v>
      </c>
      <c r="V420" s="426">
        <f t="shared" si="42"/>
        <v>14.390606585769993</v>
      </c>
    </row>
    <row r="421" spans="1:22">
      <c r="A421" s="426" t="str">
        <f t="shared" si="45"/>
        <v>KU</v>
      </c>
      <c r="B421" s="426" t="str">
        <f t="shared" si="39"/>
        <v>KY</v>
      </c>
      <c r="C421" s="426" t="str">
        <f t="shared" si="40"/>
        <v>E</v>
      </c>
      <c r="D421" s="426" t="s">
        <v>2659</v>
      </c>
      <c r="E421" s="426" t="str">
        <f t="shared" si="43"/>
        <v>367</v>
      </c>
      <c r="F421" s="741" t="s">
        <v>1789</v>
      </c>
      <c r="G421" s="425" t="str">
        <f t="shared" si="41"/>
        <v/>
      </c>
      <c r="H421" s="426">
        <v>57901.998547839998</v>
      </c>
      <c r="I421" s="426">
        <v>58376.243903415001</v>
      </c>
      <c r="J421" s="426">
        <v>58651.924442435004</v>
      </c>
      <c r="K421" s="426">
        <v>58939.093291775003</v>
      </c>
      <c r="L421" s="426">
        <v>59236.787222264997</v>
      </c>
      <c r="M421" s="426">
        <v>59543.824743935002</v>
      </c>
      <c r="N421" s="426">
        <v>59839.623370925001</v>
      </c>
      <c r="O421" s="426">
        <v>60127.484418455002</v>
      </c>
      <c r="P421" s="426">
        <v>60421.129909814998</v>
      </c>
      <c r="Q421" s="426">
        <v>60694.814771564997</v>
      </c>
      <c r="R421" s="426">
        <v>60990.787084944997</v>
      </c>
      <c r="S421" s="426">
        <v>61285.310614175003</v>
      </c>
      <c r="T421" s="426">
        <v>61576.232315715002</v>
      </c>
      <c r="V421" s="426">
        <f t="shared" si="42"/>
        <v>59814.250356712328</v>
      </c>
    </row>
    <row r="422" spans="1:22">
      <c r="A422" s="426" t="str">
        <f t="shared" si="45"/>
        <v>KU</v>
      </c>
      <c r="B422" s="426" t="str">
        <f t="shared" si="39"/>
        <v>VA</v>
      </c>
      <c r="C422" s="426" t="str">
        <f t="shared" si="40"/>
        <v>E</v>
      </c>
      <c r="D422" s="426" t="s">
        <v>2659</v>
      </c>
      <c r="E422" s="426" t="str">
        <f t="shared" si="43"/>
        <v>367</v>
      </c>
      <c r="F422" s="741" t="s">
        <v>1790</v>
      </c>
      <c r="G422" s="425" t="str">
        <f t="shared" si="41"/>
        <v/>
      </c>
      <c r="H422" s="426">
        <v>907.89071710869905</v>
      </c>
      <c r="I422" s="426">
        <v>912.27082409619902</v>
      </c>
      <c r="J422" s="426">
        <v>912.061567099699</v>
      </c>
      <c r="K422" s="426">
        <v>916.55769815119902</v>
      </c>
      <c r="L422" s="426">
        <v>923.42954552999902</v>
      </c>
      <c r="M422" s="426">
        <v>930.35345870799904</v>
      </c>
      <c r="N422" s="426">
        <v>935.00135290349897</v>
      </c>
      <c r="O422" s="426">
        <v>942.02385383679905</v>
      </c>
      <c r="P422" s="426">
        <v>949.104046358799</v>
      </c>
      <c r="Q422" s="426">
        <v>946.93656155429903</v>
      </c>
      <c r="R422" s="426">
        <v>954.13386188579898</v>
      </c>
      <c r="S422" s="426">
        <v>959.05780551579903</v>
      </c>
      <c r="T422" s="426">
        <v>965.24238003379901</v>
      </c>
      <c r="V422" s="426">
        <f t="shared" si="42"/>
        <v>934.92797482942979</v>
      </c>
    </row>
    <row r="423" spans="1:22">
      <c r="A423" s="426" t="str">
        <f t="shared" si="45"/>
        <v>KU</v>
      </c>
      <c r="B423" s="426" t="str">
        <f t="shared" si="39"/>
        <v>KY</v>
      </c>
      <c r="C423" s="426" t="str">
        <f t="shared" si="40"/>
        <v>E</v>
      </c>
      <c r="D423" s="426" t="s">
        <v>2659</v>
      </c>
      <c r="E423" s="426" t="str">
        <f t="shared" si="43"/>
        <v>368</v>
      </c>
      <c r="F423" s="741" t="s">
        <v>1791</v>
      </c>
      <c r="G423" s="425" t="str">
        <f t="shared" si="41"/>
        <v/>
      </c>
      <c r="H423" s="426">
        <v>151779.57649534001</v>
      </c>
      <c r="I423" s="426">
        <v>151820.58934414899</v>
      </c>
      <c r="J423" s="426">
        <v>151745.31916226901</v>
      </c>
      <c r="K423" s="426">
        <v>152070.423065979</v>
      </c>
      <c r="L423" s="426">
        <v>152239.66533549901</v>
      </c>
      <c r="M423" s="426">
        <v>152390.39650198899</v>
      </c>
      <c r="N423" s="426">
        <v>152493.63629862</v>
      </c>
      <c r="O423" s="426">
        <v>152946.20813751</v>
      </c>
      <c r="P423" s="426">
        <v>153272.13956956999</v>
      </c>
      <c r="Q423" s="426">
        <v>153609.22386822899</v>
      </c>
      <c r="R423" s="426">
        <v>153919.81900279899</v>
      </c>
      <c r="S423" s="426">
        <v>154095.324513239</v>
      </c>
      <c r="T423" s="426">
        <v>154426.34172621899</v>
      </c>
      <c r="V423" s="426">
        <f t="shared" si="42"/>
        <v>152831.43561703165</v>
      </c>
    </row>
    <row r="424" spans="1:22">
      <c r="A424" s="426" t="str">
        <f t="shared" si="45"/>
        <v>KU</v>
      </c>
      <c r="B424" s="426" t="str">
        <f t="shared" si="39"/>
        <v>TN</v>
      </c>
      <c r="C424" s="426" t="str">
        <f t="shared" si="40"/>
        <v>E</v>
      </c>
      <c r="D424" s="426" t="s">
        <v>2659</v>
      </c>
      <c r="E424" s="426" t="str">
        <f t="shared" si="43"/>
        <v>368</v>
      </c>
      <c r="F424" s="741" t="s">
        <v>1792</v>
      </c>
      <c r="G424" s="425" t="str">
        <f t="shared" si="41"/>
        <v/>
      </c>
      <c r="H424" s="426">
        <v>6.3000000000000003E-4</v>
      </c>
      <c r="I424" s="426">
        <v>6.3000000000000003E-4</v>
      </c>
      <c r="J424" s="426">
        <v>6.3000000000000003E-4</v>
      </c>
      <c r="K424" s="426">
        <v>6.3000000000000003E-4</v>
      </c>
      <c r="L424" s="426">
        <v>6.3000000000000003E-4</v>
      </c>
      <c r="M424" s="426">
        <v>6.3000000000000003E-4</v>
      </c>
      <c r="N424" s="426">
        <v>6.3000000000000003E-4</v>
      </c>
      <c r="O424" s="426">
        <v>6.3000000000000003E-4</v>
      </c>
      <c r="P424" s="426">
        <v>6.3000000000000003E-4</v>
      </c>
      <c r="Q424" s="426">
        <v>6.3000000000000003E-4</v>
      </c>
      <c r="R424" s="426">
        <v>6.3000000000000003E-4</v>
      </c>
      <c r="S424" s="426">
        <v>6.3000000000000003E-4</v>
      </c>
      <c r="T424" s="426">
        <v>6.3000000000000003E-4</v>
      </c>
      <c r="V424" s="426">
        <f t="shared" si="42"/>
        <v>6.3000000000000013E-4</v>
      </c>
    </row>
    <row r="425" spans="1:22">
      <c r="A425" s="426" t="str">
        <f t="shared" si="45"/>
        <v>KU</v>
      </c>
      <c r="B425" s="426" t="str">
        <f t="shared" si="39"/>
        <v>VA</v>
      </c>
      <c r="C425" s="426" t="str">
        <f t="shared" si="40"/>
        <v>E</v>
      </c>
      <c r="D425" s="426" t="s">
        <v>2659</v>
      </c>
      <c r="E425" s="426" t="str">
        <f t="shared" si="43"/>
        <v>368</v>
      </c>
      <c r="F425" s="741" t="s">
        <v>1793</v>
      </c>
      <c r="G425" s="425" t="str">
        <f t="shared" si="41"/>
        <v/>
      </c>
      <c r="H425" s="426">
        <v>5878.88242557989</v>
      </c>
      <c r="I425" s="426">
        <v>5893.0312395185902</v>
      </c>
      <c r="J425" s="426">
        <v>5907.1853769289</v>
      </c>
      <c r="K425" s="426">
        <v>5923.6693794131997</v>
      </c>
      <c r="L425" s="426">
        <v>5937.8376269616001</v>
      </c>
      <c r="M425" s="426">
        <v>5954.3357395840003</v>
      </c>
      <c r="N425" s="426">
        <v>5968.5180972705002</v>
      </c>
      <c r="O425" s="426">
        <v>5985.0259266977</v>
      </c>
      <c r="P425" s="426">
        <v>6001.5337561248998</v>
      </c>
      <c r="Q425" s="426">
        <v>6018.0415855520996</v>
      </c>
      <c r="R425" s="426">
        <v>6032.2251497833004</v>
      </c>
      <c r="S425" s="426">
        <v>6048.7427099764</v>
      </c>
      <c r="T425" s="426">
        <v>6062.9404061313999</v>
      </c>
      <c r="V425" s="426">
        <f t="shared" si="42"/>
        <v>5970.1514938094206</v>
      </c>
    </row>
    <row r="426" spans="1:22">
      <c r="A426" s="426" t="str">
        <f t="shared" si="45"/>
        <v>KU</v>
      </c>
      <c r="B426" s="426" t="str">
        <f t="shared" si="39"/>
        <v>KY</v>
      </c>
      <c r="C426" s="426" t="str">
        <f t="shared" si="40"/>
        <v>E</v>
      </c>
      <c r="D426" s="426" t="s">
        <v>2659</v>
      </c>
      <c r="E426" s="426" t="str">
        <f t="shared" si="43"/>
        <v>369</v>
      </c>
      <c r="F426" s="741" t="s">
        <v>1794</v>
      </c>
      <c r="G426" s="425" t="str">
        <f t="shared" si="41"/>
        <v/>
      </c>
      <c r="H426" s="426">
        <v>65171.486960699898</v>
      </c>
      <c r="I426" s="426">
        <v>65341.1746040699</v>
      </c>
      <c r="J426" s="426">
        <v>65510.896205739999</v>
      </c>
      <c r="K426" s="426">
        <v>65680.617807410003</v>
      </c>
      <c r="L426" s="426">
        <v>65850.339409079999</v>
      </c>
      <c r="M426" s="426">
        <v>66020.061010749996</v>
      </c>
      <c r="N426" s="426">
        <v>66189.782612419993</v>
      </c>
      <c r="O426" s="426">
        <v>66359.504214089902</v>
      </c>
      <c r="P426" s="426">
        <v>66529.225815759899</v>
      </c>
      <c r="Q426" s="426">
        <v>66698.947417429896</v>
      </c>
      <c r="R426" s="426">
        <v>66868.669019099907</v>
      </c>
      <c r="S426" s="426">
        <v>67038.390620769904</v>
      </c>
      <c r="T426" s="426">
        <v>67208.112222439901</v>
      </c>
      <c r="V426" s="426">
        <f t="shared" si="42"/>
        <v>66189.785224596868</v>
      </c>
    </row>
    <row r="427" spans="1:22">
      <c r="A427" s="426" t="str">
        <f t="shared" si="45"/>
        <v>KU</v>
      </c>
      <c r="B427" s="426" t="str">
        <f t="shared" si="39"/>
        <v>TN</v>
      </c>
      <c r="C427" s="426" t="str">
        <f t="shared" si="40"/>
        <v>E</v>
      </c>
      <c r="D427" s="426" t="s">
        <v>2659</v>
      </c>
      <c r="E427" s="426" t="str">
        <f t="shared" si="43"/>
        <v>369</v>
      </c>
      <c r="F427" s="741" t="s">
        <v>1795</v>
      </c>
      <c r="G427" s="425" t="str">
        <f t="shared" si="41"/>
        <v/>
      </c>
      <c r="H427" s="426">
        <v>0.65083000000000002</v>
      </c>
      <c r="I427" s="426">
        <v>0.65083000000000002</v>
      </c>
      <c r="J427" s="426">
        <v>0.65083000000000002</v>
      </c>
      <c r="K427" s="426">
        <v>0.65083000000000002</v>
      </c>
      <c r="L427" s="426">
        <v>0.65083000000000002</v>
      </c>
      <c r="M427" s="426">
        <v>0.65083000000000002</v>
      </c>
      <c r="N427" s="426">
        <v>0.65083000000000002</v>
      </c>
      <c r="O427" s="426">
        <v>0.65083000000000002</v>
      </c>
      <c r="P427" s="426">
        <v>0.65083000000000002</v>
      </c>
      <c r="Q427" s="426">
        <v>0.65083000000000002</v>
      </c>
      <c r="R427" s="426">
        <v>0.65083000000000002</v>
      </c>
      <c r="S427" s="426">
        <v>0.65083000000000002</v>
      </c>
      <c r="T427" s="426">
        <v>0.65083000000000002</v>
      </c>
      <c r="V427" s="426">
        <f t="shared" si="42"/>
        <v>0.65082999999999991</v>
      </c>
    </row>
    <row r="428" spans="1:22">
      <c r="A428" s="426" t="str">
        <f t="shared" si="45"/>
        <v>KU</v>
      </c>
      <c r="B428" s="426" t="str">
        <f t="shared" si="39"/>
        <v>VA</v>
      </c>
      <c r="C428" s="426" t="str">
        <f t="shared" si="40"/>
        <v>E</v>
      </c>
      <c r="D428" s="426" t="s">
        <v>2659</v>
      </c>
      <c r="E428" s="426" t="str">
        <f t="shared" si="43"/>
        <v>369</v>
      </c>
      <c r="F428" s="741" t="s">
        <v>1796</v>
      </c>
      <c r="G428" s="425" t="str">
        <f t="shared" si="41"/>
        <v/>
      </c>
      <c r="H428" s="426">
        <v>4564.6728379099904</v>
      </c>
      <c r="I428" s="426">
        <v>4573.2391307009902</v>
      </c>
      <c r="J428" s="426">
        <v>4581.80542349199</v>
      </c>
      <c r="K428" s="426">
        <v>4590.3717162829898</v>
      </c>
      <c r="L428" s="426">
        <v>4598.9380090739896</v>
      </c>
      <c r="M428" s="426">
        <v>4607.5043018649903</v>
      </c>
      <c r="N428" s="426">
        <v>4616.0705946559901</v>
      </c>
      <c r="O428" s="426">
        <v>4624.6368874469899</v>
      </c>
      <c r="P428" s="426">
        <v>4633.2031802379897</v>
      </c>
      <c r="Q428" s="426">
        <v>4641.7694730289904</v>
      </c>
      <c r="R428" s="426">
        <v>4650.3357658199902</v>
      </c>
      <c r="S428" s="426">
        <v>4658.90205861099</v>
      </c>
      <c r="T428" s="426">
        <v>4667.4683514019898</v>
      </c>
      <c r="V428" s="426">
        <f t="shared" si="42"/>
        <v>4616.0705946559901</v>
      </c>
    </row>
    <row r="429" spans="1:22">
      <c r="A429" s="426" t="str">
        <f t="shared" si="45"/>
        <v>KU</v>
      </c>
      <c r="B429" s="426" t="str">
        <f t="shared" ref="B429:B495" si="46">IF(MID($F429,12,2)="- ","KY",IF(MID($F429,12,2)="SY","KY",MID($F429,12,2)))</f>
        <v>KY</v>
      </c>
      <c r="C429" s="426" t="str">
        <f t="shared" si="40"/>
        <v>E</v>
      </c>
      <c r="D429" s="426" t="s">
        <v>2659</v>
      </c>
      <c r="E429" s="426" t="str">
        <f t="shared" si="43"/>
        <v>370</v>
      </c>
      <c r="F429" s="741" t="s">
        <v>1797</v>
      </c>
      <c r="G429" s="425" t="str">
        <f t="shared" si="41"/>
        <v/>
      </c>
      <c r="H429" s="426">
        <v>39562.197359220001</v>
      </c>
      <c r="I429" s="426">
        <v>39785.769958379999</v>
      </c>
      <c r="J429" s="426">
        <v>40009.54742694</v>
      </c>
      <c r="K429" s="426">
        <v>40233.460884599997</v>
      </c>
      <c r="L429" s="426">
        <v>40457.554880659998</v>
      </c>
      <c r="M429" s="426">
        <v>40681.806893419998</v>
      </c>
      <c r="N429" s="426">
        <v>40734.65089438</v>
      </c>
      <c r="O429" s="426">
        <v>40791.319659339999</v>
      </c>
      <c r="P429" s="426">
        <v>40878.1170308</v>
      </c>
      <c r="Q429" s="426">
        <v>41063.765657130003</v>
      </c>
      <c r="R429" s="426">
        <v>41113.691899789999</v>
      </c>
      <c r="S429" s="426">
        <v>41256.713400970002</v>
      </c>
      <c r="T429" s="426">
        <v>41400.878489399998</v>
      </c>
      <c r="V429" s="426">
        <f t="shared" si="42"/>
        <v>40613.036495002307</v>
      </c>
    </row>
    <row r="430" spans="1:22">
      <c r="A430" s="426" t="str">
        <f t="shared" si="45"/>
        <v>KU</v>
      </c>
      <c r="B430" s="426" t="str">
        <f t="shared" si="46"/>
        <v>KY</v>
      </c>
      <c r="C430" s="426" t="str">
        <f t="shared" si="40"/>
        <v>E</v>
      </c>
      <c r="D430" s="426" t="s">
        <v>2659</v>
      </c>
      <c r="E430" s="426" t="str">
        <f t="shared" si="43"/>
        <v>370</v>
      </c>
      <c r="F430" s="741" t="s">
        <v>2719</v>
      </c>
      <c r="G430" s="425" t="str">
        <f t="shared" si="41"/>
        <v/>
      </c>
      <c r="H430" s="426">
        <v>0.13485757083</v>
      </c>
      <c r="I430" s="426">
        <v>0.13925532791299999</v>
      </c>
      <c r="J430" s="426">
        <v>0.14365308499599999</v>
      </c>
      <c r="K430" s="426">
        <v>0.14805084207899999</v>
      </c>
      <c r="L430" s="426">
        <v>0.15244859916199999</v>
      </c>
      <c r="M430" s="426">
        <v>0.15684635624499901</v>
      </c>
      <c r="N430" s="426">
        <v>0.16124411332799901</v>
      </c>
      <c r="O430" s="426">
        <v>0.16564187041099901</v>
      </c>
      <c r="P430" s="426">
        <v>0.17003962749399901</v>
      </c>
      <c r="Q430" s="426">
        <v>0.17443738457699901</v>
      </c>
      <c r="R430" s="426">
        <v>0.178835141659999</v>
      </c>
      <c r="S430" s="426">
        <v>0.183232898742999</v>
      </c>
      <c r="T430" s="426">
        <v>0.187630655825999</v>
      </c>
      <c r="V430" s="426">
        <f t="shared" si="42"/>
        <v>0.16124411332799937</v>
      </c>
    </row>
    <row r="431" spans="1:22">
      <c r="A431" s="426" t="str">
        <f t="shared" si="45"/>
        <v>KU</v>
      </c>
      <c r="B431" s="426" t="str">
        <f t="shared" si="46"/>
        <v>KY</v>
      </c>
      <c r="C431" s="426" t="str">
        <f t="shared" si="40"/>
        <v>E</v>
      </c>
      <c r="D431" s="426" t="s">
        <v>2659</v>
      </c>
      <c r="E431" s="426" t="str">
        <f t="shared" si="43"/>
        <v>370</v>
      </c>
      <c r="F431" s="741" t="s">
        <v>2399</v>
      </c>
      <c r="G431" s="425" t="str">
        <f t="shared" si="41"/>
        <v>DSM</v>
      </c>
      <c r="H431" s="426">
        <v>638.30031219999898</v>
      </c>
      <c r="I431" s="426">
        <v>655.44403941999894</v>
      </c>
      <c r="J431" s="426">
        <v>672.58776663999902</v>
      </c>
      <c r="K431" s="426">
        <v>689.73149385999898</v>
      </c>
      <c r="L431" s="426">
        <v>706.87522107999905</v>
      </c>
      <c r="M431" s="426">
        <v>724.01894829999901</v>
      </c>
      <c r="N431" s="426">
        <v>741.16267551999897</v>
      </c>
      <c r="O431" s="426">
        <v>758.30640273999904</v>
      </c>
      <c r="P431" s="426">
        <v>775.450129959999</v>
      </c>
      <c r="Q431" s="426">
        <v>792.59385717999896</v>
      </c>
      <c r="R431" s="426">
        <v>809.73758439999904</v>
      </c>
      <c r="S431" s="426">
        <v>826.881311619999</v>
      </c>
      <c r="T431" s="426">
        <v>844.02503883999896</v>
      </c>
      <c r="V431" s="426">
        <f t="shared" si="42"/>
        <v>741.16267551999886</v>
      </c>
    </row>
    <row r="432" spans="1:22">
      <c r="A432" s="426" t="str">
        <f t="shared" si="45"/>
        <v>KU</v>
      </c>
      <c r="B432" s="426" t="str">
        <f t="shared" si="46"/>
        <v>TN</v>
      </c>
      <c r="C432" s="426" t="str">
        <f t="shared" si="40"/>
        <v>E</v>
      </c>
      <c r="D432" s="426" t="s">
        <v>2659</v>
      </c>
      <c r="E432" s="426" t="str">
        <f t="shared" si="43"/>
        <v>370</v>
      </c>
      <c r="F432" s="741" t="s">
        <v>1798</v>
      </c>
      <c r="G432" s="425" t="str">
        <f t="shared" si="41"/>
        <v/>
      </c>
      <c r="H432" s="426">
        <v>-7.63103</v>
      </c>
      <c r="I432" s="426">
        <v>-7.63103</v>
      </c>
      <c r="J432" s="426">
        <v>-7.63103</v>
      </c>
      <c r="K432" s="426">
        <v>-7.63103</v>
      </c>
      <c r="L432" s="426">
        <v>-7.63103</v>
      </c>
      <c r="M432" s="426">
        <v>-7.63103</v>
      </c>
      <c r="N432" s="426">
        <v>-7.63103</v>
      </c>
      <c r="O432" s="426">
        <v>-7.63103</v>
      </c>
      <c r="P432" s="426">
        <v>-7.63103</v>
      </c>
      <c r="Q432" s="426">
        <v>-7.63103</v>
      </c>
      <c r="R432" s="426">
        <v>-7.63103</v>
      </c>
      <c r="S432" s="426">
        <v>-7.63103</v>
      </c>
      <c r="T432" s="426">
        <v>-7.63103</v>
      </c>
      <c r="V432" s="426">
        <f t="shared" si="42"/>
        <v>-7.6310299999999991</v>
      </c>
    </row>
    <row r="433" spans="1:22">
      <c r="A433" s="426" t="str">
        <f t="shared" si="45"/>
        <v>KU</v>
      </c>
      <c r="B433" s="426" t="str">
        <f t="shared" si="46"/>
        <v>VA</v>
      </c>
      <c r="C433" s="426" t="str">
        <f t="shared" ref="C433:C499" si="47">IF(ISTEXT(MID($F433,SEARCH("FUTURE USE",$F433),3)),"F",IF(MID($F433,7,1)="1","E",IF(MID($F433,7,1)="2","G",IF(MID($F433,7,1)="3","C",""))))</f>
        <v>E</v>
      </c>
      <c r="D433" s="426" t="s">
        <v>2659</v>
      </c>
      <c r="E433" s="426" t="str">
        <f t="shared" si="43"/>
        <v>370</v>
      </c>
      <c r="F433" s="741" t="s">
        <v>1799</v>
      </c>
      <c r="G433" s="425" t="str">
        <f t="shared" si="41"/>
        <v/>
      </c>
      <c r="H433" s="426">
        <v>3008.2706169100002</v>
      </c>
      <c r="I433" s="426">
        <v>3021.0505716009998</v>
      </c>
      <c r="J433" s="426">
        <v>3033.8305262919998</v>
      </c>
      <c r="K433" s="426">
        <v>3046.6104809829999</v>
      </c>
      <c r="L433" s="426">
        <v>3059.3904356739999</v>
      </c>
      <c r="M433" s="426">
        <v>3072.170390365</v>
      </c>
      <c r="N433" s="426">
        <v>3084.9503450560001</v>
      </c>
      <c r="O433" s="426">
        <v>3097.7302997470001</v>
      </c>
      <c r="P433" s="426">
        <v>3110.5102544380002</v>
      </c>
      <c r="Q433" s="426">
        <v>3123.2902091289998</v>
      </c>
      <c r="R433" s="426">
        <v>3136.0701638199998</v>
      </c>
      <c r="S433" s="426">
        <v>3148.8501185109999</v>
      </c>
      <c r="T433" s="426">
        <v>3161.6300732019999</v>
      </c>
      <c r="V433" s="426">
        <f t="shared" si="42"/>
        <v>3084.9503450560001</v>
      </c>
    </row>
    <row r="434" spans="1:22">
      <c r="A434" s="426" t="str">
        <f t="shared" si="45"/>
        <v>KU</v>
      </c>
      <c r="B434" s="426" t="str">
        <f t="shared" si="46"/>
        <v>KY</v>
      </c>
      <c r="C434" s="426" t="str">
        <f t="shared" si="47"/>
        <v>E</v>
      </c>
      <c r="D434" s="426" t="s">
        <v>2659</v>
      </c>
      <c r="E434" s="426" t="str">
        <f t="shared" si="43"/>
        <v>371</v>
      </c>
      <c r="F434" s="741" t="s">
        <v>1800</v>
      </c>
      <c r="G434" s="425" t="str">
        <f t="shared" si="41"/>
        <v/>
      </c>
      <c r="H434" s="426">
        <v>8.0000000000000007E-5</v>
      </c>
      <c r="I434" s="426">
        <v>8.0000000000000007E-5</v>
      </c>
      <c r="J434" s="426">
        <v>8.0000000000000007E-5</v>
      </c>
      <c r="K434" s="426">
        <v>8.0000000000000007E-5</v>
      </c>
      <c r="L434" s="426">
        <v>8.0000000000000007E-5</v>
      </c>
      <c r="M434" s="426">
        <v>8.0000000000000007E-5</v>
      </c>
      <c r="N434" s="426">
        <v>8.0000000000000007E-5</v>
      </c>
      <c r="O434" s="426">
        <v>8.0000000000000007E-5</v>
      </c>
      <c r="P434" s="426">
        <v>8.0000000000000007E-5</v>
      </c>
      <c r="Q434" s="426">
        <v>8.0000000000000007E-5</v>
      </c>
      <c r="R434" s="426">
        <v>8.0000000000000007E-5</v>
      </c>
      <c r="S434" s="426">
        <v>8.0000000000000007E-5</v>
      </c>
      <c r="T434" s="426">
        <v>8.0000000000000007E-5</v>
      </c>
      <c r="V434" s="426">
        <f t="shared" si="42"/>
        <v>8.0000000000000007E-5</v>
      </c>
    </row>
    <row r="435" spans="1:22">
      <c r="A435" s="426" t="str">
        <f t="shared" si="45"/>
        <v>KU</v>
      </c>
      <c r="B435" s="426" t="str">
        <f t="shared" si="46"/>
        <v>KY</v>
      </c>
      <c r="C435" s="426" t="str">
        <f t="shared" si="47"/>
        <v>E</v>
      </c>
      <c r="D435" s="426" t="s">
        <v>2659</v>
      </c>
      <c r="E435" s="426" t="str">
        <f t="shared" si="43"/>
        <v>371</v>
      </c>
      <c r="F435" s="741" t="s">
        <v>2531</v>
      </c>
      <c r="G435" s="425" t="str">
        <f t="shared" si="41"/>
        <v/>
      </c>
      <c r="H435" s="426">
        <v>31.25930417</v>
      </c>
      <c r="I435" s="426">
        <v>32.586252586999997</v>
      </c>
      <c r="J435" s="426">
        <v>33.913201004000001</v>
      </c>
      <c r="K435" s="426">
        <v>35.240149420999998</v>
      </c>
      <c r="L435" s="426">
        <v>36.567097837999903</v>
      </c>
      <c r="M435" s="426">
        <v>37.8940462549999</v>
      </c>
      <c r="N435" s="426">
        <v>39.220994671999897</v>
      </c>
      <c r="O435" s="426">
        <v>40.547943088999901</v>
      </c>
      <c r="P435" s="426">
        <v>41.874891505999898</v>
      </c>
      <c r="Q435" s="426">
        <v>43.201839922999902</v>
      </c>
      <c r="R435" s="426">
        <v>44.528788339999899</v>
      </c>
      <c r="S435" s="426">
        <v>45.855736756999903</v>
      </c>
      <c r="T435" s="426">
        <v>47.1826851739999</v>
      </c>
      <c r="V435" s="426">
        <f t="shared" si="42"/>
        <v>39.220994671999932</v>
      </c>
    </row>
    <row r="436" spans="1:22">
      <c r="A436" s="426" t="str">
        <f t="shared" si="45"/>
        <v>KU</v>
      </c>
      <c r="B436" s="426" t="str">
        <f t="shared" si="46"/>
        <v>KY</v>
      </c>
      <c r="C436" s="426" t="str">
        <f t="shared" si="47"/>
        <v>E</v>
      </c>
      <c r="D436" s="426" t="s">
        <v>2659</v>
      </c>
      <c r="E436" s="426" t="str">
        <f t="shared" si="43"/>
        <v>373</v>
      </c>
      <c r="F436" s="741" t="s">
        <v>1801</v>
      </c>
      <c r="G436" s="425" t="str">
        <f t="shared" ref="G436:G456" si="48">IF(ISTEXT(MID($F436,SEARCH("FUTURE USE",$F436),3)),"FUTURE USE",IF(ISTEXT(MID($F436,SEARCH("ECR",$F436),3)),"ECR",IF(ISTEXT(MID($F436,SEARCH("ARO",$F436),3)),"ARO",IF(ISTEXT(MID($F436,SEARCH("DSM",$F436),3)),"DSM",""))))</f>
        <v/>
      </c>
      <c r="H436" s="426">
        <v>49943.114648789902</v>
      </c>
      <c r="I436" s="426">
        <v>50125.710107469902</v>
      </c>
      <c r="J436" s="426">
        <v>50242.6829903299</v>
      </c>
      <c r="K436" s="426">
        <v>50594.285074829902</v>
      </c>
      <c r="L436" s="426">
        <v>50854.379975269898</v>
      </c>
      <c r="M436" s="426">
        <v>51108.291344279904</v>
      </c>
      <c r="N436" s="426">
        <v>51337.881945159897</v>
      </c>
      <c r="O436" s="426">
        <v>51760.827684939897</v>
      </c>
      <c r="P436" s="426">
        <v>52118.129201539901</v>
      </c>
      <c r="Q436" s="426">
        <v>52486.365764509901</v>
      </c>
      <c r="R436" s="426">
        <v>52833.5094430799</v>
      </c>
      <c r="S436" s="426">
        <v>53111.587765389901</v>
      </c>
      <c r="T436" s="426">
        <v>53482.664798359903</v>
      </c>
      <c r="V436" s="426">
        <f t="shared" si="42"/>
        <v>51538.417749534514</v>
      </c>
    </row>
    <row r="437" spans="1:22">
      <c r="A437" s="426" t="str">
        <f t="shared" si="45"/>
        <v>KU</v>
      </c>
      <c r="B437" s="426" t="str">
        <f t="shared" si="46"/>
        <v>VA</v>
      </c>
      <c r="C437" s="426" t="str">
        <f t="shared" si="47"/>
        <v>E</v>
      </c>
      <c r="D437" s="426" t="s">
        <v>2659</v>
      </c>
      <c r="E437" s="426" t="str">
        <f t="shared" si="43"/>
        <v>373</v>
      </c>
      <c r="F437" s="741" t="s">
        <v>1802</v>
      </c>
      <c r="G437" s="425" t="str">
        <f t="shared" si="48"/>
        <v/>
      </c>
      <c r="H437" s="426">
        <v>2169.7044845614901</v>
      </c>
      <c r="I437" s="426">
        <v>2183.5877864291901</v>
      </c>
      <c r="J437" s="426">
        <v>2197.51370400009</v>
      </c>
      <c r="K437" s="426">
        <v>2209.1623115709899</v>
      </c>
      <c r="L437" s="426">
        <v>2223.18130580159</v>
      </c>
      <c r="M437" s="426">
        <v>2232.6032418892901</v>
      </c>
      <c r="N437" s="426">
        <v>2246.7134136702898</v>
      </c>
      <c r="O437" s="426">
        <v>2260.8710057694998</v>
      </c>
      <c r="P437" s="426">
        <v>2272.75279260459</v>
      </c>
      <c r="Q437" s="426">
        <v>2284.68857251689</v>
      </c>
      <c r="R437" s="426">
        <v>2296.6843003845902</v>
      </c>
      <c r="S437" s="426">
        <v>2311.06383784629</v>
      </c>
      <c r="T437" s="426">
        <v>2325.5002549119899</v>
      </c>
      <c r="V437" s="426">
        <f t="shared" si="42"/>
        <v>2247.2328470735984</v>
      </c>
    </row>
    <row r="438" spans="1:22">
      <c r="A438" s="426" t="str">
        <f t="shared" si="45"/>
        <v>KU</v>
      </c>
      <c r="B438" s="426" t="str">
        <f t="shared" si="46"/>
        <v>KY</v>
      </c>
      <c r="C438" s="426" t="str">
        <f t="shared" si="47"/>
        <v>E</v>
      </c>
      <c r="D438" s="426" t="s">
        <v>2659</v>
      </c>
      <c r="E438" s="426" t="str">
        <f t="shared" si="43"/>
        <v>374</v>
      </c>
      <c r="F438" s="741" t="s">
        <v>1803</v>
      </c>
      <c r="G438" s="425" t="str">
        <f t="shared" si="48"/>
        <v>ARO</v>
      </c>
      <c r="H438" s="426">
        <v>140.268323236296</v>
      </c>
      <c r="I438" s="426">
        <v>140.92309155992601</v>
      </c>
      <c r="J438" s="426">
        <v>141.57785988355599</v>
      </c>
      <c r="K438" s="426">
        <v>142.232628207185</v>
      </c>
      <c r="L438" s="426">
        <v>142.88739653081501</v>
      </c>
      <c r="M438" s="426">
        <v>143.54216485444499</v>
      </c>
      <c r="N438" s="426">
        <v>144.196933178074</v>
      </c>
      <c r="O438" s="426">
        <v>144.85170150170401</v>
      </c>
      <c r="P438" s="426">
        <v>145.50646982533399</v>
      </c>
      <c r="Q438" s="426">
        <v>146.16123814896301</v>
      </c>
      <c r="R438" s="426">
        <v>146.81600647259299</v>
      </c>
      <c r="S438" s="426">
        <v>147.470774796223</v>
      </c>
      <c r="T438" s="426">
        <v>148.12554311985201</v>
      </c>
      <c r="V438" s="426">
        <f t="shared" si="42"/>
        <v>144.19693317807432</v>
      </c>
    </row>
    <row r="439" spans="1:22">
      <c r="A439" s="426" t="str">
        <f t="shared" si="45"/>
        <v>KU</v>
      </c>
      <c r="B439" s="426" t="str">
        <f t="shared" si="46"/>
        <v>KY</v>
      </c>
      <c r="C439" s="426" t="str">
        <f t="shared" si="47"/>
        <v>E</v>
      </c>
      <c r="D439" s="426" t="s">
        <v>2659</v>
      </c>
      <c r="E439" s="426" t="str">
        <f t="shared" si="43"/>
        <v>390</v>
      </c>
      <c r="F439" s="741" t="s">
        <v>1806</v>
      </c>
      <c r="G439" s="425" t="str">
        <f t="shared" si="48"/>
        <v/>
      </c>
      <c r="H439" s="426">
        <v>557.32334361579001</v>
      </c>
      <c r="I439" s="426">
        <v>562.96649597736905</v>
      </c>
      <c r="J439" s="426">
        <v>568.60964833894798</v>
      </c>
      <c r="K439" s="426">
        <v>574.25280070052702</v>
      </c>
      <c r="L439" s="426">
        <v>579.89595306210595</v>
      </c>
      <c r="M439" s="426">
        <v>585.53910542368499</v>
      </c>
      <c r="N439" s="426">
        <v>591.18225778526403</v>
      </c>
      <c r="O439" s="426">
        <v>596.82541014684296</v>
      </c>
      <c r="P439" s="426">
        <v>602.468562508422</v>
      </c>
      <c r="Q439" s="426">
        <v>608.11171487000104</v>
      </c>
      <c r="R439" s="426">
        <v>613.75486723157996</v>
      </c>
      <c r="S439" s="426">
        <v>619.39801959315901</v>
      </c>
      <c r="T439" s="426">
        <v>625.04117195473805</v>
      </c>
      <c r="V439" s="426">
        <f t="shared" si="42"/>
        <v>591.18225778526403</v>
      </c>
    </row>
    <row r="440" spans="1:22">
      <c r="A440" s="426" t="str">
        <f t="shared" si="45"/>
        <v>KU</v>
      </c>
      <c r="B440" s="426" t="str">
        <f t="shared" si="46"/>
        <v>KY</v>
      </c>
      <c r="C440" s="426" t="str">
        <f t="shared" si="47"/>
        <v>E</v>
      </c>
      <c r="D440" s="426" t="s">
        <v>2659</v>
      </c>
      <c r="E440" s="426" t="str">
        <f t="shared" si="43"/>
        <v>390</v>
      </c>
      <c r="F440" s="741" t="s">
        <v>1807</v>
      </c>
      <c r="G440" s="425" t="str">
        <f t="shared" si="48"/>
        <v/>
      </c>
      <c r="H440" s="426">
        <v>15362.532254565</v>
      </c>
      <c r="I440" s="426">
        <v>15547.197894437501</v>
      </c>
      <c r="J440" s="426">
        <v>15733.16794576</v>
      </c>
      <c r="K440" s="426">
        <v>15921.404369972501</v>
      </c>
      <c r="L440" s="426">
        <v>16112.130682624</v>
      </c>
      <c r="M440" s="426">
        <v>16304.843148944499</v>
      </c>
      <c r="N440" s="426">
        <v>16505.073458645002</v>
      </c>
      <c r="O440" s="426">
        <v>16711.983395175499</v>
      </c>
      <c r="P440" s="426">
        <v>16918.946120876</v>
      </c>
      <c r="Q440" s="426">
        <v>17126.046904786501</v>
      </c>
      <c r="R440" s="426">
        <v>17333.285746997</v>
      </c>
      <c r="S440" s="426">
        <v>17540.591727707499</v>
      </c>
      <c r="T440" s="426">
        <v>17748.074207598002</v>
      </c>
      <c r="V440" s="426">
        <f t="shared" si="42"/>
        <v>16528.098296776072</v>
      </c>
    </row>
    <row r="441" spans="1:22">
      <c r="A441" s="426" t="str">
        <f t="shared" si="45"/>
        <v>KU</v>
      </c>
      <c r="B441" s="426" t="str">
        <f t="shared" si="46"/>
        <v>VA</v>
      </c>
      <c r="C441" s="426" t="str">
        <f t="shared" si="47"/>
        <v>E</v>
      </c>
      <c r="D441" s="426" t="s">
        <v>2659</v>
      </c>
      <c r="E441" s="426" t="str">
        <f t="shared" si="43"/>
        <v>390</v>
      </c>
      <c r="F441" s="741" t="s">
        <v>1808</v>
      </c>
      <c r="G441" s="425" t="str">
        <f t="shared" si="48"/>
        <v/>
      </c>
      <c r="H441" s="426">
        <v>632.73647714799995</v>
      </c>
      <c r="I441" s="426">
        <v>645.098025635</v>
      </c>
      <c r="J441" s="426">
        <v>657.45957412200005</v>
      </c>
      <c r="K441" s="426">
        <v>669.83649691899996</v>
      </c>
      <c r="L441" s="426">
        <v>682.35178846600002</v>
      </c>
      <c r="M441" s="426">
        <v>695.00340491300005</v>
      </c>
      <c r="N441" s="426">
        <v>708.98451014199998</v>
      </c>
      <c r="O441" s="426">
        <v>724.281773703</v>
      </c>
      <c r="P441" s="426">
        <v>739.57903726400002</v>
      </c>
      <c r="Q441" s="426">
        <v>754.87630082500004</v>
      </c>
      <c r="R441" s="426">
        <v>770.17356438599995</v>
      </c>
      <c r="S441" s="426">
        <v>785.47082794699998</v>
      </c>
      <c r="T441" s="426">
        <v>800.768091508</v>
      </c>
      <c r="V441" s="426">
        <f t="shared" ref="V441:V457" si="49">SUM(H441:T441)/13</f>
        <v>712.81691330600006</v>
      </c>
    </row>
    <row r="442" spans="1:22">
      <c r="A442" s="426" t="str">
        <f t="shared" si="45"/>
        <v>KU</v>
      </c>
      <c r="B442" s="426" t="str">
        <f t="shared" si="46"/>
        <v>KY</v>
      </c>
      <c r="C442" s="426" t="str">
        <f t="shared" si="47"/>
        <v>E</v>
      </c>
      <c r="D442" s="426" t="s">
        <v>2659</v>
      </c>
      <c r="E442" s="426" t="str">
        <f t="shared" si="43"/>
        <v>391</v>
      </c>
      <c r="F442" s="741" t="s">
        <v>1809</v>
      </c>
      <c r="G442" s="425" t="str">
        <f t="shared" si="48"/>
        <v/>
      </c>
      <c r="H442" s="426">
        <v>1141.46765909999</v>
      </c>
      <c r="I442" s="426">
        <v>1188.8750533999901</v>
      </c>
      <c r="J442" s="426">
        <v>1304.0318276999999</v>
      </c>
      <c r="K442" s="426">
        <v>1419.4483929999999</v>
      </c>
      <c r="L442" s="426">
        <v>1468.0669848</v>
      </c>
      <c r="M442" s="426">
        <v>1582.6194031</v>
      </c>
      <c r="N442" s="426">
        <v>1713.5419841</v>
      </c>
      <c r="O442" s="426">
        <v>1860.7308115000001</v>
      </c>
      <c r="P442" s="426">
        <v>2008.0755134999999</v>
      </c>
      <c r="Q442" s="426">
        <v>2153.0186177</v>
      </c>
      <c r="R442" s="426">
        <v>2301.2395600999998</v>
      </c>
      <c r="S442" s="426">
        <v>2450.1318693999901</v>
      </c>
      <c r="T442" s="426">
        <v>2589.9094788999901</v>
      </c>
      <c r="V442" s="426">
        <f t="shared" si="49"/>
        <v>1783.1659350999967</v>
      </c>
    </row>
    <row r="443" spans="1:22">
      <c r="A443" s="426" t="str">
        <f t="shared" si="45"/>
        <v>KU</v>
      </c>
      <c r="B443" s="426" t="str">
        <f t="shared" si="46"/>
        <v>KY</v>
      </c>
      <c r="C443" s="426" t="str">
        <f t="shared" si="47"/>
        <v>E</v>
      </c>
      <c r="D443" s="426" t="s">
        <v>2659</v>
      </c>
      <c r="E443" s="426" t="str">
        <f t="shared" si="43"/>
        <v>391</v>
      </c>
      <c r="F443" s="741" t="s">
        <v>1810</v>
      </c>
      <c r="G443" s="425" t="str">
        <f t="shared" si="48"/>
        <v/>
      </c>
      <c r="H443" s="426">
        <v>12856.1689520699</v>
      </c>
      <c r="I443" s="426">
        <v>13082.7422145399</v>
      </c>
      <c r="J443" s="426">
        <v>13073.8894862899</v>
      </c>
      <c r="K443" s="426">
        <v>12760.505798419999</v>
      </c>
      <c r="L443" s="426">
        <v>11925.7514168499</v>
      </c>
      <c r="M443" s="426">
        <v>12046.2305995399</v>
      </c>
      <c r="N443" s="426">
        <v>12293.0644753499</v>
      </c>
      <c r="O443" s="426">
        <v>12569.063878589999</v>
      </c>
      <c r="P443" s="426">
        <v>12225.2054414999</v>
      </c>
      <c r="Q443" s="426">
        <v>12082.20690399</v>
      </c>
      <c r="R443" s="426">
        <v>12066.31538066</v>
      </c>
      <c r="S443" s="426">
        <v>12192.069800929999</v>
      </c>
      <c r="T443" s="426">
        <v>12091.1180678</v>
      </c>
      <c r="V443" s="426">
        <f t="shared" si="49"/>
        <v>12404.948647425332</v>
      </c>
    </row>
    <row r="444" spans="1:22">
      <c r="A444" s="426" t="str">
        <f t="shared" si="45"/>
        <v>KU</v>
      </c>
      <c r="B444" s="426" t="str">
        <f t="shared" si="46"/>
        <v>VA</v>
      </c>
      <c r="C444" s="426" t="str">
        <f t="shared" si="47"/>
        <v>E</v>
      </c>
      <c r="D444" s="426" t="s">
        <v>2659</v>
      </c>
      <c r="E444" s="426" t="str">
        <f t="shared" si="43"/>
        <v>391</v>
      </c>
      <c r="F444" s="741" t="s">
        <v>1811</v>
      </c>
      <c r="G444" s="425" t="str">
        <f t="shared" si="48"/>
        <v/>
      </c>
      <c r="H444" s="426">
        <v>14.19254536</v>
      </c>
      <c r="I444" s="426">
        <v>15.344054895999999</v>
      </c>
      <c r="J444" s="426">
        <v>16.495564431999998</v>
      </c>
      <c r="K444" s="426">
        <v>17.647073968000001</v>
      </c>
      <c r="L444" s="426">
        <v>18.798583504</v>
      </c>
      <c r="M444" s="426">
        <v>19.950093039999999</v>
      </c>
      <c r="N444" s="426">
        <v>21.101602576000001</v>
      </c>
      <c r="O444" s="426">
        <v>22.253112112</v>
      </c>
      <c r="P444" s="426">
        <v>23.404621647999999</v>
      </c>
      <c r="Q444" s="426">
        <v>24.556131183999899</v>
      </c>
      <c r="R444" s="426">
        <v>25.707640719999901</v>
      </c>
      <c r="S444" s="426">
        <v>26.8591502559999</v>
      </c>
      <c r="T444" s="426">
        <v>28.010659791999899</v>
      </c>
      <c r="V444" s="426">
        <f t="shared" si="49"/>
        <v>21.101602575999969</v>
      </c>
    </row>
    <row r="445" spans="1:22">
      <c r="A445" s="426" t="str">
        <f t="shared" si="45"/>
        <v>KU</v>
      </c>
      <c r="B445" s="426" t="str">
        <f t="shared" si="46"/>
        <v>KY</v>
      </c>
      <c r="C445" s="426" t="str">
        <f t="shared" si="47"/>
        <v>E</v>
      </c>
      <c r="D445" s="426" t="s">
        <v>2659</v>
      </c>
      <c r="E445" s="426" t="str">
        <f t="shared" si="43"/>
        <v>392</v>
      </c>
      <c r="F445" s="741" t="s">
        <v>1813</v>
      </c>
      <c r="G445" s="425" t="str">
        <f t="shared" si="48"/>
        <v/>
      </c>
      <c r="H445" s="426">
        <v>4603.3604232769903</v>
      </c>
      <c r="I445" s="426">
        <v>4625.8405640459896</v>
      </c>
      <c r="J445" s="426">
        <v>4648.3207048149898</v>
      </c>
      <c r="K445" s="426">
        <v>4670.8008455839899</v>
      </c>
      <c r="L445" s="426">
        <v>4693.2809863529901</v>
      </c>
      <c r="M445" s="426">
        <v>4715.7611271219903</v>
      </c>
      <c r="N445" s="426">
        <v>4738.2412678909996</v>
      </c>
      <c r="O445" s="426">
        <v>4760.7214086599997</v>
      </c>
      <c r="P445" s="426">
        <v>4783.2015494289999</v>
      </c>
      <c r="Q445" s="426">
        <v>4805.6816901980001</v>
      </c>
      <c r="R445" s="426">
        <v>4828.1618309670002</v>
      </c>
      <c r="S445" s="426">
        <v>4850.6419717360004</v>
      </c>
      <c r="T445" s="426">
        <v>4873.1221125049997</v>
      </c>
      <c r="V445" s="426">
        <f t="shared" si="49"/>
        <v>4738.2412678909959</v>
      </c>
    </row>
    <row r="446" spans="1:22">
      <c r="A446" s="426" t="str">
        <f t="shared" si="45"/>
        <v>KU</v>
      </c>
      <c r="B446" s="426" t="str">
        <f t="shared" si="46"/>
        <v>VA</v>
      </c>
      <c r="C446" s="426" t="str">
        <f t="shared" si="47"/>
        <v>E</v>
      </c>
      <c r="D446" s="426" t="s">
        <v>2659</v>
      </c>
      <c r="E446" s="426" t="str">
        <f t="shared" si="43"/>
        <v>392</v>
      </c>
      <c r="F446" s="741" t="s">
        <v>2401</v>
      </c>
      <c r="G446" s="425" t="str">
        <f t="shared" si="48"/>
        <v/>
      </c>
      <c r="H446" s="426">
        <v>3.2321480682999999</v>
      </c>
      <c r="I446" s="426">
        <v>3.31519187513</v>
      </c>
      <c r="J446" s="426">
        <v>3.3982356819600001</v>
      </c>
      <c r="K446" s="426">
        <v>3.4812794887899998</v>
      </c>
      <c r="L446" s="426">
        <v>3.5643232956199999</v>
      </c>
      <c r="M446" s="426">
        <v>3.6473671024500001</v>
      </c>
      <c r="N446" s="426">
        <v>3.7304109092800002</v>
      </c>
      <c r="O446" s="426">
        <v>3.8134547161099999</v>
      </c>
      <c r="P446" s="426">
        <v>3.89649852294</v>
      </c>
      <c r="Q446" s="426">
        <v>3.9795423297700001</v>
      </c>
      <c r="R446" s="426">
        <v>4.0625861366000002</v>
      </c>
      <c r="S446" s="426">
        <v>4.1456299434300004</v>
      </c>
      <c r="T446" s="426">
        <v>4.2286737502599996</v>
      </c>
      <c r="V446" s="426">
        <f t="shared" si="49"/>
        <v>3.7304109092800002</v>
      </c>
    </row>
    <row r="447" spans="1:22">
      <c r="A447" s="426" t="str">
        <f t="shared" si="45"/>
        <v>KU</v>
      </c>
      <c r="B447" s="426" t="str">
        <f t="shared" si="46"/>
        <v>KY</v>
      </c>
      <c r="C447" s="426" t="str">
        <f t="shared" si="47"/>
        <v>E</v>
      </c>
      <c r="D447" s="426" t="s">
        <v>2659</v>
      </c>
      <c r="E447" s="426" t="str">
        <f t="shared" si="43"/>
        <v>393</v>
      </c>
      <c r="F447" s="741" t="s">
        <v>1814</v>
      </c>
      <c r="G447" s="425" t="str">
        <f t="shared" si="48"/>
        <v/>
      </c>
      <c r="H447" s="426">
        <v>369.05627584199999</v>
      </c>
      <c r="I447" s="426">
        <v>372.051548461999</v>
      </c>
      <c r="J447" s="426">
        <v>367.71662411499898</v>
      </c>
      <c r="K447" s="426">
        <v>367.22858843499898</v>
      </c>
      <c r="L447" s="426">
        <v>370.99194422199997</v>
      </c>
      <c r="M447" s="426">
        <v>374.755300009</v>
      </c>
      <c r="N447" s="426">
        <v>378.51865579600002</v>
      </c>
      <c r="O447" s="426">
        <v>382.28201158299998</v>
      </c>
      <c r="P447" s="426">
        <v>386.04536737000001</v>
      </c>
      <c r="Q447" s="426">
        <v>389.80872315699997</v>
      </c>
      <c r="R447" s="426">
        <v>393.572078944</v>
      </c>
      <c r="S447" s="426">
        <v>397.33543473100002</v>
      </c>
      <c r="T447" s="426">
        <v>401.09879051799999</v>
      </c>
      <c r="V447" s="426">
        <f t="shared" si="49"/>
        <v>380.80471870646124</v>
      </c>
    </row>
    <row r="448" spans="1:22">
      <c r="A448" s="426" t="str">
        <f t="shared" si="45"/>
        <v>KU</v>
      </c>
      <c r="B448" s="426" t="str">
        <f t="shared" si="46"/>
        <v>VA</v>
      </c>
      <c r="C448" s="426" t="str">
        <f t="shared" si="47"/>
        <v>E</v>
      </c>
      <c r="D448" s="426" t="s">
        <v>2659</v>
      </c>
      <c r="E448" s="426" t="str">
        <f t="shared" si="43"/>
        <v>393</v>
      </c>
      <c r="F448" s="741" t="s">
        <v>1815</v>
      </c>
      <c r="G448" s="425" t="str">
        <f t="shared" si="48"/>
        <v/>
      </c>
      <c r="H448" s="426">
        <v>-0.59186094166599901</v>
      </c>
      <c r="I448" s="426">
        <v>-0.59186094166599901</v>
      </c>
      <c r="J448" s="426">
        <v>-0.59186094166599901</v>
      </c>
      <c r="K448" s="426">
        <v>-0.59186094166599901</v>
      </c>
      <c r="L448" s="426">
        <v>-0.59186094166599901</v>
      </c>
      <c r="M448" s="426">
        <v>-0.59186094166599901</v>
      </c>
      <c r="N448" s="426">
        <v>-0.59186094166599901</v>
      </c>
      <c r="O448" s="426">
        <v>-0.59186094166599901</v>
      </c>
      <c r="P448" s="426">
        <v>-0.59186094166599901</v>
      </c>
      <c r="Q448" s="426">
        <v>-0.59186094166599901</v>
      </c>
      <c r="R448" s="426">
        <v>-0.59186094166599901</v>
      </c>
      <c r="S448" s="426">
        <v>-0.59186094166599901</v>
      </c>
      <c r="T448" s="426">
        <v>-0.59186094166599901</v>
      </c>
      <c r="V448" s="426">
        <f t="shared" si="49"/>
        <v>-0.59186094166599901</v>
      </c>
    </row>
    <row r="449" spans="1:22">
      <c r="A449" s="426" t="str">
        <f t="shared" si="45"/>
        <v>KU</v>
      </c>
      <c r="B449" s="426" t="str">
        <f t="shared" si="46"/>
        <v>KY</v>
      </c>
      <c r="C449" s="426" t="str">
        <f t="shared" si="47"/>
        <v>E</v>
      </c>
      <c r="D449" s="426" t="s">
        <v>2659</v>
      </c>
      <c r="E449" s="426" t="str">
        <f t="shared" si="43"/>
        <v>394</v>
      </c>
      <c r="F449" s="741" t="s">
        <v>1816</v>
      </c>
      <c r="G449" s="425" t="str">
        <f t="shared" si="48"/>
        <v/>
      </c>
      <c r="H449" s="426">
        <v>5582.2652403100001</v>
      </c>
      <c r="I449" s="426">
        <v>5610.0758525700003</v>
      </c>
      <c r="J449" s="426">
        <v>5659.6421845799996</v>
      </c>
      <c r="K449" s="426">
        <v>5714.7812120500002</v>
      </c>
      <c r="L449" s="426">
        <v>5773.7575641699996</v>
      </c>
      <c r="M449" s="426">
        <v>5757.0337496599996</v>
      </c>
      <c r="N449" s="426">
        <v>5765.8074156800003</v>
      </c>
      <c r="O449" s="426">
        <v>5827.7727843299999</v>
      </c>
      <c r="P449" s="426">
        <v>5883.3484174900004</v>
      </c>
      <c r="Q449" s="426">
        <v>5936.2403361899997</v>
      </c>
      <c r="R449" s="426">
        <v>5941.9520799100001</v>
      </c>
      <c r="S449" s="426">
        <v>6003.7442236200004</v>
      </c>
      <c r="T449" s="426">
        <v>6063.0411786100003</v>
      </c>
      <c r="V449" s="426">
        <f t="shared" si="49"/>
        <v>5809.1894030130779</v>
      </c>
    </row>
    <row r="450" spans="1:22">
      <c r="A450" s="426" t="str">
        <f t="shared" si="45"/>
        <v>KU</v>
      </c>
      <c r="B450" s="426" t="str">
        <f t="shared" si="46"/>
        <v>VA</v>
      </c>
      <c r="C450" s="426" t="str">
        <f t="shared" si="47"/>
        <v>E</v>
      </c>
      <c r="D450" s="426" t="s">
        <v>2659</v>
      </c>
      <c r="E450" s="426" t="str">
        <f t="shared" si="43"/>
        <v>394</v>
      </c>
      <c r="F450" s="741" t="s">
        <v>1817</v>
      </c>
      <c r="G450" s="425" t="str">
        <f t="shared" si="48"/>
        <v/>
      </c>
      <c r="H450" s="426">
        <v>239.66757974800001</v>
      </c>
      <c r="I450" s="426">
        <v>241.711838054</v>
      </c>
      <c r="J450" s="426">
        <v>243.77279275999999</v>
      </c>
      <c r="K450" s="426">
        <v>245.85044386599901</v>
      </c>
      <c r="L450" s="426">
        <v>247.928094971999</v>
      </c>
      <c r="M450" s="426">
        <v>250.02452952799899</v>
      </c>
      <c r="N450" s="426">
        <v>251.13123109399899</v>
      </c>
      <c r="O450" s="426">
        <v>253.24307621999901</v>
      </c>
      <c r="P450" s="426">
        <v>255.354921345999</v>
      </c>
      <c r="Q450" s="426">
        <v>257.46676647199899</v>
      </c>
      <c r="R450" s="426">
        <v>259.59948209799899</v>
      </c>
      <c r="S450" s="426">
        <v>261.75306822399898</v>
      </c>
      <c r="T450" s="426">
        <v>263.92543779999897</v>
      </c>
      <c r="V450" s="426">
        <f t="shared" si="49"/>
        <v>251.64840478323003</v>
      </c>
    </row>
    <row r="451" spans="1:22">
      <c r="A451" s="426" t="str">
        <f t="shared" si="45"/>
        <v>KU</v>
      </c>
      <c r="B451" s="426" t="str">
        <f t="shared" si="46"/>
        <v>KY</v>
      </c>
      <c r="C451" s="426" t="str">
        <f t="shared" si="47"/>
        <v>E</v>
      </c>
      <c r="D451" s="426" t="s">
        <v>2659</v>
      </c>
      <c r="E451" s="426" t="str">
        <f t="shared" si="43"/>
        <v>396</v>
      </c>
      <c r="F451" s="741" t="s">
        <v>1818</v>
      </c>
      <c r="G451" s="425" t="str">
        <f t="shared" si="48"/>
        <v/>
      </c>
      <c r="H451" s="426">
        <v>408.04863642999902</v>
      </c>
      <c r="I451" s="426">
        <v>412.96437707299901</v>
      </c>
      <c r="J451" s="426">
        <v>417.88011771599901</v>
      </c>
      <c r="K451" s="426">
        <v>422.795858358999</v>
      </c>
      <c r="L451" s="426">
        <v>427.71159900199899</v>
      </c>
      <c r="M451" s="426">
        <v>432.62733964499898</v>
      </c>
      <c r="N451" s="426">
        <v>437.54308028799898</v>
      </c>
      <c r="O451" s="426">
        <v>442.45882093099902</v>
      </c>
      <c r="P451" s="426">
        <v>447.37456157399902</v>
      </c>
      <c r="Q451" s="426">
        <v>452.29030221699901</v>
      </c>
      <c r="R451" s="426">
        <v>457.206042859999</v>
      </c>
      <c r="S451" s="426">
        <v>462.12178350299899</v>
      </c>
      <c r="T451" s="426">
        <v>467.03752414599899</v>
      </c>
      <c r="V451" s="426">
        <f t="shared" si="49"/>
        <v>437.54308028799903</v>
      </c>
    </row>
    <row r="452" spans="1:22">
      <c r="A452" s="426" t="str">
        <f t="shared" si="45"/>
        <v>KU</v>
      </c>
      <c r="B452" s="426" t="str">
        <f t="shared" si="46"/>
        <v>KY</v>
      </c>
      <c r="C452" s="426" t="str">
        <f t="shared" si="47"/>
        <v>E</v>
      </c>
      <c r="D452" s="426" t="s">
        <v>2659</v>
      </c>
      <c r="E452" s="426" t="str">
        <f t="shared" si="43"/>
        <v>396</v>
      </c>
      <c r="F452" s="741" t="s">
        <v>2402</v>
      </c>
      <c r="G452" s="425" t="str">
        <f t="shared" si="48"/>
        <v/>
      </c>
      <c r="H452" s="426">
        <v>1492.0702372000001</v>
      </c>
      <c r="I452" s="426">
        <v>1512.2381629199999</v>
      </c>
      <c r="J452" s="426">
        <v>1532.40608864</v>
      </c>
      <c r="K452" s="426">
        <v>1552.5740143600001</v>
      </c>
      <c r="L452" s="426">
        <v>1572.7419400799999</v>
      </c>
      <c r="M452" s="426">
        <v>1592.9098658</v>
      </c>
      <c r="N452" s="426">
        <v>1613.0777915199999</v>
      </c>
      <c r="O452" s="426">
        <v>1633.24571724</v>
      </c>
      <c r="P452" s="426">
        <v>1653.4136429600001</v>
      </c>
      <c r="Q452" s="426">
        <v>1673.5815686799999</v>
      </c>
      <c r="R452" s="426">
        <v>1693.7494944</v>
      </c>
      <c r="S452" s="426">
        <v>1713.9174201200001</v>
      </c>
      <c r="T452" s="426">
        <v>1734.0853458399999</v>
      </c>
      <c r="V452" s="426">
        <f t="shared" si="49"/>
        <v>1613.0777915200001</v>
      </c>
    </row>
    <row r="453" spans="1:22">
      <c r="A453" s="426" t="str">
        <f t="shared" si="45"/>
        <v>KU</v>
      </c>
      <c r="B453" s="426" t="str">
        <f t="shared" si="46"/>
        <v>VA</v>
      </c>
      <c r="C453" s="426" t="str">
        <f t="shared" si="47"/>
        <v>E</v>
      </c>
      <c r="D453" s="426" t="s">
        <v>2659</v>
      </c>
      <c r="E453" s="426" t="str">
        <f t="shared" si="43"/>
        <v>396</v>
      </c>
      <c r="F453" s="741" t="s">
        <v>2403</v>
      </c>
      <c r="G453" s="425" t="str">
        <f t="shared" si="48"/>
        <v/>
      </c>
      <c r="H453" s="426">
        <v>187.89122370000001</v>
      </c>
      <c r="I453" s="426">
        <v>190.31196507000001</v>
      </c>
      <c r="J453" s="426">
        <v>192.73270643999999</v>
      </c>
      <c r="K453" s="426">
        <v>195.15344780999999</v>
      </c>
      <c r="L453" s="426">
        <v>197.57418917999999</v>
      </c>
      <c r="M453" s="426">
        <v>199.99493054999999</v>
      </c>
      <c r="N453" s="426">
        <v>202.41567191999999</v>
      </c>
      <c r="O453" s="426">
        <v>204.83641329</v>
      </c>
      <c r="P453" s="426">
        <v>207.25715466</v>
      </c>
      <c r="Q453" s="426">
        <v>209.67789603</v>
      </c>
      <c r="R453" s="426">
        <v>212.0986374</v>
      </c>
      <c r="S453" s="426">
        <v>214.51937877</v>
      </c>
      <c r="T453" s="426">
        <v>216.94012014</v>
      </c>
      <c r="V453" s="426">
        <f t="shared" si="49"/>
        <v>202.41567191999999</v>
      </c>
    </row>
    <row r="454" spans="1:22">
      <c r="A454" s="426" t="str">
        <f t="shared" si="45"/>
        <v>KU</v>
      </c>
      <c r="B454" s="426" t="str">
        <f t="shared" si="46"/>
        <v>KY</v>
      </c>
      <c r="C454" s="426" t="str">
        <f t="shared" si="47"/>
        <v>E</v>
      </c>
      <c r="D454" s="426" t="s">
        <v>2659</v>
      </c>
      <c r="E454" s="426" t="str">
        <f t="shared" si="43"/>
        <v>397</v>
      </c>
      <c r="F454" s="741" t="s">
        <v>1819</v>
      </c>
      <c r="G454" s="425" t="str">
        <f t="shared" si="48"/>
        <v>DSM</v>
      </c>
      <c r="H454" s="426">
        <v>5329.5386801499999</v>
      </c>
      <c r="I454" s="426">
        <v>5418.8104320399998</v>
      </c>
      <c r="J454" s="426">
        <v>5508.1442728599995</v>
      </c>
      <c r="K454" s="426">
        <v>5597.5402026000002</v>
      </c>
      <c r="L454" s="426">
        <v>5686.9982212699997</v>
      </c>
      <c r="M454" s="426">
        <v>5776.51832887</v>
      </c>
      <c r="N454" s="426">
        <v>5866.1005254000002</v>
      </c>
      <c r="O454" s="426">
        <v>5955.7465221599996</v>
      </c>
      <c r="P454" s="426">
        <v>6045.4580302300001</v>
      </c>
      <c r="Q454" s="426">
        <v>6135.2350493699996</v>
      </c>
      <c r="R454" s="426">
        <v>6225.07757958</v>
      </c>
      <c r="S454" s="426">
        <v>6314.9856208700003</v>
      </c>
      <c r="T454" s="426">
        <v>6404.9591732299996</v>
      </c>
      <c r="V454" s="426">
        <f t="shared" si="49"/>
        <v>5866.5471260484619</v>
      </c>
    </row>
    <row r="455" spans="1:22">
      <c r="A455" s="426" t="str">
        <f t="shared" si="45"/>
        <v>KU</v>
      </c>
      <c r="B455" s="426" t="str">
        <f t="shared" si="46"/>
        <v>KY</v>
      </c>
      <c r="C455" s="426" t="str">
        <f t="shared" si="47"/>
        <v>E</v>
      </c>
      <c r="D455" s="426" t="s">
        <v>2659</v>
      </c>
      <c r="E455" s="426" t="str">
        <f t="shared" ref="E455:E518" si="50">MID($F455,8,3)</f>
        <v>397</v>
      </c>
      <c r="F455" s="741" t="s">
        <v>1820</v>
      </c>
      <c r="G455" s="425" t="str">
        <f t="shared" si="48"/>
        <v/>
      </c>
      <c r="H455" s="426">
        <v>33834.273839399997</v>
      </c>
      <c r="I455" s="426">
        <v>34221.038100799997</v>
      </c>
      <c r="J455" s="426">
        <v>34608.846861699902</v>
      </c>
      <c r="K455" s="426">
        <v>34997.700122099901</v>
      </c>
      <c r="L455" s="426">
        <v>35387.332536199901</v>
      </c>
      <c r="M455" s="426">
        <v>35777.767714699999</v>
      </c>
      <c r="N455" s="426">
        <v>36172.098120399998</v>
      </c>
      <c r="O455" s="426">
        <v>36569.9932032</v>
      </c>
      <c r="P455" s="426">
        <v>36967.888286000001</v>
      </c>
      <c r="Q455" s="426">
        <v>37365.783368800003</v>
      </c>
      <c r="R455" s="426">
        <v>37769.395118200002</v>
      </c>
      <c r="S455" s="426">
        <v>38178.723534299999</v>
      </c>
      <c r="T455" s="426">
        <v>38588.051950399997</v>
      </c>
      <c r="V455" s="426">
        <f t="shared" si="49"/>
        <v>36187.607135092287</v>
      </c>
    </row>
    <row r="456" spans="1:22">
      <c r="A456" s="426" t="str">
        <f t="shared" si="45"/>
        <v>KU</v>
      </c>
      <c r="B456" s="426" t="str">
        <f t="shared" si="46"/>
        <v>VA</v>
      </c>
      <c r="C456" s="426" t="str">
        <f t="shared" si="47"/>
        <v>E</v>
      </c>
      <c r="D456" s="426" t="s">
        <v>2659</v>
      </c>
      <c r="E456" s="426" t="str">
        <f t="shared" si="50"/>
        <v>397</v>
      </c>
      <c r="F456" s="741" t="s">
        <v>1821</v>
      </c>
      <c r="G456" s="425" t="str">
        <f t="shared" si="48"/>
        <v/>
      </c>
      <c r="H456" s="426">
        <v>785.85322017999897</v>
      </c>
      <c r="I456" s="426">
        <v>793.53679419799903</v>
      </c>
      <c r="J456" s="426">
        <v>801.22036821599897</v>
      </c>
      <c r="K456" s="426">
        <v>808.90394223399903</v>
      </c>
      <c r="L456" s="426">
        <v>816.58751625199898</v>
      </c>
      <c r="M456" s="426">
        <v>824.27109026999904</v>
      </c>
      <c r="N456" s="426">
        <v>831.95466428799898</v>
      </c>
      <c r="O456" s="426">
        <v>839.63823830599904</v>
      </c>
      <c r="P456" s="426">
        <v>847.32181232399898</v>
      </c>
      <c r="Q456" s="426">
        <v>855.00538634199802</v>
      </c>
      <c r="R456" s="426">
        <v>862.68896035999796</v>
      </c>
      <c r="S456" s="426">
        <v>870.37253437799802</v>
      </c>
      <c r="T456" s="426">
        <v>878.05610839599797</v>
      </c>
      <c r="V456" s="426">
        <f t="shared" si="49"/>
        <v>831.95466428799875</v>
      </c>
    </row>
    <row r="457" spans="1:22">
      <c r="F457" s="799" t="s">
        <v>1823</v>
      </c>
      <c r="G457" s="425" t="str">
        <f t="shared" ref="G457:G502" si="51">IF(ISTEXT(MID($F457,SEARCH("FUTURE USE",$F457),3)),"FUTURE USE",IF(ISTEXT(MID($F457,SEARCH("ECR",$F457),3)),"ECR",IF(ISTEXT(MID($F457,SEARCH("ARO",$F457),3)),"ARO",IF(ISTEXT(MID($F457,SEARCH("DSM",$F457),3)),"DSM",""))))</f>
        <v/>
      </c>
      <c r="H457" s="426">
        <f>SUM(H324:H456)</f>
        <v>3777026.6865477986</v>
      </c>
      <c r="I457" s="426">
        <f t="shared" ref="I457:T457" si="52">SUM(I324:I456)</f>
        <v>3804696.0944883171</v>
      </c>
      <c r="J457" s="426">
        <f t="shared" si="52"/>
        <v>3833241.6283720238</v>
      </c>
      <c r="K457" s="426">
        <f t="shared" si="52"/>
        <v>3865007.9784271456</v>
      </c>
      <c r="L457" s="426">
        <f t="shared" si="52"/>
        <v>3892570.8265976883</v>
      </c>
      <c r="M457" s="426">
        <f t="shared" si="52"/>
        <v>3921549.1744603836</v>
      </c>
      <c r="N457" s="426">
        <f t="shared" si="52"/>
        <v>3931257.5600085435</v>
      </c>
      <c r="O457" s="426">
        <f t="shared" si="52"/>
        <v>3939965.9503915799</v>
      </c>
      <c r="P457" s="426">
        <f t="shared" si="52"/>
        <v>3966234.6412711339</v>
      </c>
      <c r="Q457" s="426">
        <f t="shared" si="52"/>
        <v>3994685.7754782373</v>
      </c>
      <c r="R457" s="426">
        <f t="shared" si="52"/>
        <v>4026519.057684904</v>
      </c>
      <c r="S457" s="426">
        <f t="shared" si="52"/>
        <v>4056821.3960425081</v>
      </c>
      <c r="T457" s="426">
        <f t="shared" si="52"/>
        <v>4085808.2056889166</v>
      </c>
      <c r="V457" s="426">
        <f t="shared" si="49"/>
        <v>3930414.228881476</v>
      </c>
    </row>
    <row r="458" spans="1:22">
      <c r="G458" s="425" t="str">
        <f t="shared" si="51"/>
        <v/>
      </c>
      <c r="U458" s="426">
        <f t="shared" ref="U458:U500" si="53">SUM(I458:T458)</f>
        <v>0</v>
      </c>
    </row>
    <row r="459" spans="1:22">
      <c r="F459" s="800" t="s">
        <v>1826</v>
      </c>
      <c r="G459" s="425" t="str">
        <f t="shared" si="51"/>
        <v/>
      </c>
      <c r="U459" s="426">
        <f t="shared" si="53"/>
        <v>0</v>
      </c>
    </row>
    <row r="460" spans="1:22">
      <c r="A460" s="426" t="str">
        <f t="shared" si="45"/>
        <v>KU</v>
      </c>
      <c r="B460" s="426" t="str">
        <f t="shared" si="46"/>
        <v>KY</v>
      </c>
      <c r="C460" s="426" t="str">
        <f t="shared" si="47"/>
        <v>E</v>
      </c>
      <c r="D460" s="426" t="s">
        <v>2670</v>
      </c>
      <c r="E460" s="426" t="str">
        <f t="shared" si="50"/>
        <v>302</v>
      </c>
      <c r="F460" s="741" t="s">
        <v>1720</v>
      </c>
      <c r="G460" s="425" t="str">
        <f t="shared" si="51"/>
        <v/>
      </c>
      <c r="H460" s="426">
        <v>0.43671519650000001</v>
      </c>
      <c r="I460" s="426">
        <v>0.43671519650000001</v>
      </c>
      <c r="J460" s="426">
        <v>0.43671519650000001</v>
      </c>
      <c r="K460" s="426">
        <v>0.43671519650000001</v>
      </c>
      <c r="L460" s="426">
        <v>0.43671519650000001</v>
      </c>
      <c r="M460" s="426">
        <v>0.43671519650000001</v>
      </c>
      <c r="N460" s="426">
        <v>0.43671519650000001</v>
      </c>
      <c r="O460" s="426">
        <v>0.43671519650000001</v>
      </c>
      <c r="P460" s="426">
        <v>0.43671519650000001</v>
      </c>
      <c r="Q460" s="426">
        <v>0.43671519650000001</v>
      </c>
      <c r="R460" s="426">
        <v>0.43671519650000001</v>
      </c>
      <c r="S460" s="426">
        <v>0.43671519650000001</v>
      </c>
      <c r="T460" s="426">
        <v>0.43671519650000001</v>
      </c>
      <c r="U460" s="426">
        <f t="shared" si="53"/>
        <v>5.2405823579999984</v>
      </c>
    </row>
    <row r="461" spans="1:22">
      <c r="A461" s="426" t="str">
        <f t="shared" si="45"/>
        <v>KU</v>
      </c>
      <c r="B461" s="426" t="str">
        <f t="shared" si="46"/>
        <v>KY</v>
      </c>
      <c r="C461" s="426" t="str">
        <f t="shared" si="47"/>
        <v>E</v>
      </c>
      <c r="D461" s="426" t="s">
        <v>2670</v>
      </c>
      <c r="E461" s="426" t="str">
        <f t="shared" si="50"/>
        <v>303</v>
      </c>
      <c r="F461" s="741" t="s">
        <v>2710</v>
      </c>
      <c r="G461" s="425" t="str">
        <f t="shared" si="51"/>
        <v/>
      </c>
      <c r="H461" s="426">
        <v>31.55550672</v>
      </c>
      <c r="I461" s="426">
        <v>31.55550672</v>
      </c>
      <c r="J461" s="426">
        <v>31.55550672</v>
      </c>
      <c r="K461" s="426">
        <v>31.55550672</v>
      </c>
      <c r="L461" s="426">
        <v>31.55550672</v>
      </c>
      <c r="M461" s="426">
        <v>31.55550672</v>
      </c>
      <c r="N461" s="426">
        <v>31.55550672</v>
      </c>
      <c r="O461" s="426">
        <v>31.55550672</v>
      </c>
      <c r="P461" s="426">
        <v>31.55550672</v>
      </c>
      <c r="Q461" s="426">
        <v>31.55550672</v>
      </c>
      <c r="R461" s="426">
        <v>31.55550672</v>
      </c>
      <c r="S461" s="426">
        <v>31.55550672</v>
      </c>
      <c r="T461" s="426">
        <v>31.55550672</v>
      </c>
      <c r="U461" s="426">
        <f t="shared" si="53"/>
        <v>378.66608063999996</v>
      </c>
    </row>
    <row r="462" spans="1:22">
      <c r="A462" s="426" t="str">
        <f t="shared" si="45"/>
        <v>KU</v>
      </c>
      <c r="B462" s="426" t="str">
        <f t="shared" si="46"/>
        <v>KY</v>
      </c>
      <c r="C462" s="426" t="str">
        <f t="shared" si="47"/>
        <v>E</v>
      </c>
      <c r="D462" s="426" t="s">
        <v>2670</v>
      </c>
      <c r="E462" s="426" t="str">
        <f t="shared" si="50"/>
        <v>303</v>
      </c>
      <c r="F462" s="741" t="s">
        <v>1721</v>
      </c>
      <c r="G462" s="425" t="str">
        <f t="shared" si="51"/>
        <v/>
      </c>
      <c r="H462" s="426">
        <v>1634.74397</v>
      </c>
      <c r="I462" s="426">
        <v>1631.898643</v>
      </c>
      <c r="J462" s="426">
        <v>1629.3247200000001</v>
      </c>
      <c r="K462" s="426">
        <v>1664.10687999999</v>
      </c>
      <c r="L462" s="426">
        <v>1684.9463350000001</v>
      </c>
      <c r="M462" s="426">
        <v>1662.19687</v>
      </c>
      <c r="N462" s="426">
        <v>1672.4707759999999</v>
      </c>
      <c r="O462" s="426">
        <v>1679.3880449999999</v>
      </c>
      <c r="P462" s="426">
        <v>1666.2905699999999</v>
      </c>
      <c r="Q462" s="426">
        <v>1663.569831</v>
      </c>
      <c r="R462" s="426">
        <v>1660.8890280000001</v>
      </c>
      <c r="S462" s="426">
        <v>1656.9108629999901</v>
      </c>
      <c r="T462" s="426">
        <v>1660.5986789999999</v>
      </c>
      <c r="U462" s="426">
        <f t="shared" si="53"/>
        <v>19932.59123999998</v>
      </c>
    </row>
    <row r="463" spans="1:22">
      <c r="A463" s="426" t="str">
        <f t="shared" si="45"/>
        <v>KU</v>
      </c>
      <c r="B463" s="426" t="str">
        <f t="shared" si="46"/>
        <v>KY</v>
      </c>
      <c r="C463" s="426" t="str">
        <f t="shared" si="47"/>
        <v>E</v>
      </c>
      <c r="D463" s="426" t="s">
        <v>2670</v>
      </c>
      <c r="E463" s="426" t="str">
        <f t="shared" si="50"/>
        <v>303</v>
      </c>
      <c r="F463" s="741" t="s">
        <v>1722</v>
      </c>
      <c r="G463" s="425" t="str">
        <f t="shared" si="51"/>
        <v/>
      </c>
      <c r="H463" s="426">
        <v>150.55216630000001</v>
      </c>
      <c r="I463" s="426">
        <v>142.58733899999999</v>
      </c>
      <c r="J463" s="426">
        <v>134.46647060000001</v>
      </c>
      <c r="K463" s="426">
        <v>134.3104294</v>
      </c>
      <c r="L463" s="426">
        <v>133.6847075</v>
      </c>
      <c r="M463" s="426">
        <v>133.0589856</v>
      </c>
      <c r="N463" s="426">
        <v>133.0589856</v>
      </c>
      <c r="O463" s="426">
        <v>133.0589856</v>
      </c>
      <c r="P463" s="426">
        <v>133.0589856</v>
      </c>
      <c r="Q463" s="426">
        <v>133.0589856</v>
      </c>
      <c r="R463" s="426">
        <v>133.33144390000001</v>
      </c>
      <c r="S463" s="426">
        <v>133.60390229999999</v>
      </c>
      <c r="T463" s="426">
        <v>133.60390229999999</v>
      </c>
      <c r="U463" s="426">
        <f t="shared" si="53"/>
        <v>1610.8831230000003</v>
      </c>
    </row>
    <row r="464" spans="1:22">
      <c r="A464" s="426" t="str">
        <f t="shared" si="45"/>
        <v>KU</v>
      </c>
      <c r="B464" s="426" t="str">
        <f t="shared" si="46"/>
        <v>KY</v>
      </c>
      <c r="C464" s="426" t="str">
        <f t="shared" si="47"/>
        <v>E</v>
      </c>
      <c r="D464" s="426" t="s">
        <v>2670</v>
      </c>
      <c r="E464" s="426" t="str">
        <f>MID($F464,8,3)</f>
        <v>311</v>
      </c>
      <c r="F464" s="741" t="s">
        <v>1726</v>
      </c>
      <c r="G464" s="425" t="str">
        <f t="shared" si="51"/>
        <v>ECR</v>
      </c>
      <c r="H464" s="426">
        <v>28.49644272375</v>
      </c>
      <c r="I464" s="426">
        <v>0</v>
      </c>
      <c r="J464" s="426">
        <v>0</v>
      </c>
      <c r="K464" s="426">
        <v>0</v>
      </c>
      <c r="L464" s="426">
        <v>0</v>
      </c>
      <c r="M464" s="426">
        <v>0</v>
      </c>
      <c r="N464" s="426">
        <v>0</v>
      </c>
      <c r="O464" s="426">
        <v>0</v>
      </c>
      <c r="P464" s="426">
        <v>0</v>
      </c>
      <c r="Q464" s="426">
        <v>0</v>
      </c>
      <c r="R464" s="426">
        <v>0</v>
      </c>
      <c r="S464" s="426">
        <v>0</v>
      </c>
      <c r="T464" s="426">
        <v>0</v>
      </c>
      <c r="U464" s="426">
        <f t="shared" si="53"/>
        <v>0</v>
      </c>
    </row>
    <row r="465" spans="1:21">
      <c r="A465" s="426" t="str">
        <f t="shared" si="45"/>
        <v>KU</v>
      </c>
      <c r="B465" s="426" t="str">
        <f t="shared" si="46"/>
        <v>KY</v>
      </c>
      <c r="C465" s="426" t="str">
        <f t="shared" si="47"/>
        <v>E</v>
      </c>
      <c r="D465" s="426" t="s">
        <v>2670</v>
      </c>
      <c r="E465" s="426" t="str">
        <f t="shared" si="50"/>
        <v>311</v>
      </c>
      <c r="F465" s="741" t="s">
        <v>2713</v>
      </c>
      <c r="G465" s="425" t="str">
        <f t="shared" si="51"/>
        <v>ECR</v>
      </c>
      <c r="H465" s="426">
        <v>0.48269229325000002</v>
      </c>
      <c r="I465" s="426">
        <v>0.54936249950000005</v>
      </c>
      <c r="J465" s="426">
        <v>0.54936249950000005</v>
      </c>
      <c r="K465" s="426">
        <v>0.54936249950000005</v>
      </c>
      <c r="L465" s="426">
        <v>0.54936249950000005</v>
      </c>
      <c r="M465" s="426">
        <v>0.54936249950000005</v>
      </c>
      <c r="N465" s="426">
        <v>0.54936249950000005</v>
      </c>
      <c r="O465" s="426">
        <v>0.54936249950000005</v>
      </c>
      <c r="P465" s="426">
        <v>0.54936249950000005</v>
      </c>
      <c r="Q465" s="426">
        <v>0.54936249950000005</v>
      </c>
      <c r="R465" s="426">
        <v>0.54936249950000005</v>
      </c>
      <c r="S465" s="426">
        <v>0.54936249950000005</v>
      </c>
      <c r="T465" s="426">
        <v>0.54936249950000005</v>
      </c>
      <c r="U465" s="426">
        <f t="shared" si="53"/>
        <v>6.5923499940000001</v>
      </c>
    </row>
    <row r="466" spans="1:21">
      <c r="A466" s="426" t="str">
        <f t="shared" si="45"/>
        <v>KU</v>
      </c>
      <c r="B466" s="426" t="str">
        <f t="shared" si="46"/>
        <v>KY</v>
      </c>
      <c r="C466" s="426" t="str">
        <f t="shared" si="47"/>
        <v>E</v>
      </c>
      <c r="D466" s="426" t="s">
        <v>2670</v>
      </c>
      <c r="E466" s="426" t="str">
        <f t="shared" si="50"/>
        <v>311</v>
      </c>
      <c r="F466" s="741" t="s">
        <v>2178</v>
      </c>
      <c r="G466" s="425" t="str">
        <f t="shared" si="51"/>
        <v>ECR</v>
      </c>
      <c r="H466" s="426">
        <v>30.567764985</v>
      </c>
      <c r="I466" s="426">
        <v>0</v>
      </c>
      <c r="J466" s="426">
        <v>0</v>
      </c>
      <c r="K466" s="426">
        <v>0</v>
      </c>
      <c r="L466" s="426">
        <v>0</v>
      </c>
      <c r="M466" s="426">
        <v>0</v>
      </c>
      <c r="N466" s="426">
        <v>0</v>
      </c>
      <c r="O466" s="426">
        <v>0</v>
      </c>
      <c r="P466" s="426">
        <v>0</v>
      </c>
      <c r="Q466" s="426">
        <v>0</v>
      </c>
      <c r="R466" s="426">
        <v>0</v>
      </c>
      <c r="S466" s="426">
        <v>0</v>
      </c>
      <c r="T466" s="426">
        <v>0</v>
      </c>
      <c r="U466" s="426">
        <f t="shared" si="53"/>
        <v>0</v>
      </c>
    </row>
    <row r="467" spans="1:21">
      <c r="A467" s="426" t="str">
        <f t="shared" si="45"/>
        <v>KU</v>
      </c>
      <c r="B467" s="426" t="str">
        <f t="shared" si="46"/>
        <v>KY</v>
      </c>
      <c r="C467" s="426" t="str">
        <f t="shared" si="47"/>
        <v>E</v>
      </c>
      <c r="D467" s="426" t="s">
        <v>2670</v>
      </c>
      <c r="E467" s="426" t="str">
        <f t="shared" si="50"/>
        <v>311</v>
      </c>
      <c r="F467" s="741" t="s">
        <v>1727</v>
      </c>
      <c r="G467" s="425" t="str">
        <f t="shared" si="51"/>
        <v/>
      </c>
      <c r="H467" s="426">
        <v>662.02500277762999</v>
      </c>
      <c r="I467" s="426">
        <v>1108.4013757739101</v>
      </c>
      <c r="J467" s="426">
        <v>1110.04933174541</v>
      </c>
      <c r="K467" s="426">
        <v>1111.9849800399099</v>
      </c>
      <c r="L467" s="426">
        <v>1112.4646646032099</v>
      </c>
      <c r="M467" s="426">
        <v>1112.6566567526099</v>
      </c>
      <c r="N467" s="426">
        <v>1112.6566567526099</v>
      </c>
      <c r="O467" s="426">
        <v>1112.6566567526099</v>
      </c>
      <c r="P467" s="426">
        <v>1112.6566567526099</v>
      </c>
      <c r="Q467" s="426">
        <v>1112.6566567526099</v>
      </c>
      <c r="R467" s="426">
        <v>1113.26329005861</v>
      </c>
      <c r="S467" s="426">
        <v>1113.8699234536</v>
      </c>
      <c r="T467" s="426">
        <v>1113.8699234536</v>
      </c>
      <c r="U467" s="426">
        <f t="shared" si="53"/>
        <v>13347.186772891298</v>
      </c>
    </row>
    <row r="468" spans="1:21">
      <c r="A468" s="426" t="str">
        <f t="shared" si="45"/>
        <v>KU</v>
      </c>
      <c r="B468" s="426" t="str">
        <f t="shared" si="46"/>
        <v>KY</v>
      </c>
      <c r="C468" s="426" t="str">
        <f t="shared" si="47"/>
        <v>E</v>
      </c>
      <c r="D468" s="426" t="s">
        <v>2670</v>
      </c>
      <c r="E468" s="426" t="str">
        <f t="shared" si="50"/>
        <v>312</v>
      </c>
      <c r="F468" s="741" t="s">
        <v>1728</v>
      </c>
      <c r="G468" s="425" t="str">
        <f t="shared" si="51"/>
        <v/>
      </c>
      <c r="H468" s="426">
        <v>8417.3283284820009</v>
      </c>
      <c r="I468" s="426">
        <v>17551.498596822901</v>
      </c>
      <c r="J468" s="426">
        <v>17552.241570742899</v>
      </c>
      <c r="K468" s="426">
        <v>17551.155904899901</v>
      </c>
      <c r="L468" s="426">
        <v>17553.395667917001</v>
      </c>
      <c r="M468" s="426">
        <v>17562.9267533169</v>
      </c>
      <c r="N468" s="426">
        <v>17583.142784271899</v>
      </c>
      <c r="O468" s="426">
        <v>17593.599446556898</v>
      </c>
      <c r="P468" s="426">
        <v>17581.8314005469</v>
      </c>
      <c r="Q468" s="426">
        <v>17581.724742496899</v>
      </c>
      <c r="R468" s="426">
        <v>17599.461603776901</v>
      </c>
      <c r="S468" s="426">
        <v>17610.591941516901</v>
      </c>
      <c r="T468" s="426">
        <v>17614.114391576899</v>
      </c>
      <c r="U468" s="426">
        <f t="shared" si="53"/>
        <v>210935.68480444292</v>
      </c>
    </row>
    <row r="469" spans="1:21">
      <c r="A469" s="426" t="str">
        <f t="shared" si="45"/>
        <v>KU</v>
      </c>
      <c r="B469" s="426" t="str">
        <f t="shared" si="46"/>
        <v>KY</v>
      </c>
      <c r="C469" s="426" t="str">
        <f t="shared" si="47"/>
        <v>E</v>
      </c>
      <c r="D469" s="426" t="s">
        <v>2670</v>
      </c>
      <c r="E469" s="426" t="str">
        <f t="shared" si="50"/>
        <v>312</v>
      </c>
      <c r="F469" s="741" t="s">
        <v>1729</v>
      </c>
      <c r="G469" s="425" t="str">
        <f t="shared" si="51"/>
        <v>ECR</v>
      </c>
      <c r="H469" s="426">
        <v>1665.2065154509901</v>
      </c>
      <c r="I469" s="426">
        <v>0</v>
      </c>
      <c r="J469" s="426">
        <v>0</v>
      </c>
      <c r="K469" s="426">
        <v>0</v>
      </c>
      <c r="L469" s="426">
        <v>0</v>
      </c>
      <c r="M469" s="426">
        <v>0</v>
      </c>
      <c r="N469" s="426">
        <v>0</v>
      </c>
      <c r="O469" s="426">
        <v>0</v>
      </c>
      <c r="P469" s="426">
        <v>0</v>
      </c>
      <c r="Q469" s="426">
        <v>0</v>
      </c>
      <c r="R469" s="426">
        <v>0</v>
      </c>
      <c r="S469" s="426">
        <v>0</v>
      </c>
      <c r="T469" s="426">
        <v>0</v>
      </c>
      <c r="U469" s="426">
        <f t="shared" si="53"/>
        <v>0</v>
      </c>
    </row>
    <row r="470" spans="1:21">
      <c r="A470" s="426" t="str">
        <f t="shared" si="45"/>
        <v>KU</v>
      </c>
      <c r="B470" s="426" t="str">
        <f t="shared" si="46"/>
        <v>KY</v>
      </c>
      <c r="C470" s="426" t="str">
        <f t="shared" si="47"/>
        <v>E</v>
      </c>
      <c r="D470" s="426" t="s">
        <v>2670</v>
      </c>
      <c r="E470" s="426" t="str">
        <f t="shared" si="50"/>
        <v>312</v>
      </c>
      <c r="F470" s="741" t="s">
        <v>2714</v>
      </c>
      <c r="G470" s="425" t="str">
        <f t="shared" si="51"/>
        <v>ECR</v>
      </c>
      <c r="H470" s="426">
        <v>175.923314045783</v>
      </c>
      <c r="I470" s="426">
        <v>189.70532488577999</v>
      </c>
      <c r="J470" s="426">
        <v>189.70532488577999</v>
      </c>
      <c r="K470" s="426">
        <v>189.70532488577999</v>
      </c>
      <c r="L470" s="426">
        <v>235.60085871478</v>
      </c>
      <c r="M470" s="426">
        <v>281.49639253478</v>
      </c>
      <c r="N470" s="426">
        <v>281.49639253478</v>
      </c>
      <c r="O470" s="426">
        <v>281.49639253478</v>
      </c>
      <c r="P470" s="426">
        <v>281.49639253478</v>
      </c>
      <c r="Q470" s="426">
        <v>281.49639253478</v>
      </c>
      <c r="R470" s="426">
        <v>281.49639253478</v>
      </c>
      <c r="S470" s="426">
        <v>281.49639253478</v>
      </c>
      <c r="T470" s="426">
        <v>281.49639253478</v>
      </c>
      <c r="U470" s="426">
        <f t="shared" si="53"/>
        <v>3056.6879736503602</v>
      </c>
    </row>
    <row r="471" spans="1:21">
      <c r="A471" s="426" t="str">
        <f t="shared" si="45"/>
        <v>KU</v>
      </c>
      <c r="B471" s="426" t="str">
        <f t="shared" si="46"/>
        <v>KY</v>
      </c>
      <c r="C471" s="426" t="str">
        <f t="shared" si="47"/>
        <v>E</v>
      </c>
      <c r="D471" s="426" t="s">
        <v>2670</v>
      </c>
      <c r="E471" s="426" t="str">
        <f t="shared" si="50"/>
        <v>312</v>
      </c>
      <c r="F471" s="741" t="s">
        <v>1730</v>
      </c>
      <c r="G471" s="425" t="str">
        <f t="shared" si="51"/>
        <v>ECR</v>
      </c>
      <c r="H471" s="426">
        <v>3180.3315589700001</v>
      </c>
      <c r="I471" s="426">
        <v>0</v>
      </c>
      <c r="J471" s="426">
        <v>0</v>
      </c>
      <c r="K471" s="426">
        <v>0</v>
      </c>
      <c r="L471" s="426">
        <v>0</v>
      </c>
      <c r="M471" s="426">
        <v>0</v>
      </c>
      <c r="N471" s="426">
        <v>0</v>
      </c>
      <c r="O471" s="426">
        <v>0</v>
      </c>
      <c r="P471" s="426">
        <v>0</v>
      </c>
      <c r="Q471" s="426">
        <v>0</v>
      </c>
      <c r="R471" s="426">
        <v>0</v>
      </c>
      <c r="S471" s="426">
        <v>0</v>
      </c>
      <c r="T471" s="426">
        <v>0</v>
      </c>
      <c r="U471" s="426">
        <f t="shared" si="53"/>
        <v>0</v>
      </c>
    </row>
    <row r="472" spans="1:21">
      <c r="A472" s="426" t="str">
        <f t="shared" si="45"/>
        <v>KU</v>
      </c>
      <c r="B472" s="426" t="str">
        <f t="shared" si="46"/>
        <v>KY</v>
      </c>
      <c r="C472" s="426" t="str">
        <f t="shared" si="47"/>
        <v>E</v>
      </c>
      <c r="D472" s="426" t="s">
        <v>2670</v>
      </c>
      <c r="E472" s="426" t="str">
        <f t="shared" si="50"/>
        <v>312</v>
      </c>
      <c r="F472" s="741" t="s">
        <v>2179</v>
      </c>
      <c r="G472" s="425" t="str">
        <f t="shared" si="51"/>
        <v>ECR</v>
      </c>
      <c r="H472" s="426">
        <v>56.981852206529901</v>
      </c>
      <c r="I472" s="426">
        <v>0</v>
      </c>
      <c r="J472" s="426">
        <v>0</v>
      </c>
      <c r="K472" s="426">
        <v>0</v>
      </c>
      <c r="L472" s="426">
        <v>0</v>
      </c>
      <c r="M472" s="426">
        <v>0</v>
      </c>
      <c r="N472" s="426">
        <v>0</v>
      </c>
      <c r="O472" s="426">
        <v>0</v>
      </c>
      <c r="P472" s="426">
        <v>0</v>
      </c>
      <c r="Q472" s="426">
        <v>0</v>
      </c>
      <c r="R472" s="426">
        <v>0</v>
      </c>
      <c r="S472" s="426">
        <v>0</v>
      </c>
      <c r="T472" s="426">
        <v>0</v>
      </c>
      <c r="U472" s="426">
        <f t="shared" si="53"/>
        <v>0</v>
      </c>
    </row>
    <row r="473" spans="1:21">
      <c r="A473" s="426" t="str">
        <f t="shared" si="45"/>
        <v>KU</v>
      </c>
      <c r="B473" s="426" t="str">
        <f t="shared" si="46"/>
        <v>KY</v>
      </c>
      <c r="C473" s="426" t="str">
        <f t="shared" si="47"/>
        <v>E</v>
      </c>
      <c r="D473" s="426" t="s">
        <v>2670</v>
      </c>
      <c r="E473" s="426" t="str">
        <f t="shared" si="50"/>
        <v>312</v>
      </c>
      <c r="F473" s="741" t="s">
        <v>2715</v>
      </c>
      <c r="G473" s="425" t="str">
        <f t="shared" si="51"/>
        <v>ECR</v>
      </c>
      <c r="H473" s="426">
        <v>847.43742674500004</v>
      </c>
      <c r="I473" s="426">
        <v>1127.113283942</v>
      </c>
      <c r="J473" s="426">
        <v>1129.2549506089999</v>
      </c>
      <c r="K473" s="426">
        <v>1129.2549506089999</v>
      </c>
      <c r="L473" s="426">
        <v>1129.2549506089999</v>
      </c>
      <c r="M473" s="426">
        <v>1129.2549506089999</v>
      </c>
      <c r="N473" s="426">
        <v>1235.7496749320001</v>
      </c>
      <c r="O473" s="426">
        <v>1342.2443992359999</v>
      </c>
      <c r="P473" s="426">
        <v>1342.2443992359999</v>
      </c>
      <c r="Q473" s="426">
        <v>1342.2443992359999</v>
      </c>
      <c r="R473" s="426">
        <v>1342.2443992359999</v>
      </c>
      <c r="S473" s="426">
        <v>1342.2443992359999</v>
      </c>
      <c r="T473" s="426">
        <v>1342.2443992359999</v>
      </c>
      <c r="U473" s="426">
        <f t="shared" si="53"/>
        <v>14933.349156726001</v>
      </c>
    </row>
    <row r="474" spans="1:21">
      <c r="A474" s="426" t="str">
        <f t="shared" si="45"/>
        <v>KU</v>
      </c>
      <c r="B474" s="426" t="str">
        <f t="shared" si="46"/>
        <v>KY</v>
      </c>
      <c r="C474" s="426" t="str">
        <f t="shared" si="47"/>
        <v>E</v>
      </c>
      <c r="D474" s="426" t="s">
        <v>2670</v>
      </c>
      <c r="E474" s="426" t="str">
        <f t="shared" si="50"/>
        <v>312</v>
      </c>
      <c r="F474" s="741" t="s">
        <v>2716</v>
      </c>
      <c r="G474" s="425" t="str">
        <f t="shared" si="51"/>
        <v>ECR</v>
      </c>
      <c r="H474" s="426">
        <v>0</v>
      </c>
      <c r="I474" s="426">
        <v>0</v>
      </c>
      <c r="J474" s="426">
        <v>0</v>
      </c>
      <c r="K474" s="426">
        <v>0</v>
      </c>
      <c r="L474" s="426">
        <v>0</v>
      </c>
      <c r="M474" s="426">
        <v>0</v>
      </c>
      <c r="N474" s="426">
        <v>34.422537167000002</v>
      </c>
      <c r="O474" s="426">
        <v>68.845074332999999</v>
      </c>
      <c r="P474" s="426">
        <v>68.845074332999999</v>
      </c>
      <c r="Q474" s="426">
        <v>68.845074332999999</v>
      </c>
      <c r="R474" s="426">
        <v>68.845074332999999</v>
      </c>
      <c r="S474" s="426">
        <v>68.845074332999999</v>
      </c>
      <c r="T474" s="426">
        <v>68.845074332999999</v>
      </c>
      <c r="U474" s="426">
        <f t="shared" si="53"/>
        <v>447.49298316500006</v>
      </c>
    </row>
    <row r="475" spans="1:21">
      <c r="A475" s="426" t="str">
        <f t="shared" si="45"/>
        <v>KU</v>
      </c>
      <c r="B475" s="426" t="str">
        <f t="shared" si="46"/>
        <v>KY</v>
      </c>
      <c r="C475" s="426" t="str">
        <f t="shared" si="47"/>
        <v>E</v>
      </c>
      <c r="D475" s="426" t="s">
        <v>2670</v>
      </c>
      <c r="E475" s="426" t="str">
        <f t="shared" si="50"/>
        <v>314</v>
      </c>
      <c r="F475" s="741" t="s">
        <v>1732</v>
      </c>
      <c r="G475" s="425" t="str">
        <f t="shared" si="51"/>
        <v/>
      </c>
      <c r="H475" s="426">
        <v>897.92064738357999</v>
      </c>
      <c r="I475" s="426">
        <v>1269.881678775</v>
      </c>
      <c r="J475" s="426">
        <v>1271.1915575189901</v>
      </c>
      <c r="K475" s="426">
        <v>1272.6952027</v>
      </c>
      <c r="L475" s="426">
        <v>1272.6597197799999</v>
      </c>
      <c r="M475" s="426">
        <v>1273.57405829299</v>
      </c>
      <c r="N475" s="426">
        <v>1275.2235880850001</v>
      </c>
      <c r="O475" s="426">
        <v>1275.466040474</v>
      </c>
      <c r="P475" s="426">
        <v>1273.188235823</v>
      </c>
      <c r="Q475" s="426">
        <v>1271.237134896</v>
      </c>
      <c r="R475" s="426">
        <v>1271.2692473039999</v>
      </c>
      <c r="S475" s="426">
        <v>1270.922590272</v>
      </c>
      <c r="T475" s="426">
        <v>1270.3947324660001</v>
      </c>
      <c r="U475" s="426">
        <f t="shared" si="53"/>
        <v>15267.703786386981</v>
      </c>
    </row>
    <row r="476" spans="1:21">
      <c r="A476" s="426" t="str">
        <f t="shared" si="45"/>
        <v>KU</v>
      </c>
      <c r="B476" s="426" t="str">
        <f t="shared" si="46"/>
        <v>KY</v>
      </c>
      <c r="C476" s="426" t="str">
        <f t="shared" si="47"/>
        <v>E</v>
      </c>
      <c r="D476" s="426" t="s">
        <v>2670</v>
      </c>
      <c r="E476" s="426" t="str">
        <f t="shared" si="50"/>
        <v>315</v>
      </c>
      <c r="F476" s="741" t="s">
        <v>1733</v>
      </c>
      <c r="G476" s="425" t="str">
        <f t="shared" si="51"/>
        <v/>
      </c>
      <c r="H476" s="426">
        <v>545.09369590229005</v>
      </c>
      <c r="I476" s="426">
        <v>848.51475376321901</v>
      </c>
      <c r="J476" s="426">
        <v>848.51475376321901</v>
      </c>
      <c r="K476" s="426">
        <v>848.51475376321901</v>
      </c>
      <c r="L476" s="426">
        <v>848.70133139051995</v>
      </c>
      <c r="M476" s="426">
        <v>848.88790901682</v>
      </c>
      <c r="N476" s="426">
        <v>848.88790901682</v>
      </c>
      <c r="O476" s="426">
        <v>848.88790901682</v>
      </c>
      <c r="P476" s="426">
        <v>848.88790901682</v>
      </c>
      <c r="Q476" s="426">
        <v>848.88790901682</v>
      </c>
      <c r="R476" s="426">
        <v>848.88790901682</v>
      </c>
      <c r="S476" s="426">
        <v>848.88790901682</v>
      </c>
      <c r="T476" s="426">
        <v>848.88790901682</v>
      </c>
      <c r="U476" s="426">
        <f t="shared" si="53"/>
        <v>10185.348864814736</v>
      </c>
    </row>
    <row r="477" spans="1:21">
      <c r="A477" s="426" t="str">
        <f t="shared" si="45"/>
        <v>KU</v>
      </c>
      <c r="B477" s="426" t="str">
        <f t="shared" si="46"/>
        <v>KY</v>
      </c>
      <c r="C477" s="426" t="str">
        <f t="shared" si="47"/>
        <v>E</v>
      </c>
      <c r="D477" s="426" t="s">
        <v>2670</v>
      </c>
      <c r="E477" s="426" t="str">
        <f t="shared" si="50"/>
        <v>315</v>
      </c>
      <c r="F477" s="741" t="s">
        <v>2180</v>
      </c>
      <c r="G477" s="425" t="str">
        <f t="shared" si="51"/>
        <v>ECR</v>
      </c>
      <c r="H477" s="426">
        <v>60.174830385699998</v>
      </c>
      <c r="I477" s="426">
        <v>0</v>
      </c>
      <c r="J477" s="426">
        <v>0</v>
      </c>
      <c r="K477" s="426">
        <v>0</v>
      </c>
      <c r="L477" s="426">
        <v>0</v>
      </c>
      <c r="M477" s="426">
        <v>0</v>
      </c>
      <c r="N477" s="426">
        <v>0</v>
      </c>
      <c r="O477" s="426">
        <v>0</v>
      </c>
      <c r="P477" s="426">
        <v>0</v>
      </c>
      <c r="Q477" s="426">
        <v>0</v>
      </c>
      <c r="R477" s="426">
        <v>0</v>
      </c>
      <c r="S477" s="426">
        <v>0</v>
      </c>
      <c r="T477" s="426">
        <v>0</v>
      </c>
      <c r="U477" s="426">
        <f t="shared" si="53"/>
        <v>0</v>
      </c>
    </row>
    <row r="478" spans="1:21">
      <c r="A478" s="426" t="str">
        <f t="shared" si="45"/>
        <v>KU</v>
      </c>
      <c r="B478" s="426" t="str">
        <f t="shared" si="46"/>
        <v>KY</v>
      </c>
      <c r="C478" s="426" t="str">
        <f t="shared" si="47"/>
        <v>E</v>
      </c>
      <c r="D478" s="426" t="s">
        <v>2670</v>
      </c>
      <c r="E478" s="426" t="str">
        <f t="shared" si="50"/>
        <v>315</v>
      </c>
      <c r="F478" s="741" t="s">
        <v>2717</v>
      </c>
      <c r="G478" s="425" t="str">
        <f t="shared" si="51"/>
        <v>ECR</v>
      </c>
      <c r="H478" s="426">
        <v>2.0968545753700001</v>
      </c>
      <c r="I478" s="426">
        <v>2.1390024063699999</v>
      </c>
      <c r="J478" s="426">
        <v>2.1390024063699999</v>
      </c>
      <c r="K478" s="426">
        <v>2.1390024063699999</v>
      </c>
      <c r="L478" s="426">
        <v>2.1390024063699999</v>
      </c>
      <c r="M478" s="426">
        <v>2.1390024063699999</v>
      </c>
      <c r="N478" s="426">
        <v>2.1390024063699999</v>
      </c>
      <c r="O478" s="426">
        <v>2.1390024063699999</v>
      </c>
      <c r="P478" s="426">
        <v>2.1390024063699999</v>
      </c>
      <c r="Q478" s="426">
        <v>2.1390024063699999</v>
      </c>
      <c r="R478" s="426">
        <v>2.1390024063699999</v>
      </c>
      <c r="S478" s="426">
        <v>2.1390024063699999</v>
      </c>
      <c r="T478" s="426">
        <v>2.1390024063699999</v>
      </c>
      <c r="U478" s="426">
        <f t="shared" si="53"/>
        <v>25.668028876440001</v>
      </c>
    </row>
    <row r="479" spans="1:21">
      <c r="A479" s="426" t="str">
        <f t="shared" si="45"/>
        <v>KU</v>
      </c>
      <c r="B479" s="426" t="str">
        <f t="shared" si="46"/>
        <v>KY</v>
      </c>
      <c r="C479" s="426" t="str">
        <f t="shared" si="47"/>
        <v>E</v>
      </c>
      <c r="D479" s="426" t="s">
        <v>2670</v>
      </c>
      <c r="E479" s="426" t="str">
        <f t="shared" si="50"/>
        <v>315</v>
      </c>
      <c r="F479" s="741" t="s">
        <v>1734</v>
      </c>
      <c r="G479" s="425" t="str">
        <f t="shared" si="51"/>
        <v>ECR</v>
      </c>
      <c r="H479" s="426">
        <v>38.849341686839999</v>
      </c>
      <c r="I479" s="426">
        <v>0</v>
      </c>
      <c r="J479" s="426">
        <v>0</v>
      </c>
      <c r="K479" s="426">
        <v>0</v>
      </c>
      <c r="L479" s="426">
        <v>0</v>
      </c>
      <c r="M479" s="426">
        <v>0</v>
      </c>
      <c r="N479" s="426">
        <v>0</v>
      </c>
      <c r="O479" s="426">
        <v>0</v>
      </c>
      <c r="P479" s="426">
        <v>0</v>
      </c>
      <c r="Q479" s="426">
        <v>0</v>
      </c>
      <c r="R479" s="426">
        <v>0</v>
      </c>
      <c r="S479" s="426">
        <v>0</v>
      </c>
      <c r="T479" s="426">
        <v>0</v>
      </c>
      <c r="U479" s="426">
        <f t="shared" si="53"/>
        <v>0</v>
      </c>
    </row>
    <row r="480" spans="1:21">
      <c r="A480" s="426" t="str">
        <f t="shared" si="45"/>
        <v>KU</v>
      </c>
      <c r="B480" s="426" t="str">
        <f t="shared" si="46"/>
        <v>KY</v>
      </c>
      <c r="C480" s="426" t="str">
        <f t="shared" si="47"/>
        <v>E</v>
      </c>
      <c r="D480" s="426" t="s">
        <v>2670</v>
      </c>
      <c r="E480" s="426" t="str">
        <f t="shared" si="50"/>
        <v>316</v>
      </c>
      <c r="F480" s="741" t="s">
        <v>2181</v>
      </c>
      <c r="G480" s="425" t="str">
        <f t="shared" si="51"/>
        <v>ECR</v>
      </c>
      <c r="H480" s="426">
        <v>1.009260562333</v>
      </c>
      <c r="I480" s="426">
        <v>0</v>
      </c>
      <c r="J480" s="426">
        <v>0</v>
      </c>
      <c r="K480" s="426">
        <v>0</v>
      </c>
      <c r="L480" s="426">
        <v>0</v>
      </c>
      <c r="M480" s="426">
        <v>0</v>
      </c>
      <c r="N480" s="426">
        <v>0</v>
      </c>
      <c r="O480" s="426">
        <v>0</v>
      </c>
      <c r="P480" s="426">
        <v>0</v>
      </c>
      <c r="Q480" s="426">
        <v>0</v>
      </c>
      <c r="R480" s="426">
        <v>0</v>
      </c>
      <c r="S480" s="426">
        <v>0</v>
      </c>
      <c r="T480" s="426">
        <v>0</v>
      </c>
      <c r="U480" s="426">
        <f t="shared" si="53"/>
        <v>0</v>
      </c>
    </row>
    <row r="481" spans="1:24">
      <c r="A481" s="426" t="str">
        <f t="shared" si="45"/>
        <v>KU</v>
      </c>
      <c r="B481" s="426" t="str">
        <f t="shared" si="46"/>
        <v>KY</v>
      </c>
      <c r="C481" s="426" t="str">
        <f t="shared" si="47"/>
        <v>E</v>
      </c>
      <c r="D481" s="426" t="s">
        <v>2670</v>
      </c>
      <c r="E481" s="426" t="str">
        <f t="shared" si="50"/>
        <v>316</v>
      </c>
      <c r="F481" s="741" t="s">
        <v>1735</v>
      </c>
      <c r="G481" s="425" t="str">
        <f t="shared" si="51"/>
        <v/>
      </c>
      <c r="H481" s="426">
        <v>105.30846272713001</v>
      </c>
      <c r="I481" s="426">
        <v>143.52124779165001</v>
      </c>
      <c r="J481" s="426">
        <v>145.56091479725001</v>
      </c>
      <c r="K481" s="426">
        <v>147.81217293895</v>
      </c>
      <c r="L481" s="426">
        <v>148.72390559725</v>
      </c>
      <c r="M481" s="426">
        <v>151.16784494095</v>
      </c>
      <c r="N481" s="426">
        <v>154.32575346914999</v>
      </c>
      <c r="O481" s="426">
        <v>155.35455314095</v>
      </c>
      <c r="P481" s="426">
        <v>155.40960893165001</v>
      </c>
      <c r="Q481" s="426">
        <v>155.59181423595001</v>
      </c>
      <c r="R481" s="426">
        <v>156.34259313195</v>
      </c>
      <c r="S481" s="426">
        <v>162.16236614695001</v>
      </c>
      <c r="T481" s="426">
        <v>169.32797578875</v>
      </c>
      <c r="U481" s="426">
        <f t="shared" si="53"/>
        <v>1845.3007509114</v>
      </c>
    </row>
    <row r="482" spans="1:24">
      <c r="A482" s="426" t="str">
        <f t="shared" si="45"/>
        <v>KU</v>
      </c>
      <c r="B482" s="426" t="str">
        <f t="shared" si="46"/>
        <v>KY</v>
      </c>
      <c r="C482" s="426" t="str">
        <f t="shared" si="47"/>
        <v>E</v>
      </c>
      <c r="D482" s="426" t="s">
        <v>2670</v>
      </c>
      <c r="E482" s="426" t="str">
        <f t="shared" si="50"/>
        <v>317</v>
      </c>
      <c r="F482" s="741" t="s">
        <v>1736</v>
      </c>
      <c r="G482" s="425" t="str">
        <f t="shared" si="51"/>
        <v>ARO</v>
      </c>
      <c r="H482" s="426">
        <v>51.601715498350302</v>
      </c>
      <c r="I482" s="426">
        <v>51.601715498350302</v>
      </c>
      <c r="J482" s="426">
        <v>51.601715498350302</v>
      </c>
      <c r="K482" s="426">
        <v>51.601715498350302</v>
      </c>
      <c r="L482" s="426">
        <v>51.601715498350302</v>
      </c>
      <c r="M482" s="426">
        <v>51.601715498350302</v>
      </c>
      <c r="N482" s="426">
        <v>51.601715498350302</v>
      </c>
      <c r="O482" s="426">
        <v>51.601715498350302</v>
      </c>
      <c r="P482" s="426">
        <v>51.601715498350302</v>
      </c>
      <c r="Q482" s="426">
        <v>51.601715498350302</v>
      </c>
      <c r="R482" s="426">
        <v>51.601715498350302</v>
      </c>
      <c r="S482" s="426">
        <v>51.601715498350302</v>
      </c>
      <c r="T482" s="426">
        <v>51.601715498350302</v>
      </c>
      <c r="U482" s="426">
        <f t="shared" si="53"/>
        <v>619.22058598020362</v>
      </c>
    </row>
    <row r="483" spans="1:24">
      <c r="A483" s="426" t="str">
        <f t="shared" ref="A483:A546" si="54">MID($F483,4,2)</f>
        <v>KU</v>
      </c>
      <c r="B483" s="426" t="str">
        <f t="shared" si="46"/>
        <v>KY</v>
      </c>
      <c r="C483" s="426" t="str">
        <f t="shared" si="47"/>
        <v>E</v>
      </c>
      <c r="D483" s="426" t="s">
        <v>2670</v>
      </c>
      <c r="E483" s="426" t="str">
        <f t="shared" si="50"/>
        <v>317</v>
      </c>
      <c r="F483" s="741" t="s">
        <v>2398</v>
      </c>
      <c r="G483" s="425" t="str">
        <f t="shared" si="51"/>
        <v>ARO</v>
      </c>
      <c r="H483" s="426">
        <v>1260</v>
      </c>
      <c r="I483" s="426">
        <v>1260</v>
      </c>
      <c r="J483" s="426">
        <v>1260</v>
      </c>
      <c r="K483" s="426">
        <v>1260</v>
      </c>
      <c r="L483" s="426">
        <v>1260</v>
      </c>
      <c r="M483" s="426">
        <v>1260</v>
      </c>
      <c r="N483" s="426">
        <v>1260</v>
      </c>
      <c r="O483" s="426">
        <v>921.36959000000002</v>
      </c>
      <c r="P483" s="426">
        <v>921.36959000000002</v>
      </c>
      <c r="Q483" s="426">
        <v>921.36959000000002</v>
      </c>
      <c r="R483" s="426">
        <v>921.36959000000002</v>
      </c>
      <c r="S483" s="426">
        <v>921.36959000000002</v>
      </c>
      <c r="T483" s="426">
        <v>921.36959000000002</v>
      </c>
      <c r="U483" s="426">
        <f t="shared" si="53"/>
        <v>13088.217540000001</v>
      </c>
    </row>
    <row r="484" spans="1:24">
      <c r="A484" s="426" t="str">
        <f t="shared" si="54"/>
        <v>KU</v>
      </c>
      <c r="B484" s="426" t="str">
        <f t="shared" si="46"/>
        <v>KY</v>
      </c>
      <c r="C484" s="426" t="str">
        <f t="shared" si="47"/>
        <v>E</v>
      </c>
      <c r="D484" s="426" t="s">
        <v>2670</v>
      </c>
      <c r="E484" s="426" t="str">
        <f t="shared" si="50"/>
        <v>331</v>
      </c>
      <c r="F484" s="741" t="s">
        <v>1738</v>
      </c>
      <c r="G484" s="425" t="str">
        <f t="shared" si="51"/>
        <v/>
      </c>
      <c r="H484" s="426">
        <v>9.3550026594000002</v>
      </c>
      <c r="I484" s="426">
        <v>16.408976434300001</v>
      </c>
      <c r="J484" s="426">
        <v>16.408976434300001</v>
      </c>
      <c r="K484" s="426">
        <v>17.963056167999898</v>
      </c>
      <c r="L484" s="426">
        <v>19.5171359018</v>
      </c>
      <c r="M484" s="426">
        <v>19.5171359018</v>
      </c>
      <c r="N484" s="426">
        <v>19.5171359018</v>
      </c>
      <c r="O484" s="426">
        <v>19.5171359018</v>
      </c>
      <c r="P484" s="426">
        <v>19.5171359018</v>
      </c>
      <c r="Q484" s="426">
        <v>19.5171359018</v>
      </c>
      <c r="R484" s="426">
        <v>19.5171359018</v>
      </c>
      <c r="S484" s="426">
        <v>19.5171359018</v>
      </c>
      <c r="T484" s="426">
        <v>19.5171359018</v>
      </c>
      <c r="U484" s="426">
        <f t="shared" si="53"/>
        <v>226.43523215279993</v>
      </c>
    </row>
    <row r="485" spans="1:24">
      <c r="A485" s="426" t="str">
        <f t="shared" si="54"/>
        <v>KU</v>
      </c>
      <c r="B485" s="426" t="str">
        <f t="shared" si="46"/>
        <v>KY</v>
      </c>
      <c r="C485" s="426" t="str">
        <f t="shared" si="47"/>
        <v>E</v>
      </c>
      <c r="D485" s="426" t="s">
        <v>2670</v>
      </c>
      <c r="E485" s="426" t="str">
        <f t="shared" si="50"/>
        <v>332</v>
      </c>
      <c r="F485" s="741" t="s">
        <v>1739</v>
      </c>
      <c r="G485" s="425" t="str">
        <f t="shared" si="51"/>
        <v/>
      </c>
      <c r="H485" s="426">
        <v>47.805698403000001</v>
      </c>
      <c r="I485" s="426">
        <v>47.256207617100003</v>
      </c>
      <c r="J485" s="426">
        <v>47.256207617100003</v>
      </c>
      <c r="K485" s="426">
        <v>47.256207617100003</v>
      </c>
      <c r="L485" s="426">
        <v>47.256207617100003</v>
      </c>
      <c r="M485" s="426">
        <v>54.122793813000001</v>
      </c>
      <c r="N485" s="426">
        <v>60.989379999000001</v>
      </c>
      <c r="O485" s="426">
        <v>60.989379999000001</v>
      </c>
      <c r="P485" s="426">
        <v>60.989379999000001</v>
      </c>
      <c r="Q485" s="426">
        <v>60.989379999000001</v>
      </c>
      <c r="R485" s="426">
        <v>60.989379999000001</v>
      </c>
      <c r="S485" s="426">
        <v>60.989379999000001</v>
      </c>
      <c r="T485" s="426">
        <v>60.989379999000001</v>
      </c>
      <c r="U485" s="426">
        <f t="shared" si="53"/>
        <v>670.07328427439995</v>
      </c>
    </row>
    <row r="486" spans="1:24">
      <c r="A486" s="426" t="str">
        <f t="shared" si="54"/>
        <v>KU</v>
      </c>
      <c r="B486" s="426" t="str">
        <f t="shared" si="46"/>
        <v>KY</v>
      </c>
      <c r="C486" s="426" t="str">
        <f t="shared" si="47"/>
        <v>E</v>
      </c>
      <c r="D486" s="426" t="s">
        <v>2670</v>
      </c>
      <c r="E486" s="426" t="str">
        <f t="shared" si="50"/>
        <v>333</v>
      </c>
      <c r="F486" s="741" t="s">
        <v>1740</v>
      </c>
      <c r="G486" s="425" t="str">
        <f t="shared" si="51"/>
        <v/>
      </c>
      <c r="H486" s="426">
        <v>45.183685418700001</v>
      </c>
      <c r="I486" s="426">
        <v>44.8145546772</v>
      </c>
      <c r="J486" s="426">
        <v>44.913648665499998</v>
      </c>
      <c r="K486" s="426">
        <v>44.913648665499998</v>
      </c>
      <c r="L486" s="426">
        <v>46.691253832199997</v>
      </c>
      <c r="M486" s="426">
        <v>48.468858998800002</v>
      </c>
      <c r="N486" s="426">
        <v>48.468858998800002</v>
      </c>
      <c r="O486" s="426">
        <v>48.468858998800002</v>
      </c>
      <c r="P486" s="426">
        <v>48.468858998800002</v>
      </c>
      <c r="Q486" s="426">
        <v>48.468858998800002</v>
      </c>
      <c r="R486" s="426">
        <v>48.468858998800002</v>
      </c>
      <c r="S486" s="426">
        <v>48.468858998800002</v>
      </c>
      <c r="T486" s="426">
        <v>48.468858998800002</v>
      </c>
      <c r="U486" s="426">
        <f t="shared" si="53"/>
        <v>569.08397783079999</v>
      </c>
    </row>
    <row r="487" spans="1:24">
      <c r="A487" s="426" t="str">
        <f t="shared" si="54"/>
        <v>KU</v>
      </c>
      <c r="B487" s="426" t="str">
        <f t="shared" si="46"/>
        <v>KY</v>
      </c>
      <c r="C487" s="426" t="str">
        <f t="shared" si="47"/>
        <v>E</v>
      </c>
      <c r="D487" s="426" t="s">
        <v>2670</v>
      </c>
      <c r="E487" s="426" t="str">
        <f t="shared" si="50"/>
        <v>334</v>
      </c>
      <c r="F487" s="741" t="s">
        <v>1741</v>
      </c>
      <c r="G487" s="425" t="str">
        <f t="shared" si="51"/>
        <v/>
      </c>
      <c r="H487" s="426">
        <v>4.3200547018000002</v>
      </c>
      <c r="I487" s="426">
        <v>4.4113596663300001</v>
      </c>
      <c r="J487" s="426">
        <v>4.4459709996699903</v>
      </c>
      <c r="K487" s="426">
        <v>4.4459709996699903</v>
      </c>
      <c r="L487" s="426">
        <v>4.4459709996699903</v>
      </c>
      <c r="M487" s="426">
        <v>4.4459709996699903</v>
      </c>
      <c r="N487" s="426">
        <v>4.4459709996699903</v>
      </c>
      <c r="O487" s="426">
        <v>4.4459709996699903</v>
      </c>
      <c r="P487" s="426">
        <v>4.4459709996699903</v>
      </c>
      <c r="Q487" s="426">
        <v>4.4459709996699903</v>
      </c>
      <c r="R487" s="426">
        <v>4.4459709996699903</v>
      </c>
      <c r="S487" s="426">
        <v>4.5420544413300004</v>
      </c>
      <c r="T487" s="426">
        <v>4.6381378829999997</v>
      </c>
      <c r="U487" s="426">
        <f t="shared" si="53"/>
        <v>53.605290987689905</v>
      </c>
    </row>
    <row r="488" spans="1:24">
      <c r="A488" s="426" t="str">
        <f t="shared" si="54"/>
        <v>KU</v>
      </c>
      <c r="B488" s="426" t="str">
        <f t="shared" si="46"/>
        <v>KY</v>
      </c>
      <c r="C488" s="426" t="str">
        <f t="shared" si="47"/>
        <v>E</v>
      </c>
      <c r="D488" s="426" t="s">
        <v>2670</v>
      </c>
      <c r="E488" s="426" t="str">
        <f t="shared" si="50"/>
        <v>335</v>
      </c>
      <c r="F488" s="741" t="s">
        <v>1742</v>
      </c>
      <c r="G488" s="425" t="str">
        <f t="shared" si="51"/>
        <v/>
      </c>
      <c r="H488" s="426">
        <v>1.03203909717</v>
      </c>
      <c r="I488" s="426">
        <v>0.80422195620000003</v>
      </c>
      <c r="J488" s="426">
        <v>0.80422195620000003</v>
      </c>
      <c r="K488" s="426">
        <v>0.80422195620000003</v>
      </c>
      <c r="L488" s="426">
        <v>0.80422195620000003</v>
      </c>
      <c r="M488" s="426">
        <v>0.80422195620000003</v>
      </c>
      <c r="N488" s="426">
        <v>0.80422195620000003</v>
      </c>
      <c r="O488" s="426">
        <v>0.80422195620000003</v>
      </c>
      <c r="P488" s="426">
        <v>0.80422195620000003</v>
      </c>
      <c r="Q488" s="426">
        <v>0.80422195620000003</v>
      </c>
      <c r="R488" s="426">
        <v>0.80422195620000003</v>
      </c>
      <c r="S488" s="426">
        <v>0.80422195620000003</v>
      </c>
      <c r="T488" s="426">
        <v>0.80422195620000003</v>
      </c>
      <c r="U488" s="426">
        <f t="shared" si="53"/>
        <v>9.6506634743999982</v>
      </c>
      <c r="W488" s="401"/>
      <c r="X488" s="401"/>
    </row>
    <row r="489" spans="1:24">
      <c r="A489" s="426" t="str">
        <f t="shared" si="54"/>
        <v>KU</v>
      </c>
      <c r="B489" s="426" t="str">
        <f t="shared" si="46"/>
        <v>KY</v>
      </c>
      <c r="C489" s="426" t="str">
        <f t="shared" si="47"/>
        <v>E</v>
      </c>
      <c r="D489" s="426" t="s">
        <v>2670</v>
      </c>
      <c r="E489" s="426" t="str">
        <f t="shared" si="50"/>
        <v>336</v>
      </c>
      <c r="F489" s="741" t="s">
        <v>1743</v>
      </c>
      <c r="G489" s="425" t="str">
        <f t="shared" si="51"/>
        <v/>
      </c>
      <c r="H489" s="426">
        <v>0.55194702822999997</v>
      </c>
      <c r="I489" s="426">
        <v>0.56520701687999997</v>
      </c>
      <c r="J489" s="426">
        <v>0.56520701687999997</v>
      </c>
      <c r="K489" s="426">
        <v>0.56520701687999997</v>
      </c>
      <c r="L489" s="426">
        <v>0.56520701687999997</v>
      </c>
      <c r="M489" s="426">
        <v>0.56520701687999997</v>
      </c>
      <c r="N489" s="426">
        <v>0.56520701687999997</v>
      </c>
      <c r="O489" s="426">
        <v>0.56520701687999997</v>
      </c>
      <c r="P489" s="426">
        <v>0.56520701687999997</v>
      </c>
      <c r="Q489" s="426">
        <v>0.56520701687999997</v>
      </c>
      <c r="R489" s="426">
        <v>0.56520701687999997</v>
      </c>
      <c r="S489" s="426">
        <v>0.56520701687999997</v>
      </c>
      <c r="T489" s="426">
        <v>0.56520701687999997</v>
      </c>
      <c r="U489" s="426">
        <f t="shared" si="53"/>
        <v>6.7824842025599983</v>
      </c>
    </row>
    <row r="490" spans="1:24">
      <c r="A490" s="426" t="str">
        <f t="shared" si="54"/>
        <v>KU</v>
      </c>
      <c r="B490" s="426" t="str">
        <f t="shared" si="46"/>
        <v>KY</v>
      </c>
      <c r="C490" s="426" t="str">
        <f t="shared" si="47"/>
        <v>E</v>
      </c>
      <c r="D490" s="426" t="s">
        <v>2670</v>
      </c>
      <c r="E490" s="426" t="str">
        <f t="shared" si="50"/>
        <v>337</v>
      </c>
      <c r="F490" s="741" t="s">
        <v>1744</v>
      </c>
      <c r="G490" s="425" t="str">
        <f t="shared" si="51"/>
        <v>ARO</v>
      </c>
      <c r="H490" s="426">
        <v>1.4747745564091299</v>
      </c>
      <c r="I490" s="426">
        <v>1.4747745564091299</v>
      </c>
      <c r="J490" s="426">
        <v>1.4747745564091299</v>
      </c>
      <c r="K490" s="426">
        <v>1.4747745564091299</v>
      </c>
      <c r="L490" s="426">
        <v>1.4747745564091299</v>
      </c>
      <c r="M490" s="426">
        <v>1.4747745564091299</v>
      </c>
      <c r="N490" s="426">
        <v>1.4747745564091299</v>
      </c>
      <c r="O490" s="426">
        <v>1.4747745564091299</v>
      </c>
      <c r="P490" s="426">
        <v>1.4747745564091299</v>
      </c>
      <c r="Q490" s="426">
        <v>1.4747745564091299</v>
      </c>
      <c r="R490" s="426">
        <v>1.4747745564091299</v>
      </c>
      <c r="S490" s="426">
        <v>1.4747745564091299</v>
      </c>
      <c r="T490" s="426">
        <v>1.4747745564091299</v>
      </c>
      <c r="U490" s="426">
        <f t="shared" si="53"/>
        <v>17.697294676909561</v>
      </c>
    </row>
    <row r="491" spans="1:24">
      <c r="A491" s="426" t="str">
        <f t="shared" si="54"/>
        <v>KU</v>
      </c>
      <c r="B491" s="426" t="str">
        <f t="shared" si="46"/>
        <v>KY</v>
      </c>
      <c r="C491" s="426" t="str">
        <f t="shared" si="47"/>
        <v>E</v>
      </c>
      <c r="D491" s="426" t="s">
        <v>2670</v>
      </c>
      <c r="E491" s="426" t="str">
        <f t="shared" si="50"/>
        <v>340</v>
      </c>
      <c r="F491" s="741" t="s">
        <v>2183</v>
      </c>
      <c r="G491" s="425" t="str">
        <f t="shared" si="51"/>
        <v/>
      </c>
      <c r="H491" s="426">
        <v>0.3219469908</v>
      </c>
      <c r="I491" s="426">
        <v>0.1675888445</v>
      </c>
      <c r="J491" s="426">
        <v>0.1675888445</v>
      </c>
      <c r="K491" s="426">
        <v>0.1675888445</v>
      </c>
      <c r="L491" s="426">
        <v>0.1675888445</v>
      </c>
      <c r="M491" s="426">
        <v>0.1675888445</v>
      </c>
      <c r="N491" s="426">
        <v>0.1675888445</v>
      </c>
      <c r="O491" s="426">
        <v>0.1675888445</v>
      </c>
      <c r="P491" s="426">
        <v>0.1675888445</v>
      </c>
      <c r="Q491" s="426">
        <v>0.1675888445</v>
      </c>
      <c r="R491" s="426">
        <v>0.1675888445</v>
      </c>
      <c r="S491" s="426">
        <v>0.1675888445</v>
      </c>
      <c r="T491" s="426">
        <v>0.1675888445</v>
      </c>
      <c r="U491" s="426">
        <f t="shared" si="53"/>
        <v>2.011066134</v>
      </c>
    </row>
    <row r="492" spans="1:24">
      <c r="A492" s="426" t="str">
        <f t="shared" si="54"/>
        <v>KU</v>
      </c>
      <c r="B492" s="426" t="str">
        <f t="shared" si="46"/>
        <v>KY</v>
      </c>
      <c r="C492" s="426" t="str">
        <f t="shared" si="47"/>
        <v>E</v>
      </c>
      <c r="D492" s="426" t="s">
        <v>2670</v>
      </c>
      <c r="E492" s="426" t="str">
        <f t="shared" si="50"/>
        <v>341</v>
      </c>
      <c r="F492" s="741" t="s">
        <v>1746</v>
      </c>
      <c r="G492" s="425" t="str">
        <f t="shared" si="51"/>
        <v/>
      </c>
      <c r="H492" s="426">
        <v>118.8338324214</v>
      </c>
      <c r="I492" s="426">
        <v>68.419120220649901</v>
      </c>
      <c r="J492" s="426">
        <v>68.419120220649901</v>
      </c>
      <c r="K492" s="426">
        <v>68.419120220649901</v>
      </c>
      <c r="L492" s="426">
        <v>68.419120220649901</v>
      </c>
      <c r="M492" s="426">
        <v>68.419120220649901</v>
      </c>
      <c r="N492" s="426">
        <v>68.419120220649901</v>
      </c>
      <c r="O492" s="426">
        <v>68.419120220649901</v>
      </c>
      <c r="P492" s="426">
        <v>68.419120220649901</v>
      </c>
      <c r="Q492" s="426">
        <v>68.419120220649901</v>
      </c>
      <c r="R492" s="426">
        <v>68.419120220649901</v>
      </c>
      <c r="S492" s="426">
        <v>68.419120220649901</v>
      </c>
      <c r="T492" s="426">
        <v>68.419120220649901</v>
      </c>
      <c r="U492" s="426">
        <f t="shared" si="53"/>
        <v>821.02944264779887</v>
      </c>
    </row>
    <row r="493" spans="1:24">
      <c r="A493" s="426" t="str">
        <f t="shared" si="54"/>
        <v>KU</v>
      </c>
      <c r="B493" s="426" t="str">
        <f t="shared" si="46"/>
        <v>KY</v>
      </c>
      <c r="C493" s="426" t="str">
        <f t="shared" si="47"/>
        <v>E</v>
      </c>
      <c r="D493" s="426" t="s">
        <v>2670</v>
      </c>
      <c r="E493" s="426" t="str">
        <f t="shared" si="50"/>
        <v>341</v>
      </c>
      <c r="F493" s="741" t="s">
        <v>2184</v>
      </c>
      <c r="G493" s="425" t="str">
        <f t="shared" si="51"/>
        <v/>
      </c>
      <c r="H493" s="426">
        <v>128.77907026</v>
      </c>
      <c r="I493" s="426">
        <v>124.9539494</v>
      </c>
      <c r="J493" s="426">
        <v>124.9539494</v>
      </c>
      <c r="K493" s="426">
        <v>124.9539494</v>
      </c>
      <c r="L493" s="426">
        <v>124.9539494</v>
      </c>
      <c r="M493" s="426">
        <v>124.9539494</v>
      </c>
      <c r="N493" s="426">
        <v>124.9539494</v>
      </c>
      <c r="O493" s="426">
        <v>124.9539494</v>
      </c>
      <c r="P493" s="426">
        <v>124.9539494</v>
      </c>
      <c r="Q493" s="426">
        <v>124.9539494</v>
      </c>
      <c r="R493" s="426">
        <v>124.9539494</v>
      </c>
      <c r="S493" s="426">
        <v>124.9539494</v>
      </c>
      <c r="T493" s="426">
        <v>124.9539494</v>
      </c>
      <c r="U493" s="426">
        <f t="shared" si="53"/>
        <v>1499.4473928000004</v>
      </c>
    </row>
    <row r="494" spans="1:24">
      <c r="A494" s="426" t="str">
        <f t="shared" si="54"/>
        <v>KU</v>
      </c>
      <c r="B494" s="426" t="str">
        <f t="shared" si="46"/>
        <v>KY</v>
      </c>
      <c r="C494" s="426" t="str">
        <f t="shared" si="47"/>
        <v>E</v>
      </c>
      <c r="D494" s="426" t="s">
        <v>2670</v>
      </c>
      <c r="E494" s="426" t="str">
        <f t="shared" si="50"/>
        <v>341</v>
      </c>
      <c r="F494" s="741" t="s">
        <v>2185</v>
      </c>
      <c r="G494" s="425" t="str">
        <f t="shared" si="51"/>
        <v/>
      </c>
      <c r="H494" s="426">
        <v>7.9764584479999998</v>
      </c>
      <c r="I494" s="426">
        <v>7.8935610756700001</v>
      </c>
      <c r="J494" s="426">
        <v>7.8935610756700001</v>
      </c>
      <c r="K494" s="426">
        <v>7.8935610756700001</v>
      </c>
      <c r="L494" s="426">
        <v>7.8935610756700001</v>
      </c>
      <c r="M494" s="426">
        <v>7.8935610756700001</v>
      </c>
      <c r="N494" s="426">
        <v>7.8935610756700001</v>
      </c>
      <c r="O494" s="426">
        <v>7.8935610756700001</v>
      </c>
      <c r="P494" s="426">
        <v>7.8935610756700001</v>
      </c>
      <c r="Q494" s="426">
        <v>7.8935610756700001</v>
      </c>
      <c r="R494" s="426">
        <v>7.8935610756700001</v>
      </c>
      <c r="S494" s="426">
        <v>7.8935610756700001</v>
      </c>
      <c r="T494" s="426">
        <v>7.8935610756700001</v>
      </c>
      <c r="U494" s="426">
        <f t="shared" si="53"/>
        <v>94.722732908039973</v>
      </c>
    </row>
    <row r="495" spans="1:24">
      <c r="A495" s="426" t="str">
        <f t="shared" si="54"/>
        <v>KU</v>
      </c>
      <c r="B495" s="426" t="str">
        <f t="shared" si="46"/>
        <v>KY</v>
      </c>
      <c r="C495" s="426" t="str">
        <f t="shared" si="47"/>
        <v>E</v>
      </c>
      <c r="D495" s="426" t="s">
        <v>2670</v>
      </c>
      <c r="E495" s="426" t="str">
        <f t="shared" si="50"/>
        <v>342</v>
      </c>
      <c r="F495" s="741" t="s">
        <v>1747</v>
      </c>
      <c r="G495" s="425" t="str">
        <f t="shared" si="51"/>
        <v/>
      </c>
      <c r="H495" s="426">
        <v>54.033020837199999</v>
      </c>
      <c r="I495" s="426">
        <v>30.976003558479999</v>
      </c>
      <c r="J495" s="426">
        <v>30.976003558479999</v>
      </c>
      <c r="K495" s="426">
        <v>30.976003558479999</v>
      </c>
      <c r="L495" s="426">
        <v>30.976003558479999</v>
      </c>
      <c r="M495" s="426">
        <v>30.976003558479999</v>
      </c>
      <c r="N495" s="426">
        <v>30.976003558479999</v>
      </c>
      <c r="O495" s="426">
        <v>30.976003558479999</v>
      </c>
      <c r="P495" s="426">
        <v>30.976003558479999</v>
      </c>
      <c r="Q495" s="426">
        <v>30.976003558479999</v>
      </c>
      <c r="R495" s="426">
        <v>30.976003558479999</v>
      </c>
      <c r="S495" s="426">
        <v>30.976003558479999</v>
      </c>
      <c r="T495" s="426">
        <v>30.976003558479999</v>
      </c>
      <c r="U495" s="426">
        <f t="shared" si="53"/>
        <v>371.71204270175991</v>
      </c>
    </row>
    <row r="496" spans="1:24">
      <c r="A496" s="426" t="str">
        <f t="shared" si="54"/>
        <v>KU</v>
      </c>
      <c r="B496" s="426" t="str">
        <f t="shared" ref="B496:B559" si="55">IF(MID($F496,12,2)="- ","KY",IF(MID($F496,12,2)="SY","KY",MID($F496,12,2)))</f>
        <v>KY</v>
      </c>
      <c r="C496" s="426" t="str">
        <f t="shared" si="47"/>
        <v>E</v>
      </c>
      <c r="D496" s="426" t="s">
        <v>2670</v>
      </c>
      <c r="E496" s="426" t="str">
        <f t="shared" si="50"/>
        <v>342</v>
      </c>
      <c r="F496" s="741" t="s">
        <v>2186</v>
      </c>
      <c r="G496" s="425" t="str">
        <f t="shared" si="51"/>
        <v/>
      </c>
      <c r="H496" s="426">
        <v>17.038421757999998</v>
      </c>
      <c r="I496" s="426">
        <v>8.4092855777000004</v>
      </c>
      <c r="J496" s="426">
        <v>8.4092855777000004</v>
      </c>
      <c r="K496" s="426">
        <v>8.4092855777000004</v>
      </c>
      <c r="L496" s="426">
        <v>8.4092855777000004</v>
      </c>
      <c r="M496" s="426">
        <v>8.4092855777000004</v>
      </c>
      <c r="N496" s="426">
        <v>8.4092855777000004</v>
      </c>
      <c r="O496" s="426">
        <v>8.4092855777000004</v>
      </c>
      <c r="P496" s="426">
        <v>8.4092855777000004</v>
      </c>
      <c r="Q496" s="426">
        <v>8.4092855777000004</v>
      </c>
      <c r="R496" s="426">
        <v>8.4092855777000004</v>
      </c>
      <c r="S496" s="426">
        <v>8.4092855777000004</v>
      </c>
      <c r="T496" s="426">
        <v>8.4092855777000004</v>
      </c>
      <c r="U496" s="426">
        <f t="shared" si="53"/>
        <v>100.91142693240003</v>
      </c>
    </row>
    <row r="497" spans="1:21">
      <c r="A497" s="426" t="str">
        <f t="shared" si="54"/>
        <v>KU</v>
      </c>
      <c r="B497" s="426" t="str">
        <f t="shared" si="55"/>
        <v>KY</v>
      </c>
      <c r="C497" s="426" t="str">
        <f t="shared" si="47"/>
        <v>E</v>
      </c>
      <c r="D497" s="426" t="s">
        <v>2670</v>
      </c>
      <c r="E497" s="426" t="str">
        <f t="shared" si="50"/>
        <v>342</v>
      </c>
      <c r="F497" s="741" t="s">
        <v>2187</v>
      </c>
      <c r="G497" s="425" t="str">
        <f t="shared" si="51"/>
        <v/>
      </c>
      <c r="H497" s="426">
        <v>169.08354433299999</v>
      </c>
      <c r="I497" s="426">
        <v>137.33309264900001</v>
      </c>
      <c r="J497" s="426">
        <v>137.33309264900001</v>
      </c>
      <c r="K497" s="426">
        <v>137.33309264900001</v>
      </c>
      <c r="L497" s="426">
        <v>137.33309264900001</v>
      </c>
      <c r="M497" s="426">
        <v>137.33309264900001</v>
      </c>
      <c r="N497" s="426">
        <v>137.33309264900001</v>
      </c>
      <c r="O497" s="426">
        <v>137.33309264900001</v>
      </c>
      <c r="P497" s="426">
        <v>137.33309264900001</v>
      </c>
      <c r="Q497" s="426">
        <v>137.33309264900001</v>
      </c>
      <c r="R497" s="426">
        <v>137.33309264900001</v>
      </c>
      <c r="S497" s="426">
        <v>137.33309264900001</v>
      </c>
      <c r="T497" s="426">
        <v>137.33309264900001</v>
      </c>
      <c r="U497" s="426">
        <f t="shared" si="53"/>
        <v>1647.9971117880002</v>
      </c>
    </row>
    <row r="498" spans="1:21">
      <c r="A498" s="426" t="str">
        <f t="shared" si="54"/>
        <v>KU</v>
      </c>
      <c r="B498" s="426" t="str">
        <f t="shared" si="55"/>
        <v>KY</v>
      </c>
      <c r="C498" s="426" t="str">
        <f t="shared" si="47"/>
        <v>E</v>
      </c>
      <c r="D498" s="426" t="s">
        <v>2670</v>
      </c>
      <c r="E498" s="426" t="str">
        <f t="shared" si="50"/>
        <v>343</v>
      </c>
      <c r="F498" s="741" t="s">
        <v>1748</v>
      </c>
      <c r="G498" s="425" t="str">
        <f t="shared" si="51"/>
        <v/>
      </c>
      <c r="H498" s="426">
        <v>1713.18284595719</v>
      </c>
      <c r="I498" s="426">
        <v>1040.0385576315</v>
      </c>
      <c r="J498" s="426">
        <v>1040.7456265424</v>
      </c>
      <c r="K498" s="426">
        <v>1041.6952738508</v>
      </c>
      <c r="L498" s="426">
        <v>1042.3324347533</v>
      </c>
      <c r="M498" s="426">
        <v>1042.7270172582901</v>
      </c>
      <c r="N498" s="426">
        <v>1047.80325693439</v>
      </c>
      <c r="O498" s="426">
        <v>1052.8794966195901</v>
      </c>
      <c r="P498" s="426">
        <v>1052.8794966195901</v>
      </c>
      <c r="Q498" s="426">
        <v>1052.8794966195901</v>
      </c>
      <c r="R498" s="426">
        <v>1059.95567283949</v>
      </c>
      <c r="S498" s="426">
        <v>1067.0318490604</v>
      </c>
      <c r="T498" s="426">
        <v>1067.0318490604</v>
      </c>
      <c r="U498" s="426">
        <f t="shared" si="53"/>
        <v>12608.000027789742</v>
      </c>
    </row>
    <row r="499" spans="1:21">
      <c r="A499" s="426" t="str">
        <f t="shared" si="54"/>
        <v>KU</v>
      </c>
      <c r="B499" s="426" t="str">
        <f t="shared" si="55"/>
        <v>KY</v>
      </c>
      <c r="C499" s="426" t="str">
        <f t="shared" si="47"/>
        <v>E</v>
      </c>
      <c r="D499" s="426" t="s">
        <v>2670</v>
      </c>
      <c r="E499" s="426" t="str">
        <f t="shared" si="50"/>
        <v>343</v>
      </c>
      <c r="F499" s="741" t="s">
        <v>2188</v>
      </c>
      <c r="G499" s="425" t="str">
        <f t="shared" si="51"/>
        <v/>
      </c>
      <c r="H499" s="426">
        <v>810.10971145600001</v>
      </c>
      <c r="I499" s="426">
        <v>791.95599239599903</v>
      </c>
      <c r="J499" s="426">
        <v>791.95599239599903</v>
      </c>
      <c r="K499" s="426">
        <v>791.95599239599903</v>
      </c>
      <c r="L499" s="426">
        <v>794.47793079300004</v>
      </c>
      <c r="M499" s="426">
        <v>796.99986909899997</v>
      </c>
      <c r="N499" s="426">
        <v>796.99986909899997</v>
      </c>
      <c r="O499" s="426">
        <v>796.99986909899997</v>
      </c>
      <c r="P499" s="426">
        <v>796.99986909899997</v>
      </c>
      <c r="Q499" s="426">
        <v>804.04929664099996</v>
      </c>
      <c r="R499" s="426">
        <v>811.09872419299995</v>
      </c>
      <c r="S499" s="426">
        <v>811.09872419299995</v>
      </c>
      <c r="T499" s="426">
        <v>811.09872419299995</v>
      </c>
      <c r="U499" s="426">
        <f t="shared" si="53"/>
        <v>9595.690853596996</v>
      </c>
    </row>
    <row r="500" spans="1:21">
      <c r="A500" s="426" t="str">
        <f t="shared" si="54"/>
        <v>KU</v>
      </c>
      <c r="B500" s="426" t="str">
        <f t="shared" si="55"/>
        <v>KY</v>
      </c>
      <c r="C500" s="426" t="str">
        <f t="shared" ref="C500:C563" si="56">IF(ISTEXT(MID($F500,SEARCH("FUTURE USE",$F500),3)),"F",IF(MID($F500,7,1)="1","E",IF(MID($F500,7,1)="2","G",IF(MID($F500,7,1)="3","C",""))))</f>
        <v>E</v>
      </c>
      <c r="D500" s="426" t="s">
        <v>2670</v>
      </c>
      <c r="E500" s="426" t="str">
        <f t="shared" si="50"/>
        <v>344</v>
      </c>
      <c r="F500" s="741" t="s">
        <v>1749</v>
      </c>
      <c r="G500" s="425" t="str">
        <f t="shared" si="51"/>
        <v/>
      </c>
      <c r="H500" s="426">
        <v>199.808019554</v>
      </c>
      <c r="I500" s="426">
        <v>120.0678664423</v>
      </c>
      <c r="J500" s="426">
        <v>120.0678664423</v>
      </c>
      <c r="K500" s="426">
        <v>120.0678664423</v>
      </c>
      <c r="L500" s="426">
        <v>120.0678664423</v>
      </c>
      <c r="M500" s="426">
        <v>120.0678664423</v>
      </c>
      <c r="N500" s="426">
        <v>120.0678664423</v>
      </c>
      <c r="O500" s="426">
        <v>120.0678664423</v>
      </c>
      <c r="P500" s="426">
        <v>120.0678664423</v>
      </c>
      <c r="Q500" s="426">
        <v>120.0678664423</v>
      </c>
      <c r="R500" s="426">
        <v>120.0678664423</v>
      </c>
      <c r="S500" s="426">
        <v>120.0678664423</v>
      </c>
      <c r="T500" s="426">
        <v>120.0678664423</v>
      </c>
      <c r="U500" s="426">
        <f t="shared" si="53"/>
        <v>1440.8143973076003</v>
      </c>
    </row>
    <row r="501" spans="1:21">
      <c r="A501" s="426" t="str">
        <f t="shared" si="54"/>
        <v>KU</v>
      </c>
      <c r="B501" s="426" t="str">
        <f t="shared" si="55"/>
        <v>KY</v>
      </c>
      <c r="C501" s="426" t="str">
        <f t="shared" si="56"/>
        <v>E</v>
      </c>
      <c r="D501" s="426" t="s">
        <v>2670</v>
      </c>
      <c r="E501" s="426" t="str">
        <f t="shared" si="50"/>
        <v>344</v>
      </c>
      <c r="F501" s="741" t="s">
        <v>2189</v>
      </c>
      <c r="G501" s="425" t="str">
        <f t="shared" si="51"/>
        <v/>
      </c>
      <c r="H501" s="426">
        <v>151.20621352499899</v>
      </c>
      <c r="I501" s="426">
        <v>146.49736948</v>
      </c>
      <c r="J501" s="426">
        <v>146.49736948</v>
      </c>
      <c r="K501" s="426">
        <v>146.49736948</v>
      </c>
      <c r="L501" s="426">
        <v>146.49736948</v>
      </c>
      <c r="M501" s="426">
        <v>146.49736948</v>
      </c>
      <c r="N501" s="426">
        <v>146.49736948</v>
      </c>
      <c r="O501" s="426">
        <v>146.49736948</v>
      </c>
      <c r="P501" s="426">
        <v>146.49736948</v>
      </c>
      <c r="Q501" s="426">
        <v>146.49736948</v>
      </c>
      <c r="R501" s="426">
        <v>146.49736948</v>
      </c>
      <c r="S501" s="426">
        <v>146.49736948</v>
      </c>
      <c r="T501" s="426">
        <v>146.49736948</v>
      </c>
      <c r="U501" s="426">
        <f t="shared" ref="U501:U574" si="57">SUM(I501:T501)</f>
        <v>1757.9684337600004</v>
      </c>
    </row>
    <row r="502" spans="1:21">
      <c r="A502" s="426" t="str">
        <f t="shared" si="54"/>
        <v>KU</v>
      </c>
      <c r="B502" s="426" t="str">
        <f t="shared" si="55"/>
        <v>KY</v>
      </c>
      <c r="C502" s="426" t="str">
        <f t="shared" si="56"/>
        <v>E</v>
      </c>
      <c r="D502" s="426" t="s">
        <v>2670</v>
      </c>
      <c r="E502" s="426" t="str">
        <f t="shared" si="50"/>
        <v>344</v>
      </c>
      <c r="F502" s="741" t="s">
        <v>2190</v>
      </c>
      <c r="G502" s="425" t="str">
        <f t="shared" si="51"/>
        <v/>
      </c>
      <c r="H502" s="426">
        <v>52.956023344629997</v>
      </c>
      <c r="I502" s="426">
        <v>53.132068312169999</v>
      </c>
      <c r="J502" s="426">
        <v>53.132068312169999</v>
      </c>
      <c r="K502" s="426">
        <v>53.132068312169999</v>
      </c>
      <c r="L502" s="426">
        <v>53.132068312169999</v>
      </c>
      <c r="M502" s="426">
        <v>53.132068312169999</v>
      </c>
      <c r="N502" s="426">
        <v>55.048704165170001</v>
      </c>
      <c r="O502" s="426">
        <v>56.965340018669998</v>
      </c>
      <c r="P502" s="426">
        <v>56.965340018669998</v>
      </c>
      <c r="Q502" s="426">
        <v>56.965340018669998</v>
      </c>
      <c r="R502" s="426">
        <v>56.965340018669998</v>
      </c>
      <c r="S502" s="426">
        <v>56.965340018669998</v>
      </c>
      <c r="T502" s="426">
        <v>56.965340018669998</v>
      </c>
      <c r="U502" s="426">
        <f t="shared" si="57"/>
        <v>662.50108583804001</v>
      </c>
    </row>
    <row r="503" spans="1:21">
      <c r="A503" s="426" t="str">
        <f t="shared" si="54"/>
        <v>KU</v>
      </c>
      <c r="B503" s="426" t="str">
        <f t="shared" si="55"/>
        <v>KY</v>
      </c>
      <c r="C503" s="426" t="str">
        <f t="shared" si="56"/>
        <v>E</v>
      </c>
      <c r="D503" s="426" t="s">
        <v>2670</v>
      </c>
      <c r="E503" s="426" t="str">
        <f t="shared" si="50"/>
        <v>344</v>
      </c>
      <c r="F503" s="741" t="s">
        <v>2718</v>
      </c>
      <c r="G503" s="425" t="str">
        <f t="shared" ref="G503:G566" si="58">IF(ISTEXT(MID($F503,SEARCH("FUTURE USE",$F503),3)),"FUTURE USE",IF(ISTEXT(MID($F503,SEARCH("ECR",$F503),3)),"ECR",IF(ISTEXT(MID($F503,SEARCH("ARO",$F503),3)),"ARO",IF(ISTEXT(MID($F503,SEARCH("DSM",$F503),3)),"DSM",""))))</f>
        <v/>
      </c>
      <c r="H503" s="426">
        <v>0.95229419243699998</v>
      </c>
      <c r="I503" s="426">
        <v>0.90271705443000005</v>
      </c>
      <c r="J503" s="426">
        <v>0.90271705443000005</v>
      </c>
      <c r="K503" s="426">
        <v>0.90271705443000005</v>
      </c>
      <c r="L503" s="426">
        <v>0.90271705443000005</v>
      </c>
      <c r="M503" s="426">
        <v>0.90271705443000005</v>
      </c>
      <c r="N503" s="426">
        <v>0.90271705443000005</v>
      </c>
      <c r="O503" s="426">
        <v>0.90271705443000005</v>
      </c>
      <c r="P503" s="426">
        <v>0.90271705443000005</v>
      </c>
      <c r="Q503" s="426">
        <v>0.90271705443000005</v>
      </c>
      <c r="R503" s="426">
        <v>0.90271705443000005</v>
      </c>
      <c r="S503" s="426">
        <v>0.90271705443000005</v>
      </c>
      <c r="T503" s="426">
        <v>0.90271705443000005</v>
      </c>
      <c r="U503" s="426">
        <f t="shared" si="57"/>
        <v>10.832604653159997</v>
      </c>
    </row>
    <row r="504" spans="1:21">
      <c r="A504" s="426" t="str">
        <f t="shared" si="54"/>
        <v>KU</v>
      </c>
      <c r="B504" s="426" t="str">
        <f t="shared" si="55"/>
        <v>KY</v>
      </c>
      <c r="C504" s="426" t="str">
        <f t="shared" si="56"/>
        <v>E</v>
      </c>
      <c r="D504" s="426" t="s">
        <v>2670</v>
      </c>
      <c r="E504" s="426" t="str">
        <f t="shared" si="50"/>
        <v>345</v>
      </c>
      <c r="F504" s="741" t="s">
        <v>1750</v>
      </c>
      <c r="G504" s="425" t="str">
        <f t="shared" si="58"/>
        <v/>
      </c>
      <c r="H504" s="426">
        <v>195.06481804040001</v>
      </c>
      <c r="I504" s="426">
        <v>111.41617466149999</v>
      </c>
      <c r="J504" s="426">
        <v>111.41617466149999</v>
      </c>
      <c r="K504" s="426">
        <v>111.41617466149999</v>
      </c>
      <c r="L504" s="426">
        <v>111.41617466149999</v>
      </c>
      <c r="M504" s="426">
        <v>111.41617466149999</v>
      </c>
      <c r="N504" s="426">
        <v>111.41617466149999</v>
      </c>
      <c r="O504" s="426">
        <v>111.41617466149999</v>
      </c>
      <c r="P504" s="426">
        <v>111.41617466149999</v>
      </c>
      <c r="Q504" s="426">
        <v>111.41617466149999</v>
      </c>
      <c r="R504" s="426">
        <v>111.41617466149999</v>
      </c>
      <c r="S504" s="426">
        <v>111.41617466149999</v>
      </c>
      <c r="T504" s="426">
        <v>111.41617466149999</v>
      </c>
      <c r="U504" s="426">
        <f t="shared" si="57"/>
        <v>1336.9940959379999</v>
      </c>
    </row>
    <row r="505" spans="1:21">
      <c r="A505" s="426" t="str">
        <f t="shared" si="54"/>
        <v>KU</v>
      </c>
      <c r="B505" s="426" t="str">
        <f t="shared" si="55"/>
        <v>KY</v>
      </c>
      <c r="C505" s="426" t="str">
        <f t="shared" si="56"/>
        <v>E</v>
      </c>
      <c r="D505" s="426" t="s">
        <v>2670</v>
      </c>
      <c r="E505" s="426" t="str">
        <f t="shared" si="50"/>
        <v>345</v>
      </c>
      <c r="F505" s="741" t="s">
        <v>2191</v>
      </c>
      <c r="G505" s="425" t="str">
        <f t="shared" si="58"/>
        <v/>
      </c>
      <c r="H505" s="426">
        <v>60.651045110999902</v>
      </c>
      <c r="I505" s="426">
        <v>58.806925495000002</v>
      </c>
      <c r="J505" s="426">
        <v>58.806925495000002</v>
      </c>
      <c r="K505" s="426">
        <v>58.806925495000002</v>
      </c>
      <c r="L505" s="426">
        <v>58.806925495000002</v>
      </c>
      <c r="M505" s="426">
        <v>58.806925495000002</v>
      </c>
      <c r="N505" s="426">
        <v>58.806925495000002</v>
      </c>
      <c r="O505" s="426">
        <v>58.806925495000002</v>
      </c>
      <c r="P505" s="426">
        <v>58.806925495000002</v>
      </c>
      <c r="Q505" s="426">
        <v>58.806925495000002</v>
      </c>
      <c r="R505" s="426">
        <v>58.806925495000002</v>
      </c>
      <c r="S505" s="426">
        <v>58.806925495000002</v>
      </c>
      <c r="T505" s="426">
        <v>58.806925495000002</v>
      </c>
      <c r="U505" s="426">
        <f t="shared" si="57"/>
        <v>705.68310593999979</v>
      </c>
    </row>
    <row r="506" spans="1:21">
      <c r="A506" s="426" t="str">
        <f t="shared" si="54"/>
        <v>KU</v>
      </c>
      <c r="B506" s="426" t="str">
        <f t="shared" si="55"/>
        <v>KY</v>
      </c>
      <c r="C506" s="426" t="str">
        <f t="shared" si="56"/>
        <v>E</v>
      </c>
      <c r="D506" s="426" t="s">
        <v>2670</v>
      </c>
      <c r="E506" s="426" t="str">
        <f t="shared" si="50"/>
        <v>345</v>
      </c>
      <c r="F506" s="741" t="s">
        <v>2192</v>
      </c>
      <c r="G506" s="425" t="str">
        <f t="shared" si="58"/>
        <v/>
      </c>
      <c r="H506" s="426">
        <v>3.3815262209500001</v>
      </c>
      <c r="I506" s="426">
        <v>2.9981164766299999</v>
      </c>
      <c r="J506" s="426">
        <v>2.9981164766299999</v>
      </c>
      <c r="K506" s="426">
        <v>2.9981164766299999</v>
      </c>
      <c r="L506" s="426">
        <v>2.9981164766299999</v>
      </c>
      <c r="M506" s="426">
        <v>2.9981164766299999</v>
      </c>
      <c r="N506" s="426">
        <v>2.9981164766299999</v>
      </c>
      <c r="O506" s="426">
        <v>2.9981164766299999</v>
      </c>
      <c r="P506" s="426">
        <v>2.9981164766299999</v>
      </c>
      <c r="Q506" s="426">
        <v>2.9981164766299999</v>
      </c>
      <c r="R506" s="426">
        <v>2.9981164766299999</v>
      </c>
      <c r="S506" s="426">
        <v>2.9981164766299999</v>
      </c>
      <c r="T506" s="426">
        <v>2.9981164766299999</v>
      </c>
      <c r="U506" s="426">
        <f t="shared" si="57"/>
        <v>35.977397719559995</v>
      </c>
    </row>
    <row r="507" spans="1:21">
      <c r="A507" s="426" t="str">
        <f t="shared" si="54"/>
        <v>KU</v>
      </c>
      <c r="B507" s="426" t="str">
        <f t="shared" si="55"/>
        <v>KY</v>
      </c>
      <c r="C507" s="426" t="str">
        <f t="shared" si="56"/>
        <v>E</v>
      </c>
      <c r="D507" s="426" t="s">
        <v>2670</v>
      </c>
      <c r="E507" s="426" t="str">
        <f t="shared" si="50"/>
        <v>346</v>
      </c>
      <c r="F507" s="741" t="s">
        <v>1751</v>
      </c>
      <c r="G507" s="425" t="str">
        <f t="shared" si="58"/>
        <v/>
      </c>
      <c r="H507" s="426">
        <v>21.143982117623999</v>
      </c>
      <c r="I507" s="426">
        <v>11.62503701844</v>
      </c>
      <c r="J507" s="426">
        <v>11.62503701844</v>
      </c>
      <c r="K507" s="426">
        <v>11.9126599559429</v>
      </c>
      <c r="L507" s="426">
        <v>12.200282893472901</v>
      </c>
      <c r="M507" s="426">
        <v>28.906454132522999</v>
      </c>
      <c r="N507" s="426">
        <v>47.606001023223001</v>
      </c>
      <c r="O507" s="426">
        <v>49.599376673222999</v>
      </c>
      <c r="P507" s="426">
        <v>49.599376673222999</v>
      </c>
      <c r="Q507" s="426">
        <v>50.422257473222999</v>
      </c>
      <c r="R507" s="426">
        <v>51.245138273222999</v>
      </c>
      <c r="S507" s="426">
        <v>51.245138273222999</v>
      </c>
      <c r="T507" s="426">
        <v>51.264683865222999</v>
      </c>
      <c r="U507" s="426">
        <f t="shared" si="57"/>
        <v>427.25144327337978</v>
      </c>
    </row>
    <row r="508" spans="1:21">
      <c r="A508" s="426" t="str">
        <f t="shared" si="54"/>
        <v>KU</v>
      </c>
      <c r="B508" s="426" t="str">
        <f t="shared" si="55"/>
        <v>KY</v>
      </c>
      <c r="C508" s="426" t="str">
        <f t="shared" si="56"/>
        <v>E</v>
      </c>
      <c r="D508" s="426" t="s">
        <v>2670</v>
      </c>
      <c r="E508" s="426" t="str">
        <f t="shared" si="50"/>
        <v>346</v>
      </c>
      <c r="F508" s="741" t="s">
        <v>2193</v>
      </c>
      <c r="G508" s="425" t="str">
        <f t="shared" si="58"/>
        <v/>
      </c>
      <c r="H508" s="426">
        <v>8.9894520050000004</v>
      </c>
      <c r="I508" s="426">
        <v>8.4479187516999996</v>
      </c>
      <c r="J508" s="426">
        <v>8.4479187516999996</v>
      </c>
      <c r="K508" s="426">
        <v>8.4479187516999996</v>
      </c>
      <c r="L508" s="426">
        <v>8.4479187516999996</v>
      </c>
      <c r="M508" s="426">
        <v>8.4479187516999996</v>
      </c>
      <c r="N508" s="426">
        <v>8.4479187516999996</v>
      </c>
      <c r="O508" s="426">
        <v>8.4479187516999996</v>
      </c>
      <c r="P508" s="426">
        <v>8.4479187516999996</v>
      </c>
      <c r="Q508" s="426">
        <v>8.9960511552</v>
      </c>
      <c r="R508" s="426">
        <v>9.5441835577000003</v>
      </c>
      <c r="S508" s="426">
        <v>9.5441835577000003</v>
      </c>
      <c r="T508" s="426">
        <v>9.5441835577000003</v>
      </c>
      <c r="U508" s="426">
        <f t="shared" si="57"/>
        <v>105.21195184189997</v>
      </c>
    </row>
    <row r="509" spans="1:21">
      <c r="A509" s="426" t="str">
        <f t="shared" si="54"/>
        <v>KU</v>
      </c>
      <c r="B509" s="426" t="str">
        <f t="shared" si="55"/>
        <v>KY</v>
      </c>
      <c r="C509" s="426" t="str">
        <f t="shared" si="56"/>
        <v>E</v>
      </c>
      <c r="D509" s="426" t="s">
        <v>2670</v>
      </c>
      <c r="E509" s="426" t="str">
        <f t="shared" si="50"/>
        <v>346</v>
      </c>
      <c r="F509" s="741" t="s">
        <v>2194</v>
      </c>
      <c r="G509" s="425" t="str">
        <f t="shared" si="58"/>
        <v/>
      </c>
      <c r="H509" s="426">
        <v>1.9670451371</v>
      </c>
      <c r="I509" s="426">
        <v>2.027719257447</v>
      </c>
      <c r="J509" s="426">
        <v>2.027719257447</v>
      </c>
      <c r="K509" s="426">
        <v>2.027719257447</v>
      </c>
      <c r="L509" s="426">
        <v>2.027719257447</v>
      </c>
      <c r="M509" s="426">
        <v>2.027719257447</v>
      </c>
      <c r="N509" s="426">
        <v>2.027719257447</v>
      </c>
      <c r="O509" s="426">
        <v>2.027719257447</v>
      </c>
      <c r="P509" s="426">
        <v>2.027719257447</v>
      </c>
      <c r="Q509" s="426">
        <v>2.027719257447</v>
      </c>
      <c r="R509" s="426">
        <v>2.027719257447</v>
      </c>
      <c r="S509" s="426">
        <v>2.027719257447</v>
      </c>
      <c r="T509" s="426">
        <v>2.027719257447</v>
      </c>
      <c r="U509" s="426">
        <f t="shared" si="57"/>
        <v>24.332631089364</v>
      </c>
    </row>
    <row r="510" spans="1:21">
      <c r="A510" s="426" t="str">
        <f t="shared" si="54"/>
        <v>KU</v>
      </c>
      <c r="B510" s="426" t="str">
        <f t="shared" si="55"/>
        <v>KY</v>
      </c>
      <c r="C510" s="426" t="str">
        <f t="shared" si="56"/>
        <v>E</v>
      </c>
      <c r="D510" s="426" t="s">
        <v>2670</v>
      </c>
      <c r="E510" s="426" t="str">
        <f t="shared" si="50"/>
        <v>347</v>
      </c>
      <c r="F510" s="741" t="s">
        <v>2195</v>
      </c>
      <c r="G510" s="425" t="str">
        <f t="shared" si="58"/>
        <v>ARO</v>
      </c>
      <c r="H510" s="426">
        <v>1.66120391576844</v>
      </c>
      <c r="I510" s="426">
        <v>1.66120391576844</v>
      </c>
      <c r="J510" s="426">
        <v>1.66120391576844</v>
      </c>
      <c r="K510" s="426">
        <v>1.66120391576844</v>
      </c>
      <c r="L510" s="426">
        <v>1.66120391576844</v>
      </c>
      <c r="M510" s="426">
        <v>1.66120391576844</v>
      </c>
      <c r="N510" s="426">
        <v>1.66120391576844</v>
      </c>
      <c r="O510" s="426">
        <v>1.66120391576844</v>
      </c>
      <c r="P510" s="426">
        <v>1.66120391576844</v>
      </c>
      <c r="Q510" s="426">
        <v>1.66120391576844</v>
      </c>
      <c r="R510" s="426">
        <v>1.66120391576844</v>
      </c>
      <c r="S510" s="426">
        <v>1.66120391576844</v>
      </c>
      <c r="T510" s="426">
        <v>1.66120391576844</v>
      </c>
      <c r="U510" s="426">
        <f t="shared" si="57"/>
        <v>19.934446989221275</v>
      </c>
    </row>
    <row r="511" spans="1:21">
      <c r="A511" s="426" t="str">
        <f t="shared" si="54"/>
        <v>KU</v>
      </c>
      <c r="B511" s="426" t="str">
        <f t="shared" si="55"/>
        <v>KY</v>
      </c>
      <c r="C511" s="426" t="str">
        <f t="shared" si="56"/>
        <v>E</v>
      </c>
      <c r="D511" s="426" t="s">
        <v>2670</v>
      </c>
      <c r="E511" s="426" t="str">
        <f t="shared" si="50"/>
        <v>350</v>
      </c>
      <c r="F511" s="741" t="s">
        <v>1752</v>
      </c>
      <c r="G511" s="425" t="str">
        <f t="shared" si="58"/>
        <v/>
      </c>
      <c r="H511" s="426">
        <v>20.219019970000002</v>
      </c>
      <c r="I511" s="426">
        <v>20.219019970000002</v>
      </c>
      <c r="J511" s="426">
        <v>20.219019970000002</v>
      </c>
      <c r="K511" s="426">
        <v>20.219019970000002</v>
      </c>
      <c r="L511" s="426">
        <v>20.219019970000002</v>
      </c>
      <c r="M511" s="426">
        <v>21.298111850000002</v>
      </c>
      <c r="N511" s="426">
        <v>22.377203720000001</v>
      </c>
      <c r="O511" s="426">
        <v>22.377203720000001</v>
      </c>
      <c r="P511" s="426">
        <v>22.377203720000001</v>
      </c>
      <c r="Q511" s="426">
        <v>22.377203720000001</v>
      </c>
      <c r="R511" s="426">
        <v>22.940763480000001</v>
      </c>
      <c r="S511" s="426">
        <v>23.504323249999999</v>
      </c>
      <c r="T511" s="426">
        <v>24.188306539999999</v>
      </c>
      <c r="U511" s="426">
        <f t="shared" si="57"/>
        <v>262.31639988000006</v>
      </c>
    </row>
    <row r="512" spans="1:21">
      <c r="A512" s="426" t="str">
        <f t="shared" si="54"/>
        <v>KU</v>
      </c>
      <c r="B512" s="426" t="str">
        <f t="shared" si="55"/>
        <v>TN</v>
      </c>
      <c r="C512" s="426" t="str">
        <f t="shared" si="56"/>
        <v>E</v>
      </c>
      <c r="D512" s="426" t="s">
        <v>2670</v>
      </c>
      <c r="E512" s="426" t="str">
        <f t="shared" si="50"/>
        <v>350</v>
      </c>
      <c r="F512" s="741" t="s">
        <v>1753</v>
      </c>
      <c r="G512" s="425" t="str">
        <f t="shared" si="58"/>
        <v/>
      </c>
      <c r="H512" s="426">
        <v>3.1499650000000001E-4</v>
      </c>
      <c r="I512" s="426">
        <v>3.1499650000000001E-4</v>
      </c>
      <c r="J512" s="426">
        <v>3.1499650000000001E-4</v>
      </c>
      <c r="K512" s="426">
        <v>3.1499650000000001E-4</v>
      </c>
      <c r="L512" s="426">
        <v>3.1499650000000001E-4</v>
      </c>
      <c r="M512" s="426">
        <v>3.1499650000000001E-4</v>
      </c>
      <c r="N512" s="426">
        <v>3.1499650000000001E-4</v>
      </c>
      <c r="O512" s="426">
        <v>3.1499650000000001E-4</v>
      </c>
      <c r="P512" s="426">
        <v>3.1499650000000001E-4</v>
      </c>
      <c r="Q512" s="426">
        <v>3.1499650000000001E-4</v>
      </c>
      <c r="R512" s="426">
        <v>3.1499650000000001E-4</v>
      </c>
      <c r="S512" s="426">
        <v>3.1499650000000001E-4</v>
      </c>
      <c r="T512" s="426">
        <v>3.1499650000000001E-4</v>
      </c>
      <c r="U512" s="426">
        <f t="shared" si="57"/>
        <v>3.7799579999999995E-3</v>
      </c>
    </row>
    <row r="513" spans="1:21">
      <c r="A513" s="426" t="str">
        <f t="shared" si="54"/>
        <v>KU</v>
      </c>
      <c r="B513" s="426" t="str">
        <f t="shared" si="55"/>
        <v>VA</v>
      </c>
      <c r="C513" s="426" t="str">
        <f t="shared" si="56"/>
        <v>E</v>
      </c>
      <c r="D513" s="426" t="s">
        <v>2670</v>
      </c>
      <c r="E513" s="426" t="str">
        <f t="shared" si="50"/>
        <v>350</v>
      </c>
      <c r="F513" s="741" t="s">
        <v>1754</v>
      </c>
      <c r="G513" s="425" t="str">
        <f t="shared" si="58"/>
        <v/>
      </c>
      <c r="H513" s="426">
        <v>2.0290853549999999</v>
      </c>
      <c r="I513" s="426">
        <v>2.0290853549999999</v>
      </c>
      <c r="J513" s="426">
        <v>2.0290853549999999</v>
      </c>
      <c r="K513" s="426">
        <v>2.0290853549999999</v>
      </c>
      <c r="L513" s="426">
        <v>2.0290853549999999</v>
      </c>
      <c r="M513" s="426">
        <v>2.0290853549999999</v>
      </c>
      <c r="N513" s="426">
        <v>2.0290853549999999</v>
      </c>
      <c r="O513" s="426">
        <v>2.0290853549999999</v>
      </c>
      <c r="P513" s="426">
        <v>2.0290853549999999</v>
      </c>
      <c r="Q513" s="426">
        <v>2.0290853549999999</v>
      </c>
      <c r="R513" s="426">
        <v>2.0290853549999999</v>
      </c>
      <c r="S513" s="426">
        <v>2.0290853549999999</v>
      </c>
      <c r="T513" s="426">
        <v>2.0290853549999999</v>
      </c>
      <c r="U513" s="426">
        <f t="shared" si="57"/>
        <v>24.349024259999997</v>
      </c>
    </row>
    <row r="514" spans="1:21">
      <c r="A514" s="426" t="str">
        <f t="shared" si="54"/>
        <v>KU</v>
      </c>
      <c r="B514" s="426" t="str">
        <f t="shared" si="55"/>
        <v>KY</v>
      </c>
      <c r="C514" s="426" t="str">
        <f t="shared" si="56"/>
        <v>E</v>
      </c>
      <c r="D514" s="426" t="s">
        <v>2670</v>
      </c>
      <c r="E514" s="426" t="str">
        <f t="shared" si="50"/>
        <v>352</v>
      </c>
      <c r="F514" s="741" t="s">
        <v>1755</v>
      </c>
      <c r="G514" s="425" t="str">
        <f t="shared" si="58"/>
        <v/>
      </c>
      <c r="H514" s="426">
        <v>1.73988705454999</v>
      </c>
      <c r="I514" s="426">
        <v>1.73988705454999</v>
      </c>
      <c r="J514" s="426">
        <v>1.73988705454999</v>
      </c>
      <c r="K514" s="426">
        <v>1.73988705454999</v>
      </c>
      <c r="L514" s="426">
        <v>1.81614867505</v>
      </c>
      <c r="M514" s="426">
        <v>1.89241029555</v>
      </c>
      <c r="N514" s="426">
        <v>1.89241029555</v>
      </c>
      <c r="O514" s="426">
        <v>1.89241029555</v>
      </c>
      <c r="P514" s="426">
        <v>1.89241029555</v>
      </c>
      <c r="Q514" s="426">
        <v>1.89241029555</v>
      </c>
      <c r="R514" s="426">
        <v>1.89241029555</v>
      </c>
      <c r="S514" s="426">
        <v>1.89241029555</v>
      </c>
      <c r="T514" s="426">
        <v>1.89241029555</v>
      </c>
      <c r="U514" s="426">
        <f t="shared" si="57"/>
        <v>22.175092203099972</v>
      </c>
    </row>
    <row r="515" spans="1:21">
      <c r="A515" s="426" t="str">
        <f t="shared" si="54"/>
        <v>KU</v>
      </c>
      <c r="B515" s="426" t="str">
        <f t="shared" si="55"/>
        <v>KY</v>
      </c>
      <c r="C515" s="426" t="str">
        <f t="shared" si="56"/>
        <v>E</v>
      </c>
      <c r="D515" s="426" t="s">
        <v>2670</v>
      </c>
      <c r="E515" s="426" t="str">
        <f t="shared" si="50"/>
        <v>352</v>
      </c>
      <c r="F515" s="741" t="s">
        <v>1756</v>
      </c>
      <c r="G515" s="425" t="str">
        <f t="shared" si="58"/>
        <v/>
      </c>
      <c r="H515" s="426">
        <v>42.482846658999897</v>
      </c>
      <c r="I515" s="426">
        <v>42.482846658999897</v>
      </c>
      <c r="J515" s="426">
        <v>42.482846658999897</v>
      </c>
      <c r="K515" s="426">
        <v>42.482846658999897</v>
      </c>
      <c r="L515" s="426">
        <v>42.482846658999897</v>
      </c>
      <c r="M515" s="426">
        <v>42.482846658999897</v>
      </c>
      <c r="N515" s="426">
        <v>42.482846658999897</v>
      </c>
      <c r="O515" s="426">
        <v>42.482846658999897</v>
      </c>
      <c r="P515" s="426">
        <v>42.482846658999897</v>
      </c>
      <c r="Q515" s="426">
        <v>42.482846658999897</v>
      </c>
      <c r="R515" s="426">
        <v>42.482846658999897</v>
      </c>
      <c r="S515" s="426">
        <v>42.482846658999897</v>
      </c>
      <c r="T515" s="426">
        <v>42.482846658999897</v>
      </c>
      <c r="U515" s="426">
        <f t="shared" si="57"/>
        <v>509.79415990799879</v>
      </c>
    </row>
    <row r="516" spans="1:21">
      <c r="A516" s="426" t="str">
        <f t="shared" si="54"/>
        <v>KU</v>
      </c>
      <c r="B516" s="426" t="str">
        <f t="shared" si="55"/>
        <v>VA</v>
      </c>
      <c r="C516" s="426" t="str">
        <f t="shared" si="56"/>
        <v>E</v>
      </c>
      <c r="D516" s="426" t="s">
        <v>2670</v>
      </c>
      <c r="E516" s="426" t="str">
        <f t="shared" si="50"/>
        <v>352</v>
      </c>
      <c r="F516" s="741" t="s">
        <v>1757</v>
      </c>
      <c r="G516" s="425" t="str">
        <f t="shared" si="58"/>
        <v/>
      </c>
      <c r="H516" s="426">
        <v>2.4926306855</v>
      </c>
      <c r="I516" s="426">
        <v>2.4926306855</v>
      </c>
      <c r="J516" s="426">
        <v>2.4926306855</v>
      </c>
      <c r="K516" s="426">
        <v>2.4926306855</v>
      </c>
      <c r="L516" s="426">
        <v>2.4926306855</v>
      </c>
      <c r="M516" s="426">
        <v>2.4926306855</v>
      </c>
      <c r="N516" s="426">
        <v>2.4926306855</v>
      </c>
      <c r="O516" s="426">
        <v>2.4926306855</v>
      </c>
      <c r="P516" s="426">
        <v>2.4926306855</v>
      </c>
      <c r="Q516" s="426">
        <v>2.4926306855</v>
      </c>
      <c r="R516" s="426">
        <v>2.4926306855</v>
      </c>
      <c r="S516" s="426">
        <v>2.4926306855</v>
      </c>
      <c r="T516" s="426">
        <v>2.4926306855</v>
      </c>
      <c r="U516" s="426">
        <f t="shared" si="57"/>
        <v>29.911568226</v>
      </c>
    </row>
    <row r="517" spans="1:21">
      <c r="A517" s="426" t="str">
        <f t="shared" si="54"/>
        <v>KU</v>
      </c>
      <c r="B517" s="426" t="str">
        <f t="shared" si="55"/>
        <v>KY</v>
      </c>
      <c r="C517" s="426" t="str">
        <f t="shared" si="56"/>
        <v>E</v>
      </c>
      <c r="D517" s="426" t="s">
        <v>2670</v>
      </c>
      <c r="E517" s="426" t="str">
        <f t="shared" si="50"/>
        <v>353</v>
      </c>
      <c r="F517" s="741" t="s">
        <v>1758</v>
      </c>
      <c r="G517" s="425" t="str">
        <f t="shared" si="58"/>
        <v/>
      </c>
      <c r="H517" s="426">
        <v>574.88329709000004</v>
      </c>
      <c r="I517" s="426">
        <v>575.50879056999997</v>
      </c>
      <c r="J517" s="426">
        <v>581.08214877</v>
      </c>
      <c r="K517" s="426">
        <v>586.53577600000006</v>
      </c>
      <c r="L517" s="426">
        <v>587.47678497000004</v>
      </c>
      <c r="M517" s="426">
        <v>587.53116434999902</v>
      </c>
      <c r="N517" s="426">
        <v>608.62013352999998</v>
      </c>
      <c r="O517" s="426">
        <v>630.144489289999</v>
      </c>
      <c r="P517" s="426">
        <v>630.27866889999996</v>
      </c>
      <c r="Q517" s="426">
        <v>633.19123692999995</v>
      </c>
      <c r="R517" s="426">
        <v>636.87473895000005</v>
      </c>
      <c r="S517" s="426">
        <v>637.40459750000002</v>
      </c>
      <c r="T517" s="426">
        <v>637.18431306000002</v>
      </c>
      <c r="U517" s="426">
        <f t="shared" si="57"/>
        <v>7331.8328428199975</v>
      </c>
    </row>
    <row r="518" spans="1:21">
      <c r="A518" s="426" t="str">
        <f t="shared" si="54"/>
        <v>KU</v>
      </c>
      <c r="B518" s="426" t="str">
        <f t="shared" si="55"/>
        <v>VA</v>
      </c>
      <c r="C518" s="426" t="str">
        <f t="shared" si="56"/>
        <v>E</v>
      </c>
      <c r="D518" s="426" t="s">
        <v>2670</v>
      </c>
      <c r="E518" s="426" t="str">
        <f t="shared" si="50"/>
        <v>353</v>
      </c>
      <c r="F518" s="741" t="s">
        <v>1760</v>
      </c>
      <c r="G518" s="425" t="str">
        <f t="shared" si="58"/>
        <v/>
      </c>
      <c r="H518" s="426">
        <v>52.172653292999897</v>
      </c>
      <c r="I518" s="426">
        <v>52.172653292999897</v>
      </c>
      <c r="J518" s="426">
        <v>52.172653292999897</v>
      </c>
      <c r="K518" s="426">
        <v>52.172653292999897</v>
      </c>
      <c r="L518" s="426">
        <v>52.172653292999897</v>
      </c>
      <c r="M518" s="426">
        <v>52.172653292999897</v>
      </c>
      <c r="N518" s="426">
        <v>52.172653292999897</v>
      </c>
      <c r="O518" s="426">
        <v>52.172653292999897</v>
      </c>
      <c r="P518" s="426">
        <v>52.172653292999897</v>
      </c>
      <c r="Q518" s="426">
        <v>52.172653292999897</v>
      </c>
      <c r="R518" s="426">
        <v>52.172653292999897</v>
      </c>
      <c r="S518" s="426">
        <v>54.632769365999998</v>
      </c>
      <c r="T518" s="426">
        <v>57.092885439</v>
      </c>
      <c r="U518" s="426">
        <f t="shared" si="57"/>
        <v>633.45218773499903</v>
      </c>
    </row>
    <row r="519" spans="1:21">
      <c r="A519" s="426" t="str">
        <f t="shared" si="54"/>
        <v>KU</v>
      </c>
      <c r="B519" s="426" t="str">
        <f t="shared" si="55"/>
        <v>KY</v>
      </c>
      <c r="C519" s="426" t="str">
        <f t="shared" si="56"/>
        <v>E</v>
      </c>
      <c r="D519" s="426" t="s">
        <v>2670</v>
      </c>
      <c r="E519" s="426" t="str">
        <f t="shared" ref="E519:E579" si="59">MID($F519,8,3)</f>
        <v>354</v>
      </c>
      <c r="F519" s="741" t="s">
        <v>1761</v>
      </c>
      <c r="G519" s="425" t="str">
        <f t="shared" si="58"/>
        <v/>
      </c>
      <c r="H519" s="426">
        <v>99.691543200999902</v>
      </c>
      <c r="I519" s="426">
        <v>99.691543200999902</v>
      </c>
      <c r="J519" s="426">
        <v>99.691543200999902</v>
      </c>
      <c r="K519" s="426">
        <v>99.691543200999902</v>
      </c>
      <c r="L519" s="426">
        <v>99.691543200999902</v>
      </c>
      <c r="M519" s="426">
        <v>99.691543200999902</v>
      </c>
      <c r="N519" s="426">
        <v>99.691543200999902</v>
      </c>
      <c r="O519" s="426">
        <v>99.691543200999902</v>
      </c>
      <c r="P519" s="426">
        <v>99.691543200999902</v>
      </c>
      <c r="Q519" s="426">
        <v>99.691543200999902</v>
      </c>
      <c r="R519" s="426">
        <v>99.691543200999902</v>
      </c>
      <c r="S519" s="426">
        <v>99.691543200999902</v>
      </c>
      <c r="T519" s="426">
        <v>99.691543200999902</v>
      </c>
      <c r="U519" s="426">
        <f t="shared" si="57"/>
        <v>1196.2985184119989</v>
      </c>
    </row>
    <row r="520" spans="1:21">
      <c r="A520" s="426" t="str">
        <f t="shared" si="54"/>
        <v>KU</v>
      </c>
      <c r="B520" s="426" t="str">
        <f t="shared" si="55"/>
        <v>VA</v>
      </c>
      <c r="C520" s="426" t="str">
        <f t="shared" si="56"/>
        <v>E</v>
      </c>
      <c r="D520" s="426" t="s">
        <v>2670</v>
      </c>
      <c r="E520" s="426" t="str">
        <f t="shared" si="59"/>
        <v>354</v>
      </c>
      <c r="F520" s="741" t="s">
        <v>1762</v>
      </c>
      <c r="G520" s="425" t="str">
        <f t="shared" si="58"/>
        <v/>
      </c>
      <c r="H520" s="426">
        <v>10.113356164000001</v>
      </c>
      <c r="I520" s="426">
        <v>10.113356164000001</v>
      </c>
      <c r="J520" s="426">
        <v>10.113356164000001</v>
      </c>
      <c r="K520" s="426">
        <v>10.113356164000001</v>
      </c>
      <c r="L520" s="426">
        <v>10.113356164000001</v>
      </c>
      <c r="M520" s="426">
        <v>10.113356164000001</v>
      </c>
      <c r="N520" s="426">
        <v>10.113356164000001</v>
      </c>
      <c r="O520" s="426">
        <v>10.113356164000001</v>
      </c>
      <c r="P520" s="426">
        <v>10.113356164000001</v>
      </c>
      <c r="Q520" s="426">
        <v>10.113356164000001</v>
      </c>
      <c r="R520" s="426">
        <v>10.113356164000001</v>
      </c>
      <c r="S520" s="426">
        <v>10.113356164000001</v>
      </c>
      <c r="T520" s="426">
        <v>10.113356164000001</v>
      </c>
      <c r="U520" s="426">
        <f t="shared" si="57"/>
        <v>121.36027396799999</v>
      </c>
    </row>
    <row r="521" spans="1:21">
      <c r="A521" s="426" t="str">
        <f t="shared" si="54"/>
        <v>KU</v>
      </c>
      <c r="B521" s="426" t="str">
        <f t="shared" si="55"/>
        <v>KY</v>
      </c>
      <c r="C521" s="426" t="str">
        <f t="shared" si="56"/>
        <v>E</v>
      </c>
      <c r="D521" s="426" t="s">
        <v>2670</v>
      </c>
      <c r="E521" s="426" t="str">
        <f t="shared" si="59"/>
        <v>355</v>
      </c>
      <c r="F521" s="741" t="s">
        <v>1763</v>
      </c>
      <c r="G521" s="425" t="str">
        <f t="shared" si="58"/>
        <v/>
      </c>
      <c r="H521" s="426">
        <v>1272.8698851699901</v>
      </c>
      <c r="I521" s="426">
        <v>1297.0513357499999</v>
      </c>
      <c r="J521" s="426">
        <v>1297.7523525199999</v>
      </c>
      <c r="K521" s="426">
        <v>1302.8055263599999</v>
      </c>
      <c r="L521" s="426">
        <v>1311.0863163700001</v>
      </c>
      <c r="M521" s="426">
        <v>1314.08885031</v>
      </c>
      <c r="N521" s="426">
        <v>1338.9890215800001</v>
      </c>
      <c r="O521" s="426">
        <v>1365.1061269499901</v>
      </c>
      <c r="P521" s="426">
        <v>1367.11512247</v>
      </c>
      <c r="Q521" s="426">
        <v>1370.0314742400001</v>
      </c>
      <c r="R521" s="426">
        <v>1378.1626100599999</v>
      </c>
      <c r="S521" s="426">
        <v>1391.5290043699999</v>
      </c>
      <c r="T521" s="426">
        <v>1412.2721988200001</v>
      </c>
      <c r="U521" s="426">
        <f t="shared" si="57"/>
        <v>16145.989939799991</v>
      </c>
    </row>
    <row r="522" spans="1:21">
      <c r="A522" s="426" t="str">
        <f t="shared" si="54"/>
        <v>KU</v>
      </c>
      <c r="B522" s="426" t="str">
        <f t="shared" si="55"/>
        <v>TN</v>
      </c>
      <c r="C522" s="426" t="str">
        <f t="shared" si="56"/>
        <v>E</v>
      </c>
      <c r="D522" s="426" t="s">
        <v>2670</v>
      </c>
      <c r="E522" s="426" t="str">
        <f t="shared" si="59"/>
        <v>355</v>
      </c>
      <c r="F522" s="741" t="s">
        <v>1764</v>
      </c>
      <c r="G522" s="425" t="str">
        <f t="shared" si="58"/>
        <v/>
      </c>
      <c r="H522" s="426">
        <v>0.31436831912000002</v>
      </c>
      <c r="I522" s="426">
        <v>0.31436831912000002</v>
      </c>
      <c r="J522" s="426">
        <v>0.31436831912000002</v>
      </c>
      <c r="K522" s="426">
        <v>0.31436831912000002</v>
      </c>
      <c r="L522" s="426">
        <v>0.31436831912000002</v>
      </c>
      <c r="M522" s="426">
        <v>0.31436831912000002</v>
      </c>
      <c r="N522" s="426">
        <v>0.31436831912000002</v>
      </c>
      <c r="O522" s="426">
        <v>0.31436831912000002</v>
      </c>
      <c r="P522" s="426">
        <v>0.31436831912000002</v>
      </c>
      <c r="Q522" s="426">
        <v>0.31436831912000002</v>
      </c>
      <c r="R522" s="426">
        <v>0.31436831912000002</v>
      </c>
      <c r="S522" s="426">
        <v>0.31436831912000002</v>
      </c>
      <c r="T522" s="426">
        <v>0.31436831912000002</v>
      </c>
      <c r="U522" s="426">
        <f t="shared" si="57"/>
        <v>3.7724198294400009</v>
      </c>
    </row>
    <row r="523" spans="1:21">
      <c r="A523" s="426" t="str">
        <f t="shared" si="54"/>
        <v>KU</v>
      </c>
      <c r="B523" s="426" t="str">
        <f t="shared" si="55"/>
        <v>VA</v>
      </c>
      <c r="C523" s="426" t="str">
        <f t="shared" si="56"/>
        <v>E</v>
      </c>
      <c r="D523" s="426" t="s">
        <v>2670</v>
      </c>
      <c r="E523" s="426" t="str">
        <f t="shared" si="59"/>
        <v>355</v>
      </c>
      <c r="F523" s="741" t="s">
        <v>1765</v>
      </c>
      <c r="G523" s="425" t="str">
        <f t="shared" si="58"/>
        <v/>
      </c>
      <c r="H523" s="426">
        <v>62.408115527</v>
      </c>
      <c r="I523" s="426">
        <v>66.193262689999997</v>
      </c>
      <c r="J523" s="426">
        <v>66.193262689999997</v>
      </c>
      <c r="K523" s="426">
        <v>66.193262689999997</v>
      </c>
      <c r="L523" s="426">
        <v>76.242025208000001</v>
      </c>
      <c r="M523" s="426">
        <v>86.290787714999993</v>
      </c>
      <c r="N523" s="426">
        <v>94.371025622000005</v>
      </c>
      <c r="O523" s="426">
        <v>102.451263517999</v>
      </c>
      <c r="P523" s="426">
        <v>102.451263517999</v>
      </c>
      <c r="Q523" s="426">
        <v>102.451263517999</v>
      </c>
      <c r="R523" s="426">
        <v>103.04555306500001</v>
      </c>
      <c r="S523" s="426">
        <v>103.639842610999</v>
      </c>
      <c r="T523" s="426">
        <v>121.30544655</v>
      </c>
      <c r="U523" s="426">
        <f t="shared" si="57"/>
        <v>1090.8282593949962</v>
      </c>
    </row>
    <row r="524" spans="1:21">
      <c r="A524" s="426" t="str">
        <f t="shared" si="54"/>
        <v>KU</v>
      </c>
      <c r="B524" s="426" t="str">
        <f t="shared" si="55"/>
        <v>KY</v>
      </c>
      <c r="C524" s="426" t="str">
        <f t="shared" si="56"/>
        <v>E</v>
      </c>
      <c r="D524" s="426" t="s">
        <v>2670</v>
      </c>
      <c r="E524" s="426" t="str">
        <f t="shared" si="59"/>
        <v>356</v>
      </c>
      <c r="F524" s="741" t="s">
        <v>1766</v>
      </c>
      <c r="G524" s="425" t="str">
        <f t="shared" si="58"/>
        <v/>
      </c>
      <c r="H524" s="426">
        <v>487.03991415000002</v>
      </c>
      <c r="I524" s="426">
        <v>504.87165074000001</v>
      </c>
      <c r="J524" s="426">
        <v>504.74582593999997</v>
      </c>
      <c r="K524" s="426">
        <v>504.65109574000002</v>
      </c>
      <c r="L524" s="426">
        <v>504.53687703000003</v>
      </c>
      <c r="M524" s="426">
        <v>504.30547151000002</v>
      </c>
      <c r="N524" s="426">
        <v>507.17597583999998</v>
      </c>
      <c r="O524" s="426">
        <v>510.17844912999999</v>
      </c>
      <c r="P524" s="426">
        <v>510.08373517000001</v>
      </c>
      <c r="Q524" s="426">
        <v>509.98088905999998</v>
      </c>
      <c r="R524" s="426">
        <v>513.05550486000004</v>
      </c>
      <c r="S524" s="426">
        <v>516.71561832999998</v>
      </c>
      <c r="T524" s="426">
        <v>521.09408364000001</v>
      </c>
      <c r="U524" s="426">
        <f t="shared" si="57"/>
        <v>6111.3951769900013</v>
      </c>
    </row>
    <row r="525" spans="1:21">
      <c r="A525" s="426" t="str">
        <f t="shared" si="54"/>
        <v>KU</v>
      </c>
      <c r="B525" s="426" t="str">
        <f t="shared" si="55"/>
        <v>TN</v>
      </c>
      <c r="C525" s="426" t="str">
        <f t="shared" si="56"/>
        <v>E</v>
      </c>
      <c r="D525" s="426" t="s">
        <v>2670</v>
      </c>
      <c r="E525" s="426" t="str">
        <f t="shared" si="59"/>
        <v>356</v>
      </c>
      <c r="F525" s="741" t="s">
        <v>1767</v>
      </c>
      <c r="G525" s="425" t="str">
        <f t="shared" si="58"/>
        <v/>
      </c>
      <c r="H525" s="426">
        <v>0.17079664850000001</v>
      </c>
      <c r="I525" s="426">
        <v>0.17079664850000001</v>
      </c>
      <c r="J525" s="426">
        <v>0.17079664850000001</v>
      </c>
      <c r="K525" s="426">
        <v>0.17079664850000001</v>
      </c>
      <c r="L525" s="426">
        <v>0.17079664850000001</v>
      </c>
      <c r="M525" s="426">
        <v>0.17079664850000001</v>
      </c>
      <c r="N525" s="426">
        <v>0.17079664850000001</v>
      </c>
      <c r="O525" s="426">
        <v>0.17079664850000001</v>
      </c>
      <c r="P525" s="426">
        <v>0.17079664850000001</v>
      </c>
      <c r="Q525" s="426">
        <v>0.17079664850000001</v>
      </c>
      <c r="R525" s="426">
        <v>0.17079664850000001</v>
      </c>
      <c r="S525" s="426">
        <v>0.17079664850000001</v>
      </c>
      <c r="T525" s="426">
        <v>0.17079664850000001</v>
      </c>
      <c r="U525" s="426">
        <f t="shared" si="57"/>
        <v>2.0495597820000007</v>
      </c>
    </row>
    <row r="526" spans="1:21">
      <c r="A526" s="426" t="str">
        <f t="shared" si="54"/>
        <v>KU</v>
      </c>
      <c r="B526" s="426" t="str">
        <f t="shared" si="55"/>
        <v>VA</v>
      </c>
      <c r="C526" s="426" t="str">
        <f t="shared" si="56"/>
        <v>E</v>
      </c>
      <c r="D526" s="426" t="s">
        <v>2670</v>
      </c>
      <c r="E526" s="426" t="str">
        <f t="shared" si="59"/>
        <v>356</v>
      </c>
      <c r="F526" s="741" t="s">
        <v>1768</v>
      </c>
      <c r="G526" s="425" t="str">
        <f t="shared" si="58"/>
        <v/>
      </c>
      <c r="H526" s="426">
        <v>41.576184984999998</v>
      </c>
      <c r="I526" s="426">
        <v>41.576184984999998</v>
      </c>
      <c r="J526" s="426">
        <v>41.576184984999998</v>
      </c>
      <c r="K526" s="426">
        <v>41.576184984999998</v>
      </c>
      <c r="L526" s="426">
        <v>41.576184984999998</v>
      </c>
      <c r="M526" s="426">
        <v>41.576184984999998</v>
      </c>
      <c r="N526" s="426">
        <v>41.576184984999998</v>
      </c>
      <c r="O526" s="426">
        <v>41.576184984999998</v>
      </c>
      <c r="P526" s="426">
        <v>41.576184984999998</v>
      </c>
      <c r="Q526" s="426">
        <v>41.576184984999998</v>
      </c>
      <c r="R526" s="426">
        <v>41.576184984999998</v>
      </c>
      <c r="S526" s="426">
        <v>41.576184984999998</v>
      </c>
      <c r="T526" s="426">
        <v>41.576184984999998</v>
      </c>
      <c r="U526" s="426">
        <f t="shared" si="57"/>
        <v>498.91421981999997</v>
      </c>
    </row>
    <row r="527" spans="1:21">
      <c r="A527" s="426" t="str">
        <f t="shared" si="54"/>
        <v>KU</v>
      </c>
      <c r="B527" s="426" t="str">
        <f t="shared" si="55"/>
        <v>KY</v>
      </c>
      <c r="C527" s="426" t="str">
        <f t="shared" si="56"/>
        <v>E</v>
      </c>
      <c r="D527" s="426" t="s">
        <v>2670</v>
      </c>
      <c r="E527" s="426" t="str">
        <f t="shared" si="59"/>
        <v>357</v>
      </c>
      <c r="F527" s="741" t="s">
        <v>1769</v>
      </c>
      <c r="G527" s="425" t="str">
        <f t="shared" si="58"/>
        <v/>
      </c>
      <c r="H527" s="426">
        <v>0.8761995642</v>
      </c>
      <c r="I527" s="426">
        <v>0.8761995642</v>
      </c>
      <c r="J527" s="426">
        <v>0.8761995642</v>
      </c>
      <c r="K527" s="426">
        <v>0.8761995642</v>
      </c>
      <c r="L527" s="426">
        <v>0.8761995642</v>
      </c>
      <c r="M527" s="426">
        <v>0.8761995642</v>
      </c>
      <c r="N527" s="426">
        <v>0.8761995642</v>
      </c>
      <c r="O527" s="426">
        <v>0.8761995642</v>
      </c>
      <c r="P527" s="426">
        <v>0.8761995642</v>
      </c>
      <c r="Q527" s="426">
        <v>0.8761995642</v>
      </c>
      <c r="R527" s="426">
        <v>0.8761995642</v>
      </c>
      <c r="S527" s="426">
        <v>0.8761995642</v>
      </c>
      <c r="T527" s="426">
        <v>0.8761995642</v>
      </c>
      <c r="U527" s="426">
        <f t="shared" si="57"/>
        <v>10.514394770400001</v>
      </c>
    </row>
    <row r="528" spans="1:21">
      <c r="A528" s="426" t="str">
        <f t="shared" si="54"/>
        <v>KU</v>
      </c>
      <c r="B528" s="426" t="str">
        <f t="shared" si="55"/>
        <v>KY</v>
      </c>
      <c r="C528" s="426" t="str">
        <f t="shared" si="56"/>
        <v>E</v>
      </c>
      <c r="D528" s="426" t="s">
        <v>2670</v>
      </c>
      <c r="E528" s="426" t="str">
        <f t="shared" si="59"/>
        <v>358</v>
      </c>
      <c r="F528" s="741" t="s">
        <v>1770</v>
      </c>
      <c r="G528" s="425" t="str">
        <f t="shared" si="58"/>
        <v/>
      </c>
      <c r="H528" s="426">
        <v>0.76159268820000003</v>
      </c>
      <c r="I528" s="426">
        <v>0.76159268820000003</v>
      </c>
      <c r="J528" s="426">
        <v>0.76159268820000003</v>
      </c>
      <c r="K528" s="426">
        <v>0.76159268820000003</v>
      </c>
      <c r="L528" s="426">
        <v>0.76159268820000003</v>
      </c>
      <c r="M528" s="426">
        <v>0.76159268820000003</v>
      </c>
      <c r="N528" s="426">
        <v>0.76159268820000003</v>
      </c>
      <c r="O528" s="426">
        <v>0.76159268820000003</v>
      </c>
      <c r="P528" s="426">
        <v>0.76159268820000003</v>
      </c>
      <c r="Q528" s="426">
        <v>0.76159268820000003</v>
      </c>
      <c r="R528" s="426">
        <v>0.76159268820000003</v>
      </c>
      <c r="S528" s="426">
        <v>0.76159268820000003</v>
      </c>
      <c r="T528" s="426">
        <v>0.76159268820000003</v>
      </c>
      <c r="U528" s="426">
        <f t="shared" si="57"/>
        <v>9.1391122584000026</v>
      </c>
    </row>
    <row r="529" spans="1:21">
      <c r="A529" s="426" t="str">
        <f t="shared" si="54"/>
        <v>KU</v>
      </c>
      <c r="B529" s="426" t="str">
        <f t="shared" si="55"/>
        <v>KY</v>
      </c>
      <c r="C529" s="426" t="str">
        <f t="shared" si="56"/>
        <v>E</v>
      </c>
      <c r="D529" s="426" t="s">
        <v>2670</v>
      </c>
      <c r="E529" s="426" t="str">
        <f t="shared" si="59"/>
        <v>359</v>
      </c>
      <c r="F529" s="741" t="s">
        <v>1771</v>
      </c>
      <c r="G529" s="425" t="str">
        <f t="shared" si="58"/>
        <v>ARO</v>
      </c>
      <c r="H529" s="426">
        <v>0.60753770584248901</v>
      </c>
      <c r="I529" s="426">
        <v>0.60753770584248901</v>
      </c>
      <c r="J529" s="426">
        <v>0.60753770584248901</v>
      </c>
      <c r="K529" s="426">
        <v>0.60753770584248901</v>
      </c>
      <c r="L529" s="426">
        <v>0.60753770584248901</v>
      </c>
      <c r="M529" s="426">
        <v>0.60753770584248901</v>
      </c>
      <c r="N529" s="426">
        <v>0.60753770584248901</v>
      </c>
      <c r="O529" s="426">
        <v>0.60753770584248901</v>
      </c>
      <c r="P529" s="426">
        <v>0.60753770584248901</v>
      </c>
      <c r="Q529" s="426">
        <v>0.60753770584248901</v>
      </c>
      <c r="R529" s="426">
        <v>0.60753770584248901</v>
      </c>
      <c r="S529" s="426">
        <v>0.60753770584248901</v>
      </c>
      <c r="T529" s="426">
        <v>0.60753770584248901</v>
      </c>
      <c r="U529" s="426">
        <f>SUM(I529:T529)</f>
        <v>7.2904524701098685</v>
      </c>
    </row>
    <row r="530" spans="1:21">
      <c r="A530" s="426" t="str">
        <f t="shared" si="54"/>
        <v>KU</v>
      </c>
      <c r="B530" s="426" t="str">
        <f t="shared" si="55"/>
        <v>KY</v>
      </c>
      <c r="C530" s="426" t="str">
        <f t="shared" si="56"/>
        <v>E</v>
      </c>
      <c r="D530" s="426" t="s">
        <v>2670</v>
      </c>
      <c r="E530" s="426" t="str">
        <f t="shared" si="59"/>
        <v>360</v>
      </c>
      <c r="F530" s="741" t="s">
        <v>1773</v>
      </c>
      <c r="G530" s="425" t="str">
        <f t="shared" si="58"/>
        <v/>
      </c>
      <c r="H530" s="426">
        <v>1.284201819</v>
      </c>
      <c r="I530" s="426">
        <v>1.284201819</v>
      </c>
      <c r="J530" s="426">
        <v>1.284201819</v>
      </c>
      <c r="K530" s="426">
        <v>1.284201819</v>
      </c>
      <c r="L530" s="426">
        <v>1.284201819</v>
      </c>
      <c r="M530" s="426">
        <v>1.284201819</v>
      </c>
      <c r="N530" s="426">
        <v>1.284201819</v>
      </c>
      <c r="O530" s="426">
        <v>1.284201819</v>
      </c>
      <c r="P530" s="426">
        <v>1.284201819</v>
      </c>
      <c r="Q530" s="426">
        <v>1.284201819</v>
      </c>
      <c r="R530" s="426">
        <v>1.284201819</v>
      </c>
      <c r="S530" s="426">
        <v>1.284201819</v>
      </c>
      <c r="T530" s="426">
        <v>1.284201819</v>
      </c>
      <c r="U530" s="426">
        <f t="shared" si="57"/>
        <v>15.410421827999999</v>
      </c>
    </row>
    <row r="531" spans="1:21">
      <c r="A531" s="426" t="str">
        <f t="shared" si="54"/>
        <v>KU</v>
      </c>
      <c r="B531" s="426" t="str">
        <f t="shared" si="55"/>
        <v>TN</v>
      </c>
      <c r="C531" s="426" t="str">
        <f t="shared" si="56"/>
        <v>E</v>
      </c>
      <c r="D531" s="426" t="s">
        <v>2670</v>
      </c>
      <c r="E531" s="426" t="str">
        <f t="shared" si="59"/>
        <v>360</v>
      </c>
      <c r="F531" s="741" t="s">
        <v>1774</v>
      </c>
      <c r="G531" s="425" t="str">
        <f t="shared" si="58"/>
        <v/>
      </c>
      <c r="H531" s="426">
        <v>1.4012853329999999E-3</v>
      </c>
      <c r="I531" s="426">
        <v>1.4012853329999999E-3</v>
      </c>
      <c r="J531" s="426">
        <v>1.4012853329999999E-3</v>
      </c>
      <c r="K531" s="426">
        <v>1.4012853329999999E-3</v>
      </c>
      <c r="L531" s="426">
        <v>1.4012853329999999E-3</v>
      </c>
      <c r="M531" s="426">
        <v>1.4012853329999999E-3</v>
      </c>
      <c r="N531" s="426">
        <v>1.4012853329999999E-3</v>
      </c>
      <c r="O531" s="426">
        <v>1.4012853329999999E-3</v>
      </c>
      <c r="P531" s="426">
        <v>1.4012853329999999E-3</v>
      </c>
      <c r="Q531" s="426">
        <v>1.4012853329999999E-3</v>
      </c>
      <c r="R531" s="426">
        <v>1.4012853329999999E-3</v>
      </c>
      <c r="S531" s="426">
        <v>1.4012853329999999E-3</v>
      </c>
      <c r="T531" s="426">
        <v>1.4012853329999999E-3</v>
      </c>
      <c r="U531" s="426">
        <f t="shared" si="57"/>
        <v>1.6815423995999997E-2</v>
      </c>
    </row>
    <row r="532" spans="1:21">
      <c r="A532" s="426" t="str">
        <f t="shared" si="54"/>
        <v>KU</v>
      </c>
      <c r="B532" s="426" t="str">
        <f t="shared" si="55"/>
        <v>VA</v>
      </c>
      <c r="C532" s="426" t="str">
        <f t="shared" si="56"/>
        <v>E</v>
      </c>
      <c r="D532" s="426" t="s">
        <v>2670</v>
      </c>
      <c r="E532" s="426" t="str">
        <f t="shared" si="59"/>
        <v>360</v>
      </c>
      <c r="F532" s="741" t="s">
        <v>1775</v>
      </c>
      <c r="G532" s="425" t="str">
        <f t="shared" si="58"/>
        <v/>
      </c>
      <c r="H532" s="426">
        <v>0.10839428800000001</v>
      </c>
      <c r="I532" s="426">
        <v>0.10839428800000001</v>
      </c>
      <c r="J532" s="426">
        <v>0.10839428800000001</v>
      </c>
      <c r="K532" s="426">
        <v>0.10839428800000001</v>
      </c>
      <c r="L532" s="426">
        <v>0.10839428800000001</v>
      </c>
      <c r="M532" s="426">
        <v>0.10839428800000001</v>
      </c>
      <c r="N532" s="426">
        <v>0.10839428800000001</v>
      </c>
      <c r="O532" s="426">
        <v>0.10839428800000001</v>
      </c>
      <c r="P532" s="426">
        <v>0.10839428800000001</v>
      </c>
      <c r="Q532" s="426">
        <v>0.10839428800000001</v>
      </c>
      <c r="R532" s="426">
        <v>0.10839428800000001</v>
      </c>
      <c r="S532" s="426">
        <v>0.10839428800000001</v>
      </c>
      <c r="T532" s="426">
        <v>0.10839428800000001</v>
      </c>
      <c r="U532" s="426">
        <f t="shared" si="57"/>
        <v>1.3007314559999996</v>
      </c>
    </row>
    <row r="533" spans="1:21">
      <c r="A533" s="426" t="str">
        <f t="shared" si="54"/>
        <v>KU</v>
      </c>
      <c r="B533" s="426" t="str">
        <f t="shared" si="55"/>
        <v>KY</v>
      </c>
      <c r="C533" s="426" t="str">
        <f t="shared" si="56"/>
        <v>E</v>
      </c>
      <c r="D533" s="426" t="s">
        <v>2670</v>
      </c>
      <c r="E533" s="426" t="str">
        <f t="shared" si="59"/>
        <v>361</v>
      </c>
      <c r="F533" s="741" t="s">
        <v>1776</v>
      </c>
      <c r="G533" s="425" t="str">
        <f t="shared" si="58"/>
        <v/>
      </c>
      <c r="H533" s="426">
        <v>53.448318380000003</v>
      </c>
      <c r="I533" s="426">
        <v>54.816726109999998</v>
      </c>
      <c r="J533" s="426">
        <v>55.165136560000001</v>
      </c>
      <c r="K533" s="426">
        <v>55.105403709999997</v>
      </c>
      <c r="L533" s="426">
        <v>55.045670880000003</v>
      </c>
      <c r="M533" s="426">
        <v>54.985938040000001</v>
      </c>
      <c r="N533" s="426">
        <v>55.017580199999998</v>
      </c>
      <c r="O533" s="426">
        <v>55.079088769999998</v>
      </c>
      <c r="P533" s="426">
        <v>55.079088769999998</v>
      </c>
      <c r="Q533" s="426">
        <v>55.079088769999998</v>
      </c>
      <c r="R533" s="426">
        <v>55.079088769999998</v>
      </c>
      <c r="S533" s="426">
        <v>55.706172109999997</v>
      </c>
      <c r="T533" s="426">
        <v>56.333255440000002</v>
      </c>
      <c r="U533" s="426">
        <f t="shared" ref="U533" si="60">SUM(I533:T533)</f>
        <v>662.49223813000003</v>
      </c>
    </row>
    <row r="534" spans="1:21">
      <c r="A534" s="426" t="str">
        <f t="shared" si="54"/>
        <v>KU</v>
      </c>
      <c r="B534" s="426" t="str">
        <f t="shared" si="55"/>
        <v>TN</v>
      </c>
      <c r="C534" s="426" t="str">
        <f t="shared" si="56"/>
        <v>E</v>
      </c>
      <c r="D534" s="426" t="s">
        <v>2670</v>
      </c>
      <c r="E534" s="426" t="str">
        <f t="shared" si="59"/>
        <v>361</v>
      </c>
      <c r="F534" s="741" t="s">
        <v>1777</v>
      </c>
      <c r="G534" s="425" t="str">
        <f t="shared" si="58"/>
        <v/>
      </c>
      <c r="H534" s="426">
        <v>4.5600245839999996E-3</v>
      </c>
      <c r="I534" s="426">
        <v>4.5600245839999996E-3</v>
      </c>
      <c r="J534" s="426">
        <v>4.5600245839999996E-3</v>
      </c>
      <c r="K534" s="426">
        <v>4.5600245839999996E-3</v>
      </c>
      <c r="L534" s="426">
        <v>4.5600245839999996E-3</v>
      </c>
      <c r="M534" s="426">
        <v>4.5600245839999996E-3</v>
      </c>
      <c r="N534" s="426">
        <v>4.5600245839999996E-3</v>
      </c>
      <c r="O534" s="426">
        <v>4.5600245839999996E-3</v>
      </c>
      <c r="P534" s="426">
        <v>4.5600245839999996E-3</v>
      </c>
      <c r="Q534" s="426">
        <v>4.5600245839999996E-3</v>
      </c>
      <c r="R534" s="426">
        <v>4.5600245839999996E-3</v>
      </c>
      <c r="S534" s="426">
        <v>4.5600245839999996E-3</v>
      </c>
      <c r="T534" s="426">
        <v>4.5600245839999996E-3</v>
      </c>
      <c r="U534" s="426">
        <f t="shared" si="57"/>
        <v>5.4720295007999985E-2</v>
      </c>
    </row>
    <row r="535" spans="1:21">
      <c r="A535" s="426" t="str">
        <f t="shared" si="54"/>
        <v>KU</v>
      </c>
      <c r="B535" s="426" t="str">
        <f t="shared" si="55"/>
        <v>VA</v>
      </c>
      <c r="C535" s="426" t="str">
        <f t="shared" si="56"/>
        <v>E</v>
      </c>
      <c r="D535" s="426" t="s">
        <v>2670</v>
      </c>
      <c r="E535" s="426" t="str">
        <f t="shared" si="59"/>
        <v>361</v>
      </c>
      <c r="F535" s="741" t="s">
        <v>1778</v>
      </c>
      <c r="G535" s="425" t="str">
        <f t="shared" si="58"/>
        <v/>
      </c>
      <c r="H535" s="426">
        <v>1.1686422825</v>
      </c>
      <c r="I535" s="426">
        <v>1.1686422825</v>
      </c>
      <c r="J535" s="426">
        <v>1.1686422825</v>
      </c>
      <c r="K535" s="426">
        <v>1.1686422825</v>
      </c>
      <c r="L535" s="426">
        <v>1.1686422825</v>
      </c>
      <c r="M535" s="426">
        <v>1.1686422825</v>
      </c>
      <c r="N535" s="426">
        <v>1.1686422825</v>
      </c>
      <c r="O535" s="426">
        <v>1.1686422825</v>
      </c>
      <c r="P535" s="426">
        <v>1.1686422825</v>
      </c>
      <c r="Q535" s="426">
        <v>1.1686422825</v>
      </c>
      <c r="R535" s="426">
        <v>1.1686422825</v>
      </c>
      <c r="S535" s="426">
        <v>1.1686422825</v>
      </c>
      <c r="T535" s="426">
        <v>1.1686422825</v>
      </c>
      <c r="U535" s="426">
        <f t="shared" si="57"/>
        <v>14.023707390000004</v>
      </c>
    </row>
    <row r="536" spans="1:21">
      <c r="A536" s="426" t="str">
        <f t="shared" si="54"/>
        <v>KU</v>
      </c>
      <c r="B536" s="426" t="str">
        <f t="shared" si="55"/>
        <v>KY</v>
      </c>
      <c r="C536" s="426" t="str">
        <f t="shared" si="56"/>
        <v>E</v>
      </c>
      <c r="D536" s="426" t="s">
        <v>2670</v>
      </c>
      <c r="E536" s="426" t="str">
        <f t="shared" si="59"/>
        <v>362</v>
      </c>
      <c r="F536" s="741" t="s">
        <v>1779</v>
      </c>
      <c r="G536" s="425" t="str">
        <f t="shared" si="58"/>
        <v/>
      </c>
      <c r="H536" s="426">
        <v>369.09951436400002</v>
      </c>
      <c r="I536" s="426">
        <v>373.97062996400001</v>
      </c>
      <c r="J536" s="426">
        <v>377.032243429</v>
      </c>
      <c r="K536" s="426">
        <v>382.42310984699998</v>
      </c>
      <c r="L536" s="426">
        <v>385.99742293000003</v>
      </c>
      <c r="M536" s="426">
        <v>387.18898929900001</v>
      </c>
      <c r="N536" s="426">
        <v>397.78022949699999</v>
      </c>
      <c r="O536" s="426">
        <v>408.10136796</v>
      </c>
      <c r="P536" s="426">
        <v>408.19393929799998</v>
      </c>
      <c r="Q536" s="426">
        <v>408.51465626200002</v>
      </c>
      <c r="R536" s="426">
        <v>409.04454073199997</v>
      </c>
      <c r="S536" s="426">
        <v>409.39308842100002</v>
      </c>
      <c r="T536" s="426">
        <v>413.44203825800003</v>
      </c>
      <c r="U536" s="426">
        <f t="shared" si="57"/>
        <v>4761.0822558970003</v>
      </c>
    </row>
    <row r="537" spans="1:21">
      <c r="A537" s="426" t="str">
        <f t="shared" si="54"/>
        <v>KU</v>
      </c>
      <c r="B537" s="426" t="str">
        <f t="shared" si="55"/>
        <v>TN</v>
      </c>
      <c r="C537" s="426" t="str">
        <f t="shared" si="56"/>
        <v>E</v>
      </c>
      <c r="D537" s="426" t="s">
        <v>2670</v>
      </c>
      <c r="E537" s="426" t="str">
        <f t="shared" si="59"/>
        <v>362</v>
      </c>
      <c r="F537" s="741" t="s">
        <v>1780</v>
      </c>
      <c r="G537" s="425" t="str">
        <f t="shared" si="58"/>
        <v/>
      </c>
      <c r="H537" s="426">
        <v>8.6909446000000001E-2</v>
      </c>
      <c r="I537" s="426">
        <v>8.6909446000000001E-2</v>
      </c>
      <c r="J537" s="426">
        <v>8.6909446000000001E-2</v>
      </c>
      <c r="K537" s="426">
        <v>8.6909446000000001E-2</v>
      </c>
      <c r="L537" s="426">
        <v>8.6909446000000001E-2</v>
      </c>
      <c r="M537" s="426">
        <v>8.6909446000000001E-2</v>
      </c>
      <c r="N537" s="426">
        <v>8.6909446000000001E-2</v>
      </c>
      <c r="O537" s="426">
        <v>8.6909446000000001E-2</v>
      </c>
      <c r="P537" s="426">
        <v>8.6909446000000001E-2</v>
      </c>
      <c r="Q537" s="426">
        <v>8.6909446000000001E-2</v>
      </c>
      <c r="R537" s="426">
        <v>8.6909446000000001E-2</v>
      </c>
      <c r="S537" s="426">
        <v>8.6909446000000001E-2</v>
      </c>
      <c r="T537" s="426">
        <v>8.6909446000000001E-2</v>
      </c>
      <c r="U537" s="426">
        <f t="shared" si="57"/>
        <v>1.0429133519999998</v>
      </c>
    </row>
    <row r="538" spans="1:21">
      <c r="A538" s="426" t="str">
        <f t="shared" si="54"/>
        <v>KU</v>
      </c>
      <c r="B538" s="426" t="str">
        <f t="shared" si="55"/>
        <v>VA</v>
      </c>
      <c r="C538" s="426" t="str">
        <f t="shared" si="56"/>
        <v>E</v>
      </c>
      <c r="D538" s="426" t="s">
        <v>2670</v>
      </c>
      <c r="E538" s="426" t="str">
        <f t="shared" si="59"/>
        <v>362</v>
      </c>
      <c r="F538" s="741" t="s">
        <v>1781</v>
      </c>
      <c r="G538" s="425" t="str">
        <f t="shared" si="58"/>
        <v/>
      </c>
      <c r="H538" s="426">
        <v>11.9842900215</v>
      </c>
      <c r="I538" s="426">
        <v>11.9842900215</v>
      </c>
      <c r="J538" s="426">
        <v>11.9842900215</v>
      </c>
      <c r="K538" s="426">
        <v>11.9842900215</v>
      </c>
      <c r="L538" s="426">
        <v>11.9842900215</v>
      </c>
      <c r="M538" s="426">
        <v>11.9842900215</v>
      </c>
      <c r="N538" s="426">
        <v>11.9842900215</v>
      </c>
      <c r="O538" s="426">
        <v>11.9842900215</v>
      </c>
      <c r="P538" s="426">
        <v>11.9842900215</v>
      </c>
      <c r="Q538" s="426">
        <v>11.9842900215</v>
      </c>
      <c r="R538" s="426">
        <v>11.9842900215</v>
      </c>
      <c r="S538" s="426">
        <v>11.9842900215</v>
      </c>
      <c r="T538" s="426">
        <v>11.9842900215</v>
      </c>
      <c r="U538" s="426">
        <f t="shared" si="57"/>
        <v>143.81148025799999</v>
      </c>
    </row>
    <row r="539" spans="1:21">
      <c r="A539" s="426" t="str">
        <f t="shared" si="54"/>
        <v>KU</v>
      </c>
      <c r="B539" s="426" t="str">
        <f t="shared" si="55"/>
        <v>KY</v>
      </c>
      <c r="C539" s="426" t="str">
        <f t="shared" si="56"/>
        <v>E</v>
      </c>
      <c r="D539" s="426" t="s">
        <v>2670</v>
      </c>
      <c r="E539" s="426" t="str">
        <f t="shared" si="59"/>
        <v>364</v>
      </c>
      <c r="F539" s="741" t="s">
        <v>2196</v>
      </c>
      <c r="G539" s="425" t="str">
        <f t="shared" si="58"/>
        <v>ECR</v>
      </c>
      <c r="H539" s="426">
        <v>0.134733482007</v>
      </c>
      <c r="I539" s="426">
        <v>0</v>
      </c>
      <c r="J539" s="426">
        <v>0</v>
      </c>
      <c r="K539" s="426">
        <v>0</v>
      </c>
      <c r="L539" s="426">
        <v>0</v>
      </c>
      <c r="M539" s="426">
        <v>0</v>
      </c>
      <c r="N539" s="426">
        <v>0</v>
      </c>
      <c r="O539" s="426">
        <v>0</v>
      </c>
      <c r="P539" s="426">
        <v>0</v>
      </c>
      <c r="Q539" s="426">
        <v>0</v>
      </c>
      <c r="R539" s="426">
        <v>0</v>
      </c>
      <c r="S539" s="426">
        <v>0</v>
      </c>
      <c r="T539" s="426">
        <v>0</v>
      </c>
      <c r="U539" s="426">
        <f t="shared" si="57"/>
        <v>0</v>
      </c>
    </row>
    <row r="540" spans="1:21">
      <c r="A540" s="426" t="str">
        <f t="shared" si="54"/>
        <v>KU</v>
      </c>
      <c r="B540" s="426" t="str">
        <f t="shared" si="55"/>
        <v>KY</v>
      </c>
      <c r="C540" s="426" t="str">
        <f t="shared" si="56"/>
        <v>E</v>
      </c>
      <c r="D540" s="426" t="s">
        <v>2670</v>
      </c>
      <c r="E540" s="426" t="str">
        <f t="shared" si="59"/>
        <v>364</v>
      </c>
      <c r="F540" s="741" t="s">
        <v>1782</v>
      </c>
      <c r="G540" s="425" t="str">
        <f t="shared" si="58"/>
        <v/>
      </c>
      <c r="H540" s="426">
        <v>573.30511166999997</v>
      </c>
      <c r="I540" s="426">
        <v>575.09150583999997</v>
      </c>
      <c r="J540" s="426">
        <v>576.60330512999997</v>
      </c>
      <c r="K540" s="426">
        <v>578.21396763999996</v>
      </c>
      <c r="L540" s="426">
        <v>579.90907023</v>
      </c>
      <c r="M540" s="426">
        <v>581.54025108999997</v>
      </c>
      <c r="N540" s="426">
        <v>583.13275897000005</v>
      </c>
      <c r="O540" s="426">
        <v>584.95281513999998</v>
      </c>
      <c r="P540" s="426">
        <v>586.97980898000003</v>
      </c>
      <c r="Q540" s="426">
        <v>588.99130786000001</v>
      </c>
      <c r="R540" s="426">
        <v>590.96698702000003</v>
      </c>
      <c r="S540" s="426">
        <v>592.85358019</v>
      </c>
      <c r="T540" s="426">
        <v>594.75883018000002</v>
      </c>
      <c r="U540" s="426">
        <f t="shared" si="57"/>
        <v>7013.9941882699995</v>
      </c>
    </row>
    <row r="541" spans="1:21">
      <c r="A541" s="426" t="str">
        <f t="shared" si="54"/>
        <v>KU</v>
      </c>
      <c r="B541" s="426" t="str">
        <f t="shared" si="55"/>
        <v>TN</v>
      </c>
      <c r="C541" s="426" t="str">
        <f t="shared" si="56"/>
        <v>E</v>
      </c>
      <c r="D541" s="426" t="s">
        <v>2670</v>
      </c>
      <c r="E541" s="426" t="str">
        <f t="shared" si="59"/>
        <v>364</v>
      </c>
      <c r="F541" s="741" t="s">
        <v>1783</v>
      </c>
      <c r="G541" s="425" t="str">
        <f t="shared" si="58"/>
        <v/>
      </c>
      <c r="H541" s="426">
        <v>2.0740875996E-2</v>
      </c>
      <c r="I541" s="426">
        <v>2.0740875996E-2</v>
      </c>
      <c r="J541" s="426">
        <v>2.0740875996E-2</v>
      </c>
      <c r="K541" s="426">
        <v>2.0740875996E-2</v>
      </c>
      <c r="L541" s="426">
        <v>2.0740875996E-2</v>
      </c>
      <c r="M541" s="426">
        <v>2.0740875996E-2</v>
      </c>
      <c r="N541" s="426">
        <v>2.0740875996E-2</v>
      </c>
      <c r="O541" s="426">
        <v>2.0740875996E-2</v>
      </c>
      <c r="P541" s="426">
        <v>2.0740875996E-2</v>
      </c>
      <c r="Q541" s="426">
        <v>2.0740875996E-2</v>
      </c>
      <c r="R541" s="426">
        <v>2.0740875996E-2</v>
      </c>
      <c r="S541" s="426">
        <v>2.0740875996E-2</v>
      </c>
      <c r="T541" s="426">
        <v>2.0740875996E-2</v>
      </c>
      <c r="U541" s="426">
        <f t="shared" si="57"/>
        <v>0.24889051195199999</v>
      </c>
    </row>
    <row r="542" spans="1:21">
      <c r="A542" s="426" t="str">
        <f t="shared" si="54"/>
        <v>KU</v>
      </c>
      <c r="B542" s="426" t="str">
        <f t="shared" si="55"/>
        <v>VA</v>
      </c>
      <c r="C542" s="426" t="str">
        <f t="shared" si="56"/>
        <v>E</v>
      </c>
      <c r="D542" s="426" t="s">
        <v>2670</v>
      </c>
      <c r="E542" s="426" t="str">
        <f t="shared" si="59"/>
        <v>364</v>
      </c>
      <c r="F542" s="741" t="s">
        <v>1784</v>
      </c>
      <c r="G542" s="425" t="str">
        <f t="shared" si="58"/>
        <v/>
      </c>
      <c r="H542" s="426">
        <v>43.188955010999997</v>
      </c>
      <c r="I542" s="426">
        <v>43.220616442000001</v>
      </c>
      <c r="J542" s="426">
        <v>43.256985109999903</v>
      </c>
      <c r="K542" s="426">
        <v>43.294501850000003</v>
      </c>
      <c r="L542" s="426">
        <v>43.330980298999997</v>
      </c>
      <c r="M542" s="426">
        <v>43.366759537999997</v>
      </c>
      <c r="N542" s="426">
        <v>43.405431860999997</v>
      </c>
      <c r="O542" s="426">
        <v>43.443197638999997</v>
      </c>
      <c r="P542" s="426">
        <v>43.475525132000001</v>
      </c>
      <c r="Q542" s="426">
        <v>43.512758194</v>
      </c>
      <c r="R542" s="426">
        <v>43.548843320000003</v>
      </c>
      <c r="S542" s="426">
        <v>43.583909261000002</v>
      </c>
      <c r="T542" s="426">
        <v>43.623691644999901</v>
      </c>
      <c r="U542" s="426">
        <f t="shared" si="57"/>
        <v>521.06320029099982</v>
      </c>
    </row>
    <row r="543" spans="1:21">
      <c r="A543" s="426" t="str">
        <f t="shared" si="54"/>
        <v>KU</v>
      </c>
      <c r="B543" s="426" t="str">
        <f t="shared" si="55"/>
        <v>KY</v>
      </c>
      <c r="C543" s="426" t="str">
        <f t="shared" si="56"/>
        <v>E</v>
      </c>
      <c r="D543" s="426" t="s">
        <v>2670</v>
      </c>
      <c r="E543" s="426" t="str">
        <f t="shared" si="59"/>
        <v>365</v>
      </c>
      <c r="F543" s="741" t="s">
        <v>2197</v>
      </c>
      <c r="G543" s="425" t="str">
        <f t="shared" si="58"/>
        <v>ECR</v>
      </c>
      <c r="H543" s="426">
        <v>0.11672401</v>
      </c>
      <c r="I543" s="426">
        <v>0</v>
      </c>
      <c r="J543" s="426">
        <v>0</v>
      </c>
      <c r="K543" s="426">
        <v>0</v>
      </c>
      <c r="L543" s="426">
        <v>0</v>
      </c>
      <c r="M543" s="426">
        <v>0</v>
      </c>
      <c r="N543" s="426">
        <v>0</v>
      </c>
      <c r="O543" s="426">
        <v>0</v>
      </c>
      <c r="P543" s="426">
        <v>0</v>
      </c>
      <c r="Q543" s="426">
        <v>0</v>
      </c>
      <c r="R543" s="426">
        <v>0</v>
      </c>
      <c r="S543" s="426">
        <v>0</v>
      </c>
      <c r="T543" s="426">
        <v>0</v>
      </c>
      <c r="U543" s="426">
        <f t="shared" si="57"/>
        <v>0</v>
      </c>
    </row>
    <row r="544" spans="1:21">
      <c r="A544" s="426" t="str">
        <f t="shared" si="54"/>
        <v>KU</v>
      </c>
      <c r="B544" s="426" t="str">
        <f t="shared" si="55"/>
        <v>KY</v>
      </c>
      <c r="C544" s="426" t="str">
        <f t="shared" si="56"/>
        <v>E</v>
      </c>
      <c r="D544" s="426" t="s">
        <v>2670</v>
      </c>
      <c r="E544" s="426" t="str">
        <f t="shared" si="59"/>
        <v>365</v>
      </c>
      <c r="F544" s="741" t="s">
        <v>1785</v>
      </c>
      <c r="G544" s="425" t="str">
        <f t="shared" si="58"/>
        <v/>
      </c>
      <c r="H544" s="426">
        <v>596.30197841999995</v>
      </c>
      <c r="I544" s="426">
        <v>598.47568492000005</v>
      </c>
      <c r="J544" s="426">
        <v>600.44219348000001</v>
      </c>
      <c r="K544" s="426">
        <v>602.80872127999999</v>
      </c>
      <c r="L544" s="426">
        <v>604.70772151000006</v>
      </c>
      <c r="M544" s="426">
        <v>606.34521884000003</v>
      </c>
      <c r="N544" s="426">
        <v>611.43078869999999</v>
      </c>
      <c r="O544" s="426">
        <v>616.93354868999995</v>
      </c>
      <c r="P544" s="426">
        <v>619.24032983999996</v>
      </c>
      <c r="Q544" s="426">
        <v>621.87401167999997</v>
      </c>
      <c r="R544" s="426">
        <v>624.71352474000003</v>
      </c>
      <c r="S544" s="426">
        <v>627.18514048999998</v>
      </c>
      <c r="T544" s="426">
        <v>629.92589544999998</v>
      </c>
      <c r="U544" s="426">
        <f>SUM(I544:T544)</f>
        <v>7364.0827796200001</v>
      </c>
    </row>
    <row r="545" spans="1:22">
      <c r="A545" s="426" t="str">
        <f t="shared" si="54"/>
        <v>KU</v>
      </c>
      <c r="B545" s="426" t="str">
        <f t="shared" si="55"/>
        <v>TN</v>
      </c>
      <c r="C545" s="426" t="str">
        <f t="shared" si="56"/>
        <v>E</v>
      </c>
      <c r="D545" s="426" t="s">
        <v>2670</v>
      </c>
      <c r="E545" s="426" t="str">
        <f t="shared" si="59"/>
        <v>365</v>
      </c>
      <c r="F545" s="741" t="s">
        <v>1786</v>
      </c>
      <c r="G545" s="425" t="str">
        <f t="shared" si="58"/>
        <v/>
      </c>
      <c r="H545" s="426">
        <v>2.2282402999999999E-2</v>
      </c>
      <c r="I545" s="426">
        <v>2.2282402999999999E-2</v>
      </c>
      <c r="J545" s="426">
        <v>2.2282402999999999E-2</v>
      </c>
      <c r="K545" s="426">
        <v>2.2282402999999999E-2</v>
      </c>
      <c r="L545" s="426">
        <v>2.2282402999999999E-2</v>
      </c>
      <c r="M545" s="426">
        <v>2.2282402999999999E-2</v>
      </c>
      <c r="N545" s="426">
        <v>2.2282402999999999E-2</v>
      </c>
      <c r="O545" s="426">
        <v>2.2282402999999999E-2</v>
      </c>
      <c r="P545" s="426">
        <v>2.2282402999999999E-2</v>
      </c>
      <c r="Q545" s="426">
        <v>2.2282402999999999E-2</v>
      </c>
      <c r="R545" s="426">
        <v>2.2282402999999999E-2</v>
      </c>
      <c r="S545" s="426">
        <v>2.2282402999999999E-2</v>
      </c>
      <c r="T545" s="426">
        <v>2.2282402999999999E-2</v>
      </c>
      <c r="U545" s="426">
        <f t="shared" si="57"/>
        <v>0.26738883600000002</v>
      </c>
    </row>
    <row r="546" spans="1:22">
      <c r="A546" s="426" t="str">
        <f t="shared" si="54"/>
        <v>KU</v>
      </c>
      <c r="B546" s="426" t="str">
        <f t="shared" si="55"/>
        <v>VA</v>
      </c>
      <c r="C546" s="426" t="str">
        <f t="shared" si="56"/>
        <v>E</v>
      </c>
      <c r="D546" s="426" t="s">
        <v>2670</v>
      </c>
      <c r="E546" s="426" t="str">
        <f t="shared" si="59"/>
        <v>365</v>
      </c>
      <c r="F546" s="741" t="s">
        <v>1787</v>
      </c>
      <c r="G546" s="425" t="str">
        <f t="shared" si="58"/>
        <v/>
      </c>
      <c r="H546" s="426">
        <v>39.626750928</v>
      </c>
      <c r="I546" s="426">
        <v>39.775556993000002</v>
      </c>
      <c r="J546" s="426">
        <v>39.924880662</v>
      </c>
      <c r="K546" s="426">
        <v>40.077888731000002</v>
      </c>
      <c r="L546" s="426">
        <v>40.224531118999998</v>
      </c>
      <c r="M546" s="426">
        <v>40.359119513000003</v>
      </c>
      <c r="N546" s="426">
        <v>41.373293674000003</v>
      </c>
      <c r="O546" s="426">
        <v>42.389714255000001</v>
      </c>
      <c r="P546" s="426">
        <v>42.525679742999998</v>
      </c>
      <c r="Q546" s="426">
        <v>42.676034199</v>
      </c>
      <c r="R546" s="426">
        <v>42.829009609000003</v>
      </c>
      <c r="S546" s="426">
        <v>42.977762638999998</v>
      </c>
      <c r="T546" s="426">
        <v>43.133474405000001</v>
      </c>
      <c r="U546" s="426">
        <f t="shared" si="57"/>
        <v>498.26694554200009</v>
      </c>
    </row>
    <row r="547" spans="1:22">
      <c r="A547" s="426" t="str">
        <f t="shared" ref="A547:A632" si="61">MID($F547,4,2)</f>
        <v>KU</v>
      </c>
      <c r="B547" s="426" t="str">
        <f t="shared" si="55"/>
        <v>KY</v>
      </c>
      <c r="C547" s="426" t="str">
        <f t="shared" si="56"/>
        <v>E</v>
      </c>
      <c r="D547" s="426" t="s">
        <v>2670</v>
      </c>
      <c r="E547" s="426" t="str">
        <f t="shared" si="59"/>
        <v>366</v>
      </c>
      <c r="F547" s="741" t="s">
        <v>2198</v>
      </c>
      <c r="G547" s="425" t="str">
        <f t="shared" si="58"/>
        <v>ECR</v>
      </c>
      <c r="H547" s="426">
        <v>0.41928221269999999</v>
      </c>
      <c r="I547" s="426">
        <v>0</v>
      </c>
      <c r="J547" s="426">
        <v>0</v>
      </c>
      <c r="K547" s="426">
        <v>0</v>
      </c>
      <c r="L547" s="426">
        <v>0</v>
      </c>
      <c r="M547" s="426">
        <v>0</v>
      </c>
      <c r="N547" s="426">
        <v>0</v>
      </c>
      <c r="O547" s="426">
        <v>0</v>
      </c>
      <c r="P547" s="426">
        <v>0</v>
      </c>
      <c r="Q547" s="426">
        <v>0</v>
      </c>
      <c r="R547" s="426">
        <v>0</v>
      </c>
      <c r="S547" s="426">
        <v>0</v>
      </c>
      <c r="T547" s="426">
        <v>0</v>
      </c>
      <c r="U547" s="426">
        <f t="shared" si="57"/>
        <v>0</v>
      </c>
    </row>
    <row r="548" spans="1:22">
      <c r="A548" s="426" t="str">
        <f t="shared" si="61"/>
        <v>KU</v>
      </c>
      <c r="B548" s="426" t="str">
        <f t="shared" si="55"/>
        <v>KY</v>
      </c>
      <c r="C548" s="426" t="str">
        <f t="shared" si="56"/>
        <v>E</v>
      </c>
      <c r="D548" s="426" t="s">
        <v>2670</v>
      </c>
      <c r="E548" s="426" t="str">
        <f t="shared" si="59"/>
        <v>366</v>
      </c>
      <c r="F548" s="741" t="s">
        <v>1788</v>
      </c>
      <c r="G548" s="425" t="str">
        <f t="shared" si="58"/>
        <v/>
      </c>
      <c r="H548" s="426">
        <v>4.4607305259999999</v>
      </c>
      <c r="I548" s="426">
        <v>4.8800127389999997</v>
      </c>
      <c r="J548" s="426">
        <v>4.8800127389999997</v>
      </c>
      <c r="K548" s="426">
        <v>4.8800127389999997</v>
      </c>
      <c r="L548" s="426">
        <v>4.8800127389999997</v>
      </c>
      <c r="M548" s="426">
        <v>4.8800127389999997</v>
      </c>
      <c r="N548" s="426">
        <v>4.8800127389999997</v>
      </c>
      <c r="O548" s="426">
        <v>4.8800127389999997</v>
      </c>
      <c r="P548" s="426">
        <v>4.8800127389999997</v>
      </c>
      <c r="Q548" s="426">
        <v>4.8800127389999997</v>
      </c>
      <c r="R548" s="426">
        <v>4.8800127389999997</v>
      </c>
      <c r="S548" s="426">
        <v>4.8800127389999997</v>
      </c>
      <c r="T548" s="426">
        <v>4.8800127389999997</v>
      </c>
      <c r="U548" s="426">
        <f t="shared" si="57"/>
        <v>58.56015286800001</v>
      </c>
    </row>
    <row r="549" spans="1:22">
      <c r="A549" s="426" t="str">
        <f t="shared" si="61"/>
        <v>KU</v>
      </c>
      <c r="B549" s="426" t="str">
        <f t="shared" si="55"/>
        <v>KY</v>
      </c>
      <c r="C549" s="426" t="str">
        <f t="shared" si="56"/>
        <v>E</v>
      </c>
      <c r="D549" s="426" t="s">
        <v>2670</v>
      </c>
      <c r="E549" s="426" t="str">
        <f t="shared" si="59"/>
        <v>367</v>
      </c>
      <c r="F549" s="741" t="s">
        <v>2199</v>
      </c>
      <c r="G549" s="425" t="str">
        <f t="shared" si="58"/>
        <v>ECR</v>
      </c>
      <c r="H549" s="426">
        <v>1.5298035615000001</v>
      </c>
      <c r="I549" s="426">
        <v>0</v>
      </c>
      <c r="J549" s="426">
        <v>0</v>
      </c>
      <c r="K549" s="426">
        <v>0</v>
      </c>
      <c r="L549" s="426">
        <v>0</v>
      </c>
      <c r="M549" s="426">
        <v>0</v>
      </c>
      <c r="N549" s="426">
        <v>0</v>
      </c>
      <c r="O549" s="426">
        <v>0</v>
      </c>
      <c r="P549" s="426">
        <v>0</v>
      </c>
      <c r="Q549" s="426">
        <v>0</v>
      </c>
      <c r="R549" s="426">
        <v>0</v>
      </c>
      <c r="S549" s="426">
        <v>0</v>
      </c>
      <c r="T549" s="426">
        <v>0</v>
      </c>
      <c r="U549" s="426">
        <f t="shared" si="57"/>
        <v>0</v>
      </c>
    </row>
    <row r="550" spans="1:22">
      <c r="A550" s="426" t="str">
        <f t="shared" si="61"/>
        <v>KU</v>
      </c>
      <c r="B550" s="426" t="str">
        <f t="shared" si="55"/>
        <v>KY</v>
      </c>
      <c r="C550" s="426" t="str">
        <f t="shared" si="56"/>
        <v>E</v>
      </c>
      <c r="D550" s="426" t="s">
        <v>2670</v>
      </c>
      <c r="E550" s="426" t="str">
        <f t="shared" si="59"/>
        <v>367</v>
      </c>
      <c r="F550" s="741" t="s">
        <v>1789</v>
      </c>
      <c r="G550" s="425" t="str">
        <f t="shared" si="58"/>
        <v/>
      </c>
      <c r="H550" s="426">
        <v>303.90778871999999</v>
      </c>
      <c r="I550" s="426">
        <v>307.56769996000003</v>
      </c>
      <c r="J550" s="426">
        <v>309.709629019999</v>
      </c>
      <c r="K550" s="426">
        <v>311.85040934</v>
      </c>
      <c r="L550" s="426">
        <v>313.94345048999998</v>
      </c>
      <c r="M550" s="426">
        <v>315.98977166999998</v>
      </c>
      <c r="N550" s="426">
        <v>317.97682698999898</v>
      </c>
      <c r="O550" s="426">
        <v>319.87413752999998</v>
      </c>
      <c r="P550" s="426">
        <v>321.70333135999999</v>
      </c>
      <c r="Q550" s="426">
        <v>323.65358175</v>
      </c>
      <c r="R550" s="426">
        <v>325.62606338000001</v>
      </c>
      <c r="S550" s="426">
        <v>327.50775922999998</v>
      </c>
      <c r="T550" s="426">
        <v>329.40040154000002</v>
      </c>
      <c r="U550" s="426">
        <f>SUM(I550:T550)</f>
        <v>3824.8030622599981</v>
      </c>
    </row>
    <row r="551" spans="1:22">
      <c r="A551" s="426" t="str">
        <f t="shared" si="61"/>
        <v>KU</v>
      </c>
      <c r="B551" s="426" t="str">
        <f t="shared" si="55"/>
        <v>VA</v>
      </c>
      <c r="C551" s="426" t="str">
        <f t="shared" si="56"/>
        <v>E</v>
      </c>
      <c r="D551" s="426" t="s">
        <v>2670</v>
      </c>
      <c r="E551" s="426" t="str">
        <f t="shared" si="59"/>
        <v>367</v>
      </c>
      <c r="F551" s="741" t="s">
        <v>1790</v>
      </c>
      <c r="G551" s="425" t="str">
        <f t="shared" si="58"/>
        <v/>
      </c>
      <c r="H551" s="426">
        <v>6.6569382234999903</v>
      </c>
      <c r="I551" s="426">
        <v>6.7029169875000001</v>
      </c>
      <c r="J551" s="426">
        <v>6.7580530034999997</v>
      </c>
      <c r="K551" s="426">
        <v>6.8189410515000004</v>
      </c>
      <c r="L551" s="426">
        <v>6.8718473788000001</v>
      </c>
      <c r="M551" s="426">
        <v>6.9239131780000003</v>
      </c>
      <c r="N551" s="426">
        <v>6.9707041954999998</v>
      </c>
      <c r="O551" s="426">
        <v>7.0225009332999999</v>
      </c>
      <c r="P551" s="426">
        <v>7.0801925219999999</v>
      </c>
      <c r="Q551" s="426">
        <v>7.1413551955000001</v>
      </c>
      <c r="R551" s="426">
        <v>7.1973003315000001</v>
      </c>
      <c r="S551" s="426">
        <v>7.2508736300000001</v>
      </c>
      <c r="T551" s="426">
        <v>7.3105745180000001</v>
      </c>
      <c r="U551" s="426">
        <f t="shared" si="57"/>
        <v>84.049172925099995</v>
      </c>
    </row>
    <row r="552" spans="1:22">
      <c r="A552" s="426" t="str">
        <f t="shared" si="61"/>
        <v>KU</v>
      </c>
      <c r="B552" s="426" t="str">
        <f t="shared" si="55"/>
        <v>KY</v>
      </c>
      <c r="C552" s="426" t="str">
        <f t="shared" si="56"/>
        <v>E</v>
      </c>
      <c r="D552" s="426" t="s">
        <v>2670</v>
      </c>
      <c r="E552" s="426" t="str">
        <f t="shared" si="59"/>
        <v>368</v>
      </c>
      <c r="F552" s="741" t="s">
        <v>1791</v>
      </c>
      <c r="G552" s="425" t="str">
        <f t="shared" si="58"/>
        <v/>
      </c>
      <c r="H552" s="426">
        <v>482.65512690999998</v>
      </c>
      <c r="I552" s="426">
        <v>483.43201880999999</v>
      </c>
      <c r="J552" s="426">
        <v>483.92335811999999</v>
      </c>
      <c r="K552" s="426">
        <v>484.67301371000002</v>
      </c>
      <c r="L552" s="426">
        <v>485.59100952</v>
      </c>
      <c r="M552" s="426">
        <v>486.23117649</v>
      </c>
      <c r="N552" s="426">
        <v>486.68559663000002</v>
      </c>
      <c r="O552" s="426">
        <v>487.16193888999999</v>
      </c>
      <c r="P552" s="426">
        <v>487.80956206000002</v>
      </c>
      <c r="Q552" s="426">
        <v>488.597078659999</v>
      </c>
      <c r="R552" s="426">
        <v>489.45631457000002</v>
      </c>
      <c r="S552" s="426">
        <v>490.29433043999899</v>
      </c>
      <c r="T552" s="426">
        <v>491.21801298000003</v>
      </c>
      <c r="U552" s="426">
        <f t="shared" si="57"/>
        <v>5845.0734108799979</v>
      </c>
    </row>
    <row r="553" spans="1:22">
      <c r="A553" s="426" t="str">
        <f t="shared" si="61"/>
        <v>KU</v>
      </c>
      <c r="B553" s="426" t="str">
        <f t="shared" si="55"/>
        <v>VA</v>
      </c>
      <c r="C553" s="426" t="str">
        <f t="shared" si="56"/>
        <v>E</v>
      </c>
      <c r="D553" s="426" t="s">
        <v>2670</v>
      </c>
      <c r="E553" s="426" t="str">
        <f t="shared" si="59"/>
        <v>368</v>
      </c>
      <c r="F553" s="741" t="s">
        <v>1793</v>
      </c>
      <c r="G553" s="425" t="str">
        <f t="shared" si="58"/>
        <v/>
      </c>
      <c r="H553" s="426">
        <v>16.468962198900002</v>
      </c>
      <c r="I553" s="426">
        <v>16.471623938699999</v>
      </c>
      <c r="J553" s="426">
        <v>16.476947410299999</v>
      </c>
      <c r="K553" s="426">
        <v>16.484002484299999</v>
      </c>
      <c r="L553" s="426">
        <v>16.491057548400001</v>
      </c>
      <c r="M553" s="426">
        <v>16.498112622400001</v>
      </c>
      <c r="N553" s="426">
        <v>16.505167686499998</v>
      </c>
      <c r="O553" s="426">
        <v>16.507829427200001</v>
      </c>
      <c r="P553" s="426">
        <v>16.507829427200001</v>
      </c>
      <c r="Q553" s="426">
        <v>16.507829427200001</v>
      </c>
      <c r="R553" s="426">
        <v>16.510494231199999</v>
      </c>
      <c r="S553" s="426">
        <v>16.5175601931</v>
      </c>
      <c r="T553" s="426">
        <v>16.524626155</v>
      </c>
      <c r="U553" s="426">
        <f t="shared" si="57"/>
        <v>198.00308055149998</v>
      </c>
    </row>
    <row r="554" spans="1:22">
      <c r="A554" s="426" t="str">
        <f t="shared" si="61"/>
        <v>KU</v>
      </c>
      <c r="B554" s="426" t="str">
        <f t="shared" si="55"/>
        <v>KY</v>
      </c>
      <c r="C554" s="426" t="str">
        <f t="shared" si="56"/>
        <v>E</v>
      </c>
      <c r="D554" s="426" t="s">
        <v>2670</v>
      </c>
      <c r="E554" s="426" t="str">
        <f t="shared" si="59"/>
        <v>369</v>
      </c>
      <c r="F554" s="741" t="s">
        <v>1794</v>
      </c>
      <c r="G554" s="425" t="str">
        <f t="shared" si="58"/>
        <v/>
      </c>
      <c r="H554" s="426">
        <v>169.65368506999999</v>
      </c>
      <c r="I554" s="426">
        <v>169.68764336999999</v>
      </c>
      <c r="J554" s="426">
        <v>169.72160166999899</v>
      </c>
      <c r="K554" s="426">
        <v>169.72160166999899</v>
      </c>
      <c r="L554" s="426">
        <v>169.72160166999899</v>
      </c>
      <c r="M554" s="426">
        <v>169.72160166999899</v>
      </c>
      <c r="N554" s="426">
        <v>169.72160166999899</v>
      </c>
      <c r="O554" s="426">
        <v>169.72160166999899</v>
      </c>
      <c r="P554" s="426">
        <v>169.72160166999899</v>
      </c>
      <c r="Q554" s="426">
        <v>169.72160166999899</v>
      </c>
      <c r="R554" s="426">
        <v>169.72160166999899</v>
      </c>
      <c r="S554" s="426">
        <v>169.72160166999899</v>
      </c>
      <c r="T554" s="426">
        <v>169.72160166999899</v>
      </c>
      <c r="U554" s="426">
        <f t="shared" si="57"/>
        <v>2036.6252617399891</v>
      </c>
    </row>
    <row r="555" spans="1:22">
      <c r="A555" s="426" t="str">
        <f t="shared" si="61"/>
        <v>KU</v>
      </c>
      <c r="B555" s="426" t="str">
        <f t="shared" si="55"/>
        <v>VA</v>
      </c>
      <c r="C555" s="426" t="str">
        <f t="shared" si="56"/>
        <v>E</v>
      </c>
      <c r="D555" s="426" t="s">
        <v>2670</v>
      </c>
      <c r="E555" s="426" t="str">
        <f t="shared" si="59"/>
        <v>369</v>
      </c>
      <c r="F555" s="741" t="s">
        <v>1796</v>
      </c>
      <c r="G555" s="425" t="str">
        <f t="shared" si="58"/>
        <v/>
      </c>
      <c r="H555" s="426">
        <v>8.5662927910000004</v>
      </c>
      <c r="I555" s="426">
        <v>8.5662927910000004</v>
      </c>
      <c r="J555" s="426">
        <v>8.5662927910000004</v>
      </c>
      <c r="K555" s="426">
        <v>8.5662927910000004</v>
      </c>
      <c r="L555" s="426">
        <v>8.5662927910000004</v>
      </c>
      <c r="M555" s="426">
        <v>8.5662927910000004</v>
      </c>
      <c r="N555" s="426">
        <v>8.5662927910000004</v>
      </c>
      <c r="O555" s="426">
        <v>8.5662927910000004</v>
      </c>
      <c r="P555" s="426">
        <v>8.5662927910000004</v>
      </c>
      <c r="Q555" s="426">
        <v>8.5662927910000004</v>
      </c>
      <c r="R555" s="426">
        <v>8.5662927910000004</v>
      </c>
      <c r="S555" s="426">
        <v>8.5662927910000004</v>
      </c>
      <c r="T555" s="426">
        <v>8.5662927910000004</v>
      </c>
      <c r="U555" s="426">
        <f t="shared" si="57"/>
        <v>102.79551349199998</v>
      </c>
      <c r="V555" s="427"/>
    </row>
    <row r="556" spans="1:22">
      <c r="A556" s="426" t="str">
        <f t="shared" si="61"/>
        <v>KU</v>
      </c>
      <c r="B556" s="426" t="str">
        <f t="shared" si="55"/>
        <v>KY</v>
      </c>
      <c r="C556" s="426" t="str">
        <f t="shared" si="56"/>
        <v>E</v>
      </c>
      <c r="D556" s="426" t="s">
        <v>2670</v>
      </c>
      <c r="E556" s="426" t="str">
        <f t="shared" si="59"/>
        <v>370</v>
      </c>
      <c r="F556" s="741" t="s">
        <v>1797</v>
      </c>
      <c r="G556" s="425" t="str">
        <f t="shared" si="58"/>
        <v/>
      </c>
      <c r="H556" s="426">
        <v>223.17150486</v>
      </c>
      <c r="I556" s="426">
        <v>223.57259916000001</v>
      </c>
      <c r="J556" s="426">
        <v>223.77746855999999</v>
      </c>
      <c r="K556" s="426">
        <v>223.91345766000001</v>
      </c>
      <c r="L556" s="426">
        <v>224.09399605999999</v>
      </c>
      <c r="M556" s="426">
        <v>224.25201276000001</v>
      </c>
      <c r="N556" s="426">
        <v>224.07782875999999</v>
      </c>
      <c r="O556" s="426">
        <v>223.68650395999899</v>
      </c>
      <c r="P556" s="426">
        <v>223.64078236</v>
      </c>
      <c r="Q556" s="426">
        <v>223.96703066000001</v>
      </c>
      <c r="R556" s="426">
        <v>224.08009655999999</v>
      </c>
      <c r="S556" s="426">
        <v>224.26265586</v>
      </c>
      <c r="T556" s="426">
        <v>224.62510576</v>
      </c>
      <c r="U556" s="706">
        <f>SUM(I556:T556)</f>
        <v>2687.9495381199995</v>
      </c>
    </row>
    <row r="557" spans="1:22">
      <c r="A557" s="426" t="str">
        <f t="shared" si="61"/>
        <v>KU</v>
      </c>
      <c r="B557" s="426" t="str">
        <f t="shared" si="55"/>
        <v>KY</v>
      </c>
      <c r="C557" s="426" t="str">
        <f t="shared" si="56"/>
        <v>E</v>
      </c>
      <c r="D557" s="426" t="s">
        <v>2670</v>
      </c>
      <c r="E557" s="426" t="str">
        <f t="shared" si="59"/>
        <v>370</v>
      </c>
      <c r="F557" s="741" t="s">
        <v>2719</v>
      </c>
      <c r="G557" s="425" t="str">
        <f t="shared" si="58"/>
        <v/>
      </c>
      <c r="H557" s="426">
        <v>4.3977570829999996E-3</v>
      </c>
      <c r="I557" s="426">
        <v>4.3977570829999996E-3</v>
      </c>
      <c r="J557" s="426">
        <v>4.3977570829999996E-3</v>
      </c>
      <c r="K557" s="426">
        <v>4.3977570829999996E-3</v>
      </c>
      <c r="L557" s="426">
        <v>4.3977570829999996E-3</v>
      </c>
      <c r="M557" s="426">
        <v>4.3977570829999996E-3</v>
      </c>
      <c r="N557" s="426">
        <v>4.3977570829999996E-3</v>
      </c>
      <c r="O557" s="426">
        <v>4.3977570829999996E-3</v>
      </c>
      <c r="P557" s="426">
        <v>4.3977570829999996E-3</v>
      </c>
      <c r="Q557" s="426">
        <v>4.3977570829999996E-3</v>
      </c>
      <c r="R557" s="426">
        <v>4.3977570829999996E-3</v>
      </c>
      <c r="S557" s="426">
        <v>4.3977570829999996E-3</v>
      </c>
      <c r="T557" s="426">
        <v>4.3977570829999996E-3</v>
      </c>
      <c r="U557" s="706">
        <f t="shared" ref="U557:U559" si="62">SUM(I557:T557)</f>
        <v>5.2773084995999982E-2</v>
      </c>
    </row>
    <row r="558" spans="1:22">
      <c r="A558" s="426" t="str">
        <f t="shared" si="61"/>
        <v>KU</v>
      </c>
      <c r="B558" s="426" t="str">
        <f t="shared" si="55"/>
        <v>KY</v>
      </c>
      <c r="C558" s="426" t="str">
        <f t="shared" si="56"/>
        <v>E</v>
      </c>
      <c r="D558" s="426" t="s">
        <v>2670</v>
      </c>
      <c r="E558" s="426" t="str">
        <f t="shared" si="59"/>
        <v>370</v>
      </c>
      <c r="F558" s="741" t="s">
        <v>2399</v>
      </c>
      <c r="G558" s="425" t="str">
        <f t="shared" si="58"/>
        <v>DSM</v>
      </c>
      <c r="H558" s="426">
        <v>17.143727219999999</v>
      </c>
      <c r="I558" s="426">
        <v>17.143727219999999</v>
      </c>
      <c r="J558" s="426">
        <v>17.143727219999999</v>
      </c>
      <c r="K558" s="426">
        <v>17.143727219999999</v>
      </c>
      <c r="L558" s="426">
        <v>17.143727219999999</v>
      </c>
      <c r="M558" s="426">
        <v>17.143727219999999</v>
      </c>
      <c r="N558" s="426">
        <v>17.143727219999999</v>
      </c>
      <c r="O558" s="426">
        <v>17.143727219999999</v>
      </c>
      <c r="P558" s="426">
        <v>17.143727219999999</v>
      </c>
      <c r="Q558" s="426">
        <v>17.143727219999999</v>
      </c>
      <c r="R558" s="426">
        <v>17.143727219999999</v>
      </c>
      <c r="S558" s="426">
        <v>17.143727219999999</v>
      </c>
      <c r="T558" s="426">
        <v>17.143727219999999</v>
      </c>
      <c r="U558" s="706">
        <f t="shared" si="62"/>
        <v>205.72472663999994</v>
      </c>
    </row>
    <row r="559" spans="1:22">
      <c r="A559" s="426" t="str">
        <f t="shared" si="61"/>
        <v>KU</v>
      </c>
      <c r="B559" s="426" t="str">
        <f t="shared" si="55"/>
        <v>VA</v>
      </c>
      <c r="C559" s="426" t="str">
        <f t="shared" si="56"/>
        <v>E</v>
      </c>
      <c r="D559" s="426" t="s">
        <v>2670</v>
      </c>
      <c r="E559" s="426" t="str">
        <f t="shared" si="59"/>
        <v>370</v>
      </c>
      <c r="F559" s="741" t="s">
        <v>1799</v>
      </c>
      <c r="G559" s="425" t="str">
        <f t="shared" si="58"/>
        <v/>
      </c>
      <c r="H559" s="426">
        <v>12.779954691</v>
      </c>
      <c r="I559" s="426">
        <v>12.779954691</v>
      </c>
      <c r="J559" s="426">
        <v>12.779954691</v>
      </c>
      <c r="K559" s="426">
        <v>12.779954691</v>
      </c>
      <c r="L559" s="426">
        <v>12.779954691</v>
      </c>
      <c r="M559" s="426">
        <v>12.779954691</v>
      </c>
      <c r="N559" s="426">
        <v>12.779954691</v>
      </c>
      <c r="O559" s="426">
        <v>12.779954691</v>
      </c>
      <c r="P559" s="426">
        <v>12.779954691</v>
      </c>
      <c r="Q559" s="426">
        <v>12.779954691</v>
      </c>
      <c r="R559" s="426">
        <v>12.779954691</v>
      </c>
      <c r="S559" s="426">
        <v>12.779954691</v>
      </c>
      <c r="T559" s="426">
        <v>12.779954691</v>
      </c>
      <c r="U559" s="706">
        <f t="shared" si="62"/>
        <v>153.359456292</v>
      </c>
    </row>
    <row r="560" spans="1:22">
      <c r="A560" s="426" t="str">
        <f t="shared" si="61"/>
        <v>KU</v>
      </c>
      <c r="B560" s="426" t="str">
        <f t="shared" ref="B560:B645" si="63">IF(MID($F560,12,2)="- ","KY",IF(MID($F560,12,2)="SY","KY",MID($F560,12,2)))</f>
        <v>KY</v>
      </c>
      <c r="C560" s="426" t="str">
        <f t="shared" si="56"/>
        <v>E</v>
      </c>
      <c r="D560" s="426" t="s">
        <v>2670</v>
      </c>
      <c r="E560" s="426" t="str">
        <f t="shared" si="59"/>
        <v>371</v>
      </c>
      <c r="F560" s="741" t="s">
        <v>2531</v>
      </c>
      <c r="G560" s="425" t="str">
        <f t="shared" si="58"/>
        <v/>
      </c>
      <c r="H560" s="426">
        <v>1.3269484170000001</v>
      </c>
      <c r="I560" s="426">
        <v>1.3269484170000001</v>
      </c>
      <c r="J560" s="426">
        <v>1.3269484170000001</v>
      </c>
      <c r="K560" s="426">
        <v>1.3269484170000001</v>
      </c>
      <c r="L560" s="426">
        <v>1.3269484170000001</v>
      </c>
      <c r="M560" s="426">
        <v>1.3269484170000001</v>
      </c>
      <c r="N560" s="426">
        <v>1.3269484170000001</v>
      </c>
      <c r="O560" s="426">
        <v>1.3269484170000001</v>
      </c>
      <c r="P560" s="426">
        <v>1.3269484170000001</v>
      </c>
      <c r="Q560" s="426">
        <v>1.3269484170000001</v>
      </c>
      <c r="R560" s="426">
        <v>1.3269484170000001</v>
      </c>
      <c r="S560" s="426">
        <v>1.3269484170000001</v>
      </c>
      <c r="T560" s="426">
        <v>1.3269484170000001</v>
      </c>
      <c r="U560" s="426">
        <f>SUM(I560:T560)</f>
        <v>15.923381004000005</v>
      </c>
      <c r="V560" s="427"/>
    </row>
    <row r="561" spans="1:22">
      <c r="A561" s="426" t="str">
        <f t="shared" si="61"/>
        <v>KU</v>
      </c>
      <c r="B561" s="426" t="str">
        <f t="shared" si="63"/>
        <v>KY</v>
      </c>
      <c r="C561" s="426" t="str">
        <f t="shared" si="56"/>
        <v>E</v>
      </c>
      <c r="D561" s="426" t="s">
        <v>2670</v>
      </c>
      <c r="E561" s="426" t="str">
        <f t="shared" si="59"/>
        <v>373</v>
      </c>
      <c r="F561" s="741" t="s">
        <v>1801</v>
      </c>
      <c r="G561" s="425" t="str">
        <f t="shared" si="58"/>
        <v/>
      </c>
      <c r="H561" s="426">
        <v>463.751255939999</v>
      </c>
      <c r="I561" s="426">
        <v>465.656388679999</v>
      </c>
      <c r="J561" s="426">
        <v>467.23870285999999</v>
      </c>
      <c r="K561" s="426">
        <v>469.12337450000001</v>
      </c>
      <c r="L561" s="426">
        <v>471.24383044000001</v>
      </c>
      <c r="M561" s="426">
        <v>473.16348900999998</v>
      </c>
      <c r="N561" s="426">
        <v>474.97471087999998</v>
      </c>
      <c r="O561" s="426">
        <v>477.26123977999998</v>
      </c>
      <c r="P561" s="426">
        <v>479.92200659999997</v>
      </c>
      <c r="Q561" s="426">
        <v>482.478142969999</v>
      </c>
      <c r="R561" s="426">
        <v>484.98237856999998</v>
      </c>
      <c r="S561" s="426">
        <v>487.22359231000002</v>
      </c>
      <c r="T561" s="426">
        <v>489.44308296999998</v>
      </c>
      <c r="U561" s="426">
        <f t="shared" si="57"/>
        <v>5722.7109395699972</v>
      </c>
    </row>
    <row r="562" spans="1:22">
      <c r="A562" s="426" t="str">
        <f t="shared" si="61"/>
        <v>KU</v>
      </c>
      <c r="B562" s="426" t="str">
        <f t="shared" si="63"/>
        <v>VA</v>
      </c>
      <c r="C562" s="426" t="str">
        <f t="shared" si="56"/>
        <v>E</v>
      </c>
      <c r="D562" s="426" t="s">
        <v>2670</v>
      </c>
      <c r="E562" s="426" t="str">
        <f t="shared" si="59"/>
        <v>373</v>
      </c>
      <c r="F562" s="741" t="s">
        <v>1802</v>
      </c>
      <c r="G562" s="425" t="str">
        <f t="shared" si="58"/>
        <v/>
      </c>
      <c r="H562" s="426">
        <v>13.8329434286</v>
      </c>
      <c r="I562" s="426">
        <v>13.8833018677</v>
      </c>
      <c r="J562" s="426">
        <v>13.925917570899999</v>
      </c>
      <c r="K562" s="426">
        <v>13.9714175709</v>
      </c>
      <c r="L562" s="426">
        <v>14.018994230600001</v>
      </c>
      <c r="M562" s="426">
        <v>14.0675560876999</v>
      </c>
      <c r="N562" s="426">
        <v>14.110171781</v>
      </c>
      <c r="O562" s="426">
        <v>14.1575920992</v>
      </c>
      <c r="P562" s="426">
        <v>14.208716835100001</v>
      </c>
      <c r="Q562" s="426">
        <v>14.2627099123</v>
      </c>
      <c r="R562" s="426">
        <v>14.3226578677</v>
      </c>
      <c r="S562" s="426">
        <v>14.3795374617</v>
      </c>
      <c r="T562" s="426">
        <v>14.436417065700001</v>
      </c>
      <c r="U562" s="426">
        <f t="shared" si="57"/>
        <v>169.7449903504999</v>
      </c>
    </row>
    <row r="563" spans="1:22">
      <c r="A563" s="426" t="str">
        <f t="shared" si="61"/>
        <v>KU</v>
      </c>
      <c r="B563" s="426" t="str">
        <f t="shared" si="63"/>
        <v>KY</v>
      </c>
      <c r="C563" s="426" t="str">
        <f t="shared" si="56"/>
        <v>E</v>
      </c>
      <c r="D563" s="426" t="s">
        <v>2670</v>
      </c>
      <c r="E563" s="426" t="str">
        <f t="shared" si="59"/>
        <v>374</v>
      </c>
      <c r="F563" s="741" t="s">
        <v>1803</v>
      </c>
      <c r="G563" s="425" t="str">
        <f t="shared" si="58"/>
        <v>ARO</v>
      </c>
      <c r="H563" s="426">
        <v>0.65476832362965398</v>
      </c>
      <c r="I563" s="426">
        <v>0.65476832362965398</v>
      </c>
      <c r="J563" s="426">
        <v>0.65476832362965398</v>
      </c>
      <c r="K563" s="426">
        <v>0.65476832362965398</v>
      </c>
      <c r="L563" s="426">
        <v>0.65476832362965398</v>
      </c>
      <c r="M563" s="426">
        <v>0.65476832362965398</v>
      </c>
      <c r="N563" s="426">
        <v>0.65476832362965398</v>
      </c>
      <c r="O563" s="426">
        <v>0.65476832362965398</v>
      </c>
      <c r="P563" s="426">
        <v>0.65476832362965398</v>
      </c>
      <c r="Q563" s="426">
        <v>0.65476832362965398</v>
      </c>
      <c r="R563" s="426">
        <v>0.65476832362965398</v>
      </c>
      <c r="S563" s="426">
        <v>0.65476832362965398</v>
      </c>
      <c r="T563" s="426">
        <v>0.65476832362965398</v>
      </c>
      <c r="U563" s="426">
        <f t="shared" si="57"/>
        <v>7.857219883555846</v>
      </c>
    </row>
    <row r="564" spans="1:22">
      <c r="A564" s="426" t="str">
        <f t="shared" si="61"/>
        <v>KU</v>
      </c>
      <c r="B564" s="426" t="str">
        <f t="shared" si="63"/>
        <v>KY</v>
      </c>
      <c r="C564" s="426" t="str">
        <f t="shared" ref="C564:C649" si="64">IF(ISTEXT(MID($F564,SEARCH("FUTURE USE",$F564),3)),"F",IF(MID($F564,7,1)="1","E",IF(MID($F564,7,1)="2","G",IF(MID($F564,7,1)="3","C",""))))</f>
        <v>E</v>
      </c>
      <c r="D564" s="426" t="s">
        <v>2670</v>
      </c>
      <c r="E564" s="426" t="str">
        <f t="shared" si="59"/>
        <v>390</v>
      </c>
      <c r="F564" s="741" t="s">
        <v>1806</v>
      </c>
      <c r="G564" s="425" t="str">
        <f t="shared" si="58"/>
        <v/>
      </c>
      <c r="H564" s="426">
        <v>5.6431523615790002</v>
      </c>
      <c r="I564" s="426">
        <v>5.6431523615790002</v>
      </c>
      <c r="J564" s="426">
        <v>5.6431523615790002</v>
      </c>
      <c r="K564" s="426">
        <v>5.6431523615790002</v>
      </c>
      <c r="L564" s="426">
        <v>5.6431523615790002</v>
      </c>
      <c r="M564" s="426">
        <v>5.6431523615790002</v>
      </c>
      <c r="N564" s="426">
        <v>5.6431523615790002</v>
      </c>
      <c r="O564" s="426">
        <v>5.6431523615790002</v>
      </c>
      <c r="P564" s="426">
        <v>5.6431523615790002</v>
      </c>
      <c r="Q564" s="426">
        <v>5.6431523615790002</v>
      </c>
      <c r="R564" s="426">
        <v>5.6431523615790002</v>
      </c>
      <c r="S564" s="426">
        <v>5.6431523615790002</v>
      </c>
      <c r="T564" s="426">
        <v>5.6431523615790002</v>
      </c>
      <c r="U564" s="426">
        <f t="shared" si="57"/>
        <v>67.717828338947996</v>
      </c>
    </row>
    <row r="565" spans="1:22">
      <c r="A565" s="426" t="str">
        <f t="shared" si="61"/>
        <v>KU</v>
      </c>
      <c r="B565" s="426" t="str">
        <f t="shared" si="63"/>
        <v>KY</v>
      </c>
      <c r="C565" s="426" t="str">
        <f t="shared" si="64"/>
        <v>E</v>
      </c>
      <c r="D565" s="426" t="s">
        <v>2670</v>
      </c>
      <c r="E565" s="426" t="str">
        <f t="shared" si="59"/>
        <v>390</v>
      </c>
      <c r="F565" s="741" t="s">
        <v>1807</v>
      </c>
      <c r="G565" s="425" t="str">
        <f t="shared" si="58"/>
        <v/>
      </c>
      <c r="H565" s="426">
        <v>183.80955443249999</v>
      </c>
      <c r="I565" s="426">
        <v>184.66563987250001</v>
      </c>
      <c r="J565" s="426">
        <v>185.97005132250001</v>
      </c>
      <c r="K565" s="426">
        <v>188.2364242125</v>
      </c>
      <c r="L565" s="426">
        <v>190.7263126515</v>
      </c>
      <c r="M565" s="426">
        <v>192.7124663205</v>
      </c>
      <c r="N565" s="426">
        <v>200.23030970049999</v>
      </c>
      <c r="O565" s="426">
        <v>206.9099365305</v>
      </c>
      <c r="P565" s="426">
        <v>206.96272570049999</v>
      </c>
      <c r="Q565" s="426">
        <v>207.10078391050001</v>
      </c>
      <c r="R565" s="426">
        <v>207.2388422105</v>
      </c>
      <c r="S565" s="426">
        <v>207.30598071049999</v>
      </c>
      <c r="T565" s="426">
        <v>207.4824798905</v>
      </c>
      <c r="U565" s="706">
        <f>SUM(I565:T565)</f>
        <v>2385.541953033</v>
      </c>
      <c r="V565" s="427"/>
    </row>
    <row r="566" spans="1:22">
      <c r="A566" s="426" t="str">
        <f t="shared" si="61"/>
        <v>KU</v>
      </c>
      <c r="B566" s="426" t="str">
        <f t="shared" si="63"/>
        <v>VA</v>
      </c>
      <c r="C566" s="426" t="str">
        <f t="shared" si="64"/>
        <v>E</v>
      </c>
      <c r="D566" s="426" t="s">
        <v>2670</v>
      </c>
      <c r="E566" s="426" t="str">
        <f t="shared" si="59"/>
        <v>390</v>
      </c>
      <c r="F566" s="741" t="s">
        <v>1808</v>
      </c>
      <c r="G566" s="425" t="str">
        <f t="shared" si="58"/>
        <v/>
      </c>
      <c r="H566" s="426">
        <v>12.361548487</v>
      </c>
      <c r="I566" s="426">
        <v>12.361548487</v>
      </c>
      <c r="J566" s="426">
        <v>12.361548487</v>
      </c>
      <c r="K566" s="426">
        <v>12.376922797000001</v>
      </c>
      <c r="L566" s="426">
        <v>12.515291547</v>
      </c>
      <c r="M566" s="426">
        <v>12.651616447</v>
      </c>
      <c r="N566" s="426">
        <v>13.981105229000001</v>
      </c>
      <c r="O566" s="426">
        <v>15.297263560999999</v>
      </c>
      <c r="P566" s="426">
        <v>15.297263560999999</v>
      </c>
      <c r="Q566" s="426">
        <v>15.297263560999999</v>
      </c>
      <c r="R566" s="426">
        <v>15.297263560999999</v>
      </c>
      <c r="S566" s="426">
        <v>15.297263560999999</v>
      </c>
      <c r="T566" s="426">
        <v>15.297263560999999</v>
      </c>
      <c r="U566" s="426">
        <f>SUM(I566:T566)</f>
        <v>168.03161435999996</v>
      </c>
    </row>
    <row r="567" spans="1:22">
      <c r="A567" s="426" t="str">
        <f t="shared" si="61"/>
        <v>KU</v>
      </c>
      <c r="B567" s="426" t="str">
        <f t="shared" si="63"/>
        <v>KY</v>
      </c>
      <c r="C567" s="426" t="str">
        <f t="shared" si="64"/>
        <v>E</v>
      </c>
      <c r="D567" s="426" t="s">
        <v>2670</v>
      </c>
      <c r="E567" s="426" t="str">
        <f t="shared" si="59"/>
        <v>391</v>
      </c>
      <c r="F567" s="741" t="s">
        <v>1809</v>
      </c>
      <c r="G567" s="425" t="str">
        <f t="shared" ref="G567:G632" si="65">IF(ISTEXT(MID($F567,SEARCH("FUTURE USE",$F567),3)),"FUTURE USE",IF(ISTEXT(MID($F567,SEARCH("ECR",$F567),3)),"ECR",IF(ISTEXT(MID($F567,SEARCH("ARO",$F567),3)),"ARO",IF(ISTEXT(MID($F567,SEARCH("DSM",$F567),3)),"DSM",""))))</f>
        <v/>
      </c>
      <c r="H567" s="426">
        <v>125.6957213</v>
      </c>
      <c r="I567" s="426">
        <v>115.6079743</v>
      </c>
      <c r="J567" s="426">
        <v>115.1567743</v>
      </c>
      <c r="K567" s="426">
        <v>115.4165653</v>
      </c>
      <c r="L567" s="426">
        <v>114.9844918</v>
      </c>
      <c r="M567" s="426">
        <v>114.5524183</v>
      </c>
      <c r="N567" s="426">
        <v>130.92258100000001</v>
      </c>
      <c r="O567" s="426">
        <v>147.18882740000001</v>
      </c>
      <c r="P567" s="426">
        <v>147.34470199999899</v>
      </c>
      <c r="Q567" s="426">
        <v>147.57703419999899</v>
      </c>
      <c r="R567" s="426">
        <v>148.22094240000001</v>
      </c>
      <c r="S567" s="426">
        <v>148.89230929999999</v>
      </c>
      <c r="T567" s="426">
        <v>149.05537949999999</v>
      </c>
      <c r="U567" s="426">
        <f>SUM(I567:T567)</f>
        <v>1594.9199997999981</v>
      </c>
    </row>
    <row r="568" spans="1:22">
      <c r="A568" s="426" t="str">
        <f t="shared" si="61"/>
        <v>KU</v>
      </c>
      <c r="B568" s="426" t="str">
        <f t="shared" si="63"/>
        <v>KY</v>
      </c>
      <c r="C568" s="426" t="str">
        <f t="shared" si="64"/>
        <v>E</v>
      </c>
      <c r="D568" s="426" t="s">
        <v>2670</v>
      </c>
      <c r="E568" s="426" t="str">
        <f t="shared" si="59"/>
        <v>391</v>
      </c>
      <c r="F568" s="741" t="s">
        <v>1810</v>
      </c>
      <c r="G568" s="425" t="str">
        <f t="shared" si="65"/>
        <v/>
      </c>
      <c r="H568" s="426">
        <v>295.134528039999</v>
      </c>
      <c r="I568" s="426">
        <v>295.87863247000001</v>
      </c>
      <c r="J568" s="426">
        <v>294.37631174999899</v>
      </c>
      <c r="K568" s="426">
        <v>292.70893212999999</v>
      </c>
      <c r="L568" s="426">
        <v>289.46701843</v>
      </c>
      <c r="M568" s="426">
        <v>291.15311269</v>
      </c>
      <c r="N568" s="426">
        <v>308.09100581000001</v>
      </c>
      <c r="O568" s="426">
        <v>320.44612324000002</v>
      </c>
      <c r="P568" s="426">
        <v>317.35354290999999</v>
      </c>
      <c r="Q568" s="426">
        <v>312.33977248999997</v>
      </c>
      <c r="R568" s="426">
        <v>308.96433667000002</v>
      </c>
      <c r="S568" s="426">
        <v>306.84974026999998</v>
      </c>
      <c r="T568" s="426">
        <v>304.79897686999999</v>
      </c>
      <c r="U568" s="426">
        <f t="shared" si="57"/>
        <v>3642.4275057299992</v>
      </c>
    </row>
    <row r="569" spans="1:22">
      <c r="A569" s="426" t="str">
        <f t="shared" si="61"/>
        <v>KU</v>
      </c>
      <c r="B569" s="426" t="str">
        <f t="shared" si="63"/>
        <v>VA</v>
      </c>
      <c r="C569" s="426" t="str">
        <f t="shared" si="64"/>
        <v>E</v>
      </c>
      <c r="D569" s="426" t="s">
        <v>2670</v>
      </c>
      <c r="E569" s="426" t="str">
        <f t="shared" si="59"/>
        <v>391</v>
      </c>
      <c r="F569" s="741" t="s">
        <v>1811</v>
      </c>
      <c r="G569" s="425" t="str">
        <f t="shared" si="65"/>
        <v/>
      </c>
      <c r="H569" s="426">
        <v>1.1515095360000001</v>
      </c>
      <c r="I569" s="426">
        <v>1.1515095360000001</v>
      </c>
      <c r="J569" s="426">
        <v>1.1515095360000001</v>
      </c>
      <c r="K569" s="426">
        <v>1.1515095360000001</v>
      </c>
      <c r="L569" s="426">
        <v>1.1515095360000001</v>
      </c>
      <c r="M569" s="426">
        <v>1.1515095360000001</v>
      </c>
      <c r="N569" s="426">
        <v>1.1515095360000001</v>
      </c>
      <c r="O569" s="426">
        <v>1.1515095360000001</v>
      </c>
      <c r="P569" s="426">
        <v>1.1515095360000001</v>
      </c>
      <c r="Q569" s="426">
        <v>1.1515095360000001</v>
      </c>
      <c r="R569" s="426">
        <v>1.1515095360000001</v>
      </c>
      <c r="S569" s="426">
        <v>1.1515095360000001</v>
      </c>
      <c r="T569" s="426">
        <v>1.1515095360000001</v>
      </c>
      <c r="U569" s="706">
        <f t="shared" si="57"/>
        <v>13.818114432000003</v>
      </c>
    </row>
    <row r="570" spans="1:22">
      <c r="A570" s="426" t="str">
        <f t="shared" si="61"/>
        <v>KU</v>
      </c>
      <c r="B570" s="426" t="str">
        <f t="shared" si="63"/>
        <v>KY</v>
      </c>
      <c r="C570" s="426" t="str">
        <f t="shared" si="64"/>
        <v>E</v>
      </c>
      <c r="D570" s="426" t="s">
        <v>2670</v>
      </c>
      <c r="E570" s="426" t="str">
        <f t="shared" si="59"/>
        <v>392</v>
      </c>
      <c r="F570" s="741" t="s">
        <v>1813</v>
      </c>
      <c r="G570" s="425" t="str">
        <f t="shared" si="65"/>
        <v/>
      </c>
      <c r="H570" s="426">
        <v>22.233609102999999</v>
      </c>
      <c r="I570" s="426">
        <v>22.480140768999998</v>
      </c>
      <c r="J570" s="426">
        <v>22.480140768999998</v>
      </c>
      <c r="K570" s="426">
        <v>22.480140768999998</v>
      </c>
      <c r="L570" s="426">
        <v>22.480140768999998</v>
      </c>
      <c r="M570" s="426">
        <v>22.480140768999998</v>
      </c>
      <c r="N570" s="426">
        <v>22.480140768999998</v>
      </c>
      <c r="O570" s="426">
        <v>22.480140768999998</v>
      </c>
      <c r="P570" s="426">
        <v>22.480140768999998</v>
      </c>
      <c r="Q570" s="426">
        <v>22.480140768999998</v>
      </c>
      <c r="R570" s="426">
        <v>22.480140768999998</v>
      </c>
      <c r="S570" s="426">
        <v>22.480140768999998</v>
      </c>
      <c r="T570" s="426">
        <v>22.480140768999998</v>
      </c>
      <c r="U570" s="706">
        <f t="shared" si="57"/>
        <v>269.76168922799997</v>
      </c>
    </row>
    <row r="571" spans="1:22">
      <c r="A571" s="426" t="str">
        <f t="shared" si="61"/>
        <v>KU</v>
      </c>
      <c r="B571" s="426" t="str">
        <f t="shared" si="63"/>
        <v>VA</v>
      </c>
      <c r="C571" s="426" t="str">
        <f t="shared" si="64"/>
        <v>E</v>
      </c>
      <c r="D571" s="426" t="s">
        <v>2670</v>
      </c>
      <c r="E571" s="426" t="str">
        <f t="shared" si="59"/>
        <v>392</v>
      </c>
      <c r="F571" s="741" t="s">
        <v>2401</v>
      </c>
      <c r="G571" s="425" t="str">
        <f t="shared" si="65"/>
        <v/>
      </c>
      <c r="H571" s="426">
        <v>8.3043806829999997E-2</v>
      </c>
      <c r="I571" s="426">
        <v>8.3043806829999997E-2</v>
      </c>
      <c r="J571" s="426">
        <v>8.3043806829999997E-2</v>
      </c>
      <c r="K571" s="426">
        <v>8.3043806829999997E-2</v>
      </c>
      <c r="L571" s="426">
        <v>8.3043806829999997E-2</v>
      </c>
      <c r="M571" s="426">
        <v>8.3043806829999997E-2</v>
      </c>
      <c r="N571" s="426">
        <v>8.3043806829999997E-2</v>
      </c>
      <c r="O571" s="426">
        <v>8.3043806829999997E-2</v>
      </c>
      <c r="P571" s="426">
        <v>8.3043806829999997E-2</v>
      </c>
      <c r="Q571" s="426">
        <v>8.3043806829999997E-2</v>
      </c>
      <c r="R571" s="426">
        <v>8.3043806829999997E-2</v>
      </c>
      <c r="S571" s="426">
        <v>8.3043806829999997E-2</v>
      </c>
      <c r="T571" s="426">
        <v>8.3043806829999997E-2</v>
      </c>
      <c r="U571" s="706">
        <f t="shared" si="57"/>
        <v>0.99652568196000002</v>
      </c>
    </row>
    <row r="572" spans="1:22">
      <c r="A572" s="426" t="str">
        <f t="shared" si="61"/>
        <v>KU</v>
      </c>
      <c r="B572" s="426" t="str">
        <f t="shared" si="63"/>
        <v>KY</v>
      </c>
      <c r="C572" s="426" t="str">
        <f t="shared" si="64"/>
        <v>E</v>
      </c>
      <c r="D572" s="426" t="s">
        <v>2670</v>
      </c>
      <c r="E572" s="426" t="str">
        <f t="shared" si="59"/>
        <v>393</v>
      </c>
      <c r="F572" s="741" t="s">
        <v>1814</v>
      </c>
      <c r="G572" s="425" t="str">
        <f t="shared" si="65"/>
        <v/>
      </c>
      <c r="H572" s="426">
        <v>3.8161680699999998</v>
      </c>
      <c r="I572" s="426">
        <v>3.8102726200000001</v>
      </c>
      <c r="J572" s="426">
        <v>3.7938756530000002</v>
      </c>
      <c r="K572" s="426">
        <v>3.77116432</v>
      </c>
      <c r="L572" s="426">
        <v>3.7633557870000001</v>
      </c>
      <c r="M572" s="426">
        <v>3.7633557870000001</v>
      </c>
      <c r="N572" s="426">
        <v>3.7633557870000001</v>
      </c>
      <c r="O572" s="426">
        <v>3.7633557870000001</v>
      </c>
      <c r="P572" s="426">
        <v>3.7633557870000001</v>
      </c>
      <c r="Q572" s="426">
        <v>3.7633557870000001</v>
      </c>
      <c r="R572" s="426">
        <v>3.7633557870000001</v>
      </c>
      <c r="S572" s="426">
        <v>3.7633557870000001</v>
      </c>
      <c r="T572" s="426">
        <v>3.7633557870000001</v>
      </c>
      <c r="U572" s="706">
        <f t="shared" si="57"/>
        <v>45.245514676000013</v>
      </c>
    </row>
    <row r="573" spans="1:22">
      <c r="A573" s="426" t="str">
        <f t="shared" si="61"/>
        <v>KU</v>
      </c>
      <c r="B573" s="426" t="str">
        <f t="shared" si="63"/>
        <v>VA</v>
      </c>
      <c r="C573" s="426" t="str">
        <f t="shared" si="64"/>
        <v>E</v>
      </c>
      <c r="D573" s="426" t="s">
        <v>2670</v>
      </c>
      <c r="E573" s="426" t="str">
        <f t="shared" si="59"/>
        <v>393</v>
      </c>
      <c r="F573" s="741" t="s">
        <v>1815</v>
      </c>
      <c r="G573" s="425" t="str">
        <f t="shared" si="65"/>
        <v/>
      </c>
      <c r="H573" s="426">
        <v>0</v>
      </c>
      <c r="I573" s="426">
        <v>0</v>
      </c>
      <c r="J573" s="426">
        <v>0</v>
      </c>
      <c r="K573" s="426">
        <v>0</v>
      </c>
      <c r="L573" s="426">
        <v>0</v>
      </c>
      <c r="M573" s="426">
        <v>0</v>
      </c>
      <c r="N573" s="426">
        <v>0</v>
      </c>
      <c r="O573" s="426">
        <v>0</v>
      </c>
      <c r="P573" s="426">
        <v>0</v>
      </c>
      <c r="Q573" s="426">
        <v>0</v>
      </c>
      <c r="R573" s="426">
        <v>0</v>
      </c>
      <c r="S573" s="426">
        <v>0</v>
      </c>
      <c r="T573" s="426">
        <v>0</v>
      </c>
      <c r="U573" s="706">
        <f t="shared" si="57"/>
        <v>0</v>
      </c>
    </row>
    <row r="574" spans="1:22">
      <c r="A574" s="426" t="str">
        <f t="shared" si="61"/>
        <v>KU</v>
      </c>
      <c r="B574" s="426" t="str">
        <f t="shared" si="63"/>
        <v>KY</v>
      </c>
      <c r="C574" s="426" t="str">
        <f t="shared" si="64"/>
        <v>E</v>
      </c>
      <c r="D574" s="426" t="s">
        <v>2670</v>
      </c>
      <c r="E574" s="426" t="str">
        <f t="shared" si="59"/>
        <v>394</v>
      </c>
      <c r="F574" s="741" t="s">
        <v>1816</v>
      </c>
      <c r="G574" s="425" t="str">
        <f t="shared" si="65"/>
        <v/>
      </c>
      <c r="H574" s="426">
        <v>56.506699879999999</v>
      </c>
      <c r="I574" s="426">
        <v>57.05844226</v>
      </c>
      <c r="J574" s="426">
        <v>57.790102009999998</v>
      </c>
      <c r="K574" s="426">
        <v>58.471687469999999</v>
      </c>
      <c r="L574" s="426">
        <v>58.976352120000001</v>
      </c>
      <c r="M574" s="426">
        <v>59.263085490000002</v>
      </c>
      <c r="N574" s="426">
        <v>60.52572602</v>
      </c>
      <c r="O574" s="426">
        <v>61.965368649999903</v>
      </c>
      <c r="P574" s="426">
        <v>62.07692316</v>
      </c>
      <c r="Q574" s="426">
        <v>62.265588700000002</v>
      </c>
      <c r="R574" s="426">
        <v>62.478743719999997</v>
      </c>
      <c r="S574" s="426">
        <v>62.666643709999903</v>
      </c>
      <c r="T574" s="426">
        <v>63.029534990000002</v>
      </c>
      <c r="U574" s="706">
        <f t="shared" si="57"/>
        <v>726.56819829999972</v>
      </c>
      <c r="V574" s="427"/>
    </row>
    <row r="575" spans="1:22">
      <c r="A575" s="426" t="str">
        <f t="shared" si="61"/>
        <v>KU</v>
      </c>
      <c r="B575" s="426" t="str">
        <f t="shared" si="63"/>
        <v>VA</v>
      </c>
      <c r="C575" s="426" t="str">
        <f t="shared" si="64"/>
        <v>E</v>
      </c>
      <c r="D575" s="426" t="s">
        <v>2670</v>
      </c>
      <c r="E575" s="426" t="str">
        <f t="shared" si="59"/>
        <v>394</v>
      </c>
      <c r="F575" s="741" t="s">
        <v>1817</v>
      </c>
      <c r="G575" s="425" t="str">
        <f t="shared" si="65"/>
        <v/>
      </c>
      <c r="H575" s="426">
        <v>2.0254748560000002</v>
      </c>
      <c r="I575" s="802">
        <v>2.0442583060000001</v>
      </c>
      <c r="J575" s="706">
        <v>2.060954706</v>
      </c>
      <c r="K575" s="706">
        <v>2.0776511059999998</v>
      </c>
      <c r="L575" s="706">
        <v>2.0776511059999998</v>
      </c>
      <c r="M575" s="706">
        <v>2.0964345560000002</v>
      </c>
      <c r="N575" s="706">
        <v>2.1135315659999998</v>
      </c>
      <c r="O575" s="706">
        <v>2.111845126</v>
      </c>
      <c r="P575" s="706">
        <v>2.111845126</v>
      </c>
      <c r="Q575" s="706">
        <v>2.111845126</v>
      </c>
      <c r="R575" s="706">
        <v>2.132715626</v>
      </c>
      <c r="S575" s="706">
        <v>2.153586126</v>
      </c>
      <c r="T575" s="706">
        <v>2.1723695759999999</v>
      </c>
      <c r="U575" s="706">
        <f t="shared" ref="U575:U582" si="66">SUM(I575:T575)</f>
        <v>25.264688052</v>
      </c>
      <c r="V575" s="427"/>
    </row>
    <row r="576" spans="1:22">
      <c r="A576" s="426" t="str">
        <f t="shared" si="61"/>
        <v>KU</v>
      </c>
      <c r="B576" s="426" t="str">
        <f t="shared" si="63"/>
        <v>KY</v>
      </c>
      <c r="C576" s="426" t="str">
        <f t="shared" si="64"/>
        <v>E</v>
      </c>
      <c r="D576" s="426" t="s">
        <v>2670</v>
      </c>
      <c r="E576" s="426" t="str">
        <f t="shared" si="59"/>
        <v>396</v>
      </c>
      <c r="F576" s="741" t="s">
        <v>1818</v>
      </c>
      <c r="G576" s="425" t="str">
        <f t="shared" si="65"/>
        <v/>
      </c>
      <c r="H576" s="426">
        <v>4.9157406430000004</v>
      </c>
      <c r="I576" s="426">
        <v>4.9157406430000004</v>
      </c>
      <c r="J576" s="426">
        <v>4.9157406430000004</v>
      </c>
      <c r="K576" s="426">
        <v>4.9157406430000004</v>
      </c>
      <c r="L576" s="426">
        <v>4.9157406430000004</v>
      </c>
      <c r="M576" s="426">
        <v>4.9157406430000004</v>
      </c>
      <c r="N576" s="426">
        <v>4.9157406430000004</v>
      </c>
      <c r="O576" s="426">
        <v>4.9157406430000004</v>
      </c>
      <c r="P576" s="426">
        <v>4.9157406430000004</v>
      </c>
      <c r="Q576" s="426">
        <v>4.9157406430000004</v>
      </c>
      <c r="R576" s="426">
        <v>4.9157406430000004</v>
      </c>
      <c r="S576" s="426">
        <v>4.9157406430000004</v>
      </c>
      <c r="T576" s="426">
        <v>4.9157406430000004</v>
      </c>
      <c r="U576" s="706">
        <f t="shared" si="66"/>
        <v>58.988887716000001</v>
      </c>
    </row>
    <row r="577" spans="1:22">
      <c r="A577" s="426" t="str">
        <f t="shared" si="61"/>
        <v>KU</v>
      </c>
      <c r="B577" s="426" t="str">
        <f t="shared" si="63"/>
        <v>KY</v>
      </c>
      <c r="C577" s="426" t="str">
        <f t="shared" si="64"/>
        <v>E</v>
      </c>
      <c r="D577" s="426" t="s">
        <v>2670</v>
      </c>
      <c r="E577" s="426" t="str">
        <f t="shared" si="59"/>
        <v>396</v>
      </c>
      <c r="F577" s="741" t="s">
        <v>2402</v>
      </c>
      <c r="G577" s="425" t="str">
        <f t="shared" si="65"/>
        <v/>
      </c>
      <c r="H577" s="426">
        <v>20.16792572</v>
      </c>
      <c r="I577" s="426">
        <v>20.16792572</v>
      </c>
      <c r="J577" s="426">
        <v>20.16792572</v>
      </c>
      <c r="K577" s="426">
        <v>20.16792572</v>
      </c>
      <c r="L577" s="426">
        <v>20.16792572</v>
      </c>
      <c r="M577" s="426">
        <v>20.16792572</v>
      </c>
      <c r="N577" s="426">
        <v>20.16792572</v>
      </c>
      <c r="O577" s="426">
        <v>20.16792572</v>
      </c>
      <c r="P577" s="426">
        <v>20.16792572</v>
      </c>
      <c r="Q577" s="426">
        <v>20.16792572</v>
      </c>
      <c r="R577" s="426">
        <v>20.16792572</v>
      </c>
      <c r="S577" s="426">
        <v>20.16792572</v>
      </c>
      <c r="T577" s="426">
        <v>20.16792572</v>
      </c>
      <c r="U577" s="706">
        <f t="shared" si="66"/>
        <v>242.01510863999999</v>
      </c>
    </row>
    <row r="578" spans="1:22">
      <c r="A578" s="426" t="str">
        <f t="shared" si="61"/>
        <v>KU</v>
      </c>
      <c r="B578" s="426" t="str">
        <f t="shared" si="63"/>
        <v>VA</v>
      </c>
      <c r="C578" s="426" t="str">
        <f t="shared" si="64"/>
        <v>E</v>
      </c>
      <c r="D578" s="426" t="s">
        <v>2670</v>
      </c>
      <c r="E578" s="426" t="str">
        <f t="shared" si="59"/>
        <v>396</v>
      </c>
      <c r="F578" s="741" t="s">
        <v>2403</v>
      </c>
      <c r="G578" s="425" t="str">
        <f t="shared" si="65"/>
        <v/>
      </c>
      <c r="H578" s="426">
        <v>2.42074137</v>
      </c>
      <c r="I578" s="426">
        <v>2.42074137</v>
      </c>
      <c r="J578" s="426">
        <v>2.42074137</v>
      </c>
      <c r="K578" s="426">
        <v>2.42074137</v>
      </c>
      <c r="L578" s="426">
        <v>2.42074137</v>
      </c>
      <c r="M578" s="426">
        <v>2.42074137</v>
      </c>
      <c r="N578" s="426">
        <v>2.42074137</v>
      </c>
      <c r="O578" s="426">
        <v>2.42074137</v>
      </c>
      <c r="P578" s="426">
        <v>2.42074137</v>
      </c>
      <c r="Q578" s="426">
        <v>2.42074137</v>
      </c>
      <c r="R578" s="426">
        <v>2.42074137</v>
      </c>
      <c r="S578" s="426">
        <v>2.42074137</v>
      </c>
      <c r="T578" s="426">
        <v>2.42074137</v>
      </c>
      <c r="U578" s="706">
        <f t="shared" si="66"/>
        <v>29.048896440000007</v>
      </c>
    </row>
    <row r="579" spans="1:22">
      <c r="A579" s="426" t="str">
        <f t="shared" si="61"/>
        <v>KU</v>
      </c>
      <c r="B579" s="426" t="str">
        <f t="shared" si="63"/>
        <v>KY</v>
      </c>
      <c r="C579" s="426" t="str">
        <f t="shared" si="64"/>
        <v>E</v>
      </c>
      <c r="D579" s="426" t="s">
        <v>2670</v>
      </c>
      <c r="E579" s="426" t="str">
        <f t="shared" si="59"/>
        <v>397</v>
      </c>
      <c r="F579" s="741" t="s">
        <v>1819</v>
      </c>
      <c r="G579" s="425" t="str">
        <f t="shared" si="65"/>
        <v>DSM</v>
      </c>
      <c r="H579" s="426">
        <v>89.209662960000003</v>
      </c>
      <c r="I579" s="426">
        <v>89.271751890000004</v>
      </c>
      <c r="J579" s="426">
        <v>89.333840820000006</v>
      </c>
      <c r="K579" s="426">
        <v>89.39592974</v>
      </c>
      <c r="L579" s="426">
        <v>89.458018670000001</v>
      </c>
      <c r="M579" s="426">
        <v>89.520107600000003</v>
      </c>
      <c r="N579" s="426">
        <v>89.582196530000004</v>
      </c>
      <c r="O579" s="426">
        <v>89.645996760000003</v>
      </c>
      <c r="P579" s="426">
        <v>89.711508069999994</v>
      </c>
      <c r="Q579" s="426">
        <v>89.777019139999993</v>
      </c>
      <c r="R579" s="426">
        <v>89.842530209999893</v>
      </c>
      <c r="S579" s="426">
        <v>89.90804129</v>
      </c>
      <c r="T579" s="426">
        <v>89.973552359999999</v>
      </c>
      <c r="U579" s="706">
        <f t="shared" si="66"/>
        <v>1075.4204930799999</v>
      </c>
    </row>
    <row r="580" spans="1:22">
      <c r="A580" s="426" t="str">
        <f t="shared" si="61"/>
        <v>KU</v>
      </c>
      <c r="B580" s="426" t="str">
        <f t="shared" si="63"/>
        <v>KY</v>
      </c>
      <c r="C580" s="426" t="str">
        <f t="shared" si="64"/>
        <v>E</v>
      </c>
      <c r="D580" s="426" t="s">
        <v>2670</v>
      </c>
      <c r="E580" s="426" t="str">
        <f t="shared" ref="E580:E642" si="67">MID($F580,8,3)</f>
        <v>397</v>
      </c>
      <c r="F580" s="741" t="s">
        <v>1820</v>
      </c>
      <c r="G580" s="425" t="str">
        <f t="shared" si="65"/>
        <v/>
      </c>
      <c r="H580" s="426">
        <v>386.15038279999999</v>
      </c>
      <c r="I580" s="426">
        <v>386.76426140000001</v>
      </c>
      <c r="J580" s="426">
        <v>387.80876089999998</v>
      </c>
      <c r="K580" s="426">
        <v>388.85326040000001</v>
      </c>
      <c r="L580" s="426">
        <v>389.63241410000001</v>
      </c>
      <c r="M580" s="426">
        <v>390.43517850000001</v>
      </c>
      <c r="N580" s="426">
        <v>394.33040569999997</v>
      </c>
      <c r="O580" s="426">
        <v>397.89508280000001</v>
      </c>
      <c r="P580" s="426">
        <v>397.89508280000001</v>
      </c>
      <c r="Q580" s="426">
        <v>397.89508280000001</v>
      </c>
      <c r="R580" s="426">
        <v>403.61174940000001</v>
      </c>
      <c r="S580" s="426">
        <v>409.32841610000003</v>
      </c>
      <c r="T580" s="426">
        <v>409.32841610000003</v>
      </c>
      <c r="U580" s="706">
        <f t="shared" si="66"/>
        <v>4753.7781110000005</v>
      </c>
    </row>
    <row r="581" spans="1:22">
      <c r="A581" s="426" t="str">
        <f t="shared" si="61"/>
        <v>KU</v>
      </c>
      <c r="B581" s="426" t="str">
        <f t="shared" si="63"/>
        <v>VA</v>
      </c>
      <c r="C581" s="426" t="str">
        <f t="shared" si="64"/>
        <v>E</v>
      </c>
      <c r="D581" s="426" t="s">
        <v>2670</v>
      </c>
      <c r="E581" s="426" t="str">
        <f t="shared" si="67"/>
        <v>397</v>
      </c>
      <c r="F581" s="741" t="s">
        <v>1821</v>
      </c>
      <c r="G581" s="425" t="str">
        <f t="shared" si="65"/>
        <v/>
      </c>
      <c r="H581" s="426">
        <v>7.6835740179999998</v>
      </c>
      <c r="I581" s="426">
        <v>7.6835740179999998</v>
      </c>
      <c r="J581" s="426">
        <v>7.6835740179999998</v>
      </c>
      <c r="K581" s="426">
        <v>7.6835740179999998</v>
      </c>
      <c r="L581" s="426">
        <v>7.6835740179999998</v>
      </c>
      <c r="M581" s="426">
        <v>7.6835740179999998</v>
      </c>
      <c r="N581" s="426">
        <v>7.6835740179999998</v>
      </c>
      <c r="O581" s="426">
        <v>7.6835740179999998</v>
      </c>
      <c r="P581" s="426">
        <v>7.6835740179999998</v>
      </c>
      <c r="Q581" s="426">
        <v>7.6835740179999998</v>
      </c>
      <c r="R581" s="426">
        <v>7.6835740179999998</v>
      </c>
      <c r="S581" s="426">
        <v>7.6835740179999998</v>
      </c>
      <c r="T581" s="426">
        <v>7.6835740179999998</v>
      </c>
      <c r="U581" s="706">
        <f t="shared" si="66"/>
        <v>92.202888216000005</v>
      </c>
    </row>
    <row r="582" spans="1:22">
      <c r="G582" s="425" t="str">
        <f t="shared" si="65"/>
        <v/>
      </c>
      <c r="H582" s="426">
        <f>SUM(H460:H581)</f>
        <v>30979.333629280358</v>
      </c>
      <c r="I582" s="426">
        <f t="shared" ref="I582:T582" si="68">SUM(I460:I581)</f>
        <v>35566.114220515337</v>
      </c>
      <c r="J582" s="426">
        <f t="shared" si="68"/>
        <v>35583.111843711777</v>
      </c>
      <c r="K582" s="426">
        <f t="shared" si="68"/>
        <v>35652.725975121568</v>
      </c>
      <c r="L582" s="426">
        <f t="shared" si="68"/>
        <v>35761.632270539725</v>
      </c>
      <c r="M582" s="426">
        <f t="shared" si="68"/>
        <v>35853.706652693334</v>
      </c>
      <c r="N582" s="426">
        <f t="shared" si="68"/>
        <v>36190.420495960221</v>
      </c>
      <c r="O582" s="426">
        <f t="shared" si="68"/>
        <v>36143.876922041425</v>
      </c>
      <c r="P582" s="426">
        <f t="shared" si="68"/>
        <v>36125.925580454721</v>
      </c>
      <c r="Q582" s="426">
        <f t="shared" si="68"/>
        <v>36141.97539143022</v>
      </c>
      <c r="R582" s="426">
        <f t="shared" si="68"/>
        <v>36204.761600573031</v>
      </c>
      <c r="S582" s="426">
        <f t="shared" si="68"/>
        <v>36262.006092276963</v>
      </c>
      <c r="T582" s="426">
        <f t="shared" si="68"/>
        <v>36335.456253739358</v>
      </c>
      <c r="U582" s="706">
        <f t="shared" si="66"/>
        <v>431821.71329905762</v>
      </c>
      <c r="V582" s="426">
        <f>-SUM(U584:U597)</f>
        <v>15952.047937911962</v>
      </c>
    </row>
    <row r="583" spans="1:22">
      <c r="G583" s="425" t="str">
        <f t="shared" si="65"/>
        <v/>
      </c>
      <c r="U583" s="706">
        <f>SUM(U460:U581)</f>
        <v>431821.71329905803</v>
      </c>
    </row>
    <row r="584" spans="1:22">
      <c r="F584" s="799" t="s">
        <v>1823</v>
      </c>
      <c r="G584" s="425" t="str">
        <f t="shared" si="65"/>
        <v/>
      </c>
      <c r="U584" s="706">
        <f>SUM(I584:T584)</f>
        <v>0</v>
      </c>
    </row>
    <row r="585" spans="1:22">
      <c r="F585" s="800" t="s">
        <v>1827</v>
      </c>
      <c r="G585" s="425" t="str">
        <f t="shared" si="65"/>
        <v/>
      </c>
      <c r="V585" s="426">
        <f t="shared" ref="V585" si="69">SUM(H585:T585)/13</f>
        <v>0</v>
      </c>
    </row>
    <row r="586" spans="1:22">
      <c r="A586" s="426" t="str">
        <f t="shared" si="61"/>
        <v>KU</v>
      </c>
      <c r="B586" s="426" t="str">
        <f t="shared" si="63"/>
        <v>KY</v>
      </c>
      <c r="C586" s="426" t="str">
        <f t="shared" si="64"/>
        <v>E</v>
      </c>
      <c r="D586" s="426" t="s">
        <v>2670</v>
      </c>
      <c r="E586" s="426" t="str">
        <f t="shared" si="67"/>
        <v>340</v>
      </c>
      <c r="F586" s="799" t="s">
        <v>2183</v>
      </c>
      <c r="G586" s="425" t="str">
        <f t="shared" si="65"/>
        <v/>
      </c>
      <c r="I586" s="426">
        <v>-0.1675888445</v>
      </c>
      <c r="J586" s="426">
        <v>-0.1675888445</v>
      </c>
      <c r="K586" s="426">
        <v>-0.1675888445</v>
      </c>
      <c r="L586" s="426">
        <v>-0.1675888445</v>
      </c>
      <c r="M586" s="426">
        <v>-0.1675888445</v>
      </c>
      <c r="N586" s="426">
        <v>-0.1675888445</v>
      </c>
      <c r="O586" s="426">
        <v>-0.1675888445</v>
      </c>
      <c r="P586" s="426">
        <v>-0.1675888445</v>
      </c>
      <c r="Q586" s="426">
        <v>-0.1675888445</v>
      </c>
      <c r="R586" s="426">
        <v>-0.1675888445</v>
      </c>
      <c r="S586" s="426">
        <v>-0.1675888445</v>
      </c>
      <c r="T586" s="426">
        <v>-0.1675888445</v>
      </c>
      <c r="U586" s="706">
        <f t="shared" ref="U586:U600" si="70">SUM(I586:T586)</f>
        <v>-2.011066134</v>
      </c>
    </row>
    <row r="587" spans="1:22">
      <c r="A587" s="426" t="str">
        <f t="shared" si="61"/>
        <v>KU</v>
      </c>
      <c r="B587" s="426" t="str">
        <f t="shared" si="63"/>
        <v>KY</v>
      </c>
      <c r="C587" s="426" t="str">
        <f t="shared" si="64"/>
        <v>E</v>
      </c>
      <c r="D587" s="426" t="s">
        <v>2670</v>
      </c>
      <c r="E587" s="426" t="str">
        <f t="shared" si="67"/>
        <v>342</v>
      </c>
      <c r="F587" s="799" t="s">
        <v>2187</v>
      </c>
      <c r="G587" s="425" t="str">
        <f t="shared" si="65"/>
        <v/>
      </c>
      <c r="I587" s="426">
        <v>-137.33309264900001</v>
      </c>
      <c r="J587" s="426">
        <v>-137.33309264900001</v>
      </c>
      <c r="K587" s="426">
        <v>-137.33309264900001</v>
      </c>
      <c r="L587" s="426">
        <v>-137.33309264900001</v>
      </c>
      <c r="M587" s="426">
        <v>-137.33309264900001</v>
      </c>
      <c r="N587" s="426">
        <v>-137.33309264900001</v>
      </c>
      <c r="O587" s="426">
        <v>-137.33309264900001</v>
      </c>
      <c r="P587" s="426">
        <v>-137.33309264900001</v>
      </c>
      <c r="Q587" s="426">
        <v>-137.33309264900001</v>
      </c>
      <c r="R587" s="426">
        <v>-137.33309264900001</v>
      </c>
      <c r="S587" s="426">
        <v>-137.33309264900001</v>
      </c>
      <c r="T587" s="426">
        <v>-137.33309264900001</v>
      </c>
      <c r="U587" s="706">
        <f t="shared" si="70"/>
        <v>-1647.9971117880002</v>
      </c>
    </row>
    <row r="588" spans="1:22">
      <c r="A588" s="426" t="str">
        <f t="shared" si="61"/>
        <v>KU</v>
      </c>
      <c r="B588" s="426" t="str">
        <f t="shared" si="63"/>
        <v>KY</v>
      </c>
      <c r="C588" s="426" t="str">
        <f t="shared" si="64"/>
        <v>E</v>
      </c>
      <c r="D588" s="426" t="s">
        <v>2670</v>
      </c>
      <c r="E588" s="426" t="str">
        <f t="shared" si="67"/>
        <v>392</v>
      </c>
      <c r="F588" s="799" t="s">
        <v>1813</v>
      </c>
      <c r="G588" s="425" t="str">
        <f t="shared" si="65"/>
        <v/>
      </c>
      <c r="I588" s="426">
        <v>-22.480140768999998</v>
      </c>
      <c r="J588" s="426">
        <v>-22.480140768999998</v>
      </c>
      <c r="K588" s="426">
        <v>-22.480140768999998</v>
      </c>
      <c r="L588" s="426">
        <v>-22.480140768999998</v>
      </c>
      <c r="M588" s="426">
        <v>-22.480140768999998</v>
      </c>
      <c r="N588" s="426">
        <v>-22.480140768999998</v>
      </c>
      <c r="O588" s="426">
        <v>-22.480140768999998</v>
      </c>
      <c r="P588" s="426">
        <v>-22.480140768999998</v>
      </c>
      <c r="Q588" s="426">
        <v>-22.480140768999998</v>
      </c>
      <c r="R588" s="426">
        <v>-22.480140768999998</v>
      </c>
      <c r="S588" s="426">
        <v>-22.480140768999998</v>
      </c>
      <c r="T588" s="426">
        <v>-22.480140768999998</v>
      </c>
      <c r="U588" s="706">
        <f t="shared" si="70"/>
        <v>-269.76168922799997</v>
      </c>
    </row>
    <row r="589" spans="1:22">
      <c r="A589" s="426" t="str">
        <f t="shared" si="61"/>
        <v>KU</v>
      </c>
      <c r="B589" s="426" t="str">
        <f t="shared" si="63"/>
        <v>VA</v>
      </c>
      <c r="C589" s="426" t="str">
        <f t="shared" si="64"/>
        <v>E</v>
      </c>
      <c r="D589" s="426" t="s">
        <v>2670</v>
      </c>
      <c r="E589" s="426" t="str">
        <f t="shared" si="67"/>
        <v>392</v>
      </c>
      <c r="F589" s="799" t="s">
        <v>2401</v>
      </c>
      <c r="G589" s="425" t="str">
        <f t="shared" si="65"/>
        <v/>
      </c>
      <c r="I589" s="426">
        <v>-8.3043806829999997E-2</v>
      </c>
      <c r="J589" s="426">
        <v>-8.3043806829999997E-2</v>
      </c>
      <c r="K589" s="426">
        <v>-8.3043806829999997E-2</v>
      </c>
      <c r="L589" s="426">
        <v>-8.3043806829999997E-2</v>
      </c>
      <c r="M589" s="426">
        <v>-8.3043806829999997E-2</v>
      </c>
      <c r="N589" s="426">
        <v>-8.3043806829999997E-2</v>
      </c>
      <c r="O589" s="426">
        <v>-8.3043806829999997E-2</v>
      </c>
      <c r="P589" s="426">
        <v>-8.3043806829999997E-2</v>
      </c>
      <c r="Q589" s="426">
        <v>-8.3043806829999997E-2</v>
      </c>
      <c r="R589" s="426">
        <v>-8.3043806829999997E-2</v>
      </c>
      <c r="S589" s="426">
        <v>-8.3043806829999997E-2</v>
      </c>
      <c r="T589" s="426">
        <v>-8.3043806829999997E-2</v>
      </c>
      <c r="U589" s="706">
        <f t="shared" si="70"/>
        <v>-0.99652568196000002</v>
      </c>
    </row>
    <row r="590" spans="1:22">
      <c r="A590" s="426" t="str">
        <f t="shared" si="61"/>
        <v>KU</v>
      </c>
      <c r="B590" s="426" t="str">
        <f t="shared" si="63"/>
        <v>KY</v>
      </c>
      <c r="C590" s="426" t="str">
        <f t="shared" si="64"/>
        <v>E</v>
      </c>
      <c r="D590" s="426" t="s">
        <v>2670</v>
      </c>
      <c r="E590" s="426" t="str">
        <f t="shared" si="67"/>
        <v>396</v>
      </c>
      <c r="F590" s="799" t="s">
        <v>2402</v>
      </c>
      <c r="G590" s="425" t="str">
        <f t="shared" si="65"/>
        <v/>
      </c>
      <c r="I590" s="426">
        <v>-20.16792572</v>
      </c>
      <c r="J590" s="426">
        <v>-20.16792572</v>
      </c>
      <c r="K590" s="426">
        <v>-20.16792572</v>
      </c>
      <c r="L590" s="426">
        <v>-20.16792572</v>
      </c>
      <c r="M590" s="426">
        <v>-20.16792572</v>
      </c>
      <c r="N590" s="426">
        <v>-20.16792572</v>
      </c>
      <c r="O590" s="426">
        <v>-20.16792572</v>
      </c>
      <c r="P590" s="426">
        <v>-20.16792572</v>
      </c>
      <c r="Q590" s="426">
        <v>-20.16792572</v>
      </c>
      <c r="R590" s="426">
        <v>-20.16792572</v>
      </c>
      <c r="S590" s="426">
        <v>-20.16792572</v>
      </c>
      <c r="T590" s="426">
        <v>-20.16792572</v>
      </c>
      <c r="U590" s="706">
        <f t="shared" si="70"/>
        <v>-242.01510863999999</v>
      </c>
    </row>
    <row r="591" spans="1:22">
      <c r="A591" s="426" t="str">
        <f t="shared" si="61"/>
        <v>KU</v>
      </c>
      <c r="B591" s="426" t="str">
        <f t="shared" si="63"/>
        <v>VA</v>
      </c>
      <c r="C591" s="426" t="str">
        <f t="shared" si="64"/>
        <v>E</v>
      </c>
      <c r="D591" s="426" t="s">
        <v>2670</v>
      </c>
      <c r="E591" s="426" t="str">
        <f t="shared" si="67"/>
        <v>396</v>
      </c>
      <c r="F591" s="799" t="s">
        <v>2403</v>
      </c>
      <c r="G591" s="425" t="str">
        <f t="shared" si="65"/>
        <v/>
      </c>
      <c r="I591" s="426">
        <v>-2.42074137</v>
      </c>
      <c r="J591" s="426">
        <v>-2.42074137</v>
      </c>
      <c r="K591" s="426">
        <v>-2.42074137</v>
      </c>
      <c r="L591" s="426">
        <v>-2.42074137</v>
      </c>
      <c r="M591" s="426">
        <v>-2.42074137</v>
      </c>
      <c r="N591" s="426">
        <v>-2.42074137</v>
      </c>
      <c r="O591" s="426">
        <v>-2.42074137</v>
      </c>
      <c r="P591" s="426">
        <v>-2.42074137</v>
      </c>
      <c r="Q591" s="426">
        <v>-2.42074137</v>
      </c>
      <c r="R591" s="426">
        <v>-2.42074137</v>
      </c>
      <c r="S591" s="426">
        <v>-2.42074137</v>
      </c>
      <c r="T591" s="426">
        <v>-2.42074137</v>
      </c>
      <c r="U591" s="706">
        <f t="shared" si="70"/>
        <v>-29.048896440000007</v>
      </c>
    </row>
    <row r="592" spans="1:22">
      <c r="A592" s="426" t="str">
        <f t="shared" si="61"/>
        <v>KU</v>
      </c>
      <c r="B592" s="426" t="str">
        <f t="shared" si="63"/>
        <v>KY</v>
      </c>
      <c r="C592" s="426" t="str">
        <f t="shared" si="64"/>
        <v>E</v>
      </c>
      <c r="D592" s="426" t="s">
        <v>2670</v>
      </c>
      <c r="E592" s="426" t="str">
        <f t="shared" si="67"/>
        <v>317</v>
      </c>
      <c r="F592" s="799" t="s">
        <v>1736</v>
      </c>
      <c r="G592" s="425" t="str">
        <f t="shared" si="65"/>
        <v>ARO</v>
      </c>
      <c r="I592" s="426">
        <v>-51.601715498350302</v>
      </c>
      <c r="J592" s="426">
        <v>-51.601715498350302</v>
      </c>
      <c r="K592" s="426">
        <v>-51.601715498350302</v>
      </c>
      <c r="L592" s="426">
        <v>-51.601715498350302</v>
      </c>
      <c r="M592" s="426">
        <v>-51.601715498350302</v>
      </c>
      <c r="N592" s="426">
        <v>-51.601715498350302</v>
      </c>
      <c r="O592" s="426">
        <v>-51.601715498350302</v>
      </c>
      <c r="P592" s="426">
        <v>-51.601715498350302</v>
      </c>
      <c r="Q592" s="426">
        <v>-51.601715498350302</v>
      </c>
      <c r="R592" s="426">
        <v>-51.601715498350302</v>
      </c>
      <c r="S592" s="426">
        <v>-51.601715498350302</v>
      </c>
      <c r="T592" s="426">
        <v>-51.601715498350302</v>
      </c>
      <c r="U592" s="706">
        <f t="shared" si="70"/>
        <v>-619.22058598020362</v>
      </c>
    </row>
    <row r="593" spans="1:22">
      <c r="A593" s="426" t="str">
        <f t="shared" si="61"/>
        <v>KU</v>
      </c>
      <c r="B593" s="426" t="str">
        <f t="shared" si="63"/>
        <v>KY</v>
      </c>
      <c r="C593" s="426" t="str">
        <f t="shared" si="64"/>
        <v>E</v>
      </c>
      <c r="D593" s="426" t="s">
        <v>2670</v>
      </c>
      <c r="E593" s="426" t="str">
        <f t="shared" si="67"/>
        <v>317</v>
      </c>
      <c r="F593" s="799" t="s">
        <v>2398</v>
      </c>
      <c r="G593" s="425" t="str">
        <f t="shared" si="65"/>
        <v>ARO</v>
      </c>
      <c r="I593" s="426">
        <v>-1260</v>
      </c>
      <c r="J593" s="426">
        <v>-1260</v>
      </c>
      <c r="K593" s="426">
        <v>-1260</v>
      </c>
      <c r="L593" s="426">
        <v>-1260</v>
      </c>
      <c r="M593" s="426">
        <v>-1260</v>
      </c>
      <c r="N593" s="426">
        <v>-1260</v>
      </c>
      <c r="O593" s="426">
        <v>-921.36959000000002</v>
      </c>
      <c r="P593" s="426">
        <v>-921.36959000000002</v>
      </c>
      <c r="Q593" s="426">
        <v>-921.36959000000002</v>
      </c>
      <c r="R593" s="426">
        <v>-921.36959000000002</v>
      </c>
      <c r="S593" s="426">
        <v>-921.36959000000002</v>
      </c>
      <c r="T593" s="426">
        <v>-921.36959000000002</v>
      </c>
      <c r="U593" s="706">
        <f t="shared" si="70"/>
        <v>-13088.217540000001</v>
      </c>
    </row>
    <row r="594" spans="1:22">
      <c r="A594" s="426" t="str">
        <f t="shared" si="61"/>
        <v>KU</v>
      </c>
      <c r="B594" s="426" t="str">
        <f t="shared" si="63"/>
        <v>KY</v>
      </c>
      <c r="C594" s="426" t="str">
        <f t="shared" si="64"/>
        <v>E</v>
      </c>
      <c r="D594" s="426" t="s">
        <v>2670</v>
      </c>
      <c r="E594" s="426" t="str">
        <f t="shared" si="67"/>
        <v>337</v>
      </c>
      <c r="F594" s="799" t="s">
        <v>1744</v>
      </c>
      <c r="G594" s="425" t="str">
        <f t="shared" si="65"/>
        <v>ARO</v>
      </c>
      <c r="I594" s="426">
        <v>-1.4747745564091299</v>
      </c>
      <c r="J594" s="426">
        <v>-1.4747745564091299</v>
      </c>
      <c r="K594" s="426">
        <v>-1.4747745564091299</v>
      </c>
      <c r="L594" s="426">
        <v>-1.4747745564091299</v>
      </c>
      <c r="M594" s="426">
        <v>-1.4747745564091299</v>
      </c>
      <c r="N594" s="426">
        <v>-1.4747745564091299</v>
      </c>
      <c r="O594" s="426">
        <v>-1.4747745564091299</v>
      </c>
      <c r="P594" s="426">
        <v>-1.4747745564091299</v>
      </c>
      <c r="Q594" s="426">
        <v>-1.4747745564091299</v>
      </c>
      <c r="R594" s="426">
        <v>-1.4747745564091299</v>
      </c>
      <c r="S594" s="426">
        <v>-1.4747745564091299</v>
      </c>
      <c r="T594" s="426">
        <v>-1.4747745564091299</v>
      </c>
      <c r="U594" s="706">
        <f t="shared" si="70"/>
        <v>-17.697294676909561</v>
      </c>
    </row>
    <row r="595" spans="1:22">
      <c r="A595" s="426" t="str">
        <f t="shared" si="61"/>
        <v>KU</v>
      </c>
      <c r="B595" s="426" t="str">
        <f t="shared" si="63"/>
        <v>KY</v>
      </c>
      <c r="C595" s="426" t="str">
        <f t="shared" si="64"/>
        <v>E</v>
      </c>
      <c r="D595" s="426" t="s">
        <v>2670</v>
      </c>
      <c r="E595" s="426" t="str">
        <f t="shared" si="67"/>
        <v>347</v>
      </c>
      <c r="F595" s="799" t="s">
        <v>2195</v>
      </c>
      <c r="G595" s="425" t="str">
        <f t="shared" si="65"/>
        <v>ARO</v>
      </c>
      <c r="I595" s="426">
        <v>-1.66120391576844</v>
      </c>
      <c r="J595" s="426">
        <v>-1.66120391576844</v>
      </c>
      <c r="K595" s="426">
        <v>-1.66120391576844</v>
      </c>
      <c r="L595" s="426">
        <v>-1.66120391576844</v>
      </c>
      <c r="M595" s="426">
        <v>-1.66120391576844</v>
      </c>
      <c r="N595" s="426">
        <v>-1.66120391576844</v>
      </c>
      <c r="O595" s="426">
        <v>-1.66120391576844</v>
      </c>
      <c r="P595" s="426">
        <v>-1.66120391576844</v>
      </c>
      <c r="Q595" s="426">
        <v>-1.66120391576844</v>
      </c>
      <c r="R595" s="426">
        <v>-1.66120391576844</v>
      </c>
      <c r="S595" s="426">
        <v>-1.66120391576844</v>
      </c>
      <c r="T595" s="426">
        <v>-1.66120391576844</v>
      </c>
      <c r="U595" s="706">
        <f t="shared" si="70"/>
        <v>-19.934446989221275</v>
      </c>
    </row>
    <row r="596" spans="1:22">
      <c r="A596" s="426" t="str">
        <f t="shared" si="61"/>
        <v>KU</v>
      </c>
      <c r="B596" s="426" t="str">
        <f t="shared" si="63"/>
        <v>KY</v>
      </c>
      <c r="C596" s="426" t="str">
        <f t="shared" si="64"/>
        <v>E</v>
      </c>
      <c r="D596" s="426" t="s">
        <v>2670</v>
      </c>
      <c r="E596" s="426" t="str">
        <f t="shared" si="67"/>
        <v>359</v>
      </c>
      <c r="F596" s="799" t="s">
        <v>1771</v>
      </c>
      <c r="G596" s="425" t="str">
        <f t="shared" si="65"/>
        <v>ARO</v>
      </c>
      <c r="I596" s="426">
        <v>-0.60753770584248901</v>
      </c>
      <c r="J596" s="426">
        <v>-0.60753770584248901</v>
      </c>
      <c r="K596" s="426">
        <v>-0.60753770584248901</v>
      </c>
      <c r="L596" s="426">
        <v>-0.60753770584248901</v>
      </c>
      <c r="M596" s="426">
        <v>-0.60753770584248901</v>
      </c>
      <c r="N596" s="426">
        <v>-0.60753770584248901</v>
      </c>
      <c r="O596" s="426">
        <v>-0.60753770584248901</v>
      </c>
      <c r="P596" s="426">
        <v>-0.60753770584248901</v>
      </c>
      <c r="Q596" s="426">
        <v>-0.60753770584248901</v>
      </c>
      <c r="R596" s="426">
        <v>-0.60753770584248901</v>
      </c>
      <c r="S596" s="426">
        <v>-0.60753770584248901</v>
      </c>
      <c r="T596" s="426">
        <v>-0.60753770584248901</v>
      </c>
      <c r="U596" s="706">
        <f t="shared" si="70"/>
        <v>-7.2904524701098685</v>
      </c>
    </row>
    <row r="597" spans="1:22">
      <c r="A597" s="426" t="str">
        <f t="shared" si="61"/>
        <v>KU</v>
      </c>
      <c r="B597" s="426" t="str">
        <f t="shared" si="63"/>
        <v>KY</v>
      </c>
      <c r="C597" s="426" t="str">
        <f t="shared" si="64"/>
        <v>E</v>
      </c>
      <c r="D597" s="426" t="s">
        <v>2670</v>
      </c>
      <c r="E597" s="426" t="str">
        <f t="shared" si="67"/>
        <v>374</v>
      </c>
      <c r="F597" s="799" t="s">
        <v>1803</v>
      </c>
      <c r="G597" s="425" t="str">
        <f t="shared" si="65"/>
        <v>ARO</v>
      </c>
      <c r="I597" s="426">
        <v>-0.65476832362965398</v>
      </c>
      <c r="J597" s="426">
        <v>-0.65476832362965398</v>
      </c>
      <c r="K597" s="426">
        <v>-0.65476832362965398</v>
      </c>
      <c r="L597" s="426">
        <v>-0.65476832362965398</v>
      </c>
      <c r="M597" s="426">
        <v>-0.65476832362965398</v>
      </c>
      <c r="N597" s="426">
        <v>-0.65476832362965398</v>
      </c>
      <c r="O597" s="426">
        <v>-0.65476832362965398</v>
      </c>
      <c r="P597" s="426">
        <v>-0.65476832362965398</v>
      </c>
      <c r="Q597" s="426">
        <v>-0.65476832362965398</v>
      </c>
      <c r="R597" s="426">
        <v>-0.65476832362965398</v>
      </c>
      <c r="S597" s="426">
        <v>-0.65476832362965398</v>
      </c>
      <c r="T597" s="426">
        <v>-0.65476832362965398</v>
      </c>
      <c r="U597" s="706">
        <f t="shared" si="70"/>
        <v>-7.857219883555846</v>
      </c>
    </row>
    <row r="598" spans="1:22">
      <c r="F598" s="799" t="s">
        <v>1828</v>
      </c>
      <c r="G598" s="425" t="str">
        <f t="shared" si="65"/>
        <v/>
      </c>
      <c r="I598" s="426">
        <f>SUM(I582:I597)</f>
        <v>34067.461687356001</v>
      </c>
      <c r="J598" s="426">
        <f t="shared" ref="J598:T598" si="71">SUM(J582:J597)</f>
        <v>34084.45931055244</v>
      </c>
      <c r="K598" s="426">
        <f t="shared" si="71"/>
        <v>34154.073441962231</v>
      </c>
      <c r="L598" s="426">
        <f t="shared" si="71"/>
        <v>34262.979737380389</v>
      </c>
      <c r="M598" s="426">
        <f t="shared" si="71"/>
        <v>34355.054119533997</v>
      </c>
      <c r="N598" s="426">
        <f t="shared" si="71"/>
        <v>34691.767962800885</v>
      </c>
      <c r="O598" s="426">
        <f t="shared" si="71"/>
        <v>34983.854798882086</v>
      </c>
      <c r="P598" s="426">
        <f t="shared" si="71"/>
        <v>34965.903457295382</v>
      </c>
      <c r="Q598" s="426">
        <f t="shared" si="71"/>
        <v>34981.953268270881</v>
      </c>
      <c r="R598" s="426">
        <f t="shared" si="71"/>
        <v>35044.739477413692</v>
      </c>
      <c r="S598" s="426">
        <f t="shared" si="71"/>
        <v>35101.983969117624</v>
      </c>
      <c r="T598" s="426">
        <f t="shared" si="71"/>
        <v>35175.434130580019</v>
      </c>
      <c r="U598" s="706">
        <f t="shared" si="70"/>
        <v>415869.66536114563</v>
      </c>
    </row>
    <row r="599" spans="1:22">
      <c r="G599" s="425" t="str">
        <f t="shared" si="65"/>
        <v/>
      </c>
      <c r="I599" s="426">
        <v>34067.461687356095</v>
      </c>
      <c r="J599" s="426">
        <v>34084.459310552498</v>
      </c>
      <c r="K599" s="426">
        <v>34154.07344196229</v>
      </c>
      <c r="L599" s="426">
        <v>34262.979737380301</v>
      </c>
      <c r="M599" s="426">
        <v>34355.054119534099</v>
      </c>
      <c r="N599" s="426">
        <v>34691.767962800994</v>
      </c>
      <c r="O599" s="426">
        <v>34983.854798882203</v>
      </c>
      <c r="P599" s="426">
        <v>34965.903457295499</v>
      </c>
      <c r="Q599" s="426">
        <v>34981.953268271005</v>
      </c>
      <c r="R599" s="426">
        <v>35044.739477413801</v>
      </c>
      <c r="S599" s="426">
        <v>35101.983969117697</v>
      </c>
      <c r="T599" s="426">
        <v>35175.434130580099</v>
      </c>
      <c r="U599" s="706">
        <f t="shared" si="70"/>
        <v>415869.66536114662</v>
      </c>
      <c r="V599" s="427" t="s">
        <v>2677</v>
      </c>
    </row>
    <row r="600" spans="1:22">
      <c r="G600" s="425" t="str">
        <f t="shared" si="65"/>
        <v/>
      </c>
      <c r="I600" s="802">
        <f>I598-I599</f>
        <v>-9.4587448984384537E-11</v>
      </c>
      <c r="J600" s="706">
        <f t="shared" ref="J600:T600" si="72">J598-J599</f>
        <v>-5.8207660913467407E-11</v>
      </c>
      <c r="K600" s="706">
        <f t="shared" si="72"/>
        <v>-5.8207660913467407E-11</v>
      </c>
      <c r="L600" s="706">
        <f t="shared" si="72"/>
        <v>8.7311491370201111E-11</v>
      </c>
      <c r="M600" s="706">
        <f t="shared" si="72"/>
        <v>-1.0186340659856796E-10</v>
      </c>
      <c r="N600" s="706">
        <f t="shared" si="72"/>
        <v>-1.0913936421275139E-10</v>
      </c>
      <c r="O600" s="706">
        <f t="shared" si="72"/>
        <v>-1.1641532182693481E-10</v>
      </c>
      <c r="P600" s="706">
        <f t="shared" si="72"/>
        <v>-1.1641532182693481E-10</v>
      </c>
      <c r="Q600" s="706">
        <f t="shared" si="72"/>
        <v>-1.2369127944111824E-10</v>
      </c>
      <c r="R600" s="706">
        <f t="shared" si="72"/>
        <v>-1.0913936421275139E-10</v>
      </c>
      <c r="S600" s="706">
        <f t="shared" si="72"/>
        <v>-7.2759576141834259E-11</v>
      </c>
      <c r="T600" s="706">
        <f t="shared" si="72"/>
        <v>-8.0035533756017685E-11</v>
      </c>
      <c r="U600" s="706">
        <f t="shared" si="70"/>
        <v>-9.5315044745802879E-10</v>
      </c>
      <c r="V600" s="427" t="s">
        <v>2678</v>
      </c>
    </row>
    <row r="601" spans="1:22">
      <c r="G601" s="425" t="str">
        <f t="shared" si="65"/>
        <v/>
      </c>
      <c r="V601" s="426">
        <f t="shared" ref="V601:V650" si="73">SUM(H601:T601)/13</f>
        <v>0</v>
      </c>
    </row>
    <row r="602" spans="1:22">
      <c r="G602" s="425" t="str">
        <f t="shared" si="65"/>
        <v/>
      </c>
      <c r="V602" s="426">
        <f t="shared" si="73"/>
        <v>0</v>
      </c>
    </row>
    <row r="603" spans="1:22">
      <c r="G603" s="425" t="str">
        <f t="shared" si="65"/>
        <v/>
      </c>
      <c r="V603" s="426">
        <f t="shared" si="73"/>
        <v>0</v>
      </c>
    </row>
    <row r="604" spans="1:22">
      <c r="F604" s="800" t="s">
        <v>2419</v>
      </c>
      <c r="G604" s="425" t="str">
        <f t="shared" si="65"/>
        <v/>
      </c>
      <c r="V604" s="426">
        <f t="shared" si="73"/>
        <v>0</v>
      </c>
    </row>
    <row r="605" spans="1:22">
      <c r="A605" s="426" t="str">
        <f t="shared" si="61"/>
        <v>KU</v>
      </c>
      <c r="B605" s="426" t="str">
        <f t="shared" si="63"/>
        <v>KY</v>
      </c>
      <c r="C605" s="426" t="str">
        <f t="shared" si="64"/>
        <v>E</v>
      </c>
      <c r="D605" s="426" t="s">
        <v>2671</v>
      </c>
      <c r="E605" s="426" t="str">
        <f t="shared" si="67"/>
        <v>311</v>
      </c>
      <c r="F605" s="741" t="s">
        <v>1727</v>
      </c>
      <c r="G605" s="425" t="str">
        <f t="shared" si="65"/>
        <v/>
      </c>
      <c r="H605" s="426">
        <v>878.86397999999997</v>
      </c>
      <c r="I605" s="426">
        <v>878.86397999999997</v>
      </c>
      <c r="J605" s="426">
        <v>878.86397999999997</v>
      </c>
      <c r="K605" s="426">
        <v>878.86397999999997</v>
      </c>
      <c r="L605" s="426">
        <v>878.86397999999997</v>
      </c>
      <c r="M605" s="426">
        <v>878.86397999999997</v>
      </c>
      <c r="N605" s="426">
        <v>878.86397999999997</v>
      </c>
      <c r="O605" s="426">
        <v>878.86397999999997</v>
      </c>
      <c r="P605" s="426">
        <v>878.86397999999997</v>
      </c>
      <c r="Q605" s="426">
        <v>878.86397999999997</v>
      </c>
      <c r="R605" s="426">
        <v>878.86397999999997</v>
      </c>
      <c r="S605" s="426">
        <v>878.86397999999997</v>
      </c>
      <c r="T605" s="426">
        <v>878.86397999999997</v>
      </c>
      <c r="U605" s="426">
        <f t="shared" ref="U605:U627" si="74">SUM(I605:T605)</f>
        <v>10546.367759999999</v>
      </c>
      <c r="V605" s="426">
        <f t="shared" si="73"/>
        <v>878.86397999999997</v>
      </c>
    </row>
    <row r="606" spans="1:22">
      <c r="A606" s="426" t="str">
        <f t="shared" si="61"/>
        <v>KU</v>
      </c>
      <c r="B606" s="426" t="str">
        <f t="shared" si="63"/>
        <v>KY</v>
      </c>
      <c r="C606" s="426" t="str">
        <f t="shared" si="64"/>
        <v>E</v>
      </c>
      <c r="D606" s="426" t="s">
        <v>2671</v>
      </c>
      <c r="E606" s="426" t="str">
        <f t="shared" si="67"/>
        <v>312</v>
      </c>
      <c r="F606" s="741" t="s">
        <v>1728</v>
      </c>
      <c r="G606" s="425" t="str">
        <f t="shared" si="65"/>
        <v/>
      </c>
      <c r="H606" s="426">
        <v>4656.2688699999999</v>
      </c>
      <c r="I606" s="426">
        <v>4656.2688699999999</v>
      </c>
      <c r="J606" s="426">
        <v>4656.2688699999999</v>
      </c>
      <c r="K606" s="426">
        <v>4656.2688699999999</v>
      </c>
      <c r="L606" s="426">
        <v>4656.2688699999999</v>
      </c>
      <c r="M606" s="426">
        <v>4656.2688699999999</v>
      </c>
      <c r="N606" s="426">
        <v>4656.2688699999999</v>
      </c>
      <c r="O606" s="426">
        <v>4656.2688699999999</v>
      </c>
      <c r="P606" s="426">
        <v>4656.2688699999999</v>
      </c>
      <c r="Q606" s="426">
        <v>4656.2688699999999</v>
      </c>
      <c r="R606" s="426">
        <v>4656.2688699999999</v>
      </c>
      <c r="S606" s="426">
        <v>4656.2688699999999</v>
      </c>
      <c r="T606" s="426">
        <v>4656.2688699999999</v>
      </c>
      <c r="U606" s="426">
        <f t="shared" si="74"/>
        <v>55875.226439999999</v>
      </c>
      <c r="V606" s="426">
        <f t="shared" si="73"/>
        <v>4656.2688699999999</v>
      </c>
    </row>
    <row r="607" spans="1:22">
      <c r="A607" s="426" t="str">
        <f t="shared" si="61"/>
        <v>KU</v>
      </c>
      <c r="B607" s="426" t="str">
        <f t="shared" si="63"/>
        <v>KY</v>
      </c>
      <c r="C607" s="426" t="str">
        <f t="shared" si="64"/>
        <v>E</v>
      </c>
      <c r="D607" s="426" t="s">
        <v>2671</v>
      </c>
      <c r="E607" s="426" t="str">
        <f t="shared" si="67"/>
        <v>314</v>
      </c>
      <c r="F607" s="741" t="s">
        <v>1732</v>
      </c>
      <c r="G607" s="425" t="str">
        <f t="shared" si="65"/>
        <v/>
      </c>
      <c r="H607" s="426">
        <v>1280.6532299999999</v>
      </c>
      <c r="I607" s="426">
        <v>1280.6532299999999</v>
      </c>
      <c r="J607" s="426">
        <v>1280.6532299999999</v>
      </c>
      <c r="K607" s="426">
        <v>1280.6532299999999</v>
      </c>
      <c r="L607" s="426">
        <v>1280.6532299999999</v>
      </c>
      <c r="M607" s="426">
        <v>1280.6532299999999</v>
      </c>
      <c r="N607" s="426">
        <v>1280.6532299999999</v>
      </c>
      <c r="O607" s="426">
        <v>1280.6532299999999</v>
      </c>
      <c r="P607" s="426">
        <v>1280.6532299999999</v>
      </c>
      <c r="Q607" s="426">
        <v>1280.6532299999999</v>
      </c>
      <c r="R607" s="426">
        <v>1280.6532299999999</v>
      </c>
      <c r="S607" s="426">
        <v>1280.6532299999999</v>
      </c>
      <c r="T607" s="426">
        <v>1280.6532299999999</v>
      </c>
      <c r="U607" s="426">
        <f t="shared" si="74"/>
        <v>15367.838759999999</v>
      </c>
      <c r="V607" s="426">
        <f t="shared" si="73"/>
        <v>1280.6532299999999</v>
      </c>
    </row>
    <row r="608" spans="1:22">
      <c r="A608" s="426" t="str">
        <f t="shared" si="61"/>
        <v>KU</v>
      </c>
      <c r="B608" s="426" t="str">
        <f t="shared" si="63"/>
        <v>KY</v>
      </c>
      <c r="C608" s="426" t="str">
        <f t="shared" si="64"/>
        <v>E</v>
      </c>
      <c r="D608" s="426" t="s">
        <v>2671</v>
      </c>
      <c r="E608" s="426" t="str">
        <f t="shared" si="67"/>
        <v>315</v>
      </c>
      <c r="F608" s="741" t="s">
        <v>1733</v>
      </c>
      <c r="G608" s="425" t="str">
        <f t="shared" si="65"/>
        <v/>
      </c>
      <c r="H608" s="426">
        <v>871.70249000000001</v>
      </c>
      <c r="I608" s="426">
        <v>871.70249000000001</v>
      </c>
      <c r="J608" s="426">
        <v>871.70249000000001</v>
      </c>
      <c r="K608" s="426">
        <v>871.70249000000001</v>
      </c>
      <c r="L608" s="426">
        <v>871.70249000000001</v>
      </c>
      <c r="M608" s="426">
        <v>871.70249000000001</v>
      </c>
      <c r="N608" s="426">
        <v>871.70249000000001</v>
      </c>
      <c r="O608" s="426">
        <v>871.70249000000001</v>
      </c>
      <c r="P608" s="426">
        <v>871.70249000000001</v>
      </c>
      <c r="Q608" s="426">
        <v>871.70249000000001</v>
      </c>
      <c r="R608" s="426">
        <v>871.70249000000001</v>
      </c>
      <c r="S608" s="426">
        <v>871.70249000000001</v>
      </c>
      <c r="T608" s="426">
        <v>871.70249000000001</v>
      </c>
      <c r="U608" s="426">
        <f t="shared" si="74"/>
        <v>10460.429879999998</v>
      </c>
      <c r="V608" s="426">
        <f t="shared" si="73"/>
        <v>871.70248999999978</v>
      </c>
    </row>
    <row r="609" spans="1:22">
      <c r="A609" s="426" t="str">
        <f t="shared" si="61"/>
        <v>KU</v>
      </c>
      <c r="B609" s="426" t="str">
        <f t="shared" si="63"/>
        <v>KY</v>
      </c>
      <c r="C609" s="426" t="str">
        <f t="shared" si="64"/>
        <v>E</v>
      </c>
      <c r="D609" s="426" t="s">
        <v>2671</v>
      </c>
      <c r="E609" s="426" t="str">
        <f t="shared" si="67"/>
        <v>316</v>
      </c>
      <c r="F609" s="741" t="s">
        <v>1735</v>
      </c>
      <c r="G609" s="425" t="str">
        <f t="shared" si="65"/>
        <v/>
      </c>
      <c r="H609" s="426">
        <v>81.631050000000002</v>
      </c>
      <c r="I609" s="426">
        <v>81.631050000000002</v>
      </c>
      <c r="J609" s="426">
        <v>81.631050000000002</v>
      </c>
      <c r="K609" s="426">
        <v>81.631050000000002</v>
      </c>
      <c r="L609" s="426">
        <v>81.631050000000002</v>
      </c>
      <c r="M609" s="426">
        <v>81.631050000000002</v>
      </c>
      <c r="N609" s="426">
        <v>81.631050000000002</v>
      </c>
      <c r="O609" s="426">
        <v>81.631050000000002</v>
      </c>
      <c r="P609" s="426">
        <v>81.631050000000002</v>
      </c>
      <c r="Q609" s="426">
        <v>81.631050000000002</v>
      </c>
      <c r="R609" s="426">
        <v>81.631050000000002</v>
      </c>
      <c r="S609" s="426">
        <v>81.631050000000002</v>
      </c>
      <c r="T609" s="426">
        <v>81.631050000000002</v>
      </c>
      <c r="U609" s="426">
        <f t="shared" si="74"/>
        <v>979.57259999999985</v>
      </c>
      <c r="V609" s="426">
        <f t="shared" si="73"/>
        <v>81.631049999999988</v>
      </c>
    </row>
    <row r="610" spans="1:22">
      <c r="A610" s="426" t="str">
        <f t="shared" si="61"/>
        <v>KU</v>
      </c>
      <c r="B610" s="426" t="str">
        <f t="shared" si="63"/>
        <v>KY</v>
      </c>
      <c r="C610" s="426" t="str">
        <f t="shared" si="64"/>
        <v>E</v>
      </c>
      <c r="D610" s="426" t="s">
        <v>2671</v>
      </c>
      <c r="E610" s="426" t="str">
        <f t="shared" si="67"/>
        <v>335</v>
      </c>
      <c r="F610" s="741" t="s">
        <v>1742</v>
      </c>
      <c r="G610" s="425" t="str">
        <f t="shared" si="65"/>
        <v/>
      </c>
      <c r="H610" s="426">
        <v>0.38935999999999998</v>
      </c>
      <c r="I610" s="426">
        <v>0.38935999999999998</v>
      </c>
      <c r="J610" s="426">
        <v>0.38935999999999998</v>
      </c>
      <c r="K610" s="426">
        <v>0.38935999999999998</v>
      </c>
      <c r="L610" s="426">
        <v>0.38935999999999998</v>
      </c>
      <c r="M610" s="426">
        <v>0.38935999999999998</v>
      </c>
      <c r="N610" s="426">
        <v>0.38935999999999998</v>
      </c>
      <c r="O610" s="426">
        <v>0.38935999999999998</v>
      </c>
      <c r="P610" s="426">
        <v>0.38935999999999998</v>
      </c>
      <c r="Q610" s="426">
        <v>0.38935999999999998</v>
      </c>
      <c r="R610" s="426">
        <v>0.38935999999999998</v>
      </c>
      <c r="S610" s="426">
        <v>0.38935999999999998</v>
      </c>
      <c r="T610" s="426">
        <v>0.38935999999999998</v>
      </c>
      <c r="U610" s="426">
        <f t="shared" si="74"/>
        <v>4.67232</v>
      </c>
      <c r="V610" s="426">
        <f t="shared" si="73"/>
        <v>0.38935999999999998</v>
      </c>
    </row>
    <row r="611" spans="1:22">
      <c r="A611" s="426" t="str">
        <f t="shared" si="61"/>
        <v>KU</v>
      </c>
      <c r="B611" s="426" t="str">
        <f t="shared" si="63"/>
        <v>KY</v>
      </c>
      <c r="C611" s="426" t="str">
        <f t="shared" si="64"/>
        <v>E</v>
      </c>
      <c r="D611" s="426" t="s">
        <v>2671</v>
      </c>
      <c r="E611" s="426" t="str">
        <f t="shared" si="67"/>
        <v>341</v>
      </c>
      <c r="F611" s="741" t="s">
        <v>1746</v>
      </c>
      <c r="G611" s="425" t="str">
        <f t="shared" si="65"/>
        <v/>
      </c>
      <c r="H611" s="426">
        <v>8.9120000000000005E-2</v>
      </c>
      <c r="I611" s="426">
        <v>8.9120000000000005E-2</v>
      </c>
      <c r="J611" s="426">
        <v>8.9120000000000005E-2</v>
      </c>
      <c r="K611" s="426">
        <v>8.9120000000000005E-2</v>
      </c>
      <c r="L611" s="426">
        <v>8.9120000000000005E-2</v>
      </c>
      <c r="M611" s="426">
        <v>8.9120000000000005E-2</v>
      </c>
      <c r="N611" s="426">
        <v>8.9120000000000005E-2</v>
      </c>
      <c r="O611" s="426">
        <v>8.9120000000000005E-2</v>
      </c>
      <c r="P611" s="426">
        <v>8.9120000000000005E-2</v>
      </c>
      <c r="Q611" s="426">
        <v>8.9120000000000005E-2</v>
      </c>
      <c r="R611" s="426">
        <v>8.9120000000000005E-2</v>
      </c>
      <c r="S611" s="426">
        <v>8.9120000000000005E-2</v>
      </c>
      <c r="T611" s="426">
        <v>8.9120000000000005E-2</v>
      </c>
      <c r="U611" s="426">
        <f t="shared" si="74"/>
        <v>1.0694399999999999</v>
      </c>
      <c r="V611" s="426">
        <f t="shared" si="73"/>
        <v>8.9120000000000005E-2</v>
      </c>
    </row>
    <row r="612" spans="1:22">
      <c r="A612" s="426" t="str">
        <f t="shared" si="61"/>
        <v>KU</v>
      </c>
      <c r="B612" s="426" t="str">
        <f t="shared" si="63"/>
        <v>KY</v>
      </c>
      <c r="C612" s="426" t="str">
        <f t="shared" si="64"/>
        <v>E</v>
      </c>
      <c r="D612" s="426" t="s">
        <v>2671</v>
      </c>
      <c r="E612" s="426" t="str">
        <f t="shared" si="67"/>
        <v>342</v>
      </c>
      <c r="F612" s="741" t="s">
        <v>1747</v>
      </c>
      <c r="G612" s="425" t="str">
        <f t="shared" si="65"/>
        <v/>
      </c>
      <c r="H612" s="426">
        <v>1.541E-2</v>
      </c>
      <c r="I612" s="426">
        <v>1.541E-2</v>
      </c>
      <c r="J612" s="426">
        <v>1.541E-2</v>
      </c>
      <c r="K612" s="426">
        <v>1.541E-2</v>
      </c>
      <c r="L612" s="426">
        <v>1.541E-2</v>
      </c>
      <c r="M612" s="426">
        <v>1.541E-2</v>
      </c>
      <c r="N612" s="426">
        <v>1.541E-2</v>
      </c>
      <c r="O612" s="426">
        <v>1.541E-2</v>
      </c>
      <c r="P612" s="426">
        <v>1.541E-2</v>
      </c>
      <c r="Q612" s="426">
        <v>1.541E-2</v>
      </c>
      <c r="R612" s="426">
        <v>1.541E-2</v>
      </c>
      <c r="S612" s="426">
        <v>1.541E-2</v>
      </c>
      <c r="T612" s="426">
        <v>1.541E-2</v>
      </c>
      <c r="U612" s="426">
        <f t="shared" si="74"/>
        <v>0.18492000000000006</v>
      </c>
      <c r="V612" s="426">
        <f t="shared" si="73"/>
        <v>1.5410000000000005E-2</v>
      </c>
    </row>
    <row r="613" spans="1:22">
      <c r="A613" s="426" t="str">
        <f t="shared" si="61"/>
        <v>KU</v>
      </c>
      <c r="B613" s="426" t="str">
        <f t="shared" si="63"/>
        <v>KY</v>
      </c>
      <c r="C613" s="426" t="str">
        <f t="shared" si="64"/>
        <v>E</v>
      </c>
      <c r="D613" s="426" t="s">
        <v>2671</v>
      </c>
      <c r="E613" s="426" t="str">
        <f t="shared" si="67"/>
        <v>343</v>
      </c>
      <c r="F613" s="741" t="s">
        <v>1748</v>
      </c>
      <c r="G613" s="425" t="str">
        <f t="shared" si="65"/>
        <v/>
      </c>
      <c r="H613" s="426">
        <v>0.54883999999999999</v>
      </c>
      <c r="I613" s="426">
        <v>0.54883999999999999</v>
      </c>
      <c r="J613" s="426">
        <v>0.54883999999999999</v>
      </c>
      <c r="K613" s="426">
        <v>0.54883999999999999</v>
      </c>
      <c r="L613" s="426">
        <v>0.54883999999999999</v>
      </c>
      <c r="M613" s="426">
        <v>0.54883999999999999</v>
      </c>
      <c r="N613" s="426">
        <v>0.54883999999999999</v>
      </c>
      <c r="O613" s="426">
        <v>0.54883999999999999</v>
      </c>
      <c r="P613" s="426">
        <v>0.54883999999999999</v>
      </c>
      <c r="Q613" s="426">
        <v>0.54883999999999999</v>
      </c>
      <c r="R613" s="426">
        <v>0.54883999999999999</v>
      </c>
      <c r="S613" s="426">
        <v>0.54883999999999999</v>
      </c>
      <c r="T613" s="426">
        <v>0.54883999999999999</v>
      </c>
      <c r="U613" s="426">
        <f t="shared" si="74"/>
        <v>6.5860800000000017</v>
      </c>
      <c r="V613" s="426">
        <f t="shared" si="73"/>
        <v>0.54884000000000011</v>
      </c>
    </row>
    <row r="614" spans="1:22">
      <c r="A614" s="426" t="str">
        <f t="shared" si="61"/>
        <v>KU</v>
      </c>
      <c r="B614" s="426" t="str">
        <f t="shared" si="63"/>
        <v>KY</v>
      </c>
      <c r="C614" s="426" t="str">
        <f t="shared" si="64"/>
        <v>E</v>
      </c>
      <c r="D614" s="426" t="s">
        <v>2671</v>
      </c>
      <c r="E614" s="426" t="str">
        <f t="shared" si="67"/>
        <v>344</v>
      </c>
      <c r="F614" s="741" t="s">
        <v>1749</v>
      </c>
      <c r="G614" s="425" t="str">
        <f t="shared" si="65"/>
        <v/>
      </c>
      <c r="H614" s="426">
        <v>0.13777</v>
      </c>
      <c r="I614" s="426">
        <v>0.13777</v>
      </c>
      <c r="J614" s="426">
        <v>0.13777</v>
      </c>
      <c r="K614" s="426">
        <v>0.13777</v>
      </c>
      <c r="L614" s="426">
        <v>0.13777</v>
      </c>
      <c r="M614" s="426">
        <v>0.13777</v>
      </c>
      <c r="N614" s="426">
        <v>0.13777</v>
      </c>
      <c r="O614" s="426">
        <v>0.13777</v>
      </c>
      <c r="P614" s="426">
        <v>0.13777</v>
      </c>
      <c r="Q614" s="426">
        <v>0.13777</v>
      </c>
      <c r="R614" s="426">
        <v>0.13777</v>
      </c>
      <c r="S614" s="426">
        <v>0.13777</v>
      </c>
      <c r="T614" s="426">
        <v>0.13777</v>
      </c>
      <c r="U614" s="426">
        <f t="shared" si="74"/>
        <v>1.6532399999999996</v>
      </c>
      <c r="V614" s="426">
        <f t="shared" si="73"/>
        <v>0.13776999999999998</v>
      </c>
    </row>
    <row r="615" spans="1:22">
      <c r="A615" s="426" t="str">
        <f t="shared" si="61"/>
        <v>KU</v>
      </c>
      <c r="B615" s="426" t="str">
        <f t="shared" si="63"/>
        <v>KY</v>
      </c>
      <c r="C615" s="426" t="str">
        <f t="shared" si="64"/>
        <v>E</v>
      </c>
      <c r="D615" s="426" t="s">
        <v>2671</v>
      </c>
      <c r="E615" s="426" t="str">
        <f t="shared" si="67"/>
        <v>345</v>
      </c>
      <c r="F615" s="741" t="s">
        <v>1750</v>
      </c>
      <c r="G615" s="425" t="str">
        <f t="shared" si="65"/>
        <v/>
      </c>
      <c r="H615" s="426">
        <v>0.11132</v>
      </c>
      <c r="I615" s="426">
        <v>0.11132</v>
      </c>
      <c r="J615" s="426">
        <v>0.11132</v>
      </c>
      <c r="K615" s="426">
        <v>0.11132</v>
      </c>
      <c r="L615" s="426">
        <v>0.11132</v>
      </c>
      <c r="M615" s="426">
        <v>0.11132</v>
      </c>
      <c r="N615" s="426">
        <v>0.11132</v>
      </c>
      <c r="O615" s="426">
        <v>0.11132</v>
      </c>
      <c r="P615" s="426">
        <v>0.11132</v>
      </c>
      <c r="Q615" s="426">
        <v>0.11132</v>
      </c>
      <c r="R615" s="426">
        <v>0.11132</v>
      </c>
      <c r="S615" s="426">
        <v>0.11132</v>
      </c>
      <c r="T615" s="426">
        <v>0.11132</v>
      </c>
      <c r="U615" s="426">
        <f t="shared" si="74"/>
        <v>1.3358400000000001</v>
      </c>
      <c r="V615" s="426">
        <f t="shared" si="73"/>
        <v>0.11132000000000002</v>
      </c>
    </row>
    <row r="616" spans="1:22">
      <c r="A616" s="426" t="str">
        <f t="shared" si="61"/>
        <v>KU</v>
      </c>
      <c r="B616" s="426" t="str">
        <f t="shared" si="63"/>
        <v>KY</v>
      </c>
      <c r="C616" s="426" t="str">
        <f t="shared" si="64"/>
        <v>E</v>
      </c>
      <c r="D616" s="426" t="s">
        <v>2671</v>
      </c>
      <c r="E616" s="426" t="str">
        <f t="shared" si="67"/>
        <v>346</v>
      </c>
      <c r="F616" s="741" t="s">
        <v>1751</v>
      </c>
      <c r="G616" s="425" t="str">
        <f t="shared" si="65"/>
        <v/>
      </c>
      <c r="H616" s="426">
        <v>1.1849999999999999E-2</v>
      </c>
      <c r="I616" s="426">
        <v>1.1849999999999999E-2</v>
      </c>
      <c r="J616" s="426">
        <v>1.1849999999999999E-2</v>
      </c>
      <c r="K616" s="426">
        <v>1.1849999999999999E-2</v>
      </c>
      <c r="L616" s="426">
        <v>1.1849999999999999E-2</v>
      </c>
      <c r="M616" s="426">
        <v>1.1849999999999999E-2</v>
      </c>
      <c r="N616" s="426">
        <v>1.1849999999999999E-2</v>
      </c>
      <c r="O616" s="426">
        <v>1.1849999999999999E-2</v>
      </c>
      <c r="P616" s="426">
        <v>1.1849999999999999E-2</v>
      </c>
      <c r="Q616" s="426">
        <v>1.1849999999999999E-2</v>
      </c>
      <c r="R616" s="426">
        <v>1.1849999999999999E-2</v>
      </c>
      <c r="S616" s="426">
        <v>1.1849999999999999E-2</v>
      </c>
      <c r="T616" s="426">
        <v>1.1849999999999999E-2</v>
      </c>
      <c r="U616" s="426">
        <f t="shared" si="74"/>
        <v>0.14219999999999999</v>
      </c>
      <c r="V616" s="426">
        <f t="shared" si="73"/>
        <v>1.1849999999999999E-2</v>
      </c>
    </row>
    <row r="617" spans="1:22">
      <c r="A617" s="426" t="str">
        <f t="shared" si="61"/>
        <v>KU</v>
      </c>
      <c r="B617" s="426" t="str">
        <f t="shared" si="63"/>
        <v>KY</v>
      </c>
      <c r="C617" s="426" t="str">
        <f t="shared" si="64"/>
        <v>E</v>
      </c>
      <c r="D617" s="426" t="s">
        <v>2671</v>
      </c>
      <c r="E617" s="426" t="str">
        <f t="shared" si="67"/>
        <v>350</v>
      </c>
      <c r="F617" s="741" t="s">
        <v>1752</v>
      </c>
      <c r="G617" s="425" t="str">
        <f t="shared" si="65"/>
        <v/>
      </c>
      <c r="H617" s="426">
        <v>36.40598</v>
      </c>
      <c r="I617" s="426">
        <v>36.40598</v>
      </c>
      <c r="J617" s="426">
        <v>36.40598</v>
      </c>
      <c r="K617" s="426">
        <v>36.40598</v>
      </c>
      <c r="L617" s="426">
        <v>36.40598</v>
      </c>
      <c r="M617" s="426">
        <v>36.40598</v>
      </c>
      <c r="N617" s="426">
        <v>36.40598</v>
      </c>
      <c r="O617" s="426">
        <v>36.40598</v>
      </c>
      <c r="P617" s="426">
        <v>36.40598</v>
      </c>
      <c r="Q617" s="426">
        <v>36.40598</v>
      </c>
      <c r="R617" s="426">
        <v>36.40598</v>
      </c>
      <c r="S617" s="426">
        <v>36.40598</v>
      </c>
      <c r="T617" s="426">
        <v>36.40598</v>
      </c>
      <c r="U617" s="426">
        <f t="shared" si="74"/>
        <v>436.87175999999999</v>
      </c>
      <c r="V617" s="426">
        <f t="shared" si="73"/>
        <v>36.40598</v>
      </c>
    </row>
    <row r="618" spans="1:22">
      <c r="A618" s="426" t="str">
        <f t="shared" si="61"/>
        <v>KU</v>
      </c>
      <c r="B618" s="426" t="str">
        <f t="shared" si="63"/>
        <v>KY</v>
      </c>
      <c r="C618" s="426" t="str">
        <f t="shared" si="64"/>
        <v>E</v>
      </c>
      <c r="D618" s="426" t="s">
        <v>2671</v>
      </c>
      <c r="E618" s="426" t="str">
        <f t="shared" si="67"/>
        <v>352</v>
      </c>
      <c r="F618" s="741" t="s">
        <v>1756</v>
      </c>
      <c r="G618" s="425" t="str">
        <f t="shared" si="65"/>
        <v/>
      </c>
      <c r="H618" s="426">
        <v>34.484699999999997</v>
      </c>
      <c r="I618" s="426">
        <v>34.484699999999997</v>
      </c>
      <c r="J618" s="426">
        <v>34.484699999999997</v>
      </c>
      <c r="K618" s="426">
        <v>34.484699999999997</v>
      </c>
      <c r="L618" s="426">
        <v>34.484699999999997</v>
      </c>
      <c r="M618" s="426">
        <v>34.484699999999997</v>
      </c>
      <c r="N618" s="426">
        <v>34.484699999999997</v>
      </c>
      <c r="O618" s="426">
        <v>34.484699999999997</v>
      </c>
      <c r="P618" s="426">
        <v>34.484699999999997</v>
      </c>
      <c r="Q618" s="426">
        <v>34.484699999999997</v>
      </c>
      <c r="R618" s="426">
        <v>34.484699999999997</v>
      </c>
      <c r="S618" s="426">
        <v>34.484699999999997</v>
      </c>
      <c r="T618" s="706">
        <v>34.484699999999997</v>
      </c>
      <c r="U618" s="426">
        <f t="shared" si="74"/>
        <v>413.81639999999987</v>
      </c>
      <c r="V618" s="426">
        <f t="shared" si="73"/>
        <v>34.484699999999989</v>
      </c>
    </row>
    <row r="619" spans="1:22">
      <c r="A619" s="426" t="str">
        <f t="shared" si="61"/>
        <v>KU</v>
      </c>
      <c r="B619" s="426" t="str">
        <f t="shared" si="63"/>
        <v>KY</v>
      </c>
      <c r="C619" s="426" t="str">
        <f t="shared" si="64"/>
        <v>E</v>
      </c>
      <c r="D619" s="426" t="s">
        <v>2671</v>
      </c>
      <c r="E619" s="426" t="str">
        <f t="shared" si="67"/>
        <v>353</v>
      </c>
      <c r="F619" s="741" t="s">
        <v>1758</v>
      </c>
      <c r="G619" s="425" t="str">
        <f t="shared" si="65"/>
        <v/>
      </c>
      <c r="H619" s="426">
        <v>241.65744000000001</v>
      </c>
      <c r="I619" s="426">
        <v>241.65744000000001</v>
      </c>
      <c r="J619" s="426">
        <v>241.65744000000001</v>
      </c>
      <c r="K619" s="426">
        <v>241.65744000000001</v>
      </c>
      <c r="L619" s="426">
        <v>241.65744000000001</v>
      </c>
      <c r="M619" s="426">
        <v>241.65744000000001</v>
      </c>
      <c r="N619" s="426">
        <v>241.65744000000001</v>
      </c>
      <c r="O619" s="426">
        <v>241.65744000000001</v>
      </c>
      <c r="P619" s="426">
        <v>241.65744000000001</v>
      </c>
      <c r="Q619" s="426">
        <v>241.65744000000001</v>
      </c>
      <c r="R619" s="426">
        <v>241.65744000000001</v>
      </c>
      <c r="S619" s="426">
        <v>241.65744000000001</v>
      </c>
      <c r="T619" s="426">
        <v>241.65744000000001</v>
      </c>
      <c r="U619" s="426">
        <f t="shared" si="74"/>
        <v>2899.8892799999999</v>
      </c>
      <c r="V619" s="426">
        <f t="shared" si="73"/>
        <v>241.65743999999998</v>
      </c>
    </row>
    <row r="620" spans="1:22">
      <c r="A620" s="426" t="str">
        <f t="shared" si="61"/>
        <v>KU</v>
      </c>
      <c r="B620" s="426" t="str">
        <f t="shared" si="63"/>
        <v>KY</v>
      </c>
      <c r="C620" s="426" t="str">
        <f t="shared" si="64"/>
        <v>E</v>
      </c>
      <c r="D620" s="426" t="s">
        <v>2671</v>
      </c>
      <c r="E620" s="426" t="str">
        <f t="shared" si="67"/>
        <v>354</v>
      </c>
      <c r="F620" s="741" t="s">
        <v>1761</v>
      </c>
      <c r="G620" s="425" t="str">
        <f t="shared" si="65"/>
        <v/>
      </c>
      <c r="H620" s="426">
        <v>399.83364</v>
      </c>
      <c r="I620" s="426">
        <v>399.83364</v>
      </c>
      <c r="J620" s="426">
        <v>399.83364</v>
      </c>
      <c r="K620" s="426">
        <v>399.83364</v>
      </c>
      <c r="L620" s="426">
        <v>399.83364</v>
      </c>
      <c r="M620" s="426">
        <v>399.83364</v>
      </c>
      <c r="N620" s="426">
        <v>399.83364</v>
      </c>
      <c r="O620" s="426">
        <v>399.83364</v>
      </c>
      <c r="P620" s="426">
        <v>399.83364</v>
      </c>
      <c r="Q620" s="426">
        <v>399.83364</v>
      </c>
      <c r="R620" s="426">
        <v>399.83364</v>
      </c>
      <c r="S620" s="426">
        <v>399.83364</v>
      </c>
      <c r="T620" s="426">
        <v>399.83364</v>
      </c>
      <c r="U620" s="426">
        <f t="shared" si="74"/>
        <v>4798.0036799999989</v>
      </c>
      <c r="V620" s="426">
        <f t="shared" si="73"/>
        <v>399.83363999999989</v>
      </c>
    </row>
    <row r="621" spans="1:22">
      <c r="A621" s="426" t="str">
        <f t="shared" si="61"/>
        <v>KU</v>
      </c>
      <c r="B621" s="426" t="str">
        <f t="shared" si="63"/>
        <v>KY</v>
      </c>
      <c r="C621" s="426" t="str">
        <f t="shared" si="64"/>
        <v>E</v>
      </c>
      <c r="D621" s="426" t="s">
        <v>2671</v>
      </c>
      <c r="E621" s="426" t="str">
        <f t="shared" si="67"/>
        <v>355</v>
      </c>
      <c r="F621" s="741" t="s">
        <v>1763</v>
      </c>
      <c r="G621" s="425" t="str">
        <f t="shared" si="65"/>
        <v/>
      </c>
      <c r="H621" s="426">
        <v>107.15402</v>
      </c>
      <c r="I621" s="426">
        <v>107.15402</v>
      </c>
      <c r="J621" s="426">
        <v>107.15402</v>
      </c>
      <c r="K621" s="426">
        <v>107.15402</v>
      </c>
      <c r="L621" s="426">
        <v>107.15402</v>
      </c>
      <c r="M621" s="426">
        <v>107.15402</v>
      </c>
      <c r="N621" s="426">
        <v>107.15402</v>
      </c>
      <c r="O621" s="426">
        <v>107.15402</v>
      </c>
      <c r="P621" s="426">
        <v>107.15402</v>
      </c>
      <c r="Q621" s="426">
        <v>107.15402</v>
      </c>
      <c r="R621" s="426">
        <v>107.15402</v>
      </c>
      <c r="S621" s="426">
        <v>107.15402</v>
      </c>
      <c r="T621" s="426">
        <v>107.15402</v>
      </c>
      <c r="U621" s="426">
        <f t="shared" si="74"/>
        <v>1285.8482399999996</v>
      </c>
      <c r="V621" s="426">
        <f t="shared" si="73"/>
        <v>107.15401999999996</v>
      </c>
    </row>
    <row r="622" spans="1:22">
      <c r="A622" s="426" t="str">
        <f t="shared" si="61"/>
        <v>KU</v>
      </c>
      <c r="B622" s="426" t="str">
        <f t="shared" si="63"/>
        <v>KY</v>
      </c>
      <c r="C622" s="426" t="str">
        <f t="shared" si="64"/>
        <v>E</v>
      </c>
      <c r="D622" s="426" t="s">
        <v>2671</v>
      </c>
      <c r="E622" s="426" t="str">
        <f t="shared" si="67"/>
        <v>356</v>
      </c>
      <c r="F622" s="741" t="s">
        <v>1766</v>
      </c>
      <c r="G622" s="425" t="str">
        <f t="shared" si="65"/>
        <v/>
      </c>
      <c r="H622" s="426">
        <v>496.48899</v>
      </c>
      <c r="I622" s="426">
        <v>496.48899</v>
      </c>
      <c r="J622" s="426">
        <v>496.48899</v>
      </c>
      <c r="K622" s="426">
        <v>496.48899</v>
      </c>
      <c r="L622" s="426">
        <v>496.48899</v>
      </c>
      <c r="M622" s="426">
        <v>496.48899</v>
      </c>
      <c r="N622" s="426">
        <v>496.48899</v>
      </c>
      <c r="O622" s="426">
        <v>496.48899</v>
      </c>
      <c r="P622" s="426">
        <v>496.48899</v>
      </c>
      <c r="Q622" s="426">
        <v>496.48899</v>
      </c>
      <c r="R622" s="426">
        <v>496.48899</v>
      </c>
      <c r="S622" s="426">
        <v>496.48899</v>
      </c>
      <c r="T622" s="426">
        <v>496.48899</v>
      </c>
      <c r="U622" s="426">
        <f t="shared" si="74"/>
        <v>5957.8678799999989</v>
      </c>
      <c r="V622" s="426">
        <f t="shared" si="73"/>
        <v>496.48898999999989</v>
      </c>
    </row>
    <row r="623" spans="1:22">
      <c r="A623" s="426" t="str">
        <f t="shared" si="61"/>
        <v>KU</v>
      </c>
      <c r="B623" s="426" t="str">
        <f t="shared" si="63"/>
        <v>KY</v>
      </c>
      <c r="C623" s="426" t="str">
        <f t="shared" si="64"/>
        <v>E</v>
      </c>
      <c r="D623" s="426" t="s">
        <v>2671</v>
      </c>
      <c r="E623" s="426" t="str">
        <f t="shared" si="67"/>
        <v>357</v>
      </c>
      <c r="F623" s="741" t="s">
        <v>1769</v>
      </c>
      <c r="G623" s="425" t="str">
        <f t="shared" si="65"/>
        <v/>
      </c>
      <c r="H623" s="426">
        <v>0.13058</v>
      </c>
      <c r="I623" s="426">
        <v>0.13058</v>
      </c>
      <c r="J623" s="426">
        <v>0.13058</v>
      </c>
      <c r="K623" s="426">
        <v>0.13058</v>
      </c>
      <c r="L623" s="426">
        <v>0.13058</v>
      </c>
      <c r="M623" s="426">
        <v>0.13058</v>
      </c>
      <c r="N623" s="426">
        <v>0.13058</v>
      </c>
      <c r="O623" s="426">
        <v>0.13058</v>
      </c>
      <c r="P623" s="426">
        <v>0.13058</v>
      </c>
      <c r="Q623" s="426">
        <v>0.13058</v>
      </c>
      <c r="R623" s="426">
        <v>0.13058</v>
      </c>
      <c r="S623" s="426">
        <v>0.13058</v>
      </c>
      <c r="T623" s="426">
        <v>0.13058</v>
      </c>
      <c r="U623" s="426">
        <f t="shared" si="74"/>
        <v>1.5669599999999997</v>
      </c>
      <c r="V623" s="426">
        <f t="shared" si="73"/>
        <v>0.13057999999999997</v>
      </c>
    </row>
    <row r="624" spans="1:22">
      <c r="A624" s="426" t="str">
        <f t="shared" si="61"/>
        <v>KU</v>
      </c>
      <c r="B624" s="426" t="str">
        <f t="shared" si="63"/>
        <v>KY</v>
      </c>
      <c r="C624" s="426" t="str">
        <f t="shared" si="64"/>
        <v>E</v>
      </c>
      <c r="D624" s="426" t="s">
        <v>2671</v>
      </c>
      <c r="E624" s="426" t="str">
        <f t="shared" si="67"/>
        <v>358</v>
      </c>
      <c r="F624" s="741" t="s">
        <v>1770</v>
      </c>
      <c r="G624" s="425" t="str">
        <f t="shared" si="65"/>
        <v/>
      </c>
      <c r="H624" s="426">
        <v>1.0498700000000001</v>
      </c>
      <c r="I624" s="426">
        <v>1.0498700000000001</v>
      </c>
      <c r="J624" s="426">
        <v>1.0498700000000001</v>
      </c>
      <c r="K624" s="426">
        <v>1.0498700000000001</v>
      </c>
      <c r="L624" s="426">
        <v>1.0498700000000001</v>
      </c>
      <c r="M624" s="426">
        <v>1.0498700000000001</v>
      </c>
      <c r="N624" s="426">
        <v>1.0498700000000001</v>
      </c>
      <c r="O624" s="426">
        <v>1.0498700000000001</v>
      </c>
      <c r="P624" s="426">
        <v>1.0498700000000001</v>
      </c>
      <c r="Q624" s="426">
        <v>1.0498700000000001</v>
      </c>
      <c r="R624" s="426">
        <v>1.0498700000000001</v>
      </c>
      <c r="S624" s="426">
        <v>1.0498700000000001</v>
      </c>
      <c r="T624" s="426">
        <v>1.0498700000000001</v>
      </c>
      <c r="U624" s="426">
        <f t="shared" si="74"/>
        <v>12.598440000000002</v>
      </c>
      <c r="V624" s="426">
        <f t="shared" si="73"/>
        <v>1.0498700000000001</v>
      </c>
    </row>
    <row r="625" spans="1:22">
      <c r="F625" s="799" t="s">
        <v>1823</v>
      </c>
      <c r="G625" s="425" t="str">
        <f t="shared" si="65"/>
        <v/>
      </c>
      <c r="H625" s="426">
        <f>SUM(H605:H624)</f>
        <v>9087.6285100000005</v>
      </c>
      <c r="I625" s="426">
        <f t="shared" ref="I625:T625" si="75">SUM(I605:I624)</f>
        <v>9087.6285100000005</v>
      </c>
      <c r="J625" s="426">
        <f t="shared" si="75"/>
        <v>9087.6285100000005</v>
      </c>
      <c r="K625" s="426">
        <f t="shared" si="75"/>
        <v>9087.6285100000005</v>
      </c>
      <c r="L625" s="426">
        <f t="shared" si="75"/>
        <v>9087.6285100000005</v>
      </c>
      <c r="M625" s="426">
        <f t="shared" si="75"/>
        <v>9087.6285100000005</v>
      </c>
      <c r="N625" s="426">
        <f t="shared" si="75"/>
        <v>9087.6285100000005</v>
      </c>
      <c r="O625" s="426">
        <f t="shared" si="75"/>
        <v>9087.6285100000005</v>
      </c>
      <c r="P625" s="426">
        <f t="shared" si="75"/>
        <v>9087.6285100000005</v>
      </c>
      <c r="Q625" s="426">
        <f t="shared" si="75"/>
        <v>9087.6285100000005</v>
      </c>
      <c r="R625" s="426">
        <f t="shared" si="75"/>
        <v>9087.6285100000005</v>
      </c>
      <c r="S625" s="426">
        <f t="shared" si="75"/>
        <v>9087.6285100000005</v>
      </c>
      <c r="T625" s="426">
        <f t="shared" si="75"/>
        <v>9087.6285100000005</v>
      </c>
      <c r="U625" s="426">
        <f t="shared" si="74"/>
        <v>109051.54211999998</v>
      </c>
      <c r="V625" s="426">
        <f t="shared" si="73"/>
        <v>9087.6285099999986</v>
      </c>
    </row>
    <row r="626" spans="1:22">
      <c r="G626" s="425" t="str">
        <f t="shared" si="65"/>
        <v/>
      </c>
      <c r="U626" s="426">
        <f t="shared" si="74"/>
        <v>0</v>
      </c>
      <c r="V626" s="426">
        <f t="shared" si="73"/>
        <v>0</v>
      </c>
    </row>
    <row r="627" spans="1:22">
      <c r="F627" s="800" t="s">
        <v>2404</v>
      </c>
      <c r="G627" s="425" t="str">
        <f t="shared" si="65"/>
        <v/>
      </c>
      <c r="U627" s="426">
        <f t="shared" si="74"/>
        <v>0</v>
      </c>
      <c r="V627" s="426">
        <f t="shared" si="73"/>
        <v>0</v>
      </c>
    </row>
    <row r="628" spans="1:22">
      <c r="A628" s="426" t="str">
        <f t="shared" si="61"/>
        <v>KU</v>
      </c>
      <c r="B628" s="426" t="str">
        <f t="shared" si="63"/>
        <v>KY</v>
      </c>
      <c r="C628" s="426" t="str">
        <f t="shared" si="64"/>
        <v>E</v>
      </c>
      <c r="D628" s="426" t="s">
        <v>2672</v>
      </c>
      <c r="E628" s="426" t="str">
        <f t="shared" si="67"/>
        <v>311</v>
      </c>
      <c r="F628" s="741" t="s">
        <v>2178</v>
      </c>
      <c r="H628" s="426">
        <v>8.7184100000000093</v>
      </c>
      <c r="I628" s="426">
        <v>0</v>
      </c>
      <c r="J628" s="426">
        <v>0</v>
      </c>
      <c r="K628" s="426">
        <v>0</v>
      </c>
      <c r="L628" s="426">
        <v>0</v>
      </c>
      <c r="M628" s="426">
        <v>0</v>
      </c>
      <c r="N628" s="426">
        <v>0</v>
      </c>
      <c r="O628" s="426">
        <v>0</v>
      </c>
      <c r="P628" s="426">
        <v>0</v>
      </c>
      <c r="Q628" s="426">
        <v>0</v>
      </c>
      <c r="R628" s="426">
        <v>0</v>
      </c>
      <c r="S628" s="426">
        <v>0</v>
      </c>
      <c r="T628" s="426">
        <v>0</v>
      </c>
      <c r="U628" s="426">
        <f t="shared" ref="U628:U701" si="76">SUM(I628:T628)</f>
        <v>0</v>
      </c>
      <c r="V628" s="426">
        <f t="shared" si="73"/>
        <v>0.67064692307692375</v>
      </c>
    </row>
    <row r="629" spans="1:22">
      <c r="A629" s="426" t="str">
        <f t="shared" si="61"/>
        <v>KU</v>
      </c>
      <c r="B629" s="426" t="str">
        <f t="shared" si="63"/>
        <v>KY</v>
      </c>
      <c r="C629" s="426" t="str">
        <f t="shared" si="64"/>
        <v>E</v>
      </c>
      <c r="D629" s="426" t="s">
        <v>2672</v>
      </c>
      <c r="E629" s="426" t="str">
        <f t="shared" si="67"/>
        <v>311</v>
      </c>
      <c r="F629" s="741" t="s">
        <v>1727</v>
      </c>
      <c r="G629" s="425" t="str">
        <f t="shared" si="65"/>
        <v/>
      </c>
      <c r="H629" s="426">
        <v>366.27118000000002</v>
      </c>
      <c r="I629" s="426">
        <v>374.98959000000002</v>
      </c>
      <c r="J629" s="426">
        <v>374.98959000000002</v>
      </c>
      <c r="K629" s="426">
        <v>374.98959000000002</v>
      </c>
      <c r="L629" s="426">
        <v>374.98959000000002</v>
      </c>
      <c r="M629" s="426">
        <v>374.98959000000002</v>
      </c>
      <c r="N629" s="426">
        <v>374.98959000000002</v>
      </c>
      <c r="O629" s="426">
        <v>374.98959000000002</v>
      </c>
      <c r="P629" s="426">
        <v>374.98959000000002</v>
      </c>
      <c r="Q629" s="426">
        <v>374.98959000000002</v>
      </c>
      <c r="R629" s="426">
        <v>374.98959000000002</v>
      </c>
      <c r="S629" s="426">
        <v>374.98959000000002</v>
      </c>
      <c r="T629" s="426">
        <v>374.98959000000002</v>
      </c>
      <c r="U629" s="426">
        <f t="shared" si="76"/>
        <v>4499.8750800000007</v>
      </c>
      <c r="V629" s="426">
        <f t="shared" si="73"/>
        <v>374.31894307692318</v>
      </c>
    </row>
    <row r="630" spans="1:22">
      <c r="A630" s="426" t="str">
        <f t="shared" si="61"/>
        <v>KU</v>
      </c>
      <c r="B630" s="426" t="str">
        <f t="shared" si="63"/>
        <v>KY</v>
      </c>
      <c r="C630" s="426" t="str">
        <f t="shared" si="64"/>
        <v>E</v>
      </c>
      <c r="D630" s="426" t="s">
        <v>2672</v>
      </c>
      <c r="E630" s="426" t="str">
        <f t="shared" si="67"/>
        <v>312</v>
      </c>
      <c r="F630" s="741" t="s">
        <v>1728</v>
      </c>
      <c r="G630" s="425" t="str">
        <f t="shared" si="65"/>
        <v/>
      </c>
      <c r="H630" s="426">
        <v>3832.5133900000001</v>
      </c>
      <c r="I630" s="426">
        <v>4577.70075</v>
      </c>
      <c r="J630" s="426">
        <v>4577.70075</v>
      </c>
      <c r="K630" s="426">
        <v>4577.70075</v>
      </c>
      <c r="L630" s="426">
        <v>4577.70075</v>
      </c>
      <c r="M630" s="426">
        <v>4577.70075</v>
      </c>
      <c r="N630" s="426">
        <v>4577.70075</v>
      </c>
      <c r="O630" s="426">
        <v>4577.70075</v>
      </c>
      <c r="P630" s="426">
        <v>4577.70075</v>
      </c>
      <c r="Q630" s="426">
        <v>4577.70075</v>
      </c>
      <c r="R630" s="426">
        <v>4577.70075</v>
      </c>
      <c r="S630" s="426">
        <v>4577.70075</v>
      </c>
      <c r="T630" s="426">
        <v>4577.70075</v>
      </c>
      <c r="U630" s="426">
        <f t="shared" si="76"/>
        <v>54932.409000000014</v>
      </c>
      <c r="V630" s="426">
        <f t="shared" si="73"/>
        <v>4520.3786453846169</v>
      </c>
    </row>
    <row r="631" spans="1:22">
      <c r="A631" s="426" t="str">
        <f t="shared" si="61"/>
        <v>KU</v>
      </c>
      <c r="B631" s="426" t="str">
        <f t="shared" si="63"/>
        <v>KY</v>
      </c>
      <c r="C631" s="426" t="str">
        <f t="shared" si="64"/>
        <v>E</v>
      </c>
      <c r="D631" s="426" t="s">
        <v>2672</v>
      </c>
      <c r="E631" s="426" t="str">
        <f t="shared" si="67"/>
        <v>312</v>
      </c>
      <c r="F631" s="741" t="s">
        <v>1729</v>
      </c>
      <c r="H631" s="426">
        <v>174.07651000000001</v>
      </c>
      <c r="I631" s="426">
        <v>0</v>
      </c>
      <c r="J631" s="426">
        <v>0</v>
      </c>
      <c r="K631" s="426">
        <v>0</v>
      </c>
      <c r="L631" s="426">
        <v>0</v>
      </c>
      <c r="M631" s="426">
        <v>0</v>
      </c>
      <c r="N631" s="426">
        <v>0</v>
      </c>
      <c r="O631" s="426">
        <v>0</v>
      </c>
      <c r="P631" s="426">
        <v>0</v>
      </c>
      <c r="Q631" s="426">
        <v>0</v>
      </c>
      <c r="R631" s="426">
        <v>0</v>
      </c>
      <c r="S631" s="426">
        <v>0</v>
      </c>
      <c r="T631" s="426">
        <v>0</v>
      </c>
      <c r="U631" s="426">
        <f t="shared" si="76"/>
        <v>0</v>
      </c>
      <c r="V631" s="426">
        <f t="shared" si="73"/>
        <v>13.390500769230771</v>
      </c>
    </row>
    <row r="632" spans="1:22">
      <c r="A632" s="426" t="str">
        <f t="shared" si="61"/>
        <v>KU</v>
      </c>
      <c r="B632" s="426" t="str">
        <f t="shared" si="63"/>
        <v>KY</v>
      </c>
      <c r="C632" s="426" t="str">
        <f t="shared" si="64"/>
        <v>E</v>
      </c>
      <c r="D632" s="426" t="s">
        <v>2672</v>
      </c>
      <c r="E632" s="426" t="str">
        <f t="shared" si="67"/>
        <v>312</v>
      </c>
      <c r="F632" s="741" t="s">
        <v>2714</v>
      </c>
      <c r="G632" s="425" t="str">
        <f t="shared" si="65"/>
        <v>ECR</v>
      </c>
      <c r="H632" s="426">
        <v>50.285850000000003</v>
      </c>
      <c r="I632" s="426">
        <v>50.285850000000003</v>
      </c>
      <c r="J632" s="426">
        <v>50.285850000000003</v>
      </c>
      <c r="K632" s="426">
        <v>50.285850000000003</v>
      </c>
      <c r="L632" s="426">
        <v>50.285850000000003</v>
      </c>
      <c r="M632" s="426">
        <v>50.285850000000003</v>
      </c>
      <c r="N632" s="426">
        <v>50.285850000000003</v>
      </c>
      <c r="O632" s="426">
        <v>50.285850000000003</v>
      </c>
      <c r="P632" s="426">
        <v>50.285850000000003</v>
      </c>
      <c r="Q632" s="426">
        <v>50.285850000000003</v>
      </c>
      <c r="R632" s="426">
        <v>50.285850000000003</v>
      </c>
      <c r="S632" s="426">
        <v>50.285850000000003</v>
      </c>
      <c r="T632" s="426">
        <v>50.285850000000003</v>
      </c>
      <c r="U632" s="426">
        <f t="shared" si="76"/>
        <v>603.4301999999999</v>
      </c>
      <c r="V632" s="426">
        <f t="shared" si="73"/>
        <v>50.285849999999989</v>
      </c>
    </row>
    <row r="633" spans="1:22">
      <c r="A633" s="426" t="str">
        <f t="shared" ref="A633:A703" si="77">MID($F633,4,2)</f>
        <v>KU</v>
      </c>
      <c r="B633" s="426" t="str">
        <f t="shared" si="63"/>
        <v>KY</v>
      </c>
      <c r="C633" s="426" t="str">
        <f t="shared" si="64"/>
        <v>E</v>
      </c>
      <c r="D633" s="426" t="s">
        <v>2672</v>
      </c>
      <c r="E633" s="426" t="str">
        <f t="shared" si="67"/>
        <v>312</v>
      </c>
      <c r="F633" s="741" t="s">
        <v>1730</v>
      </c>
      <c r="H633" s="426">
        <v>571.11085000000003</v>
      </c>
      <c r="I633" s="426">
        <v>0</v>
      </c>
      <c r="J633" s="426">
        <v>0</v>
      </c>
      <c r="K633" s="426">
        <v>0</v>
      </c>
      <c r="L633" s="426">
        <v>0</v>
      </c>
      <c r="M633" s="426">
        <v>0</v>
      </c>
      <c r="N633" s="426">
        <v>0</v>
      </c>
      <c r="O633" s="426">
        <v>0</v>
      </c>
      <c r="P633" s="426">
        <v>0</v>
      </c>
      <c r="Q633" s="426">
        <v>0</v>
      </c>
      <c r="R633" s="426">
        <v>0</v>
      </c>
      <c r="S633" s="426">
        <v>0</v>
      </c>
      <c r="T633" s="426">
        <v>0</v>
      </c>
      <c r="U633" s="426">
        <f t="shared" si="76"/>
        <v>0</v>
      </c>
      <c r="V633" s="426">
        <f t="shared" si="73"/>
        <v>43.931603846153848</v>
      </c>
    </row>
    <row r="634" spans="1:22">
      <c r="A634" s="426" t="str">
        <f t="shared" si="77"/>
        <v>KU</v>
      </c>
      <c r="B634" s="426" t="str">
        <f t="shared" si="63"/>
        <v>KY</v>
      </c>
      <c r="C634" s="426" t="str">
        <f t="shared" si="64"/>
        <v>E</v>
      </c>
      <c r="D634" s="426" t="s">
        <v>2672</v>
      </c>
      <c r="E634" s="426" t="str">
        <f t="shared" si="67"/>
        <v>312</v>
      </c>
      <c r="F634" s="741" t="s">
        <v>2179</v>
      </c>
      <c r="H634" s="426">
        <v>0</v>
      </c>
      <c r="I634" s="426">
        <v>0</v>
      </c>
      <c r="J634" s="426">
        <v>0</v>
      </c>
      <c r="K634" s="426">
        <v>0</v>
      </c>
      <c r="L634" s="426">
        <v>0</v>
      </c>
      <c r="M634" s="426">
        <v>0</v>
      </c>
      <c r="N634" s="426">
        <v>0</v>
      </c>
      <c r="O634" s="426">
        <v>0</v>
      </c>
      <c r="P634" s="426">
        <v>0</v>
      </c>
      <c r="Q634" s="426">
        <v>0</v>
      </c>
      <c r="R634" s="426">
        <v>0</v>
      </c>
      <c r="S634" s="426">
        <v>0</v>
      </c>
      <c r="T634" s="426">
        <v>0</v>
      </c>
      <c r="U634" s="426">
        <f t="shared" si="76"/>
        <v>0</v>
      </c>
      <c r="V634" s="426">
        <f t="shared" si="73"/>
        <v>0</v>
      </c>
    </row>
    <row r="635" spans="1:22">
      <c r="A635" s="426" t="str">
        <f t="shared" si="77"/>
        <v>KU</v>
      </c>
      <c r="B635" s="426" t="str">
        <f t="shared" si="63"/>
        <v>KY</v>
      </c>
      <c r="C635" s="426" t="str">
        <f t="shared" si="64"/>
        <v>E</v>
      </c>
      <c r="D635" s="426" t="s">
        <v>2672</v>
      </c>
      <c r="E635" s="426" t="str">
        <f t="shared" si="67"/>
        <v>312</v>
      </c>
      <c r="F635" s="741" t="s">
        <v>2715</v>
      </c>
      <c r="G635" s="425" t="str">
        <f t="shared" ref="G635:G704" si="78">IF(ISTEXT(MID($F635,SEARCH("FUTURE USE",$F635),3)),"FUTURE USE",IF(ISTEXT(MID($F635,SEARCH("ECR",$F635),3)),"ECR",IF(ISTEXT(MID($F635,SEARCH("ARO",$F635),3)),"ARO",IF(ISTEXT(MID($F635,SEARCH("DSM",$F635),3)),"DSM",""))))</f>
        <v>ECR</v>
      </c>
      <c r="H635" s="426">
        <v>369.33688999999998</v>
      </c>
      <c r="I635" s="426">
        <v>369.33688999999998</v>
      </c>
      <c r="J635" s="426">
        <v>369.33688999999998</v>
      </c>
      <c r="K635" s="426">
        <v>369.33688999999998</v>
      </c>
      <c r="L635" s="426">
        <v>369.33688999999998</v>
      </c>
      <c r="M635" s="426">
        <v>369.33688999999998</v>
      </c>
      <c r="N635" s="426">
        <v>369.33688999999998</v>
      </c>
      <c r="O635" s="426">
        <v>369.33688999999998</v>
      </c>
      <c r="P635" s="426">
        <v>369.33688999999998</v>
      </c>
      <c r="Q635" s="426">
        <v>369.33688999999998</v>
      </c>
      <c r="R635" s="426">
        <v>369.33688999999998</v>
      </c>
      <c r="S635" s="426">
        <v>369.33688999999998</v>
      </c>
      <c r="T635" s="426">
        <v>369.33688999999998</v>
      </c>
      <c r="U635" s="426">
        <f t="shared" si="76"/>
        <v>4432.0426799999996</v>
      </c>
      <c r="V635" s="426">
        <f t="shared" si="73"/>
        <v>369.33688999999993</v>
      </c>
    </row>
    <row r="636" spans="1:22">
      <c r="A636" s="426" t="str">
        <f t="shared" si="77"/>
        <v>KU</v>
      </c>
      <c r="B636" s="426" t="str">
        <f t="shared" si="63"/>
        <v>KY</v>
      </c>
      <c r="C636" s="426" t="str">
        <f t="shared" si="64"/>
        <v>E</v>
      </c>
      <c r="D636" s="426" t="s">
        <v>2672</v>
      </c>
      <c r="E636" s="426" t="str">
        <f t="shared" si="67"/>
        <v>314</v>
      </c>
      <c r="F636" s="741" t="s">
        <v>1732</v>
      </c>
      <c r="G636" s="425" t="str">
        <f t="shared" si="78"/>
        <v/>
      </c>
      <c r="H636" s="426">
        <v>257.90337</v>
      </c>
      <c r="I636" s="426">
        <v>257.90337</v>
      </c>
      <c r="J636" s="426">
        <v>257.90337</v>
      </c>
      <c r="K636" s="426">
        <v>257.90337</v>
      </c>
      <c r="L636" s="426">
        <v>257.90337</v>
      </c>
      <c r="M636" s="426">
        <v>257.90337</v>
      </c>
      <c r="N636" s="426">
        <v>257.90337</v>
      </c>
      <c r="O636" s="426">
        <v>257.90337</v>
      </c>
      <c r="P636" s="426">
        <v>257.90337</v>
      </c>
      <c r="Q636" s="426">
        <v>257.90337</v>
      </c>
      <c r="R636" s="426">
        <v>257.90337</v>
      </c>
      <c r="S636" s="426">
        <v>257.90337</v>
      </c>
      <c r="T636" s="426">
        <v>257.90337</v>
      </c>
      <c r="U636" s="426">
        <f t="shared" si="76"/>
        <v>3094.8404399999999</v>
      </c>
      <c r="V636" s="426">
        <f t="shared" si="73"/>
        <v>257.90337</v>
      </c>
    </row>
    <row r="637" spans="1:22">
      <c r="A637" s="426" t="str">
        <f t="shared" si="77"/>
        <v>KU</v>
      </c>
      <c r="B637" s="426" t="str">
        <f t="shared" si="63"/>
        <v>KY</v>
      </c>
      <c r="C637" s="426" t="str">
        <f t="shared" si="64"/>
        <v>E</v>
      </c>
      <c r="D637" s="426" t="s">
        <v>2672</v>
      </c>
      <c r="E637" s="426" t="str">
        <f t="shared" si="67"/>
        <v>315</v>
      </c>
      <c r="F637" s="741" t="s">
        <v>1733</v>
      </c>
      <c r="G637" s="425" t="str">
        <f t="shared" si="78"/>
        <v/>
      </c>
      <c r="H637" s="426">
        <v>224.10201000000001</v>
      </c>
      <c r="I637" s="426">
        <v>239.79931999999999</v>
      </c>
      <c r="J637" s="426">
        <v>239.79931999999999</v>
      </c>
      <c r="K637" s="426">
        <v>239.79931999999999</v>
      </c>
      <c r="L637" s="426">
        <v>239.79931999999999</v>
      </c>
      <c r="M637" s="426">
        <v>239.79931999999999</v>
      </c>
      <c r="N637" s="426">
        <v>239.79931999999999</v>
      </c>
      <c r="O637" s="426">
        <v>239.79931999999999</v>
      </c>
      <c r="P637" s="426">
        <v>239.79931999999999</v>
      </c>
      <c r="Q637" s="426">
        <v>239.79931999999999</v>
      </c>
      <c r="R637" s="426">
        <v>239.79931999999999</v>
      </c>
      <c r="S637" s="426">
        <v>239.79931999999999</v>
      </c>
      <c r="T637" s="426">
        <v>239.79931999999999</v>
      </c>
      <c r="U637" s="426">
        <f t="shared" si="76"/>
        <v>2877.5918400000005</v>
      </c>
      <c r="V637" s="426">
        <f t="shared" si="73"/>
        <v>238.59183461538467</v>
      </c>
    </row>
    <row r="638" spans="1:22">
      <c r="A638" s="426" t="str">
        <f t="shared" si="77"/>
        <v>KU</v>
      </c>
      <c r="B638" s="426" t="str">
        <f t="shared" si="63"/>
        <v>KY</v>
      </c>
      <c r="C638" s="426" t="str">
        <f t="shared" si="64"/>
        <v>E</v>
      </c>
      <c r="D638" s="426" t="s">
        <v>2672</v>
      </c>
      <c r="E638" s="426" t="str">
        <f t="shared" si="67"/>
        <v>315</v>
      </c>
      <c r="F638" s="741" t="s">
        <v>1734</v>
      </c>
      <c r="H638" s="426">
        <v>15.69731</v>
      </c>
      <c r="I638" s="426">
        <v>0</v>
      </c>
      <c r="J638" s="426">
        <v>0</v>
      </c>
      <c r="K638" s="426">
        <v>0</v>
      </c>
      <c r="L638" s="426">
        <v>0</v>
      </c>
      <c r="M638" s="426">
        <v>0</v>
      </c>
      <c r="N638" s="426">
        <v>0</v>
      </c>
      <c r="O638" s="426">
        <v>0</v>
      </c>
      <c r="P638" s="426">
        <v>0</v>
      </c>
      <c r="Q638" s="426">
        <v>0</v>
      </c>
      <c r="R638" s="426">
        <v>0</v>
      </c>
      <c r="S638" s="426">
        <v>0</v>
      </c>
      <c r="T638" s="426">
        <v>0</v>
      </c>
      <c r="U638" s="426">
        <f t="shared" si="76"/>
        <v>0</v>
      </c>
      <c r="V638" s="426">
        <f t="shared" si="73"/>
        <v>1.2074853846153846</v>
      </c>
    </row>
    <row r="639" spans="1:22">
      <c r="A639" s="426" t="str">
        <f t="shared" si="77"/>
        <v>KU</v>
      </c>
      <c r="B639" s="426" t="str">
        <f t="shared" si="63"/>
        <v>KY</v>
      </c>
      <c r="C639" s="426" t="str">
        <f t="shared" si="64"/>
        <v>E</v>
      </c>
      <c r="D639" s="426" t="s">
        <v>2672</v>
      </c>
      <c r="E639" s="426" t="str">
        <f t="shared" si="67"/>
        <v>316</v>
      </c>
      <c r="F639" s="741" t="s">
        <v>1735</v>
      </c>
      <c r="G639" s="425" t="str">
        <f t="shared" si="78"/>
        <v/>
      </c>
      <c r="H639" s="426">
        <v>18.364190000000001</v>
      </c>
      <c r="I639" s="426">
        <v>18.364190000000001</v>
      </c>
      <c r="J639" s="426">
        <v>18.364190000000001</v>
      </c>
      <c r="K639" s="426">
        <v>18.364190000000001</v>
      </c>
      <c r="L639" s="426">
        <v>18.364190000000001</v>
      </c>
      <c r="M639" s="426">
        <v>18.364190000000001</v>
      </c>
      <c r="N639" s="426">
        <v>18.364190000000001</v>
      </c>
      <c r="O639" s="426">
        <v>18.364190000000001</v>
      </c>
      <c r="P639" s="426">
        <v>18.364190000000001</v>
      </c>
      <c r="Q639" s="426">
        <v>18.364190000000001</v>
      </c>
      <c r="R639" s="426">
        <v>18.364190000000001</v>
      </c>
      <c r="S639" s="426">
        <v>18.364190000000001</v>
      </c>
      <c r="T639" s="426">
        <v>18.364190000000001</v>
      </c>
      <c r="U639" s="426">
        <f t="shared" si="76"/>
        <v>220.37028000000007</v>
      </c>
      <c r="V639" s="426">
        <f t="shared" si="73"/>
        <v>18.364190000000004</v>
      </c>
    </row>
    <row r="640" spans="1:22">
      <c r="A640" s="426" t="str">
        <f t="shared" si="77"/>
        <v>KU</v>
      </c>
      <c r="B640" s="426" t="str">
        <f t="shared" si="63"/>
        <v>KY</v>
      </c>
      <c r="C640" s="426" t="str">
        <f t="shared" si="64"/>
        <v>E</v>
      </c>
      <c r="D640" s="426" t="s">
        <v>2672</v>
      </c>
      <c r="E640" s="426" t="str">
        <f t="shared" si="67"/>
        <v>331</v>
      </c>
      <c r="F640" s="741" t="s">
        <v>1738</v>
      </c>
      <c r="G640" s="425" t="str">
        <f t="shared" si="78"/>
        <v/>
      </c>
      <c r="H640" s="426">
        <v>0.85114000000000001</v>
      </c>
      <c r="I640" s="426">
        <v>0.85114000000000001</v>
      </c>
      <c r="J640" s="426">
        <v>0.85114000000000001</v>
      </c>
      <c r="K640" s="426">
        <v>0.85114000000000001</v>
      </c>
      <c r="L640" s="426">
        <v>0.85114000000000001</v>
      </c>
      <c r="M640" s="426">
        <v>0.85114000000000001</v>
      </c>
      <c r="N640" s="426">
        <v>0.85114000000000001</v>
      </c>
      <c r="O640" s="426">
        <v>0.85114000000000001</v>
      </c>
      <c r="P640" s="426">
        <v>0.85114000000000001</v>
      </c>
      <c r="Q640" s="426">
        <v>0.85114000000000001</v>
      </c>
      <c r="R640" s="426">
        <v>0.85114000000000001</v>
      </c>
      <c r="S640" s="426">
        <v>0.85114000000000001</v>
      </c>
      <c r="T640" s="426">
        <v>0.85114000000000001</v>
      </c>
      <c r="U640" s="426">
        <f t="shared" si="76"/>
        <v>10.21368</v>
      </c>
      <c r="V640" s="426">
        <f t="shared" si="73"/>
        <v>0.85114000000000012</v>
      </c>
    </row>
    <row r="641" spans="1:22">
      <c r="A641" s="426" t="str">
        <f t="shared" si="77"/>
        <v>KU</v>
      </c>
      <c r="B641" s="426" t="str">
        <f t="shared" si="63"/>
        <v>KY</v>
      </c>
      <c r="C641" s="426" t="str">
        <f t="shared" si="64"/>
        <v>E</v>
      </c>
      <c r="D641" s="426" t="s">
        <v>2672</v>
      </c>
      <c r="E641" s="426" t="str">
        <f t="shared" si="67"/>
        <v>332</v>
      </c>
      <c r="F641" s="741" t="s">
        <v>1739</v>
      </c>
      <c r="G641" s="425" t="str">
        <f t="shared" si="78"/>
        <v/>
      </c>
      <c r="H641" s="426">
        <v>9.5002099999999992</v>
      </c>
      <c r="I641" s="426">
        <v>9.5002099999999992</v>
      </c>
      <c r="J641" s="426">
        <v>9.5002099999999992</v>
      </c>
      <c r="K641" s="426">
        <v>9.5002099999999992</v>
      </c>
      <c r="L641" s="426">
        <v>9.5002099999999992</v>
      </c>
      <c r="M641" s="426">
        <v>9.5002099999999992</v>
      </c>
      <c r="N641" s="426">
        <v>9.5002099999999992</v>
      </c>
      <c r="O641" s="426">
        <v>9.5002099999999992</v>
      </c>
      <c r="P641" s="426">
        <v>9.5002099999999992</v>
      </c>
      <c r="Q641" s="426">
        <v>9.5002099999999992</v>
      </c>
      <c r="R641" s="426">
        <v>9.5002099999999992</v>
      </c>
      <c r="S641" s="426">
        <v>9.5002099999999992</v>
      </c>
      <c r="T641" s="426">
        <v>9.5002099999999992</v>
      </c>
      <c r="U641" s="426">
        <f t="shared" si="76"/>
        <v>114.00251999999996</v>
      </c>
      <c r="V641" s="426">
        <f t="shared" si="73"/>
        <v>9.5002099999999974</v>
      </c>
    </row>
    <row r="642" spans="1:22">
      <c r="A642" s="426" t="str">
        <f t="shared" si="77"/>
        <v>KU</v>
      </c>
      <c r="B642" s="426" t="str">
        <f t="shared" si="63"/>
        <v>KY</v>
      </c>
      <c r="C642" s="426" t="str">
        <f t="shared" si="64"/>
        <v>E</v>
      </c>
      <c r="D642" s="426" t="s">
        <v>2672</v>
      </c>
      <c r="E642" s="426" t="str">
        <f t="shared" si="67"/>
        <v>333</v>
      </c>
      <c r="F642" s="741" t="s">
        <v>1740</v>
      </c>
      <c r="G642" s="425" t="str">
        <f t="shared" si="78"/>
        <v/>
      </c>
      <c r="H642" s="426">
        <v>12.939019999999999</v>
      </c>
      <c r="I642" s="426">
        <v>12.939019999999999</v>
      </c>
      <c r="J642" s="426">
        <v>12.939019999999999</v>
      </c>
      <c r="K642" s="426">
        <v>12.939019999999999</v>
      </c>
      <c r="L642" s="426">
        <v>12.939019999999999</v>
      </c>
      <c r="M642" s="426">
        <v>12.939019999999999</v>
      </c>
      <c r="N642" s="426">
        <v>12.939019999999999</v>
      </c>
      <c r="O642" s="426">
        <v>12.939019999999999</v>
      </c>
      <c r="P642" s="426">
        <v>12.939019999999999</v>
      </c>
      <c r="Q642" s="426">
        <v>12.939019999999999</v>
      </c>
      <c r="R642" s="426">
        <v>12.939019999999999</v>
      </c>
      <c r="S642" s="426">
        <v>12.939019999999999</v>
      </c>
      <c r="T642" s="426">
        <v>12.939019999999999</v>
      </c>
      <c r="U642" s="426">
        <f t="shared" si="76"/>
        <v>155.26823999999999</v>
      </c>
      <c r="V642" s="426">
        <f t="shared" si="73"/>
        <v>12.939019999999999</v>
      </c>
    </row>
    <row r="643" spans="1:22">
      <c r="A643" s="426" t="str">
        <f t="shared" si="77"/>
        <v>KU</v>
      </c>
      <c r="B643" s="426" t="str">
        <f t="shared" si="63"/>
        <v>KY</v>
      </c>
      <c r="C643" s="426" t="str">
        <f t="shared" si="64"/>
        <v>E</v>
      </c>
      <c r="D643" s="426" t="s">
        <v>2672</v>
      </c>
      <c r="E643" s="426" t="str">
        <f t="shared" ref="E643:E664" si="79">MID($F643,8,3)</f>
        <v>334</v>
      </c>
      <c r="F643" s="741" t="s">
        <v>1741</v>
      </c>
      <c r="G643" s="425" t="str">
        <f t="shared" si="78"/>
        <v/>
      </c>
      <c r="H643" s="426">
        <v>0.85914999999999997</v>
      </c>
      <c r="I643" s="426">
        <v>0.85914999999999997</v>
      </c>
      <c r="J643" s="426">
        <v>0.85914999999999997</v>
      </c>
      <c r="K643" s="426">
        <v>0.85914999999999997</v>
      </c>
      <c r="L643" s="426">
        <v>0.85914999999999997</v>
      </c>
      <c r="M643" s="426">
        <v>0.85914999999999997</v>
      </c>
      <c r="N643" s="426">
        <v>0.85914999999999997</v>
      </c>
      <c r="O643" s="426">
        <v>0.85914999999999997</v>
      </c>
      <c r="P643" s="426">
        <v>0.85914999999999997</v>
      </c>
      <c r="Q643" s="426">
        <v>0.85914999999999997</v>
      </c>
      <c r="R643" s="426">
        <v>0.85914999999999997</v>
      </c>
      <c r="S643" s="426">
        <v>0.85914999999999997</v>
      </c>
      <c r="T643" s="426">
        <v>0.85914999999999997</v>
      </c>
      <c r="U643" s="426">
        <f t="shared" si="76"/>
        <v>10.309799999999997</v>
      </c>
      <c r="V643" s="426">
        <f t="shared" si="73"/>
        <v>0.85914999999999975</v>
      </c>
    </row>
    <row r="644" spans="1:22">
      <c r="A644" s="426" t="str">
        <f t="shared" si="77"/>
        <v>KU</v>
      </c>
      <c r="B644" s="426" t="str">
        <f t="shared" si="63"/>
        <v>KY</v>
      </c>
      <c r="C644" s="426" t="str">
        <f t="shared" si="64"/>
        <v>E</v>
      </c>
      <c r="D644" s="426" t="s">
        <v>2672</v>
      </c>
      <c r="E644" s="426" t="str">
        <f t="shared" si="79"/>
        <v>341</v>
      </c>
      <c r="F644" s="741" t="s">
        <v>1746</v>
      </c>
      <c r="G644" s="425" t="str">
        <f t="shared" si="78"/>
        <v/>
      </c>
      <c r="H644" s="426">
        <v>124.63552</v>
      </c>
      <c r="I644" s="426">
        <v>124.63552</v>
      </c>
      <c r="J644" s="426">
        <v>124.63552</v>
      </c>
      <c r="K644" s="426">
        <v>124.63552</v>
      </c>
      <c r="L644" s="426">
        <v>124.63552</v>
      </c>
      <c r="M644" s="426">
        <v>124.63552</v>
      </c>
      <c r="N644" s="426">
        <v>124.63552</v>
      </c>
      <c r="O644" s="426">
        <v>124.63552</v>
      </c>
      <c r="P644" s="426">
        <v>124.63552</v>
      </c>
      <c r="Q644" s="426">
        <v>124.63552</v>
      </c>
      <c r="R644" s="426">
        <v>124.63552</v>
      </c>
      <c r="S644" s="426">
        <v>124.63552</v>
      </c>
      <c r="T644" s="426">
        <v>124.63552</v>
      </c>
      <c r="U644" s="426">
        <f t="shared" si="76"/>
        <v>1495.6262400000003</v>
      </c>
      <c r="V644" s="426">
        <f t="shared" si="73"/>
        <v>124.63552000000003</v>
      </c>
    </row>
    <row r="645" spans="1:22">
      <c r="A645" s="426" t="str">
        <f t="shared" si="77"/>
        <v>KU</v>
      </c>
      <c r="B645" s="426" t="str">
        <f t="shared" si="63"/>
        <v>KY</v>
      </c>
      <c r="C645" s="426" t="str">
        <f t="shared" si="64"/>
        <v>E</v>
      </c>
      <c r="D645" s="426" t="s">
        <v>2672</v>
      </c>
      <c r="E645" s="426" t="str">
        <f t="shared" si="79"/>
        <v>342</v>
      </c>
      <c r="F645" s="741" t="s">
        <v>1747</v>
      </c>
      <c r="G645" s="425" t="str">
        <f t="shared" si="78"/>
        <v/>
      </c>
      <c r="H645" s="426">
        <v>27.087310000000102</v>
      </c>
      <c r="I645" s="426">
        <v>27.087310000000102</v>
      </c>
      <c r="J645" s="426">
        <v>27.087310000000102</v>
      </c>
      <c r="K645" s="426">
        <v>27.087310000000102</v>
      </c>
      <c r="L645" s="426">
        <v>27.087310000000102</v>
      </c>
      <c r="M645" s="426">
        <v>27.087310000000102</v>
      </c>
      <c r="N645" s="426">
        <v>27.087310000000102</v>
      </c>
      <c r="O645" s="426">
        <v>27.087310000000102</v>
      </c>
      <c r="P645" s="426">
        <v>27.087310000000102</v>
      </c>
      <c r="Q645" s="426">
        <v>27.087310000000102</v>
      </c>
      <c r="R645" s="426">
        <v>27.087310000000102</v>
      </c>
      <c r="S645" s="426">
        <v>27.087310000000102</v>
      </c>
      <c r="T645" s="426">
        <v>27.087310000000102</v>
      </c>
      <c r="U645" s="426">
        <f t="shared" si="76"/>
        <v>325.04772000000133</v>
      </c>
      <c r="V645" s="426">
        <f t="shared" si="73"/>
        <v>27.087310000000112</v>
      </c>
    </row>
    <row r="646" spans="1:22">
      <c r="A646" s="426" t="str">
        <f t="shared" si="77"/>
        <v>KU</v>
      </c>
      <c r="B646" s="426" t="str">
        <f t="shared" ref="B646:B703" si="80">IF(MID($F646,12,2)="- ","KY",IF(MID($F646,12,2)="SY","KY",MID($F646,12,2)))</f>
        <v>KY</v>
      </c>
      <c r="C646" s="426" t="str">
        <f t="shared" si="64"/>
        <v>E</v>
      </c>
      <c r="D646" s="426" t="s">
        <v>2672</v>
      </c>
      <c r="E646" s="426" t="str">
        <f t="shared" si="79"/>
        <v>343</v>
      </c>
      <c r="F646" s="741" t="s">
        <v>1748</v>
      </c>
      <c r="G646" s="425" t="str">
        <f t="shared" si="78"/>
        <v/>
      </c>
      <c r="H646" s="426">
        <v>692.63040999999998</v>
      </c>
      <c r="I646" s="426">
        <v>692.63040999999998</v>
      </c>
      <c r="J646" s="426">
        <v>692.63040999999998</v>
      </c>
      <c r="K646" s="426">
        <v>692.63040999999998</v>
      </c>
      <c r="L646" s="426">
        <v>692.63040999999998</v>
      </c>
      <c r="M646" s="426">
        <v>692.63040999999998</v>
      </c>
      <c r="N646" s="426">
        <v>692.63040999999998</v>
      </c>
      <c r="O646" s="426">
        <v>692.63040999999998</v>
      </c>
      <c r="P646" s="426">
        <v>692.63040999999998</v>
      </c>
      <c r="Q646" s="426">
        <v>692.63040999999998</v>
      </c>
      <c r="R646" s="426">
        <v>692.63040999999998</v>
      </c>
      <c r="S646" s="426">
        <v>692.63040999999998</v>
      </c>
      <c r="T646" s="426">
        <v>692.63040999999998</v>
      </c>
      <c r="U646" s="426">
        <f t="shared" si="76"/>
        <v>8311.5649199999989</v>
      </c>
      <c r="V646" s="426">
        <f t="shared" si="73"/>
        <v>692.63040999999987</v>
      </c>
    </row>
    <row r="647" spans="1:22">
      <c r="A647" s="426" t="str">
        <f t="shared" si="77"/>
        <v>KU</v>
      </c>
      <c r="B647" s="426" t="str">
        <f t="shared" si="80"/>
        <v>KY</v>
      </c>
      <c r="C647" s="426" t="str">
        <f t="shared" si="64"/>
        <v>E</v>
      </c>
      <c r="D647" s="426" t="s">
        <v>2672</v>
      </c>
      <c r="E647" s="426" t="str">
        <f t="shared" si="79"/>
        <v>344</v>
      </c>
      <c r="F647" s="741" t="s">
        <v>1749</v>
      </c>
      <c r="G647" s="425" t="str">
        <f t="shared" si="78"/>
        <v/>
      </c>
      <c r="H647" s="426">
        <v>158.27735999999999</v>
      </c>
      <c r="I647" s="426">
        <v>158.27735999999999</v>
      </c>
      <c r="J647" s="426">
        <v>158.27735999999999</v>
      </c>
      <c r="K647" s="426">
        <v>158.27735999999999</v>
      </c>
      <c r="L647" s="426">
        <v>158.27735999999999</v>
      </c>
      <c r="M647" s="426">
        <v>158.27735999999999</v>
      </c>
      <c r="N647" s="426">
        <v>158.27735999999999</v>
      </c>
      <c r="O647" s="426">
        <v>158.27735999999999</v>
      </c>
      <c r="P647" s="426">
        <v>158.27735999999999</v>
      </c>
      <c r="Q647" s="426">
        <v>158.27735999999999</v>
      </c>
      <c r="R647" s="426">
        <v>158.27735999999999</v>
      </c>
      <c r="S647" s="426">
        <v>158.27735999999999</v>
      </c>
      <c r="T647" s="426">
        <v>158.27735999999999</v>
      </c>
      <c r="U647" s="426">
        <f t="shared" si="76"/>
        <v>1899.3283200000003</v>
      </c>
      <c r="V647" s="426">
        <f t="shared" si="73"/>
        <v>158.27736000000002</v>
      </c>
    </row>
    <row r="648" spans="1:22">
      <c r="A648" s="426" t="str">
        <f t="shared" si="77"/>
        <v>KU</v>
      </c>
      <c r="B648" s="426" t="str">
        <f t="shared" si="80"/>
        <v>KY</v>
      </c>
      <c r="C648" s="426" t="str">
        <f t="shared" si="64"/>
        <v>E</v>
      </c>
      <c r="D648" s="426" t="s">
        <v>2672</v>
      </c>
      <c r="E648" s="426" t="str">
        <f t="shared" si="79"/>
        <v>345</v>
      </c>
      <c r="F648" s="741" t="s">
        <v>1750</v>
      </c>
      <c r="G648" s="425" t="str">
        <f t="shared" si="78"/>
        <v/>
      </c>
      <c r="H648" s="426">
        <v>77.109650000000002</v>
      </c>
      <c r="I648" s="426">
        <v>77.109650000000002</v>
      </c>
      <c r="J648" s="426">
        <v>77.109650000000002</v>
      </c>
      <c r="K648" s="426">
        <v>77.109650000000002</v>
      </c>
      <c r="L648" s="426">
        <v>77.109650000000002</v>
      </c>
      <c r="M648" s="426">
        <v>77.109650000000002</v>
      </c>
      <c r="N648" s="426">
        <v>77.109650000000002</v>
      </c>
      <c r="O648" s="426">
        <v>77.109650000000002</v>
      </c>
      <c r="P648" s="426">
        <v>77.109650000000002</v>
      </c>
      <c r="Q648" s="426">
        <v>77.109650000000002</v>
      </c>
      <c r="R648" s="426">
        <v>77.109650000000002</v>
      </c>
      <c r="S648" s="426">
        <v>77.109650000000002</v>
      </c>
      <c r="T648" s="426">
        <v>77.109650000000002</v>
      </c>
      <c r="U648" s="426">
        <f t="shared" si="76"/>
        <v>925.31579999999997</v>
      </c>
      <c r="V648" s="426">
        <f t="shared" si="73"/>
        <v>77.109650000000002</v>
      </c>
    </row>
    <row r="649" spans="1:22">
      <c r="A649" s="426" t="str">
        <f t="shared" si="77"/>
        <v>KU</v>
      </c>
      <c r="B649" s="426" t="str">
        <f t="shared" si="80"/>
        <v>KY</v>
      </c>
      <c r="C649" s="426" t="str">
        <f t="shared" si="64"/>
        <v>E</v>
      </c>
      <c r="D649" s="426" t="s">
        <v>2672</v>
      </c>
      <c r="E649" s="426" t="str">
        <f t="shared" si="79"/>
        <v>346</v>
      </c>
      <c r="F649" s="741" t="s">
        <v>1751</v>
      </c>
      <c r="G649" s="425" t="str">
        <f t="shared" si="78"/>
        <v/>
      </c>
      <c r="H649" s="426">
        <v>7.5385400000000002</v>
      </c>
      <c r="I649" s="426">
        <v>7.5385400000000002</v>
      </c>
      <c r="J649" s="426">
        <v>7.5385400000000002</v>
      </c>
      <c r="K649" s="426">
        <v>7.5385400000000002</v>
      </c>
      <c r="L649" s="426">
        <v>7.5385400000000002</v>
      </c>
      <c r="M649" s="426">
        <v>7.5385400000000002</v>
      </c>
      <c r="N649" s="426">
        <v>7.5385400000000002</v>
      </c>
      <c r="O649" s="426">
        <v>7.5385400000000002</v>
      </c>
      <c r="P649" s="426">
        <v>7.5385400000000002</v>
      </c>
      <c r="Q649" s="426">
        <v>7.5385400000000002</v>
      </c>
      <c r="R649" s="426">
        <v>7.5385400000000002</v>
      </c>
      <c r="S649" s="426">
        <v>7.5385400000000002</v>
      </c>
      <c r="T649" s="706">
        <v>7.5385400000000002</v>
      </c>
      <c r="U649" s="426">
        <f t="shared" si="76"/>
        <v>90.462479999999985</v>
      </c>
      <c r="V649" s="426">
        <f t="shared" si="73"/>
        <v>7.5385399999999985</v>
      </c>
    </row>
    <row r="650" spans="1:22">
      <c r="A650" s="426" t="str">
        <f t="shared" si="77"/>
        <v>KU</v>
      </c>
      <c r="B650" s="426" t="str">
        <f t="shared" si="80"/>
        <v>KY</v>
      </c>
      <c r="C650" s="426" t="str">
        <f t="shared" ref="C650:C703" si="81">IF(ISTEXT(MID($F650,SEARCH("FUTURE USE",$F650),3)),"F",IF(MID($F650,7,1)="1","E",IF(MID($F650,7,1)="2","G",IF(MID($F650,7,1)="3","C",""))))</f>
        <v>E</v>
      </c>
      <c r="D650" s="426" t="s">
        <v>2672</v>
      </c>
      <c r="E650" s="426" t="str">
        <f t="shared" si="79"/>
        <v>350</v>
      </c>
      <c r="F650" s="741" t="s">
        <v>1752</v>
      </c>
      <c r="G650" s="425" t="str">
        <f t="shared" si="78"/>
        <v/>
      </c>
      <c r="H650" s="426">
        <v>1.29339</v>
      </c>
      <c r="I650" s="426">
        <v>1.29339</v>
      </c>
      <c r="J650" s="426">
        <v>1.29339</v>
      </c>
      <c r="K650" s="426">
        <v>1.29339</v>
      </c>
      <c r="L650" s="426">
        <v>1.29339</v>
      </c>
      <c r="M650" s="426">
        <v>1.29339</v>
      </c>
      <c r="N650" s="426">
        <v>1.29339</v>
      </c>
      <c r="O650" s="426">
        <v>1.29339</v>
      </c>
      <c r="P650" s="426">
        <v>1.29339</v>
      </c>
      <c r="Q650" s="426">
        <v>1.29339</v>
      </c>
      <c r="R650" s="426">
        <v>1.29339</v>
      </c>
      <c r="S650" s="426">
        <v>1.29339</v>
      </c>
      <c r="T650" s="426">
        <v>1.29339</v>
      </c>
      <c r="U650" s="426">
        <f t="shared" si="76"/>
        <v>15.520680000000004</v>
      </c>
      <c r="V650" s="426">
        <f t="shared" si="73"/>
        <v>1.2933900000000003</v>
      </c>
    </row>
    <row r="651" spans="1:22">
      <c r="A651" s="426" t="str">
        <f t="shared" si="77"/>
        <v>KU</v>
      </c>
      <c r="B651" s="426" t="str">
        <f t="shared" si="80"/>
        <v>KY</v>
      </c>
      <c r="C651" s="426" t="str">
        <f t="shared" si="81"/>
        <v>E</v>
      </c>
      <c r="D651" s="426" t="s">
        <v>2672</v>
      </c>
      <c r="E651" s="426" t="str">
        <f t="shared" si="79"/>
        <v>352</v>
      </c>
      <c r="F651" s="741" t="s">
        <v>1756</v>
      </c>
      <c r="G651" s="425" t="str">
        <f t="shared" si="78"/>
        <v/>
      </c>
      <c r="H651" s="426">
        <v>8.4303100000000093</v>
      </c>
      <c r="I651" s="426">
        <v>8.4303100000000093</v>
      </c>
      <c r="J651" s="426">
        <v>8.4303100000000093</v>
      </c>
      <c r="K651" s="426">
        <v>8.4303100000000093</v>
      </c>
      <c r="L651" s="426">
        <v>8.4303100000000093</v>
      </c>
      <c r="M651" s="426">
        <v>8.4303100000000093</v>
      </c>
      <c r="N651" s="426">
        <v>8.4303100000000093</v>
      </c>
      <c r="O651" s="426">
        <v>8.4303100000000093</v>
      </c>
      <c r="P651" s="426">
        <v>8.4303100000000093</v>
      </c>
      <c r="Q651" s="426">
        <v>8.4303100000000093</v>
      </c>
      <c r="R651" s="426">
        <v>8.4303100000000093</v>
      </c>
      <c r="S651" s="426">
        <v>8.4303100000000093</v>
      </c>
      <c r="T651" s="426">
        <v>8.4303100000000093</v>
      </c>
      <c r="U651" s="426">
        <f t="shared" si="76"/>
        <v>101.16372000000008</v>
      </c>
      <c r="V651" s="426">
        <f t="shared" ref="V651:V704" si="82">SUM(H651:T651)/13</f>
        <v>8.4303100000000075</v>
      </c>
    </row>
    <row r="652" spans="1:22">
      <c r="A652" s="426" t="str">
        <f t="shared" si="77"/>
        <v>KU</v>
      </c>
      <c r="B652" s="426" t="str">
        <f t="shared" si="80"/>
        <v>KY</v>
      </c>
      <c r="C652" s="426" t="str">
        <f t="shared" si="81"/>
        <v>E</v>
      </c>
      <c r="D652" s="426" t="s">
        <v>2672</v>
      </c>
      <c r="E652" s="426" t="str">
        <f t="shared" si="79"/>
        <v>353</v>
      </c>
      <c r="F652" s="741" t="s">
        <v>1758</v>
      </c>
      <c r="G652" s="425" t="str">
        <f t="shared" si="78"/>
        <v/>
      </c>
      <c r="H652" s="426">
        <v>105.43539</v>
      </c>
      <c r="I652" s="426">
        <v>105.43539</v>
      </c>
      <c r="J652" s="426">
        <v>105.43539</v>
      </c>
      <c r="K652" s="426">
        <v>105.43539</v>
      </c>
      <c r="L652" s="426">
        <v>105.43539</v>
      </c>
      <c r="M652" s="426">
        <v>105.43539</v>
      </c>
      <c r="N652" s="426">
        <v>105.43539</v>
      </c>
      <c r="O652" s="426">
        <v>105.43539</v>
      </c>
      <c r="P652" s="426">
        <v>105.43539</v>
      </c>
      <c r="Q652" s="426">
        <v>105.43539</v>
      </c>
      <c r="R652" s="426">
        <v>105.43539</v>
      </c>
      <c r="S652" s="426">
        <v>105.43539</v>
      </c>
      <c r="T652" s="426">
        <v>105.43539</v>
      </c>
      <c r="U652" s="426">
        <f t="shared" si="76"/>
        <v>1265.2246800000003</v>
      </c>
      <c r="V652" s="426">
        <f t="shared" si="82"/>
        <v>105.43539000000003</v>
      </c>
    </row>
    <row r="653" spans="1:22">
      <c r="A653" s="426" t="str">
        <f t="shared" si="77"/>
        <v>KU</v>
      </c>
      <c r="B653" s="426" t="str">
        <f t="shared" si="80"/>
        <v>KY</v>
      </c>
      <c r="C653" s="426" t="str">
        <f t="shared" si="81"/>
        <v>E</v>
      </c>
      <c r="D653" s="426" t="s">
        <v>2672</v>
      </c>
      <c r="E653" s="426" t="str">
        <f t="shared" si="79"/>
        <v>354</v>
      </c>
      <c r="F653" s="741" t="s">
        <v>1761</v>
      </c>
      <c r="G653" s="425" t="str">
        <f t="shared" si="78"/>
        <v/>
      </c>
      <c r="H653" s="426">
        <v>26.610189999999999</v>
      </c>
      <c r="I653" s="426">
        <v>26.610189999999999</v>
      </c>
      <c r="J653" s="426">
        <v>26.610189999999999</v>
      </c>
      <c r="K653" s="426">
        <v>26.610189999999999</v>
      </c>
      <c r="L653" s="426">
        <v>26.610189999999999</v>
      </c>
      <c r="M653" s="426">
        <v>26.610189999999999</v>
      </c>
      <c r="N653" s="426">
        <v>26.610189999999999</v>
      </c>
      <c r="O653" s="426">
        <v>26.610189999999999</v>
      </c>
      <c r="P653" s="426">
        <v>26.610189999999999</v>
      </c>
      <c r="Q653" s="426">
        <v>26.610189999999999</v>
      </c>
      <c r="R653" s="426">
        <v>26.610189999999999</v>
      </c>
      <c r="S653" s="426">
        <v>26.610189999999999</v>
      </c>
      <c r="T653" s="426">
        <v>26.610189999999999</v>
      </c>
      <c r="U653" s="426">
        <f t="shared" si="76"/>
        <v>319.32227999999992</v>
      </c>
      <c r="V653" s="426">
        <f t="shared" si="82"/>
        <v>26.610189999999992</v>
      </c>
    </row>
    <row r="654" spans="1:22">
      <c r="A654" s="426" t="str">
        <f t="shared" si="77"/>
        <v>KU</v>
      </c>
      <c r="B654" s="426" t="str">
        <f t="shared" si="80"/>
        <v>KY</v>
      </c>
      <c r="C654" s="426" t="str">
        <f t="shared" si="81"/>
        <v>E</v>
      </c>
      <c r="D654" s="426" t="s">
        <v>2672</v>
      </c>
      <c r="E654" s="426" t="str">
        <f t="shared" si="79"/>
        <v>355</v>
      </c>
      <c r="F654" s="741" t="s">
        <v>1763</v>
      </c>
      <c r="G654" s="425" t="str">
        <f t="shared" si="78"/>
        <v/>
      </c>
      <c r="H654" s="426">
        <v>128.15481</v>
      </c>
      <c r="I654" s="426">
        <v>128.15481</v>
      </c>
      <c r="J654" s="426">
        <v>128.15481</v>
      </c>
      <c r="K654" s="426">
        <v>128.15481</v>
      </c>
      <c r="L654" s="426">
        <v>128.15481</v>
      </c>
      <c r="M654" s="426">
        <v>128.15481</v>
      </c>
      <c r="N654" s="426">
        <v>128.15481</v>
      </c>
      <c r="O654" s="426">
        <v>128.15481</v>
      </c>
      <c r="P654" s="426">
        <v>128.15481</v>
      </c>
      <c r="Q654" s="426">
        <v>128.15481</v>
      </c>
      <c r="R654" s="426">
        <v>128.15481</v>
      </c>
      <c r="S654" s="426">
        <v>128.15481</v>
      </c>
      <c r="T654" s="426">
        <v>128.15481</v>
      </c>
      <c r="U654" s="426">
        <f t="shared" si="76"/>
        <v>1537.85772</v>
      </c>
      <c r="V654" s="426">
        <f t="shared" si="82"/>
        <v>128.15481</v>
      </c>
    </row>
    <row r="655" spans="1:22">
      <c r="A655" s="426" t="str">
        <f t="shared" si="77"/>
        <v>KU</v>
      </c>
      <c r="B655" s="426" t="str">
        <f t="shared" si="80"/>
        <v>KY</v>
      </c>
      <c r="C655" s="426" t="str">
        <f t="shared" si="81"/>
        <v>E</v>
      </c>
      <c r="D655" s="426" t="s">
        <v>2672</v>
      </c>
      <c r="E655" s="426" t="str">
        <f t="shared" si="79"/>
        <v>356</v>
      </c>
      <c r="F655" s="741" t="s">
        <v>1766</v>
      </c>
      <c r="G655" s="425" t="str">
        <f t="shared" si="78"/>
        <v/>
      </c>
      <c r="H655" s="426">
        <v>42.2501800000001</v>
      </c>
      <c r="I655" s="426">
        <v>42.2501800000001</v>
      </c>
      <c r="J655" s="426">
        <v>42.2501800000001</v>
      </c>
      <c r="K655" s="426">
        <v>42.2501800000001</v>
      </c>
      <c r="L655" s="426">
        <v>42.2501800000001</v>
      </c>
      <c r="M655" s="426">
        <v>42.2501800000001</v>
      </c>
      <c r="N655" s="426">
        <v>42.2501800000001</v>
      </c>
      <c r="O655" s="426">
        <v>42.2501800000001</v>
      </c>
      <c r="P655" s="426">
        <v>42.2501800000001</v>
      </c>
      <c r="Q655" s="426">
        <v>42.2501800000001</v>
      </c>
      <c r="R655" s="426">
        <v>42.2501800000001</v>
      </c>
      <c r="S655" s="426">
        <v>42.2501800000001</v>
      </c>
      <c r="T655" s="426">
        <v>42.2501800000001</v>
      </c>
      <c r="U655" s="426">
        <f t="shared" si="76"/>
        <v>507.00216000000131</v>
      </c>
      <c r="V655" s="426">
        <f t="shared" si="82"/>
        <v>42.250180000000107</v>
      </c>
    </row>
    <row r="656" spans="1:22">
      <c r="A656" s="426" t="str">
        <f t="shared" si="77"/>
        <v>KU</v>
      </c>
      <c r="B656" s="426" t="str">
        <f t="shared" si="80"/>
        <v>KY</v>
      </c>
      <c r="C656" s="426" t="str">
        <f t="shared" si="81"/>
        <v>E</v>
      </c>
      <c r="D656" s="426" t="s">
        <v>2672</v>
      </c>
      <c r="E656" s="426" t="str">
        <f t="shared" si="79"/>
        <v>357</v>
      </c>
      <c r="F656" s="741" t="s">
        <v>1769</v>
      </c>
      <c r="G656" s="425" t="str">
        <f t="shared" si="78"/>
        <v/>
      </c>
      <c r="H656" s="426">
        <v>0.24815999999999999</v>
      </c>
      <c r="I656" s="426">
        <v>0.24815999999999999</v>
      </c>
      <c r="J656" s="426">
        <v>0.24815999999999999</v>
      </c>
      <c r="K656" s="426">
        <v>0.24815999999999999</v>
      </c>
      <c r="L656" s="426">
        <v>0.24815999999999999</v>
      </c>
      <c r="M656" s="426">
        <v>0.24815999999999999</v>
      </c>
      <c r="N656" s="426">
        <v>0.24815999999999999</v>
      </c>
      <c r="O656" s="426">
        <v>0.24815999999999999</v>
      </c>
      <c r="P656" s="426">
        <v>0.24815999999999999</v>
      </c>
      <c r="Q656" s="426">
        <v>0.24815999999999999</v>
      </c>
      <c r="R656" s="426">
        <v>0.24815999999999999</v>
      </c>
      <c r="S656" s="426">
        <v>0.24815999999999999</v>
      </c>
      <c r="T656" s="426">
        <v>0.24815999999999999</v>
      </c>
      <c r="U656" s="426">
        <f t="shared" si="76"/>
        <v>2.9779199999999997</v>
      </c>
      <c r="V656" s="426">
        <f t="shared" si="82"/>
        <v>0.24815999999999996</v>
      </c>
    </row>
    <row r="657" spans="1:22">
      <c r="A657" s="426" t="str">
        <f t="shared" si="77"/>
        <v>KU</v>
      </c>
      <c r="B657" s="426" t="str">
        <f t="shared" si="80"/>
        <v>KY</v>
      </c>
      <c r="C657" s="426" t="str">
        <f t="shared" si="81"/>
        <v>E</v>
      </c>
      <c r="D657" s="426" t="s">
        <v>2672</v>
      </c>
      <c r="E657" s="426" t="str">
        <f t="shared" si="79"/>
        <v>358</v>
      </c>
      <c r="F657" s="741" t="s">
        <v>1770</v>
      </c>
      <c r="G657" s="425" t="str">
        <f t="shared" si="78"/>
        <v/>
      </c>
      <c r="H657" s="426">
        <v>0.24948999999999999</v>
      </c>
      <c r="I657" s="426">
        <v>0.24948999999999999</v>
      </c>
      <c r="J657" s="426">
        <v>0.24948999999999999</v>
      </c>
      <c r="K657" s="426">
        <v>0.24948999999999999</v>
      </c>
      <c r="L657" s="426">
        <v>0.24948999999999999</v>
      </c>
      <c r="M657" s="426">
        <v>0.24948999999999999</v>
      </c>
      <c r="N657" s="426">
        <v>0.24948999999999999</v>
      </c>
      <c r="O657" s="426">
        <v>0.24948999999999999</v>
      </c>
      <c r="P657" s="426">
        <v>0.24948999999999999</v>
      </c>
      <c r="Q657" s="426">
        <v>0.24948999999999999</v>
      </c>
      <c r="R657" s="426">
        <v>0.24948999999999999</v>
      </c>
      <c r="S657" s="426">
        <v>0.24948999999999999</v>
      </c>
      <c r="T657" s="426">
        <v>0.24948999999999999</v>
      </c>
      <c r="U657" s="426">
        <f t="shared" si="76"/>
        <v>2.993879999999999</v>
      </c>
      <c r="V657" s="426">
        <f t="shared" si="82"/>
        <v>0.24948999999999991</v>
      </c>
    </row>
    <row r="658" spans="1:22">
      <c r="F658" s="799" t="s">
        <v>1823</v>
      </c>
      <c r="G658" s="425" t="str">
        <f t="shared" si="78"/>
        <v/>
      </c>
      <c r="H658" s="426">
        <f>SUM(H628:H657)</f>
        <v>7312.4801899999984</v>
      </c>
      <c r="I658" s="426">
        <f t="shared" ref="I658:T658" si="83">SUM(I628:I657)</f>
        <v>7312.4801899999993</v>
      </c>
      <c r="J658" s="426">
        <f t="shared" si="83"/>
        <v>7312.4801899999993</v>
      </c>
      <c r="K658" s="426">
        <f t="shared" si="83"/>
        <v>7312.4801899999993</v>
      </c>
      <c r="L658" s="426">
        <f t="shared" si="83"/>
        <v>7312.4801899999993</v>
      </c>
      <c r="M658" s="426">
        <f t="shared" si="83"/>
        <v>7312.4801899999993</v>
      </c>
      <c r="N658" s="426">
        <f t="shared" si="83"/>
        <v>7312.4801899999993</v>
      </c>
      <c r="O658" s="426">
        <f t="shared" si="83"/>
        <v>7312.4801899999993</v>
      </c>
      <c r="P658" s="426">
        <f t="shared" si="83"/>
        <v>7312.4801899999993</v>
      </c>
      <c r="Q658" s="426">
        <f t="shared" si="83"/>
        <v>7312.4801899999993</v>
      </c>
      <c r="R658" s="426">
        <f t="shared" si="83"/>
        <v>7312.4801899999993</v>
      </c>
      <c r="S658" s="426">
        <f t="shared" si="83"/>
        <v>7312.4801899999993</v>
      </c>
      <c r="T658" s="426">
        <f t="shared" si="83"/>
        <v>7312.4801899999993</v>
      </c>
      <c r="U658" s="426">
        <f t="shared" si="76"/>
        <v>87749.76228000001</v>
      </c>
      <c r="V658" s="426">
        <f t="shared" si="82"/>
        <v>7312.4801900000011</v>
      </c>
    </row>
    <row r="659" spans="1:22">
      <c r="G659" s="425" t="str">
        <f t="shared" si="78"/>
        <v/>
      </c>
      <c r="U659" s="426">
        <f t="shared" si="76"/>
        <v>0</v>
      </c>
      <c r="V659" s="426">
        <f t="shared" si="82"/>
        <v>0</v>
      </c>
    </row>
    <row r="660" spans="1:22">
      <c r="F660" s="800" t="s">
        <v>2405</v>
      </c>
      <c r="G660" s="425" t="str">
        <f t="shared" si="78"/>
        <v/>
      </c>
      <c r="U660" s="426">
        <f t="shared" si="76"/>
        <v>0</v>
      </c>
      <c r="V660" s="426">
        <f t="shared" si="82"/>
        <v>0</v>
      </c>
    </row>
    <row r="661" spans="1:22">
      <c r="A661" s="426" t="str">
        <f t="shared" si="77"/>
        <v>KU</v>
      </c>
      <c r="B661" s="426" t="str">
        <f t="shared" si="80"/>
        <v>KY</v>
      </c>
      <c r="C661" s="426" t="str">
        <f t="shared" si="81"/>
        <v>E</v>
      </c>
      <c r="D661" s="426" t="s">
        <v>2673</v>
      </c>
      <c r="E661" s="426" t="str">
        <f t="shared" si="79"/>
        <v>312</v>
      </c>
      <c r="F661" s="741" t="s">
        <v>1728</v>
      </c>
      <c r="G661" s="425" t="str">
        <f t="shared" si="78"/>
        <v/>
      </c>
      <c r="H661" s="426">
        <v>23.923249999999999</v>
      </c>
      <c r="I661" s="426">
        <v>23.923249999999999</v>
      </c>
      <c r="J661" s="426">
        <v>23.923249999999999</v>
      </c>
      <c r="K661" s="426">
        <v>23.923249999999999</v>
      </c>
      <c r="L661" s="426">
        <v>23.923249999999999</v>
      </c>
      <c r="M661" s="426">
        <v>23.923249999999999</v>
      </c>
      <c r="N661" s="426">
        <v>23.923249999999999</v>
      </c>
      <c r="O661" s="426">
        <v>23.923249999999999</v>
      </c>
      <c r="P661" s="426">
        <v>23.923249999999999</v>
      </c>
      <c r="Q661" s="426">
        <v>23.923249999999999</v>
      </c>
      <c r="R661" s="426">
        <v>23.923249999999999</v>
      </c>
      <c r="S661" s="426">
        <v>23.923249999999999</v>
      </c>
      <c r="T661" s="426">
        <v>23.923249999999999</v>
      </c>
      <c r="U661" s="706">
        <f t="shared" si="76"/>
        <v>287.07900000000001</v>
      </c>
      <c r="V661" s="426">
        <f t="shared" si="82"/>
        <v>23.923249999999999</v>
      </c>
    </row>
    <row r="662" spans="1:22">
      <c r="A662" s="426" t="str">
        <f t="shared" si="77"/>
        <v>KU</v>
      </c>
      <c r="B662" s="426" t="str">
        <f t="shared" si="80"/>
        <v>KY</v>
      </c>
      <c r="C662" s="426" t="str">
        <f t="shared" si="81"/>
        <v>E</v>
      </c>
      <c r="D662" s="426" t="s">
        <v>2673</v>
      </c>
      <c r="E662" s="426" t="str">
        <f t="shared" si="79"/>
        <v>334</v>
      </c>
      <c r="F662" s="741" t="s">
        <v>1741</v>
      </c>
      <c r="G662" s="425" t="str">
        <f t="shared" si="78"/>
        <v/>
      </c>
      <c r="H662" s="426">
        <v>1E-3</v>
      </c>
      <c r="I662" s="426">
        <v>1E-3</v>
      </c>
      <c r="J662" s="426">
        <v>1E-3</v>
      </c>
      <c r="K662" s="426">
        <v>1E-3</v>
      </c>
      <c r="L662" s="426">
        <v>1E-3</v>
      </c>
      <c r="M662" s="426">
        <v>1E-3</v>
      </c>
      <c r="N662" s="426">
        <v>1E-3</v>
      </c>
      <c r="O662" s="426">
        <v>1E-3</v>
      </c>
      <c r="P662" s="426">
        <v>1E-3</v>
      </c>
      <c r="Q662" s="426">
        <v>1E-3</v>
      </c>
      <c r="R662" s="426">
        <v>1E-3</v>
      </c>
      <c r="S662" s="426">
        <v>1E-3</v>
      </c>
      <c r="T662" s="426">
        <v>1E-3</v>
      </c>
      <c r="U662" s="706">
        <f t="shared" si="76"/>
        <v>1.2000000000000004E-2</v>
      </c>
      <c r="V662" s="426">
        <f t="shared" si="82"/>
        <v>1.0000000000000005E-3</v>
      </c>
    </row>
    <row r="663" spans="1:22">
      <c r="A663" s="426" t="str">
        <f t="shared" si="77"/>
        <v>KU</v>
      </c>
      <c r="B663" s="426" t="str">
        <f t="shared" si="80"/>
        <v>KY</v>
      </c>
      <c r="C663" s="426" t="str">
        <f t="shared" si="81"/>
        <v>E</v>
      </c>
      <c r="D663" s="426" t="s">
        <v>2673</v>
      </c>
      <c r="E663" s="426" t="str">
        <f t="shared" si="79"/>
        <v>342</v>
      </c>
      <c r="F663" s="741" t="s">
        <v>1747</v>
      </c>
      <c r="G663" s="425" t="str">
        <f t="shared" si="78"/>
        <v/>
      </c>
      <c r="H663" s="426">
        <v>3.6666666666666701E-3</v>
      </c>
      <c r="I663" s="426">
        <v>3.6666666666666701E-3</v>
      </c>
      <c r="J663" s="426">
        <v>3.6666666666666701E-3</v>
      </c>
      <c r="K663" s="426">
        <v>3.6666666666666701E-3</v>
      </c>
      <c r="L663" s="426">
        <v>3.6666666666666701E-3</v>
      </c>
      <c r="M663" s="426">
        <v>3.6666666666666701E-3</v>
      </c>
      <c r="N663" s="426">
        <v>3.6666666666666701E-3</v>
      </c>
      <c r="O663" s="426">
        <v>3.6666666666666701E-3</v>
      </c>
      <c r="P663" s="426">
        <v>3.6666666666666701E-3</v>
      </c>
      <c r="Q663" s="426">
        <v>3.6666666666666701E-3</v>
      </c>
      <c r="R663" s="426">
        <v>3.6666666666666701E-3</v>
      </c>
      <c r="S663" s="426">
        <v>3.6666666666666701E-3</v>
      </c>
      <c r="T663" s="426">
        <v>3.6666666666666701E-3</v>
      </c>
      <c r="U663" s="706">
        <f t="shared" si="76"/>
        <v>4.4000000000000046E-2</v>
      </c>
      <c r="V663" s="426">
        <f t="shared" si="82"/>
        <v>3.6666666666666705E-3</v>
      </c>
    </row>
    <row r="664" spans="1:22">
      <c r="A664" s="426" t="str">
        <f t="shared" si="77"/>
        <v>KU</v>
      </c>
      <c r="B664" s="426" t="str">
        <f t="shared" si="80"/>
        <v>KY</v>
      </c>
      <c r="C664" s="426" t="str">
        <f t="shared" si="81"/>
        <v>E</v>
      </c>
      <c r="D664" s="426" t="s">
        <v>2673</v>
      </c>
      <c r="E664" s="426" t="str">
        <f t="shared" si="79"/>
        <v>353</v>
      </c>
      <c r="F664" s="741" t="s">
        <v>1758</v>
      </c>
      <c r="G664" s="425" t="str">
        <f t="shared" si="78"/>
        <v/>
      </c>
      <c r="H664" s="426">
        <v>2.4697499999999999</v>
      </c>
      <c r="I664" s="426">
        <v>2.4697499999999999</v>
      </c>
      <c r="J664" s="426">
        <v>2.4697499999999999</v>
      </c>
      <c r="K664" s="426">
        <v>2.4697499999999999</v>
      </c>
      <c r="L664" s="426">
        <v>2.4697499999999999</v>
      </c>
      <c r="M664" s="426">
        <v>2.4697499999999999</v>
      </c>
      <c r="N664" s="426">
        <v>2.4697499999999999</v>
      </c>
      <c r="O664" s="426">
        <v>2.4697499999999999</v>
      </c>
      <c r="P664" s="426">
        <v>2.4697499999999999</v>
      </c>
      <c r="Q664" s="426">
        <v>2.4697499999999999</v>
      </c>
      <c r="R664" s="426">
        <v>2.4697499999999999</v>
      </c>
      <c r="S664" s="426">
        <v>2.4697499999999999</v>
      </c>
      <c r="T664" s="426">
        <v>2.4697499999999999</v>
      </c>
      <c r="U664" s="706">
        <f t="shared" si="76"/>
        <v>29.637000000000004</v>
      </c>
      <c r="V664" s="426">
        <f t="shared" si="82"/>
        <v>2.4697500000000003</v>
      </c>
    </row>
    <row r="665" spans="1:22">
      <c r="F665" s="799" t="s">
        <v>1823</v>
      </c>
      <c r="G665" s="425" t="str">
        <f t="shared" si="78"/>
        <v/>
      </c>
      <c r="H665" s="426">
        <f>SUM(H661:H664)</f>
        <v>26.397666666666669</v>
      </c>
      <c r="I665" s="426">
        <f t="shared" ref="I665:T665" si="84">SUM(I661:I664)</f>
        <v>26.397666666666669</v>
      </c>
      <c r="J665" s="426">
        <f t="shared" si="84"/>
        <v>26.397666666666669</v>
      </c>
      <c r="K665" s="426">
        <f t="shared" si="84"/>
        <v>26.397666666666669</v>
      </c>
      <c r="L665" s="426">
        <f t="shared" si="84"/>
        <v>26.397666666666669</v>
      </c>
      <c r="M665" s="426">
        <f t="shared" si="84"/>
        <v>26.397666666666669</v>
      </c>
      <c r="N665" s="426">
        <f t="shared" si="84"/>
        <v>26.397666666666669</v>
      </c>
      <c r="O665" s="426">
        <f t="shared" si="84"/>
        <v>26.397666666666669</v>
      </c>
      <c r="P665" s="426">
        <f t="shared" si="84"/>
        <v>26.397666666666669</v>
      </c>
      <c r="Q665" s="426">
        <f t="shared" si="84"/>
        <v>26.397666666666669</v>
      </c>
      <c r="R665" s="426">
        <f t="shared" si="84"/>
        <v>26.397666666666669</v>
      </c>
      <c r="S665" s="426">
        <f t="shared" si="84"/>
        <v>26.397666666666669</v>
      </c>
      <c r="T665" s="426">
        <f t="shared" si="84"/>
        <v>26.397666666666669</v>
      </c>
      <c r="U665" s="706">
        <f t="shared" si="76"/>
        <v>316.77200000000011</v>
      </c>
      <c r="V665" s="426">
        <f t="shared" si="82"/>
        <v>26.397666666666677</v>
      </c>
    </row>
    <row r="666" spans="1:22">
      <c r="G666" s="425" t="str">
        <f t="shared" si="78"/>
        <v/>
      </c>
      <c r="U666" s="706">
        <f t="shared" si="76"/>
        <v>0</v>
      </c>
      <c r="V666" s="426">
        <f t="shared" si="82"/>
        <v>0</v>
      </c>
    </row>
    <row r="667" spans="1:22">
      <c r="F667" s="800" t="s">
        <v>2406</v>
      </c>
      <c r="G667" s="425" t="str">
        <f t="shared" si="78"/>
        <v/>
      </c>
      <c r="U667" s="706">
        <f t="shared" si="76"/>
        <v>0</v>
      </c>
      <c r="V667" s="426">
        <f t="shared" si="82"/>
        <v>0</v>
      </c>
    </row>
    <row r="668" spans="1:22">
      <c r="A668" s="426" t="str">
        <f t="shared" si="77"/>
        <v>KU</v>
      </c>
      <c r="B668" s="426" t="str">
        <f t="shared" si="80"/>
        <v>KY</v>
      </c>
      <c r="C668" s="426" t="str">
        <f t="shared" si="81"/>
        <v>E</v>
      </c>
      <c r="D668" s="426" t="s">
        <v>2674</v>
      </c>
      <c r="E668" s="426" t="str">
        <f>MID($F668,8,3)</f>
        <v>311</v>
      </c>
      <c r="F668" s="741" t="s">
        <v>2178</v>
      </c>
      <c r="H668" s="426">
        <v>1.3083333333333299E-2</v>
      </c>
      <c r="I668" s="426">
        <v>0</v>
      </c>
      <c r="J668" s="426">
        <v>0</v>
      </c>
      <c r="K668" s="426">
        <v>0</v>
      </c>
      <c r="L668" s="426">
        <v>0</v>
      </c>
      <c r="M668" s="426">
        <v>0</v>
      </c>
      <c r="N668" s="426">
        <v>0</v>
      </c>
      <c r="O668" s="426">
        <v>0</v>
      </c>
      <c r="P668" s="426">
        <v>0</v>
      </c>
      <c r="Q668" s="426">
        <v>0</v>
      </c>
      <c r="R668" s="426">
        <v>0</v>
      </c>
      <c r="S668" s="426">
        <v>0</v>
      </c>
      <c r="T668" s="426">
        <v>0</v>
      </c>
      <c r="U668" s="706">
        <f t="shared" si="76"/>
        <v>0</v>
      </c>
      <c r="V668" s="426">
        <f t="shared" si="82"/>
        <v>1.0064102564102538E-3</v>
      </c>
    </row>
    <row r="669" spans="1:22">
      <c r="A669" s="426" t="str">
        <f t="shared" si="77"/>
        <v>KU</v>
      </c>
      <c r="B669" s="426" t="str">
        <f t="shared" si="80"/>
        <v>KY</v>
      </c>
      <c r="C669" s="426" t="str">
        <f t="shared" si="81"/>
        <v>E</v>
      </c>
      <c r="D669" s="426" t="s">
        <v>2674</v>
      </c>
      <c r="E669" s="426" t="str">
        <f>MID($F669,8,3)</f>
        <v>311</v>
      </c>
      <c r="F669" s="741" t="s">
        <v>1727</v>
      </c>
      <c r="G669" s="425" t="str">
        <f t="shared" si="78"/>
        <v/>
      </c>
      <c r="H669" s="426">
        <v>0</v>
      </c>
      <c r="I669" s="426">
        <v>1.3083333333333299E-2</v>
      </c>
      <c r="J669" s="426">
        <v>1.3083333333333299E-2</v>
      </c>
      <c r="K669" s="426">
        <v>1.3083333333333299E-2</v>
      </c>
      <c r="L669" s="426">
        <v>1.3083333333333299E-2</v>
      </c>
      <c r="M669" s="426">
        <v>1.3083333333333299E-2</v>
      </c>
      <c r="N669" s="426">
        <v>1.3083333333333299E-2</v>
      </c>
      <c r="O669" s="426">
        <v>1.3083333333333299E-2</v>
      </c>
      <c r="P669" s="426">
        <v>1.3083333333333299E-2</v>
      </c>
      <c r="Q669" s="426">
        <v>1.3083333333333299E-2</v>
      </c>
      <c r="R669" s="426">
        <v>1.3083333333333299E-2</v>
      </c>
      <c r="S669" s="426">
        <v>1.3083333333333299E-2</v>
      </c>
      <c r="T669" s="426">
        <v>1.3083333333333299E-2</v>
      </c>
      <c r="U669" s="706">
        <f t="shared" si="76"/>
        <v>0.15699999999999958</v>
      </c>
      <c r="V669" s="426">
        <f t="shared" si="82"/>
        <v>1.2076923076923044E-2</v>
      </c>
    </row>
    <row r="670" spans="1:22">
      <c r="A670" s="426" t="str">
        <f t="shared" si="77"/>
        <v>KU</v>
      </c>
      <c r="B670" s="426" t="str">
        <f t="shared" si="80"/>
        <v>KY</v>
      </c>
      <c r="C670" s="426" t="str">
        <f t="shared" si="81"/>
        <v>E</v>
      </c>
      <c r="D670" s="426" t="s">
        <v>2674</v>
      </c>
      <c r="E670" s="426" t="str">
        <f>MID($F670,8,3)</f>
        <v>312</v>
      </c>
      <c r="F670" s="741" t="s">
        <v>1728</v>
      </c>
      <c r="G670" s="425" t="str">
        <f t="shared" si="78"/>
        <v/>
      </c>
      <c r="H670" s="426">
        <v>13.280666666666701</v>
      </c>
      <c r="I670" s="426">
        <v>14.809753060165001</v>
      </c>
      <c r="J670" s="426">
        <v>14.809753060165001</v>
      </c>
      <c r="K670" s="426">
        <v>14.809753060165001</v>
      </c>
      <c r="L670" s="426">
        <v>14.809753060165001</v>
      </c>
      <c r="M670" s="426">
        <v>14.809753060165001</v>
      </c>
      <c r="N670" s="426">
        <v>14.809753060165001</v>
      </c>
      <c r="O670" s="426">
        <v>14.809753060165001</v>
      </c>
      <c r="P670" s="426">
        <v>14.809753060165001</v>
      </c>
      <c r="Q670" s="426">
        <v>14.809753060165001</v>
      </c>
      <c r="R670" s="426">
        <v>14.809753060165001</v>
      </c>
      <c r="S670" s="426">
        <v>14.809753060165001</v>
      </c>
      <c r="T670" s="426">
        <v>14.809753060165001</v>
      </c>
      <c r="U670" s="706">
        <f t="shared" si="76"/>
        <v>177.71703672198007</v>
      </c>
      <c r="V670" s="426">
        <f t="shared" si="82"/>
        <v>14.692131029895904</v>
      </c>
    </row>
    <row r="671" spans="1:22">
      <c r="A671" s="426" t="str">
        <f t="shared" si="77"/>
        <v>KU</v>
      </c>
      <c r="B671" s="426" t="str">
        <f t="shared" si="80"/>
        <v>KY</v>
      </c>
      <c r="C671" s="426" t="str">
        <f t="shared" si="81"/>
        <v>E</v>
      </c>
      <c r="D671" s="426" t="s">
        <v>2674</v>
      </c>
      <c r="E671" s="426" t="str">
        <f t="shared" ref="E671:E675" si="85">MID($F671,8,3)</f>
        <v>312</v>
      </c>
      <c r="F671" s="741" t="s">
        <v>1729</v>
      </c>
      <c r="H671" s="426">
        <v>0.34558639349829801</v>
      </c>
      <c r="I671" s="426">
        <v>0</v>
      </c>
      <c r="J671" s="426">
        <v>0</v>
      </c>
      <c r="K671" s="426">
        <v>0</v>
      </c>
      <c r="L671" s="426">
        <v>0</v>
      </c>
      <c r="M671" s="426">
        <v>0</v>
      </c>
      <c r="N671" s="426">
        <v>0</v>
      </c>
      <c r="O671" s="426">
        <v>0</v>
      </c>
      <c r="P671" s="426">
        <v>0</v>
      </c>
      <c r="Q671" s="426">
        <v>0</v>
      </c>
      <c r="R671" s="426">
        <v>0</v>
      </c>
      <c r="S671" s="426">
        <v>0</v>
      </c>
      <c r="T671" s="426">
        <v>0</v>
      </c>
      <c r="U671" s="706">
        <f t="shared" si="76"/>
        <v>0</v>
      </c>
      <c r="V671" s="426">
        <f t="shared" si="82"/>
        <v>2.6583568730638309E-2</v>
      </c>
    </row>
    <row r="672" spans="1:22">
      <c r="A672" s="426" t="str">
        <f t="shared" si="77"/>
        <v>KU</v>
      </c>
      <c r="B672" s="426" t="str">
        <f t="shared" si="80"/>
        <v>KY</v>
      </c>
      <c r="C672" s="426" t="str">
        <f t="shared" si="81"/>
        <v>E</v>
      </c>
      <c r="D672" s="426" t="s">
        <v>2674</v>
      </c>
      <c r="E672" s="426" t="str">
        <f t="shared" si="85"/>
        <v>312</v>
      </c>
      <c r="F672" s="741" t="s">
        <v>2714</v>
      </c>
      <c r="G672" s="425" t="str">
        <f t="shared" si="78"/>
        <v>ECR</v>
      </c>
      <c r="H672" s="426">
        <v>9.9830273168369302E-2</v>
      </c>
      <c r="I672" s="426">
        <v>9.9830273168369302E-2</v>
      </c>
      <c r="J672" s="426">
        <v>9.9830273168369302E-2</v>
      </c>
      <c r="K672" s="426">
        <v>9.9830273168369302E-2</v>
      </c>
      <c r="L672" s="426">
        <v>9.9830273168369302E-2</v>
      </c>
      <c r="M672" s="426">
        <v>9.9830273168369302E-2</v>
      </c>
      <c r="N672" s="426">
        <v>9.9830273168369302E-2</v>
      </c>
      <c r="O672" s="426">
        <v>9.9830273168369302E-2</v>
      </c>
      <c r="P672" s="426">
        <v>9.9830273168369302E-2</v>
      </c>
      <c r="Q672" s="426">
        <v>9.9830273168369302E-2</v>
      </c>
      <c r="R672" s="426">
        <v>9.9830273168369302E-2</v>
      </c>
      <c r="S672" s="426">
        <v>9.9830273168369302E-2</v>
      </c>
      <c r="T672" s="426">
        <v>9.9830273168369302E-2</v>
      </c>
      <c r="U672" s="706">
        <f t="shared" si="76"/>
        <v>1.1979632780204319</v>
      </c>
      <c r="V672" s="426">
        <f t="shared" si="82"/>
        <v>9.983027316836933E-2</v>
      </c>
    </row>
    <row r="673" spans="1:22">
      <c r="A673" s="426" t="str">
        <f t="shared" si="77"/>
        <v>KU</v>
      </c>
      <c r="B673" s="426" t="str">
        <f t="shared" si="80"/>
        <v>KY</v>
      </c>
      <c r="C673" s="426" t="str">
        <f t="shared" si="81"/>
        <v>E</v>
      </c>
      <c r="D673" s="426" t="s">
        <v>2674</v>
      </c>
      <c r="E673" s="426" t="str">
        <f t="shared" si="85"/>
        <v>312</v>
      </c>
      <c r="F673" s="741" t="s">
        <v>1730</v>
      </c>
      <c r="H673" s="426">
        <v>1.1835</v>
      </c>
      <c r="I673" s="426">
        <v>0</v>
      </c>
      <c r="J673" s="426">
        <v>0</v>
      </c>
      <c r="K673" s="426">
        <v>0</v>
      </c>
      <c r="L673" s="426">
        <v>0</v>
      </c>
      <c r="M673" s="426">
        <v>0</v>
      </c>
      <c r="N673" s="426">
        <v>0</v>
      </c>
      <c r="O673" s="426">
        <v>0</v>
      </c>
      <c r="P673" s="426">
        <v>0</v>
      </c>
      <c r="Q673" s="426">
        <v>0</v>
      </c>
      <c r="R673" s="426">
        <v>0</v>
      </c>
      <c r="S673" s="426">
        <v>0</v>
      </c>
      <c r="T673" s="426">
        <v>0</v>
      </c>
      <c r="U673" s="706">
        <f t="shared" si="76"/>
        <v>0</v>
      </c>
      <c r="V673" s="426">
        <f t="shared" si="82"/>
        <v>9.103846153846154E-2</v>
      </c>
    </row>
    <row r="674" spans="1:22">
      <c r="A674" s="426" t="str">
        <f t="shared" si="77"/>
        <v>KU</v>
      </c>
      <c r="B674" s="426" t="str">
        <f t="shared" si="80"/>
        <v>KY</v>
      </c>
      <c r="C674" s="426" t="str">
        <f t="shared" si="81"/>
        <v>E</v>
      </c>
      <c r="D674" s="426" t="s">
        <v>2674</v>
      </c>
      <c r="E674" s="426" t="str">
        <f t="shared" si="85"/>
        <v>312</v>
      </c>
      <c r="F674" s="741" t="s">
        <v>2179</v>
      </c>
      <c r="H674" s="426">
        <v>0</v>
      </c>
      <c r="I674" s="426">
        <v>0</v>
      </c>
      <c r="J674" s="426">
        <v>0</v>
      </c>
      <c r="K674" s="426">
        <v>0</v>
      </c>
      <c r="L674" s="426">
        <v>0</v>
      </c>
      <c r="M674" s="426">
        <v>0</v>
      </c>
      <c r="N674" s="426">
        <v>0</v>
      </c>
      <c r="O674" s="426">
        <v>0</v>
      </c>
      <c r="P674" s="426">
        <v>0</v>
      </c>
      <c r="Q674" s="426">
        <v>0</v>
      </c>
      <c r="R674" s="426">
        <v>0</v>
      </c>
      <c r="S674" s="426">
        <v>0</v>
      </c>
      <c r="T674" s="426">
        <v>0</v>
      </c>
      <c r="U674" s="706">
        <f t="shared" si="76"/>
        <v>0</v>
      </c>
      <c r="V674" s="426">
        <f t="shared" si="82"/>
        <v>0</v>
      </c>
    </row>
    <row r="675" spans="1:22">
      <c r="A675" s="426" t="str">
        <f t="shared" si="77"/>
        <v>KU</v>
      </c>
      <c r="B675" s="426" t="str">
        <f t="shared" si="80"/>
        <v>KY</v>
      </c>
      <c r="C675" s="426" t="str">
        <f t="shared" si="81"/>
        <v>E</v>
      </c>
      <c r="D675" s="426" t="s">
        <v>2674</v>
      </c>
      <c r="E675" s="426" t="str">
        <f t="shared" si="85"/>
        <v>312</v>
      </c>
      <c r="F675" s="741" t="s">
        <v>2715</v>
      </c>
      <c r="G675" s="425" t="str">
        <f t="shared" si="78"/>
        <v>ECR</v>
      </c>
      <c r="H675" s="426">
        <v>0.77391666666666703</v>
      </c>
      <c r="I675" s="426">
        <v>0.77391666666666703</v>
      </c>
      <c r="J675" s="426">
        <v>0.77391666666666703</v>
      </c>
      <c r="K675" s="426">
        <v>0.77391666666666703</v>
      </c>
      <c r="L675" s="426">
        <v>0.77391666666666703</v>
      </c>
      <c r="M675" s="426">
        <v>0.77391666666666703</v>
      </c>
      <c r="N675" s="426">
        <v>0.77391666666666703</v>
      </c>
      <c r="O675" s="426">
        <v>0.77391666666666703</v>
      </c>
      <c r="P675" s="426">
        <v>0.77391666666666703</v>
      </c>
      <c r="Q675" s="426">
        <v>0.77391666666666703</v>
      </c>
      <c r="R675" s="426">
        <v>0.77391666666666703</v>
      </c>
      <c r="S675" s="426">
        <v>0.77391666666666703</v>
      </c>
      <c r="T675" s="426">
        <v>0.77391666666666703</v>
      </c>
      <c r="U675" s="706">
        <f t="shared" si="76"/>
        <v>9.2870000000000026</v>
      </c>
      <c r="V675" s="426">
        <f t="shared" si="82"/>
        <v>0.77391666666666681</v>
      </c>
    </row>
    <row r="676" spans="1:22">
      <c r="A676" s="426" t="str">
        <f t="shared" si="77"/>
        <v>KU</v>
      </c>
      <c r="B676" s="426" t="str">
        <f t="shared" si="80"/>
        <v>KY</v>
      </c>
      <c r="C676" s="426" t="str">
        <f t="shared" si="81"/>
        <v>E</v>
      </c>
      <c r="D676" s="426" t="s">
        <v>2674</v>
      </c>
      <c r="E676" s="426" t="str">
        <f>MID($F676,8,3)</f>
        <v>315</v>
      </c>
      <c r="F676" s="741" t="s">
        <v>1733</v>
      </c>
      <c r="G676" s="425" t="str">
        <f t="shared" si="78"/>
        <v/>
      </c>
      <c r="H676" s="426">
        <v>0</v>
      </c>
      <c r="I676" s="426">
        <v>1.7000000000000001E-2</v>
      </c>
      <c r="J676" s="426">
        <v>1.7000000000000001E-2</v>
      </c>
      <c r="K676" s="426">
        <v>1.7000000000000001E-2</v>
      </c>
      <c r="L676" s="426">
        <v>1.7000000000000001E-2</v>
      </c>
      <c r="M676" s="426">
        <v>1.7000000000000001E-2</v>
      </c>
      <c r="N676" s="426">
        <v>1.7000000000000001E-2</v>
      </c>
      <c r="O676" s="426">
        <v>1.7000000000000001E-2</v>
      </c>
      <c r="P676" s="426">
        <v>1.7000000000000001E-2</v>
      </c>
      <c r="Q676" s="426">
        <v>1.7000000000000001E-2</v>
      </c>
      <c r="R676" s="426">
        <v>1.7000000000000001E-2</v>
      </c>
      <c r="S676" s="426">
        <v>1.7000000000000001E-2</v>
      </c>
      <c r="T676" s="426">
        <v>1.7000000000000001E-2</v>
      </c>
      <c r="U676" s="706">
        <f t="shared" si="76"/>
        <v>0.20400000000000007</v>
      </c>
      <c r="V676" s="426">
        <f t="shared" si="82"/>
        <v>1.5692307692307696E-2</v>
      </c>
    </row>
    <row r="677" spans="1:22">
      <c r="A677" s="426" t="str">
        <f t="shared" si="77"/>
        <v>KU</v>
      </c>
      <c r="B677" s="426" t="str">
        <f t="shared" si="80"/>
        <v>KY</v>
      </c>
      <c r="C677" s="426" t="str">
        <f t="shared" si="81"/>
        <v>E</v>
      </c>
      <c r="D677" s="426" t="s">
        <v>2674</v>
      </c>
      <c r="E677" s="426" t="str">
        <f>MID($F677,8,3)</f>
        <v>315</v>
      </c>
      <c r="F677" s="741" t="s">
        <v>1734</v>
      </c>
      <c r="H677" s="426">
        <v>1.7000000000000001E-2</v>
      </c>
      <c r="I677" s="426">
        <v>0</v>
      </c>
      <c r="J677" s="426">
        <v>0</v>
      </c>
      <c r="K677" s="426">
        <v>0</v>
      </c>
      <c r="L677" s="426">
        <v>0</v>
      </c>
      <c r="M677" s="426">
        <v>0</v>
      </c>
      <c r="N677" s="426">
        <v>0</v>
      </c>
      <c r="O677" s="426">
        <v>0</v>
      </c>
      <c r="P677" s="426">
        <v>0</v>
      </c>
      <c r="Q677" s="426">
        <v>0</v>
      </c>
      <c r="R677" s="426">
        <v>0</v>
      </c>
      <c r="S677" s="426">
        <v>0</v>
      </c>
      <c r="T677" s="426">
        <v>0</v>
      </c>
      <c r="U677" s="706">
        <f t="shared" si="76"/>
        <v>0</v>
      </c>
      <c r="V677" s="426">
        <f t="shared" si="82"/>
        <v>1.3076923076923079E-3</v>
      </c>
    </row>
    <row r="678" spans="1:22">
      <c r="A678" s="426" t="str">
        <f t="shared" si="77"/>
        <v>KU</v>
      </c>
      <c r="B678" s="426" t="str">
        <f t="shared" si="80"/>
        <v>KY</v>
      </c>
      <c r="C678" s="426" t="str">
        <f t="shared" si="81"/>
        <v>E</v>
      </c>
      <c r="D678" s="426" t="s">
        <v>2674</v>
      </c>
      <c r="E678" s="426" t="str">
        <f t="shared" ref="E678:E687" si="86">MID($F678,8,3)</f>
        <v>334</v>
      </c>
      <c r="F678" s="741" t="s">
        <v>1741</v>
      </c>
      <c r="G678" s="425" t="str">
        <f t="shared" si="78"/>
        <v/>
      </c>
      <c r="H678" s="426">
        <v>6.1333333333333302E-2</v>
      </c>
      <c r="I678" s="426">
        <v>6.1333333333333302E-2</v>
      </c>
      <c r="J678" s="426">
        <v>6.1333333333333302E-2</v>
      </c>
      <c r="K678" s="426">
        <v>6.1333333333333302E-2</v>
      </c>
      <c r="L678" s="426">
        <v>6.1333333333333302E-2</v>
      </c>
      <c r="M678" s="426">
        <v>6.1333333333333302E-2</v>
      </c>
      <c r="N678" s="426">
        <v>6.1333333333333302E-2</v>
      </c>
      <c r="O678" s="426">
        <v>6.1333333333333302E-2</v>
      </c>
      <c r="P678" s="426">
        <v>6.1333333333333302E-2</v>
      </c>
      <c r="Q678" s="426">
        <v>6.1333333333333302E-2</v>
      </c>
      <c r="R678" s="426">
        <v>6.1333333333333302E-2</v>
      </c>
      <c r="S678" s="426">
        <v>6.1333333333333302E-2</v>
      </c>
      <c r="T678" s="426">
        <v>6.1333333333333302E-2</v>
      </c>
      <c r="U678" s="706">
        <f t="shared" si="76"/>
        <v>0.73599999999999977</v>
      </c>
      <c r="V678" s="426">
        <f t="shared" si="82"/>
        <v>6.1333333333333316E-2</v>
      </c>
    </row>
    <row r="679" spans="1:22">
      <c r="A679" s="426" t="str">
        <f t="shared" si="77"/>
        <v>KU</v>
      </c>
      <c r="B679" s="426" t="str">
        <f t="shared" si="80"/>
        <v>KY</v>
      </c>
      <c r="C679" s="426" t="str">
        <f t="shared" si="81"/>
        <v>E</v>
      </c>
      <c r="D679" s="426" t="s">
        <v>2674</v>
      </c>
      <c r="E679" s="426" t="str">
        <f t="shared" si="86"/>
        <v>342</v>
      </c>
      <c r="F679" s="741" t="s">
        <v>1747</v>
      </c>
      <c r="G679" s="425" t="str">
        <f t="shared" si="78"/>
        <v/>
      </c>
      <c r="H679" s="426">
        <v>3.3655833333333298</v>
      </c>
      <c r="I679" s="426">
        <v>3.3655833333333298</v>
      </c>
      <c r="J679" s="426">
        <v>3.3655833333333298</v>
      </c>
      <c r="K679" s="426">
        <v>3.3655833333333298</v>
      </c>
      <c r="L679" s="426">
        <v>3.3655833333333298</v>
      </c>
      <c r="M679" s="426">
        <v>3.3655833333333298</v>
      </c>
      <c r="N679" s="426">
        <v>3.3655833333333298</v>
      </c>
      <c r="O679" s="426">
        <v>3.3655833333333298</v>
      </c>
      <c r="P679" s="426">
        <v>3.3655833333333298</v>
      </c>
      <c r="Q679" s="426">
        <v>3.3655833333333298</v>
      </c>
      <c r="R679" s="426">
        <v>3.3655833333333298</v>
      </c>
      <c r="S679" s="426">
        <v>3.3655833333333298</v>
      </c>
      <c r="T679" s="426">
        <v>3.3655833333333298</v>
      </c>
      <c r="U679" s="706">
        <f t="shared" si="76"/>
        <v>40.386999999999958</v>
      </c>
      <c r="V679" s="426">
        <f t="shared" si="82"/>
        <v>3.3655833333333303</v>
      </c>
    </row>
    <row r="680" spans="1:22">
      <c r="A680" s="426" t="str">
        <f t="shared" si="77"/>
        <v>KU</v>
      </c>
      <c r="B680" s="426" t="str">
        <f t="shared" si="80"/>
        <v>KY</v>
      </c>
      <c r="C680" s="426" t="str">
        <f t="shared" si="81"/>
        <v>E</v>
      </c>
      <c r="D680" s="426" t="s">
        <v>2674</v>
      </c>
      <c r="E680" s="426" t="str">
        <f t="shared" si="86"/>
        <v>353</v>
      </c>
      <c r="F680" s="741" t="s">
        <v>1758</v>
      </c>
      <c r="G680" s="425" t="str">
        <f t="shared" si="78"/>
        <v/>
      </c>
      <c r="H680" s="426">
        <v>0.58625000000000005</v>
      </c>
      <c r="I680" s="426">
        <v>0.58625000000000005</v>
      </c>
      <c r="J680" s="426">
        <v>0.58625000000000005</v>
      </c>
      <c r="K680" s="426">
        <v>0.58625000000000005</v>
      </c>
      <c r="L680" s="426">
        <v>0.58625000000000005</v>
      </c>
      <c r="M680" s="426">
        <v>0.58625000000000005</v>
      </c>
      <c r="N680" s="426">
        <v>0.58625000000000005</v>
      </c>
      <c r="O680" s="426">
        <v>0.58625000000000005</v>
      </c>
      <c r="P680" s="426">
        <v>0.58625000000000005</v>
      </c>
      <c r="Q680" s="426">
        <v>0.58625000000000005</v>
      </c>
      <c r="R680" s="426">
        <v>0.58625000000000005</v>
      </c>
      <c r="S680" s="426">
        <v>0.58625000000000005</v>
      </c>
      <c r="T680" s="426">
        <v>0.58625000000000005</v>
      </c>
      <c r="U680" s="706">
        <f t="shared" si="76"/>
        <v>7.0349999999999993</v>
      </c>
      <c r="V680" s="426">
        <f t="shared" si="82"/>
        <v>0.58624999999999994</v>
      </c>
    </row>
    <row r="681" spans="1:22">
      <c r="F681" s="799" t="s">
        <v>1823</v>
      </c>
      <c r="G681" s="425" t="str">
        <f t="shared" si="78"/>
        <v/>
      </c>
      <c r="H681" s="426">
        <f>SUM(H668:H680)</f>
        <v>19.726750000000031</v>
      </c>
      <c r="I681" s="426">
        <f t="shared" ref="I681:T681" si="87">SUM(I668:I680)</f>
        <v>19.726750000000031</v>
      </c>
      <c r="J681" s="426">
        <f t="shared" si="87"/>
        <v>19.726750000000031</v>
      </c>
      <c r="K681" s="426">
        <f t="shared" si="87"/>
        <v>19.726750000000031</v>
      </c>
      <c r="L681" s="426">
        <f t="shared" si="87"/>
        <v>19.726750000000031</v>
      </c>
      <c r="M681" s="426">
        <f t="shared" si="87"/>
        <v>19.726750000000031</v>
      </c>
      <c r="N681" s="426">
        <f t="shared" si="87"/>
        <v>19.726750000000031</v>
      </c>
      <c r="O681" s="426">
        <f t="shared" si="87"/>
        <v>19.726750000000031</v>
      </c>
      <c r="P681" s="426">
        <f t="shared" si="87"/>
        <v>19.726750000000031</v>
      </c>
      <c r="Q681" s="426">
        <f t="shared" si="87"/>
        <v>19.726750000000031</v>
      </c>
      <c r="R681" s="426">
        <f t="shared" si="87"/>
        <v>19.726750000000031</v>
      </c>
      <c r="S681" s="426">
        <f t="shared" si="87"/>
        <v>19.726750000000031</v>
      </c>
      <c r="T681" s="426">
        <f t="shared" si="87"/>
        <v>19.726750000000031</v>
      </c>
      <c r="U681" s="706">
        <f t="shared" si="76"/>
        <v>236.72100000000043</v>
      </c>
      <c r="V681" s="426">
        <f t="shared" si="82"/>
        <v>19.726750000000035</v>
      </c>
    </row>
    <row r="682" spans="1:22">
      <c r="G682" s="425" t="str">
        <f t="shared" si="78"/>
        <v/>
      </c>
      <c r="U682" s="426">
        <f t="shared" si="76"/>
        <v>0</v>
      </c>
      <c r="V682" s="426">
        <f t="shared" si="82"/>
        <v>0</v>
      </c>
    </row>
    <row r="683" spans="1:22">
      <c r="F683" s="800" t="s">
        <v>2407</v>
      </c>
      <c r="G683" s="425" t="str">
        <f t="shared" si="78"/>
        <v/>
      </c>
      <c r="U683" s="426">
        <f t="shared" si="76"/>
        <v>0</v>
      </c>
      <c r="V683" s="426">
        <f t="shared" si="82"/>
        <v>0</v>
      </c>
    </row>
    <row r="684" spans="1:22">
      <c r="A684" s="426" t="str">
        <f t="shared" si="77"/>
        <v>KU</v>
      </c>
      <c r="B684" s="426" t="str">
        <f t="shared" si="80"/>
        <v>KY</v>
      </c>
      <c r="C684" s="426" t="str">
        <f t="shared" si="81"/>
        <v>E</v>
      </c>
      <c r="D684" s="426" t="s">
        <v>2675</v>
      </c>
      <c r="E684" s="426" t="str">
        <f t="shared" si="86"/>
        <v>312</v>
      </c>
      <c r="F684" s="741" t="s">
        <v>1728</v>
      </c>
      <c r="G684" s="425" t="str">
        <f t="shared" si="78"/>
        <v/>
      </c>
      <c r="H684" s="426">
        <v>8884.32165551867</v>
      </c>
      <c r="I684" s="426">
        <v>8908.2449055186698</v>
      </c>
      <c r="J684" s="426">
        <v>8932.1681555186697</v>
      </c>
      <c r="K684" s="426">
        <v>8956.0914055186695</v>
      </c>
      <c r="L684" s="426">
        <v>8980.0146555186693</v>
      </c>
      <c r="M684" s="426">
        <v>9003.9379055186691</v>
      </c>
      <c r="N684" s="426">
        <v>9027.8611555186708</v>
      </c>
      <c r="O684" s="426">
        <v>9051.7844055186706</v>
      </c>
      <c r="P684" s="426">
        <v>9075.7076555186704</v>
      </c>
      <c r="Q684" s="426">
        <v>9099.6309055186703</v>
      </c>
      <c r="R684" s="426">
        <v>9123.5541555186701</v>
      </c>
      <c r="S684" s="426">
        <v>9147.4774055186699</v>
      </c>
      <c r="T684" s="426">
        <v>9171.4006555186697</v>
      </c>
      <c r="U684" s="426">
        <f t="shared" si="76"/>
        <v>108477.87336622404</v>
      </c>
      <c r="V684" s="426">
        <f t="shared" si="82"/>
        <v>9027.861155518669</v>
      </c>
    </row>
    <row r="685" spans="1:22">
      <c r="A685" s="426" t="str">
        <f t="shared" si="77"/>
        <v>KU</v>
      </c>
      <c r="B685" s="426" t="str">
        <f t="shared" si="80"/>
        <v>KY</v>
      </c>
      <c r="C685" s="426" t="str">
        <f t="shared" si="81"/>
        <v>E</v>
      </c>
      <c r="D685" s="426" t="s">
        <v>2675</v>
      </c>
      <c r="E685" s="426" t="str">
        <f t="shared" si="86"/>
        <v>334</v>
      </c>
      <c r="F685" s="741" t="s">
        <v>1741</v>
      </c>
      <c r="G685" s="425" t="str">
        <f t="shared" si="78"/>
        <v/>
      </c>
      <c r="H685" s="426">
        <v>1.6413265399999999</v>
      </c>
      <c r="I685" s="426">
        <v>1.64232654</v>
      </c>
      <c r="J685" s="426">
        <v>1.6433265399999999</v>
      </c>
      <c r="K685" s="426">
        <v>1.64432654</v>
      </c>
      <c r="L685" s="426">
        <v>1.6453265399999999</v>
      </c>
      <c r="M685" s="426">
        <v>1.64632654</v>
      </c>
      <c r="N685" s="426">
        <v>1.6473265399999999</v>
      </c>
      <c r="O685" s="426">
        <v>1.64832654</v>
      </c>
      <c r="P685" s="426">
        <v>1.6493265399999999</v>
      </c>
      <c r="Q685" s="426">
        <v>1.65032654</v>
      </c>
      <c r="R685" s="426">
        <v>1.6513265399999999</v>
      </c>
      <c r="S685" s="426">
        <v>1.65232654</v>
      </c>
      <c r="T685" s="426">
        <v>1.6533265399999999</v>
      </c>
      <c r="U685" s="426">
        <f t="shared" si="76"/>
        <v>19.773918479999999</v>
      </c>
      <c r="V685" s="426">
        <f t="shared" si="82"/>
        <v>1.6473265399999997</v>
      </c>
    </row>
    <row r="686" spans="1:22">
      <c r="A686" s="426" t="str">
        <f t="shared" si="77"/>
        <v>KU</v>
      </c>
      <c r="B686" s="426" t="str">
        <f t="shared" si="80"/>
        <v>KY</v>
      </c>
      <c r="C686" s="426" t="str">
        <f t="shared" si="81"/>
        <v>E</v>
      </c>
      <c r="D686" s="426" t="s">
        <v>2675</v>
      </c>
      <c r="E686" s="426" t="str">
        <f t="shared" si="86"/>
        <v>342</v>
      </c>
      <c r="F686" s="741" t="s">
        <v>1747</v>
      </c>
      <c r="G686" s="425" t="str">
        <f t="shared" si="78"/>
        <v/>
      </c>
      <c r="H686" s="426">
        <v>0.94407947653333402</v>
      </c>
      <c r="I686" s="426">
        <v>0.94774614320000095</v>
      </c>
      <c r="J686" s="426">
        <v>0.95141280986666699</v>
      </c>
      <c r="K686" s="426">
        <v>0.95507947653333403</v>
      </c>
      <c r="L686" s="426">
        <v>0.95874614320000096</v>
      </c>
      <c r="M686" s="426">
        <v>0.962412809866667</v>
      </c>
      <c r="N686" s="426">
        <v>0.96607947653333404</v>
      </c>
      <c r="O686" s="426">
        <v>0.96974614320000097</v>
      </c>
      <c r="P686" s="426">
        <v>0.97341280986666701</v>
      </c>
      <c r="Q686" s="426">
        <v>0.97707947653333405</v>
      </c>
      <c r="R686" s="426">
        <v>0.98074614320000097</v>
      </c>
      <c r="S686" s="426">
        <v>0.98441280986666801</v>
      </c>
      <c r="T686" s="426">
        <v>0.98807947653333394</v>
      </c>
      <c r="U686" s="426">
        <f t="shared" si="76"/>
        <v>11.61495371840001</v>
      </c>
      <c r="V686" s="426">
        <f t="shared" si="82"/>
        <v>0.96607947653333415</v>
      </c>
    </row>
    <row r="687" spans="1:22">
      <c r="A687" s="426" t="str">
        <f t="shared" si="77"/>
        <v>KU</v>
      </c>
      <c r="B687" s="426" t="str">
        <f t="shared" si="80"/>
        <v>KY</v>
      </c>
      <c r="C687" s="426" t="str">
        <f t="shared" si="81"/>
        <v>E</v>
      </c>
      <c r="D687" s="426" t="s">
        <v>2675</v>
      </c>
      <c r="E687" s="426" t="str">
        <f t="shared" si="86"/>
        <v>353</v>
      </c>
      <c r="F687" s="741" t="s">
        <v>1758</v>
      </c>
      <c r="G687" s="425" t="str">
        <f t="shared" si="78"/>
        <v/>
      </c>
      <c r="H687" s="426">
        <v>1315.6184658827999</v>
      </c>
      <c r="I687" s="426">
        <v>1318.0882158827999</v>
      </c>
      <c r="J687" s="426">
        <v>1320.5579658828001</v>
      </c>
      <c r="K687" s="426">
        <v>1323.0277158828001</v>
      </c>
      <c r="L687" s="426">
        <v>1325.4974658828</v>
      </c>
      <c r="M687" s="426">
        <v>1327.9672158828</v>
      </c>
      <c r="N687" s="426">
        <v>1330.4369658828</v>
      </c>
      <c r="O687" s="426">
        <v>1332.9067158828</v>
      </c>
      <c r="P687" s="426">
        <v>1335.3764658827999</v>
      </c>
      <c r="Q687" s="426">
        <v>1337.8462158827999</v>
      </c>
      <c r="R687" s="426">
        <v>1340.3159658827999</v>
      </c>
      <c r="S687" s="426">
        <v>1342.7857158828001</v>
      </c>
      <c r="T687" s="426">
        <v>1345.2554658828001</v>
      </c>
      <c r="U687" s="426">
        <f t="shared" si="76"/>
        <v>15980.062090593603</v>
      </c>
      <c r="V687" s="426">
        <f t="shared" si="82"/>
        <v>1330.4369658828002</v>
      </c>
    </row>
    <row r="688" spans="1:22">
      <c r="F688" s="799" t="s">
        <v>1823</v>
      </c>
      <c r="G688" s="425" t="str">
        <f t="shared" si="78"/>
        <v/>
      </c>
      <c r="H688" s="426">
        <f>SUM(H684:H687)</f>
        <v>10202.525527418005</v>
      </c>
      <c r="I688" s="426">
        <f t="shared" ref="I688:T688" si="88">SUM(I684:I687)</f>
        <v>10228.923194084669</v>
      </c>
      <c r="J688" s="426">
        <f t="shared" si="88"/>
        <v>10255.320860751337</v>
      </c>
      <c r="K688" s="426">
        <f t="shared" si="88"/>
        <v>10281.718527418001</v>
      </c>
      <c r="L688" s="426">
        <f t="shared" si="88"/>
        <v>10308.116194084669</v>
      </c>
      <c r="M688" s="426">
        <f t="shared" si="88"/>
        <v>10334.513860751335</v>
      </c>
      <c r="N688" s="426">
        <f t="shared" si="88"/>
        <v>10360.911527418004</v>
      </c>
      <c r="O688" s="426">
        <f t="shared" si="88"/>
        <v>10387.309194084672</v>
      </c>
      <c r="P688" s="426">
        <f t="shared" si="88"/>
        <v>10413.706860751337</v>
      </c>
      <c r="Q688" s="426">
        <f t="shared" si="88"/>
        <v>10440.104527418005</v>
      </c>
      <c r="R688" s="426">
        <f t="shared" si="88"/>
        <v>10466.502194084671</v>
      </c>
      <c r="S688" s="426">
        <f t="shared" si="88"/>
        <v>10492.899860751335</v>
      </c>
      <c r="T688" s="426">
        <f t="shared" si="88"/>
        <v>10519.297527418003</v>
      </c>
      <c r="U688" s="426">
        <f t="shared" si="76"/>
        <v>124489.32432901605</v>
      </c>
      <c r="V688" s="426">
        <f t="shared" si="82"/>
        <v>10360.911527418004</v>
      </c>
    </row>
    <row r="689" spans="1:22">
      <c r="G689" s="425" t="str">
        <f t="shared" si="78"/>
        <v/>
      </c>
      <c r="U689" s="426">
        <f t="shared" si="76"/>
        <v>0</v>
      </c>
      <c r="V689" s="426">
        <f t="shared" si="82"/>
        <v>0</v>
      </c>
    </row>
    <row r="690" spans="1:22">
      <c r="F690" s="800" t="s">
        <v>2408</v>
      </c>
      <c r="G690" s="425" t="str">
        <f t="shared" si="78"/>
        <v/>
      </c>
      <c r="U690" s="426">
        <f t="shared" si="76"/>
        <v>0</v>
      </c>
      <c r="V690" s="426">
        <f t="shared" si="82"/>
        <v>0</v>
      </c>
    </row>
    <row r="691" spans="1:22">
      <c r="A691" s="426" t="str">
        <f t="shared" si="77"/>
        <v>KU</v>
      </c>
      <c r="B691" s="426" t="str">
        <f t="shared" si="80"/>
        <v>KY</v>
      </c>
      <c r="C691" s="426" t="str">
        <f t="shared" si="81"/>
        <v>E</v>
      </c>
      <c r="D691" s="426" t="s">
        <v>2676</v>
      </c>
      <c r="E691" s="426" t="str">
        <f t="shared" ref="E691:E703" si="89">MID($F691,8,3)</f>
        <v>311</v>
      </c>
      <c r="F691" s="741" t="s">
        <v>2178</v>
      </c>
      <c r="H691" s="426">
        <v>1.51325</v>
      </c>
      <c r="I691" s="426">
        <v>0</v>
      </c>
      <c r="J691" s="426">
        <v>0</v>
      </c>
      <c r="K691" s="426">
        <v>0</v>
      </c>
      <c r="L691" s="426">
        <v>0</v>
      </c>
      <c r="M691" s="426">
        <v>0</v>
      </c>
      <c r="N691" s="426">
        <v>0</v>
      </c>
      <c r="O691" s="426">
        <v>0</v>
      </c>
      <c r="P691" s="426">
        <v>0</v>
      </c>
      <c r="Q691" s="426">
        <v>0</v>
      </c>
      <c r="R691" s="426">
        <v>0</v>
      </c>
      <c r="S691" s="426">
        <v>0</v>
      </c>
      <c r="T691" s="426">
        <v>0</v>
      </c>
      <c r="U691" s="426">
        <f t="shared" si="76"/>
        <v>0</v>
      </c>
      <c r="V691" s="426">
        <f t="shared" si="82"/>
        <v>0.11640384615384615</v>
      </c>
    </row>
    <row r="692" spans="1:22">
      <c r="A692" s="426" t="str">
        <f t="shared" si="77"/>
        <v>KU</v>
      </c>
      <c r="B692" s="426" t="str">
        <f t="shared" si="80"/>
        <v>KY</v>
      </c>
      <c r="C692" s="426" t="str">
        <f t="shared" si="81"/>
        <v>E</v>
      </c>
      <c r="D692" s="426" t="s">
        <v>2676</v>
      </c>
      <c r="E692" s="426" t="str">
        <f t="shared" si="89"/>
        <v>311</v>
      </c>
      <c r="F692" s="741" t="s">
        <v>1727</v>
      </c>
      <c r="G692" s="425" t="str">
        <f t="shared" si="78"/>
        <v/>
      </c>
      <c r="H692" s="426">
        <v>0</v>
      </c>
      <c r="I692" s="426">
        <v>1.52633333333333</v>
      </c>
      <c r="J692" s="426">
        <v>1.53941666666667</v>
      </c>
      <c r="K692" s="426">
        <v>1.5525</v>
      </c>
      <c r="L692" s="426">
        <v>1.56558333333333</v>
      </c>
      <c r="M692" s="426">
        <v>1.57866666666667</v>
      </c>
      <c r="N692" s="426">
        <v>1.59175</v>
      </c>
      <c r="O692" s="426">
        <v>1.60483333333333</v>
      </c>
      <c r="P692" s="426">
        <v>1.61791666666667</v>
      </c>
      <c r="Q692" s="426">
        <v>1.631</v>
      </c>
      <c r="R692" s="426">
        <v>1.64408333333333</v>
      </c>
      <c r="S692" s="426">
        <v>1.65716666666667</v>
      </c>
      <c r="T692" s="426">
        <v>1.67025</v>
      </c>
      <c r="U692" s="426">
        <f t="shared" si="76"/>
        <v>19.179499999999997</v>
      </c>
      <c r="V692" s="426">
        <f t="shared" si="82"/>
        <v>1.4753461538461536</v>
      </c>
    </row>
    <row r="693" spans="1:22">
      <c r="A693" s="426" t="str">
        <f t="shared" si="77"/>
        <v>KU</v>
      </c>
      <c r="B693" s="426" t="str">
        <f t="shared" si="80"/>
        <v>KY</v>
      </c>
      <c r="C693" s="426" t="str">
        <f t="shared" si="81"/>
        <v>E</v>
      </c>
      <c r="D693" s="426" t="s">
        <v>2676</v>
      </c>
      <c r="E693" s="426" t="str">
        <f t="shared" si="89"/>
        <v>312</v>
      </c>
      <c r="F693" s="741" t="s">
        <v>1728</v>
      </c>
      <c r="G693" s="425" t="str">
        <f t="shared" si="78"/>
        <v/>
      </c>
      <c r="H693" s="426">
        <v>1622.0084663955299</v>
      </c>
      <c r="I693" s="426">
        <v>1849.11396705021</v>
      </c>
      <c r="J693" s="426">
        <v>1863.9237201103799</v>
      </c>
      <c r="K693" s="426">
        <v>1878.73347317055</v>
      </c>
      <c r="L693" s="426">
        <v>1893.5432262307099</v>
      </c>
      <c r="M693" s="426">
        <v>1908.3529792908701</v>
      </c>
      <c r="N693" s="426">
        <v>1923.1627323510399</v>
      </c>
      <c r="O693" s="426">
        <v>1937.9724854112001</v>
      </c>
      <c r="P693" s="426">
        <v>1952.78223847137</v>
      </c>
      <c r="Q693" s="426">
        <v>1967.5919915315401</v>
      </c>
      <c r="R693" s="426">
        <v>1982.4017445917</v>
      </c>
      <c r="S693" s="426">
        <v>1997.2114976518601</v>
      </c>
      <c r="T693" s="426">
        <v>2012.02125071203</v>
      </c>
      <c r="U693" s="426">
        <f t="shared" si="76"/>
        <v>23166.811306573461</v>
      </c>
      <c r="V693" s="426">
        <f t="shared" si="82"/>
        <v>1906.8322902283837</v>
      </c>
    </row>
    <row r="694" spans="1:22">
      <c r="A694" s="426" t="str">
        <f t="shared" si="77"/>
        <v>KU</v>
      </c>
      <c r="B694" s="426" t="str">
        <f t="shared" si="80"/>
        <v>KY</v>
      </c>
      <c r="C694" s="426" t="str">
        <f t="shared" si="81"/>
        <v>E</v>
      </c>
      <c r="D694" s="426" t="s">
        <v>2676</v>
      </c>
      <c r="E694" s="426" t="str">
        <f t="shared" si="89"/>
        <v>312</v>
      </c>
      <c r="F694" s="741" t="s">
        <v>1729</v>
      </c>
      <c r="H694" s="426">
        <v>8.8515375945189803</v>
      </c>
      <c r="I694" s="426">
        <v>0</v>
      </c>
      <c r="J694" s="426">
        <v>0</v>
      </c>
      <c r="K694" s="426">
        <v>0</v>
      </c>
      <c r="L694" s="426">
        <v>0</v>
      </c>
      <c r="M694" s="426">
        <v>0</v>
      </c>
      <c r="N694" s="426">
        <v>0</v>
      </c>
      <c r="O694" s="426">
        <v>0</v>
      </c>
      <c r="P694" s="426">
        <v>0</v>
      </c>
      <c r="Q694" s="426">
        <v>0</v>
      </c>
      <c r="R694" s="426">
        <v>0</v>
      </c>
      <c r="S694" s="426">
        <v>0</v>
      </c>
      <c r="T694" s="426">
        <v>0</v>
      </c>
      <c r="U694" s="426">
        <f t="shared" si="76"/>
        <v>0</v>
      </c>
      <c r="V694" s="426">
        <f t="shared" si="82"/>
        <v>0.68088750727069081</v>
      </c>
    </row>
    <row r="695" spans="1:22">
      <c r="A695" s="426" t="str">
        <f t="shared" si="77"/>
        <v>KU</v>
      </c>
      <c r="B695" s="426" t="str">
        <f t="shared" si="80"/>
        <v>KY</v>
      </c>
      <c r="C695" s="426" t="str">
        <f t="shared" si="81"/>
        <v>E</v>
      </c>
      <c r="D695" s="426" t="s">
        <v>2676</v>
      </c>
      <c r="E695" s="426" t="str">
        <f t="shared" si="89"/>
        <v>312</v>
      </c>
      <c r="F695" s="741" t="s">
        <v>2714</v>
      </c>
      <c r="G695" s="425" t="str">
        <f t="shared" si="78"/>
        <v>ECR</v>
      </c>
      <c r="H695" s="426">
        <v>2.55696240548103</v>
      </c>
      <c r="I695" s="426">
        <v>2.6567926786494001</v>
      </c>
      <c r="J695" s="426">
        <v>2.7566229518177701</v>
      </c>
      <c r="K695" s="426">
        <v>2.8564532249861401</v>
      </c>
      <c r="L695" s="426">
        <v>2.9562834981545101</v>
      </c>
      <c r="M695" s="426">
        <v>3.0561137713228801</v>
      </c>
      <c r="N695" s="426">
        <v>3.1559440444912501</v>
      </c>
      <c r="O695" s="426">
        <v>3.2557743176596201</v>
      </c>
      <c r="P695" s="426">
        <v>3.3556045908279901</v>
      </c>
      <c r="Q695" s="426">
        <v>3.4554348639963601</v>
      </c>
      <c r="R695" s="426">
        <v>3.5552651371647301</v>
      </c>
      <c r="S695" s="426">
        <v>3.6550954103331001</v>
      </c>
      <c r="T695" s="426">
        <v>3.7549256835014702</v>
      </c>
      <c r="U695" s="426">
        <f t="shared" si="76"/>
        <v>38.470310172905222</v>
      </c>
      <c r="V695" s="426">
        <f t="shared" si="82"/>
        <v>3.1559440444912497</v>
      </c>
    </row>
    <row r="696" spans="1:22">
      <c r="A696" s="426" t="str">
        <f t="shared" si="77"/>
        <v>KU</v>
      </c>
      <c r="B696" s="426" t="str">
        <f t="shared" si="80"/>
        <v>KY</v>
      </c>
      <c r="C696" s="426" t="str">
        <f t="shared" si="81"/>
        <v>E</v>
      </c>
      <c r="D696" s="426" t="s">
        <v>2676</v>
      </c>
      <c r="E696" s="426" t="str">
        <f t="shared" si="89"/>
        <v>312</v>
      </c>
      <c r="F696" s="741" t="s">
        <v>1730</v>
      </c>
      <c r="H696" s="426">
        <v>203.44421</v>
      </c>
      <c r="I696" s="426">
        <v>0</v>
      </c>
      <c r="J696" s="426">
        <v>0</v>
      </c>
      <c r="K696" s="426">
        <v>0</v>
      </c>
      <c r="L696" s="426">
        <v>0</v>
      </c>
      <c r="M696" s="426">
        <v>0</v>
      </c>
      <c r="N696" s="426">
        <v>0</v>
      </c>
      <c r="O696" s="426">
        <v>0</v>
      </c>
      <c r="P696" s="426">
        <v>0</v>
      </c>
      <c r="Q696" s="426">
        <v>0</v>
      </c>
      <c r="R696" s="426">
        <v>0</v>
      </c>
      <c r="S696" s="426">
        <v>0</v>
      </c>
      <c r="T696" s="426">
        <v>0</v>
      </c>
      <c r="U696" s="426">
        <f t="shared" si="76"/>
        <v>0</v>
      </c>
      <c r="V696" s="426">
        <f t="shared" si="82"/>
        <v>15.649554615384615</v>
      </c>
    </row>
    <row r="697" spans="1:22">
      <c r="A697" s="426" t="str">
        <f t="shared" si="77"/>
        <v>KU</v>
      </c>
      <c r="B697" s="426" t="str">
        <f t="shared" si="80"/>
        <v>KY</v>
      </c>
      <c r="C697" s="426" t="str">
        <f t="shared" si="81"/>
        <v>E</v>
      </c>
      <c r="D697" s="426" t="s">
        <v>2676</v>
      </c>
      <c r="E697" s="426" t="str">
        <f t="shared" si="89"/>
        <v>312</v>
      </c>
      <c r="F697" s="741" t="s">
        <v>2179</v>
      </c>
      <c r="H697" s="426">
        <v>0</v>
      </c>
      <c r="I697" s="426">
        <v>0</v>
      </c>
      <c r="J697" s="426">
        <v>0</v>
      </c>
      <c r="K697" s="426">
        <v>0</v>
      </c>
      <c r="L697" s="426">
        <v>0</v>
      </c>
      <c r="M697" s="426">
        <v>0</v>
      </c>
      <c r="N697" s="426">
        <v>0</v>
      </c>
      <c r="O697" s="426">
        <v>0</v>
      </c>
      <c r="P697" s="426">
        <v>0</v>
      </c>
      <c r="Q697" s="426">
        <v>0</v>
      </c>
      <c r="R697" s="426">
        <v>0</v>
      </c>
      <c r="S697" s="426">
        <v>0</v>
      </c>
      <c r="T697" s="426">
        <v>0</v>
      </c>
      <c r="U697" s="426">
        <f t="shared" si="76"/>
        <v>0</v>
      </c>
      <c r="V697" s="426">
        <f t="shared" si="82"/>
        <v>0</v>
      </c>
    </row>
    <row r="698" spans="1:22">
      <c r="A698" s="426" t="str">
        <f t="shared" si="77"/>
        <v>KU</v>
      </c>
      <c r="B698" s="426" t="str">
        <f t="shared" si="80"/>
        <v>KY</v>
      </c>
      <c r="C698" s="426" t="str">
        <f t="shared" si="81"/>
        <v>E</v>
      </c>
      <c r="D698" s="426" t="s">
        <v>2676</v>
      </c>
      <c r="E698" s="426" t="str">
        <f t="shared" si="89"/>
        <v>312</v>
      </c>
      <c r="F698" s="741" t="s">
        <v>2715</v>
      </c>
      <c r="G698" s="425" t="str">
        <f t="shared" si="78"/>
        <v>ECR</v>
      </c>
      <c r="H698" s="426">
        <v>12.007</v>
      </c>
      <c r="I698" s="426">
        <v>12.7809166666667</v>
      </c>
      <c r="J698" s="426">
        <v>13.554833333333301</v>
      </c>
      <c r="K698" s="426">
        <v>14.328749999999999</v>
      </c>
      <c r="L698" s="426">
        <v>15.1026666666667</v>
      </c>
      <c r="M698" s="426">
        <v>15.876583333333301</v>
      </c>
      <c r="N698" s="426">
        <v>16.650500000000001</v>
      </c>
      <c r="O698" s="426">
        <v>17.424416666666701</v>
      </c>
      <c r="P698" s="426">
        <v>18.198333333333299</v>
      </c>
      <c r="Q698" s="426">
        <v>18.972249999999999</v>
      </c>
      <c r="R698" s="426">
        <v>19.746166666666699</v>
      </c>
      <c r="S698" s="426">
        <v>20.5200833333333</v>
      </c>
      <c r="T698" s="426">
        <v>21.294</v>
      </c>
      <c r="U698" s="426">
        <f t="shared" si="76"/>
        <v>204.44950000000003</v>
      </c>
      <c r="V698" s="426">
        <f t="shared" si="82"/>
        <v>16.650500000000001</v>
      </c>
    </row>
    <row r="699" spans="1:22">
      <c r="A699" s="426" t="str">
        <f t="shared" si="77"/>
        <v>KU</v>
      </c>
      <c r="B699" s="426" t="str">
        <f t="shared" si="80"/>
        <v>KY</v>
      </c>
      <c r="C699" s="426" t="str">
        <f t="shared" si="81"/>
        <v>E</v>
      </c>
      <c r="D699" s="426" t="s">
        <v>2676</v>
      </c>
      <c r="E699" s="426" t="str">
        <f t="shared" si="89"/>
        <v>315</v>
      </c>
      <c r="F699" s="741" t="s">
        <v>1733</v>
      </c>
      <c r="G699" s="425" t="str">
        <f t="shared" si="78"/>
        <v/>
      </c>
      <c r="H699" s="426">
        <v>0</v>
      </c>
      <c r="I699" s="426">
        <v>2.35483333333333</v>
      </c>
      <c r="J699" s="426">
        <v>2.3718333333333299</v>
      </c>
      <c r="K699" s="426">
        <v>2.3888333333333298</v>
      </c>
      <c r="L699" s="426">
        <v>2.4058333333333302</v>
      </c>
      <c r="M699" s="426">
        <v>2.4228333333333301</v>
      </c>
      <c r="N699" s="426">
        <v>2.43983333333333</v>
      </c>
      <c r="O699" s="426">
        <v>2.4568333333333299</v>
      </c>
      <c r="P699" s="426">
        <v>2.4738333333333302</v>
      </c>
      <c r="Q699" s="426">
        <v>2.4908333333333301</v>
      </c>
      <c r="R699" s="426">
        <v>2.50783333333333</v>
      </c>
      <c r="S699" s="426">
        <v>2.5248333333333299</v>
      </c>
      <c r="T699" s="426">
        <v>2.5418333333333298</v>
      </c>
      <c r="U699" s="426">
        <f t="shared" si="76"/>
        <v>29.37999999999996</v>
      </c>
      <c r="V699" s="426">
        <f t="shared" si="82"/>
        <v>2.2599999999999971</v>
      </c>
    </row>
    <row r="700" spans="1:22">
      <c r="A700" s="426" t="str">
        <f t="shared" si="77"/>
        <v>KU</v>
      </c>
      <c r="B700" s="426" t="str">
        <f t="shared" si="80"/>
        <v>KY</v>
      </c>
      <c r="C700" s="426" t="str">
        <f t="shared" si="81"/>
        <v>E</v>
      </c>
      <c r="D700" s="426" t="s">
        <v>2676</v>
      </c>
      <c r="E700" s="426" t="str">
        <f t="shared" si="89"/>
        <v>315</v>
      </c>
      <c r="F700" s="741" t="s">
        <v>1734</v>
      </c>
      <c r="H700" s="426">
        <v>2.3378333333333301</v>
      </c>
      <c r="I700" s="426">
        <v>0</v>
      </c>
      <c r="J700" s="426">
        <v>0</v>
      </c>
      <c r="K700" s="426">
        <v>0</v>
      </c>
      <c r="L700" s="426">
        <v>0</v>
      </c>
      <c r="M700" s="426">
        <v>0</v>
      </c>
      <c r="N700" s="426">
        <v>0</v>
      </c>
      <c r="O700" s="426">
        <v>0</v>
      </c>
      <c r="P700" s="426">
        <v>0</v>
      </c>
      <c r="Q700" s="426">
        <v>0</v>
      </c>
      <c r="R700" s="426">
        <v>0</v>
      </c>
      <c r="S700" s="426">
        <v>0</v>
      </c>
      <c r="T700" s="426">
        <v>0</v>
      </c>
      <c r="U700" s="426">
        <f t="shared" si="76"/>
        <v>0</v>
      </c>
      <c r="V700" s="426">
        <f t="shared" si="82"/>
        <v>0.1798333333333331</v>
      </c>
    </row>
    <row r="701" spans="1:22">
      <c r="A701" s="426" t="str">
        <f t="shared" si="77"/>
        <v>KU</v>
      </c>
      <c r="B701" s="426" t="str">
        <f t="shared" si="80"/>
        <v>KY</v>
      </c>
      <c r="C701" s="426" t="str">
        <f t="shared" si="81"/>
        <v>E</v>
      </c>
      <c r="D701" s="426" t="s">
        <v>2676</v>
      </c>
      <c r="E701" s="426" t="str">
        <f t="shared" si="89"/>
        <v>334</v>
      </c>
      <c r="F701" s="741" t="s">
        <v>1741</v>
      </c>
      <c r="G701" s="425" t="str">
        <f t="shared" si="78"/>
        <v/>
      </c>
      <c r="H701" s="426">
        <v>6.0234432450000002</v>
      </c>
      <c r="I701" s="426">
        <v>6.0847765783333303</v>
      </c>
      <c r="J701" s="426">
        <v>6.1461099116666604</v>
      </c>
      <c r="K701" s="426">
        <v>6.2074432450000003</v>
      </c>
      <c r="L701" s="426">
        <v>6.2687765783333296</v>
      </c>
      <c r="M701" s="426">
        <v>6.3301099116666704</v>
      </c>
      <c r="N701" s="426">
        <v>6.3914432449999996</v>
      </c>
      <c r="O701" s="426">
        <v>6.4527765783333297</v>
      </c>
      <c r="P701" s="426">
        <v>6.5141099116666696</v>
      </c>
      <c r="Q701" s="426">
        <v>6.5754432449999998</v>
      </c>
      <c r="R701" s="426">
        <v>6.6367765783333299</v>
      </c>
      <c r="S701" s="426">
        <v>6.6981099116666698</v>
      </c>
      <c r="T701" s="426">
        <v>6.7594432449999999</v>
      </c>
      <c r="U701" s="426">
        <f t="shared" si="76"/>
        <v>77.065318939999997</v>
      </c>
      <c r="V701" s="426">
        <f t="shared" si="82"/>
        <v>6.3914432449999987</v>
      </c>
    </row>
    <row r="702" spans="1:22">
      <c r="A702" s="426" t="str">
        <f t="shared" si="77"/>
        <v>KU</v>
      </c>
      <c r="B702" s="426" t="str">
        <f t="shared" si="80"/>
        <v>KY</v>
      </c>
      <c r="C702" s="426" t="str">
        <f t="shared" si="81"/>
        <v>E</v>
      </c>
      <c r="D702" s="426" t="s">
        <v>2676</v>
      </c>
      <c r="E702" s="426" t="str">
        <f t="shared" si="89"/>
        <v>342</v>
      </c>
      <c r="F702" s="741" t="s">
        <v>1747</v>
      </c>
      <c r="G702" s="425" t="str">
        <f t="shared" si="78"/>
        <v/>
      </c>
      <c r="H702" s="426">
        <v>464.93627819853299</v>
      </c>
      <c r="I702" s="426">
        <v>468.30186153186702</v>
      </c>
      <c r="J702" s="426">
        <v>471.66744486520003</v>
      </c>
      <c r="K702" s="426">
        <v>475.03302819853297</v>
      </c>
      <c r="L702" s="426">
        <v>478.398611531867</v>
      </c>
      <c r="M702" s="426">
        <v>481.76419486520001</v>
      </c>
      <c r="N702" s="426">
        <v>485.12977819853302</v>
      </c>
      <c r="O702" s="426">
        <v>488.49536153186699</v>
      </c>
      <c r="P702" s="426">
        <v>491.8609448652</v>
      </c>
      <c r="Q702" s="426">
        <v>495.22652819853403</v>
      </c>
      <c r="R702" s="426">
        <v>498.59211153186698</v>
      </c>
      <c r="S702" s="426">
        <v>501.95769486519998</v>
      </c>
      <c r="T702" s="426">
        <v>505.32327819853401</v>
      </c>
      <c r="U702" s="426">
        <f t="shared" ref="U702:U704" si="90">SUM(I702:T702)</f>
        <v>5841.7508383824024</v>
      </c>
      <c r="V702" s="426">
        <f t="shared" si="82"/>
        <v>485.12977819853347</v>
      </c>
    </row>
    <row r="703" spans="1:22">
      <c r="A703" s="426" t="str">
        <f t="shared" si="77"/>
        <v>KU</v>
      </c>
      <c r="B703" s="426" t="str">
        <f t="shared" si="80"/>
        <v>KY</v>
      </c>
      <c r="C703" s="426" t="str">
        <f t="shared" si="81"/>
        <v>E</v>
      </c>
      <c r="D703" s="426" t="s">
        <v>2676</v>
      </c>
      <c r="E703" s="426" t="str">
        <f t="shared" si="89"/>
        <v>353</v>
      </c>
      <c r="F703" s="741" t="s">
        <v>1758</v>
      </c>
      <c r="G703" s="425" t="str">
        <f t="shared" si="78"/>
        <v/>
      </c>
      <c r="H703" s="426">
        <v>88.7351174357335</v>
      </c>
      <c r="I703" s="426">
        <v>89.321367435733507</v>
      </c>
      <c r="J703" s="426">
        <v>89.907617435733499</v>
      </c>
      <c r="K703" s="426">
        <v>90.493867435733506</v>
      </c>
      <c r="L703" s="426">
        <v>91.080117435733499</v>
      </c>
      <c r="M703" s="426">
        <v>91.666367435733505</v>
      </c>
      <c r="N703" s="426">
        <v>92.252617435733498</v>
      </c>
      <c r="O703" s="426">
        <v>92.838867435733505</v>
      </c>
      <c r="P703" s="426">
        <v>93.425117435733497</v>
      </c>
      <c r="Q703" s="426">
        <v>94.011367435733504</v>
      </c>
      <c r="R703" s="426">
        <v>94.597617435733497</v>
      </c>
      <c r="S703" s="426">
        <v>95.183867435733504</v>
      </c>
      <c r="T703" s="426">
        <v>95.770117435733496</v>
      </c>
      <c r="U703" s="426">
        <f t="shared" si="90"/>
        <v>1110.5489092288019</v>
      </c>
      <c r="V703" s="426">
        <f t="shared" si="82"/>
        <v>92.252617435733484</v>
      </c>
    </row>
    <row r="704" spans="1:22">
      <c r="F704" s="741" t="s">
        <v>1823</v>
      </c>
      <c r="G704" s="425" t="str">
        <f t="shared" si="78"/>
        <v/>
      </c>
      <c r="H704" s="426">
        <f>SUM(H691:H703)</f>
        <v>2412.4140986081297</v>
      </c>
      <c r="I704" s="426">
        <f t="shared" ref="I704:T704" si="91">SUM(I691:I703)</f>
        <v>2432.1408486081264</v>
      </c>
      <c r="J704" s="426">
        <f t="shared" si="91"/>
        <v>2451.8675986081312</v>
      </c>
      <c r="K704" s="426">
        <f t="shared" si="91"/>
        <v>2471.594348608136</v>
      </c>
      <c r="L704" s="426">
        <f t="shared" si="91"/>
        <v>2491.3210986081313</v>
      </c>
      <c r="M704" s="426">
        <f t="shared" si="91"/>
        <v>2511.0478486081265</v>
      </c>
      <c r="N704" s="426">
        <f t="shared" si="91"/>
        <v>2530.7745986081309</v>
      </c>
      <c r="O704" s="426">
        <f t="shared" si="91"/>
        <v>2550.501348608127</v>
      </c>
      <c r="P704" s="426">
        <f t="shared" si="91"/>
        <v>2570.2280986081314</v>
      </c>
      <c r="Q704" s="426">
        <f t="shared" si="91"/>
        <v>2589.9548486081376</v>
      </c>
      <c r="R704" s="426">
        <f t="shared" si="91"/>
        <v>2609.6815986081319</v>
      </c>
      <c r="S704" s="426">
        <f t="shared" si="91"/>
        <v>2629.4083486081267</v>
      </c>
      <c r="T704" s="426">
        <f t="shared" si="91"/>
        <v>2649.135098608132</v>
      </c>
      <c r="U704" s="426">
        <f t="shared" si="90"/>
        <v>30487.655683297566</v>
      </c>
      <c r="V704" s="426">
        <f t="shared" si="82"/>
        <v>2530.7745986081304</v>
      </c>
    </row>
  </sheetData>
  <pageMargins left="0.75" right="0.75" top="1" bottom="1" header="0.5" footer="0.5"/>
  <pageSetup scale="4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codeName="Sheet2">
    <pageSetUpPr fitToPage="1"/>
  </sheetPr>
  <dimension ref="A1:I52"/>
  <sheetViews>
    <sheetView tabSelected="1" zoomScaleNormal="100" workbookViewId="0"/>
  </sheetViews>
  <sheetFormatPr defaultColWidth="7.375" defaultRowHeight="12.75"/>
  <cols>
    <col min="1" max="1" width="25.75" style="213" customWidth="1"/>
    <col min="2" max="2" width="1.5" style="213" customWidth="1"/>
    <col min="3" max="3" width="69.625" style="213" customWidth="1"/>
    <col min="4" max="9" width="7.375" style="213"/>
    <col min="10" max="10" width="7.375" style="213" customWidth="1"/>
    <col min="11" max="11" width="7.375" style="213"/>
    <col min="12" max="12" width="1.375" style="213" customWidth="1"/>
    <col min="13" max="13" width="5.875" style="213" customWidth="1"/>
    <col min="14" max="14" width="5.125" style="213" customWidth="1"/>
    <col min="15" max="256" width="7.375" style="213"/>
    <col min="257" max="257" width="23.5" style="213" customWidth="1"/>
    <col min="258" max="258" width="1.5" style="213" customWidth="1"/>
    <col min="259" max="259" width="61.25" style="213" customWidth="1"/>
    <col min="260" max="265" width="7.375" style="213"/>
    <col min="266" max="266" width="7.375" style="213" customWidth="1"/>
    <col min="267" max="267" width="7.375" style="213"/>
    <col min="268" max="268" width="1.375" style="213" customWidth="1"/>
    <col min="269" max="269" width="5.875" style="213" customWidth="1"/>
    <col min="270" max="270" width="5.125" style="213" customWidth="1"/>
    <col min="271" max="512" width="7.375" style="213"/>
    <col min="513" max="513" width="23.5" style="213" customWidth="1"/>
    <col min="514" max="514" width="1.5" style="213" customWidth="1"/>
    <col min="515" max="515" width="61.25" style="213" customWidth="1"/>
    <col min="516" max="521" width="7.375" style="213"/>
    <col min="522" max="522" width="7.375" style="213" customWidth="1"/>
    <col min="523" max="523" width="7.375" style="213"/>
    <col min="524" max="524" width="1.375" style="213" customWidth="1"/>
    <col min="525" max="525" width="5.875" style="213" customWidth="1"/>
    <col min="526" max="526" width="5.125" style="213" customWidth="1"/>
    <col min="527" max="768" width="7.375" style="213"/>
    <col min="769" max="769" width="23.5" style="213" customWidth="1"/>
    <col min="770" max="770" width="1.5" style="213" customWidth="1"/>
    <col min="771" max="771" width="61.25" style="213" customWidth="1"/>
    <col min="772" max="777" width="7.375" style="213"/>
    <col min="778" max="778" width="7.375" style="213" customWidth="1"/>
    <col min="779" max="779" width="7.375" style="213"/>
    <col min="780" max="780" width="1.375" style="213" customWidth="1"/>
    <col min="781" max="781" width="5.875" style="213" customWidth="1"/>
    <col min="782" max="782" width="5.125" style="213" customWidth="1"/>
    <col min="783" max="1024" width="7.375" style="213"/>
    <col min="1025" max="1025" width="23.5" style="213" customWidth="1"/>
    <col min="1026" max="1026" width="1.5" style="213" customWidth="1"/>
    <col min="1027" max="1027" width="61.25" style="213" customWidth="1"/>
    <col min="1028" max="1033" width="7.375" style="213"/>
    <col min="1034" max="1034" width="7.375" style="213" customWidth="1"/>
    <col min="1035" max="1035" width="7.375" style="213"/>
    <col min="1036" max="1036" width="1.375" style="213" customWidth="1"/>
    <col min="1037" max="1037" width="5.875" style="213" customWidth="1"/>
    <col min="1038" max="1038" width="5.125" style="213" customWidth="1"/>
    <col min="1039" max="1280" width="7.375" style="213"/>
    <col min="1281" max="1281" width="23.5" style="213" customWidth="1"/>
    <col min="1282" max="1282" width="1.5" style="213" customWidth="1"/>
    <col min="1283" max="1283" width="61.25" style="213" customWidth="1"/>
    <col min="1284" max="1289" width="7.375" style="213"/>
    <col min="1290" max="1290" width="7.375" style="213" customWidth="1"/>
    <col min="1291" max="1291" width="7.375" style="213"/>
    <col min="1292" max="1292" width="1.375" style="213" customWidth="1"/>
    <col min="1293" max="1293" width="5.875" style="213" customWidth="1"/>
    <col min="1294" max="1294" width="5.125" style="213" customWidth="1"/>
    <col min="1295" max="1536" width="7.375" style="213"/>
    <col min="1537" max="1537" width="23.5" style="213" customWidth="1"/>
    <col min="1538" max="1538" width="1.5" style="213" customWidth="1"/>
    <col min="1539" max="1539" width="61.25" style="213" customWidth="1"/>
    <col min="1540" max="1545" width="7.375" style="213"/>
    <col min="1546" max="1546" width="7.375" style="213" customWidth="1"/>
    <col min="1547" max="1547" width="7.375" style="213"/>
    <col min="1548" max="1548" width="1.375" style="213" customWidth="1"/>
    <col min="1549" max="1549" width="5.875" style="213" customWidth="1"/>
    <col min="1550" max="1550" width="5.125" style="213" customWidth="1"/>
    <col min="1551" max="1792" width="7.375" style="213"/>
    <col min="1793" max="1793" width="23.5" style="213" customWidth="1"/>
    <col min="1794" max="1794" width="1.5" style="213" customWidth="1"/>
    <col min="1795" max="1795" width="61.25" style="213" customWidth="1"/>
    <col min="1796" max="1801" width="7.375" style="213"/>
    <col min="1802" max="1802" width="7.375" style="213" customWidth="1"/>
    <col min="1803" max="1803" width="7.375" style="213"/>
    <col min="1804" max="1804" width="1.375" style="213" customWidth="1"/>
    <col min="1805" max="1805" width="5.875" style="213" customWidth="1"/>
    <col min="1806" max="1806" width="5.125" style="213" customWidth="1"/>
    <col min="1807" max="2048" width="7.375" style="213"/>
    <col min="2049" max="2049" width="23.5" style="213" customWidth="1"/>
    <col min="2050" max="2050" width="1.5" style="213" customWidth="1"/>
    <col min="2051" max="2051" width="61.25" style="213" customWidth="1"/>
    <col min="2052" max="2057" width="7.375" style="213"/>
    <col min="2058" max="2058" width="7.375" style="213" customWidth="1"/>
    <col min="2059" max="2059" width="7.375" style="213"/>
    <col min="2060" max="2060" width="1.375" style="213" customWidth="1"/>
    <col min="2061" max="2061" width="5.875" style="213" customWidth="1"/>
    <col min="2062" max="2062" width="5.125" style="213" customWidth="1"/>
    <col min="2063" max="2304" width="7.375" style="213"/>
    <col min="2305" max="2305" width="23.5" style="213" customWidth="1"/>
    <col min="2306" max="2306" width="1.5" style="213" customWidth="1"/>
    <col min="2307" max="2307" width="61.25" style="213" customWidth="1"/>
    <col min="2308" max="2313" width="7.375" style="213"/>
    <col min="2314" max="2314" width="7.375" style="213" customWidth="1"/>
    <col min="2315" max="2315" width="7.375" style="213"/>
    <col min="2316" max="2316" width="1.375" style="213" customWidth="1"/>
    <col min="2317" max="2317" width="5.875" style="213" customWidth="1"/>
    <col min="2318" max="2318" width="5.125" style="213" customWidth="1"/>
    <col min="2319" max="2560" width="7.375" style="213"/>
    <col min="2561" max="2561" width="23.5" style="213" customWidth="1"/>
    <col min="2562" max="2562" width="1.5" style="213" customWidth="1"/>
    <col min="2563" max="2563" width="61.25" style="213" customWidth="1"/>
    <col min="2564" max="2569" width="7.375" style="213"/>
    <col min="2570" max="2570" width="7.375" style="213" customWidth="1"/>
    <col min="2571" max="2571" width="7.375" style="213"/>
    <col min="2572" max="2572" width="1.375" style="213" customWidth="1"/>
    <col min="2573" max="2573" width="5.875" style="213" customWidth="1"/>
    <col min="2574" max="2574" width="5.125" style="213" customWidth="1"/>
    <col min="2575" max="2816" width="7.375" style="213"/>
    <col min="2817" max="2817" width="23.5" style="213" customWidth="1"/>
    <col min="2818" max="2818" width="1.5" style="213" customWidth="1"/>
    <col min="2819" max="2819" width="61.25" style="213" customWidth="1"/>
    <col min="2820" max="2825" width="7.375" style="213"/>
    <col min="2826" max="2826" width="7.375" style="213" customWidth="1"/>
    <col min="2827" max="2827" width="7.375" style="213"/>
    <col min="2828" max="2828" width="1.375" style="213" customWidth="1"/>
    <col min="2829" max="2829" width="5.875" style="213" customWidth="1"/>
    <col min="2830" max="2830" width="5.125" style="213" customWidth="1"/>
    <col min="2831" max="3072" width="7.375" style="213"/>
    <col min="3073" max="3073" width="23.5" style="213" customWidth="1"/>
    <col min="3074" max="3074" width="1.5" style="213" customWidth="1"/>
    <col min="3075" max="3075" width="61.25" style="213" customWidth="1"/>
    <col min="3076" max="3081" width="7.375" style="213"/>
    <col min="3082" max="3082" width="7.375" style="213" customWidth="1"/>
    <col min="3083" max="3083" width="7.375" style="213"/>
    <col min="3084" max="3084" width="1.375" style="213" customWidth="1"/>
    <col min="3085" max="3085" width="5.875" style="213" customWidth="1"/>
    <col min="3086" max="3086" width="5.125" style="213" customWidth="1"/>
    <col min="3087" max="3328" width="7.375" style="213"/>
    <col min="3329" max="3329" width="23.5" style="213" customWidth="1"/>
    <col min="3330" max="3330" width="1.5" style="213" customWidth="1"/>
    <col min="3331" max="3331" width="61.25" style="213" customWidth="1"/>
    <col min="3332" max="3337" width="7.375" style="213"/>
    <col min="3338" max="3338" width="7.375" style="213" customWidth="1"/>
    <col min="3339" max="3339" width="7.375" style="213"/>
    <col min="3340" max="3340" width="1.375" style="213" customWidth="1"/>
    <col min="3341" max="3341" width="5.875" style="213" customWidth="1"/>
    <col min="3342" max="3342" width="5.125" style="213" customWidth="1"/>
    <col min="3343" max="3584" width="7.375" style="213"/>
    <col min="3585" max="3585" width="23.5" style="213" customWidth="1"/>
    <col min="3586" max="3586" width="1.5" style="213" customWidth="1"/>
    <col min="3587" max="3587" width="61.25" style="213" customWidth="1"/>
    <col min="3588" max="3593" width="7.375" style="213"/>
    <col min="3594" max="3594" width="7.375" style="213" customWidth="1"/>
    <col min="3595" max="3595" width="7.375" style="213"/>
    <col min="3596" max="3596" width="1.375" style="213" customWidth="1"/>
    <col min="3597" max="3597" width="5.875" style="213" customWidth="1"/>
    <col min="3598" max="3598" width="5.125" style="213" customWidth="1"/>
    <col min="3599" max="3840" width="7.375" style="213"/>
    <col min="3841" max="3841" width="23.5" style="213" customWidth="1"/>
    <col min="3842" max="3842" width="1.5" style="213" customWidth="1"/>
    <col min="3843" max="3843" width="61.25" style="213" customWidth="1"/>
    <col min="3844" max="3849" width="7.375" style="213"/>
    <col min="3850" max="3850" width="7.375" style="213" customWidth="1"/>
    <col min="3851" max="3851" width="7.375" style="213"/>
    <col min="3852" max="3852" width="1.375" style="213" customWidth="1"/>
    <col min="3853" max="3853" width="5.875" style="213" customWidth="1"/>
    <col min="3854" max="3854" width="5.125" style="213" customWidth="1"/>
    <col min="3855" max="4096" width="7.375" style="213"/>
    <col min="4097" max="4097" width="23.5" style="213" customWidth="1"/>
    <col min="4098" max="4098" width="1.5" style="213" customWidth="1"/>
    <col min="4099" max="4099" width="61.25" style="213" customWidth="1"/>
    <col min="4100" max="4105" width="7.375" style="213"/>
    <col min="4106" max="4106" width="7.375" style="213" customWidth="1"/>
    <col min="4107" max="4107" width="7.375" style="213"/>
    <col min="4108" max="4108" width="1.375" style="213" customWidth="1"/>
    <col min="4109" max="4109" width="5.875" style="213" customWidth="1"/>
    <col min="4110" max="4110" width="5.125" style="213" customWidth="1"/>
    <col min="4111" max="4352" width="7.375" style="213"/>
    <col min="4353" max="4353" width="23.5" style="213" customWidth="1"/>
    <col min="4354" max="4354" width="1.5" style="213" customWidth="1"/>
    <col min="4355" max="4355" width="61.25" style="213" customWidth="1"/>
    <col min="4356" max="4361" width="7.375" style="213"/>
    <col min="4362" max="4362" width="7.375" style="213" customWidth="1"/>
    <col min="4363" max="4363" width="7.375" style="213"/>
    <col min="4364" max="4364" width="1.375" style="213" customWidth="1"/>
    <col min="4365" max="4365" width="5.875" style="213" customWidth="1"/>
    <col min="4366" max="4366" width="5.125" style="213" customWidth="1"/>
    <col min="4367" max="4608" width="7.375" style="213"/>
    <col min="4609" max="4609" width="23.5" style="213" customWidth="1"/>
    <col min="4610" max="4610" width="1.5" style="213" customWidth="1"/>
    <col min="4611" max="4611" width="61.25" style="213" customWidth="1"/>
    <col min="4612" max="4617" width="7.375" style="213"/>
    <col min="4618" max="4618" width="7.375" style="213" customWidth="1"/>
    <col min="4619" max="4619" width="7.375" style="213"/>
    <col min="4620" max="4620" width="1.375" style="213" customWidth="1"/>
    <col min="4621" max="4621" width="5.875" style="213" customWidth="1"/>
    <col min="4622" max="4622" width="5.125" style="213" customWidth="1"/>
    <col min="4623" max="4864" width="7.375" style="213"/>
    <col min="4865" max="4865" width="23.5" style="213" customWidth="1"/>
    <col min="4866" max="4866" width="1.5" style="213" customWidth="1"/>
    <col min="4867" max="4867" width="61.25" style="213" customWidth="1"/>
    <col min="4868" max="4873" width="7.375" style="213"/>
    <col min="4874" max="4874" width="7.375" style="213" customWidth="1"/>
    <col min="4875" max="4875" width="7.375" style="213"/>
    <col min="4876" max="4876" width="1.375" style="213" customWidth="1"/>
    <col min="4877" max="4877" width="5.875" style="213" customWidth="1"/>
    <col min="4878" max="4878" width="5.125" style="213" customWidth="1"/>
    <col min="4879" max="5120" width="7.375" style="213"/>
    <col min="5121" max="5121" width="23.5" style="213" customWidth="1"/>
    <col min="5122" max="5122" width="1.5" style="213" customWidth="1"/>
    <col min="5123" max="5123" width="61.25" style="213" customWidth="1"/>
    <col min="5124" max="5129" width="7.375" style="213"/>
    <col min="5130" max="5130" width="7.375" style="213" customWidth="1"/>
    <col min="5131" max="5131" width="7.375" style="213"/>
    <col min="5132" max="5132" width="1.375" style="213" customWidth="1"/>
    <col min="5133" max="5133" width="5.875" style="213" customWidth="1"/>
    <col min="5134" max="5134" width="5.125" style="213" customWidth="1"/>
    <col min="5135" max="5376" width="7.375" style="213"/>
    <col min="5377" max="5377" width="23.5" style="213" customWidth="1"/>
    <col min="5378" max="5378" width="1.5" style="213" customWidth="1"/>
    <col min="5379" max="5379" width="61.25" style="213" customWidth="1"/>
    <col min="5380" max="5385" width="7.375" style="213"/>
    <col min="5386" max="5386" width="7.375" style="213" customWidth="1"/>
    <col min="5387" max="5387" width="7.375" style="213"/>
    <col min="5388" max="5388" width="1.375" style="213" customWidth="1"/>
    <col min="5389" max="5389" width="5.875" style="213" customWidth="1"/>
    <col min="5390" max="5390" width="5.125" style="213" customWidth="1"/>
    <col min="5391" max="5632" width="7.375" style="213"/>
    <col min="5633" max="5633" width="23.5" style="213" customWidth="1"/>
    <col min="5634" max="5634" width="1.5" style="213" customWidth="1"/>
    <col min="5635" max="5635" width="61.25" style="213" customWidth="1"/>
    <col min="5636" max="5641" width="7.375" style="213"/>
    <col min="5642" max="5642" width="7.375" style="213" customWidth="1"/>
    <col min="5643" max="5643" width="7.375" style="213"/>
    <col min="5644" max="5644" width="1.375" style="213" customWidth="1"/>
    <col min="5645" max="5645" width="5.875" style="213" customWidth="1"/>
    <col min="5646" max="5646" width="5.125" style="213" customWidth="1"/>
    <col min="5647" max="5888" width="7.375" style="213"/>
    <col min="5889" max="5889" width="23.5" style="213" customWidth="1"/>
    <col min="5890" max="5890" width="1.5" style="213" customWidth="1"/>
    <col min="5891" max="5891" width="61.25" style="213" customWidth="1"/>
    <col min="5892" max="5897" width="7.375" style="213"/>
    <col min="5898" max="5898" width="7.375" style="213" customWidth="1"/>
    <col min="5899" max="5899" width="7.375" style="213"/>
    <col min="5900" max="5900" width="1.375" style="213" customWidth="1"/>
    <col min="5901" max="5901" width="5.875" style="213" customWidth="1"/>
    <col min="5902" max="5902" width="5.125" style="213" customWidth="1"/>
    <col min="5903" max="6144" width="7.375" style="213"/>
    <col min="6145" max="6145" width="23.5" style="213" customWidth="1"/>
    <col min="6146" max="6146" width="1.5" style="213" customWidth="1"/>
    <col min="6147" max="6147" width="61.25" style="213" customWidth="1"/>
    <col min="6148" max="6153" width="7.375" style="213"/>
    <col min="6154" max="6154" width="7.375" style="213" customWidth="1"/>
    <col min="6155" max="6155" width="7.375" style="213"/>
    <col min="6156" max="6156" width="1.375" style="213" customWidth="1"/>
    <col min="6157" max="6157" width="5.875" style="213" customWidth="1"/>
    <col min="6158" max="6158" width="5.125" style="213" customWidth="1"/>
    <col min="6159" max="6400" width="7.375" style="213"/>
    <col min="6401" max="6401" width="23.5" style="213" customWidth="1"/>
    <col min="6402" max="6402" width="1.5" style="213" customWidth="1"/>
    <col min="6403" max="6403" width="61.25" style="213" customWidth="1"/>
    <col min="6404" max="6409" width="7.375" style="213"/>
    <col min="6410" max="6410" width="7.375" style="213" customWidth="1"/>
    <col min="6411" max="6411" width="7.375" style="213"/>
    <col min="6412" max="6412" width="1.375" style="213" customWidth="1"/>
    <col min="6413" max="6413" width="5.875" style="213" customWidth="1"/>
    <col min="6414" max="6414" width="5.125" style="213" customWidth="1"/>
    <col min="6415" max="6656" width="7.375" style="213"/>
    <col min="6657" max="6657" width="23.5" style="213" customWidth="1"/>
    <col min="6658" max="6658" width="1.5" style="213" customWidth="1"/>
    <col min="6659" max="6659" width="61.25" style="213" customWidth="1"/>
    <col min="6660" max="6665" width="7.375" style="213"/>
    <col min="6666" max="6666" width="7.375" style="213" customWidth="1"/>
    <col min="6667" max="6667" width="7.375" style="213"/>
    <col min="6668" max="6668" width="1.375" style="213" customWidth="1"/>
    <col min="6669" max="6669" width="5.875" style="213" customWidth="1"/>
    <col min="6670" max="6670" width="5.125" style="213" customWidth="1"/>
    <col min="6671" max="6912" width="7.375" style="213"/>
    <col min="6913" max="6913" width="23.5" style="213" customWidth="1"/>
    <col min="6914" max="6914" width="1.5" style="213" customWidth="1"/>
    <col min="6915" max="6915" width="61.25" style="213" customWidth="1"/>
    <col min="6916" max="6921" width="7.375" style="213"/>
    <col min="6922" max="6922" width="7.375" style="213" customWidth="1"/>
    <col min="6923" max="6923" width="7.375" style="213"/>
    <col min="6924" max="6924" width="1.375" style="213" customWidth="1"/>
    <col min="6925" max="6925" width="5.875" style="213" customWidth="1"/>
    <col min="6926" max="6926" width="5.125" style="213" customWidth="1"/>
    <col min="6927" max="7168" width="7.375" style="213"/>
    <col min="7169" max="7169" width="23.5" style="213" customWidth="1"/>
    <col min="7170" max="7170" width="1.5" style="213" customWidth="1"/>
    <col min="7171" max="7171" width="61.25" style="213" customWidth="1"/>
    <col min="7172" max="7177" width="7.375" style="213"/>
    <col min="7178" max="7178" width="7.375" style="213" customWidth="1"/>
    <col min="7179" max="7179" width="7.375" style="213"/>
    <col min="7180" max="7180" width="1.375" style="213" customWidth="1"/>
    <col min="7181" max="7181" width="5.875" style="213" customWidth="1"/>
    <col min="7182" max="7182" width="5.125" style="213" customWidth="1"/>
    <col min="7183" max="7424" width="7.375" style="213"/>
    <col min="7425" max="7425" width="23.5" style="213" customWidth="1"/>
    <col min="7426" max="7426" width="1.5" style="213" customWidth="1"/>
    <col min="7427" max="7427" width="61.25" style="213" customWidth="1"/>
    <col min="7428" max="7433" width="7.375" style="213"/>
    <col min="7434" max="7434" width="7.375" style="213" customWidth="1"/>
    <col min="7435" max="7435" width="7.375" style="213"/>
    <col min="7436" max="7436" width="1.375" style="213" customWidth="1"/>
    <col min="7437" max="7437" width="5.875" style="213" customWidth="1"/>
    <col min="7438" max="7438" width="5.125" style="213" customWidth="1"/>
    <col min="7439" max="7680" width="7.375" style="213"/>
    <col min="7681" max="7681" width="23.5" style="213" customWidth="1"/>
    <col min="7682" max="7682" width="1.5" style="213" customWidth="1"/>
    <col min="7683" max="7683" width="61.25" style="213" customWidth="1"/>
    <col min="7684" max="7689" width="7.375" style="213"/>
    <col min="7690" max="7690" width="7.375" style="213" customWidth="1"/>
    <col min="7691" max="7691" width="7.375" style="213"/>
    <col min="7692" max="7692" width="1.375" style="213" customWidth="1"/>
    <col min="7693" max="7693" width="5.875" style="213" customWidth="1"/>
    <col min="7694" max="7694" width="5.125" style="213" customWidth="1"/>
    <col min="7695" max="7936" width="7.375" style="213"/>
    <col min="7937" max="7937" width="23.5" style="213" customWidth="1"/>
    <col min="7938" max="7938" width="1.5" style="213" customWidth="1"/>
    <col min="7939" max="7939" width="61.25" style="213" customWidth="1"/>
    <col min="7940" max="7945" width="7.375" style="213"/>
    <col min="7946" max="7946" width="7.375" style="213" customWidth="1"/>
    <col min="7947" max="7947" width="7.375" style="213"/>
    <col min="7948" max="7948" width="1.375" style="213" customWidth="1"/>
    <col min="7949" max="7949" width="5.875" style="213" customWidth="1"/>
    <col min="7950" max="7950" width="5.125" style="213" customWidth="1"/>
    <col min="7951" max="8192" width="7.375" style="213"/>
    <col min="8193" max="8193" width="23.5" style="213" customWidth="1"/>
    <col min="8194" max="8194" width="1.5" style="213" customWidth="1"/>
    <col min="8195" max="8195" width="61.25" style="213" customWidth="1"/>
    <col min="8196" max="8201" width="7.375" style="213"/>
    <col min="8202" max="8202" width="7.375" style="213" customWidth="1"/>
    <col min="8203" max="8203" width="7.375" style="213"/>
    <col min="8204" max="8204" width="1.375" style="213" customWidth="1"/>
    <col min="8205" max="8205" width="5.875" style="213" customWidth="1"/>
    <col min="8206" max="8206" width="5.125" style="213" customWidth="1"/>
    <col min="8207" max="8448" width="7.375" style="213"/>
    <col min="8449" max="8449" width="23.5" style="213" customWidth="1"/>
    <col min="8450" max="8450" width="1.5" style="213" customWidth="1"/>
    <col min="8451" max="8451" width="61.25" style="213" customWidth="1"/>
    <col min="8452" max="8457" width="7.375" style="213"/>
    <col min="8458" max="8458" width="7.375" style="213" customWidth="1"/>
    <col min="8459" max="8459" width="7.375" style="213"/>
    <col min="8460" max="8460" width="1.375" style="213" customWidth="1"/>
    <col min="8461" max="8461" width="5.875" style="213" customWidth="1"/>
    <col min="8462" max="8462" width="5.125" style="213" customWidth="1"/>
    <col min="8463" max="8704" width="7.375" style="213"/>
    <col min="8705" max="8705" width="23.5" style="213" customWidth="1"/>
    <col min="8706" max="8706" width="1.5" style="213" customWidth="1"/>
    <col min="8707" max="8707" width="61.25" style="213" customWidth="1"/>
    <col min="8708" max="8713" width="7.375" style="213"/>
    <col min="8714" max="8714" width="7.375" style="213" customWidth="1"/>
    <col min="8715" max="8715" width="7.375" style="213"/>
    <col min="8716" max="8716" width="1.375" style="213" customWidth="1"/>
    <col min="8717" max="8717" width="5.875" style="213" customWidth="1"/>
    <col min="8718" max="8718" width="5.125" style="213" customWidth="1"/>
    <col min="8719" max="8960" width="7.375" style="213"/>
    <col min="8961" max="8961" width="23.5" style="213" customWidth="1"/>
    <col min="8962" max="8962" width="1.5" style="213" customWidth="1"/>
    <col min="8963" max="8963" width="61.25" style="213" customWidth="1"/>
    <col min="8964" max="8969" width="7.375" style="213"/>
    <col min="8970" max="8970" width="7.375" style="213" customWidth="1"/>
    <col min="8971" max="8971" width="7.375" style="213"/>
    <col min="8972" max="8972" width="1.375" style="213" customWidth="1"/>
    <col min="8973" max="8973" width="5.875" style="213" customWidth="1"/>
    <col min="8974" max="8974" width="5.125" style="213" customWidth="1"/>
    <col min="8975" max="9216" width="7.375" style="213"/>
    <col min="9217" max="9217" width="23.5" style="213" customWidth="1"/>
    <col min="9218" max="9218" width="1.5" style="213" customWidth="1"/>
    <col min="9219" max="9219" width="61.25" style="213" customWidth="1"/>
    <col min="9220" max="9225" width="7.375" style="213"/>
    <col min="9226" max="9226" width="7.375" style="213" customWidth="1"/>
    <col min="9227" max="9227" width="7.375" style="213"/>
    <col min="9228" max="9228" width="1.375" style="213" customWidth="1"/>
    <col min="9229" max="9229" width="5.875" style="213" customWidth="1"/>
    <col min="9230" max="9230" width="5.125" style="213" customWidth="1"/>
    <col min="9231" max="9472" width="7.375" style="213"/>
    <col min="9473" max="9473" width="23.5" style="213" customWidth="1"/>
    <col min="9474" max="9474" width="1.5" style="213" customWidth="1"/>
    <col min="9475" max="9475" width="61.25" style="213" customWidth="1"/>
    <col min="9476" max="9481" width="7.375" style="213"/>
    <col min="9482" max="9482" width="7.375" style="213" customWidth="1"/>
    <col min="9483" max="9483" width="7.375" style="213"/>
    <col min="9484" max="9484" width="1.375" style="213" customWidth="1"/>
    <col min="9485" max="9485" width="5.875" style="213" customWidth="1"/>
    <col min="9486" max="9486" width="5.125" style="213" customWidth="1"/>
    <col min="9487" max="9728" width="7.375" style="213"/>
    <col min="9729" max="9729" width="23.5" style="213" customWidth="1"/>
    <col min="9730" max="9730" width="1.5" style="213" customWidth="1"/>
    <col min="9731" max="9731" width="61.25" style="213" customWidth="1"/>
    <col min="9732" max="9737" width="7.375" style="213"/>
    <col min="9738" max="9738" width="7.375" style="213" customWidth="1"/>
    <col min="9739" max="9739" width="7.375" style="213"/>
    <col min="9740" max="9740" width="1.375" style="213" customWidth="1"/>
    <col min="9741" max="9741" width="5.875" style="213" customWidth="1"/>
    <col min="9742" max="9742" width="5.125" style="213" customWidth="1"/>
    <col min="9743" max="9984" width="7.375" style="213"/>
    <col min="9985" max="9985" width="23.5" style="213" customWidth="1"/>
    <col min="9986" max="9986" width="1.5" style="213" customWidth="1"/>
    <col min="9987" max="9987" width="61.25" style="213" customWidth="1"/>
    <col min="9988" max="9993" width="7.375" style="213"/>
    <col min="9994" max="9994" width="7.375" style="213" customWidth="1"/>
    <col min="9995" max="9995" width="7.375" style="213"/>
    <col min="9996" max="9996" width="1.375" style="213" customWidth="1"/>
    <col min="9997" max="9997" width="5.875" style="213" customWidth="1"/>
    <col min="9998" max="9998" width="5.125" style="213" customWidth="1"/>
    <col min="9999" max="10240" width="7.375" style="213"/>
    <col min="10241" max="10241" width="23.5" style="213" customWidth="1"/>
    <col min="10242" max="10242" width="1.5" style="213" customWidth="1"/>
    <col min="10243" max="10243" width="61.25" style="213" customWidth="1"/>
    <col min="10244" max="10249" width="7.375" style="213"/>
    <col min="10250" max="10250" width="7.375" style="213" customWidth="1"/>
    <col min="10251" max="10251" width="7.375" style="213"/>
    <col min="10252" max="10252" width="1.375" style="213" customWidth="1"/>
    <col min="10253" max="10253" width="5.875" style="213" customWidth="1"/>
    <col min="10254" max="10254" width="5.125" style="213" customWidth="1"/>
    <col min="10255" max="10496" width="7.375" style="213"/>
    <col min="10497" max="10497" width="23.5" style="213" customWidth="1"/>
    <col min="10498" max="10498" width="1.5" style="213" customWidth="1"/>
    <col min="10499" max="10499" width="61.25" style="213" customWidth="1"/>
    <col min="10500" max="10505" width="7.375" style="213"/>
    <col min="10506" max="10506" width="7.375" style="213" customWidth="1"/>
    <col min="10507" max="10507" width="7.375" style="213"/>
    <col min="10508" max="10508" width="1.375" style="213" customWidth="1"/>
    <col min="10509" max="10509" width="5.875" style="213" customWidth="1"/>
    <col min="10510" max="10510" width="5.125" style="213" customWidth="1"/>
    <col min="10511" max="10752" width="7.375" style="213"/>
    <col min="10753" max="10753" width="23.5" style="213" customWidth="1"/>
    <col min="10754" max="10754" width="1.5" style="213" customWidth="1"/>
    <col min="10755" max="10755" width="61.25" style="213" customWidth="1"/>
    <col min="10756" max="10761" width="7.375" style="213"/>
    <col min="10762" max="10762" width="7.375" style="213" customWidth="1"/>
    <col min="10763" max="10763" width="7.375" style="213"/>
    <col min="10764" max="10764" width="1.375" style="213" customWidth="1"/>
    <col min="10765" max="10765" width="5.875" style="213" customWidth="1"/>
    <col min="10766" max="10766" width="5.125" style="213" customWidth="1"/>
    <col min="10767" max="11008" width="7.375" style="213"/>
    <col min="11009" max="11009" width="23.5" style="213" customWidth="1"/>
    <col min="11010" max="11010" width="1.5" style="213" customWidth="1"/>
    <col min="11011" max="11011" width="61.25" style="213" customWidth="1"/>
    <col min="11012" max="11017" width="7.375" style="213"/>
    <col min="11018" max="11018" width="7.375" style="213" customWidth="1"/>
    <col min="11019" max="11019" width="7.375" style="213"/>
    <col min="11020" max="11020" width="1.375" style="213" customWidth="1"/>
    <col min="11021" max="11021" width="5.875" style="213" customWidth="1"/>
    <col min="11022" max="11022" width="5.125" style="213" customWidth="1"/>
    <col min="11023" max="11264" width="7.375" style="213"/>
    <col min="11265" max="11265" width="23.5" style="213" customWidth="1"/>
    <col min="11266" max="11266" width="1.5" style="213" customWidth="1"/>
    <col min="11267" max="11267" width="61.25" style="213" customWidth="1"/>
    <col min="11268" max="11273" width="7.375" style="213"/>
    <col min="11274" max="11274" width="7.375" style="213" customWidth="1"/>
    <col min="11275" max="11275" width="7.375" style="213"/>
    <col min="11276" max="11276" width="1.375" style="213" customWidth="1"/>
    <col min="11277" max="11277" width="5.875" style="213" customWidth="1"/>
    <col min="11278" max="11278" width="5.125" style="213" customWidth="1"/>
    <col min="11279" max="11520" width="7.375" style="213"/>
    <col min="11521" max="11521" width="23.5" style="213" customWidth="1"/>
    <col min="11522" max="11522" width="1.5" style="213" customWidth="1"/>
    <col min="11523" max="11523" width="61.25" style="213" customWidth="1"/>
    <col min="11524" max="11529" width="7.375" style="213"/>
    <col min="11530" max="11530" width="7.375" style="213" customWidth="1"/>
    <col min="11531" max="11531" width="7.375" style="213"/>
    <col min="11532" max="11532" width="1.375" style="213" customWidth="1"/>
    <col min="11533" max="11533" width="5.875" style="213" customWidth="1"/>
    <col min="11534" max="11534" width="5.125" style="213" customWidth="1"/>
    <col min="11535" max="11776" width="7.375" style="213"/>
    <col min="11777" max="11777" width="23.5" style="213" customWidth="1"/>
    <col min="11778" max="11778" width="1.5" style="213" customWidth="1"/>
    <col min="11779" max="11779" width="61.25" style="213" customWidth="1"/>
    <col min="11780" max="11785" width="7.375" style="213"/>
    <col min="11786" max="11786" width="7.375" style="213" customWidth="1"/>
    <col min="11787" max="11787" width="7.375" style="213"/>
    <col min="11788" max="11788" width="1.375" style="213" customWidth="1"/>
    <col min="11789" max="11789" width="5.875" style="213" customWidth="1"/>
    <col min="11790" max="11790" width="5.125" style="213" customWidth="1"/>
    <col min="11791" max="12032" width="7.375" style="213"/>
    <col min="12033" max="12033" width="23.5" style="213" customWidth="1"/>
    <col min="12034" max="12034" width="1.5" style="213" customWidth="1"/>
    <col min="12035" max="12035" width="61.25" style="213" customWidth="1"/>
    <col min="12036" max="12041" width="7.375" style="213"/>
    <col min="12042" max="12042" width="7.375" style="213" customWidth="1"/>
    <col min="12043" max="12043" width="7.375" style="213"/>
    <col min="12044" max="12044" width="1.375" style="213" customWidth="1"/>
    <col min="12045" max="12045" width="5.875" style="213" customWidth="1"/>
    <col min="12046" max="12046" width="5.125" style="213" customWidth="1"/>
    <col min="12047" max="12288" width="7.375" style="213"/>
    <col min="12289" max="12289" width="23.5" style="213" customWidth="1"/>
    <col min="12290" max="12290" width="1.5" style="213" customWidth="1"/>
    <col min="12291" max="12291" width="61.25" style="213" customWidth="1"/>
    <col min="12292" max="12297" width="7.375" style="213"/>
    <col min="12298" max="12298" width="7.375" style="213" customWidth="1"/>
    <col min="12299" max="12299" width="7.375" style="213"/>
    <col min="12300" max="12300" width="1.375" style="213" customWidth="1"/>
    <col min="12301" max="12301" width="5.875" style="213" customWidth="1"/>
    <col min="12302" max="12302" width="5.125" style="213" customWidth="1"/>
    <col min="12303" max="12544" width="7.375" style="213"/>
    <col min="12545" max="12545" width="23.5" style="213" customWidth="1"/>
    <col min="12546" max="12546" width="1.5" style="213" customWidth="1"/>
    <col min="12547" max="12547" width="61.25" style="213" customWidth="1"/>
    <col min="12548" max="12553" width="7.375" style="213"/>
    <col min="12554" max="12554" width="7.375" style="213" customWidth="1"/>
    <col min="12555" max="12555" width="7.375" style="213"/>
    <col min="12556" max="12556" width="1.375" style="213" customWidth="1"/>
    <col min="12557" max="12557" width="5.875" style="213" customWidth="1"/>
    <col min="12558" max="12558" width="5.125" style="213" customWidth="1"/>
    <col min="12559" max="12800" width="7.375" style="213"/>
    <col min="12801" max="12801" width="23.5" style="213" customWidth="1"/>
    <col min="12802" max="12802" width="1.5" style="213" customWidth="1"/>
    <col min="12803" max="12803" width="61.25" style="213" customWidth="1"/>
    <col min="12804" max="12809" width="7.375" style="213"/>
    <col min="12810" max="12810" width="7.375" style="213" customWidth="1"/>
    <col min="12811" max="12811" width="7.375" style="213"/>
    <col min="12812" max="12812" width="1.375" style="213" customWidth="1"/>
    <col min="12813" max="12813" width="5.875" style="213" customWidth="1"/>
    <col min="12814" max="12814" width="5.125" style="213" customWidth="1"/>
    <col min="12815" max="13056" width="7.375" style="213"/>
    <col min="13057" max="13057" width="23.5" style="213" customWidth="1"/>
    <col min="13058" max="13058" width="1.5" style="213" customWidth="1"/>
    <col min="13059" max="13059" width="61.25" style="213" customWidth="1"/>
    <col min="13060" max="13065" width="7.375" style="213"/>
    <col min="13066" max="13066" width="7.375" style="213" customWidth="1"/>
    <col min="13067" max="13067" width="7.375" style="213"/>
    <col min="13068" max="13068" width="1.375" style="213" customWidth="1"/>
    <col min="13069" max="13069" width="5.875" style="213" customWidth="1"/>
    <col min="13070" max="13070" width="5.125" style="213" customWidth="1"/>
    <col min="13071" max="13312" width="7.375" style="213"/>
    <col min="13313" max="13313" width="23.5" style="213" customWidth="1"/>
    <col min="13314" max="13314" width="1.5" style="213" customWidth="1"/>
    <col min="13315" max="13315" width="61.25" style="213" customWidth="1"/>
    <col min="13316" max="13321" width="7.375" style="213"/>
    <col min="13322" max="13322" width="7.375" style="213" customWidth="1"/>
    <col min="13323" max="13323" width="7.375" style="213"/>
    <col min="13324" max="13324" width="1.375" style="213" customWidth="1"/>
    <col min="13325" max="13325" width="5.875" style="213" customWidth="1"/>
    <col min="13326" max="13326" width="5.125" style="213" customWidth="1"/>
    <col min="13327" max="13568" width="7.375" style="213"/>
    <col min="13569" max="13569" width="23.5" style="213" customWidth="1"/>
    <col min="13570" max="13570" width="1.5" style="213" customWidth="1"/>
    <col min="13571" max="13571" width="61.25" style="213" customWidth="1"/>
    <col min="13572" max="13577" width="7.375" style="213"/>
    <col min="13578" max="13578" width="7.375" style="213" customWidth="1"/>
    <col min="13579" max="13579" width="7.375" style="213"/>
    <col min="13580" max="13580" width="1.375" style="213" customWidth="1"/>
    <col min="13581" max="13581" width="5.875" style="213" customWidth="1"/>
    <col min="13582" max="13582" width="5.125" style="213" customWidth="1"/>
    <col min="13583" max="13824" width="7.375" style="213"/>
    <col min="13825" max="13825" width="23.5" style="213" customWidth="1"/>
    <col min="13826" max="13826" width="1.5" style="213" customWidth="1"/>
    <col min="13827" max="13827" width="61.25" style="213" customWidth="1"/>
    <col min="13828" max="13833" width="7.375" style="213"/>
    <col min="13834" max="13834" width="7.375" style="213" customWidth="1"/>
    <col min="13835" max="13835" width="7.375" style="213"/>
    <col min="13836" max="13836" width="1.375" style="213" customWidth="1"/>
    <col min="13837" max="13837" width="5.875" style="213" customWidth="1"/>
    <col min="13838" max="13838" width="5.125" style="213" customWidth="1"/>
    <col min="13839" max="14080" width="7.375" style="213"/>
    <col min="14081" max="14081" width="23.5" style="213" customWidth="1"/>
    <col min="14082" max="14082" width="1.5" style="213" customWidth="1"/>
    <col min="14083" max="14083" width="61.25" style="213" customWidth="1"/>
    <col min="14084" max="14089" width="7.375" style="213"/>
    <col min="14090" max="14090" width="7.375" style="213" customWidth="1"/>
    <col min="14091" max="14091" width="7.375" style="213"/>
    <col min="14092" max="14092" width="1.375" style="213" customWidth="1"/>
    <col min="14093" max="14093" width="5.875" style="213" customWidth="1"/>
    <col min="14094" max="14094" width="5.125" style="213" customWidth="1"/>
    <col min="14095" max="14336" width="7.375" style="213"/>
    <col min="14337" max="14337" width="23.5" style="213" customWidth="1"/>
    <col min="14338" max="14338" width="1.5" style="213" customWidth="1"/>
    <col min="14339" max="14339" width="61.25" style="213" customWidth="1"/>
    <col min="14340" max="14345" width="7.375" style="213"/>
    <col min="14346" max="14346" width="7.375" style="213" customWidth="1"/>
    <col min="14347" max="14347" width="7.375" style="213"/>
    <col min="14348" max="14348" width="1.375" style="213" customWidth="1"/>
    <col min="14349" max="14349" width="5.875" style="213" customWidth="1"/>
    <col min="14350" max="14350" width="5.125" style="213" customWidth="1"/>
    <col min="14351" max="14592" width="7.375" style="213"/>
    <col min="14593" max="14593" width="23.5" style="213" customWidth="1"/>
    <col min="14594" max="14594" width="1.5" style="213" customWidth="1"/>
    <col min="14595" max="14595" width="61.25" style="213" customWidth="1"/>
    <col min="14596" max="14601" width="7.375" style="213"/>
    <col min="14602" max="14602" width="7.375" style="213" customWidth="1"/>
    <col min="14603" max="14603" width="7.375" style="213"/>
    <col min="14604" max="14604" width="1.375" style="213" customWidth="1"/>
    <col min="14605" max="14605" width="5.875" style="213" customWidth="1"/>
    <col min="14606" max="14606" width="5.125" style="213" customWidth="1"/>
    <col min="14607" max="14848" width="7.375" style="213"/>
    <col min="14849" max="14849" width="23.5" style="213" customWidth="1"/>
    <col min="14850" max="14850" width="1.5" style="213" customWidth="1"/>
    <col min="14851" max="14851" width="61.25" style="213" customWidth="1"/>
    <col min="14852" max="14857" width="7.375" style="213"/>
    <col min="14858" max="14858" width="7.375" style="213" customWidth="1"/>
    <col min="14859" max="14859" width="7.375" style="213"/>
    <col min="14860" max="14860" width="1.375" style="213" customWidth="1"/>
    <col min="14861" max="14861" width="5.875" style="213" customWidth="1"/>
    <col min="14862" max="14862" width="5.125" style="213" customWidth="1"/>
    <col min="14863" max="15104" width="7.375" style="213"/>
    <col min="15105" max="15105" width="23.5" style="213" customWidth="1"/>
    <col min="15106" max="15106" width="1.5" style="213" customWidth="1"/>
    <col min="15107" max="15107" width="61.25" style="213" customWidth="1"/>
    <col min="15108" max="15113" width="7.375" style="213"/>
    <col min="15114" max="15114" width="7.375" style="213" customWidth="1"/>
    <col min="15115" max="15115" width="7.375" style="213"/>
    <col min="15116" max="15116" width="1.375" style="213" customWidth="1"/>
    <col min="15117" max="15117" width="5.875" style="213" customWidth="1"/>
    <col min="15118" max="15118" width="5.125" style="213" customWidth="1"/>
    <col min="15119" max="15360" width="7.375" style="213"/>
    <col min="15361" max="15361" width="23.5" style="213" customWidth="1"/>
    <col min="15362" max="15362" width="1.5" style="213" customWidth="1"/>
    <col min="15363" max="15363" width="61.25" style="213" customWidth="1"/>
    <col min="15364" max="15369" width="7.375" style="213"/>
    <col min="15370" max="15370" width="7.375" style="213" customWidth="1"/>
    <col min="15371" max="15371" width="7.375" style="213"/>
    <col min="15372" max="15372" width="1.375" style="213" customWidth="1"/>
    <col min="15373" max="15373" width="5.875" style="213" customWidth="1"/>
    <col min="15374" max="15374" width="5.125" style="213" customWidth="1"/>
    <col min="15375" max="15616" width="7.375" style="213"/>
    <col min="15617" max="15617" width="23.5" style="213" customWidth="1"/>
    <col min="15618" max="15618" width="1.5" style="213" customWidth="1"/>
    <col min="15619" max="15619" width="61.25" style="213" customWidth="1"/>
    <col min="15620" max="15625" width="7.375" style="213"/>
    <col min="15626" max="15626" width="7.375" style="213" customWidth="1"/>
    <col min="15627" max="15627" width="7.375" style="213"/>
    <col min="15628" max="15628" width="1.375" style="213" customWidth="1"/>
    <col min="15629" max="15629" width="5.875" style="213" customWidth="1"/>
    <col min="15630" max="15630" width="5.125" style="213" customWidth="1"/>
    <col min="15631" max="15872" width="7.375" style="213"/>
    <col min="15873" max="15873" width="23.5" style="213" customWidth="1"/>
    <col min="15874" max="15874" width="1.5" style="213" customWidth="1"/>
    <col min="15875" max="15875" width="61.25" style="213" customWidth="1"/>
    <col min="15876" max="15881" width="7.375" style="213"/>
    <col min="15882" max="15882" width="7.375" style="213" customWidth="1"/>
    <col min="15883" max="15883" width="7.375" style="213"/>
    <col min="15884" max="15884" width="1.375" style="213" customWidth="1"/>
    <col min="15885" max="15885" width="5.875" style="213" customWidth="1"/>
    <col min="15886" max="15886" width="5.125" style="213" customWidth="1"/>
    <col min="15887" max="16128" width="7.375" style="213"/>
    <col min="16129" max="16129" width="23.5" style="213" customWidth="1"/>
    <col min="16130" max="16130" width="1.5" style="213" customWidth="1"/>
    <col min="16131" max="16131" width="61.25" style="213" customWidth="1"/>
    <col min="16132" max="16137" width="7.375" style="213"/>
    <col min="16138" max="16138" width="7.375" style="213" customWidth="1"/>
    <col min="16139" max="16139" width="7.375" style="213"/>
    <col min="16140" max="16140" width="1.375" style="213" customWidth="1"/>
    <col min="16141" max="16141" width="5.875" style="213" customWidth="1"/>
    <col min="16142" max="16142" width="5.125" style="213" customWidth="1"/>
    <col min="16143" max="16384" width="7.375" style="213"/>
  </cols>
  <sheetData>
    <row r="1" spans="1:3" ht="15" customHeight="1">
      <c r="A1" s="212"/>
    </row>
    <row r="2" spans="1:3" ht="15" customHeight="1"/>
    <row r="3" spans="1:3" ht="15" customHeight="1">
      <c r="A3" s="807" t="s">
        <v>1578</v>
      </c>
      <c r="B3" s="807"/>
      <c r="C3" s="807"/>
    </row>
    <row r="4" spans="1:3" ht="15" customHeight="1"/>
    <row r="5" spans="1:3" ht="15" customHeight="1">
      <c r="A5" s="807" t="s">
        <v>1579</v>
      </c>
      <c r="B5" s="807"/>
      <c r="C5" s="807"/>
    </row>
    <row r="6" spans="1:3" ht="15" customHeight="1"/>
    <row r="7" spans="1:3" ht="15" customHeight="1">
      <c r="A7" s="807" t="str">
        <f>'Rate Case Constants'!C9</f>
        <v>KENTUCKY UTILITIES COMPANY</v>
      </c>
      <c r="B7" s="807"/>
      <c r="C7" s="807"/>
    </row>
    <row r="8" spans="1:3" ht="15" customHeight="1">
      <c r="A8"/>
      <c r="B8"/>
      <c r="C8"/>
    </row>
    <row r="9" spans="1:3" ht="15" customHeight="1">
      <c r="A9" s="807" t="str">
        <f>'Rate Case Constants'!C10</f>
        <v>CASE NO. 2020-00349</v>
      </c>
      <c r="B9" s="807"/>
      <c r="C9" s="807"/>
    </row>
    <row r="10" spans="1:3" ht="15" customHeight="1"/>
    <row r="11" spans="1:3" ht="15" customHeight="1">
      <c r="A11" s="214" t="s">
        <v>1580</v>
      </c>
      <c r="C11" s="214" t="str">
        <f>'Rate Case Constants'!C16</f>
        <v>FOR THE 12 MONTHS ENDED FEBRUARY 28, 2021</v>
      </c>
    </row>
    <row r="12" spans="1:3" ht="15" customHeight="1">
      <c r="C12"/>
    </row>
    <row r="13" spans="1:3" ht="15" customHeight="1">
      <c r="A13" s="214" t="s">
        <v>1581</v>
      </c>
      <c r="C13" s="214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215" t="s">
        <v>1570</v>
      </c>
      <c r="B17" s="216"/>
      <c r="C17" s="215" t="s">
        <v>204</v>
      </c>
      <c r="D17" s="217"/>
      <c r="E17" s="217"/>
      <c r="F17" s="217"/>
      <c r="G17" s="217"/>
      <c r="H17" s="217"/>
      <c r="I17" s="217"/>
    </row>
    <row r="18" spans="1:9" ht="15" customHeight="1"/>
    <row r="19" spans="1:9" ht="15" customHeight="1"/>
    <row r="20" spans="1:9" ht="15" customHeight="1">
      <c r="A20" s="218" t="s">
        <v>1559</v>
      </c>
      <c r="B20" s="219"/>
      <c r="C20" s="218" t="s">
        <v>1582</v>
      </c>
    </row>
    <row r="21" spans="1:9" ht="15" customHeight="1">
      <c r="A21" s="218" t="s">
        <v>1182</v>
      </c>
      <c r="B21" s="219"/>
      <c r="C21" s="218" t="s">
        <v>1583</v>
      </c>
    </row>
    <row r="22" spans="1:9" ht="15" customHeight="1">
      <c r="A22" s="218" t="s">
        <v>1560</v>
      </c>
      <c r="B22" s="219"/>
      <c r="C22" s="218" t="s">
        <v>220</v>
      </c>
    </row>
    <row r="23" spans="1:9" ht="15" customHeight="1">
      <c r="A23" s="218" t="s">
        <v>1561</v>
      </c>
      <c r="B23" s="219"/>
      <c r="C23" s="218" t="s">
        <v>214</v>
      </c>
    </row>
    <row r="24" spans="1:9" ht="15" customHeight="1">
      <c r="A24" s="213" t="s">
        <v>1562</v>
      </c>
      <c r="C24" s="213" t="s">
        <v>1584</v>
      </c>
    </row>
    <row r="25" spans="1:9" ht="15" customHeight="1">
      <c r="A25" s="213" t="s">
        <v>1563</v>
      </c>
      <c r="C25" s="213" t="s">
        <v>178</v>
      </c>
    </row>
    <row r="26" spans="1:9" ht="15" customHeight="1">
      <c r="A26" s="213" t="s">
        <v>1564</v>
      </c>
      <c r="C26" s="213" t="s">
        <v>185</v>
      </c>
    </row>
    <row r="27" spans="1:9" ht="15" customHeight="1">
      <c r="A27" s="213" t="s">
        <v>1183</v>
      </c>
      <c r="C27" s="213" t="s">
        <v>194</v>
      </c>
    </row>
    <row r="28" spans="1:9" ht="15" customHeight="1">
      <c r="A28" s="213" t="s">
        <v>1571</v>
      </c>
      <c r="C28" s="213" t="s">
        <v>207</v>
      </c>
    </row>
    <row r="29" spans="1:9" ht="15" customHeight="1">
      <c r="A29" s="213" t="s">
        <v>1184</v>
      </c>
      <c r="C29" s="213" t="s">
        <v>1197</v>
      </c>
    </row>
    <row r="30" spans="1:9" ht="15" customHeight="1">
      <c r="A30" s="213" t="s">
        <v>1565</v>
      </c>
      <c r="C30" s="213" t="s">
        <v>1204</v>
      </c>
    </row>
    <row r="31" spans="1:9" ht="15" customHeight="1">
      <c r="A31" s="213" t="s">
        <v>2008</v>
      </c>
      <c r="C31" s="213" t="s">
        <v>1240</v>
      </c>
    </row>
    <row r="32" spans="1:9" ht="15" customHeight="1">
      <c r="A32" s="213" t="s">
        <v>1186</v>
      </c>
      <c r="C32" s="213" t="s">
        <v>475</v>
      </c>
    </row>
    <row r="33" spans="1:5" ht="15" customHeight="1">
      <c r="A33" s="213" t="s">
        <v>1566</v>
      </c>
      <c r="C33" s="213" t="s">
        <v>1708</v>
      </c>
    </row>
    <row r="34" spans="1:5" ht="15" customHeight="1">
      <c r="A34" s="213" t="s">
        <v>2009</v>
      </c>
      <c r="C34" s="213" t="s">
        <v>1216</v>
      </c>
    </row>
    <row r="35" spans="1:5" ht="15" customHeight="1">
      <c r="A35" s="213" t="s">
        <v>1185</v>
      </c>
      <c r="C35" s="213" t="s">
        <v>1414</v>
      </c>
    </row>
    <row r="36" spans="1:5" ht="15" customHeight="1">
      <c r="A36" s="213" t="s">
        <v>1426</v>
      </c>
      <c r="C36" s="213" t="s">
        <v>1431</v>
      </c>
    </row>
    <row r="37" spans="1:5" ht="15" customHeight="1">
      <c r="A37" s="213" t="s">
        <v>1427</v>
      </c>
      <c r="C37" s="213" t="s">
        <v>1432</v>
      </c>
    </row>
    <row r="38" spans="1:5" ht="15" customHeight="1">
      <c r="A38" s="213" t="s">
        <v>1189</v>
      </c>
      <c r="C38" s="213" t="s">
        <v>1585</v>
      </c>
    </row>
    <row r="39" spans="1:5" ht="15" customHeight="1">
      <c r="A39" s="213" t="s">
        <v>1567</v>
      </c>
      <c r="C39" s="213" t="s">
        <v>1586</v>
      </c>
    </row>
    <row r="40" spans="1:5" ht="15" customHeight="1">
      <c r="A40" s="213" t="s">
        <v>1568</v>
      </c>
      <c r="C40" s="213" t="s">
        <v>1465</v>
      </c>
    </row>
    <row r="41" spans="1:5" ht="15" customHeight="1">
      <c r="A41" s="213" t="s">
        <v>1569</v>
      </c>
      <c r="C41" s="213" t="s">
        <v>1587</v>
      </c>
    </row>
    <row r="42" spans="1:5" ht="15" customHeight="1">
      <c r="A42" s="213" t="s">
        <v>1572</v>
      </c>
      <c r="C42" s="213" t="s">
        <v>1452</v>
      </c>
    </row>
    <row r="43" spans="1:5">
      <c r="D43" s="220"/>
      <c r="E43" s="220"/>
    </row>
    <row r="44" spans="1:5">
      <c r="D44" s="220"/>
      <c r="E44" s="220"/>
    </row>
    <row r="45" spans="1:5">
      <c r="D45" s="220"/>
      <c r="E45" s="220"/>
    </row>
    <row r="46" spans="1:5">
      <c r="D46" s="220"/>
      <c r="E46" s="220"/>
    </row>
    <row r="47" spans="1:5">
      <c r="D47" s="220"/>
      <c r="E47" s="220"/>
    </row>
    <row r="48" spans="1:5">
      <c r="D48" s="220"/>
      <c r="E48" s="220"/>
    </row>
    <row r="49" spans="4:5">
      <c r="D49" s="220"/>
      <c r="E49" s="220"/>
    </row>
    <row r="50" spans="4:5">
      <c r="D50" s="220"/>
      <c r="E50" s="220"/>
    </row>
    <row r="51" spans="4:5">
      <c r="D51" s="220"/>
      <c r="E51" s="220"/>
    </row>
    <row r="52" spans="4:5">
      <c r="D52" s="220"/>
      <c r="E52" s="220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pageSetUpPr fitToPage="1"/>
  </sheetPr>
  <dimension ref="A1:R97"/>
  <sheetViews>
    <sheetView workbookViewId="0">
      <pane xSplit="3" ySplit="3" topLeftCell="D4" activePane="bottomRight" state="frozen"/>
      <selection pane="topRight" activeCell="B1" sqref="B1"/>
      <selection pane="bottomLeft" activeCell="A4" sqref="A4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792" customWidth="1"/>
    <col min="4" max="4" width="9.375" style="451" customWidth="1"/>
    <col min="5" max="17" width="9.375" style="443" customWidth="1"/>
    <col min="18" max="18" width="11.25" style="443" bestFit="1" customWidth="1"/>
    <col min="19" max="16384" width="7.75" style="235"/>
  </cols>
  <sheetData>
    <row r="1" spans="1:18" s="399" customFormat="1" ht="18.75">
      <c r="C1" s="429"/>
      <c r="D1" s="446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</row>
    <row r="2" spans="1:18" s="399" customFormat="1" ht="30">
      <c r="A2" s="733" t="s">
        <v>1715</v>
      </c>
      <c r="B2" s="399" t="s">
        <v>2203</v>
      </c>
      <c r="C2" s="400" t="s">
        <v>2167</v>
      </c>
      <c r="D2" s="446" t="s">
        <v>2200</v>
      </c>
      <c r="E2" s="439" t="s">
        <v>2721</v>
      </c>
      <c r="F2" s="439" t="s">
        <v>2722</v>
      </c>
      <c r="G2" s="439" t="s">
        <v>2723</v>
      </c>
      <c r="H2" s="439" t="s">
        <v>2724</v>
      </c>
      <c r="I2" s="439" t="s">
        <v>2725</v>
      </c>
      <c r="J2" s="439" t="s">
        <v>2726</v>
      </c>
      <c r="K2" s="439" t="s">
        <v>2727</v>
      </c>
      <c r="L2" s="439" t="s">
        <v>2728</v>
      </c>
      <c r="M2" s="439" t="s">
        <v>2729</v>
      </c>
      <c r="N2" s="439" t="s">
        <v>2730</v>
      </c>
      <c r="O2" s="439" t="s">
        <v>2731</v>
      </c>
      <c r="P2" s="439" t="s">
        <v>2732</v>
      </c>
      <c r="Q2" s="439" t="s">
        <v>2733</v>
      </c>
      <c r="R2" s="439" t="s">
        <v>2204</v>
      </c>
    </row>
    <row r="3" spans="1:18" s="399" customFormat="1">
      <c r="C3" s="787"/>
      <c r="D3" s="446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1:18">
      <c r="C4" s="788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52"/>
    </row>
    <row r="5" spans="1:18">
      <c r="C5" s="789" t="s">
        <v>1477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2"/>
    </row>
    <row r="6" spans="1:18">
      <c r="A6" s="734" t="str">
        <f t="shared" ref="A6:A61" si="0">IF(ISTEXT(MID($C6,SEARCH("KY",$C6),3)),"KY",IF(ISTEXT(MID($C6,SEARCH("VA",$C6),3)),"VA",IF(ISTEXT(MID($C6,SEARCH("TN",$C6),3)),"TN","KY")))</f>
        <v>KY</v>
      </c>
      <c r="B6" s="734" t="str">
        <f t="shared" ref="B6:B45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790" t="s">
        <v>1478</v>
      </c>
      <c r="D6" s="448" t="str">
        <f>IF(ISTEXT(MID($C6,SEARCH("FUTURE USE",$C6),3)),"FUTURE USE",IF(ISTEXT(MID($C6,SEARCH("ECR",$C6),3)),"ECR",IF(ISTEXT(MID($C6,SEARCH("ARO",$C6),3)),"ARO",IF(ISTEXT(MID($C6,SEARCH("DSM",$C6),3)),"DSM",IF(ISTEXT(MID($C6,SEARCH("GLT",$C6),3)),"GLT",IF(ISTEXT(MID($C6,SEARCH("AMI",$C6),3)),"AMI",""))))))</f>
        <v/>
      </c>
      <c r="E6" s="442">
        <v>29565.507889999899</v>
      </c>
      <c r="F6" s="442">
        <v>32447.074929999901</v>
      </c>
      <c r="G6" s="442">
        <v>30961.411619999901</v>
      </c>
      <c r="H6" s="442">
        <v>31175.535699999898</v>
      </c>
      <c r="I6" s="442">
        <v>32195.4103499999</v>
      </c>
      <c r="J6" s="442">
        <v>34125.776149999903</v>
      </c>
      <c r="K6" s="442">
        <v>14897.041719999899</v>
      </c>
      <c r="L6" s="442">
        <v>16795.8583699999</v>
      </c>
      <c r="M6" s="442">
        <v>18722.798539999902</v>
      </c>
      <c r="N6" s="442">
        <v>20618.685939999901</v>
      </c>
      <c r="O6" s="442">
        <v>23772.022169999898</v>
      </c>
      <c r="P6" s="442">
        <v>26614.1406099999</v>
      </c>
      <c r="Q6" s="442">
        <v>24291.946099999899</v>
      </c>
      <c r="R6" s="453">
        <f>SUM(E6:Q6)/13</f>
        <v>25860.246929999899</v>
      </c>
    </row>
    <row r="7" spans="1:18">
      <c r="A7" s="734" t="str">
        <f t="shared" si="0"/>
        <v>KY</v>
      </c>
      <c r="B7" s="734" t="str">
        <f t="shared" si="1"/>
        <v>DISTRIBUTION</v>
      </c>
      <c r="C7" s="790" t="s">
        <v>2736</v>
      </c>
      <c r="D7" s="448" t="str">
        <f t="shared" ref="D7:D27" si="2">IF(ISTEXT(MID($C7,SEARCH("FUTURE USE",$C7),3)),"FUTURE USE",IF(ISTEXT(MID($C7,SEARCH("ECR",$C7),3)),"ECR",IF(ISTEXT(MID($C7,SEARCH("ARO",$C7),3)),"ARO",IF(ISTEXT(MID($C7,SEARCH("DSM",$C7),3)),"DSM",IF(ISTEXT(MID($C7,SEARCH("GLT",$C7),3)),"GLT",IF(ISTEXT(MID($C7,SEARCH("AMI",$C7),3)),"AMI",""))))))</f>
        <v>AMI</v>
      </c>
      <c r="E7" s="442">
        <v>1.0000000000000001E-5</v>
      </c>
      <c r="F7" s="442">
        <v>54.816363727499997</v>
      </c>
      <c r="G7" s="442">
        <v>223.44947509166599</v>
      </c>
      <c r="H7" s="442">
        <v>423.83673733000001</v>
      </c>
      <c r="I7" s="442">
        <v>635.30853773333297</v>
      </c>
      <c r="J7" s="442">
        <v>881.32635118666599</v>
      </c>
      <c r="K7" s="442">
        <v>1653.4041809053799</v>
      </c>
      <c r="L7" s="442">
        <v>2048.3135147654798</v>
      </c>
      <c r="M7" s="442">
        <v>2504.6545783953202</v>
      </c>
      <c r="N7" s="442">
        <v>2984.1609951589999</v>
      </c>
      <c r="O7" s="442">
        <v>3440.8354578725998</v>
      </c>
      <c r="P7" s="442">
        <v>3880.43580778145</v>
      </c>
      <c r="Q7" s="442">
        <v>4317.3179145390104</v>
      </c>
      <c r="R7" s="453">
        <f t="shared" ref="R7:R27" si="3">SUM(E7:Q7)/13</f>
        <v>1772.9123018836463</v>
      </c>
    </row>
    <row r="8" spans="1:18">
      <c r="A8" s="734" t="str">
        <f t="shared" si="0"/>
        <v>VA</v>
      </c>
      <c r="B8" s="734" t="str">
        <f t="shared" si="1"/>
        <v>DISTRIBUTION</v>
      </c>
      <c r="C8" s="790" t="s">
        <v>1479</v>
      </c>
      <c r="D8" s="448" t="str">
        <f t="shared" si="2"/>
        <v/>
      </c>
      <c r="E8" s="442">
        <v>1355.912</v>
      </c>
      <c r="F8" s="442">
        <v>1355.912</v>
      </c>
      <c r="G8" s="442">
        <v>1355.912</v>
      </c>
      <c r="H8" s="442">
        <v>1355.912</v>
      </c>
      <c r="I8" s="442">
        <v>1355.912</v>
      </c>
      <c r="J8" s="442">
        <v>1355.912</v>
      </c>
      <c r="K8" s="442">
        <v>2.2737367544323201E-13</v>
      </c>
      <c r="L8" s="442">
        <v>2.2737367544323201E-13</v>
      </c>
      <c r="M8" s="442">
        <v>2.8421709430404002E-13</v>
      </c>
      <c r="N8" s="442">
        <v>3.1263880373444398E-13</v>
      </c>
      <c r="O8" s="442">
        <v>3.1263880373444398E-13</v>
      </c>
      <c r="P8" s="442">
        <v>2.8421709430404002E-13</v>
      </c>
      <c r="Q8" s="442">
        <v>3.1263880373444398E-13</v>
      </c>
      <c r="R8" s="453">
        <f t="shared" si="3"/>
        <v>625.8055384615385</v>
      </c>
    </row>
    <row r="9" spans="1:18">
      <c r="A9" s="734" t="str">
        <f t="shared" si="0"/>
        <v>KY</v>
      </c>
      <c r="B9" s="734" t="str">
        <f t="shared" si="1"/>
        <v>GENERAL</v>
      </c>
      <c r="C9" s="790" t="s">
        <v>1480</v>
      </c>
      <c r="D9" s="448" t="str">
        <f t="shared" si="2"/>
        <v/>
      </c>
      <c r="E9" s="442">
        <v>17925.476199999899</v>
      </c>
      <c r="F9" s="442">
        <v>21547.841699999899</v>
      </c>
      <c r="G9" s="442">
        <v>23693.680979999899</v>
      </c>
      <c r="H9" s="442">
        <v>25375.9943199999</v>
      </c>
      <c r="I9" s="442">
        <v>26398.097589999899</v>
      </c>
      <c r="J9" s="442">
        <v>29683.0841899999</v>
      </c>
      <c r="K9" s="442">
        <v>18119.482829999899</v>
      </c>
      <c r="L9" s="442">
        <v>19725.523719999899</v>
      </c>
      <c r="M9" s="442">
        <v>21678.909889999901</v>
      </c>
      <c r="N9" s="442">
        <v>24202.439699999901</v>
      </c>
      <c r="O9" s="442">
        <v>23604.873959999899</v>
      </c>
      <c r="P9" s="442">
        <v>26028.224699999901</v>
      </c>
      <c r="Q9" s="442">
        <v>28444.197409999899</v>
      </c>
      <c r="R9" s="453">
        <f t="shared" si="3"/>
        <v>23571.371322307594</v>
      </c>
    </row>
    <row r="10" spans="1:18">
      <c r="A10" s="734" t="str">
        <f t="shared" si="0"/>
        <v>KY</v>
      </c>
      <c r="B10" s="734" t="str">
        <f t="shared" si="1"/>
        <v>GENERAL</v>
      </c>
      <c r="C10" s="790" t="s">
        <v>2737</v>
      </c>
      <c r="D10" s="448" t="str">
        <f t="shared" si="2"/>
        <v>AMI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12.7385592039166</v>
      </c>
      <c r="M10" s="442">
        <v>292.4526640675</v>
      </c>
      <c r="N10" s="442">
        <v>564.04845962258298</v>
      </c>
      <c r="O10" s="442">
        <v>822.68908636183301</v>
      </c>
      <c r="P10" s="442">
        <v>1070.41381901216</v>
      </c>
      <c r="Q10" s="442">
        <v>1318.0320337826099</v>
      </c>
      <c r="R10" s="453">
        <f t="shared" si="3"/>
        <v>313.87497092696947</v>
      </c>
    </row>
    <row r="11" spans="1:18">
      <c r="A11" s="734" t="str">
        <f t="shared" si="0"/>
        <v>VA</v>
      </c>
      <c r="B11" s="734" t="str">
        <f t="shared" si="1"/>
        <v>GENERAL</v>
      </c>
      <c r="C11" s="790" t="s">
        <v>1481</v>
      </c>
      <c r="D11" s="448" t="str">
        <f t="shared" si="2"/>
        <v/>
      </c>
      <c r="E11" s="442">
        <v>365.79624999999999</v>
      </c>
      <c r="F11" s="442">
        <v>527.76424999999995</v>
      </c>
      <c r="G11" s="442">
        <v>689.732249999999</v>
      </c>
      <c r="H11" s="442">
        <v>851.70024999999998</v>
      </c>
      <c r="I11" s="442">
        <v>1013.6682499999901</v>
      </c>
      <c r="J11" s="442">
        <v>1094.55594</v>
      </c>
      <c r="K11" s="442">
        <v>-205.35353000000001</v>
      </c>
      <c r="L11" s="442">
        <v>-205.35353000000001</v>
      </c>
      <c r="M11" s="442">
        <v>-205.35353000000001</v>
      </c>
      <c r="N11" s="442">
        <v>-205.35353000000001</v>
      </c>
      <c r="O11" s="442">
        <v>-205.35353000000001</v>
      </c>
      <c r="P11" s="442">
        <v>-205.35353000000001</v>
      </c>
      <c r="Q11" s="442">
        <v>-205.35353000000001</v>
      </c>
      <c r="R11" s="453">
        <f t="shared" si="3"/>
        <v>238.90326769230688</v>
      </c>
    </row>
    <row r="12" spans="1:18">
      <c r="A12" s="734" t="str">
        <f t="shared" si="0"/>
        <v>KY</v>
      </c>
      <c r="B12" s="734" t="str">
        <f t="shared" si="1"/>
        <v>PRODUCTION</v>
      </c>
      <c r="C12" s="790" t="s">
        <v>1482</v>
      </c>
      <c r="D12" s="448" t="str">
        <f t="shared" si="2"/>
        <v/>
      </c>
      <c r="E12" s="442">
        <v>3472.9233399999998</v>
      </c>
      <c r="F12" s="442">
        <v>4159.3173399999996</v>
      </c>
      <c r="G12" s="442">
        <v>4845.7113399999998</v>
      </c>
      <c r="H12" s="442">
        <v>5573.1440399999901</v>
      </c>
      <c r="I12" s="442">
        <v>5701.1280399999996</v>
      </c>
      <c r="J12" s="442">
        <v>0</v>
      </c>
      <c r="K12" s="442">
        <v>0</v>
      </c>
      <c r="L12" s="442">
        <v>0</v>
      </c>
      <c r="M12" s="442">
        <v>0</v>
      </c>
      <c r="N12" s="442">
        <v>0</v>
      </c>
      <c r="O12" s="442">
        <v>0</v>
      </c>
      <c r="P12" s="442">
        <v>0</v>
      </c>
      <c r="Q12" s="442">
        <v>567.64400000000001</v>
      </c>
      <c r="R12" s="453">
        <f t="shared" si="3"/>
        <v>1870.7590846153837</v>
      </c>
    </row>
    <row r="13" spans="1:18">
      <c r="A13" s="734" t="str">
        <f t="shared" si="0"/>
        <v>KY</v>
      </c>
      <c r="B13" s="734" t="str">
        <f t="shared" si="1"/>
        <v>GENERAL</v>
      </c>
      <c r="C13" s="790" t="s">
        <v>1483</v>
      </c>
      <c r="D13" s="448" t="str">
        <f t="shared" si="2"/>
        <v/>
      </c>
      <c r="E13" s="442">
        <v>7199.8370400000003</v>
      </c>
      <c r="F13" s="442">
        <v>8420.3494200000005</v>
      </c>
      <c r="G13" s="442">
        <v>9625.4847599999994</v>
      </c>
      <c r="H13" s="442">
        <v>6650.51692</v>
      </c>
      <c r="I13" s="442">
        <v>7895.1370900000002</v>
      </c>
      <c r="J13" s="442">
        <v>8610.2281000000003</v>
      </c>
      <c r="K13" s="442">
        <v>3004.3322600000001</v>
      </c>
      <c r="L13" s="442">
        <v>3477.4667100000001</v>
      </c>
      <c r="M13" s="442">
        <v>4282.6437500000002</v>
      </c>
      <c r="N13" s="442">
        <v>5363.69056</v>
      </c>
      <c r="O13" s="442">
        <v>6911.4801799999996</v>
      </c>
      <c r="P13" s="442">
        <v>7994.3093399999998</v>
      </c>
      <c r="Q13" s="442">
        <v>7897.2034999999996</v>
      </c>
      <c r="R13" s="453">
        <f t="shared" si="3"/>
        <v>6717.8984330769254</v>
      </c>
    </row>
    <row r="14" spans="1:18">
      <c r="A14" s="734" t="str">
        <f t="shared" si="0"/>
        <v>KY</v>
      </c>
      <c r="B14" s="734" t="str">
        <f t="shared" si="1"/>
        <v>GENERAL</v>
      </c>
      <c r="C14" s="790" t="s">
        <v>2738</v>
      </c>
      <c r="D14" s="448" t="str">
        <f t="shared" si="2"/>
        <v>AMI</v>
      </c>
      <c r="E14" s="442">
        <v>0</v>
      </c>
      <c r="F14" s="442">
        <v>3557.9945037816601</v>
      </c>
      <c r="G14" s="442">
        <v>4056.1495906124901</v>
      </c>
      <c r="H14" s="442">
        <v>4599.58920885916</v>
      </c>
      <c r="I14" s="442">
        <v>5736.35751492499</v>
      </c>
      <c r="J14" s="442">
        <v>6773.4915097099902</v>
      </c>
      <c r="K14" s="442">
        <v>7679.1089556022198</v>
      </c>
      <c r="L14" s="442">
        <v>8872.6998584253797</v>
      </c>
      <c r="M14" s="442">
        <v>9843.3303517703807</v>
      </c>
      <c r="N14" s="442">
        <v>10918.149539256799</v>
      </c>
      <c r="O14" s="442">
        <v>12222.724109688501</v>
      </c>
      <c r="P14" s="442">
        <v>13373.0189522785</v>
      </c>
      <c r="Q14" s="442">
        <v>14570.4862499351</v>
      </c>
      <c r="R14" s="453">
        <f t="shared" si="3"/>
        <v>7861.7769496034743</v>
      </c>
    </row>
    <row r="15" spans="1:18">
      <c r="A15" s="734" t="str">
        <f t="shared" si="0"/>
        <v>KY</v>
      </c>
      <c r="B15" s="734" t="str">
        <f t="shared" si="1"/>
        <v>GENERAL</v>
      </c>
      <c r="C15" s="790" t="s">
        <v>2739</v>
      </c>
      <c r="D15" s="448" t="str">
        <f t="shared" si="2"/>
        <v/>
      </c>
      <c r="E15" s="442">
        <v>1010.24844</v>
      </c>
      <c r="F15" s="442">
        <v>1010.24844</v>
      </c>
      <c r="G15" s="442">
        <v>1010.24844</v>
      </c>
      <c r="H15" s="442">
        <v>1010.24844</v>
      </c>
      <c r="I15" s="442">
        <v>1010.24844</v>
      </c>
      <c r="J15" s="442">
        <v>1010.24844</v>
      </c>
      <c r="K15" s="442">
        <v>1010.24844</v>
      </c>
      <c r="L15" s="442">
        <v>1010.24844</v>
      </c>
      <c r="M15" s="442">
        <v>1010.24844</v>
      </c>
      <c r="N15" s="442">
        <v>1010.24844</v>
      </c>
      <c r="O15" s="442">
        <v>1010.24844</v>
      </c>
      <c r="P15" s="442">
        <v>1010.24844</v>
      </c>
      <c r="Q15" s="442">
        <v>1010.24844</v>
      </c>
      <c r="R15" s="453">
        <f t="shared" si="3"/>
        <v>1010.2484399999998</v>
      </c>
    </row>
    <row r="16" spans="1:18">
      <c r="A16" s="734" t="str">
        <f t="shared" si="0"/>
        <v>KY</v>
      </c>
      <c r="B16" s="734" t="str">
        <f t="shared" si="1"/>
        <v>DISTRIBUTION</v>
      </c>
      <c r="C16" s="790" t="s">
        <v>1484</v>
      </c>
      <c r="D16" s="448" t="str">
        <f t="shared" si="2"/>
        <v/>
      </c>
      <c r="E16" s="442">
        <v>519.18937000000005</v>
      </c>
      <c r="F16" s="442">
        <v>519.18937000000005</v>
      </c>
      <c r="G16" s="442">
        <v>519.18937000000005</v>
      </c>
      <c r="H16" s="442">
        <v>519.18937000000005</v>
      </c>
      <c r="I16" s="442">
        <v>519.18937000000005</v>
      </c>
      <c r="J16" s="442">
        <v>1075.9543699999999</v>
      </c>
      <c r="K16" s="442">
        <v>-2.2737367544323201E-13</v>
      </c>
      <c r="L16" s="442">
        <v>-2.2737367544323201E-13</v>
      </c>
      <c r="M16" s="442">
        <v>-2.2737367544323201E-13</v>
      </c>
      <c r="N16" s="442">
        <v>-2.2737367544323201E-13</v>
      </c>
      <c r="O16" s="442">
        <v>-2.2737367544323201E-13</v>
      </c>
      <c r="P16" s="442">
        <v>-2.2737367544323201E-13</v>
      </c>
      <c r="Q16" s="442">
        <v>-2.2737367544323201E-13</v>
      </c>
      <c r="R16" s="453">
        <f t="shared" si="3"/>
        <v>282.45393999999999</v>
      </c>
    </row>
    <row r="17" spans="1:18">
      <c r="A17" s="734" t="str">
        <f t="shared" si="0"/>
        <v>VA</v>
      </c>
      <c r="B17" s="734" t="str">
        <f t="shared" si="1"/>
        <v>DISTRIBUTION</v>
      </c>
      <c r="C17" s="790" t="s">
        <v>2409</v>
      </c>
      <c r="D17" s="448" t="str">
        <f t="shared" si="2"/>
        <v/>
      </c>
      <c r="E17" s="442">
        <v>0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  <c r="L17" s="442">
        <v>0</v>
      </c>
      <c r="M17" s="442">
        <v>0</v>
      </c>
      <c r="N17" s="442">
        <v>0</v>
      </c>
      <c r="O17" s="442">
        <v>0</v>
      </c>
      <c r="P17" s="442">
        <v>0</v>
      </c>
      <c r="Q17" s="442">
        <v>0</v>
      </c>
      <c r="R17" s="453">
        <f t="shared" si="3"/>
        <v>0</v>
      </c>
    </row>
    <row r="18" spans="1:18">
      <c r="A18" s="734" t="str">
        <f t="shared" si="0"/>
        <v>KY</v>
      </c>
      <c r="B18" s="734" t="str">
        <f t="shared" si="1"/>
        <v>PRODUCTION</v>
      </c>
      <c r="C18" s="790" t="s">
        <v>1485</v>
      </c>
      <c r="D18" s="448" t="str">
        <f t="shared" si="2"/>
        <v/>
      </c>
      <c r="E18" s="442">
        <v>6503.2129800000002</v>
      </c>
      <c r="F18" s="442">
        <v>7487.4685300000001</v>
      </c>
      <c r="G18" s="442">
        <v>7709.5306200000005</v>
      </c>
      <c r="H18" s="442">
        <v>8944.6557499999999</v>
      </c>
      <c r="I18" s="442">
        <v>18361.722459999899</v>
      </c>
      <c r="J18" s="442">
        <v>16085.926669999901</v>
      </c>
      <c r="K18" s="442">
        <v>8847.3922599999896</v>
      </c>
      <c r="L18" s="442">
        <v>8874.3079199999902</v>
      </c>
      <c r="M18" s="442">
        <v>8906.21784999999</v>
      </c>
      <c r="N18" s="442">
        <v>10259.216619999999</v>
      </c>
      <c r="O18" s="442">
        <v>2530.3685099999898</v>
      </c>
      <c r="P18" s="442">
        <v>2688.5440999999901</v>
      </c>
      <c r="Q18" s="442">
        <v>2969.1322099999902</v>
      </c>
      <c r="R18" s="453">
        <f t="shared" si="3"/>
        <v>8474.4381907692114</v>
      </c>
    </row>
    <row r="19" spans="1:18">
      <c r="A19" s="734" t="str">
        <f t="shared" si="0"/>
        <v>KY</v>
      </c>
      <c r="B19" s="734" t="str">
        <f t="shared" si="1"/>
        <v>PRODUCTION</v>
      </c>
      <c r="C19" s="790" t="s">
        <v>1486</v>
      </c>
      <c r="D19" s="448" t="str">
        <f t="shared" si="2"/>
        <v/>
      </c>
      <c r="E19" s="442">
        <v>10877.5502512232</v>
      </c>
      <c r="F19" s="442">
        <v>13271.496481223199</v>
      </c>
      <c r="G19" s="442">
        <v>14370.7557212232</v>
      </c>
      <c r="H19" s="442">
        <v>17459.793421223199</v>
      </c>
      <c r="I19" s="442">
        <v>20595.3054812232</v>
      </c>
      <c r="J19" s="442">
        <v>17149.211821223202</v>
      </c>
      <c r="K19" s="442">
        <v>7378.1608312232102</v>
      </c>
      <c r="L19" s="442">
        <v>7758.6576712232099</v>
      </c>
      <c r="M19" s="442">
        <v>8603.3602712232096</v>
      </c>
      <c r="N19" s="442">
        <v>7258.6481212232102</v>
      </c>
      <c r="O19" s="442">
        <v>15561.2826812232</v>
      </c>
      <c r="P19" s="442">
        <v>8251.0455712232106</v>
      </c>
      <c r="Q19" s="442">
        <v>8005.3672812232098</v>
      </c>
      <c r="R19" s="453">
        <f t="shared" si="3"/>
        <v>12041.587354300129</v>
      </c>
    </row>
    <row r="20" spans="1:18">
      <c r="A20" s="734" t="str">
        <f t="shared" si="0"/>
        <v>KY</v>
      </c>
      <c r="B20" s="734" t="str">
        <f t="shared" si="1"/>
        <v>PRODUCTION</v>
      </c>
      <c r="C20" s="790" t="s">
        <v>1487</v>
      </c>
      <c r="D20" s="448" t="str">
        <f t="shared" si="2"/>
        <v>ECR</v>
      </c>
      <c r="E20" s="442">
        <v>0</v>
      </c>
      <c r="F20" s="442">
        <v>0</v>
      </c>
      <c r="G20" s="442">
        <v>0</v>
      </c>
      <c r="H20" s="442">
        <v>0</v>
      </c>
      <c r="I20" s="442">
        <v>0</v>
      </c>
      <c r="J20" s="442">
        <v>0</v>
      </c>
      <c r="K20" s="442">
        <v>0</v>
      </c>
      <c r="L20" s="442">
        <v>0</v>
      </c>
      <c r="M20" s="442">
        <v>0</v>
      </c>
      <c r="N20" s="442">
        <v>0</v>
      </c>
      <c r="O20" s="442">
        <v>0</v>
      </c>
      <c r="P20" s="442">
        <v>0</v>
      </c>
      <c r="Q20" s="442">
        <v>0</v>
      </c>
      <c r="R20" s="453">
        <f t="shared" si="3"/>
        <v>0</v>
      </c>
    </row>
    <row r="21" spans="1:18">
      <c r="A21" s="734" t="str">
        <f t="shared" si="0"/>
        <v>KY</v>
      </c>
      <c r="B21" s="734" t="str">
        <f t="shared" si="1"/>
        <v>PRODUCTION</v>
      </c>
      <c r="C21" s="790" t="s">
        <v>2740</v>
      </c>
      <c r="D21" s="448" t="str">
        <f t="shared" si="2"/>
        <v>ECR</v>
      </c>
      <c r="E21" s="442">
        <v>44544.002459575902</v>
      </c>
      <c r="F21" s="442">
        <v>44947.402967141999</v>
      </c>
      <c r="G21" s="442">
        <v>45350.833899041398</v>
      </c>
      <c r="H21" s="442">
        <v>46994.342412990802</v>
      </c>
      <c r="I21" s="442">
        <v>48.395414346727101</v>
      </c>
      <c r="J21" s="442">
        <v>48.395414346727101</v>
      </c>
      <c r="K21" s="442">
        <v>48.395414346727101</v>
      </c>
      <c r="L21" s="442">
        <v>48.395414346727101</v>
      </c>
      <c r="M21" s="442">
        <v>48.395414346727101</v>
      </c>
      <c r="N21" s="442">
        <v>48.395414346727101</v>
      </c>
      <c r="O21" s="442">
        <v>48.395414346727101</v>
      </c>
      <c r="P21" s="442">
        <v>48.395414346727101</v>
      </c>
      <c r="Q21" s="442">
        <v>48.395414346727101</v>
      </c>
      <c r="R21" s="453">
        <f t="shared" si="3"/>
        <v>14020.933882143885</v>
      </c>
    </row>
    <row r="22" spans="1:18">
      <c r="A22" s="734" t="str">
        <f t="shared" si="0"/>
        <v>KY</v>
      </c>
      <c r="B22" s="734" t="str">
        <f t="shared" si="1"/>
        <v>PRODUCTION</v>
      </c>
      <c r="C22" s="790" t="s">
        <v>1488</v>
      </c>
      <c r="D22" s="448" t="str">
        <f t="shared" si="2"/>
        <v>ECR</v>
      </c>
      <c r="E22" s="442">
        <v>4.5474735088646402E-13</v>
      </c>
      <c r="F22" s="442">
        <v>4.5474735088646402E-13</v>
      </c>
      <c r="G22" s="442">
        <v>4.5474735088646402E-13</v>
      </c>
      <c r="H22" s="442">
        <v>4.5474735088646402E-13</v>
      </c>
      <c r="I22" s="442">
        <v>4.5474735088646402E-13</v>
      </c>
      <c r="J22" s="442">
        <v>4.5474735088646402E-13</v>
      </c>
      <c r="K22" s="442">
        <v>4.5474735088646402E-13</v>
      </c>
      <c r="L22" s="442">
        <v>4.5474735088646402E-13</v>
      </c>
      <c r="M22" s="442">
        <v>4.5474735088646402E-13</v>
      </c>
      <c r="N22" s="442">
        <v>4.5474735088646402E-13</v>
      </c>
      <c r="O22" s="442">
        <v>4.5474735088646402E-13</v>
      </c>
      <c r="P22" s="442">
        <v>4.5474735088646402E-13</v>
      </c>
      <c r="Q22" s="442">
        <v>4.5474735088646402E-13</v>
      </c>
      <c r="R22" s="453">
        <f t="shared" si="3"/>
        <v>4.5474735088646407E-13</v>
      </c>
    </row>
    <row r="23" spans="1:18">
      <c r="A23" s="734" t="str">
        <f t="shared" si="0"/>
        <v>KY</v>
      </c>
      <c r="B23" s="734" t="str">
        <f t="shared" si="1"/>
        <v>PRODUCTION</v>
      </c>
      <c r="C23" s="790" t="s">
        <v>2202</v>
      </c>
      <c r="D23" s="448" t="str">
        <f t="shared" si="2"/>
        <v>ECR</v>
      </c>
      <c r="E23" s="442">
        <v>0</v>
      </c>
      <c r="F23" s="442">
        <v>0</v>
      </c>
      <c r="G23" s="442">
        <v>0</v>
      </c>
      <c r="H23" s="442">
        <v>0</v>
      </c>
      <c r="I23" s="442">
        <v>0</v>
      </c>
      <c r="J23" s="442">
        <v>0</v>
      </c>
      <c r="K23" s="442">
        <v>0</v>
      </c>
      <c r="L23" s="442">
        <v>0</v>
      </c>
      <c r="M23" s="442">
        <v>0</v>
      </c>
      <c r="N23" s="442">
        <v>0</v>
      </c>
      <c r="O23" s="442">
        <v>0</v>
      </c>
      <c r="P23" s="442">
        <v>0</v>
      </c>
      <c r="Q23" s="442">
        <v>0</v>
      </c>
      <c r="R23" s="453">
        <f t="shared" si="3"/>
        <v>0</v>
      </c>
    </row>
    <row r="24" spans="1:18">
      <c r="A24" s="734" t="str">
        <f t="shared" si="0"/>
        <v>KY</v>
      </c>
      <c r="B24" s="734" t="str">
        <f t="shared" si="1"/>
        <v>PRODUCTION</v>
      </c>
      <c r="C24" s="790" t="s">
        <v>2741</v>
      </c>
      <c r="D24" s="448" t="str">
        <f t="shared" si="2"/>
        <v>ECR</v>
      </c>
      <c r="E24" s="442">
        <v>43455.7127453059</v>
      </c>
      <c r="F24" s="442">
        <v>45511.093281448899</v>
      </c>
      <c r="G24" s="442">
        <v>47566.629894422003</v>
      </c>
      <c r="H24" s="442">
        <v>49622.322584225003</v>
      </c>
      <c r="I24" s="442">
        <v>50678.133320441302</v>
      </c>
      <c r="J24" s="442">
        <v>51234.005057445996</v>
      </c>
      <c r="K24" s="442">
        <v>56.800168427493098</v>
      </c>
      <c r="L24" s="442">
        <v>56.800168427493098</v>
      </c>
      <c r="M24" s="442">
        <v>56.800168427493098</v>
      </c>
      <c r="N24" s="442">
        <v>56.800168427493098</v>
      </c>
      <c r="O24" s="442">
        <v>56.800168427493098</v>
      </c>
      <c r="P24" s="442">
        <v>56.800168427493098</v>
      </c>
      <c r="Q24" s="442">
        <v>56.800168427493098</v>
      </c>
      <c r="R24" s="453">
        <f t="shared" si="3"/>
        <v>22189.653697098565</v>
      </c>
    </row>
    <row r="25" spans="1:18">
      <c r="A25" s="734" t="str">
        <f t="shared" si="0"/>
        <v>KY</v>
      </c>
      <c r="B25" s="734" t="str">
        <f t="shared" si="1"/>
        <v>PRODUCTION</v>
      </c>
      <c r="C25" s="790" t="s">
        <v>2742</v>
      </c>
      <c r="D25" s="448" t="str">
        <f t="shared" si="2"/>
        <v>ECR</v>
      </c>
      <c r="E25" s="442">
        <v>33926.752930000002</v>
      </c>
      <c r="F25" s="442">
        <v>43127.656999999999</v>
      </c>
      <c r="G25" s="442">
        <v>51846.657070000001</v>
      </c>
      <c r="H25" s="442">
        <v>60565.657169999999</v>
      </c>
      <c r="I25" s="442">
        <v>68784.657229999997</v>
      </c>
      <c r="J25" s="442">
        <v>77003.657300000006</v>
      </c>
      <c r="K25" s="442">
        <v>71126.657370000001</v>
      </c>
      <c r="L25" s="442">
        <v>77638.657389999993</v>
      </c>
      <c r="M25" s="442">
        <v>84150.65741</v>
      </c>
      <c r="N25" s="442">
        <v>91662.657439999995</v>
      </c>
      <c r="O25" s="442">
        <v>99174.657460000002</v>
      </c>
      <c r="P25" s="442">
        <v>106686.65747999999</v>
      </c>
      <c r="Q25" s="442">
        <v>115448.6575</v>
      </c>
      <c r="R25" s="453">
        <f t="shared" si="3"/>
        <v>75472.587750000006</v>
      </c>
    </row>
    <row r="26" spans="1:18">
      <c r="A26" s="734" t="str">
        <f t="shared" si="0"/>
        <v>KY</v>
      </c>
      <c r="B26" s="734" t="str">
        <f t="shared" si="1"/>
        <v>TRANSMISSION</v>
      </c>
      <c r="C26" s="790" t="s">
        <v>1490</v>
      </c>
      <c r="D26" s="448" t="str">
        <f t="shared" si="2"/>
        <v/>
      </c>
      <c r="E26" s="442">
        <v>75976.998170000006</v>
      </c>
      <c r="F26" s="442">
        <v>82830.279429999995</v>
      </c>
      <c r="G26" s="442">
        <v>85817.661290000004</v>
      </c>
      <c r="H26" s="442">
        <v>90042.799239999993</v>
      </c>
      <c r="I26" s="442">
        <v>97066.357300000003</v>
      </c>
      <c r="J26" s="442">
        <v>103945.38558</v>
      </c>
      <c r="K26" s="442">
        <v>67131.960470000005</v>
      </c>
      <c r="L26" s="442">
        <v>76892.841469999999</v>
      </c>
      <c r="M26" s="442">
        <v>82262.966419999997</v>
      </c>
      <c r="N26" s="442">
        <v>83202.790110000002</v>
      </c>
      <c r="O26" s="442">
        <v>79599.405159999995</v>
      </c>
      <c r="P26" s="442">
        <v>79139.941949999993</v>
      </c>
      <c r="Q26" s="442">
        <v>69363.583929999993</v>
      </c>
      <c r="R26" s="453">
        <f t="shared" si="3"/>
        <v>82559.459270769235</v>
      </c>
    </row>
    <row r="27" spans="1:18">
      <c r="A27" s="734" t="str">
        <f t="shared" si="0"/>
        <v>VA</v>
      </c>
      <c r="B27" s="734" t="str">
        <f t="shared" si="1"/>
        <v>TRANSMISSION</v>
      </c>
      <c r="C27" s="790" t="s">
        <v>1491</v>
      </c>
      <c r="D27" s="448" t="str">
        <f t="shared" si="2"/>
        <v/>
      </c>
      <c r="E27" s="442">
        <v>11835.16574</v>
      </c>
      <c r="F27" s="442">
        <v>14436.64918</v>
      </c>
      <c r="G27" s="442">
        <v>16450.42728</v>
      </c>
      <c r="H27" s="442">
        <v>18090.2667</v>
      </c>
      <c r="I27" s="442">
        <v>11847.136049999999</v>
      </c>
      <c r="J27" s="442">
        <v>12934.96437</v>
      </c>
      <c r="K27" s="442">
        <v>8600.1531300000006</v>
      </c>
      <c r="L27" s="442">
        <v>9740.5144400000008</v>
      </c>
      <c r="M27" s="442">
        <v>11397.737880000001</v>
      </c>
      <c r="N27" s="442">
        <v>13326.547430000001</v>
      </c>
      <c r="O27" s="442">
        <v>14195.32278</v>
      </c>
      <c r="P27" s="442">
        <v>12526.9596</v>
      </c>
      <c r="Q27" s="442">
        <v>-32.595229999997102</v>
      </c>
      <c r="R27" s="453">
        <f t="shared" si="3"/>
        <v>11949.942257692308</v>
      </c>
    </row>
    <row r="28" spans="1:18">
      <c r="A28" s="734"/>
      <c r="B28" s="734" t="str">
        <f t="shared" si="1"/>
        <v/>
      </c>
      <c r="C28" s="788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765">
        <f>SUM(R6:R27)</f>
        <v>296834.85358134104</v>
      </c>
    </row>
    <row r="29" spans="1:18">
      <c r="A29" s="734"/>
      <c r="B29" s="734" t="str">
        <f t="shared" si="1"/>
        <v/>
      </c>
      <c r="C29" s="788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53"/>
    </row>
    <row r="30" spans="1:18">
      <c r="A30" s="734"/>
      <c r="B30" s="734" t="str">
        <f t="shared" si="1"/>
        <v/>
      </c>
      <c r="C30" s="788"/>
      <c r="D30" s="448" t="str">
        <f t="shared" ref="D30:D45" si="4">IF(ISTEXT(MID($C30,SEARCH("FUTURE USE",$C30),3)),"FUTURE USE",IF(ISTEXT(MID($C30,SEARCH("ECR",$C30),3)),"ECR",IF(ISTEXT(MID($C30,SEARCH("ARO",$C30),3)),"ARO",IF(ISTEXT(MID($C30,SEARCH("DSM",$C30),3)),"DSM",IF(ISTEXT(MID($C30,SEARCH("GLT",$C30),3)),"GLT","")))))</f>
        <v/>
      </c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53"/>
    </row>
    <row r="31" spans="1:18">
      <c r="A31" s="734"/>
      <c r="B31" s="734" t="str">
        <f t="shared" si="1"/>
        <v/>
      </c>
      <c r="C31" s="789" t="s">
        <v>1493</v>
      </c>
      <c r="D31" s="448" t="str">
        <f t="shared" si="4"/>
        <v/>
      </c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  <c r="R31" s="453"/>
    </row>
    <row r="32" spans="1:18">
      <c r="A32" s="734" t="str">
        <f t="shared" si="0"/>
        <v>KY</v>
      </c>
      <c r="B32" s="734" t="str">
        <f t="shared" si="1"/>
        <v>DISTRIBUTION</v>
      </c>
      <c r="C32" s="790" t="s">
        <v>2736</v>
      </c>
      <c r="D32" s="448" t="str">
        <f t="shared" ref="D32:D42" si="5">IF(ISTEXT(MID($C32,SEARCH("FUTURE USE",$C32),3)),"FUTURE USE",IF(ISTEXT(MID($C32,SEARCH("ECR",$C32),3)),"ECR",IF(ISTEXT(MID($C32,SEARCH("ARO",$C32),3)),"ARO",IF(ISTEXT(MID($C32,SEARCH("DSM",$C32),3)),"DSM",IF(ISTEXT(MID($C32,SEARCH("GLT",$C32),3)),"GLT",IF(ISTEXT(MID($C32,SEARCH("AMI",$C32),3)),"AMI",""))))))</f>
        <v>AMI</v>
      </c>
      <c r="E32" s="442">
        <v>0</v>
      </c>
      <c r="F32" s="442">
        <v>0.1048637275</v>
      </c>
      <c r="G32" s="442">
        <v>0.63678509166666697</v>
      </c>
      <c r="H32" s="442">
        <v>1.8726073299999999</v>
      </c>
      <c r="I32" s="442">
        <v>3.89158773333333</v>
      </c>
      <c r="J32" s="442">
        <v>6.7780211866666598</v>
      </c>
      <c r="K32" s="442">
        <v>11.6269609053822</v>
      </c>
      <c r="L32" s="442">
        <v>19.300520146215501</v>
      </c>
      <c r="M32" s="442">
        <v>28.7098591567988</v>
      </c>
      <c r="N32" s="442">
        <v>40.024311301215498</v>
      </c>
      <c r="O32" s="442">
        <v>53.2366193955488</v>
      </c>
      <c r="P32" s="442">
        <v>68.2555646851322</v>
      </c>
      <c r="Q32" s="442">
        <v>85.288936823434099</v>
      </c>
      <c r="R32" s="453">
        <f t="shared" ref="R32:R43" si="6">SUM(E32:Q32)/13</f>
        <v>24.594356729453366</v>
      </c>
    </row>
    <row r="33" spans="1:18">
      <c r="A33" s="734" t="str">
        <f t="shared" si="0"/>
        <v>KY</v>
      </c>
      <c r="B33" s="734" t="str">
        <f t="shared" si="1"/>
        <v>GENERAL</v>
      </c>
      <c r="C33" s="790" t="s">
        <v>2737</v>
      </c>
      <c r="D33" s="448" t="str">
        <f t="shared" si="5"/>
        <v>AMI</v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2.6589203916666599E-2</v>
      </c>
      <c r="M33" s="442">
        <v>0.66350406749999902</v>
      </c>
      <c r="N33" s="442">
        <v>2.4485096225833298</v>
      </c>
      <c r="O33" s="442">
        <v>5.3328263618333303</v>
      </c>
      <c r="P33" s="442">
        <v>9.2620390121666603</v>
      </c>
      <c r="Q33" s="442">
        <v>14.2474437826175</v>
      </c>
      <c r="R33" s="453">
        <f t="shared" si="6"/>
        <v>2.4600701577398065</v>
      </c>
    </row>
    <row r="34" spans="1:18">
      <c r="A34" s="734" t="str">
        <f t="shared" si="0"/>
        <v>KY</v>
      </c>
      <c r="B34" s="734" t="str">
        <f t="shared" si="1"/>
        <v>PRODUCTION</v>
      </c>
      <c r="C34" s="790" t="s">
        <v>1482</v>
      </c>
      <c r="D34" s="448" t="str">
        <f t="shared" si="5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  <c r="R34" s="453">
        <f t="shared" si="6"/>
        <v>0</v>
      </c>
    </row>
    <row r="35" spans="1:18">
      <c r="A35" s="734" t="str">
        <f t="shared" si="0"/>
        <v>KY</v>
      </c>
      <c r="B35" s="734" t="str">
        <f t="shared" si="1"/>
        <v>GENERAL</v>
      </c>
      <c r="C35" s="790" t="s">
        <v>2738</v>
      </c>
      <c r="D35" s="448" t="str">
        <f t="shared" si="5"/>
        <v>AMI</v>
      </c>
      <c r="E35" s="442">
        <v>0</v>
      </c>
      <c r="F35" s="442">
        <v>6.8064437816666699</v>
      </c>
      <c r="G35" s="442">
        <v>21.346260612499901</v>
      </c>
      <c r="H35" s="442">
        <v>37.823018859166602</v>
      </c>
      <c r="I35" s="442">
        <v>57.450974924999898</v>
      </c>
      <c r="J35" s="442">
        <v>81.162509709999895</v>
      </c>
      <c r="K35" s="442">
        <v>108.810335602221</v>
      </c>
      <c r="L35" s="442">
        <v>142.90469842538801</v>
      </c>
      <c r="M35" s="442">
        <v>181.374111770388</v>
      </c>
      <c r="N35" s="442">
        <v>223.95239925688799</v>
      </c>
      <c r="O35" s="442">
        <v>271.31944968855498</v>
      </c>
      <c r="P35" s="442">
        <v>323.612812278555</v>
      </c>
      <c r="Q35" s="442">
        <v>381.600489935133</v>
      </c>
      <c r="R35" s="453">
        <f t="shared" si="6"/>
        <v>141.39719268042006</v>
      </c>
    </row>
    <row r="36" spans="1:18">
      <c r="A36" s="734" t="str">
        <f t="shared" si="0"/>
        <v>KY</v>
      </c>
      <c r="B36" s="734" t="str">
        <f t="shared" si="1"/>
        <v>PRODUCTION</v>
      </c>
      <c r="C36" s="790" t="s">
        <v>1485</v>
      </c>
      <c r="D36" s="448" t="str">
        <f t="shared" si="5"/>
        <v/>
      </c>
      <c r="E36" s="442">
        <v>1.468E-2</v>
      </c>
      <c r="F36" s="442">
        <v>1.468E-2</v>
      </c>
      <c r="G36" s="442">
        <v>1.468E-2</v>
      </c>
      <c r="H36" s="442">
        <v>1.468E-2</v>
      </c>
      <c r="I36" s="442">
        <v>1.468E-2</v>
      </c>
      <c r="J36" s="442">
        <v>1.468E-2</v>
      </c>
      <c r="K36" s="442">
        <v>1.468E-2</v>
      </c>
      <c r="L36" s="442">
        <v>1.468E-2</v>
      </c>
      <c r="M36" s="442">
        <v>1.468E-2</v>
      </c>
      <c r="N36" s="442">
        <v>1.468E-2</v>
      </c>
      <c r="O36" s="442">
        <v>1.468E-2</v>
      </c>
      <c r="P36" s="442">
        <v>1.468E-2</v>
      </c>
      <c r="Q36" s="442">
        <v>1.468E-2</v>
      </c>
      <c r="R36" s="453">
        <f t="shared" si="6"/>
        <v>1.468E-2</v>
      </c>
    </row>
    <row r="37" spans="1:18">
      <c r="A37" s="734" t="str">
        <f t="shared" si="0"/>
        <v>KY</v>
      </c>
      <c r="B37" s="734" t="str">
        <f t="shared" si="1"/>
        <v>PRODUCTION</v>
      </c>
      <c r="C37" s="790" t="s">
        <v>1486</v>
      </c>
      <c r="D37" s="448" t="str">
        <f t="shared" si="5"/>
        <v/>
      </c>
      <c r="E37" s="442">
        <v>0.27596122322247901</v>
      </c>
      <c r="F37" s="442">
        <v>238.49774122322199</v>
      </c>
      <c r="G37" s="442">
        <v>238.49774122322199</v>
      </c>
      <c r="H37" s="442">
        <v>238.49774122322199</v>
      </c>
      <c r="I37" s="442">
        <v>238.49774122322199</v>
      </c>
      <c r="J37" s="442">
        <v>238.49774122322199</v>
      </c>
      <c r="K37" s="442">
        <v>238.49774122322199</v>
      </c>
      <c r="L37" s="442">
        <v>238.49774122322199</v>
      </c>
      <c r="M37" s="442">
        <v>238.49774122322199</v>
      </c>
      <c r="N37" s="442">
        <v>238.49774122322199</v>
      </c>
      <c r="O37" s="442">
        <v>238.49774122322199</v>
      </c>
      <c r="P37" s="442">
        <v>238.49774122322199</v>
      </c>
      <c r="Q37" s="442">
        <v>238.49774122322199</v>
      </c>
      <c r="R37" s="453">
        <f t="shared" si="6"/>
        <v>220.17298891552971</v>
      </c>
    </row>
    <row r="38" spans="1:18">
      <c r="A38" s="734" t="str">
        <f t="shared" si="0"/>
        <v>KY</v>
      </c>
      <c r="B38" s="734" t="str">
        <f t="shared" si="1"/>
        <v>PRODUCTION</v>
      </c>
      <c r="C38" s="790" t="s">
        <v>1487</v>
      </c>
      <c r="D38" s="769"/>
      <c r="E38" s="768">
        <v>136.42053999999999</v>
      </c>
      <c r="F38" s="442">
        <v>0</v>
      </c>
      <c r="G38" s="442">
        <v>0</v>
      </c>
      <c r="H38" s="442">
        <v>0</v>
      </c>
      <c r="I38" s="442">
        <v>0</v>
      </c>
      <c r="J38" s="442">
        <v>0</v>
      </c>
      <c r="K38" s="442">
        <v>0</v>
      </c>
      <c r="L38" s="442">
        <v>0</v>
      </c>
      <c r="M38" s="442">
        <v>0</v>
      </c>
      <c r="N38" s="442">
        <v>0</v>
      </c>
      <c r="O38" s="442">
        <v>0</v>
      </c>
      <c r="P38" s="442">
        <v>0</v>
      </c>
      <c r="Q38" s="442">
        <v>0</v>
      </c>
      <c r="R38" s="453">
        <f t="shared" si="6"/>
        <v>10.493887692307691</v>
      </c>
    </row>
    <row r="39" spans="1:18">
      <c r="A39" s="734" t="str">
        <f t="shared" si="0"/>
        <v>KY</v>
      </c>
      <c r="B39" s="734" t="str">
        <f t="shared" si="1"/>
        <v>PRODUCTION</v>
      </c>
      <c r="C39" s="790" t="s">
        <v>2740</v>
      </c>
      <c r="D39" s="448" t="str">
        <f t="shared" si="5"/>
        <v>ECR</v>
      </c>
      <c r="E39" s="442">
        <v>36.267649575919101</v>
      </c>
      <c r="F39" s="442">
        <v>39.668157142013399</v>
      </c>
      <c r="G39" s="442">
        <v>43.099089041440998</v>
      </c>
      <c r="H39" s="442">
        <v>46.6076029908686</v>
      </c>
      <c r="I39" s="442">
        <v>48.395414346723001</v>
      </c>
      <c r="J39" s="442">
        <v>48.395414346723001</v>
      </c>
      <c r="K39" s="442">
        <v>48.395414346723001</v>
      </c>
      <c r="L39" s="442">
        <v>48.395414346723001</v>
      </c>
      <c r="M39" s="442">
        <v>48.395414346723001</v>
      </c>
      <c r="N39" s="442">
        <v>48.395414346723001</v>
      </c>
      <c r="O39" s="442">
        <v>48.395414346723001</v>
      </c>
      <c r="P39" s="442">
        <v>48.395414346723001</v>
      </c>
      <c r="Q39" s="442">
        <v>48.395414346723001</v>
      </c>
      <c r="R39" s="453">
        <f t="shared" si="6"/>
        <v>46.246248297749922</v>
      </c>
    </row>
    <row r="40" spans="1:18">
      <c r="A40" s="734" t="str">
        <f t="shared" si="0"/>
        <v>KY</v>
      </c>
      <c r="B40" s="734" t="str">
        <f t="shared" si="1"/>
        <v>PRODUCTION</v>
      </c>
      <c r="C40" s="790" t="s">
        <v>1488</v>
      </c>
      <c r="D40" s="448" t="str">
        <f t="shared" si="5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  <c r="R40" s="453">
        <f t="shared" si="6"/>
        <v>0</v>
      </c>
    </row>
    <row r="41" spans="1:18">
      <c r="A41" s="734" t="str">
        <f t="shared" si="0"/>
        <v>KY</v>
      </c>
      <c r="B41" s="734" t="str">
        <f t="shared" si="1"/>
        <v>PRODUCTION</v>
      </c>
      <c r="C41" s="790" t="s">
        <v>2202</v>
      </c>
      <c r="D41" s="769"/>
      <c r="E41" s="768">
        <v>101.80124000000001</v>
      </c>
      <c r="F41" s="442">
        <v>0</v>
      </c>
      <c r="G41" s="442">
        <v>0</v>
      </c>
      <c r="H41" s="442">
        <v>0</v>
      </c>
      <c r="I41" s="442">
        <v>0</v>
      </c>
      <c r="J41" s="442">
        <v>0</v>
      </c>
      <c r="K41" s="442">
        <v>0</v>
      </c>
      <c r="L41" s="442">
        <v>0</v>
      </c>
      <c r="M41" s="442">
        <v>0</v>
      </c>
      <c r="N41" s="442">
        <v>0</v>
      </c>
      <c r="O41" s="442">
        <v>0</v>
      </c>
      <c r="P41" s="442">
        <v>0</v>
      </c>
      <c r="Q41" s="442">
        <v>0</v>
      </c>
      <c r="R41" s="453">
        <f t="shared" si="6"/>
        <v>7.8308646153846162</v>
      </c>
    </row>
    <row r="42" spans="1:18">
      <c r="A42" s="734" t="str">
        <f t="shared" si="0"/>
        <v>KY</v>
      </c>
      <c r="B42" s="734" t="str">
        <f t="shared" si="1"/>
        <v>PRODUCTION</v>
      </c>
      <c r="C42" s="790" t="s">
        <v>2741</v>
      </c>
      <c r="D42" s="448" t="str">
        <f t="shared" si="5"/>
        <v>ECR</v>
      </c>
      <c r="E42" s="442">
        <v>36.5496453059747</v>
      </c>
      <c r="F42" s="442">
        <v>39.930181448996599</v>
      </c>
      <c r="G42" s="442">
        <v>43.466794422018502</v>
      </c>
      <c r="H42" s="442">
        <v>47.159484225040401</v>
      </c>
      <c r="I42" s="442">
        <v>50.970220441395703</v>
      </c>
      <c r="J42" s="442">
        <v>54.841957446084201</v>
      </c>
      <c r="K42" s="442">
        <v>56.800168427502904</v>
      </c>
      <c r="L42" s="442">
        <v>56.800168427502904</v>
      </c>
      <c r="M42" s="442">
        <v>56.800168427502904</v>
      </c>
      <c r="N42" s="442">
        <v>56.800168427502904</v>
      </c>
      <c r="O42" s="442">
        <v>56.800168427502904</v>
      </c>
      <c r="P42" s="442">
        <v>56.800168427502904</v>
      </c>
      <c r="Q42" s="442">
        <v>56.800168427502904</v>
      </c>
      <c r="R42" s="453">
        <f t="shared" si="6"/>
        <v>51.578420175540792</v>
      </c>
    </row>
    <row r="43" spans="1:18">
      <c r="A43" s="734"/>
      <c r="B43" s="734" t="str">
        <f t="shared" si="1"/>
        <v/>
      </c>
      <c r="C43" s="788" t="s">
        <v>1492</v>
      </c>
      <c r="D43" s="448" t="str">
        <f t="shared" si="4"/>
        <v/>
      </c>
      <c r="E43" s="442">
        <f>SUM(E32:E42)</f>
        <v>311.32971610511629</v>
      </c>
      <c r="F43" s="442">
        <f t="shared" ref="F43:Q43" si="7">SUM(F32:F42)</f>
        <v>325.02206732339869</v>
      </c>
      <c r="G43" s="442">
        <f t="shared" si="7"/>
        <v>347.06135039084808</v>
      </c>
      <c r="H43" s="442">
        <f t="shared" si="7"/>
        <v>371.97513462829761</v>
      </c>
      <c r="I43" s="442">
        <f t="shared" si="7"/>
        <v>399.22061866967391</v>
      </c>
      <c r="J43" s="442">
        <f t="shared" si="7"/>
        <v>429.69032391269576</v>
      </c>
      <c r="K43" s="442">
        <f t="shared" si="7"/>
        <v>464.14530050505113</v>
      </c>
      <c r="L43" s="442">
        <f t="shared" si="7"/>
        <v>505.93981177296808</v>
      </c>
      <c r="M43" s="442">
        <f t="shared" si="7"/>
        <v>554.45547899213466</v>
      </c>
      <c r="N43" s="442">
        <f t="shared" si="7"/>
        <v>610.1332241781347</v>
      </c>
      <c r="O43" s="442">
        <f t="shared" si="7"/>
        <v>673.59689944338493</v>
      </c>
      <c r="P43" s="442">
        <f t="shared" si="7"/>
        <v>744.83841997330171</v>
      </c>
      <c r="Q43" s="442">
        <f t="shared" si="7"/>
        <v>824.84487453863244</v>
      </c>
      <c r="R43" s="453">
        <f t="shared" si="6"/>
        <v>504.78870926412606</v>
      </c>
    </row>
    <row r="44" spans="1:18">
      <c r="A44" s="734"/>
      <c r="B44" s="734" t="str">
        <f t="shared" si="1"/>
        <v/>
      </c>
      <c r="C44" s="788"/>
      <c r="D44" s="448" t="str">
        <f t="shared" si="4"/>
        <v/>
      </c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  <c r="R44" s="453"/>
    </row>
    <row r="45" spans="1:18">
      <c r="A45" s="734"/>
      <c r="B45" s="734" t="str">
        <f t="shared" si="1"/>
        <v/>
      </c>
      <c r="C45" s="789" t="s">
        <v>1494</v>
      </c>
      <c r="D45" s="448" t="str">
        <f t="shared" si="4"/>
        <v/>
      </c>
      <c r="E45" s="442">
        <v>0</v>
      </c>
      <c r="F45" s="442">
        <v>0</v>
      </c>
      <c r="G45" s="442">
        <v>0</v>
      </c>
      <c r="H45" s="442">
        <v>0</v>
      </c>
      <c r="I45" s="442">
        <v>0</v>
      </c>
      <c r="J45" s="442">
        <v>0</v>
      </c>
      <c r="K45" s="442">
        <v>0</v>
      </c>
      <c r="L45" s="442">
        <v>0</v>
      </c>
      <c r="M45" s="442">
        <v>0</v>
      </c>
      <c r="N45" s="442">
        <v>0</v>
      </c>
      <c r="O45" s="442">
        <v>0</v>
      </c>
      <c r="P45" s="442">
        <v>0</v>
      </c>
      <c r="Q45" s="442">
        <v>0</v>
      </c>
      <c r="R45" s="453"/>
    </row>
    <row r="46" spans="1:18">
      <c r="A46" s="734" t="str">
        <f t="shared" si="0"/>
        <v>KY</v>
      </c>
      <c r="B46" s="734" t="str">
        <f t="shared" ref="B46:B61" si="8">IF(ISTEXT(MID($C46,SEARCH("COMMON",$C46),3)),"COMMON",IF(ISTEXT(MID($C46,SEARCH("GAS",$C46),3)),"",IF(ISTEXT(MID($C46,SEARCH("HYDRO PRODUCTION",$C46),9)),"HYDRO",IF(ISTEXT(MID($C46,SEARCH("OTHER PRODUCTION",$C46),9)),"OTHER",IF(ISTEXT(MID($C46,SEARCH("STEAM PRODUCTION",$C46),9)),"STEAM",IF(ISTEXT(MID($C46,SEARCH("TRANSMISSION",$C46),9)),"TRANSMISSION",IF(ISTEXT(MID($C46,SEARCH("DISTRIBUTION",$C46),9)),"DISTRIBUTION",IF(ISTEXT(MID($C46,SEARCH("COMMON",$C46),9)),"COMMON",IF(ISTEXT(MID($C46,SEARCH("GENERAL",$C46),9)),"GENERAL",IF(ISTEXT(MID($C46,SEARCH("INTANGIBLE",$C46),9)),"INTANGIBLE",IF(ISTEXT(MID($C46,SEARCH("STORAGE",$C46),3)),"STORAGE","")))))))))))</f>
        <v>DISTRIBUTION</v>
      </c>
      <c r="C46" s="790" t="s">
        <v>1478</v>
      </c>
      <c r="D46" s="448" t="str">
        <f t="shared" ref="D46:D61" si="9">IF(ISTEXT(MID($C46,SEARCH("FUTURE USE",$C46),3)),"FUTURE USE",IF(ISTEXT(MID($C46,SEARCH("ECR",$C46),3)),"ECR",IF(ISTEXT(MID($C46,SEARCH("ARO",$C46),3)),"ARO",IF(ISTEXT(MID($C46,SEARCH("DSM",$C46),3)),"DSM",IF(ISTEXT(MID($C46,SEARCH("GLT",$C46),3)),"GLT",IF(ISTEXT(MID($C46,SEARCH("AMI",$C46),3)),"AMI",""))))))</f>
        <v/>
      </c>
      <c r="E46" s="442">
        <v>453.34482999999801</v>
      </c>
      <c r="F46" s="442">
        <v>479.00178999999798</v>
      </c>
      <c r="G46" s="442">
        <v>497.50316999999802</v>
      </c>
      <c r="H46" s="442">
        <v>516.56405999999902</v>
      </c>
      <c r="I46" s="442">
        <v>533.79666999999904</v>
      </c>
      <c r="J46" s="442">
        <v>553.08550999999898</v>
      </c>
      <c r="K46" s="442">
        <v>217.21216999999899</v>
      </c>
      <c r="L46" s="442">
        <v>212.21216999999899</v>
      </c>
      <c r="M46" s="442">
        <v>207.21216999999899</v>
      </c>
      <c r="N46" s="442">
        <v>212.03359999999901</v>
      </c>
      <c r="O46" s="442">
        <v>207.03359999999901</v>
      </c>
      <c r="P46" s="442">
        <v>207.66359999999801</v>
      </c>
      <c r="Q46" s="442">
        <v>210.54559999999901</v>
      </c>
      <c r="R46" s="453">
        <f t="shared" ref="R46:R61" si="10">SUM(E46:Q46)/13</f>
        <v>346.70837999999861</v>
      </c>
    </row>
    <row r="47" spans="1:18">
      <c r="A47" s="734" t="str">
        <f t="shared" si="0"/>
        <v>VA</v>
      </c>
      <c r="B47" s="734" t="str">
        <f t="shared" si="8"/>
        <v>DISTRIBUTION</v>
      </c>
      <c r="C47" s="790" t="s">
        <v>1479</v>
      </c>
      <c r="D47" s="448" t="str">
        <f t="shared" si="9"/>
        <v/>
      </c>
      <c r="E47" s="442">
        <v>394.099999999999</v>
      </c>
      <c r="F47" s="442">
        <v>394.099999999999</v>
      </c>
      <c r="G47" s="442">
        <v>394.099999999999</v>
      </c>
      <c r="H47" s="442">
        <v>394.099999999999</v>
      </c>
      <c r="I47" s="442">
        <v>394.099999999999</v>
      </c>
      <c r="J47" s="442">
        <v>394.099999999999</v>
      </c>
      <c r="K47" s="442">
        <v>-5.6843418860808002E-14</v>
      </c>
      <c r="L47" s="442">
        <v>-5.6843418860808002E-14</v>
      </c>
      <c r="M47" s="442">
        <v>-5.6843418860808002E-14</v>
      </c>
      <c r="N47" s="442">
        <v>-6.0396132539608503E-14</v>
      </c>
      <c r="O47" s="442">
        <v>-6.0396132539608503E-14</v>
      </c>
      <c r="P47" s="442">
        <v>-5.6843418860808002E-14</v>
      </c>
      <c r="Q47" s="442">
        <v>-5.3290705182007501E-14</v>
      </c>
      <c r="R47" s="453">
        <f t="shared" si="10"/>
        <v>181.89230769230724</v>
      </c>
    </row>
    <row r="48" spans="1:18">
      <c r="A48" s="734" t="str">
        <f t="shared" si="0"/>
        <v>KY</v>
      </c>
      <c r="B48" s="734" t="str">
        <f t="shared" si="8"/>
        <v>GENERAL</v>
      </c>
      <c r="C48" s="790" t="s">
        <v>1480</v>
      </c>
      <c r="D48" s="448" t="str">
        <f t="shared" si="9"/>
        <v/>
      </c>
      <c r="E48" s="442">
        <v>3.2249899999999601</v>
      </c>
      <c r="F48" s="442">
        <v>3.2249899999999601</v>
      </c>
      <c r="G48" s="442">
        <v>3.2249899999999601</v>
      </c>
      <c r="H48" s="442">
        <v>3.2249899999999601</v>
      </c>
      <c r="I48" s="442">
        <v>3.2249899999999601</v>
      </c>
      <c r="J48" s="442">
        <v>3.2249899999999601</v>
      </c>
      <c r="K48" s="442">
        <v>3.2249899999999601</v>
      </c>
      <c r="L48" s="442">
        <v>3.2249899999999601</v>
      </c>
      <c r="M48" s="442">
        <v>3.2249899999999601</v>
      </c>
      <c r="N48" s="442">
        <v>3.2249899999999601</v>
      </c>
      <c r="O48" s="442">
        <v>3.2249899999999601</v>
      </c>
      <c r="P48" s="442">
        <v>3.2249899999999601</v>
      </c>
      <c r="Q48" s="442">
        <v>3.2249899999999601</v>
      </c>
      <c r="R48" s="453">
        <f t="shared" si="10"/>
        <v>3.2249899999999605</v>
      </c>
    </row>
    <row r="49" spans="1:18">
      <c r="A49" s="734" t="str">
        <f t="shared" si="0"/>
        <v>VA</v>
      </c>
      <c r="B49" s="734" t="str">
        <f t="shared" si="8"/>
        <v>GENERAL</v>
      </c>
      <c r="C49" s="790" t="s">
        <v>1481</v>
      </c>
      <c r="D49" s="448" t="str">
        <f t="shared" si="9"/>
        <v/>
      </c>
      <c r="E49" s="442">
        <v>-3.22499</v>
      </c>
      <c r="F49" s="442">
        <v>-3.22499</v>
      </c>
      <c r="G49" s="442">
        <v>-3.22499</v>
      </c>
      <c r="H49" s="442">
        <v>-3.22499</v>
      </c>
      <c r="I49" s="442">
        <v>-3.22499</v>
      </c>
      <c r="J49" s="442">
        <v>-3.22499</v>
      </c>
      <c r="K49" s="442">
        <v>-3.22499</v>
      </c>
      <c r="L49" s="442">
        <v>-3.22499</v>
      </c>
      <c r="M49" s="442">
        <v>-3.22499</v>
      </c>
      <c r="N49" s="442">
        <v>-3.22499</v>
      </c>
      <c r="O49" s="442">
        <v>-3.22499</v>
      </c>
      <c r="P49" s="442">
        <v>-3.22499</v>
      </c>
      <c r="Q49" s="442">
        <v>-3.22499</v>
      </c>
      <c r="R49" s="453">
        <f t="shared" si="10"/>
        <v>-3.2249899999999987</v>
      </c>
    </row>
    <row r="50" spans="1:18">
      <c r="A50" s="734" t="str">
        <f t="shared" si="0"/>
        <v>KY</v>
      </c>
      <c r="B50" s="734" t="str">
        <f t="shared" si="8"/>
        <v>HYDRO</v>
      </c>
      <c r="C50" s="790" t="s">
        <v>1482</v>
      </c>
      <c r="D50" s="448" t="str">
        <f t="shared" si="9"/>
        <v/>
      </c>
      <c r="E50" s="442">
        <v>0</v>
      </c>
      <c r="F50" s="442">
        <v>0</v>
      </c>
      <c r="G50" s="442">
        <v>0</v>
      </c>
      <c r="H50" s="442">
        <v>51.3</v>
      </c>
      <c r="I50" s="442">
        <v>0</v>
      </c>
      <c r="J50" s="442">
        <v>0</v>
      </c>
      <c r="K50" s="442">
        <v>0</v>
      </c>
      <c r="L50" s="442">
        <v>0</v>
      </c>
      <c r="M50" s="442">
        <v>0</v>
      </c>
      <c r="N50" s="442">
        <v>0</v>
      </c>
      <c r="O50" s="442">
        <v>0</v>
      </c>
      <c r="P50" s="442">
        <v>0</v>
      </c>
      <c r="Q50" s="442">
        <v>51.3</v>
      </c>
      <c r="R50" s="453">
        <f t="shared" si="10"/>
        <v>7.8923076923076918</v>
      </c>
    </row>
    <row r="51" spans="1:18">
      <c r="A51" s="734" t="str">
        <f t="shared" si="0"/>
        <v>KY</v>
      </c>
      <c r="B51" s="734" t="str">
        <f t="shared" si="8"/>
        <v>INTANGIBLE</v>
      </c>
      <c r="C51" s="790" t="s">
        <v>1483</v>
      </c>
      <c r="D51" s="448" t="str">
        <f t="shared" si="9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0</v>
      </c>
      <c r="K51" s="442">
        <v>0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  <c r="R51" s="453">
        <f t="shared" si="10"/>
        <v>0</v>
      </c>
    </row>
    <row r="52" spans="1:18">
      <c r="A52" s="734" t="str">
        <f t="shared" si="0"/>
        <v>KY</v>
      </c>
      <c r="B52" s="793" t="s">
        <v>244</v>
      </c>
      <c r="C52" s="790" t="s">
        <v>1484</v>
      </c>
      <c r="D52" s="448" t="str">
        <f t="shared" si="9"/>
        <v/>
      </c>
      <c r="E52" s="442">
        <v>0</v>
      </c>
      <c r="F52" s="442">
        <v>0</v>
      </c>
      <c r="G52" s="442">
        <v>0</v>
      </c>
      <c r="H52" s="442">
        <v>0</v>
      </c>
      <c r="I52" s="442">
        <v>0</v>
      </c>
      <c r="J52" s="442">
        <v>0</v>
      </c>
      <c r="K52" s="442">
        <v>0</v>
      </c>
      <c r="L52" s="442">
        <v>0</v>
      </c>
      <c r="M52" s="442">
        <v>0</v>
      </c>
      <c r="N52" s="442">
        <v>0</v>
      </c>
      <c r="O52" s="442">
        <v>0</v>
      </c>
      <c r="P52" s="442">
        <v>0</v>
      </c>
      <c r="Q52" s="442">
        <v>0</v>
      </c>
      <c r="R52" s="453">
        <f t="shared" si="10"/>
        <v>0</v>
      </c>
    </row>
    <row r="53" spans="1:18">
      <c r="A53" s="734" t="str">
        <f t="shared" si="0"/>
        <v>KY</v>
      </c>
      <c r="B53" s="734" t="str">
        <f t="shared" si="8"/>
        <v>OTHER</v>
      </c>
      <c r="C53" s="790" t="s">
        <v>1485</v>
      </c>
      <c r="D53" s="448" t="str">
        <f t="shared" si="9"/>
        <v/>
      </c>
      <c r="E53" s="442">
        <v>196.20786000000001</v>
      </c>
      <c r="F53" s="442">
        <v>196.20786000000001</v>
      </c>
      <c r="G53" s="442">
        <v>196.20786000000001</v>
      </c>
      <c r="H53" s="442">
        <v>226.11575999999999</v>
      </c>
      <c r="I53" s="442">
        <v>572.54466000000002</v>
      </c>
      <c r="J53" s="442">
        <v>196.20785999999899</v>
      </c>
      <c r="K53" s="442">
        <v>5.6523899999999596</v>
      </c>
      <c r="L53" s="442">
        <v>5.6523899999999596</v>
      </c>
      <c r="M53" s="442">
        <v>5.6523899999999596</v>
      </c>
      <c r="N53" s="442">
        <v>157.243889999999</v>
      </c>
      <c r="O53" s="442">
        <v>5.6523899999999596</v>
      </c>
      <c r="P53" s="442">
        <v>5.6523899999999596</v>
      </c>
      <c r="Q53" s="442">
        <v>-3.1974423109204502E-14</v>
      </c>
      <c r="R53" s="453">
        <f t="shared" si="10"/>
        <v>136.07674615384602</v>
      </c>
    </row>
    <row r="54" spans="1:18">
      <c r="A54" s="734" t="str">
        <f t="shared" si="0"/>
        <v>KY</v>
      </c>
      <c r="B54" s="734" t="str">
        <f t="shared" si="8"/>
        <v>STEAM</v>
      </c>
      <c r="C54" s="790" t="s">
        <v>1486</v>
      </c>
      <c r="D54" s="448" t="str">
        <f t="shared" si="9"/>
        <v/>
      </c>
      <c r="E54" s="442">
        <v>2657.8954599999902</v>
      </c>
      <c r="F54" s="442">
        <v>2669.4710299999902</v>
      </c>
      <c r="G54" s="442">
        <v>2662.10229999999</v>
      </c>
      <c r="H54" s="442">
        <v>2647.2252999999901</v>
      </c>
      <c r="I54" s="442">
        <v>3167.8019199999899</v>
      </c>
      <c r="J54" s="442">
        <v>2878.5719199999899</v>
      </c>
      <c r="K54" s="442">
        <v>19.999999999993101</v>
      </c>
      <c r="L54" s="442">
        <v>19.999999999993101</v>
      </c>
      <c r="M54" s="442">
        <v>19.999999999993101</v>
      </c>
      <c r="N54" s="442">
        <v>117.400939999993</v>
      </c>
      <c r="O54" s="442">
        <v>144.90562999999301</v>
      </c>
      <c r="P54" s="442">
        <v>62.305629999993101</v>
      </c>
      <c r="Q54" s="442">
        <v>75.515379999993101</v>
      </c>
      <c r="R54" s="453">
        <f t="shared" si="10"/>
        <v>1318.7073469230686</v>
      </c>
    </row>
    <row r="55" spans="1:18">
      <c r="A55" s="734" t="str">
        <f t="shared" si="0"/>
        <v>KY</v>
      </c>
      <c r="B55" s="734" t="str">
        <f t="shared" si="8"/>
        <v>STEAM</v>
      </c>
      <c r="C55" s="790" t="s">
        <v>1487</v>
      </c>
      <c r="D55" s="448" t="str">
        <f t="shared" si="9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2">
        <v>0</v>
      </c>
      <c r="O55" s="442">
        <v>0</v>
      </c>
      <c r="P55" s="442">
        <v>0</v>
      </c>
      <c r="Q55" s="442">
        <v>0</v>
      </c>
      <c r="R55" s="453">
        <f t="shared" si="10"/>
        <v>0</v>
      </c>
    </row>
    <row r="56" spans="1:18">
      <c r="A56" s="734" t="str">
        <f t="shared" si="0"/>
        <v>KY</v>
      </c>
      <c r="B56" s="734" t="str">
        <f t="shared" si="8"/>
        <v>STEAM</v>
      </c>
      <c r="C56" s="790" t="s">
        <v>2740</v>
      </c>
      <c r="D56" s="448" t="str">
        <f t="shared" si="9"/>
        <v>ECR</v>
      </c>
      <c r="E56" s="442">
        <v>-9.9999999998434607E-6</v>
      </c>
      <c r="F56" s="442">
        <v>-9.9999999998434607E-6</v>
      </c>
      <c r="G56" s="442">
        <v>-9.9999999998434607E-6</v>
      </c>
      <c r="H56" s="442">
        <v>-9.9999999998434607E-6</v>
      </c>
      <c r="I56" s="442">
        <v>1.5653338271848899E-16</v>
      </c>
      <c r="J56" s="442">
        <v>1.5653338271848899E-16</v>
      </c>
      <c r="K56" s="442">
        <v>1.5653338271848899E-16</v>
      </c>
      <c r="L56" s="442">
        <v>1.5653338271848899E-16</v>
      </c>
      <c r="M56" s="442">
        <v>1.5653338271848899E-16</v>
      </c>
      <c r="N56" s="442">
        <v>1.5653338271848899E-16</v>
      </c>
      <c r="O56" s="442">
        <v>1.5653338271848899E-16</v>
      </c>
      <c r="P56" s="442">
        <v>1.5653338271848899E-16</v>
      </c>
      <c r="Q56" s="442">
        <v>1.5653338271848899E-16</v>
      </c>
      <c r="R56" s="453">
        <f t="shared" si="10"/>
        <v>-3.0769230767665428E-6</v>
      </c>
    </row>
    <row r="57" spans="1:18">
      <c r="A57" s="734" t="str">
        <f t="shared" si="0"/>
        <v>KY</v>
      </c>
      <c r="B57" s="734" t="str">
        <f t="shared" si="8"/>
        <v>STEAM</v>
      </c>
      <c r="C57" s="790" t="s">
        <v>1488</v>
      </c>
      <c r="D57" s="448" t="str">
        <f t="shared" si="9"/>
        <v>ECR</v>
      </c>
      <c r="E57" s="442">
        <v>-5.6843418860808002E-14</v>
      </c>
      <c r="F57" s="442">
        <v>-5.6843418860808002E-14</v>
      </c>
      <c r="G57" s="442">
        <v>-5.6843418860808002E-14</v>
      </c>
      <c r="H57" s="442">
        <v>-5.6843418860808002E-14</v>
      </c>
      <c r="I57" s="442">
        <v>-5.6843418860808002E-14</v>
      </c>
      <c r="J57" s="442">
        <v>-5.6843418860808002E-14</v>
      </c>
      <c r="K57" s="442">
        <v>-5.6843418860808002E-14</v>
      </c>
      <c r="L57" s="442">
        <v>-5.6843418860808002E-14</v>
      </c>
      <c r="M57" s="442">
        <v>-5.6843418860808002E-14</v>
      </c>
      <c r="N57" s="442">
        <v>-5.6843418860808002E-14</v>
      </c>
      <c r="O57" s="442">
        <v>-5.6843418860808002E-14</v>
      </c>
      <c r="P57" s="442">
        <v>-5.6843418860808002E-14</v>
      </c>
      <c r="Q57" s="442">
        <v>-5.6843418860808002E-14</v>
      </c>
      <c r="R57" s="453">
        <f t="shared" si="10"/>
        <v>-5.6843418860808009E-14</v>
      </c>
    </row>
    <row r="58" spans="1:18">
      <c r="A58" s="734" t="str">
        <f t="shared" si="0"/>
        <v>KY</v>
      </c>
      <c r="B58" s="734" t="str">
        <f t="shared" si="8"/>
        <v>STEAM</v>
      </c>
      <c r="C58" s="790" t="s">
        <v>2202</v>
      </c>
      <c r="D58" s="448" t="str">
        <f t="shared" si="9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0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  <c r="R58" s="453">
        <f t="shared" si="10"/>
        <v>0</v>
      </c>
    </row>
    <row r="59" spans="1:18">
      <c r="A59" s="734" t="str">
        <f t="shared" si="0"/>
        <v>KY</v>
      </c>
      <c r="B59" s="734" t="str">
        <f t="shared" si="8"/>
        <v>STEAM</v>
      </c>
      <c r="C59" s="794" t="s">
        <v>2741</v>
      </c>
      <c r="D59" s="448" t="str">
        <f t="shared" si="9"/>
        <v>ECR</v>
      </c>
      <c r="E59" s="442">
        <v>0</v>
      </c>
      <c r="F59" s="442">
        <v>0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2">
        <v>0</v>
      </c>
      <c r="O59" s="442">
        <v>0</v>
      </c>
      <c r="P59" s="442">
        <v>0</v>
      </c>
      <c r="Q59" s="442">
        <v>0</v>
      </c>
      <c r="R59" s="453">
        <f t="shared" si="10"/>
        <v>0</v>
      </c>
    </row>
    <row r="60" spans="1:18">
      <c r="A60" s="734" t="str">
        <f t="shared" si="0"/>
        <v>KY</v>
      </c>
      <c r="B60" s="734" t="str">
        <f t="shared" si="8"/>
        <v>TRANSMISSION</v>
      </c>
      <c r="C60" s="794" t="s">
        <v>1490</v>
      </c>
      <c r="D60" s="448" t="str">
        <f t="shared" si="9"/>
        <v/>
      </c>
      <c r="E60" s="442">
        <v>2977.5761299999999</v>
      </c>
      <c r="F60" s="442">
        <v>3132.8742000000002</v>
      </c>
      <c r="G60" s="442">
        <v>3711.6009300000001</v>
      </c>
      <c r="H60" s="442">
        <v>4005.7719400000001</v>
      </c>
      <c r="I60" s="442">
        <v>4646.61931</v>
      </c>
      <c r="J60" s="442">
        <v>5497.0051199999998</v>
      </c>
      <c r="K60" s="442">
        <v>3328.0128100000002</v>
      </c>
      <c r="L60" s="442">
        <v>4150.6454999999996</v>
      </c>
      <c r="M60" s="442">
        <v>4971.9207900000001</v>
      </c>
      <c r="N60" s="442">
        <v>5756.18282</v>
      </c>
      <c r="O60" s="442">
        <v>5933.3052200000002</v>
      </c>
      <c r="P60" s="442">
        <v>6175.5641599999999</v>
      </c>
      <c r="Q60" s="442">
        <v>5201.1817600000004</v>
      </c>
      <c r="R60" s="453">
        <f t="shared" si="10"/>
        <v>4576.0200530769234</v>
      </c>
    </row>
    <row r="61" spans="1:18">
      <c r="A61" s="734" t="str">
        <f t="shared" si="0"/>
        <v>VA</v>
      </c>
      <c r="B61" s="734" t="str">
        <f t="shared" si="8"/>
        <v>TRANSMISSION</v>
      </c>
      <c r="C61" s="794" t="s">
        <v>1491</v>
      </c>
      <c r="D61" s="448" t="str">
        <f t="shared" si="9"/>
        <v/>
      </c>
      <c r="E61" s="442">
        <v>1210.8585699999901</v>
      </c>
      <c r="F61" s="442">
        <v>1607.8759499999901</v>
      </c>
      <c r="G61" s="442">
        <v>1956.80304</v>
      </c>
      <c r="H61" s="442">
        <v>2305.73009</v>
      </c>
      <c r="I61" s="442">
        <v>1225.08581</v>
      </c>
      <c r="J61" s="442">
        <v>1432.6955499999999</v>
      </c>
      <c r="K61" s="442">
        <v>608.78891999999996</v>
      </c>
      <c r="L61" s="442">
        <v>805.30483000000004</v>
      </c>
      <c r="M61" s="442">
        <v>1001.82076</v>
      </c>
      <c r="N61" s="442">
        <v>1221.06223</v>
      </c>
      <c r="O61" s="442">
        <v>1354.8486</v>
      </c>
      <c r="P61" s="442">
        <v>1418.02073</v>
      </c>
      <c r="Q61" s="442">
        <v>4.5474735088646402E-13</v>
      </c>
      <c r="R61" s="453">
        <f t="shared" si="10"/>
        <v>1242.222698461537</v>
      </c>
    </row>
    <row r="62" spans="1:18">
      <c r="A62" s="734"/>
      <c r="B62" s="734"/>
      <c r="C62" s="788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  <c r="R62" s="453"/>
    </row>
    <row r="63" spans="1:18">
      <c r="A63" s="734"/>
      <c r="B63" s="734"/>
      <c r="C63" s="788"/>
      <c r="D63" s="448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53">
        <f>SUM(R46:R62)</f>
        <v>7809.5198369230657</v>
      </c>
    </row>
    <row r="64" spans="1:18">
      <c r="A64" s="734"/>
      <c r="B64" s="734"/>
      <c r="C64" s="788"/>
      <c r="D64" s="448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53"/>
    </row>
    <row r="65" spans="1:2">
      <c r="A65" s="734"/>
      <c r="B65" s="734"/>
    </row>
    <row r="66" spans="1:2">
      <c r="A66" s="734"/>
      <c r="B66" s="734"/>
    </row>
    <row r="67" spans="1:2">
      <c r="A67" s="734"/>
      <c r="B67" s="734"/>
    </row>
    <row r="68" spans="1:2">
      <c r="A68" s="734"/>
      <c r="B68" s="734"/>
    </row>
    <row r="69" spans="1:2">
      <c r="A69" s="734"/>
      <c r="B69" s="734"/>
    </row>
    <row r="70" spans="1:2">
      <c r="A70" s="734"/>
      <c r="B70" s="734"/>
    </row>
    <row r="71" spans="1:2">
      <c r="A71" s="734"/>
      <c r="B71" s="734"/>
    </row>
    <row r="72" spans="1:2">
      <c r="A72" s="734"/>
      <c r="B72" s="734"/>
    </row>
    <row r="73" spans="1:2">
      <c r="A73" s="734"/>
      <c r="B73" s="734"/>
    </row>
    <row r="74" spans="1:2">
      <c r="A74" s="734"/>
      <c r="B74" s="734"/>
    </row>
    <row r="75" spans="1:2">
      <c r="A75" s="734"/>
      <c r="B75" s="734"/>
    </row>
    <row r="76" spans="1:2">
      <c r="A76" s="734"/>
      <c r="B76" s="734"/>
    </row>
    <row r="77" spans="1:2">
      <c r="A77" s="734"/>
      <c r="B77" s="734"/>
    </row>
    <row r="78" spans="1:2">
      <c r="A78" s="734"/>
      <c r="B78" s="734"/>
    </row>
    <row r="79" spans="1:2">
      <c r="A79" s="734"/>
      <c r="B79" s="734"/>
    </row>
    <row r="80" spans="1:2">
      <c r="A80" s="734"/>
      <c r="B80" s="734"/>
    </row>
    <row r="81" spans="1:2">
      <c r="A81" s="734"/>
      <c r="B81" s="734"/>
    </row>
    <row r="82" spans="1:2">
      <c r="A82" s="734"/>
      <c r="B82" s="734"/>
    </row>
    <row r="83" spans="1:2">
      <c r="A83" s="734"/>
      <c r="B83" s="734"/>
    </row>
    <row r="84" spans="1:2">
      <c r="A84" s="734"/>
      <c r="B84" s="734"/>
    </row>
    <row r="85" spans="1:2">
      <c r="A85" s="734"/>
      <c r="B85" s="734"/>
    </row>
    <row r="86" spans="1:2">
      <c r="A86" s="734"/>
      <c r="B86" s="734"/>
    </row>
    <row r="87" spans="1:2">
      <c r="A87" s="734"/>
      <c r="B87" s="734"/>
    </row>
    <row r="88" spans="1:2">
      <c r="A88" s="734"/>
      <c r="B88" s="734"/>
    </row>
    <row r="89" spans="1:2">
      <c r="A89" s="734"/>
      <c r="B89" s="734"/>
    </row>
    <row r="90" spans="1:2">
      <c r="A90" s="734"/>
      <c r="B90" s="734"/>
    </row>
    <row r="91" spans="1:2">
      <c r="A91" s="734"/>
      <c r="B91" s="734"/>
    </row>
    <row r="92" spans="1:2">
      <c r="A92" s="734"/>
      <c r="B92" s="734"/>
    </row>
    <row r="93" spans="1:2">
      <c r="A93" s="734"/>
      <c r="B93" s="734"/>
    </row>
    <row r="94" spans="1:2">
      <c r="A94" s="734"/>
      <c r="B94" s="734"/>
    </row>
    <row r="95" spans="1:2">
      <c r="A95" s="734"/>
      <c r="B95" s="734"/>
    </row>
    <row r="96" spans="1:2">
      <c r="A96" s="734"/>
      <c r="B96" s="734"/>
    </row>
    <row r="97" spans="1:2">
      <c r="A97" s="734"/>
      <c r="B97" s="734"/>
    </row>
  </sheetData>
  <pageMargins left="0.75" right="0.75" top="1" bottom="1" header="0.5" footer="0.5"/>
  <pageSetup scale="6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P58"/>
  <sheetViews>
    <sheetView zoomScaleNormal="100" workbookViewId="0">
      <selection sqref="A1:G1"/>
    </sheetView>
  </sheetViews>
  <sheetFormatPr defaultColWidth="7.125" defaultRowHeight="12.75"/>
  <cols>
    <col min="1" max="1" width="6.125" style="552" customWidth="1"/>
    <col min="2" max="2" width="8.375" style="711" bestFit="1" customWidth="1"/>
    <col min="3" max="3" width="27.75" style="712" customWidth="1"/>
    <col min="4" max="4" width="2.625" style="39" customWidth="1"/>
    <col min="5" max="5" width="14.375" style="39" customWidth="1"/>
    <col min="6" max="6" width="2.875" style="39" customWidth="1"/>
    <col min="7" max="7" width="17" style="39" bestFit="1" customWidth="1"/>
    <col min="8" max="8" width="15.125" style="549" customWidth="1"/>
    <col min="9" max="9" width="11.625" style="549" customWidth="1"/>
    <col min="10" max="11" width="14.125" style="549" customWidth="1"/>
    <col min="12" max="12" width="13.5" style="549" customWidth="1"/>
    <col min="13" max="13" width="13.625" style="549" bestFit="1" customWidth="1"/>
    <col min="14" max="16384" width="7.125" style="549"/>
  </cols>
  <sheetData>
    <row r="1" spans="1:16" ht="18">
      <c r="A1" s="824" t="s">
        <v>2434</v>
      </c>
      <c r="B1" s="824"/>
      <c r="C1" s="824"/>
      <c r="D1" s="824"/>
      <c r="E1" s="824"/>
      <c r="F1" s="824"/>
      <c r="G1" s="824"/>
    </row>
    <row r="2" spans="1:16" ht="15.75">
      <c r="A2" s="825" t="s">
        <v>2743</v>
      </c>
      <c r="B2" s="825"/>
      <c r="C2" s="825"/>
      <c r="D2" s="825"/>
      <c r="E2" s="825"/>
      <c r="F2" s="825"/>
      <c r="G2" s="825"/>
    </row>
    <row r="3" spans="1:16">
      <c r="A3" s="550"/>
      <c r="B3" s="5"/>
      <c r="C3" s="551"/>
      <c r="F3" s="43"/>
    </row>
    <row r="4" spans="1:16">
      <c r="A4" s="47" t="s">
        <v>72</v>
      </c>
      <c r="B4" s="5"/>
      <c r="C4" s="551"/>
      <c r="F4" s="43"/>
      <c r="J4" s="552" t="s">
        <v>2435</v>
      </c>
      <c r="K4" s="552" t="s">
        <v>2435</v>
      </c>
      <c r="L4" s="552" t="s">
        <v>2435</v>
      </c>
    </row>
    <row r="5" spans="1:16">
      <c r="A5" s="553" t="s">
        <v>2436</v>
      </c>
      <c r="B5" s="554" t="s">
        <v>2437</v>
      </c>
      <c r="C5" s="553" t="s">
        <v>2167</v>
      </c>
      <c r="D5" s="555"/>
      <c r="E5" s="556" t="s">
        <v>2438</v>
      </c>
      <c r="F5" s="555"/>
      <c r="G5" s="557" t="s">
        <v>2439</v>
      </c>
      <c r="H5" s="557" t="s">
        <v>2013</v>
      </c>
      <c r="J5" s="556" t="s">
        <v>2438</v>
      </c>
      <c r="K5" s="557" t="s">
        <v>2439</v>
      </c>
      <c r="L5" s="557" t="s">
        <v>2013</v>
      </c>
    </row>
    <row r="6" spans="1:16">
      <c r="A6" s="550" t="s">
        <v>17</v>
      </c>
      <c r="B6" s="558">
        <v>311</v>
      </c>
      <c r="C6" s="551" t="s">
        <v>148</v>
      </c>
      <c r="D6" s="43"/>
      <c r="E6" s="39">
        <v>878863.98</v>
      </c>
      <c r="F6" s="43"/>
      <c r="G6" s="39">
        <v>374989.59</v>
      </c>
      <c r="H6" s="564">
        <f>SUM(D6:G6)</f>
        <v>1253853.57</v>
      </c>
      <c r="J6" s="39">
        <f>J$11/J$12*E6</f>
        <v>452064.17465695256</v>
      </c>
      <c r="K6" s="39">
        <f>K$11/K$12*G6</f>
        <v>289347.3369838075</v>
      </c>
      <c r="L6" s="564">
        <f>SUM(J6:K6)</f>
        <v>741411.51164076012</v>
      </c>
    </row>
    <row r="7" spans="1:16">
      <c r="A7" s="550" t="s">
        <v>17</v>
      </c>
      <c r="B7" s="558">
        <v>312</v>
      </c>
      <c r="C7" s="551" t="s">
        <v>1624</v>
      </c>
      <c r="D7" s="43"/>
      <c r="E7" s="39">
        <v>4656268.87</v>
      </c>
      <c r="F7" s="43"/>
      <c r="G7" s="39">
        <v>4997323.49</v>
      </c>
      <c r="H7" s="564">
        <f>SUM(D7:G7)</f>
        <v>9653592.3599999994</v>
      </c>
      <c r="J7" s="39">
        <f t="shared" ref="J7:J10" si="0">J$11/J$12*E7</f>
        <v>2395060.4321016902</v>
      </c>
      <c r="K7" s="39">
        <f>K$11/K$12*G7</f>
        <v>3856006.3597448855</v>
      </c>
      <c r="L7" s="564">
        <f>SUM(J7:K7)</f>
        <v>6251066.7918465752</v>
      </c>
    </row>
    <row r="8" spans="1:16">
      <c r="A8" s="550" t="s">
        <v>17</v>
      </c>
      <c r="B8" s="558">
        <v>314</v>
      </c>
      <c r="C8" s="551" t="s">
        <v>1626</v>
      </c>
      <c r="D8" s="43"/>
      <c r="E8" s="39">
        <v>1280653.23</v>
      </c>
      <c r="F8" s="43"/>
      <c r="G8" s="39">
        <v>257903.37</v>
      </c>
      <c r="H8" s="564">
        <f>SUM(D8:G8)</f>
        <v>1538556.6</v>
      </c>
      <c r="J8" s="39">
        <f t="shared" si="0"/>
        <v>658733.84120454045</v>
      </c>
      <c r="K8" s="39">
        <f>K$11/K$12*G8</f>
        <v>199001.93311672891</v>
      </c>
      <c r="L8" s="564">
        <f t="shared" ref="L8:L10" si="1">SUM(J8:K8)</f>
        <v>857735.77432126936</v>
      </c>
    </row>
    <row r="9" spans="1:16">
      <c r="A9" s="550" t="s">
        <v>17</v>
      </c>
      <c r="B9" s="558">
        <v>315</v>
      </c>
      <c r="C9" s="551" t="s">
        <v>2440</v>
      </c>
      <c r="D9" s="43"/>
      <c r="E9" s="39">
        <v>871702.49</v>
      </c>
      <c r="F9" s="43"/>
      <c r="G9" s="39">
        <v>239799.32</v>
      </c>
      <c r="H9" s="564">
        <f>SUM(D9:G9)</f>
        <v>1111501.81</v>
      </c>
      <c r="J9" s="39">
        <f t="shared" si="0"/>
        <v>448380.49533929065</v>
      </c>
      <c r="K9" s="39">
        <f>K$11/K$12*G9</f>
        <v>185032.58891140923</v>
      </c>
      <c r="L9" s="564">
        <f t="shared" si="1"/>
        <v>633413.08425069985</v>
      </c>
    </row>
    <row r="10" spans="1:16">
      <c r="A10" s="550" t="s">
        <v>17</v>
      </c>
      <c r="B10" s="558">
        <v>316</v>
      </c>
      <c r="C10" s="551" t="s">
        <v>2441</v>
      </c>
      <c r="D10" s="43"/>
      <c r="E10" s="39">
        <v>81631.05</v>
      </c>
      <c r="F10" s="43"/>
      <c r="G10" s="39">
        <v>18364.190000000002</v>
      </c>
      <c r="H10" s="564">
        <f>SUM(D10:G10)</f>
        <v>99995.24</v>
      </c>
      <c r="J10" s="39">
        <f t="shared" si="0"/>
        <v>41988.833408134931</v>
      </c>
      <c r="K10" s="39">
        <f>K$11/K$12*G10</f>
        <v>14170.071954169898</v>
      </c>
      <c r="L10" s="564">
        <f t="shared" si="1"/>
        <v>56158.905362304831</v>
      </c>
    </row>
    <row r="11" spans="1:16" ht="13.5" thickBot="1">
      <c r="A11" s="550"/>
      <c r="B11" s="558"/>
      <c r="C11" s="551"/>
      <c r="D11" s="559"/>
      <c r="E11" s="560">
        <f>SUM(E6:E10)</f>
        <v>7769119.6200000001</v>
      </c>
      <c r="F11" s="559"/>
      <c r="G11" s="560">
        <f>SUM(G6:G10)</f>
        <v>5888379.9600000009</v>
      </c>
      <c r="H11" s="560">
        <f>SUM(H6:H10)</f>
        <v>13657499.58</v>
      </c>
      <c r="J11" s="708">
        <f>'JURISSEP F'!G86</f>
        <v>3996227.776710609</v>
      </c>
      <c r="K11" s="708">
        <f>'JURISSEP F'!G87</f>
        <v>4543558.2907110015</v>
      </c>
      <c r="L11" s="560">
        <f>SUM(L6:L10)</f>
        <v>8539786.0674216095</v>
      </c>
      <c r="M11" s="39">
        <f>H11-L11</f>
        <v>5117713.5125783905</v>
      </c>
      <c r="N11" s="39"/>
      <c r="O11" s="39"/>
      <c r="P11" s="39"/>
    </row>
    <row r="12" spans="1:16" ht="13.5" thickTop="1">
      <c r="A12" s="550"/>
      <c r="B12" s="558"/>
      <c r="C12" s="551"/>
      <c r="D12" s="43"/>
      <c r="F12" s="43"/>
      <c r="I12" s="561" t="s">
        <v>2442</v>
      </c>
      <c r="J12" s="39">
        <f>E11</f>
        <v>7769119.6200000001</v>
      </c>
      <c r="K12" s="39">
        <f>G11</f>
        <v>5888379.9600000009</v>
      </c>
    </row>
    <row r="13" spans="1:16">
      <c r="A13" s="550"/>
      <c r="B13" s="558"/>
      <c r="C13" s="551"/>
      <c r="D13" s="43"/>
      <c r="F13" s="43"/>
      <c r="J13" s="39"/>
      <c r="K13" s="39"/>
      <c r="L13" s="39"/>
    </row>
    <row r="14" spans="1:16">
      <c r="A14" s="562" t="s">
        <v>47</v>
      </c>
      <c r="B14" s="5"/>
      <c r="C14" s="551"/>
      <c r="D14" s="43"/>
      <c r="F14" s="43"/>
      <c r="J14" s="552"/>
      <c r="K14" s="552"/>
      <c r="L14" s="552"/>
    </row>
    <row r="15" spans="1:16">
      <c r="A15" s="553" t="s">
        <v>2436</v>
      </c>
      <c r="B15" s="554" t="s">
        <v>2437</v>
      </c>
      <c r="C15" s="553" t="s">
        <v>2167</v>
      </c>
      <c r="D15" s="555"/>
      <c r="E15" s="556" t="s">
        <v>2438</v>
      </c>
      <c r="F15" s="555"/>
      <c r="G15" s="557" t="s">
        <v>2439</v>
      </c>
      <c r="H15" s="557" t="s">
        <v>2013</v>
      </c>
      <c r="J15" s="557"/>
      <c r="K15" s="557"/>
      <c r="L15" s="557"/>
    </row>
    <row r="16" spans="1:16">
      <c r="A16" s="550" t="s">
        <v>17</v>
      </c>
      <c r="B16" s="558">
        <v>331</v>
      </c>
      <c r="C16" s="563" t="s">
        <v>3731</v>
      </c>
      <c r="D16" s="43"/>
      <c r="E16" s="39">
        <v>0</v>
      </c>
      <c r="F16" s="43"/>
      <c r="G16" s="39">
        <v>851.14</v>
      </c>
      <c r="H16" s="564">
        <f>SUM(D16:G16)</f>
        <v>851.14</v>
      </c>
      <c r="J16" s="39">
        <f t="shared" ref="J16:J20" si="2">J$11/J$12*E16</f>
        <v>0</v>
      </c>
      <c r="K16" s="39">
        <f>K$11/K$12*G16</f>
        <v>656.7518111646724</v>
      </c>
      <c r="L16" s="564">
        <f t="shared" ref="L16:L20" si="3">SUM(J16:K16)</f>
        <v>656.7518111646724</v>
      </c>
    </row>
    <row r="17" spans="1:13">
      <c r="A17" s="550" t="s">
        <v>17</v>
      </c>
      <c r="B17" s="558">
        <v>332</v>
      </c>
      <c r="C17" s="563" t="s">
        <v>2443</v>
      </c>
      <c r="D17" s="43"/>
      <c r="E17" s="39">
        <v>0</v>
      </c>
      <c r="F17" s="43"/>
      <c r="G17" s="39">
        <v>9500.2099999999991</v>
      </c>
      <c r="H17" s="564">
        <f>SUM(D17:G17)</f>
        <v>9500.2099999999991</v>
      </c>
      <c r="J17" s="39">
        <f t="shared" ref="J17" si="4">J$11/J$12*E17</f>
        <v>0</v>
      </c>
      <c r="K17" s="39">
        <f>K$11/K$12*G17</f>
        <v>7330.4980660581477</v>
      </c>
      <c r="L17" s="564">
        <f t="shared" ref="L17" si="5">SUM(J17:K17)</f>
        <v>7330.4980660581477</v>
      </c>
    </row>
    <row r="18" spans="1:13">
      <c r="A18" s="550" t="s">
        <v>17</v>
      </c>
      <c r="B18" s="558">
        <v>333</v>
      </c>
      <c r="C18" s="551" t="s">
        <v>2444</v>
      </c>
      <c r="D18" s="43"/>
      <c r="E18" s="39">
        <v>0</v>
      </c>
      <c r="F18" s="43"/>
      <c r="G18" s="39">
        <v>12939.019999999999</v>
      </c>
      <c r="H18" s="564">
        <f>SUM(D18:G18)</f>
        <v>12939.019999999999</v>
      </c>
      <c r="J18" s="39">
        <f t="shared" si="2"/>
        <v>0</v>
      </c>
      <c r="K18" s="39">
        <f>K$11/K$12*G18</f>
        <v>9983.9331011301529</v>
      </c>
      <c r="L18" s="564">
        <f t="shared" si="3"/>
        <v>9983.9331011301529</v>
      </c>
    </row>
    <row r="19" spans="1:13">
      <c r="A19" s="550" t="s">
        <v>17</v>
      </c>
      <c r="B19" s="558">
        <v>334</v>
      </c>
      <c r="C19" s="551" t="s">
        <v>2440</v>
      </c>
      <c r="D19" s="43"/>
      <c r="E19" s="39">
        <v>0</v>
      </c>
      <c r="F19" s="43"/>
      <c r="G19" s="39">
        <v>859.15</v>
      </c>
      <c r="H19" s="564">
        <f>SUM(D19:G19)</f>
        <v>859.15</v>
      </c>
      <c r="J19" s="39">
        <f t="shared" si="2"/>
        <v>0</v>
      </c>
      <c r="K19" s="39">
        <f>K$11/K$12*G19</f>
        <v>662.93244185695448</v>
      </c>
      <c r="L19" s="564">
        <f t="shared" si="3"/>
        <v>662.93244185695448</v>
      </c>
    </row>
    <row r="20" spans="1:13">
      <c r="A20" s="550" t="s">
        <v>17</v>
      </c>
      <c r="B20" s="558">
        <v>335</v>
      </c>
      <c r="C20" s="551" t="s">
        <v>2441</v>
      </c>
      <c r="D20" s="43"/>
      <c r="E20" s="39">
        <v>389.35999999999996</v>
      </c>
      <c r="F20" s="43"/>
      <c r="G20" s="39">
        <v>0</v>
      </c>
      <c r="H20" s="564">
        <f>SUM(D20:G20)</f>
        <v>389.35999999999996</v>
      </c>
      <c r="J20" s="39">
        <f t="shared" si="2"/>
        <v>200.27639208109431</v>
      </c>
      <c r="K20" s="39">
        <f>K$11/K$12*G20</f>
        <v>0</v>
      </c>
      <c r="L20" s="564">
        <f t="shared" si="3"/>
        <v>200.27639208109431</v>
      </c>
    </row>
    <row r="21" spans="1:13" ht="13.5" thickBot="1">
      <c r="A21" s="550"/>
      <c r="B21" s="558"/>
      <c r="C21" s="563"/>
      <c r="D21" s="559"/>
      <c r="E21" s="560">
        <f>SUM(E16:E20)</f>
        <v>389.35999999999996</v>
      </c>
      <c r="F21" s="559"/>
      <c r="G21" s="560">
        <f>SUM(G16:G20)</f>
        <v>24149.519999999997</v>
      </c>
      <c r="H21" s="560">
        <f>SUM(H16:H20)</f>
        <v>24538.879999999997</v>
      </c>
      <c r="J21" s="708">
        <f>'JURISSEP F'!G99</f>
        <v>200.27639208109431</v>
      </c>
      <c r="K21" s="708">
        <f>'JURISSEP F'!G100</f>
        <v>18634.115420209928</v>
      </c>
      <c r="L21" s="560">
        <f>SUM(L15:L20)</f>
        <v>18834.391812291022</v>
      </c>
      <c r="M21" s="39">
        <f>H21-L21</f>
        <v>5704.4881877089756</v>
      </c>
    </row>
    <row r="22" spans="1:13" ht="13.5" thickTop="1">
      <c r="A22" s="550"/>
      <c r="B22" s="558"/>
      <c r="C22" s="563"/>
      <c r="D22" s="43"/>
      <c r="F22" s="43"/>
      <c r="I22" s="561" t="s">
        <v>2442</v>
      </c>
      <c r="J22" s="39">
        <f>E21</f>
        <v>389.35999999999996</v>
      </c>
      <c r="K22" s="39">
        <f>G21</f>
        <v>24149.519999999997</v>
      </c>
    </row>
    <row r="23" spans="1:13">
      <c r="A23" s="550"/>
      <c r="B23" s="558"/>
      <c r="C23" s="563"/>
      <c r="D23" s="43"/>
      <c r="F23" s="43"/>
    </row>
    <row r="24" spans="1:13">
      <c r="A24" s="562" t="s">
        <v>61</v>
      </c>
      <c r="B24" s="5"/>
      <c r="C24" s="551"/>
      <c r="D24" s="43"/>
      <c r="F24" s="43"/>
    </row>
    <row r="25" spans="1:13">
      <c r="A25" s="553" t="s">
        <v>2436</v>
      </c>
      <c r="B25" s="554" t="s">
        <v>2437</v>
      </c>
      <c r="C25" s="553" t="s">
        <v>2167</v>
      </c>
      <c r="D25" s="555"/>
      <c r="E25" s="556" t="s">
        <v>2438</v>
      </c>
      <c r="F25" s="555"/>
      <c r="G25" s="557" t="s">
        <v>2439</v>
      </c>
      <c r="H25" s="557" t="s">
        <v>2013</v>
      </c>
      <c r="J25" s="557"/>
      <c r="K25" s="557"/>
      <c r="L25" s="557"/>
    </row>
    <row r="26" spans="1:13">
      <c r="A26" s="550" t="s">
        <v>17</v>
      </c>
      <c r="B26" s="558">
        <v>341</v>
      </c>
      <c r="C26" s="551" t="s">
        <v>148</v>
      </c>
      <c r="D26" s="43"/>
      <c r="E26" s="39">
        <v>89.12</v>
      </c>
      <c r="F26" s="43"/>
      <c r="G26" s="39">
        <v>124635.52</v>
      </c>
      <c r="H26" s="564">
        <f t="shared" ref="H26:H31" si="6">SUM(D26:G26)</f>
        <v>124724.64</v>
      </c>
      <c r="J26" s="564">
        <f t="shared" ref="J26:J31" si="7">J$11/J$12*E26</f>
        <v>45.840949409973106</v>
      </c>
      <c r="K26" s="564">
        <f t="shared" ref="K26:K31" si="8">K$11/K$12*G26</f>
        <v>96170.551842764704</v>
      </c>
      <c r="L26" s="564">
        <f t="shared" ref="L26:L31" si="9">SUM(J26:K26)</f>
        <v>96216.39279217468</v>
      </c>
    </row>
    <row r="27" spans="1:13">
      <c r="A27" s="550" t="s">
        <v>17</v>
      </c>
      <c r="B27" s="558">
        <v>342</v>
      </c>
      <c r="C27" s="563" t="s">
        <v>2445</v>
      </c>
      <c r="D27" s="43"/>
      <c r="E27" s="39">
        <v>15.41</v>
      </c>
      <c r="F27" s="43"/>
      <c r="G27" s="39">
        <v>27087.310000000103</v>
      </c>
      <c r="H27" s="564">
        <f t="shared" si="6"/>
        <v>27102.720000000103</v>
      </c>
      <c r="J27" s="564">
        <f t="shared" si="7"/>
        <v>7.9264927110377634</v>
      </c>
      <c r="K27" s="564">
        <f t="shared" si="8"/>
        <v>20900.956249358518</v>
      </c>
      <c r="L27" s="564">
        <f t="shared" si="9"/>
        <v>20908.882742069556</v>
      </c>
    </row>
    <row r="28" spans="1:13">
      <c r="A28" s="550" t="s">
        <v>17</v>
      </c>
      <c r="B28" s="558">
        <v>343</v>
      </c>
      <c r="C28" s="551" t="s">
        <v>1649</v>
      </c>
      <c r="D28" s="43"/>
      <c r="E28" s="39">
        <v>548.84</v>
      </c>
      <c r="F28" s="43"/>
      <c r="G28" s="39">
        <v>692630.41</v>
      </c>
      <c r="H28" s="564">
        <f t="shared" si="6"/>
        <v>693179.25</v>
      </c>
      <c r="J28" s="564">
        <f t="shared" si="7"/>
        <v>282.30864760064674</v>
      </c>
      <c r="K28" s="564">
        <f t="shared" si="8"/>
        <v>534443.54187939665</v>
      </c>
      <c r="L28" s="564">
        <f t="shared" si="9"/>
        <v>534725.85052699735</v>
      </c>
    </row>
    <row r="29" spans="1:13">
      <c r="A29" s="550" t="s">
        <v>17</v>
      </c>
      <c r="B29" s="558">
        <v>344</v>
      </c>
      <c r="C29" s="551" t="s">
        <v>1653</v>
      </c>
      <c r="D29" s="43"/>
      <c r="E29" s="39">
        <v>137.77000000000001</v>
      </c>
      <c r="F29" s="43"/>
      <c r="G29" s="39">
        <v>158277.35999999999</v>
      </c>
      <c r="H29" s="564">
        <f t="shared" si="6"/>
        <v>158415.12999999998</v>
      </c>
      <c r="J29" s="564">
        <f t="shared" si="7"/>
        <v>70.865210953904793</v>
      </c>
      <c r="K29" s="564">
        <f t="shared" si="8"/>
        <v>122129.07729205872</v>
      </c>
      <c r="L29" s="564">
        <f t="shared" si="9"/>
        <v>122199.94250301263</v>
      </c>
    </row>
    <row r="30" spans="1:13">
      <c r="A30" s="550" t="s">
        <v>17</v>
      </c>
      <c r="B30" s="558">
        <v>345</v>
      </c>
      <c r="C30" s="551" t="s">
        <v>2440</v>
      </c>
      <c r="D30" s="43"/>
      <c r="E30" s="39">
        <v>111.32000000000001</v>
      </c>
      <c r="F30" s="43"/>
      <c r="G30" s="39">
        <v>77109.650000000009</v>
      </c>
      <c r="H30" s="564">
        <f t="shared" si="6"/>
        <v>77220.970000000016</v>
      </c>
      <c r="J30" s="564">
        <f t="shared" si="7"/>
        <v>57.260036897645939</v>
      </c>
      <c r="K30" s="564">
        <f t="shared" si="8"/>
        <v>59498.910045085402</v>
      </c>
      <c r="L30" s="564">
        <f t="shared" si="9"/>
        <v>59556.170081983051</v>
      </c>
    </row>
    <row r="31" spans="1:13">
      <c r="A31" s="550" t="s">
        <v>17</v>
      </c>
      <c r="B31" s="558">
        <v>346</v>
      </c>
      <c r="C31" s="551" t="s">
        <v>2441</v>
      </c>
      <c r="D31" s="43"/>
      <c r="E31" s="39">
        <v>11.85</v>
      </c>
      <c r="F31" s="43"/>
      <c r="G31" s="39">
        <v>7538.54</v>
      </c>
      <c r="H31" s="564">
        <f t="shared" si="6"/>
        <v>7550.39</v>
      </c>
      <c r="J31" s="564">
        <f t="shared" si="7"/>
        <v>6.0953237265280658</v>
      </c>
      <c r="K31" s="564">
        <f t="shared" si="8"/>
        <v>5816.8454056175597</v>
      </c>
      <c r="L31" s="564">
        <f t="shared" si="9"/>
        <v>5822.9407293440881</v>
      </c>
    </row>
    <row r="32" spans="1:13" ht="13.5" thickBot="1">
      <c r="A32" s="550"/>
      <c r="B32" s="558"/>
      <c r="C32" s="551"/>
      <c r="D32" s="559"/>
      <c r="E32" s="560">
        <f>SUM(E26:E31)</f>
        <v>914.31000000000006</v>
      </c>
      <c r="F32" s="559"/>
      <c r="G32" s="560">
        <f>SUM(G26:G31)</f>
        <v>1087278.79</v>
      </c>
      <c r="H32" s="560">
        <f>SUM(H26:H31)</f>
        <v>1088193.1000000001</v>
      </c>
      <c r="J32" s="708">
        <f>'JURISSEP F'!G112</f>
        <v>470.2966612997364</v>
      </c>
      <c r="K32" s="708">
        <f>'JURISSEP F'!G113</f>
        <v>838959.88271428144</v>
      </c>
      <c r="L32" s="560">
        <f>SUM(L26:L31)</f>
        <v>839430.17937558133</v>
      </c>
      <c r="M32" s="39">
        <f>H32-L32</f>
        <v>248762.92062441877</v>
      </c>
    </row>
    <row r="33" spans="1:13" ht="13.5" thickTop="1">
      <c r="A33" s="550"/>
      <c r="B33" s="558"/>
      <c r="C33" s="551"/>
      <c r="D33" s="43"/>
      <c r="F33" s="43"/>
      <c r="I33" s="561" t="s">
        <v>2442</v>
      </c>
      <c r="J33" s="39">
        <f>E32</f>
        <v>914.31000000000006</v>
      </c>
      <c r="K33" s="39">
        <f>G32</f>
        <v>1087278.79</v>
      </c>
    </row>
    <row r="34" spans="1:13">
      <c r="A34" s="550"/>
      <c r="B34" s="558"/>
      <c r="C34" s="551"/>
      <c r="D34" s="43"/>
      <c r="F34" s="43"/>
    </row>
    <row r="35" spans="1:13">
      <c r="A35" s="562" t="s">
        <v>84</v>
      </c>
      <c r="B35" s="5"/>
      <c r="C35" s="551"/>
      <c r="D35" s="43"/>
      <c r="F35" s="43"/>
    </row>
    <row r="36" spans="1:13">
      <c r="A36" s="553" t="s">
        <v>2436</v>
      </c>
      <c r="B36" s="554" t="s">
        <v>2437</v>
      </c>
      <c r="C36" s="553" t="s">
        <v>2167</v>
      </c>
      <c r="D36" s="555"/>
      <c r="E36" s="556" t="s">
        <v>2438</v>
      </c>
      <c r="F36" s="555"/>
      <c r="G36" s="557" t="s">
        <v>2439</v>
      </c>
      <c r="H36" s="557" t="s">
        <v>2013</v>
      </c>
      <c r="J36" s="557"/>
      <c r="K36" s="557"/>
      <c r="L36" s="557"/>
    </row>
    <row r="37" spans="1:13">
      <c r="A37" s="550" t="s">
        <v>17</v>
      </c>
      <c r="B37" s="558">
        <v>350</v>
      </c>
      <c r="C37" s="551" t="s">
        <v>2446</v>
      </c>
      <c r="D37" s="43"/>
      <c r="E37" s="39">
        <v>36405.979999999996</v>
      </c>
      <c r="F37" s="43"/>
      <c r="G37" s="39">
        <v>1293.3900000000001</v>
      </c>
      <c r="H37" s="564">
        <f>SUM(D37:G37)</f>
        <v>37699.369999999995</v>
      </c>
      <c r="J37" s="564">
        <f t="shared" ref="J37:J44" si="10">J$11/J$12*E37</f>
        <v>18726.264445696728</v>
      </c>
      <c r="K37" s="564">
        <f t="shared" ref="K37:K44" si="11">K$11/K$12*G37</f>
        <v>997.99824358187334</v>
      </c>
      <c r="L37" s="564">
        <f t="shared" ref="L37:L44" si="12">SUM(J37:K37)</f>
        <v>19724.262689278603</v>
      </c>
    </row>
    <row r="38" spans="1:13">
      <c r="A38" s="550" t="s">
        <v>17</v>
      </c>
      <c r="B38" s="558">
        <v>352</v>
      </c>
      <c r="C38" s="551" t="s">
        <v>148</v>
      </c>
      <c r="D38" s="43"/>
      <c r="E38" s="39">
        <v>34484.699999999997</v>
      </c>
      <c r="F38" s="43"/>
      <c r="G38" s="39">
        <v>8430.3100000000086</v>
      </c>
      <c r="H38" s="564">
        <f t="shared" ref="H38:H44" si="13">SUM(D38:G38)</f>
        <v>42915.010000000009</v>
      </c>
      <c r="J38" s="564">
        <f t="shared" si="10"/>
        <v>17738.009292168979</v>
      </c>
      <c r="K38" s="564">
        <f t="shared" si="11"/>
        <v>6504.9479065484584</v>
      </c>
      <c r="L38" s="564">
        <f t="shared" si="12"/>
        <v>24242.957198717439</v>
      </c>
    </row>
    <row r="39" spans="1:13">
      <c r="A39" s="550" t="s">
        <v>17</v>
      </c>
      <c r="B39" s="558">
        <v>353</v>
      </c>
      <c r="C39" s="551" t="s">
        <v>1674</v>
      </c>
      <c r="D39" s="43"/>
      <c r="E39" s="39">
        <v>241657.44</v>
      </c>
      <c r="F39" s="43"/>
      <c r="G39" s="39">
        <v>105435.39</v>
      </c>
      <c r="H39" s="564">
        <f t="shared" si="13"/>
        <v>347092.83</v>
      </c>
      <c r="J39" s="564">
        <f t="shared" si="10"/>
        <v>124302.13736067785</v>
      </c>
      <c r="K39" s="564">
        <f t="shared" si="11"/>
        <v>81355.456615073417</v>
      </c>
      <c r="L39" s="564">
        <f t="shared" si="12"/>
        <v>205657.59397575125</v>
      </c>
    </row>
    <row r="40" spans="1:13">
      <c r="A40" s="550" t="s">
        <v>17</v>
      </c>
      <c r="B40" s="558">
        <v>354</v>
      </c>
      <c r="C40" s="551" t="s">
        <v>1661</v>
      </c>
      <c r="D40" s="43"/>
      <c r="E40" s="39">
        <v>399833.64</v>
      </c>
      <c r="F40" s="43"/>
      <c r="G40" s="39">
        <v>26610.19</v>
      </c>
      <c r="H40" s="564">
        <f t="shared" si="13"/>
        <v>426443.83</v>
      </c>
      <c r="J40" s="564">
        <f t="shared" si="10"/>
        <v>205663.75295831909</v>
      </c>
      <c r="K40" s="564">
        <f t="shared" si="11"/>
        <v>20532.803625650366</v>
      </c>
      <c r="L40" s="564">
        <f t="shared" si="12"/>
        <v>226196.55658396945</v>
      </c>
    </row>
    <row r="41" spans="1:13">
      <c r="A41" s="550" t="s">
        <v>17</v>
      </c>
      <c r="B41" s="558">
        <v>355</v>
      </c>
      <c r="C41" s="551" t="s">
        <v>1663</v>
      </c>
      <c r="D41" s="43"/>
      <c r="E41" s="39">
        <v>107154.02</v>
      </c>
      <c r="F41" s="43"/>
      <c r="G41" s="39">
        <v>128154.81</v>
      </c>
      <c r="H41" s="564">
        <f t="shared" si="13"/>
        <v>235308.83000000002</v>
      </c>
      <c r="J41" s="564">
        <f t="shared" si="10"/>
        <v>55117.167974587588</v>
      </c>
      <c r="K41" s="564">
        <f t="shared" si="11"/>
        <v>98886.086398200612</v>
      </c>
      <c r="L41" s="564">
        <f t="shared" si="12"/>
        <v>154003.25437278819</v>
      </c>
    </row>
    <row r="42" spans="1:13">
      <c r="A42" s="550" t="s">
        <v>17</v>
      </c>
      <c r="B42" s="558">
        <v>356</v>
      </c>
      <c r="C42" s="551" t="s">
        <v>2447</v>
      </c>
      <c r="D42" s="43"/>
      <c r="E42" s="39">
        <v>496488.99</v>
      </c>
      <c r="F42" s="43"/>
      <c r="G42" s="39">
        <v>42250.180000000102</v>
      </c>
      <c r="H42" s="564">
        <f t="shared" si="13"/>
        <v>538739.17000000004</v>
      </c>
      <c r="J42" s="564">
        <f t="shared" si="10"/>
        <v>255380.68529172623</v>
      </c>
      <c r="K42" s="564">
        <f t="shared" si="11"/>
        <v>32600.843852989503</v>
      </c>
      <c r="L42" s="564">
        <f t="shared" si="12"/>
        <v>287981.52914471575</v>
      </c>
    </row>
    <row r="43" spans="1:13">
      <c r="A43" s="550" t="s">
        <v>17</v>
      </c>
      <c r="B43" s="558">
        <v>357</v>
      </c>
      <c r="C43" s="551" t="s">
        <v>1667</v>
      </c>
      <c r="D43" s="43"/>
      <c r="E43" s="39">
        <v>130.58000000000001</v>
      </c>
      <c r="F43" s="43"/>
      <c r="G43" s="39">
        <v>248.16</v>
      </c>
      <c r="H43" s="564">
        <f t="shared" si="13"/>
        <v>378.74</v>
      </c>
      <c r="J43" s="564">
        <f t="shared" si="10"/>
        <v>67.166866853167505</v>
      </c>
      <c r="K43" s="564">
        <f t="shared" si="11"/>
        <v>191.483809312951</v>
      </c>
      <c r="L43" s="564">
        <f t="shared" si="12"/>
        <v>258.6506761661185</v>
      </c>
    </row>
    <row r="44" spans="1:13">
      <c r="A44" s="550" t="s">
        <v>17</v>
      </c>
      <c r="B44" s="558">
        <v>358</v>
      </c>
      <c r="C44" s="563" t="s">
        <v>2448</v>
      </c>
      <c r="D44" s="43"/>
      <c r="E44" s="39">
        <v>1049.8700000000001</v>
      </c>
      <c r="F44" s="43"/>
      <c r="G44" s="39">
        <v>249.48999999999998</v>
      </c>
      <c r="H44" s="564">
        <f t="shared" si="13"/>
        <v>1299.3600000000001</v>
      </c>
      <c r="J44" s="564">
        <f t="shared" si="10"/>
        <v>540.0251072379765</v>
      </c>
      <c r="K44" s="564">
        <f t="shared" si="11"/>
        <v>192.51005635673815</v>
      </c>
      <c r="L44" s="564">
        <f t="shared" si="12"/>
        <v>732.53516359471462</v>
      </c>
    </row>
    <row r="45" spans="1:13" ht="13.5" thickBot="1">
      <c r="A45" s="550"/>
      <c r="B45" s="558"/>
      <c r="C45" s="563"/>
      <c r="D45" s="559"/>
      <c r="E45" s="560">
        <f>SUM(E37:E44)</f>
        <v>1317205.2200000002</v>
      </c>
      <c r="F45" s="559"/>
      <c r="G45" s="560">
        <f>SUM(G37:G44)</f>
        <v>312671.92000000004</v>
      </c>
      <c r="H45" s="560">
        <f>SUM(H37:H44)</f>
        <v>1629877.1400000001</v>
      </c>
      <c r="J45" s="708">
        <f>'JURISSEP F'!G131</f>
        <v>677535.20929726772</v>
      </c>
      <c r="K45" s="708">
        <f>'JURISSEP F'!G132</f>
        <v>241262.13050771385</v>
      </c>
      <c r="L45" s="560">
        <f>SUM(L37:L44)</f>
        <v>918797.3398049816</v>
      </c>
      <c r="M45" s="39">
        <f>H45-L45</f>
        <v>711079.80019501853</v>
      </c>
    </row>
    <row r="46" spans="1:13" ht="13.5" thickTop="1">
      <c r="A46" s="550"/>
      <c r="B46" s="558"/>
      <c r="C46" s="551"/>
      <c r="D46" s="43"/>
      <c r="E46" s="709"/>
      <c r="F46" s="565"/>
      <c r="G46" s="709"/>
      <c r="I46" s="561" t="s">
        <v>2442</v>
      </c>
      <c r="J46" s="39">
        <f>E45</f>
        <v>1317205.2200000002</v>
      </c>
      <c r="K46" s="39">
        <f>G45</f>
        <v>312671.92000000004</v>
      </c>
    </row>
    <row r="47" spans="1:13">
      <c r="A47" s="550"/>
      <c r="B47" s="558"/>
      <c r="C47" s="551"/>
      <c r="D47" s="43"/>
      <c r="F47" s="43"/>
    </row>
    <row r="48" spans="1:13">
      <c r="A48" s="562" t="s">
        <v>84</v>
      </c>
      <c r="B48" s="5"/>
      <c r="C48" s="551"/>
      <c r="D48" s="43"/>
      <c r="F48" s="43"/>
    </row>
    <row r="49" spans="1:8">
      <c r="A49" s="566" t="s">
        <v>2436</v>
      </c>
      <c r="B49" s="567" t="s">
        <v>2437</v>
      </c>
      <c r="C49" s="566" t="s">
        <v>2167</v>
      </c>
      <c r="D49" s="555"/>
      <c r="E49" s="556" t="s">
        <v>2438</v>
      </c>
      <c r="F49" s="555"/>
      <c r="G49" s="557" t="s">
        <v>2439</v>
      </c>
      <c r="H49" s="557" t="s">
        <v>2013</v>
      </c>
    </row>
    <row r="50" spans="1:8">
      <c r="A50" s="550" t="s">
        <v>101</v>
      </c>
      <c r="B50" s="558">
        <v>352</v>
      </c>
      <c r="C50" s="551" t="s">
        <v>148</v>
      </c>
      <c r="D50" s="43"/>
      <c r="E50" s="39">
        <v>0</v>
      </c>
      <c r="F50" s="43"/>
      <c r="G50" s="39">
        <v>0</v>
      </c>
      <c r="H50" s="564">
        <f>SUM(D50:G50)</f>
        <v>0</v>
      </c>
    </row>
    <row r="51" spans="1:8">
      <c r="A51" s="550" t="s">
        <v>101</v>
      </c>
      <c r="B51" s="558">
        <v>353</v>
      </c>
      <c r="C51" s="551" t="s">
        <v>1674</v>
      </c>
      <c r="D51" s="43"/>
      <c r="E51" s="39">
        <v>0</v>
      </c>
      <c r="F51" s="43"/>
      <c r="G51" s="39">
        <v>0</v>
      </c>
      <c r="H51" s="564">
        <f>SUM(D51:G51)</f>
        <v>0</v>
      </c>
    </row>
    <row r="52" spans="1:8">
      <c r="A52" s="550" t="s">
        <v>101</v>
      </c>
      <c r="B52" s="558">
        <v>355</v>
      </c>
      <c r="C52" s="551" t="s">
        <v>1663</v>
      </c>
      <c r="D52" s="43"/>
      <c r="E52" s="39">
        <v>0</v>
      </c>
      <c r="F52" s="43"/>
      <c r="G52" s="39">
        <v>0</v>
      </c>
      <c r="H52" s="564">
        <f>SUM(D52:G52)</f>
        <v>0</v>
      </c>
    </row>
    <row r="53" spans="1:8">
      <c r="A53" s="550" t="s">
        <v>101</v>
      </c>
      <c r="B53" s="558">
        <v>356</v>
      </c>
      <c r="C53" s="551" t="s">
        <v>2447</v>
      </c>
      <c r="D53" s="43"/>
      <c r="E53" s="39">
        <v>0</v>
      </c>
      <c r="F53" s="43"/>
      <c r="G53" s="39">
        <v>0</v>
      </c>
      <c r="H53" s="564">
        <f>SUM(D53:G53)</f>
        <v>0</v>
      </c>
    </row>
    <row r="54" spans="1:8" ht="13.5" thickBot="1">
      <c r="A54" s="550"/>
      <c r="B54" s="5"/>
      <c r="C54" s="551"/>
      <c r="D54" s="559"/>
      <c r="E54" s="560">
        <f>SUM(E50:E53)</f>
        <v>0</v>
      </c>
      <c r="F54" s="559"/>
      <c r="G54" s="560">
        <f>SUM(G50:G53)</f>
        <v>0</v>
      </c>
      <c r="H54" s="560">
        <f>SUM(H50:H53)</f>
        <v>0</v>
      </c>
    </row>
    <row r="55" spans="1:8" ht="13.5" thickTop="1">
      <c r="A55" s="550"/>
      <c r="B55" s="5"/>
      <c r="C55" s="551"/>
      <c r="D55" s="43"/>
      <c r="E55" s="709"/>
      <c r="F55" s="565"/>
      <c r="G55" s="709"/>
    </row>
    <row r="56" spans="1:8">
      <c r="A56" s="550"/>
      <c r="B56" s="5"/>
      <c r="C56" s="551"/>
      <c r="D56" s="43"/>
      <c r="E56" s="710"/>
      <c r="F56" s="568"/>
      <c r="G56" s="710"/>
    </row>
    <row r="57" spans="1:8" ht="13.5" thickBot="1">
      <c r="A57" s="550"/>
      <c r="B57" s="5"/>
      <c r="C57" s="569" t="s">
        <v>233</v>
      </c>
      <c r="D57" s="559"/>
      <c r="E57" s="560">
        <f>SUM(E54,E45,E32,E21,E11)</f>
        <v>9087628.5099999998</v>
      </c>
      <c r="F57" s="559"/>
      <c r="G57" s="560">
        <f>SUM(G54,G45,G32,G21,G11)</f>
        <v>7312480.1900000013</v>
      </c>
      <c r="H57" s="560">
        <f>SUM(H54,H45,H32,H21,H11)</f>
        <v>16400108.699999999</v>
      </c>
    </row>
    <row r="58" spans="1:8" ht="13.5" thickTop="1">
      <c r="D58" s="43"/>
      <c r="F58" s="43"/>
    </row>
  </sheetData>
  <mergeCells count="2">
    <mergeCell ref="A1:G1"/>
    <mergeCell ref="A2:G2"/>
  </mergeCells>
  <printOptions horizontalCentered="1"/>
  <pageMargins left="0.75" right="0.25" top="0.75" bottom="0.75" header="0.5" footer="0.5"/>
  <pageSetup scale="1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N35"/>
  <sheetViews>
    <sheetView zoomScaleNormal="100" workbookViewId="0">
      <pane xSplit="10" ySplit="7" topLeftCell="W8" activePane="bottomRight" state="frozen"/>
      <selection pane="topRight" activeCell="K1" sqref="K1"/>
      <selection pane="bottomLeft" activeCell="A8" sqref="A8"/>
      <selection pane="bottomRight" activeCell="W8" sqref="W8"/>
    </sheetView>
  </sheetViews>
  <sheetFormatPr defaultColWidth="8.875" defaultRowHeight="15" outlineLevelCol="1"/>
  <cols>
    <col min="1" max="1" width="34" style="517" bestFit="1" customWidth="1"/>
    <col min="2" max="2" width="10.75" style="517" customWidth="1"/>
    <col min="3" max="3" width="1.375" style="517" customWidth="1"/>
    <col min="4" max="4" width="10.875" style="517" bestFit="1" customWidth="1"/>
    <col min="5" max="7" width="14.5" style="517" customWidth="1"/>
    <col min="8" max="8" width="19.375" style="517" customWidth="1"/>
    <col min="9" max="9" width="1.375" style="517" customWidth="1"/>
    <col min="10" max="10" width="28.875" style="517" bestFit="1" customWidth="1"/>
    <col min="11" max="22" width="10.75" style="517" hidden="1" customWidth="1" outlineLevel="1"/>
    <col min="23" max="23" width="10.75" style="517" customWidth="1" collapsed="1"/>
    <col min="24" max="38" width="10.75" style="517" hidden="1" customWidth="1" outlineLevel="1"/>
    <col min="39" max="39" width="10.75" style="517" customWidth="1" collapsed="1"/>
    <col min="40" max="40" width="10" style="517" customWidth="1"/>
    <col min="41" max="16384" width="8.875" style="517"/>
  </cols>
  <sheetData>
    <row r="1" spans="1:40">
      <c r="A1" s="517" t="s">
        <v>2054</v>
      </c>
      <c r="E1" s="518" t="s">
        <v>2058</v>
      </c>
      <c r="J1" s="519" t="s">
        <v>142</v>
      </c>
    </row>
    <row r="2" spans="1:40">
      <c r="A2" s="519" t="s">
        <v>142</v>
      </c>
      <c r="B2" s="520" t="s">
        <v>2055</v>
      </c>
      <c r="D2" s="518"/>
      <c r="E2" s="521" t="s">
        <v>2056</v>
      </c>
      <c r="F2" s="521" t="s">
        <v>2057</v>
      </c>
      <c r="G2" s="517" t="s">
        <v>2421</v>
      </c>
      <c r="H2" s="518"/>
      <c r="I2" s="518"/>
      <c r="J2" s="518"/>
    </row>
    <row r="3" spans="1:40">
      <c r="A3" s="522" t="s">
        <v>1717</v>
      </c>
      <c r="B3" s="523"/>
      <c r="D3" s="518"/>
      <c r="E3" s="518"/>
      <c r="F3" s="518"/>
      <c r="G3" s="524">
        <v>41882</v>
      </c>
      <c r="H3" s="518"/>
      <c r="I3" s="518"/>
      <c r="J3" s="525" t="s">
        <v>2068</v>
      </c>
    </row>
    <row r="4" spans="1:40">
      <c r="A4" s="288" t="s">
        <v>1723</v>
      </c>
      <c r="B4" s="526">
        <v>10406297.27</v>
      </c>
      <c r="D4" s="518">
        <v>2009</v>
      </c>
      <c r="E4" s="402">
        <f>SUM(B4,B6,B7,B11)</f>
        <v>189011612.11999899</v>
      </c>
      <c r="F4" s="402">
        <v>180102328</v>
      </c>
      <c r="G4" s="403">
        <f>E4-F4</f>
        <v>8909284.1199989915</v>
      </c>
      <c r="H4" s="527"/>
      <c r="I4" s="518"/>
      <c r="J4" s="527" t="s">
        <v>2422</v>
      </c>
    </row>
    <row r="5" spans="1:40">
      <c r="A5" s="288" t="s">
        <v>1724</v>
      </c>
      <c r="B5" s="526">
        <v>846666.62</v>
      </c>
      <c r="D5" s="518">
        <v>2011</v>
      </c>
      <c r="E5" s="402">
        <f>SUM(B5,B8,B10)</f>
        <v>166282247.66000003</v>
      </c>
      <c r="F5" s="402">
        <v>166282247.66</v>
      </c>
      <c r="G5" s="403">
        <f>E5-F5</f>
        <v>0</v>
      </c>
      <c r="H5" s="518"/>
      <c r="I5" s="518"/>
      <c r="J5" s="519" t="s">
        <v>2423</v>
      </c>
      <c r="Q5" s="521"/>
    </row>
    <row r="6" spans="1:40">
      <c r="A6" s="288" t="s">
        <v>1726</v>
      </c>
      <c r="B6" s="526">
        <v>2584305.42</v>
      </c>
      <c r="D6" s="518"/>
      <c r="E6" s="405">
        <f>SUM(E4:E5)</f>
        <v>355293859.77999902</v>
      </c>
      <c r="F6" s="405">
        <f t="shared" ref="F6:G6" si="0">SUM(F4:F5)</f>
        <v>346384575.65999997</v>
      </c>
      <c r="G6" s="406">
        <f t="shared" si="0"/>
        <v>8909284.1199989915</v>
      </c>
      <c r="H6" s="528"/>
      <c r="I6" s="518"/>
      <c r="K6" s="529">
        <v>43890</v>
      </c>
      <c r="L6" s="529">
        <f t="shared" ref="L6:AM6" si="1">EOMONTH(K6,1)</f>
        <v>43921</v>
      </c>
      <c r="M6" s="529">
        <f t="shared" si="1"/>
        <v>43951</v>
      </c>
      <c r="N6" s="529">
        <f t="shared" si="1"/>
        <v>43982</v>
      </c>
      <c r="O6" s="529">
        <f t="shared" si="1"/>
        <v>44012</v>
      </c>
      <c r="P6" s="529">
        <f t="shared" si="1"/>
        <v>44043</v>
      </c>
      <c r="Q6" s="529">
        <f t="shared" si="1"/>
        <v>44074</v>
      </c>
      <c r="R6" s="529">
        <f t="shared" si="1"/>
        <v>44104</v>
      </c>
      <c r="S6" s="529">
        <f t="shared" si="1"/>
        <v>44135</v>
      </c>
      <c r="T6" s="529">
        <f t="shared" si="1"/>
        <v>44165</v>
      </c>
      <c r="U6" s="529">
        <f t="shared" si="1"/>
        <v>44196</v>
      </c>
      <c r="V6" s="529">
        <f t="shared" si="1"/>
        <v>44227</v>
      </c>
      <c r="W6" s="529">
        <f t="shared" si="1"/>
        <v>44255</v>
      </c>
      <c r="X6" s="529">
        <f t="shared" si="1"/>
        <v>44286</v>
      </c>
      <c r="Y6" s="529">
        <f t="shared" si="1"/>
        <v>44316</v>
      </c>
      <c r="Z6" s="529">
        <f t="shared" si="1"/>
        <v>44347</v>
      </c>
      <c r="AA6" s="529">
        <f t="shared" si="1"/>
        <v>44377</v>
      </c>
      <c r="AB6" s="529">
        <f t="shared" si="1"/>
        <v>44408</v>
      </c>
      <c r="AC6" s="529">
        <f t="shared" si="1"/>
        <v>44439</v>
      </c>
      <c r="AD6" s="529">
        <f t="shared" si="1"/>
        <v>44469</v>
      </c>
      <c r="AE6" s="529">
        <f t="shared" si="1"/>
        <v>44500</v>
      </c>
      <c r="AF6" s="529">
        <f t="shared" si="1"/>
        <v>44530</v>
      </c>
      <c r="AG6" s="529">
        <f t="shared" si="1"/>
        <v>44561</v>
      </c>
      <c r="AH6" s="529">
        <f t="shared" si="1"/>
        <v>44592</v>
      </c>
      <c r="AI6" s="529">
        <f t="shared" si="1"/>
        <v>44620</v>
      </c>
      <c r="AJ6" s="529">
        <f t="shared" si="1"/>
        <v>44651</v>
      </c>
      <c r="AK6" s="529">
        <f t="shared" si="1"/>
        <v>44681</v>
      </c>
      <c r="AL6" s="529">
        <f t="shared" si="1"/>
        <v>44712</v>
      </c>
      <c r="AM6" s="529">
        <f t="shared" si="1"/>
        <v>44742</v>
      </c>
      <c r="AN6" s="410" t="s">
        <v>2000</v>
      </c>
    </row>
    <row r="7" spans="1:40">
      <c r="A7" s="288" t="s">
        <v>1729</v>
      </c>
      <c r="B7" s="526">
        <v>175986872.06999898</v>
      </c>
      <c r="D7" s="530" t="s">
        <v>2059</v>
      </c>
      <c r="E7" s="404"/>
      <c r="F7" s="404"/>
      <c r="G7" s="404"/>
      <c r="H7" s="528"/>
      <c r="I7" s="518"/>
      <c r="J7" s="518"/>
      <c r="K7" s="521" t="s">
        <v>2069</v>
      </c>
      <c r="L7" s="521" t="s">
        <v>2069</v>
      </c>
      <c r="M7" s="521" t="s">
        <v>2069</v>
      </c>
      <c r="N7" s="521" t="s">
        <v>2069</v>
      </c>
      <c r="O7" s="521" t="s">
        <v>2069</v>
      </c>
      <c r="P7" s="521" t="s">
        <v>2069</v>
      </c>
      <c r="Q7" s="521" t="s">
        <v>2069</v>
      </c>
    </row>
    <row r="8" spans="1:40">
      <c r="A8" s="288" t="s">
        <v>1730</v>
      </c>
      <c r="B8" s="526">
        <v>163180101.67000002</v>
      </c>
      <c r="D8" s="518" t="s">
        <v>2070</v>
      </c>
      <c r="E8" s="403">
        <f>95757252.91</f>
        <v>95757252.909999996</v>
      </c>
      <c r="F8" s="403">
        <v>94427917</v>
      </c>
      <c r="G8" s="403">
        <f>E8-F8</f>
        <v>1329335.9099999964</v>
      </c>
      <c r="H8" s="403" t="s">
        <v>2060</v>
      </c>
      <c r="I8" s="518"/>
      <c r="J8" s="403" t="s">
        <v>2422</v>
      </c>
      <c r="K8" s="531">
        <v>2935.6168012499916</v>
      </c>
      <c r="L8" s="531">
        <f>$G8*L21/12</f>
        <v>5749.3778107499847</v>
      </c>
      <c r="M8" s="531">
        <f t="shared" ref="M8:AM8" si="2">$G8*M21/12</f>
        <v>5749.3778107499847</v>
      </c>
      <c r="N8" s="531">
        <f t="shared" si="2"/>
        <v>5749.3778107499847</v>
      </c>
      <c r="O8" s="531">
        <f t="shared" si="2"/>
        <v>5749.3778107499847</v>
      </c>
      <c r="P8" s="531">
        <f t="shared" si="2"/>
        <v>5749.3778107499847</v>
      </c>
      <c r="Q8" s="531">
        <f t="shared" si="2"/>
        <v>5749.3778107499847</v>
      </c>
      <c r="R8" s="531">
        <f t="shared" si="2"/>
        <v>5749.3778107499847</v>
      </c>
      <c r="S8" s="531">
        <f t="shared" si="2"/>
        <v>5749.3778107499847</v>
      </c>
      <c r="T8" s="531">
        <f t="shared" si="2"/>
        <v>5749.3778107499847</v>
      </c>
      <c r="U8" s="531">
        <f t="shared" si="2"/>
        <v>5749.3778107499847</v>
      </c>
      <c r="V8" s="531">
        <f t="shared" si="2"/>
        <v>5749.3778107499847</v>
      </c>
      <c r="W8" s="531">
        <f t="shared" si="2"/>
        <v>5749.3778107499847</v>
      </c>
      <c r="X8" s="531">
        <f t="shared" si="2"/>
        <v>5749.3778107499847</v>
      </c>
      <c r="Y8" s="531">
        <f t="shared" si="2"/>
        <v>5749.3778107499847</v>
      </c>
      <c r="Z8" s="531">
        <f t="shared" si="2"/>
        <v>5749.3778107499847</v>
      </c>
      <c r="AA8" s="531">
        <f t="shared" si="2"/>
        <v>5749.3778107499847</v>
      </c>
      <c r="AB8" s="531">
        <f t="shared" si="2"/>
        <v>0</v>
      </c>
      <c r="AC8" s="531">
        <f t="shared" si="2"/>
        <v>0</v>
      </c>
      <c r="AD8" s="531">
        <f t="shared" si="2"/>
        <v>0</v>
      </c>
      <c r="AE8" s="531">
        <f t="shared" si="2"/>
        <v>0</v>
      </c>
      <c r="AF8" s="531">
        <f t="shared" si="2"/>
        <v>0</v>
      </c>
      <c r="AG8" s="531">
        <f t="shared" si="2"/>
        <v>0</v>
      </c>
      <c r="AH8" s="531">
        <f t="shared" si="2"/>
        <v>0</v>
      </c>
      <c r="AI8" s="531">
        <f t="shared" si="2"/>
        <v>0</v>
      </c>
      <c r="AJ8" s="531">
        <f t="shared" si="2"/>
        <v>0</v>
      </c>
      <c r="AK8" s="531">
        <f t="shared" si="2"/>
        <v>0</v>
      </c>
      <c r="AL8" s="531">
        <f t="shared" si="2"/>
        <v>0</v>
      </c>
      <c r="AM8" s="531">
        <f t="shared" si="2"/>
        <v>0</v>
      </c>
    </row>
    <row r="9" spans="1:40">
      <c r="A9" s="288" t="s">
        <v>1731</v>
      </c>
      <c r="B9" s="526"/>
      <c r="D9" s="518" t="s">
        <v>2071</v>
      </c>
      <c r="E9" s="403">
        <v>16710059.9</v>
      </c>
      <c r="F9" s="403">
        <v>16622587</v>
      </c>
      <c r="G9" s="403">
        <f t="shared" ref="G9:G12" si="3">E9-F9</f>
        <v>87472.900000000373</v>
      </c>
      <c r="H9" s="403" t="s">
        <v>2061</v>
      </c>
      <c r="I9" s="518"/>
      <c r="J9" s="403" t="s">
        <v>2422</v>
      </c>
      <c r="K9" s="531">
        <v>193.16932083333415</v>
      </c>
      <c r="L9" s="531">
        <f t="shared" ref="L9:AM12" si="4">$G9*L22/12</f>
        <v>378.32029250000164</v>
      </c>
      <c r="M9" s="531">
        <f t="shared" si="4"/>
        <v>378.32029250000164</v>
      </c>
      <c r="N9" s="531">
        <f t="shared" si="4"/>
        <v>378.32029250000164</v>
      </c>
      <c r="O9" s="531">
        <f t="shared" si="4"/>
        <v>378.32029250000164</v>
      </c>
      <c r="P9" s="531">
        <f t="shared" si="4"/>
        <v>378.32029250000164</v>
      </c>
      <c r="Q9" s="531">
        <f t="shared" si="4"/>
        <v>378.32029250000164</v>
      </c>
      <c r="R9" s="531">
        <f t="shared" si="4"/>
        <v>378.32029250000164</v>
      </c>
      <c r="S9" s="531">
        <f t="shared" si="4"/>
        <v>378.32029250000164</v>
      </c>
      <c r="T9" s="531">
        <f t="shared" si="4"/>
        <v>378.32029250000164</v>
      </c>
      <c r="U9" s="531">
        <f t="shared" si="4"/>
        <v>378.32029250000164</v>
      </c>
      <c r="V9" s="531">
        <f t="shared" si="4"/>
        <v>378.32029250000164</v>
      </c>
      <c r="W9" s="531">
        <f t="shared" si="4"/>
        <v>378.32029250000164</v>
      </c>
      <c r="X9" s="531">
        <f t="shared" si="4"/>
        <v>378.32029250000164</v>
      </c>
      <c r="Y9" s="531">
        <f t="shared" si="4"/>
        <v>378.32029250000164</v>
      </c>
      <c r="Z9" s="531">
        <f t="shared" si="4"/>
        <v>378.32029250000164</v>
      </c>
      <c r="AA9" s="531">
        <f t="shared" si="4"/>
        <v>378.32029250000164</v>
      </c>
      <c r="AB9" s="531">
        <f t="shared" si="4"/>
        <v>0</v>
      </c>
      <c r="AC9" s="531">
        <f t="shared" si="4"/>
        <v>0</v>
      </c>
      <c r="AD9" s="531">
        <f t="shared" si="4"/>
        <v>0</v>
      </c>
      <c r="AE9" s="531">
        <f t="shared" si="4"/>
        <v>0</v>
      </c>
      <c r="AF9" s="531">
        <f t="shared" si="4"/>
        <v>0</v>
      </c>
      <c r="AG9" s="531">
        <f t="shared" si="4"/>
        <v>0</v>
      </c>
      <c r="AH9" s="531">
        <f t="shared" si="4"/>
        <v>0</v>
      </c>
      <c r="AI9" s="531">
        <f t="shared" si="4"/>
        <v>0</v>
      </c>
      <c r="AJ9" s="531">
        <f t="shared" si="4"/>
        <v>0</v>
      </c>
      <c r="AK9" s="531">
        <f t="shared" si="4"/>
        <v>0</v>
      </c>
      <c r="AL9" s="531">
        <f t="shared" si="4"/>
        <v>0</v>
      </c>
      <c r="AM9" s="531">
        <f t="shared" si="4"/>
        <v>0</v>
      </c>
    </row>
    <row r="10" spans="1:40">
      <c r="A10" s="288" t="s">
        <v>1734</v>
      </c>
      <c r="B10" s="526">
        <v>2255479.37</v>
      </c>
      <c r="D10" s="518" t="s">
        <v>2062</v>
      </c>
      <c r="E10" s="403">
        <f>58863047.67+34137.36</f>
        <v>58897185.030000001</v>
      </c>
      <c r="F10" s="403">
        <v>55740733</v>
      </c>
      <c r="G10" s="403">
        <f t="shared" si="3"/>
        <v>3156452.0300000012</v>
      </c>
      <c r="H10" s="403" t="s">
        <v>2063</v>
      </c>
      <c r="I10" s="518"/>
      <c r="J10" s="403" t="s">
        <v>2422</v>
      </c>
      <c r="K10" s="531">
        <v>6838.9793983333357</v>
      </c>
      <c r="L10" s="531">
        <f t="shared" si="4"/>
        <v>11442.138608750005</v>
      </c>
      <c r="M10" s="531">
        <f t="shared" si="4"/>
        <v>11442.138608750005</v>
      </c>
      <c r="N10" s="531">
        <f t="shared" si="4"/>
        <v>11442.138608750005</v>
      </c>
      <c r="O10" s="531">
        <f t="shared" si="4"/>
        <v>11442.138608750005</v>
      </c>
      <c r="P10" s="531">
        <f t="shared" si="4"/>
        <v>11442.138608750005</v>
      </c>
      <c r="Q10" s="531">
        <f t="shared" si="4"/>
        <v>11442.138608750005</v>
      </c>
      <c r="R10" s="531">
        <f t="shared" si="4"/>
        <v>11442.138608750005</v>
      </c>
      <c r="S10" s="531">
        <f t="shared" si="4"/>
        <v>11442.138608750005</v>
      </c>
      <c r="T10" s="531">
        <f t="shared" si="4"/>
        <v>11442.138608750005</v>
      </c>
      <c r="U10" s="531">
        <f t="shared" si="4"/>
        <v>11442.138608750005</v>
      </c>
      <c r="V10" s="531">
        <f t="shared" si="4"/>
        <v>11442.138608750005</v>
      </c>
      <c r="W10" s="531">
        <f t="shared" si="4"/>
        <v>11442.138608750005</v>
      </c>
      <c r="X10" s="531">
        <f t="shared" si="4"/>
        <v>11442.138608750005</v>
      </c>
      <c r="Y10" s="531">
        <f t="shared" si="4"/>
        <v>11442.138608750005</v>
      </c>
      <c r="Z10" s="531">
        <f t="shared" si="4"/>
        <v>11442.138608750005</v>
      </c>
      <c r="AA10" s="531">
        <f t="shared" si="4"/>
        <v>11442.138608750005</v>
      </c>
      <c r="AB10" s="531">
        <f t="shared" si="4"/>
        <v>0</v>
      </c>
      <c r="AC10" s="531">
        <f t="shared" si="4"/>
        <v>0</v>
      </c>
      <c r="AD10" s="531">
        <f t="shared" si="4"/>
        <v>0</v>
      </c>
      <c r="AE10" s="531">
        <f t="shared" si="4"/>
        <v>0</v>
      </c>
      <c r="AF10" s="531">
        <f t="shared" si="4"/>
        <v>0</v>
      </c>
      <c r="AG10" s="531">
        <f t="shared" si="4"/>
        <v>0</v>
      </c>
      <c r="AH10" s="531">
        <f t="shared" si="4"/>
        <v>0</v>
      </c>
      <c r="AI10" s="531">
        <f t="shared" si="4"/>
        <v>0</v>
      </c>
      <c r="AJ10" s="531">
        <f t="shared" si="4"/>
        <v>0</v>
      </c>
      <c r="AK10" s="531">
        <f t="shared" si="4"/>
        <v>0</v>
      </c>
      <c r="AL10" s="531">
        <f t="shared" si="4"/>
        <v>0</v>
      </c>
      <c r="AM10" s="531">
        <f t="shared" si="4"/>
        <v>0</v>
      </c>
    </row>
    <row r="11" spans="1:40">
      <c r="A11" s="288" t="s">
        <v>1812</v>
      </c>
      <c r="B11" s="526">
        <v>34137.360000000001</v>
      </c>
      <c r="D11" s="518" t="s">
        <v>2064</v>
      </c>
      <c r="E11" s="403">
        <v>13367694.26</v>
      </c>
      <c r="F11" s="403">
        <v>9031671</v>
      </c>
      <c r="G11" s="403">
        <f t="shared" si="3"/>
        <v>4336023.26</v>
      </c>
      <c r="H11" s="403" t="s">
        <v>2065</v>
      </c>
      <c r="I11" s="518"/>
      <c r="J11" s="403" t="s">
        <v>2422</v>
      </c>
      <c r="K11" s="531">
        <v>8563.6459384999998</v>
      </c>
      <c r="L11" s="531">
        <f t="shared" si="4"/>
        <v>7840.9753951666653</v>
      </c>
      <c r="M11" s="531">
        <f t="shared" si="4"/>
        <v>7840.9753951666653</v>
      </c>
      <c r="N11" s="531">
        <f t="shared" si="4"/>
        <v>7840.9753951666653</v>
      </c>
      <c r="O11" s="531">
        <f t="shared" si="4"/>
        <v>7840.9753951666653</v>
      </c>
      <c r="P11" s="531">
        <f t="shared" si="4"/>
        <v>7840.9753951666653</v>
      </c>
      <c r="Q11" s="531">
        <f t="shared" si="4"/>
        <v>7840.9753951666653</v>
      </c>
      <c r="R11" s="531">
        <f t="shared" si="4"/>
        <v>7840.9753951666653</v>
      </c>
      <c r="S11" s="531">
        <f t="shared" si="4"/>
        <v>7840.9753951666653</v>
      </c>
      <c r="T11" s="531">
        <f t="shared" si="4"/>
        <v>7840.9753951666653</v>
      </c>
      <c r="U11" s="531">
        <f t="shared" si="4"/>
        <v>7840.9753951666653</v>
      </c>
      <c r="V11" s="531">
        <f t="shared" si="4"/>
        <v>7840.9753951666653</v>
      </c>
      <c r="W11" s="531">
        <f t="shared" si="4"/>
        <v>7840.9753951666653</v>
      </c>
      <c r="X11" s="531">
        <f t="shared" si="4"/>
        <v>7840.9753951666653</v>
      </c>
      <c r="Y11" s="531">
        <f t="shared" si="4"/>
        <v>7840.9753951666653</v>
      </c>
      <c r="Z11" s="531">
        <f t="shared" si="4"/>
        <v>7840.9753951666653</v>
      </c>
      <c r="AA11" s="531">
        <f t="shared" si="4"/>
        <v>7840.9753951666653</v>
      </c>
      <c r="AB11" s="531">
        <f t="shared" si="4"/>
        <v>0</v>
      </c>
      <c r="AC11" s="531">
        <f t="shared" si="4"/>
        <v>0</v>
      </c>
      <c r="AD11" s="531">
        <f t="shared" si="4"/>
        <v>0</v>
      </c>
      <c r="AE11" s="531">
        <f t="shared" si="4"/>
        <v>0</v>
      </c>
      <c r="AF11" s="531">
        <f t="shared" si="4"/>
        <v>0</v>
      </c>
      <c r="AG11" s="531">
        <f t="shared" si="4"/>
        <v>0</v>
      </c>
      <c r="AH11" s="531">
        <f t="shared" si="4"/>
        <v>0</v>
      </c>
      <c r="AI11" s="531">
        <f t="shared" si="4"/>
        <v>0</v>
      </c>
      <c r="AJ11" s="531">
        <f t="shared" si="4"/>
        <v>0</v>
      </c>
      <c r="AK11" s="531">
        <f t="shared" si="4"/>
        <v>0</v>
      </c>
      <c r="AL11" s="531">
        <f t="shared" si="4"/>
        <v>0</v>
      </c>
      <c r="AM11" s="531">
        <f t="shared" si="4"/>
        <v>0</v>
      </c>
    </row>
    <row r="12" spans="1:40">
      <c r="B12" s="532">
        <f>SUM(B4:B11)</f>
        <v>355293859.77999902</v>
      </c>
      <c r="D12" s="518" t="s">
        <v>2072</v>
      </c>
      <c r="E12" s="403">
        <v>4279420.0199999996</v>
      </c>
      <c r="F12" s="403">
        <v>4279420</v>
      </c>
      <c r="G12" s="403">
        <f t="shared" si="3"/>
        <v>1.9999999552965164E-2</v>
      </c>
      <c r="H12" s="403" t="s">
        <v>2066</v>
      </c>
      <c r="I12" s="518"/>
      <c r="J12" s="403" t="s">
        <v>2422</v>
      </c>
      <c r="K12" s="531">
        <v>3.9499999117106196E-5</v>
      </c>
      <c r="L12" s="531">
        <f t="shared" si="4"/>
        <v>3.616666585827867E-5</v>
      </c>
      <c r="M12" s="531">
        <f t="shared" si="4"/>
        <v>3.616666585827867E-5</v>
      </c>
      <c r="N12" s="531">
        <f t="shared" si="4"/>
        <v>3.616666585827867E-5</v>
      </c>
      <c r="O12" s="531">
        <f t="shared" si="4"/>
        <v>3.616666585827867E-5</v>
      </c>
      <c r="P12" s="531">
        <f t="shared" si="4"/>
        <v>3.616666585827867E-5</v>
      </c>
      <c r="Q12" s="531">
        <f t="shared" si="4"/>
        <v>3.616666585827867E-5</v>
      </c>
      <c r="R12" s="531">
        <f t="shared" si="4"/>
        <v>3.616666585827867E-5</v>
      </c>
      <c r="S12" s="531">
        <f t="shared" si="4"/>
        <v>3.616666585827867E-5</v>
      </c>
      <c r="T12" s="531">
        <f t="shared" si="4"/>
        <v>3.616666585827867E-5</v>
      </c>
      <c r="U12" s="531">
        <f t="shared" si="4"/>
        <v>3.616666585827867E-5</v>
      </c>
      <c r="V12" s="531">
        <f t="shared" si="4"/>
        <v>3.616666585827867E-5</v>
      </c>
      <c r="W12" s="531">
        <f t="shared" si="4"/>
        <v>3.616666585827867E-5</v>
      </c>
      <c r="X12" s="531">
        <f t="shared" si="4"/>
        <v>3.616666585827867E-5</v>
      </c>
      <c r="Y12" s="531">
        <f t="shared" si="4"/>
        <v>3.616666585827867E-5</v>
      </c>
      <c r="Z12" s="531">
        <f t="shared" si="4"/>
        <v>3.616666585827867E-5</v>
      </c>
      <c r="AA12" s="531">
        <f t="shared" si="4"/>
        <v>3.616666585827867E-5</v>
      </c>
      <c r="AB12" s="531">
        <f t="shared" si="4"/>
        <v>0</v>
      </c>
      <c r="AC12" s="531">
        <f t="shared" si="4"/>
        <v>0</v>
      </c>
      <c r="AD12" s="531">
        <f t="shared" si="4"/>
        <v>0</v>
      </c>
      <c r="AE12" s="531">
        <f t="shared" si="4"/>
        <v>0</v>
      </c>
      <c r="AF12" s="531">
        <f t="shared" si="4"/>
        <v>0</v>
      </c>
      <c r="AG12" s="531">
        <f t="shared" si="4"/>
        <v>0</v>
      </c>
      <c r="AH12" s="531">
        <f t="shared" si="4"/>
        <v>0</v>
      </c>
      <c r="AI12" s="531">
        <f t="shared" si="4"/>
        <v>0</v>
      </c>
      <c r="AJ12" s="531">
        <f t="shared" si="4"/>
        <v>0</v>
      </c>
      <c r="AK12" s="531">
        <f t="shared" si="4"/>
        <v>0</v>
      </c>
      <c r="AL12" s="531">
        <f t="shared" si="4"/>
        <v>0</v>
      </c>
      <c r="AM12" s="531">
        <f t="shared" si="4"/>
        <v>0</v>
      </c>
    </row>
    <row r="13" spans="1:40" ht="15.75" thickBot="1">
      <c r="B13" s="531"/>
      <c r="D13" s="518"/>
      <c r="E13" s="408">
        <f>SUM(E8:E12)</f>
        <v>189011612.12</v>
      </c>
      <c r="F13" s="408">
        <f>SUM(F8:F12)</f>
        <v>180102328</v>
      </c>
      <c r="G13" s="408">
        <f>SUM(G8:G12)</f>
        <v>8909284.1199999973</v>
      </c>
      <c r="H13" s="403"/>
      <c r="I13" s="518"/>
      <c r="J13" s="517" t="s">
        <v>2424</v>
      </c>
      <c r="K13" s="533">
        <f>SUM(K8:K12)</f>
        <v>18531.411498416663</v>
      </c>
      <c r="L13" s="533">
        <f t="shared" ref="L13:AM13" si="5">SUM(L8:L12)</f>
        <v>25410.812143333318</v>
      </c>
      <c r="M13" s="533">
        <f t="shared" si="5"/>
        <v>25410.812143333318</v>
      </c>
      <c r="N13" s="533">
        <f t="shared" si="5"/>
        <v>25410.812143333318</v>
      </c>
      <c r="O13" s="533">
        <f t="shared" si="5"/>
        <v>25410.812143333318</v>
      </c>
      <c r="P13" s="533">
        <f t="shared" si="5"/>
        <v>25410.812143333318</v>
      </c>
      <c r="Q13" s="533">
        <f t="shared" si="5"/>
        <v>25410.812143333318</v>
      </c>
      <c r="R13" s="533">
        <f t="shared" si="5"/>
        <v>25410.812143333318</v>
      </c>
      <c r="S13" s="533">
        <f t="shared" si="5"/>
        <v>25410.812143333318</v>
      </c>
      <c r="T13" s="533">
        <f t="shared" si="5"/>
        <v>25410.812143333318</v>
      </c>
      <c r="U13" s="533">
        <f t="shared" si="5"/>
        <v>25410.812143333318</v>
      </c>
      <c r="V13" s="533">
        <f t="shared" si="5"/>
        <v>25410.812143333318</v>
      </c>
      <c r="W13" s="533">
        <f t="shared" si="5"/>
        <v>25410.812143333318</v>
      </c>
      <c r="X13" s="533">
        <f t="shared" si="5"/>
        <v>25410.812143333318</v>
      </c>
      <c r="Y13" s="533">
        <f t="shared" si="5"/>
        <v>25410.812143333318</v>
      </c>
      <c r="Z13" s="533">
        <f t="shared" si="5"/>
        <v>25410.812143333318</v>
      </c>
      <c r="AA13" s="533">
        <f t="shared" si="5"/>
        <v>25410.812143333318</v>
      </c>
      <c r="AB13" s="533">
        <f t="shared" si="5"/>
        <v>0</v>
      </c>
      <c r="AC13" s="533">
        <f t="shared" si="5"/>
        <v>0</v>
      </c>
      <c r="AD13" s="533">
        <f t="shared" si="5"/>
        <v>0</v>
      </c>
      <c r="AE13" s="533">
        <f t="shared" si="5"/>
        <v>0</v>
      </c>
      <c r="AF13" s="533">
        <f t="shared" si="5"/>
        <v>0</v>
      </c>
      <c r="AG13" s="533">
        <f t="shared" si="5"/>
        <v>0</v>
      </c>
      <c r="AH13" s="533">
        <f t="shared" si="5"/>
        <v>0</v>
      </c>
      <c r="AI13" s="533">
        <f t="shared" si="5"/>
        <v>0</v>
      </c>
      <c r="AJ13" s="533">
        <f t="shared" si="5"/>
        <v>0</v>
      </c>
      <c r="AK13" s="533">
        <f t="shared" si="5"/>
        <v>0</v>
      </c>
      <c r="AL13" s="533">
        <f t="shared" si="5"/>
        <v>0</v>
      </c>
      <c r="AM13" s="533">
        <f t="shared" si="5"/>
        <v>0</v>
      </c>
    </row>
    <row r="14" spans="1:40" ht="15.75" thickTop="1">
      <c r="A14" s="522" t="s">
        <v>1825</v>
      </c>
      <c r="B14" s="531"/>
      <c r="D14" s="518"/>
      <c r="E14" s="404"/>
      <c r="F14" s="407"/>
      <c r="G14" s="407"/>
      <c r="H14" s="528"/>
      <c r="I14" s="518"/>
      <c r="J14" s="518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  <c r="AF14" s="531"/>
      <c r="AG14" s="531"/>
      <c r="AH14" s="531"/>
      <c r="AI14" s="531"/>
      <c r="AJ14" s="531"/>
      <c r="AK14" s="531"/>
      <c r="AL14" s="531"/>
      <c r="AM14" s="531"/>
    </row>
    <row r="15" spans="1:40">
      <c r="A15" s="288" t="s">
        <v>1726</v>
      </c>
      <c r="B15" s="531">
        <v>27267.75</v>
      </c>
      <c r="D15" s="518"/>
      <c r="E15" s="404"/>
      <c r="F15" s="407"/>
      <c r="G15" s="407"/>
      <c r="H15" s="528"/>
      <c r="I15" s="518"/>
      <c r="J15" s="518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351" t="s">
        <v>2073</v>
      </c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351" t="s">
        <v>2073</v>
      </c>
      <c r="AN15" s="351" t="s">
        <v>2073</v>
      </c>
    </row>
    <row r="16" spans="1:40">
      <c r="A16" s="288" t="s">
        <v>1729</v>
      </c>
      <c r="B16" s="531">
        <v>5566618.1600000001</v>
      </c>
      <c r="D16" s="518"/>
      <c r="E16" s="404"/>
      <c r="F16" s="407"/>
      <c r="G16" s="407"/>
      <c r="H16" s="528"/>
      <c r="I16" s="518"/>
      <c r="J16" s="534" t="s">
        <v>2425</v>
      </c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351" t="s">
        <v>2068</v>
      </c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351" t="s">
        <v>2068</v>
      </c>
      <c r="AN16" s="351" t="s">
        <v>2068</v>
      </c>
    </row>
    <row r="17" spans="1:40">
      <c r="A17" s="288" t="s">
        <v>1730</v>
      </c>
      <c r="B17" s="531">
        <v>1005645.77</v>
      </c>
      <c r="D17" s="518"/>
      <c r="E17" s="350" t="s">
        <v>2056</v>
      </c>
      <c r="F17" s="350" t="s">
        <v>2057</v>
      </c>
      <c r="G17" s="404" t="s">
        <v>2073</v>
      </c>
      <c r="H17" s="518"/>
      <c r="I17" s="518"/>
      <c r="J17" s="403" t="s">
        <v>2422</v>
      </c>
      <c r="K17" s="535">
        <v>1550830.3014905006</v>
      </c>
      <c r="L17" s="535">
        <f>K17+L13</f>
        <v>1576241.1136338338</v>
      </c>
      <c r="M17" s="535">
        <f t="shared" ref="M17:AM17" si="6">L17+M13</f>
        <v>1601651.9257771671</v>
      </c>
      <c r="N17" s="535">
        <f t="shared" si="6"/>
        <v>1627062.7379205003</v>
      </c>
      <c r="O17" s="535">
        <f t="shared" si="6"/>
        <v>1652473.5500638336</v>
      </c>
      <c r="P17" s="535">
        <f t="shared" si="6"/>
        <v>1677884.3622071669</v>
      </c>
      <c r="Q17" s="535">
        <f t="shared" si="6"/>
        <v>1703295.1743505001</v>
      </c>
      <c r="R17" s="535">
        <f t="shared" si="6"/>
        <v>1728705.9864938334</v>
      </c>
      <c r="S17" s="535">
        <f t="shared" si="6"/>
        <v>1754116.7986371666</v>
      </c>
      <c r="T17" s="535">
        <f t="shared" si="6"/>
        <v>1779527.6107804999</v>
      </c>
      <c r="U17" s="535">
        <f t="shared" si="6"/>
        <v>1804938.4229238331</v>
      </c>
      <c r="V17" s="535">
        <f t="shared" si="6"/>
        <v>1830349.2350671664</v>
      </c>
      <c r="W17" s="543">
        <f t="shared" si="6"/>
        <v>1855760.0472104996</v>
      </c>
      <c r="X17" s="535">
        <f t="shared" si="6"/>
        <v>1881170.8593538329</v>
      </c>
      <c r="Y17" s="535">
        <f t="shared" si="6"/>
        <v>1906581.6714971662</v>
      </c>
      <c r="Z17" s="535">
        <f t="shared" si="6"/>
        <v>1931992.4836404994</v>
      </c>
      <c r="AA17" s="535">
        <f t="shared" si="6"/>
        <v>1957403.2957838327</v>
      </c>
      <c r="AB17" s="535">
        <v>0</v>
      </c>
      <c r="AC17" s="535">
        <v>0</v>
      </c>
      <c r="AD17" s="535">
        <v>0</v>
      </c>
      <c r="AE17" s="535">
        <v>0</v>
      </c>
      <c r="AF17" s="535">
        <v>0</v>
      </c>
      <c r="AG17" s="535">
        <v>0</v>
      </c>
      <c r="AH17" s="535">
        <v>0</v>
      </c>
      <c r="AI17" s="535">
        <v>0</v>
      </c>
      <c r="AJ17" s="535">
        <v>0</v>
      </c>
      <c r="AK17" s="535">
        <v>0</v>
      </c>
      <c r="AL17" s="535">
        <v>0</v>
      </c>
      <c r="AM17" s="543">
        <f t="shared" si="6"/>
        <v>0</v>
      </c>
      <c r="AN17" s="546">
        <v>0</v>
      </c>
    </row>
    <row r="18" spans="1:40" ht="15.75" thickBot="1">
      <c r="A18" s="288" t="s">
        <v>1731</v>
      </c>
      <c r="B18" s="531">
        <v>0</v>
      </c>
      <c r="D18" s="518"/>
      <c r="E18" s="404"/>
      <c r="F18" s="407"/>
      <c r="G18" s="407"/>
      <c r="H18" s="528"/>
      <c r="I18" s="518"/>
      <c r="J18" s="518" t="s">
        <v>2426</v>
      </c>
      <c r="K18" s="533">
        <f>SUM(K17)</f>
        <v>1550830.3014905006</v>
      </c>
      <c r="L18" s="533">
        <f t="shared" ref="L18:AN18" si="7">SUM(L17)</f>
        <v>1576241.1136338338</v>
      </c>
      <c r="M18" s="533">
        <f t="shared" si="7"/>
        <v>1601651.9257771671</v>
      </c>
      <c r="N18" s="533">
        <f t="shared" si="7"/>
        <v>1627062.7379205003</v>
      </c>
      <c r="O18" s="533">
        <f t="shared" si="7"/>
        <v>1652473.5500638336</v>
      </c>
      <c r="P18" s="533">
        <f t="shared" si="7"/>
        <v>1677884.3622071669</v>
      </c>
      <c r="Q18" s="533">
        <f t="shared" si="7"/>
        <v>1703295.1743505001</v>
      </c>
      <c r="R18" s="533">
        <f t="shared" si="7"/>
        <v>1728705.9864938334</v>
      </c>
      <c r="S18" s="533">
        <f t="shared" si="7"/>
        <v>1754116.7986371666</v>
      </c>
      <c r="T18" s="533">
        <f t="shared" si="7"/>
        <v>1779527.6107804999</v>
      </c>
      <c r="U18" s="533">
        <f t="shared" si="7"/>
        <v>1804938.4229238331</v>
      </c>
      <c r="V18" s="533">
        <f t="shared" si="7"/>
        <v>1830349.2350671664</v>
      </c>
      <c r="W18" s="544">
        <f t="shared" si="7"/>
        <v>1855760.0472104996</v>
      </c>
      <c r="X18" s="533">
        <f t="shared" si="7"/>
        <v>1881170.8593538329</v>
      </c>
      <c r="Y18" s="533">
        <f t="shared" si="7"/>
        <v>1906581.6714971662</v>
      </c>
      <c r="Z18" s="533">
        <f t="shared" si="7"/>
        <v>1931992.4836404994</v>
      </c>
      <c r="AA18" s="533">
        <f t="shared" si="7"/>
        <v>1957403.2957838327</v>
      </c>
      <c r="AB18" s="533">
        <f t="shared" si="7"/>
        <v>0</v>
      </c>
      <c r="AC18" s="533">
        <f t="shared" si="7"/>
        <v>0</v>
      </c>
      <c r="AD18" s="533">
        <f t="shared" si="7"/>
        <v>0</v>
      </c>
      <c r="AE18" s="533">
        <f t="shared" si="7"/>
        <v>0</v>
      </c>
      <c r="AF18" s="533">
        <f t="shared" si="7"/>
        <v>0</v>
      </c>
      <c r="AG18" s="533">
        <f t="shared" si="7"/>
        <v>0</v>
      </c>
      <c r="AH18" s="533">
        <f t="shared" si="7"/>
        <v>0</v>
      </c>
      <c r="AI18" s="533">
        <f t="shared" si="7"/>
        <v>0</v>
      </c>
      <c r="AJ18" s="533">
        <f t="shared" si="7"/>
        <v>0</v>
      </c>
      <c r="AK18" s="533">
        <f t="shared" si="7"/>
        <v>0</v>
      </c>
      <c r="AL18" s="533">
        <f t="shared" si="7"/>
        <v>0</v>
      </c>
      <c r="AM18" s="544">
        <f t="shared" si="7"/>
        <v>0</v>
      </c>
      <c r="AN18" s="544">
        <f t="shared" si="7"/>
        <v>0</v>
      </c>
    </row>
    <row r="19" spans="1:40" ht="15.75" thickTop="1">
      <c r="A19" s="288" t="s">
        <v>1734</v>
      </c>
      <c r="B19" s="531">
        <v>6061.59</v>
      </c>
      <c r="D19" s="518">
        <v>2009</v>
      </c>
      <c r="E19" s="402">
        <f>SUM(B15,B16,B20)</f>
        <v>5604411.6699999999</v>
      </c>
      <c r="F19" s="403">
        <v>5277511</v>
      </c>
      <c r="G19" s="403">
        <f>E19-F19</f>
        <v>326900.66999999993</v>
      </c>
      <c r="H19" s="528"/>
      <c r="I19" s="518"/>
      <c r="J19" s="518"/>
      <c r="W19" s="545">
        <f>W6</f>
        <v>44255</v>
      </c>
      <c r="AM19" s="545">
        <f>AM6</f>
        <v>44742</v>
      </c>
      <c r="AN19" s="547" t="s">
        <v>2000</v>
      </c>
    </row>
    <row r="20" spans="1:40">
      <c r="A20" s="288" t="s">
        <v>1812</v>
      </c>
      <c r="B20" s="531">
        <v>10525.76</v>
      </c>
      <c r="D20" s="518">
        <v>2011</v>
      </c>
      <c r="E20" s="402">
        <f>SUM(B17,B19)</f>
        <v>1011707.36</v>
      </c>
      <c r="F20" s="403">
        <v>1008226.26</v>
      </c>
      <c r="G20" s="403">
        <f>E20-F20</f>
        <v>3481.0999999999767</v>
      </c>
      <c r="H20" s="528"/>
      <c r="I20" s="518"/>
      <c r="J20" s="536" t="s">
        <v>2427</v>
      </c>
    </row>
    <row r="21" spans="1:40">
      <c r="B21" s="532">
        <f>SUM(B15:B20)</f>
        <v>6616119.0299999993</v>
      </c>
      <c r="D21" s="518"/>
      <c r="E21" s="405">
        <f>SUM(E19:E20)</f>
        <v>6616119.0300000003</v>
      </c>
      <c r="F21" s="405">
        <f t="shared" ref="F21:G21" si="8">SUM(F19:F20)</f>
        <v>6285737.2599999998</v>
      </c>
      <c r="G21" s="405">
        <f t="shared" si="8"/>
        <v>330381.7699999999</v>
      </c>
      <c r="H21" s="528"/>
      <c r="I21" s="518"/>
      <c r="J21" s="403" t="s">
        <v>2422</v>
      </c>
      <c r="K21" s="537">
        <v>5.1900000000000002E-2</v>
      </c>
      <c r="L21" s="537">
        <v>5.1900000000000002E-2</v>
      </c>
      <c r="M21" s="537">
        <v>5.1900000000000002E-2</v>
      </c>
      <c r="N21" s="537">
        <v>5.1900000000000002E-2</v>
      </c>
      <c r="O21" s="537">
        <v>5.1900000000000002E-2</v>
      </c>
      <c r="P21" s="537">
        <v>5.1900000000000002E-2</v>
      </c>
      <c r="Q21" s="537">
        <v>5.1900000000000002E-2</v>
      </c>
      <c r="R21" s="537">
        <v>5.1900000000000002E-2</v>
      </c>
      <c r="S21" s="537">
        <v>5.1900000000000002E-2</v>
      </c>
      <c r="T21" s="537">
        <v>5.1900000000000002E-2</v>
      </c>
      <c r="U21" s="537">
        <v>5.1900000000000002E-2</v>
      </c>
      <c r="V21" s="537">
        <v>5.1900000000000002E-2</v>
      </c>
      <c r="W21" s="537">
        <v>5.1900000000000002E-2</v>
      </c>
      <c r="X21" s="537">
        <v>5.1900000000000002E-2</v>
      </c>
      <c r="Y21" s="537">
        <v>5.1900000000000002E-2</v>
      </c>
      <c r="Z21" s="537">
        <v>5.1900000000000002E-2</v>
      </c>
      <c r="AA21" s="537">
        <v>5.1900000000000002E-2</v>
      </c>
      <c r="AB21" s="537">
        <v>0</v>
      </c>
      <c r="AC21" s="537">
        <v>0</v>
      </c>
      <c r="AD21" s="537">
        <v>0</v>
      </c>
      <c r="AE21" s="537">
        <v>0</v>
      </c>
      <c r="AF21" s="537">
        <v>0</v>
      </c>
      <c r="AG21" s="537">
        <v>0</v>
      </c>
      <c r="AH21" s="537">
        <v>0</v>
      </c>
      <c r="AI21" s="537">
        <v>0</v>
      </c>
      <c r="AJ21" s="537">
        <v>0</v>
      </c>
      <c r="AK21" s="537">
        <v>0</v>
      </c>
      <c r="AL21" s="537">
        <v>0</v>
      </c>
      <c r="AM21" s="537">
        <v>0</v>
      </c>
    </row>
    <row r="22" spans="1:40">
      <c r="B22" s="531"/>
      <c r="D22" s="518"/>
      <c r="E22" s="345"/>
      <c r="F22" s="409"/>
      <c r="G22" s="409"/>
      <c r="H22" s="528"/>
      <c r="I22" s="518"/>
      <c r="J22" s="403" t="s">
        <v>2422</v>
      </c>
      <c r="K22" s="537">
        <v>5.1900000000000002E-2</v>
      </c>
      <c r="L22" s="537">
        <v>5.1900000000000002E-2</v>
      </c>
      <c r="M22" s="537">
        <v>5.1900000000000002E-2</v>
      </c>
      <c r="N22" s="537">
        <v>5.1900000000000002E-2</v>
      </c>
      <c r="O22" s="537">
        <v>5.1900000000000002E-2</v>
      </c>
      <c r="P22" s="537">
        <v>5.1900000000000002E-2</v>
      </c>
      <c r="Q22" s="537">
        <v>5.1900000000000002E-2</v>
      </c>
      <c r="R22" s="537">
        <v>5.1900000000000002E-2</v>
      </c>
      <c r="S22" s="537">
        <v>5.1900000000000002E-2</v>
      </c>
      <c r="T22" s="537">
        <v>5.1900000000000002E-2</v>
      </c>
      <c r="U22" s="537">
        <v>5.1900000000000002E-2</v>
      </c>
      <c r="V22" s="537">
        <v>5.1900000000000002E-2</v>
      </c>
      <c r="W22" s="537">
        <v>5.1900000000000002E-2</v>
      </c>
      <c r="X22" s="537">
        <v>5.1900000000000002E-2</v>
      </c>
      <c r="Y22" s="537">
        <v>5.1900000000000002E-2</v>
      </c>
      <c r="Z22" s="537">
        <v>5.1900000000000002E-2</v>
      </c>
      <c r="AA22" s="537">
        <v>5.1900000000000002E-2</v>
      </c>
      <c r="AB22" s="537">
        <v>0</v>
      </c>
      <c r="AC22" s="537">
        <v>0</v>
      </c>
      <c r="AD22" s="537">
        <v>0</v>
      </c>
      <c r="AE22" s="537">
        <v>0</v>
      </c>
      <c r="AF22" s="537">
        <v>0</v>
      </c>
      <c r="AG22" s="537">
        <v>0</v>
      </c>
      <c r="AH22" s="537">
        <v>0</v>
      </c>
      <c r="AI22" s="537">
        <v>0</v>
      </c>
      <c r="AJ22" s="537">
        <v>0</v>
      </c>
      <c r="AK22" s="537">
        <v>0</v>
      </c>
      <c r="AL22" s="537">
        <v>0</v>
      </c>
      <c r="AM22" s="537">
        <v>0</v>
      </c>
    </row>
    <row r="23" spans="1:40">
      <c r="A23" s="286" t="s">
        <v>2067</v>
      </c>
      <c r="B23" s="531"/>
      <c r="J23" s="403" t="s">
        <v>2422</v>
      </c>
      <c r="K23" s="537">
        <v>4.3500000000000004E-2</v>
      </c>
      <c r="L23" s="537">
        <v>4.3500000000000004E-2</v>
      </c>
      <c r="M23" s="537">
        <v>4.3500000000000004E-2</v>
      </c>
      <c r="N23" s="537">
        <v>4.3500000000000004E-2</v>
      </c>
      <c r="O23" s="537">
        <v>4.3500000000000004E-2</v>
      </c>
      <c r="P23" s="537">
        <v>4.3500000000000004E-2</v>
      </c>
      <c r="Q23" s="537">
        <v>4.3500000000000004E-2</v>
      </c>
      <c r="R23" s="537">
        <v>4.3500000000000004E-2</v>
      </c>
      <c r="S23" s="537">
        <v>4.3500000000000004E-2</v>
      </c>
      <c r="T23" s="537">
        <v>4.3500000000000004E-2</v>
      </c>
      <c r="U23" s="537">
        <v>4.3500000000000004E-2</v>
      </c>
      <c r="V23" s="537">
        <v>4.3500000000000004E-2</v>
      </c>
      <c r="W23" s="537">
        <v>4.3500000000000004E-2</v>
      </c>
      <c r="X23" s="537">
        <v>4.3500000000000004E-2</v>
      </c>
      <c r="Y23" s="537">
        <v>4.3500000000000004E-2</v>
      </c>
      <c r="Z23" s="537">
        <v>4.3500000000000004E-2</v>
      </c>
      <c r="AA23" s="537">
        <v>4.3500000000000004E-2</v>
      </c>
      <c r="AB23" s="537">
        <v>0</v>
      </c>
      <c r="AC23" s="537">
        <v>0</v>
      </c>
      <c r="AD23" s="537">
        <v>0</v>
      </c>
      <c r="AE23" s="537">
        <v>0</v>
      </c>
      <c r="AF23" s="537">
        <v>0</v>
      </c>
      <c r="AG23" s="537">
        <v>0</v>
      </c>
      <c r="AH23" s="537">
        <v>0</v>
      </c>
      <c r="AI23" s="537">
        <v>0</v>
      </c>
      <c r="AJ23" s="537">
        <v>0</v>
      </c>
      <c r="AK23" s="537">
        <v>0</v>
      </c>
      <c r="AL23" s="537">
        <v>0</v>
      </c>
      <c r="AM23" s="537">
        <v>0</v>
      </c>
    </row>
    <row r="24" spans="1:40">
      <c r="A24" s="538" t="s">
        <v>1487</v>
      </c>
      <c r="B24" s="531">
        <v>266359366.59999999</v>
      </c>
      <c r="F24" s="539"/>
      <c r="G24" s="539"/>
      <c r="H24" s="539"/>
      <c r="I24" s="539"/>
      <c r="J24" s="403" t="s">
        <v>2422</v>
      </c>
      <c r="K24" s="537">
        <v>2.1699999999999997E-2</v>
      </c>
      <c r="L24" s="537">
        <v>2.1699999999999997E-2</v>
      </c>
      <c r="M24" s="537">
        <v>2.1699999999999997E-2</v>
      </c>
      <c r="N24" s="537">
        <v>2.1699999999999997E-2</v>
      </c>
      <c r="O24" s="537">
        <v>2.1699999999999997E-2</v>
      </c>
      <c r="P24" s="537">
        <v>2.1699999999999997E-2</v>
      </c>
      <c r="Q24" s="537">
        <v>2.1699999999999997E-2</v>
      </c>
      <c r="R24" s="537">
        <v>2.1699999999999997E-2</v>
      </c>
      <c r="S24" s="537">
        <v>2.1699999999999997E-2</v>
      </c>
      <c r="T24" s="537">
        <v>2.1699999999999997E-2</v>
      </c>
      <c r="U24" s="537">
        <v>2.1699999999999997E-2</v>
      </c>
      <c r="V24" s="537">
        <v>2.1699999999999997E-2</v>
      </c>
      <c r="W24" s="537">
        <v>2.1699999999999997E-2</v>
      </c>
      <c r="X24" s="537">
        <v>2.1699999999999997E-2</v>
      </c>
      <c r="Y24" s="537">
        <v>2.1699999999999997E-2</v>
      </c>
      <c r="Z24" s="537">
        <v>2.1699999999999997E-2</v>
      </c>
      <c r="AA24" s="537">
        <v>2.1699999999999997E-2</v>
      </c>
      <c r="AB24" s="537">
        <v>0</v>
      </c>
      <c r="AC24" s="537">
        <v>0</v>
      </c>
      <c r="AD24" s="537">
        <v>0</v>
      </c>
      <c r="AE24" s="537">
        <v>0</v>
      </c>
      <c r="AF24" s="537">
        <v>0</v>
      </c>
      <c r="AG24" s="537">
        <v>0</v>
      </c>
      <c r="AH24" s="537">
        <v>0</v>
      </c>
      <c r="AI24" s="537">
        <v>0</v>
      </c>
      <c r="AJ24" s="537">
        <v>0</v>
      </c>
      <c r="AK24" s="537">
        <v>0</v>
      </c>
      <c r="AL24" s="537">
        <v>0</v>
      </c>
      <c r="AM24" s="537">
        <v>0</v>
      </c>
    </row>
    <row r="25" spans="1:40">
      <c r="A25" s="538" t="s">
        <v>1488</v>
      </c>
      <c r="B25" s="531">
        <v>359690383.24000001</v>
      </c>
      <c r="F25" s="540"/>
      <c r="G25" s="540"/>
      <c r="H25" s="540"/>
      <c r="I25" s="541"/>
      <c r="J25" s="403" t="s">
        <v>2422</v>
      </c>
      <c r="K25" s="537">
        <v>2.1699999999999997E-2</v>
      </c>
      <c r="L25" s="537">
        <v>2.1699999999999997E-2</v>
      </c>
      <c r="M25" s="537">
        <v>2.1699999999999997E-2</v>
      </c>
      <c r="N25" s="537">
        <v>2.1699999999999997E-2</v>
      </c>
      <c r="O25" s="537">
        <v>2.1699999999999997E-2</v>
      </c>
      <c r="P25" s="537">
        <v>2.1699999999999997E-2</v>
      </c>
      <c r="Q25" s="537">
        <v>2.1699999999999997E-2</v>
      </c>
      <c r="R25" s="537">
        <v>2.1699999999999997E-2</v>
      </c>
      <c r="S25" s="537">
        <v>2.1699999999999997E-2</v>
      </c>
      <c r="T25" s="537">
        <v>2.1699999999999997E-2</v>
      </c>
      <c r="U25" s="537">
        <v>2.1699999999999997E-2</v>
      </c>
      <c r="V25" s="537">
        <v>2.1699999999999997E-2</v>
      </c>
      <c r="W25" s="537">
        <v>2.1699999999999997E-2</v>
      </c>
      <c r="X25" s="537">
        <v>2.1699999999999997E-2</v>
      </c>
      <c r="Y25" s="537">
        <v>2.1699999999999997E-2</v>
      </c>
      <c r="Z25" s="537">
        <v>2.1699999999999997E-2</v>
      </c>
      <c r="AA25" s="537">
        <v>2.1699999999999997E-2</v>
      </c>
      <c r="AB25" s="537">
        <v>0</v>
      </c>
      <c r="AC25" s="537">
        <v>0</v>
      </c>
      <c r="AD25" s="537">
        <v>0</v>
      </c>
      <c r="AE25" s="537">
        <v>0</v>
      </c>
      <c r="AF25" s="537">
        <v>0</v>
      </c>
      <c r="AG25" s="537">
        <v>0</v>
      </c>
      <c r="AH25" s="537">
        <v>0</v>
      </c>
      <c r="AI25" s="537">
        <v>0</v>
      </c>
      <c r="AJ25" s="537">
        <v>0</v>
      </c>
      <c r="AK25" s="537">
        <v>0</v>
      </c>
      <c r="AL25" s="537">
        <v>0</v>
      </c>
      <c r="AM25" s="537">
        <v>0</v>
      </c>
    </row>
    <row r="26" spans="1:40">
      <c r="A26" s="538" t="s">
        <v>1489</v>
      </c>
      <c r="B26" s="531">
        <v>34723.19</v>
      </c>
      <c r="F26" s="541"/>
      <c r="G26" s="540"/>
      <c r="H26" s="540"/>
      <c r="I26" s="541"/>
      <c r="J26" s="542"/>
    </row>
    <row r="27" spans="1:40">
      <c r="F27" s="540"/>
      <c r="G27" s="540"/>
      <c r="H27" s="540"/>
      <c r="I27" s="541"/>
      <c r="J27" s="542"/>
    </row>
    <row r="28" spans="1:40">
      <c r="F28" s="541"/>
      <c r="G28" s="540"/>
      <c r="H28" s="540"/>
      <c r="I28" s="541"/>
      <c r="J28" s="542"/>
    </row>
    <row r="29" spans="1:40">
      <c r="F29" s="540"/>
      <c r="G29" s="540"/>
      <c r="H29" s="540"/>
      <c r="I29" s="541"/>
      <c r="J29" s="542"/>
    </row>
    <row r="30" spans="1:40">
      <c r="F30" s="541"/>
      <c r="G30" s="540"/>
      <c r="H30" s="540"/>
      <c r="I30" s="541"/>
      <c r="J30" s="542"/>
    </row>
    <row r="31" spans="1:40">
      <c r="F31" s="540"/>
      <c r="G31" s="540"/>
      <c r="H31" s="540"/>
      <c r="I31" s="541"/>
      <c r="J31" s="542"/>
    </row>
    <row r="32" spans="1:40">
      <c r="F32" s="540"/>
      <c r="G32" s="540"/>
      <c r="H32" s="540"/>
      <c r="I32" s="541"/>
      <c r="J32" s="542"/>
    </row>
    <row r="33" spans="6:10">
      <c r="F33" s="540"/>
      <c r="G33" s="540"/>
      <c r="H33" s="541"/>
      <c r="I33" s="541"/>
      <c r="J33" s="541"/>
    </row>
    <row r="34" spans="6:10">
      <c r="F34" s="541"/>
      <c r="G34" s="541"/>
      <c r="H34" s="541"/>
      <c r="I34" s="541"/>
      <c r="J34" s="541"/>
    </row>
    <row r="35" spans="6:10">
      <c r="F35" s="541"/>
      <c r="G35" s="541"/>
      <c r="H35" s="541"/>
      <c r="I35" s="541"/>
      <c r="J35" s="541"/>
    </row>
  </sheetData>
  <pageMargins left="0.7" right="0.7" top="0.75" bottom="0.75" header="0.3" footer="0.3"/>
  <pageSetup scale="6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45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6" sqref="B6"/>
    </sheetView>
  </sheetViews>
  <sheetFormatPr defaultColWidth="8.875" defaultRowHeight="15"/>
  <cols>
    <col min="1" max="1" width="28.625" style="755" bestFit="1" customWidth="1"/>
    <col min="2" max="30" width="8.375" style="754" customWidth="1"/>
    <col min="31" max="16384" width="8.875" style="754"/>
  </cols>
  <sheetData>
    <row r="1" spans="1:24" s="749" customFormat="1">
      <c r="A1" s="713" t="s">
        <v>2335</v>
      </c>
    </row>
    <row r="2" spans="1:24" s="749" customFormat="1">
      <c r="A2" s="713" t="s">
        <v>2334</v>
      </c>
    </row>
    <row r="3" spans="1:24" s="751" customFormat="1">
      <c r="A3" s="750" t="s">
        <v>2428</v>
      </c>
    </row>
    <row r="4" spans="1:24" s="751" customFormat="1" ht="15" customHeight="1">
      <c r="A4" s="752"/>
      <c r="B4" s="751" t="s">
        <v>2703</v>
      </c>
      <c r="C4" s="751" t="s">
        <v>2704</v>
      </c>
      <c r="D4" s="751" t="s">
        <v>2705</v>
      </c>
      <c r="E4" s="751" t="s">
        <v>2706</v>
      </c>
      <c r="F4" s="751" t="s">
        <v>2707</v>
      </c>
      <c r="G4" s="751" t="s">
        <v>2708</v>
      </c>
      <c r="H4" s="751" t="s">
        <v>2709</v>
      </c>
      <c r="I4" s="751" t="s">
        <v>2794</v>
      </c>
      <c r="J4" s="751" t="s">
        <v>2795</v>
      </c>
      <c r="K4" s="751" t="s">
        <v>2796</v>
      </c>
      <c r="L4" s="751" t="s">
        <v>2721</v>
      </c>
      <c r="M4" s="751" t="s">
        <v>2722</v>
      </c>
      <c r="N4" s="751" t="s">
        <v>2723</v>
      </c>
      <c r="O4" s="751" t="s">
        <v>2724</v>
      </c>
      <c r="P4" s="751" t="s">
        <v>2725</v>
      </c>
      <c r="Q4" s="751" t="s">
        <v>2726</v>
      </c>
      <c r="R4" s="751" t="s">
        <v>2727</v>
      </c>
      <c r="S4" s="751" t="s">
        <v>2728</v>
      </c>
      <c r="T4" s="751" t="s">
        <v>2729</v>
      </c>
      <c r="U4" s="751" t="s">
        <v>2730</v>
      </c>
      <c r="V4" s="751" t="s">
        <v>2731</v>
      </c>
      <c r="W4" s="751" t="s">
        <v>2732</v>
      </c>
      <c r="X4" s="751" t="s">
        <v>2733</v>
      </c>
    </row>
    <row r="5" spans="1:24" s="751" customFormat="1">
      <c r="A5" s="753" t="s">
        <v>2429</v>
      </c>
    </row>
    <row r="6" spans="1:24">
      <c r="A6" s="748" t="s">
        <v>3655</v>
      </c>
      <c r="B6" s="756"/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756"/>
      <c r="O6" s="756"/>
      <c r="P6" s="756"/>
      <c r="Q6" s="756"/>
      <c r="R6" s="756"/>
      <c r="S6" s="756"/>
      <c r="T6" s="756"/>
      <c r="U6" s="756"/>
      <c r="V6" s="756"/>
      <c r="W6" s="756"/>
      <c r="X6" s="756"/>
    </row>
    <row r="7" spans="1:24">
      <c r="A7" s="757" t="s">
        <v>1825</v>
      </c>
      <c r="B7" s="758">
        <v>862.13282000000004</v>
      </c>
      <c r="C7" s="758">
        <v>890.62926272375</v>
      </c>
      <c r="D7" s="758">
        <v>919.12570544749997</v>
      </c>
      <c r="E7" s="758">
        <v>947.62214817124902</v>
      </c>
      <c r="F7" s="758">
        <v>976.11859089499899</v>
      </c>
      <c r="G7" s="758">
        <v>1004.615033618749</v>
      </c>
      <c r="H7" s="758">
        <v>1033.1114763424901</v>
      </c>
      <c r="I7" s="758">
        <v>1061.6079190662399</v>
      </c>
      <c r="J7" s="758">
        <v>1090.10436178999</v>
      </c>
      <c r="K7" s="758">
        <v>1118.6008045137501</v>
      </c>
      <c r="L7" s="758">
        <v>1147.0972472375001</v>
      </c>
      <c r="M7" s="758">
        <v>0</v>
      </c>
      <c r="N7" s="758">
        <v>0</v>
      </c>
      <c r="O7" s="758">
        <v>0</v>
      </c>
      <c r="P7" s="758">
        <v>0</v>
      </c>
      <c r="Q7" s="758">
        <v>0</v>
      </c>
      <c r="R7" s="758">
        <v>0</v>
      </c>
      <c r="S7" s="758">
        <v>0</v>
      </c>
      <c r="T7" s="758">
        <v>0</v>
      </c>
      <c r="U7" s="758">
        <v>0</v>
      </c>
      <c r="V7" s="758">
        <v>0</v>
      </c>
      <c r="W7" s="758">
        <v>0</v>
      </c>
      <c r="X7" s="758">
        <v>0</v>
      </c>
    </row>
    <row r="8" spans="1:24">
      <c r="A8" s="757" t="s">
        <v>2333</v>
      </c>
      <c r="B8" s="758">
        <v>-31.476089999999999</v>
      </c>
      <c r="C8" s="758">
        <v>-31.476089999999999</v>
      </c>
      <c r="D8" s="758">
        <v>-31.476089999999999</v>
      </c>
      <c r="E8" s="758">
        <v>-31.476089999999999</v>
      </c>
      <c r="F8" s="758">
        <v>-31.476089999999999</v>
      </c>
      <c r="G8" s="758">
        <v>-31.476089999999999</v>
      </c>
      <c r="H8" s="758">
        <v>-31.476089999999999</v>
      </c>
      <c r="I8" s="758">
        <v>-31.476089999999999</v>
      </c>
      <c r="J8" s="758">
        <v>-31.476089999999999</v>
      </c>
      <c r="K8" s="758">
        <v>-31.476089999999999</v>
      </c>
      <c r="L8" s="758">
        <v>-31.476089999999999</v>
      </c>
      <c r="M8" s="758">
        <v>0</v>
      </c>
      <c r="N8" s="758">
        <v>0</v>
      </c>
      <c r="O8" s="758">
        <v>0</v>
      </c>
      <c r="P8" s="758">
        <v>0</v>
      </c>
      <c r="Q8" s="758">
        <v>0</v>
      </c>
      <c r="R8" s="758">
        <v>0</v>
      </c>
      <c r="S8" s="758">
        <v>0</v>
      </c>
      <c r="T8" s="758">
        <v>0</v>
      </c>
      <c r="U8" s="758">
        <v>0</v>
      </c>
      <c r="V8" s="758">
        <v>0</v>
      </c>
      <c r="W8" s="758">
        <v>0</v>
      </c>
      <c r="X8" s="758">
        <v>0</v>
      </c>
    </row>
    <row r="9" spans="1:24">
      <c r="A9" s="757" t="s">
        <v>2430</v>
      </c>
      <c r="B9" s="758">
        <v>830.65673000000004</v>
      </c>
      <c r="C9" s="758">
        <v>859.15317272375</v>
      </c>
      <c r="D9" s="758">
        <v>887.64961544749997</v>
      </c>
      <c r="E9" s="758">
        <v>916.14605817124902</v>
      </c>
      <c r="F9" s="758">
        <v>944.64250089499899</v>
      </c>
      <c r="G9" s="758">
        <v>973.13894361874895</v>
      </c>
      <c r="H9" s="758">
        <v>1001.6353863424901</v>
      </c>
      <c r="I9" s="758">
        <v>1030.13182906624</v>
      </c>
      <c r="J9" s="758">
        <v>1058.6282717899901</v>
      </c>
      <c r="K9" s="758">
        <v>1087.12471451375</v>
      </c>
      <c r="L9" s="758">
        <v>1115.6211572375</v>
      </c>
      <c r="M9" s="758">
        <v>0</v>
      </c>
      <c r="N9" s="758">
        <v>0</v>
      </c>
      <c r="O9" s="758">
        <v>0</v>
      </c>
      <c r="P9" s="758">
        <v>0</v>
      </c>
      <c r="Q9" s="758">
        <v>0</v>
      </c>
      <c r="R9" s="758">
        <v>0</v>
      </c>
      <c r="S9" s="758">
        <v>0</v>
      </c>
      <c r="T9" s="758">
        <v>0</v>
      </c>
      <c r="U9" s="758">
        <v>0</v>
      </c>
      <c r="V9" s="758">
        <v>0</v>
      </c>
      <c r="W9" s="758">
        <v>0</v>
      </c>
      <c r="X9" s="758">
        <v>0</v>
      </c>
    </row>
    <row r="10" spans="1:24">
      <c r="A10" s="748" t="s">
        <v>3656</v>
      </c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</row>
    <row r="11" spans="1:24">
      <c r="A11" s="757" t="s">
        <v>1825</v>
      </c>
      <c r="B11" s="758">
        <v>74951.992209999997</v>
      </c>
      <c r="C11" s="758">
        <v>76610.996246060895</v>
      </c>
      <c r="D11" s="758">
        <v>78277.065662171895</v>
      </c>
      <c r="E11" s="758">
        <v>79952.774351302898</v>
      </c>
      <c r="F11" s="758">
        <v>81624.684122773993</v>
      </c>
      <c r="G11" s="758">
        <v>83289.890638224999</v>
      </c>
      <c r="H11" s="758">
        <v>84955.09715367599</v>
      </c>
      <c r="I11" s="758">
        <v>86620.303669126995</v>
      </c>
      <c r="J11" s="758">
        <v>88285.510184578001</v>
      </c>
      <c r="K11" s="758">
        <v>89950.716700028992</v>
      </c>
      <c r="L11" s="758">
        <v>91615.923215479997</v>
      </c>
      <c r="M11" s="758">
        <v>2.91038304567337E-11</v>
      </c>
      <c r="N11" s="758">
        <v>2.91038304567337E-11</v>
      </c>
      <c r="O11" s="758">
        <v>2.91038304567337E-11</v>
      </c>
      <c r="P11" s="758">
        <v>2.91038304567337E-11</v>
      </c>
      <c r="Q11" s="758">
        <v>2.91038304567337E-11</v>
      </c>
      <c r="R11" s="758">
        <v>2.91038304567337E-11</v>
      </c>
      <c r="S11" s="758">
        <v>2.91038304567337E-11</v>
      </c>
      <c r="T11" s="758">
        <v>2.91038304567337E-11</v>
      </c>
      <c r="U11" s="758">
        <v>2.91038304567337E-11</v>
      </c>
      <c r="V11" s="758">
        <v>2.91038304567337E-11</v>
      </c>
      <c r="W11" s="758">
        <v>2.91038304567337E-11</v>
      </c>
      <c r="X11" s="758">
        <v>2.91038304567337E-11</v>
      </c>
    </row>
    <row r="12" spans="1:24">
      <c r="A12" s="757" t="s">
        <v>2333</v>
      </c>
      <c r="B12" s="758">
        <v>-515.44051999999999</v>
      </c>
      <c r="C12" s="758">
        <v>-597.23296000000005</v>
      </c>
      <c r="D12" s="758">
        <v>-2211.4515099999999</v>
      </c>
      <c r="E12" s="758">
        <v>-2211.4515099999999</v>
      </c>
      <c r="F12" s="758">
        <v>-1533.54108</v>
      </c>
      <c r="G12" s="758">
        <v>-1533.54108</v>
      </c>
      <c r="H12" s="758">
        <v>-1533.54108</v>
      </c>
      <c r="I12" s="758">
        <v>-1533.54108</v>
      </c>
      <c r="J12" s="758">
        <v>-1533.54108</v>
      </c>
      <c r="K12" s="758">
        <v>-1533.54108</v>
      </c>
      <c r="L12" s="758">
        <v>-1533.54108</v>
      </c>
      <c r="M12" s="758">
        <v>0</v>
      </c>
      <c r="N12" s="758">
        <v>0</v>
      </c>
      <c r="O12" s="758">
        <v>0</v>
      </c>
      <c r="P12" s="758">
        <v>0</v>
      </c>
      <c r="Q12" s="758">
        <v>0</v>
      </c>
      <c r="R12" s="758">
        <v>0</v>
      </c>
      <c r="S12" s="758">
        <v>0</v>
      </c>
      <c r="T12" s="758">
        <v>0</v>
      </c>
      <c r="U12" s="758">
        <v>0</v>
      </c>
      <c r="V12" s="758">
        <v>0</v>
      </c>
      <c r="W12" s="758">
        <v>0</v>
      </c>
      <c r="X12" s="758">
        <v>0</v>
      </c>
    </row>
    <row r="13" spans="1:24">
      <c r="A13" s="757" t="s">
        <v>2430</v>
      </c>
      <c r="B13" s="758">
        <v>74436.551689999993</v>
      </c>
      <c r="C13" s="758">
        <v>76013.763286060901</v>
      </c>
      <c r="D13" s="758">
        <v>76065.614152171896</v>
      </c>
      <c r="E13" s="758">
        <v>77741.322841302899</v>
      </c>
      <c r="F13" s="758">
        <v>80091.143042773998</v>
      </c>
      <c r="G13" s="758">
        <v>81756.349558225003</v>
      </c>
      <c r="H13" s="758">
        <v>83421.556073675994</v>
      </c>
      <c r="I13" s="758">
        <v>85086.762589127</v>
      </c>
      <c r="J13" s="758">
        <v>86751.969104578005</v>
      </c>
      <c r="K13" s="758">
        <v>88417.175620028996</v>
      </c>
      <c r="L13" s="758">
        <v>90082.382135480002</v>
      </c>
      <c r="M13" s="758">
        <v>2.91038304567337E-11</v>
      </c>
      <c r="N13" s="758">
        <v>2.91038304567337E-11</v>
      </c>
      <c r="O13" s="758">
        <v>2.91038304567337E-11</v>
      </c>
      <c r="P13" s="758">
        <v>2.91038304567337E-11</v>
      </c>
      <c r="Q13" s="758">
        <v>2.91038304567337E-11</v>
      </c>
      <c r="R13" s="758">
        <v>2.91038304567337E-11</v>
      </c>
      <c r="S13" s="758">
        <v>2.91038304567337E-11</v>
      </c>
      <c r="T13" s="758">
        <v>2.91038304567337E-11</v>
      </c>
      <c r="U13" s="758">
        <v>2.91038304567337E-11</v>
      </c>
      <c r="V13" s="758">
        <v>2.91038304567337E-11</v>
      </c>
      <c r="W13" s="758">
        <v>2.91038304567337E-11</v>
      </c>
      <c r="X13" s="758">
        <v>2.91038304567337E-11</v>
      </c>
    </row>
    <row r="14" spans="1:24">
      <c r="A14" s="748" t="s">
        <v>3657</v>
      </c>
      <c r="B14" s="756"/>
      <c r="C14" s="756"/>
      <c r="D14" s="756"/>
      <c r="E14" s="756"/>
      <c r="F14" s="756"/>
      <c r="G14" s="756"/>
      <c r="H14" s="756"/>
      <c r="I14" s="756"/>
      <c r="J14" s="756"/>
      <c r="K14" s="756"/>
      <c r="L14" s="756"/>
      <c r="M14" s="756"/>
      <c r="N14" s="756"/>
      <c r="O14" s="756"/>
      <c r="P14" s="756"/>
      <c r="Q14" s="756"/>
      <c r="R14" s="756"/>
      <c r="S14" s="756"/>
      <c r="T14" s="756"/>
      <c r="U14" s="756"/>
      <c r="V14" s="756"/>
      <c r="W14" s="756"/>
      <c r="X14" s="756"/>
    </row>
    <row r="15" spans="1:24">
      <c r="A15" s="757" t="s">
        <v>1825</v>
      </c>
      <c r="B15" s="758">
        <v>2335.8625999999999</v>
      </c>
      <c r="C15" s="758">
        <v>2509.6456017957798</v>
      </c>
      <c r="D15" s="758">
        <v>2685.5757869465601</v>
      </c>
      <c r="E15" s="758">
        <v>2861.4991009923401</v>
      </c>
      <c r="F15" s="758">
        <v>3037.4224150381301</v>
      </c>
      <c r="G15" s="758">
        <v>3213.3457290839101</v>
      </c>
      <c r="H15" s="758">
        <v>3389.2690431296901</v>
      </c>
      <c r="I15" s="758">
        <v>3565.1923571754701</v>
      </c>
      <c r="J15" s="758">
        <v>3741.1156712212601</v>
      </c>
      <c r="K15" s="758">
        <v>3917.0389852670401</v>
      </c>
      <c r="L15" s="758">
        <v>4092.9622993128201</v>
      </c>
      <c r="M15" s="758">
        <v>4282.6676241985997</v>
      </c>
      <c r="N15" s="758">
        <v>4472.3729490843798</v>
      </c>
      <c r="O15" s="758">
        <v>4662.0782739701599</v>
      </c>
      <c r="P15" s="758">
        <v>4897.6791326849407</v>
      </c>
      <c r="Q15" s="758">
        <v>5179.1755252197199</v>
      </c>
      <c r="R15" s="758">
        <v>5460.6719177545001</v>
      </c>
      <c r="S15" s="758">
        <v>5742.1683102892803</v>
      </c>
      <c r="T15" s="758">
        <v>6023.6647028240604</v>
      </c>
      <c r="U15" s="758">
        <v>6305.1610953588406</v>
      </c>
      <c r="V15" s="758">
        <v>6586.6574878936299</v>
      </c>
      <c r="W15" s="758">
        <v>6868.15388042841</v>
      </c>
      <c r="X15" s="758">
        <v>7149.6502729631902</v>
      </c>
    </row>
    <row r="16" spans="1:24">
      <c r="A16" s="757" t="s">
        <v>2333</v>
      </c>
      <c r="B16" s="758">
        <v>0</v>
      </c>
      <c r="C16" s="758">
        <v>0</v>
      </c>
      <c r="D16" s="758">
        <v>0</v>
      </c>
      <c r="E16" s="758">
        <v>0</v>
      </c>
      <c r="F16" s="758">
        <v>0</v>
      </c>
      <c r="G16" s="758">
        <v>0</v>
      </c>
      <c r="H16" s="758">
        <v>0</v>
      </c>
      <c r="I16" s="758">
        <v>0</v>
      </c>
      <c r="J16" s="758">
        <v>0</v>
      </c>
      <c r="K16" s="758">
        <v>0</v>
      </c>
      <c r="L16" s="758">
        <v>0</v>
      </c>
      <c r="M16" s="758">
        <v>0</v>
      </c>
      <c r="N16" s="758">
        <v>0</v>
      </c>
      <c r="O16" s="758">
        <v>0</v>
      </c>
      <c r="P16" s="758">
        <v>1.0000000000000001E-5</v>
      </c>
      <c r="Q16" s="758">
        <v>1.0000000000000001E-5</v>
      </c>
      <c r="R16" s="758">
        <v>1.0000000000000001E-5</v>
      </c>
      <c r="S16" s="758">
        <v>1.0000000000000001E-5</v>
      </c>
      <c r="T16" s="758">
        <v>1.0000000000000001E-5</v>
      </c>
      <c r="U16" s="758">
        <v>1.0000000000000001E-5</v>
      </c>
      <c r="V16" s="758">
        <v>1.0000000000000001E-5</v>
      </c>
      <c r="W16" s="758">
        <v>1.0000000000000001E-5</v>
      </c>
      <c r="X16" s="758">
        <v>1.0000000000000001E-5</v>
      </c>
    </row>
    <row r="17" spans="1:24">
      <c r="A17" s="757" t="s">
        <v>2430</v>
      </c>
      <c r="B17" s="758">
        <v>2335.8625999999999</v>
      </c>
      <c r="C17" s="758">
        <v>2509.6456017957798</v>
      </c>
      <c r="D17" s="758">
        <v>2685.5757869465601</v>
      </c>
      <c r="E17" s="758">
        <v>2861.4991009923401</v>
      </c>
      <c r="F17" s="758">
        <v>3037.4224150381301</v>
      </c>
      <c r="G17" s="758">
        <v>3213.3457290839101</v>
      </c>
      <c r="H17" s="758">
        <v>3389.2690431296901</v>
      </c>
      <c r="I17" s="758">
        <v>3565.1923571754701</v>
      </c>
      <c r="J17" s="758">
        <v>3741.1156712212601</v>
      </c>
      <c r="K17" s="758">
        <v>3917.0389852670401</v>
      </c>
      <c r="L17" s="758">
        <v>4092.9622993128201</v>
      </c>
      <c r="M17" s="758">
        <v>4282.6676241985997</v>
      </c>
      <c r="N17" s="758">
        <v>4472.3729490843798</v>
      </c>
      <c r="O17" s="758">
        <v>4662.0782739701599</v>
      </c>
      <c r="P17" s="758">
        <v>4897.6791426849404</v>
      </c>
      <c r="Q17" s="758">
        <v>5179.1755352197197</v>
      </c>
      <c r="R17" s="758">
        <v>5460.6719277544998</v>
      </c>
      <c r="S17" s="758">
        <v>5742.16832028928</v>
      </c>
      <c r="T17" s="758">
        <v>6023.6647128240602</v>
      </c>
      <c r="U17" s="758">
        <v>6305.1611053588404</v>
      </c>
      <c r="V17" s="758">
        <v>6586.6574978936296</v>
      </c>
      <c r="W17" s="758">
        <v>6868.1538904284098</v>
      </c>
      <c r="X17" s="758">
        <v>7149.65028296319</v>
      </c>
    </row>
    <row r="18" spans="1:24">
      <c r="A18" s="748" t="s">
        <v>3658</v>
      </c>
      <c r="B18" s="756"/>
      <c r="C18" s="756"/>
      <c r="D18" s="756"/>
      <c r="E18" s="756"/>
      <c r="F18" s="756"/>
      <c r="G18" s="756"/>
      <c r="H18" s="756"/>
      <c r="I18" s="756"/>
      <c r="J18" s="756"/>
      <c r="K18" s="756"/>
      <c r="L18" s="756"/>
      <c r="M18" s="756"/>
      <c r="N18" s="756"/>
      <c r="O18" s="756"/>
      <c r="P18" s="756"/>
      <c r="Q18" s="756"/>
      <c r="R18" s="756"/>
      <c r="S18" s="756"/>
      <c r="T18" s="756"/>
      <c r="U18" s="756"/>
      <c r="V18" s="756"/>
      <c r="W18" s="756"/>
      <c r="X18" s="756"/>
    </row>
    <row r="19" spans="1:24">
      <c r="A19" s="757" t="s">
        <v>1825</v>
      </c>
      <c r="B19" s="758">
        <v>122601.56031</v>
      </c>
      <c r="C19" s="758">
        <v>125767.15201589001</v>
      </c>
      <c r="D19" s="758">
        <v>128932.74372178</v>
      </c>
      <c r="E19" s="758">
        <v>131907.72949072</v>
      </c>
      <c r="F19" s="758">
        <v>134883.96673097002</v>
      </c>
      <c r="G19" s="758">
        <v>138058.87337938001</v>
      </c>
      <c r="H19" s="758">
        <v>141233.78002779</v>
      </c>
      <c r="I19" s="758">
        <v>144408.68667619899</v>
      </c>
      <c r="J19" s="758">
        <v>147583.59332460901</v>
      </c>
      <c r="K19" s="758">
        <v>150758.499973019</v>
      </c>
      <c r="L19" s="758">
        <v>153762.35053198901</v>
      </c>
      <c r="M19" s="758">
        <v>9.6042640507221201E-10</v>
      </c>
      <c r="N19" s="758">
        <v>9.6042640507221201E-10</v>
      </c>
      <c r="O19" s="758">
        <v>9.6042640507221201E-10</v>
      </c>
      <c r="P19" s="758">
        <v>9.6042640507221201E-10</v>
      </c>
      <c r="Q19" s="758">
        <v>9.6042640507221201E-10</v>
      </c>
      <c r="R19" s="758">
        <v>9.6042640507221201E-10</v>
      </c>
      <c r="S19" s="758">
        <v>9.6042640507221201E-10</v>
      </c>
      <c r="T19" s="758">
        <v>9.6042640507221201E-10</v>
      </c>
      <c r="U19" s="758">
        <v>9.6042640507221201E-10</v>
      </c>
      <c r="V19" s="758">
        <v>9.6042640507221201E-10</v>
      </c>
      <c r="W19" s="758">
        <v>9.6042640507221201E-10</v>
      </c>
      <c r="X19" s="758">
        <v>9.6042640507221201E-10</v>
      </c>
    </row>
    <row r="20" spans="1:24">
      <c r="A20" s="757" t="s">
        <v>2333</v>
      </c>
      <c r="B20" s="758">
        <v>-264.93588</v>
      </c>
      <c r="C20" s="758">
        <v>-264.93588</v>
      </c>
      <c r="D20" s="758">
        <v>-264.93588</v>
      </c>
      <c r="E20" s="758">
        <v>-407.56110999999999</v>
      </c>
      <c r="F20" s="758">
        <v>-605.69646</v>
      </c>
      <c r="G20" s="758">
        <v>-605.69646</v>
      </c>
      <c r="H20" s="758">
        <v>-605.69646</v>
      </c>
      <c r="I20" s="758">
        <v>-605.69646</v>
      </c>
      <c r="J20" s="758">
        <v>-605.69646</v>
      </c>
      <c r="K20" s="758">
        <v>-605.69646</v>
      </c>
      <c r="L20" s="758">
        <v>-892.98839999999996</v>
      </c>
      <c r="M20" s="758">
        <v>0</v>
      </c>
      <c r="N20" s="758">
        <v>0</v>
      </c>
      <c r="O20" s="758">
        <v>0</v>
      </c>
      <c r="P20" s="758">
        <v>0</v>
      </c>
      <c r="Q20" s="758">
        <v>0</v>
      </c>
      <c r="R20" s="758">
        <v>0</v>
      </c>
      <c r="S20" s="758">
        <v>0</v>
      </c>
      <c r="T20" s="758">
        <v>0</v>
      </c>
      <c r="U20" s="758">
        <v>0</v>
      </c>
      <c r="V20" s="758">
        <v>0</v>
      </c>
      <c r="W20" s="758">
        <v>0</v>
      </c>
      <c r="X20" s="758">
        <v>0</v>
      </c>
    </row>
    <row r="21" spans="1:24">
      <c r="A21" s="757" t="s">
        <v>2430</v>
      </c>
      <c r="B21" s="758">
        <v>122336.62443</v>
      </c>
      <c r="C21" s="758">
        <v>125502.21613589</v>
      </c>
      <c r="D21" s="758">
        <v>128667.80784178</v>
      </c>
      <c r="E21" s="758">
        <v>131500.16838071999</v>
      </c>
      <c r="F21" s="758">
        <v>134278.27027097001</v>
      </c>
      <c r="G21" s="758">
        <v>137453.17691938</v>
      </c>
      <c r="H21" s="758">
        <v>140628.08356778999</v>
      </c>
      <c r="I21" s="758">
        <v>143802.99021619899</v>
      </c>
      <c r="J21" s="758">
        <v>146977.89686460901</v>
      </c>
      <c r="K21" s="758">
        <v>150152.803513019</v>
      </c>
      <c r="L21" s="758">
        <v>152869.36213198901</v>
      </c>
      <c r="M21" s="758">
        <v>9.6042640507221201E-10</v>
      </c>
      <c r="N21" s="758">
        <v>9.6042640507221201E-10</v>
      </c>
      <c r="O21" s="758">
        <v>9.6042640507221201E-10</v>
      </c>
      <c r="P21" s="758">
        <v>9.6042640507221201E-10</v>
      </c>
      <c r="Q21" s="758">
        <v>9.6042640507221201E-10</v>
      </c>
      <c r="R21" s="758">
        <v>9.6042640507221201E-10</v>
      </c>
      <c r="S21" s="758">
        <v>9.6042640507221201E-10</v>
      </c>
      <c r="T21" s="758">
        <v>9.6042640507221201E-10</v>
      </c>
      <c r="U21" s="758">
        <v>9.6042640507221201E-10</v>
      </c>
      <c r="V21" s="758">
        <v>9.6042640507221201E-10</v>
      </c>
      <c r="W21" s="758">
        <v>9.6042640507221201E-10</v>
      </c>
      <c r="X21" s="758">
        <v>9.6042640507221201E-10</v>
      </c>
    </row>
    <row r="22" spans="1:24">
      <c r="A22" s="748" t="s">
        <v>3659</v>
      </c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</row>
    <row r="23" spans="1:24">
      <c r="A23" s="757" t="s">
        <v>1825</v>
      </c>
      <c r="B23" s="758">
        <v>537.22859999999002</v>
      </c>
      <c r="C23" s="758">
        <v>572.62123105711999</v>
      </c>
      <c r="D23" s="758">
        <v>629.60308326364998</v>
      </c>
      <c r="E23" s="758">
        <v>686.58493547017997</v>
      </c>
      <c r="F23" s="758">
        <v>743.56678767670905</v>
      </c>
      <c r="G23" s="758">
        <v>800.54863988323905</v>
      </c>
      <c r="H23" s="758">
        <v>857.53049208976904</v>
      </c>
      <c r="I23" s="758">
        <v>914.51234429629903</v>
      </c>
      <c r="J23" s="758">
        <v>971.49419650282903</v>
      </c>
      <c r="K23" s="758">
        <v>1028.476048709359</v>
      </c>
      <c r="L23" s="758">
        <v>1085.457900915889</v>
      </c>
      <c r="M23" s="758">
        <v>9.0949470177292804E-13</v>
      </c>
      <c r="N23" s="758">
        <v>9.0949470177292804E-13</v>
      </c>
      <c r="O23" s="758">
        <v>9.0949470177292804E-13</v>
      </c>
      <c r="P23" s="758">
        <v>9.0949470177292804E-13</v>
      </c>
      <c r="Q23" s="758">
        <v>9.0949470177292804E-13</v>
      </c>
      <c r="R23" s="758">
        <v>9.0949470177292804E-13</v>
      </c>
      <c r="S23" s="758">
        <v>9.0949470177292804E-13</v>
      </c>
      <c r="T23" s="758">
        <v>9.0949470177292804E-13</v>
      </c>
      <c r="U23" s="758">
        <v>9.0949470177292804E-13</v>
      </c>
      <c r="V23" s="758">
        <v>9.0949470177292804E-13</v>
      </c>
      <c r="W23" s="758">
        <v>9.0949470177292804E-13</v>
      </c>
      <c r="X23" s="758">
        <v>9.0949470177292804E-13</v>
      </c>
    </row>
    <row r="24" spans="1:24">
      <c r="A24" s="757" t="s">
        <v>2333</v>
      </c>
      <c r="B24" s="758">
        <v>0</v>
      </c>
      <c r="C24" s="758">
        <v>0</v>
      </c>
      <c r="D24" s="758">
        <v>-100</v>
      </c>
      <c r="E24" s="758">
        <v>-150</v>
      </c>
      <c r="F24" s="758">
        <v>-490.87918999999999</v>
      </c>
      <c r="G24" s="758">
        <v>-490.87918999999999</v>
      </c>
      <c r="H24" s="758">
        <v>-490.87918999999999</v>
      </c>
      <c r="I24" s="758">
        <v>-490.87918999999999</v>
      </c>
      <c r="J24" s="758">
        <v>-490.87918999999999</v>
      </c>
      <c r="K24" s="758">
        <v>-490.87918999999999</v>
      </c>
      <c r="L24" s="758">
        <v>-490.87918999999999</v>
      </c>
      <c r="M24" s="758">
        <v>0</v>
      </c>
      <c r="N24" s="758">
        <v>0</v>
      </c>
      <c r="O24" s="758">
        <v>0</v>
      </c>
      <c r="P24" s="758">
        <v>0</v>
      </c>
      <c r="Q24" s="758">
        <v>0</v>
      </c>
      <c r="R24" s="758">
        <v>0</v>
      </c>
      <c r="S24" s="758">
        <v>0</v>
      </c>
      <c r="T24" s="758">
        <v>0</v>
      </c>
      <c r="U24" s="758">
        <v>0</v>
      </c>
      <c r="V24" s="758">
        <v>0</v>
      </c>
      <c r="W24" s="758">
        <v>0</v>
      </c>
      <c r="X24" s="758">
        <v>0</v>
      </c>
    </row>
    <row r="25" spans="1:24">
      <c r="A25" s="757" t="s">
        <v>2430</v>
      </c>
      <c r="B25" s="758">
        <v>537.22859999999002</v>
      </c>
      <c r="C25" s="758">
        <v>572.62123105711999</v>
      </c>
      <c r="D25" s="758">
        <v>529.60308326364998</v>
      </c>
      <c r="E25" s="758">
        <v>536.58493547017997</v>
      </c>
      <c r="F25" s="758">
        <v>252.687597676709</v>
      </c>
      <c r="G25" s="758">
        <v>309.669449883239</v>
      </c>
      <c r="H25" s="758">
        <v>366.65130208976899</v>
      </c>
      <c r="I25" s="758">
        <v>423.63315429629898</v>
      </c>
      <c r="J25" s="758">
        <v>480.61500650282898</v>
      </c>
      <c r="K25" s="758">
        <v>537.59685870935903</v>
      </c>
      <c r="L25" s="758">
        <v>594.57871091588902</v>
      </c>
      <c r="M25" s="758">
        <v>9.0949470177292804E-13</v>
      </c>
      <c r="N25" s="758">
        <v>9.0949470177292804E-13</v>
      </c>
      <c r="O25" s="758">
        <v>9.0949470177292804E-13</v>
      </c>
      <c r="P25" s="758">
        <v>9.0949470177292804E-13</v>
      </c>
      <c r="Q25" s="758">
        <v>9.0949470177292804E-13</v>
      </c>
      <c r="R25" s="758">
        <v>9.0949470177292804E-13</v>
      </c>
      <c r="S25" s="758">
        <v>9.0949470177292804E-13</v>
      </c>
      <c r="T25" s="758">
        <v>9.0949470177292804E-13</v>
      </c>
      <c r="U25" s="758">
        <v>9.0949470177292804E-13</v>
      </c>
      <c r="V25" s="758">
        <v>9.0949470177292804E-13</v>
      </c>
      <c r="W25" s="758">
        <v>9.0949470177292804E-13</v>
      </c>
      <c r="X25" s="758">
        <v>9.0949470177292804E-13</v>
      </c>
    </row>
    <row r="26" spans="1:24">
      <c r="A26" s="748" t="s">
        <v>3660</v>
      </c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</row>
    <row r="27" spans="1:24">
      <c r="A27" s="757" t="s">
        <v>1825</v>
      </c>
      <c r="B27" s="758">
        <v>3695.7743</v>
      </c>
      <c r="C27" s="758">
        <v>4444.52852678412</v>
      </c>
      <c r="D27" s="758">
        <v>5202.1547021480601</v>
      </c>
      <c r="E27" s="758">
        <v>5990.3585418361599</v>
      </c>
      <c r="F27" s="758">
        <v>6810.2320303226697</v>
      </c>
      <c r="G27" s="758">
        <v>7635.0132070616701</v>
      </c>
      <c r="H27" s="758">
        <v>8464.5068838066709</v>
      </c>
      <c r="I27" s="758">
        <v>9299.6193105456605</v>
      </c>
      <c r="J27" s="758">
        <v>10140.3504872876</v>
      </c>
      <c r="K27" s="758">
        <v>10984.887914029601</v>
      </c>
      <c r="L27" s="758">
        <v>11832.325340774602</v>
      </c>
      <c r="M27" s="758">
        <v>12959.4386247166</v>
      </c>
      <c r="N27" s="758">
        <v>14088.6935753256</v>
      </c>
      <c r="O27" s="758">
        <v>15217.9485259346</v>
      </c>
      <c r="P27" s="758">
        <v>16347.2034765436</v>
      </c>
      <c r="Q27" s="758">
        <v>17476.4584271526</v>
      </c>
      <c r="R27" s="758">
        <v>18712.208102084598</v>
      </c>
      <c r="S27" s="758">
        <v>20054.4525013206</v>
      </c>
      <c r="T27" s="758">
        <v>21396.696900556599</v>
      </c>
      <c r="U27" s="758">
        <v>22738.941299792597</v>
      </c>
      <c r="V27" s="758">
        <v>24081.1856990286</v>
      </c>
      <c r="W27" s="758">
        <v>25423.430098264598</v>
      </c>
      <c r="X27" s="758">
        <v>26765.6744975006</v>
      </c>
    </row>
    <row r="28" spans="1:24">
      <c r="A28" s="757" t="s">
        <v>2333</v>
      </c>
      <c r="B28" s="758">
        <v>0</v>
      </c>
      <c r="C28" s="758">
        <v>-3.9699399999999998</v>
      </c>
      <c r="D28" s="758">
        <v>-3.9699399999999998</v>
      </c>
      <c r="E28" s="758">
        <v>-3.9699399999999998</v>
      </c>
      <c r="F28" s="758">
        <v>-3.9699399999999998</v>
      </c>
      <c r="G28" s="758">
        <v>-3.9699399999999998</v>
      </c>
      <c r="H28" s="758">
        <v>-3.9699399999999998</v>
      </c>
      <c r="I28" s="758">
        <v>-3.9699399999999998</v>
      </c>
      <c r="J28" s="758">
        <v>-3.9699399999999998</v>
      </c>
      <c r="K28" s="758">
        <v>-3.9699399999999998</v>
      </c>
      <c r="L28" s="758">
        <v>-3.9699399999999998</v>
      </c>
      <c r="M28" s="758">
        <v>-3.9699399999999998</v>
      </c>
      <c r="N28" s="758">
        <v>-3.9699399999999998</v>
      </c>
      <c r="O28" s="758">
        <v>-3.9699399999999998</v>
      </c>
      <c r="P28" s="758">
        <v>-3.9699399999999998</v>
      </c>
      <c r="Q28" s="758">
        <v>-3.9699399999999998</v>
      </c>
      <c r="R28" s="758">
        <v>-3.9699399999999998</v>
      </c>
      <c r="S28" s="758">
        <v>-3.9699399999999998</v>
      </c>
      <c r="T28" s="758">
        <v>-3.9699399999999998</v>
      </c>
      <c r="U28" s="758">
        <v>-3.9699399999999998</v>
      </c>
      <c r="V28" s="758">
        <v>-3.9699399999999998</v>
      </c>
      <c r="W28" s="758">
        <v>-3.9699399999999998</v>
      </c>
      <c r="X28" s="758">
        <v>-3.9699399999999998</v>
      </c>
    </row>
    <row r="29" spans="1:24">
      <c r="A29" s="757" t="s">
        <v>2430</v>
      </c>
      <c r="B29" s="758">
        <v>3695.7743</v>
      </c>
      <c r="C29" s="758">
        <v>4440.5585867841201</v>
      </c>
      <c r="D29" s="758">
        <v>5198.1847621480601</v>
      </c>
      <c r="E29" s="758">
        <v>5986.38860183616</v>
      </c>
      <c r="F29" s="758">
        <v>6806.2620903226698</v>
      </c>
      <c r="G29" s="758">
        <v>7631.0432670616701</v>
      </c>
      <c r="H29" s="758">
        <v>8460.53694380667</v>
      </c>
      <c r="I29" s="758">
        <v>9295.6493705456596</v>
      </c>
      <c r="J29" s="758">
        <v>10136.380547287599</v>
      </c>
      <c r="K29" s="758">
        <v>10980.9179740296</v>
      </c>
      <c r="L29" s="758">
        <v>11828.355400774601</v>
      </c>
      <c r="M29" s="758">
        <v>12955.468684716599</v>
      </c>
      <c r="N29" s="758">
        <v>14084.723635325599</v>
      </c>
      <c r="O29" s="758">
        <v>15213.978585934599</v>
      </c>
      <c r="P29" s="758">
        <v>16343.233536543599</v>
      </c>
      <c r="Q29" s="758">
        <v>17472.488487152601</v>
      </c>
      <c r="R29" s="758">
        <v>18708.238162084599</v>
      </c>
      <c r="S29" s="758">
        <v>20050.482561320601</v>
      </c>
      <c r="T29" s="758">
        <v>21392.7269605566</v>
      </c>
      <c r="U29" s="758">
        <v>22734.971359792598</v>
      </c>
      <c r="V29" s="758">
        <v>24077.215759028601</v>
      </c>
      <c r="W29" s="758">
        <v>25419.460158264599</v>
      </c>
      <c r="X29" s="758">
        <v>26761.704557500601</v>
      </c>
    </row>
    <row r="30" spans="1:24">
      <c r="A30" s="748" t="s">
        <v>3661</v>
      </c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6"/>
      <c r="S30" s="756"/>
      <c r="T30" s="756"/>
      <c r="U30" s="756"/>
      <c r="V30" s="756"/>
      <c r="W30" s="756"/>
      <c r="X30" s="756"/>
    </row>
    <row r="31" spans="1:24">
      <c r="A31" s="757" t="s">
        <v>1825</v>
      </c>
      <c r="B31" s="758">
        <v>1584.4935</v>
      </c>
      <c r="C31" s="758">
        <v>1644.6683303857001</v>
      </c>
      <c r="D31" s="758">
        <v>1704.8431607714001</v>
      </c>
      <c r="E31" s="758">
        <v>1765.0179911571001</v>
      </c>
      <c r="F31" s="758">
        <v>1825.1928215428002</v>
      </c>
      <c r="G31" s="758">
        <v>1885.3676519285</v>
      </c>
      <c r="H31" s="758">
        <v>1945.5424823142</v>
      </c>
      <c r="I31" s="758">
        <v>2005.7173126999</v>
      </c>
      <c r="J31" s="758">
        <v>2065.8921430855999</v>
      </c>
      <c r="K31" s="758">
        <v>2126.0669734712997</v>
      </c>
      <c r="L31" s="758">
        <v>2186.2418038569899</v>
      </c>
      <c r="M31" s="758">
        <v>9.54969436861574E-12</v>
      </c>
      <c r="N31" s="758">
        <v>9.54969436861574E-12</v>
      </c>
      <c r="O31" s="758">
        <v>9.54969436861574E-12</v>
      </c>
      <c r="P31" s="758">
        <v>9.54969436861574E-12</v>
      </c>
      <c r="Q31" s="758">
        <v>9.54969436861574E-12</v>
      </c>
      <c r="R31" s="758">
        <v>9.54969436861574E-12</v>
      </c>
      <c r="S31" s="758">
        <v>9.54969436861574E-12</v>
      </c>
      <c r="T31" s="758">
        <v>9.54969436861574E-12</v>
      </c>
      <c r="U31" s="758">
        <v>9.54969436861574E-12</v>
      </c>
      <c r="V31" s="758">
        <v>9.54969436861574E-12</v>
      </c>
      <c r="W31" s="758">
        <v>9.54969436861574E-12</v>
      </c>
      <c r="X31" s="758">
        <v>9.54969436861574E-12</v>
      </c>
    </row>
    <row r="32" spans="1:24">
      <c r="A32" s="757" t="s">
        <v>2333</v>
      </c>
      <c r="B32" s="758">
        <v>-2.1945799999999998</v>
      </c>
      <c r="C32" s="758">
        <v>-2.1945799999999998</v>
      </c>
      <c r="D32" s="758">
        <v>-2.1945799999999998</v>
      </c>
      <c r="E32" s="758">
        <v>-2.1945799999999998</v>
      </c>
      <c r="F32" s="758">
        <v>-2.1945799999999998</v>
      </c>
      <c r="G32" s="758">
        <v>-2.1945799999999998</v>
      </c>
      <c r="H32" s="758">
        <v>-2.1945799999999998</v>
      </c>
      <c r="I32" s="758">
        <v>-2.1945799999999998</v>
      </c>
      <c r="J32" s="758">
        <v>-2.1945799999999998</v>
      </c>
      <c r="K32" s="758">
        <v>-2.1945799999999998</v>
      </c>
      <c r="L32" s="758">
        <v>-2.1945799999999998</v>
      </c>
      <c r="M32" s="758">
        <v>0</v>
      </c>
      <c r="N32" s="758">
        <v>0</v>
      </c>
      <c r="O32" s="758">
        <v>0</v>
      </c>
      <c r="P32" s="758">
        <v>0</v>
      </c>
      <c r="Q32" s="758">
        <v>0</v>
      </c>
      <c r="R32" s="758">
        <v>0</v>
      </c>
      <c r="S32" s="758">
        <v>0</v>
      </c>
      <c r="T32" s="758">
        <v>0</v>
      </c>
      <c r="U32" s="758">
        <v>0</v>
      </c>
      <c r="V32" s="758">
        <v>0</v>
      </c>
      <c r="W32" s="758">
        <v>0</v>
      </c>
      <c r="X32" s="758">
        <v>0</v>
      </c>
    </row>
    <row r="33" spans="1:24">
      <c r="A33" s="757" t="s">
        <v>2430</v>
      </c>
      <c r="B33" s="758">
        <v>1582.29892</v>
      </c>
      <c r="C33" s="758">
        <v>1642.4737503857</v>
      </c>
      <c r="D33" s="758">
        <v>1702.6485807714</v>
      </c>
      <c r="E33" s="758">
        <v>1762.8234111571001</v>
      </c>
      <c r="F33" s="758">
        <v>1822.9982415428001</v>
      </c>
      <c r="G33" s="758">
        <v>1883.1730719284999</v>
      </c>
      <c r="H33" s="758">
        <v>1943.3479023141999</v>
      </c>
      <c r="I33" s="758">
        <v>2003.5227326999</v>
      </c>
      <c r="J33" s="758">
        <v>2063.6975630856</v>
      </c>
      <c r="K33" s="758">
        <v>2123.8723934712998</v>
      </c>
      <c r="L33" s="758">
        <v>2184.0472238569901</v>
      </c>
      <c r="M33" s="758">
        <v>9.54969436861574E-12</v>
      </c>
      <c r="N33" s="758">
        <v>9.54969436861574E-12</v>
      </c>
      <c r="O33" s="758">
        <v>9.54969436861574E-12</v>
      </c>
      <c r="P33" s="758">
        <v>9.54969436861574E-12</v>
      </c>
      <c r="Q33" s="758">
        <v>9.54969436861574E-12</v>
      </c>
      <c r="R33" s="758">
        <v>9.54969436861574E-12</v>
      </c>
      <c r="S33" s="758">
        <v>9.54969436861574E-12</v>
      </c>
      <c r="T33" s="758">
        <v>9.54969436861574E-12</v>
      </c>
      <c r="U33" s="758">
        <v>9.54969436861574E-12</v>
      </c>
      <c r="V33" s="758">
        <v>9.54969436861574E-12</v>
      </c>
      <c r="W33" s="758">
        <v>9.54969436861574E-12</v>
      </c>
      <c r="X33" s="758">
        <v>9.54969436861574E-12</v>
      </c>
    </row>
    <row r="34" spans="1:24">
      <c r="A34" s="748" t="s">
        <v>3662</v>
      </c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N34" s="756"/>
      <c r="O34" s="756"/>
      <c r="P34" s="756"/>
      <c r="Q34" s="756"/>
      <c r="R34" s="756"/>
      <c r="S34" s="756"/>
      <c r="T34" s="756"/>
      <c r="U34" s="756"/>
      <c r="V34" s="756"/>
      <c r="W34" s="756"/>
      <c r="X34" s="756"/>
    </row>
    <row r="35" spans="1:24">
      <c r="A35" s="757" t="s">
        <v>1825</v>
      </c>
      <c r="B35" s="758">
        <v>3237.88816</v>
      </c>
      <c r="C35" s="758">
        <v>3476.5427444091697</v>
      </c>
      <c r="D35" s="758">
        <v>3720.2744597933397</v>
      </c>
      <c r="E35" s="758">
        <v>3963.9979767845098</v>
      </c>
      <c r="F35" s="758">
        <v>4207.7214937756798</v>
      </c>
      <c r="G35" s="758">
        <v>4451.4450107668499</v>
      </c>
      <c r="H35" s="758">
        <v>4695.16852775802</v>
      </c>
      <c r="I35" s="758">
        <v>4938.8920447491901</v>
      </c>
      <c r="J35" s="758">
        <v>5182.6155617403601</v>
      </c>
      <c r="K35" s="758">
        <v>5426.3390787315302</v>
      </c>
      <c r="L35" s="760">
        <v>5670.0625957227003</v>
      </c>
      <c r="M35" s="760">
        <v>5940.7002561658001</v>
      </c>
      <c r="N35" s="760">
        <v>6211.3379166088907</v>
      </c>
      <c r="O35" s="760">
        <v>6481.9755770519905</v>
      </c>
      <c r="P35" s="760">
        <v>6807.6926923910896</v>
      </c>
      <c r="Q35" s="760">
        <v>7188.48926252619</v>
      </c>
      <c r="R35" s="760">
        <v>7569.2858326612904</v>
      </c>
      <c r="S35" s="760">
        <v>7950.0824027963899</v>
      </c>
      <c r="T35" s="760">
        <v>8330.8789729314904</v>
      </c>
      <c r="U35" s="760">
        <v>8711.6755430665908</v>
      </c>
      <c r="V35" s="760">
        <v>9092.4721132016894</v>
      </c>
      <c r="W35" s="760">
        <v>9473.2686833367807</v>
      </c>
      <c r="X35" s="760">
        <v>9854.0652534718793</v>
      </c>
    </row>
    <row r="36" spans="1:24">
      <c r="A36" s="757" t="s">
        <v>2333</v>
      </c>
      <c r="B36" s="758">
        <v>0</v>
      </c>
      <c r="C36" s="758">
        <v>-188.15955</v>
      </c>
      <c r="D36" s="758">
        <v>-188.15955</v>
      </c>
      <c r="E36" s="758">
        <v>-188.15955</v>
      </c>
      <c r="F36" s="758">
        <v>-188.15955</v>
      </c>
      <c r="G36" s="758">
        <v>-188.15955</v>
      </c>
      <c r="H36" s="758">
        <v>-188.15955</v>
      </c>
      <c r="I36" s="758">
        <v>-188.15955</v>
      </c>
      <c r="J36" s="758">
        <v>-188.15955</v>
      </c>
      <c r="K36" s="758">
        <v>-188.15955</v>
      </c>
      <c r="L36" s="760">
        <v>-188.15955</v>
      </c>
      <c r="M36" s="760">
        <v>-188.15955</v>
      </c>
      <c r="N36" s="760">
        <v>-188.15955</v>
      </c>
      <c r="O36" s="760">
        <v>-188.15955</v>
      </c>
      <c r="P36" s="760">
        <v>-188.15956</v>
      </c>
      <c r="Q36" s="760">
        <v>-188.15956</v>
      </c>
      <c r="R36" s="760">
        <v>-188.15956</v>
      </c>
      <c r="S36" s="760">
        <v>-188.15956</v>
      </c>
      <c r="T36" s="760">
        <v>-188.15956</v>
      </c>
      <c r="U36" s="760">
        <v>-188.15956</v>
      </c>
      <c r="V36" s="760">
        <v>-188.15956</v>
      </c>
      <c r="W36" s="760">
        <v>-188.15956</v>
      </c>
      <c r="X36" s="760">
        <v>-188.15956</v>
      </c>
    </row>
    <row r="37" spans="1:24">
      <c r="A37" s="757" t="s">
        <v>2430</v>
      </c>
      <c r="B37" s="758">
        <v>3237.88816</v>
      </c>
      <c r="C37" s="758">
        <v>3288.3831944091698</v>
      </c>
      <c r="D37" s="758">
        <v>3532.1149097933398</v>
      </c>
      <c r="E37" s="758">
        <v>3775.8384267845099</v>
      </c>
      <c r="F37" s="758">
        <v>4019.56194377568</v>
      </c>
      <c r="G37" s="758">
        <v>4263.2854607668496</v>
      </c>
      <c r="H37" s="758">
        <v>4507.0089777580197</v>
      </c>
      <c r="I37" s="758">
        <v>4750.7324947491898</v>
      </c>
      <c r="J37" s="758">
        <v>4994.4560117403598</v>
      </c>
      <c r="K37" s="758">
        <v>5238.1795287315299</v>
      </c>
      <c r="L37" s="760">
        <v>5481.9030457227</v>
      </c>
      <c r="M37" s="760">
        <v>5752.5407061657997</v>
      </c>
      <c r="N37" s="760">
        <v>6023.1783666088904</v>
      </c>
      <c r="O37" s="760">
        <v>6293.8160270519902</v>
      </c>
      <c r="P37" s="760">
        <v>6619.5331323910896</v>
      </c>
      <c r="Q37" s="760">
        <v>7000.32970252619</v>
      </c>
      <c r="R37" s="760">
        <v>7381.1262726612904</v>
      </c>
      <c r="S37" s="760">
        <v>7761.9228427963899</v>
      </c>
      <c r="T37" s="760">
        <v>8142.7194129314903</v>
      </c>
      <c r="U37" s="760">
        <v>8523.5159830665907</v>
      </c>
      <c r="V37" s="760">
        <v>8904.3125532016893</v>
      </c>
      <c r="W37" s="760">
        <v>9285.1091233367806</v>
      </c>
      <c r="X37" s="760">
        <v>9665.9056934718792</v>
      </c>
    </row>
    <row r="38" spans="1:24">
      <c r="A38" s="748" t="s">
        <v>3663</v>
      </c>
      <c r="B38" s="756"/>
      <c r="C38" s="756"/>
      <c r="D38" s="756"/>
      <c r="E38" s="756"/>
      <c r="F38" s="756"/>
      <c r="G38" s="756"/>
      <c r="H38" s="756"/>
      <c r="I38" s="756"/>
      <c r="J38" s="756"/>
      <c r="K38" s="756"/>
      <c r="L38" s="761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</row>
    <row r="39" spans="1:24">
      <c r="A39" s="757" t="s">
        <v>1825</v>
      </c>
      <c r="B39" s="758">
        <v>165870.33442</v>
      </c>
      <c r="C39" s="758">
        <v>170340.89488895101</v>
      </c>
      <c r="D39" s="758">
        <v>174808.709046442</v>
      </c>
      <c r="E39" s="758">
        <v>179058.12872137298</v>
      </c>
      <c r="F39" s="758">
        <v>183533.806577854</v>
      </c>
      <c r="G39" s="758">
        <v>188012.137098415</v>
      </c>
      <c r="H39" s="758">
        <v>192490.46761897599</v>
      </c>
      <c r="I39" s="758">
        <v>196971.69120206698</v>
      </c>
      <c r="J39" s="758">
        <v>201455.807847588</v>
      </c>
      <c r="K39" s="758">
        <v>205939.92449310899</v>
      </c>
      <c r="L39" s="760">
        <v>210424.04113862998</v>
      </c>
      <c r="M39" s="760">
        <v>5.8207660913467401E-11</v>
      </c>
      <c r="N39" s="760">
        <v>5.8207660913467401E-11</v>
      </c>
      <c r="O39" s="760">
        <v>5.8207660913467401E-11</v>
      </c>
      <c r="P39" s="760">
        <v>5.8207660913467401E-11</v>
      </c>
      <c r="Q39" s="760">
        <v>5.8207660913467401E-11</v>
      </c>
      <c r="R39" s="760">
        <v>5.8207660913467401E-11</v>
      </c>
      <c r="S39" s="760">
        <v>5.8207660913467401E-11</v>
      </c>
      <c r="T39" s="760">
        <v>5.8207660913467401E-11</v>
      </c>
      <c r="U39" s="760">
        <v>5.8207660913467401E-11</v>
      </c>
      <c r="V39" s="760">
        <v>5.8207660913467401E-11</v>
      </c>
      <c r="W39" s="760">
        <v>5.8207660913467401E-11</v>
      </c>
      <c r="X39" s="760">
        <v>5.8207660913467401E-11</v>
      </c>
    </row>
    <row r="40" spans="1:24">
      <c r="A40" s="757" t="s">
        <v>2333</v>
      </c>
      <c r="B40" s="758">
        <v>-111.31062</v>
      </c>
      <c r="C40" s="758">
        <v>-227.31135999999998</v>
      </c>
      <c r="D40" s="758">
        <v>-227.31135999999998</v>
      </c>
      <c r="E40" s="758">
        <v>-347.31135999999998</v>
      </c>
      <c r="F40" s="758">
        <v>-347.31135999999998</v>
      </c>
      <c r="G40" s="758">
        <v>-347.31135999999998</v>
      </c>
      <c r="H40" s="758">
        <v>-347.31135999999998</v>
      </c>
      <c r="I40" s="758">
        <v>-462.31135999999998</v>
      </c>
      <c r="J40" s="758">
        <v>-462.31135999999998</v>
      </c>
      <c r="K40" s="758">
        <v>-462.31135999999998</v>
      </c>
      <c r="L40" s="760">
        <v>-462.31135999999998</v>
      </c>
      <c r="M40" s="760">
        <v>0</v>
      </c>
      <c r="N40" s="760">
        <v>0</v>
      </c>
      <c r="O40" s="760">
        <v>0</v>
      </c>
      <c r="P40" s="760">
        <v>0</v>
      </c>
      <c r="Q40" s="760">
        <v>0</v>
      </c>
      <c r="R40" s="760">
        <v>0</v>
      </c>
      <c r="S40" s="760">
        <v>0</v>
      </c>
      <c r="T40" s="760">
        <v>0</v>
      </c>
      <c r="U40" s="760">
        <v>0</v>
      </c>
      <c r="V40" s="760">
        <v>0</v>
      </c>
      <c r="W40" s="760">
        <v>0</v>
      </c>
      <c r="X40" s="760">
        <v>0</v>
      </c>
    </row>
    <row r="41" spans="1:24">
      <c r="A41" s="757" t="s">
        <v>2430</v>
      </c>
      <c r="B41" s="758">
        <v>165759.0238</v>
      </c>
      <c r="C41" s="758">
        <v>170113.58352895101</v>
      </c>
      <c r="D41" s="758">
        <v>174581.39768644201</v>
      </c>
      <c r="E41" s="758">
        <v>178710.81736137299</v>
      </c>
      <c r="F41" s="758">
        <v>183186.49521785401</v>
      </c>
      <c r="G41" s="758">
        <v>187664.82573841501</v>
      </c>
      <c r="H41" s="758">
        <v>192143.156258976</v>
      </c>
      <c r="I41" s="758">
        <v>196509.37984206699</v>
      </c>
      <c r="J41" s="758">
        <v>200993.49648758801</v>
      </c>
      <c r="K41" s="758">
        <v>205477.613133109</v>
      </c>
      <c r="L41" s="760">
        <v>209961.72977862999</v>
      </c>
      <c r="M41" s="760">
        <v>5.8207660913467401E-11</v>
      </c>
      <c r="N41" s="760">
        <v>5.8207660913467401E-11</v>
      </c>
      <c r="O41" s="760">
        <v>5.8207660913467401E-11</v>
      </c>
      <c r="P41" s="760">
        <v>5.8207660913467401E-11</v>
      </c>
      <c r="Q41" s="760">
        <v>5.8207660913467401E-11</v>
      </c>
      <c r="R41" s="760">
        <v>5.8207660913467401E-11</v>
      </c>
      <c r="S41" s="760">
        <v>5.8207660913467401E-11</v>
      </c>
      <c r="T41" s="760">
        <v>5.8207660913467401E-11</v>
      </c>
      <c r="U41" s="760">
        <v>5.8207660913467401E-11</v>
      </c>
      <c r="V41" s="760">
        <v>5.8207660913467401E-11</v>
      </c>
      <c r="W41" s="760">
        <v>5.8207660913467401E-11</v>
      </c>
      <c r="X41" s="760">
        <v>5.8207660913467401E-11</v>
      </c>
    </row>
    <row r="42" spans="1:24">
      <c r="A42" s="748" t="s">
        <v>3664</v>
      </c>
      <c r="B42" s="759"/>
      <c r="C42" s="759"/>
      <c r="D42" s="759"/>
      <c r="E42" s="759"/>
      <c r="F42" s="759"/>
      <c r="G42" s="759"/>
      <c r="H42" s="759"/>
      <c r="I42" s="759"/>
      <c r="J42" s="759"/>
      <c r="K42" s="759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</row>
    <row r="43" spans="1:24">
      <c r="A43" s="757" t="s">
        <v>1825</v>
      </c>
      <c r="B43" s="758">
        <v>2371.3269300000002</v>
      </c>
      <c r="C43" s="758">
        <v>3051.3266269042001</v>
      </c>
      <c r="D43" s="758">
        <v>3737.2948378864003</v>
      </c>
      <c r="E43" s="758">
        <v>4428.5826465049004</v>
      </c>
      <c r="F43" s="758">
        <v>5125.9421044059</v>
      </c>
      <c r="G43" s="758">
        <v>5826.7161357709001</v>
      </c>
      <c r="H43" s="758">
        <v>6527.4901671359003</v>
      </c>
      <c r="I43" s="758">
        <v>7228.2641985009004</v>
      </c>
      <c r="J43" s="758">
        <v>7961.2768490669005</v>
      </c>
      <c r="K43" s="758">
        <v>8726.5281188269</v>
      </c>
      <c r="L43" s="760">
        <v>9491.7793885868996</v>
      </c>
      <c r="M43" s="760">
        <v>10499.5087635324</v>
      </c>
      <c r="N43" s="760">
        <v>11507.2381384779</v>
      </c>
      <c r="O43" s="760">
        <v>12514.9675134234</v>
      </c>
      <c r="P43" s="760">
        <v>13522.696888368901</v>
      </c>
      <c r="Q43" s="760">
        <v>14530.426263314401</v>
      </c>
      <c r="R43" s="760">
        <v>15538.155638259901</v>
      </c>
      <c r="S43" s="760">
        <v>16545.885013205399</v>
      </c>
      <c r="T43" s="760">
        <v>17553.614388150898</v>
      </c>
      <c r="U43" s="760">
        <v>18561.3437630964</v>
      </c>
      <c r="V43" s="760">
        <v>19569.073138041898</v>
      </c>
      <c r="W43" s="760">
        <v>20576.802512987397</v>
      </c>
      <c r="X43" s="760">
        <v>21584.531887932899</v>
      </c>
    </row>
    <row r="44" spans="1:24">
      <c r="A44" s="757" t="s">
        <v>2333</v>
      </c>
      <c r="B44" s="758">
        <v>0</v>
      </c>
      <c r="C44" s="758">
        <v>-1275.25107</v>
      </c>
      <c r="D44" s="758">
        <v>-1275.25107</v>
      </c>
      <c r="E44" s="758">
        <v>-1275.25107</v>
      </c>
      <c r="F44" s="758">
        <v>-1275.25107</v>
      </c>
      <c r="G44" s="758">
        <v>-1275.25107</v>
      </c>
      <c r="H44" s="758">
        <v>-1275.25107</v>
      </c>
      <c r="I44" s="758">
        <v>-1275.25107</v>
      </c>
      <c r="J44" s="758">
        <v>-1275.25107</v>
      </c>
      <c r="K44" s="758">
        <v>-1275.25107</v>
      </c>
      <c r="L44" s="758">
        <v>-1275.25107</v>
      </c>
      <c r="M44" s="758">
        <v>-1275.25107</v>
      </c>
      <c r="N44" s="758">
        <v>-1275.25107</v>
      </c>
      <c r="O44" s="758">
        <v>-1275.25107</v>
      </c>
      <c r="P44" s="758">
        <v>-1275.25107</v>
      </c>
      <c r="Q44" s="758">
        <v>-1275.25107</v>
      </c>
      <c r="R44" s="758">
        <v>-1275.25107</v>
      </c>
      <c r="S44" s="758">
        <v>-1275.25107</v>
      </c>
      <c r="T44" s="758">
        <v>-1275.25107</v>
      </c>
      <c r="U44" s="758">
        <v>-1275.25107</v>
      </c>
      <c r="V44" s="758">
        <v>-1275.25107</v>
      </c>
      <c r="W44" s="758">
        <v>-1275.25107</v>
      </c>
      <c r="X44" s="758">
        <v>-1275.25107</v>
      </c>
    </row>
    <row r="45" spans="1:24">
      <c r="A45" s="757" t="s">
        <v>2430</v>
      </c>
      <c r="B45" s="758">
        <v>2371.3269300000002</v>
      </c>
      <c r="C45" s="758">
        <v>1776.0755569042001</v>
      </c>
      <c r="D45" s="758">
        <v>2462.0437678864</v>
      </c>
      <c r="E45" s="758">
        <v>3153.3315765049001</v>
      </c>
      <c r="F45" s="758">
        <v>3850.6910344059002</v>
      </c>
      <c r="G45" s="758">
        <v>4551.4650657708999</v>
      </c>
      <c r="H45" s="758">
        <v>5252.2390971359</v>
      </c>
      <c r="I45" s="758">
        <v>5953.0131285009002</v>
      </c>
      <c r="J45" s="758">
        <v>6686.0257790669002</v>
      </c>
      <c r="K45" s="758">
        <v>7451.2770488268998</v>
      </c>
      <c r="L45" s="758">
        <v>8216.5283185868993</v>
      </c>
      <c r="M45" s="758">
        <v>9224.2576935323996</v>
      </c>
      <c r="N45" s="758">
        <v>10231.9870684779</v>
      </c>
      <c r="O45" s="758">
        <v>11239.7164434234</v>
      </c>
      <c r="P45" s="758">
        <v>12247.4458183689</v>
      </c>
      <c r="Q45" s="758">
        <v>13255.175193314401</v>
      </c>
      <c r="R45" s="758">
        <v>14262.904568259901</v>
      </c>
      <c r="S45" s="758">
        <v>15270.633943205399</v>
      </c>
      <c r="T45" s="758">
        <v>16278.363318150899</v>
      </c>
      <c r="U45" s="758">
        <v>17286.092693096401</v>
      </c>
      <c r="V45" s="758">
        <v>18293.8220680419</v>
      </c>
      <c r="W45" s="758">
        <v>19301.551442987398</v>
      </c>
      <c r="X45" s="758">
        <v>20309.2808179329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>
    <pageSetUpPr fitToPage="1"/>
  </sheetPr>
  <dimension ref="A1:Q81"/>
  <sheetViews>
    <sheetView zoomScale="85" zoomScaleNormal="85" workbookViewId="0">
      <pane xSplit="2" ySplit="3" topLeftCell="C4" activePane="bottomRight" state="frozen"/>
      <selection activeCell="H27" sqref="H27"/>
      <selection pane="topRight" activeCell="H27" sqref="H27"/>
      <selection pane="bottomLeft" activeCell="H27" sqref="H27"/>
      <selection pane="bottomRight" activeCell="C4" sqref="C4"/>
    </sheetView>
  </sheetViews>
  <sheetFormatPr defaultColWidth="9" defaultRowHeight="15"/>
  <cols>
    <col min="1" max="1" width="9" style="718"/>
    <col min="2" max="2" width="38.875" style="724" customWidth="1"/>
    <col min="3" max="4" width="9.375" style="718" customWidth="1"/>
    <col min="5" max="5" width="10.375" style="718" customWidth="1"/>
    <col min="6" max="15" width="9.375" style="718" customWidth="1"/>
    <col min="16" max="16384" width="9" style="718"/>
  </cols>
  <sheetData>
    <row r="1" spans="2:17" s="715" customFormat="1">
      <c r="B1" s="714"/>
    </row>
    <row r="2" spans="2:17" s="715" customFormat="1" ht="30">
      <c r="B2" s="716" t="s">
        <v>1833</v>
      </c>
      <c r="C2" s="399" t="s">
        <v>2698</v>
      </c>
      <c r="D2" s="399" t="s">
        <v>2699</v>
      </c>
      <c r="E2" s="399" t="s">
        <v>2700</v>
      </c>
      <c r="F2" s="399" t="s">
        <v>2701</v>
      </c>
      <c r="G2" s="399" t="s">
        <v>2702</v>
      </c>
      <c r="H2" s="399" t="s">
        <v>2703</v>
      </c>
      <c r="I2" s="399" t="s">
        <v>2704</v>
      </c>
      <c r="J2" s="399" t="s">
        <v>2705</v>
      </c>
      <c r="K2" s="399" t="s">
        <v>2706</v>
      </c>
      <c r="L2" s="399" t="s">
        <v>2707</v>
      </c>
      <c r="M2" s="399" t="s">
        <v>2708</v>
      </c>
      <c r="N2" s="399" t="s">
        <v>2709</v>
      </c>
      <c r="O2" s="399" t="s">
        <v>2800</v>
      </c>
    </row>
    <row r="3" spans="2:17" s="715" customFormat="1">
      <c r="B3" s="717" t="s">
        <v>1832</v>
      </c>
    </row>
    <row r="4" spans="2:17">
      <c r="B4" s="716"/>
    </row>
    <row r="5" spans="2:17">
      <c r="B5" s="236" t="s">
        <v>2336</v>
      </c>
      <c r="C5" s="401">
        <f>C69/1000</f>
        <v>5242.8382899999997</v>
      </c>
      <c r="D5" s="401">
        <f t="shared" ref="D5:H5" si="0">D69/1000</f>
        <v>5522.6746709999998</v>
      </c>
      <c r="E5" s="401">
        <f t="shared" si="0"/>
        <v>5857.9571299999998</v>
      </c>
      <c r="F5" s="401">
        <f t="shared" si="0"/>
        <v>5913.4031952560845</v>
      </c>
      <c r="G5" s="401">
        <f t="shared" si="0"/>
        <v>5912.6682847646671</v>
      </c>
      <c r="H5" s="401">
        <f t="shared" si="0"/>
        <v>5911.6562295169178</v>
      </c>
      <c r="I5" s="719">
        <v>5918.7787588962974</v>
      </c>
      <c r="J5" s="719">
        <v>5958.4524920305266</v>
      </c>
      <c r="K5" s="719">
        <v>6001.0936213196874</v>
      </c>
      <c r="L5" s="719">
        <v>6033.6218237680769</v>
      </c>
      <c r="M5" s="719">
        <v>6034.0526641605775</v>
      </c>
      <c r="N5" s="719">
        <v>6038.7651641665771</v>
      </c>
      <c r="O5" s="401">
        <f t="shared" ref="O5:O6" si="1">SUM(C5:N5)</f>
        <v>70345.962324879409</v>
      </c>
    </row>
    <row r="6" spans="2:17">
      <c r="B6" s="236" t="s">
        <v>2431</v>
      </c>
      <c r="C6" s="401">
        <v>845.96708999999998</v>
      </c>
      <c r="D6" s="401">
        <v>864.22573999999997</v>
      </c>
      <c r="E6" s="401">
        <v>888.86107000000004</v>
      </c>
      <c r="F6" s="401">
        <v>908.29645000000005</v>
      </c>
      <c r="G6" s="401">
        <v>931.52259000000004</v>
      </c>
      <c r="H6" s="401">
        <v>967.45141000000001</v>
      </c>
      <c r="I6" s="719">
        <v>997.93232792513697</v>
      </c>
      <c r="J6" s="719">
        <v>1018.38191257276</v>
      </c>
      <c r="K6" s="719">
        <v>1028.35300895554</v>
      </c>
      <c r="L6" s="719">
        <v>1043.39058795908</v>
      </c>
      <c r="M6" s="719">
        <v>1048.4728005505799</v>
      </c>
      <c r="N6" s="719">
        <v>1059.0057529860301</v>
      </c>
      <c r="O6" s="401">
        <f t="shared" si="1"/>
        <v>11601.860740949127</v>
      </c>
      <c r="P6" s="719"/>
      <c r="Q6" s="719"/>
    </row>
    <row r="7" spans="2:17">
      <c r="B7" s="236" t="s">
        <v>2337</v>
      </c>
      <c r="C7" s="401">
        <f t="shared" ref="C7:H14" ca="1" si="2">C71/1000</f>
        <v>160.39709968765655</v>
      </c>
      <c r="D7" s="401">
        <f t="shared" ca="1" si="2"/>
        <v>160.40254778251395</v>
      </c>
      <c r="E7" s="401">
        <f t="shared" ca="1" si="2"/>
        <v>159.63261103284714</v>
      </c>
      <c r="F7" s="401">
        <f t="shared" ca="1" si="2"/>
        <v>159.6409842686561</v>
      </c>
      <c r="G7" s="401">
        <f t="shared" ca="1" si="2"/>
        <v>159.60252838256673</v>
      </c>
      <c r="H7" s="401">
        <f t="shared" ca="1" si="2"/>
        <v>159.61074664369437</v>
      </c>
      <c r="I7" s="719">
        <v>187.158832195</v>
      </c>
      <c r="J7" s="719">
        <v>187.158832195</v>
      </c>
      <c r="K7" s="719">
        <v>187.158832195</v>
      </c>
      <c r="L7" s="719">
        <v>187.158832195</v>
      </c>
      <c r="M7" s="719">
        <v>184.570607811797</v>
      </c>
      <c r="N7" s="719">
        <v>184.570607811797</v>
      </c>
      <c r="O7" s="401">
        <f ca="1">SUM(C7:N7)</f>
        <v>2077.0630622015287</v>
      </c>
    </row>
    <row r="8" spans="2:17">
      <c r="B8" s="236" t="s">
        <v>2379</v>
      </c>
      <c r="C8" s="401">
        <f t="shared" ca="1" si="2"/>
        <v>-58.020069554999992</v>
      </c>
      <c r="D8" s="401">
        <f t="shared" ca="1" si="2"/>
        <v>-58.020069554999992</v>
      </c>
      <c r="E8" s="401">
        <f t="shared" ca="1" si="2"/>
        <v>-58.020069554999992</v>
      </c>
      <c r="F8" s="401">
        <f t="shared" ca="1" si="2"/>
        <v>-58.020069554999992</v>
      </c>
      <c r="G8" s="401">
        <f t="shared" ca="1" si="2"/>
        <v>-58.020069554999992</v>
      </c>
      <c r="H8" s="401">
        <f t="shared" ca="1" si="2"/>
        <v>-589.99045969353779</v>
      </c>
      <c r="I8" s="719">
        <v>-589.99046184617396</v>
      </c>
      <c r="J8" s="719">
        <v>-589.99046184617396</v>
      </c>
      <c r="K8" s="719">
        <v>-589.99046184617396</v>
      </c>
      <c r="L8" s="719">
        <v>-589.99046184617396</v>
      </c>
      <c r="M8" s="719">
        <v>-555.761304191146</v>
      </c>
      <c r="N8" s="719">
        <v>-555.76130419114702</v>
      </c>
      <c r="O8" s="401">
        <f t="shared" ref="O8" ca="1" si="3">SUM(C8:N8)</f>
        <v>-4351.575263235527</v>
      </c>
    </row>
    <row r="9" spans="2:17">
      <c r="B9" s="236" t="s">
        <v>2380</v>
      </c>
      <c r="C9" s="401">
        <f t="shared" ca="1" si="2"/>
        <v>0</v>
      </c>
      <c r="D9" s="401">
        <f t="shared" ca="1" si="2"/>
        <v>0</v>
      </c>
      <c r="E9" s="401">
        <f t="shared" ca="1" si="2"/>
        <v>0</v>
      </c>
      <c r="F9" s="401">
        <f t="shared" ca="1" si="2"/>
        <v>0</v>
      </c>
      <c r="G9" s="401">
        <f t="shared" ca="1" si="2"/>
        <v>0</v>
      </c>
      <c r="H9" s="401">
        <f t="shared" ca="1" si="2"/>
        <v>0</v>
      </c>
      <c r="I9" s="719">
        <v>0</v>
      </c>
      <c r="J9" s="719">
        <v>0</v>
      </c>
      <c r="K9" s="719">
        <v>0</v>
      </c>
      <c r="L9" s="719">
        <v>0</v>
      </c>
      <c r="M9" s="719">
        <v>0</v>
      </c>
      <c r="N9" s="719">
        <v>0</v>
      </c>
      <c r="O9" s="401">
        <f t="shared" ref="O9:O15" ca="1" si="4">SUM(C9:N9)</f>
        <v>0</v>
      </c>
    </row>
    <row r="10" spans="2:17">
      <c r="B10" s="236" t="s">
        <v>2338</v>
      </c>
      <c r="C10" s="401">
        <f ca="1">C74/1000</f>
        <v>-45.11137999999999</v>
      </c>
      <c r="D10" s="401">
        <f t="shared" ca="1" si="2"/>
        <v>-157.27701000000002</v>
      </c>
      <c r="E10" s="401">
        <f t="shared" ca="1" si="2"/>
        <v>-187.70914999999999</v>
      </c>
      <c r="F10" s="401">
        <f t="shared" ca="1" si="2"/>
        <v>-222.23257000000007</v>
      </c>
      <c r="G10" s="401">
        <f t="shared" ca="1" si="2"/>
        <v>-114.88301999999999</v>
      </c>
      <c r="H10" s="401">
        <f t="shared" ca="1" si="2"/>
        <v>-32.750160000000029</v>
      </c>
      <c r="I10" s="719">
        <v>-43.347000000000001</v>
      </c>
      <c r="J10" s="719">
        <v>-34.780999999999999</v>
      </c>
      <c r="K10" s="719">
        <v>-43.847000000000001</v>
      </c>
      <c r="L10" s="719">
        <v>-38.572000000000003</v>
      </c>
      <c r="M10" s="719">
        <v>-43.145000000000003</v>
      </c>
      <c r="N10" s="719">
        <v>-43.145000000000003</v>
      </c>
      <c r="O10" s="401">
        <f t="shared" ca="1" si="4"/>
        <v>-1006.80029</v>
      </c>
    </row>
    <row r="11" spans="2:17">
      <c r="B11" s="236" t="s">
        <v>2339</v>
      </c>
      <c r="C11" s="401">
        <f t="shared" ca="1" si="2"/>
        <v>48.530814166666651</v>
      </c>
      <c r="D11" s="401">
        <f t="shared" ca="1" si="2"/>
        <v>25.883678333333375</v>
      </c>
      <c r="E11" s="401">
        <f t="shared" ca="1" si="2"/>
        <v>42.063928333333372</v>
      </c>
      <c r="F11" s="401">
        <f t="shared" ca="1" si="2"/>
        <v>131.09041916666669</v>
      </c>
      <c r="G11" s="401">
        <f t="shared" ca="1" si="2"/>
        <v>62.032169166666677</v>
      </c>
      <c r="H11" s="401">
        <f t="shared" ca="1" si="2"/>
        <v>63.77149166666667</v>
      </c>
      <c r="I11" s="719">
        <v>223.982</v>
      </c>
      <c r="J11" s="719">
        <v>238.64599999999999</v>
      </c>
      <c r="K11" s="719">
        <v>227.43299999999999</v>
      </c>
      <c r="L11" s="719">
        <v>233.02</v>
      </c>
      <c r="M11" s="719">
        <v>242.447</v>
      </c>
      <c r="N11" s="719">
        <v>237.94899999999899</v>
      </c>
      <c r="O11" s="401">
        <f t="shared" ca="1" si="4"/>
        <v>1776.8495008333323</v>
      </c>
    </row>
    <row r="12" spans="2:17">
      <c r="B12" s="236" t="s">
        <v>2340</v>
      </c>
      <c r="C12" s="401">
        <f t="shared" ca="1" si="2"/>
        <v>592.69188999999994</v>
      </c>
      <c r="D12" s="401">
        <f t="shared" ca="1" si="2"/>
        <v>819.25678999999991</v>
      </c>
      <c r="E12" s="401">
        <f t="shared" ca="1" si="2"/>
        <v>612.83508000000006</v>
      </c>
      <c r="F12" s="401">
        <f t="shared" ca="1" si="2"/>
        <v>836.08704</v>
      </c>
      <c r="G12" s="401">
        <f t="shared" ca="1" si="2"/>
        <v>906.90876000000003</v>
      </c>
      <c r="H12" s="401">
        <f t="shared" ca="1" si="2"/>
        <v>905.54597000000012</v>
      </c>
      <c r="I12" s="719">
        <v>908.34400000000005</v>
      </c>
      <c r="J12" s="719">
        <v>895.803</v>
      </c>
      <c r="K12" s="719">
        <v>749.29300000000001</v>
      </c>
      <c r="L12" s="719">
        <v>1193.1379999999999</v>
      </c>
      <c r="M12" s="719">
        <v>886.48599999999999</v>
      </c>
      <c r="N12" s="719">
        <v>812.59299999999996</v>
      </c>
      <c r="O12" s="401">
        <f t="shared" ca="1" si="4"/>
        <v>10118.982530000001</v>
      </c>
    </row>
    <row r="13" spans="2:17">
      <c r="B13" s="236" t="s">
        <v>2341</v>
      </c>
      <c r="C13" s="484">
        <f t="shared" ca="1" si="2"/>
        <v>0.16600000000000001</v>
      </c>
      <c r="D13" s="484">
        <f t="shared" ca="1" si="2"/>
        <v>0.13100000000000001</v>
      </c>
      <c r="E13" s="484">
        <f t="shared" ca="1" si="2"/>
        <v>0.1</v>
      </c>
      <c r="F13" s="484">
        <f t="shared" ca="1" si="2"/>
        <v>0.19</v>
      </c>
      <c r="G13" s="484">
        <f t="shared" ca="1" si="2"/>
        <v>0.23</v>
      </c>
      <c r="H13" s="484">
        <f t="shared" ca="1" si="2"/>
        <v>0.193</v>
      </c>
      <c r="I13" s="719">
        <v>0</v>
      </c>
      <c r="J13" s="719">
        <v>0</v>
      </c>
      <c r="K13" s="719">
        <v>0</v>
      </c>
      <c r="L13" s="719">
        <v>0</v>
      </c>
      <c r="M13" s="719">
        <v>0</v>
      </c>
      <c r="N13" s="719">
        <v>0</v>
      </c>
      <c r="O13" s="484">
        <f t="shared" ca="1" si="4"/>
        <v>1.01</v>
      </c>
    </row>
    <row r="14" spans="2:17">
      <c r="B14" s="236" t="s">
        <v>2342</v>
      </c>
      <c r="C14" s="484">
        <f t="shared" ca="1" si="2"/>
        <v>596.43940999999995</v>
      </c>
      <c r="D14" s="484">
        <f t="shared" ca="1" si="2"/>
        <v>529.0921800000001</v>
      </c>
      <c r="E14" s="484">
        <f t="shared" ca="1" si="2"/>
        <v>663.17475000000002</v>
      </c>
      <c r="F14" s="484">
        <f t="shared" ca="1" si="2"/>
        <v>545.74820999999997</v>
      </c>
      <c r="G14" s="484">
        <f t="shared" ca="1" si="2"/>
        <v>361.96984999999995</v>
      </c>
      <c r="H14" s="484">
        <f t="shared" ca="1" si="2"/>
        <v>543.89323000000002</v>
      </c>
      <c r="I14" s="720">
        <v>758.41099999999994</v>
      </c>
      <c r="J14" s="720">
        <v>533.37300000000005</v>
      </c>
      <c r="K14" s="720">
        <v>587.29899999999998</v>
      </c>
      <c r="L14" s="720">
        <v>1388.5349999999901</v>
      </c>
      <c r="M14" s="720">
        <v>333.90099999999899</v>
      </c>
      <c r="N14" s="720">
        <v>420.125</v>
      </c>
      <c r="O14" s="484">
        <f t="shared" ca="1" si="4"/>
        <v>7261.9616299999898</v>
      </c>
    </row>
    <row r="15" spans="2:17">
      <c r="B15" s="236" t="s">
        <v>2343</v>
      </c>
      <c r="C15" s="235">
        <v>0</v>
      </c>
      <c r="D15" s="235">
        <v>0</v>
      </c>
      <c r="E15" s="235">
        <v>0</v>
      </c>
      <c r="F15" s="235">
        <v>0</v>
      </c>
      <c r="G15" s="235">
        <v>0</v>
      </c>
      <c r="H15" s="235">
        <v>0</v>
      </c>
      <c r="I15" s="720">
        <v>0</v>
      </c>
      <c r="J15" s="720">
        <v>0</v>
      </c>
      <c r="K15" s="720">
        <v>0</v>
      </c>
      <c r="L15" s="720">
        <v>0</v>
      </c>
      <c r="M15" s="720">
        <v>0</v>
      </c>
      <c r="N15" s="720">
        <v>0</v>
      </c>
      <c r="O15" s="401">
        <f t="shared" si="4"/>
        <v>0</v>
      </c>
    </row>
    <row r="16" spans="2:17">
      <c r="B16" s="716" t="s">
        <v>1995</v>
      </c>
      <c r="C16" s="485">
        <f t="shared" ref="C16:H16" ca="1" si="5">SUM(C4:C15)</f>
        <v>7383.8991442993229</v>
      </c>
      <c r="D16" s="485">
        <f t="shared" ca="1" si="5"/>
        <v>7706.3695275608479</v>
      </c>
      <c r="E16" s="485">
        <f t="shared" ca="1" si="5"/>
        <v>7978.8953498111805</v>
      </c>
      <c r="F16" s="485">
        <f t="shared" ca="1" si="5"/>
        <v>8214.2036591364067</v>
      </c>
      <c r="G16" s="485">
        <f t="shared" ca="1" si="5"/>
        <v>8162.0310927588998</v>
      </c>
      <c r="H16" s="485">
        <f t="shared" ca="1" si="5"/>
        <v>7929.381458133741</v>
      </c>
      <c r="I16" s="721">
        <f t="shared" ref="I16:N16" si="6">SUM(I5:I15)</f>
        <v>8361.2694571702596</v>
      </c>
      <c r="J16" s="721">
        <f t="shared" si="6"/>
        <v>8207.0437749521134</v>
      </c>
      <c r="K16" s="721">
        <f t="shared" si="6"/>
        <v>8146.7930006240531</v>
      </c>
      <c r="L16" s="721">
        <f t="shared" si="6"/>
        <v>9450.3017820759742</v>
      </c>
      <c r="M16" s="721">
        <f t="shared" si="6"/>
        <v>8131.0237683318073</v>
      </c>
      <c r="N16" s="721">
        <f t="shared" si="6"/>
        <v>8154.1022207732558</v>
      </c>
      <c r="O16" s="485">
        <f ca="1">SUM(O4:O15)</f>
        <v>97825.314235627855</v>
      </c>
    </row>
    <row r="17" spans="1:15">
      <c r="B17" s="716"/>
    </row>
    <row r="18" spans="1:15" s="235" customFormat="1">
      <c r="B18" s="722" t="s">
        <v>1996</v>
      </c>
    </row>
    <row r="19" spans="1:15">
      <c r="B19" s="236" t="s">
        <v>2338</v>
      </c>
      <c r="C19" s="401">
        <f t="shared" ref="C19:N19" ca="1" si="7">C10</f>
        <v>-45.11137999999999</v>
      </c>
      <c r="D19" s="401">
        <f t="shared" ca="1" si="7"/>
        <v>-157.27701000000002</v>
      </c>
      <c r="E19" s="401">
        <f t="shared" ca="1" si="7"/>
        <v>-187.70914999999999</v>
      </c>
      <c r="F19" s="401">
        <f t="shared" ca="1" si="7"/>
        <v>-222.23257000000007</v>
      </c>
      <c r="G19" s="401">
        <f t="shared" ca="1" si="7"/>
        <v>-114.88301999999999</v>
      </c>
      <c r="H19" s="401">
        <f t="shared" ca="1" si="7"/>
        <v>-32.750160000000029</v>
      </c>
      <c r="I19" s="401">
        <f t="shared" si="7"/>
        <v>-43.347000000000001</v>
      </c>
      <c r="J19" s="401">
        <f t="shared" si="7"/>
        <v>-34.780999999999999</v>
      </c>
      <c r="K19" s="401">
        <f t="shared" si="7"/>
        <v>-43.847000000000001</v>
      </c>
      <c r="L19" s="401">
        <f t="shared" si="7"/>
        <v>-38.572000000000003</v>
      </c>
      <c r="M19" s="401">
        <f t="shared" si="7"/>
        <v>-43.145000000000003</v>
      </c>
      <c r="N19" s="401">
        <f t="shared" si="7"/>
        <v>-43.145000000000003</v>
      </c>
      <c r="O19" s="401">
        <f t="shared" ref="O19:O22" ca="1" si="8">SUM(C19:N19)</f>
        <v>-1006.80029</v>
      </c>
    </row>
    <row r="20" spans="1:15">
      <c r="B20" s="236" t="s">
        <v>2339</v>
      </c>
      <c r="C20" s="401">
        <f t="shared" ref="C20:N20" ca="1" si="9">C11</f>
        <v>48.530814166666651</v>
      </c>
      <c r="D20" s="401">
        <f t="shared" ca="1" si="9"/>
        <v>25.883678333333375</v>
      </c>
      <c r="E20" s="401">
        <f t="shared" ca="1" si="9"/>
        <v>42.063928333333372</v>
      </c>
      <c r="F20" s="401">
        <f t="shared" ca="1" si="9"/>
        <v>131.09041916666669</v>
      </c>
      <c r="G20" s="401">
        <f t="shared" ca="1" si="9"/>
        <v>62.032169166666677</v>
      </c>
      <c r="H20" s="401">
        <f t="shared" ca="1" si="9"/>
        <v>63.77149166666667</v>
      </c>
      <c r="I20" s="401">
        <f t="shared" si="9"/>
        <v>223.982</v>
      </c>
      <c r="J20" s="401">
        <f t="shared" si="9"/>
        <v>238.64599999999999</v>
      </c>
      <c r="K20" s="401">
        <f t="shared" si="9"/>
        <v>227.43299999999999</v>
      </c>
      <c r="L20" s="401">
        <f t="shared" si="9"/>
        <v>233.02</v>
      </c>
      <c r="M20" s="401">
        <f t="shared" si="9"/>
        <v>242.447</v>
      </c>
      <c r="N20" s="401">
        <f t="shared" si="9"/>
        <v>237.94899999999899</v>
      </c>
      <c r="O20" s="401">
        <f t="shared" ca="1" si="8"/>
        <v>1776.8495008333323</v>
      </c>
    </row>
    <row r="21" spans="1:15">
      <c r="B21" s="236" t="s">
        <v>2340</v>
      </c>
      <c r="C21" s="401">
        <f t="shared" ref="C21:N21" ca="1" si="10">C12</f>
        <v>592.69188999999994</v>
      </c>
      <c r="D21" s="401">
        <f t="shared" ca="1" si="10"/>
        <v>819.25678999999991</v>
      </c>
      <c r="E21" s="401">
        <f t="shared" ca="1" si="10"/>
        <v>612.83508000000006</v>
      </c>
      <c r="F21" s="401">
        <f t="shared" ca="1" si="10"/>
        <v>836.08704</v>
      </c>
      <c r="G21" s="401">
        <f t="shared" ca="1" si="10"/>
        <v>906.90876000000003</v>
      </c>
      <c r="H21" s="401">
        <f t="shared" ca="1" si="10"/>
        <v>905.54597000000012</v>
      </c>
      <c r="I21" s="401">
        <f t="shared" si="10"/>
        <v>908.34400000000005</v>
      </c>
      <c r="J21" s="401">
        <f t="shared" si="10"/>
        <v>895.803</v>
      </c>
      <c r="K21" s="401">
        <f t="shared" si="10"/>
        <v>749.29300000000001</v>
      </c>
      <c r="L21" s="401">
        <f t="shared" si="10"/>
        <v>1193.1379999999999</v>
      </c>
      <c r="M21" s="401">
        <f t="shared" si="10"/>
        <v>886.48599999999999</v>
      </c>
      <c r="N21" s="401">
        <f t="shared" si="10"/>
        <v>812.59299999999996</v>
      </c>
      <c r="O21" s="401">
        <f t="shared" ca="1" si="8"/>
        <v>10118.982530000001</v>
      </c>
    </row>
    <row r="22" spans="1:15">
      <c r="B22" s="236" t="s">
        <v>2342</v>
      </c>
      <c r="C22" s="484">
        <f t="shared" ref="C22:N22" ca="1" si="11">C14</f>
        <v>596.43940999999995</v>
      </c>
      <c r="D22" s="484">
        <f t="shared" ca="1" si="11"/>
        <v>529.0921800000001</v>
      </c>
      <c r="E22" s="484">
        <f t="shared" ca="1" si="11"/>
        <v>663.17475000000002</v>
      </c>
      <c r="F22" s="484">
        <f t="shared" ca="1" si="11"/>
        <v>545.74820999999997</v>
      </c>
      <c r="G22" s="484">
        <f t="shared" ca="1" si="11"/>
        <v>361.96984999999995</v>
      </c>
      <c r="H22" s="484">
        <f t="shared" ca="1" si="11"/>
        <v>543.89323000000002</v>
      </c>
      <c r="I22" s="484">
        <f t="shared" si="11"/>
        <v>758.41099999999994</v>
      </c>
      <c r="J22" s="484">
        <f t="shared" si="11"/>
        <v>533.37300000000005</v>
      </c>
      <c r="K22" s="484">
        <f t="shared" si="11"/>
        <v>587.29899999999998</v>
      </c>
      <c r="L22" s="484">
        <f t="shared" si="11"/>
        <v>1388.5349999999901</v>
      </c>
      <c r="M22" s="484">
        <f t="shared" si="11"/>
        <v>333.90099999999899</v>
      </c>
      <c r="N22" s="484">
        <f t="shared" si="11"/>
        <v>420.125</v>
      </c>
      <c r="O22" s="401">
        <f t="shared" ca="1" si="8"/>
        <v>7261.9616299999898</v>
      </c>
    </row>
    <row r="23" spans="1:15" s="235" customFormat="1">
      <c r="B23" s="236"/>
      <c r="H23" s="401"/>
    </row>
    <row r="24" spans="1:15" s="235" customFormat="1">
      <c r="B24" s="236" t="s">
        <v>1997</v>
      </c>
      <c r="C24" s="721">
        <f t="shared" ref="C24:N24" ca="1" si="12">SUM(C19:C23)</f>
        <v>1192.5507341666666</v>
      </c>
      <c r="D24" s="721">
        <f t="shared" ca="1" si="12"/>
        <v>1216.9556383333334</v>
      </c>
      <c r="E24" s="721">
        <f t="shared" ca="1" si="12"/>
        <v>1130.3646083333333</v>
      </c>
      <c r="F24" s="721">
        <f t="shared" ca="1" si="12"/>
        <v>1290.6930991666666</v>
      </c>
      <c r="G24" s="721">
        <f t="shared" ca="1" si="12"/>
        <v>1216.0277591666668</v>
      </c>
      <c r="H24" s="721">
        <f t="shared" ca="1" si="12"/>
        <v>1480.4605316666666</v>
      </c>
      <c r="I24" s="721">
        <f t="shared" si="12"/>
        <v>1847.3899999999999</v>
      </c>
      <c r="J24" s="721">
        <f t="shared" si="12"/>
        <v>1633.0409999999999</v>
      </c>
      <c r="K24" s="721">
        <f t="shared" si="12"/>
        <v>1520.1779999999999</v>
      </c>
      <c r="L24" s="721">
        <f t="shared" si="12"/>
        <v>2776.1209999999901</v>
      </c>
      <c r="M24" s="721">
        <f t="shared" si="12"/>
        <v>1419.6889999999989</v>
      </c>
      <c r="N24" s="721">
        <f t="shared" si="12"/>
        <v>1427.521999999999</v>
      </c>
      <c r="O24" s="485">
        <f ca="1">SUM(C24:N24)</f>
        <v>18150.993370833319</v>
      </c>
    </row>
    <row r="25" spans="1:15" s="235" customFormat="1">
      <c r="B25" s="236" t="s">
        <v>1996</v>
      </c>
      <c r="I25" s="401"/>
      <c r="J25" s="401"/>
      <c r="K25" s="401"/>
      <c r="L25" s="401"/>
      <c r="M25" s="401"/>
      <c r="N25" s="401"/>
      <c r="O25" s="401">
        <f ca="1">O24*0.125</f>
        <v>2268.8741713541649</v>
      </c>
    </row>
    <row r="28" spans="1:15">
      <c r="A28" s="236" t="s">
        <v>2344</v>
      </c>
      <c r="B28" s="236"/>
    </row>
    <row r="29" spans="1:15">
      <c r="A29" s="483">
        <v>407.3</v>
      </c>
      <c r="B29" s="236" t="s">
        <v>2345</v>
      </c>
      <c r="C29" s="718">
        <v>901595.54839432577</v>
      </c>
      <c r="D29" s="718">
        <v>916755.86372616282</v>
      </c>
      <c r="E29" s="718">
        <v>933187.48619902926</v>
      </c>
      <c r="F29" s="718">
        <v>957310.78681952879</v>
      </c>
      <c r="G29" s="718">
        <v>978798.60142270313</v>
      </c>
      <c r="H29" s="718">
        <v>1021677.828668425</v>
      </c>
      <c r="K29" s="723"/>
    </row>
    <row r="30" spans="1:15">
      <c r="A30" s="235" t="str">
        <f>MID($B30,1,3)</f>
        <v>408</v>
      </c>
      <c r="B30" s="236" t="s">
        <v>1992</v>
      </c>
      <c r="C30" s="718">
        <v>160397.09968765656</v>
      </c>
      <c r="D30" s="718">
        <v>160402.54778251395</v>
      </c>
      <c r="E30" s="718">
        <v>159632.61103284714</v>
      </c>
      <c r="F30" s="718">
        <v>159640.98426865609</v>
      </c>
      <c r="G30" s="718">
        <v>159602.52838256673</v>
      </c>
      <c r="H30" s="718">
        <v>159610.74664369438</v>
      </c>
    </row>
    <row r="31" spans="1:15">
      <c r="A31" s="483">
        <v>411.8</v>
      </c>
      <c r="B31" s="236" t="s">
        <v>1993</v>
      </c>
    </row>
    <row r="32" spans="1:15">
      <c r="A32" s="235" t="str">
        <f t="shared" ref="A32:A63" si="13">MID($B32,1,3)</f>
        <v>501</v>
      </c>
      <c r="B32" s="236" t="s">
        <v>2346</v>
      </c>
      <c r="C32" s="718">
        <v>13590.65</v>
      </c>
      <c r="D32" s="718">
        <v>12950.65</v>
      </c>
      <c r="E32" s="718">
        <v>13745.81</v>
      </c>
      <c r="F32" s="718">
        <v>14951.12</v>
      </c>
      <c r="G32" s="718">
        <v>18533.689999999999</v>
      </c>
      <c r="H32" s="718">
        <v>17187.46</v>
      </c>
    </row>
    <row r="33" spans="1:8">
      <c r="A33" s="235" t="str">
        <f>MID($B33,1,3)</f>
        <v>501</v>
      </c>
      <c r="B33" s="236" t="s">
        <v>2346</v>
      </c>
      <c r="C33" s="718">
        <v>9820.36</v>
      </c>
      <c r="D33" s="718">
        <v>8785.52</v>
      </c>
      <c r="E33" s="718">
        <v>10993.28</v>
      </c>
      <c r="F33" s="718">
        <v>9533.56</v>
      </c>
      <c r="G33" s="718">
        <v>8263.7199999999993</v>
      </c>
      <c r="H33" s="718">
        <v>8652.93</v>
      </c>
    </row>
    <row r="34" spans="1:8">
      <c r="A34" s="235" t="str">
        <f t="shared" si="13"/>
        <v>501</v>
      </c>
      <c r="B34" s="236" t="s">
        <v>2346</v>
      </c>
      <c r="C34" s="718">
        <v>-7996.78</v>
      </c>
      <c r="D34" s="718">
        <v>-13501.78</v>
      </c>
      <c r="E34" s="718">
        <v>7880.59</v>
      </c>
      <c r="F34" s="718">
        <v>58531.24</v>
      </c>
      <c r="G34" s="718">
        <v>-80785.67</v>
      </c>
      <c r="H34" s="718">
        <v>49560.22</v>
      </c>
    </row>
    <row r="35" spans="1:8">
      <c r="A35" s="235" t="str">
        <f t="shared" si="13"/>
        <v>501</v>
      </c>
      <c r="B35" s="236" t="s">
        <v>2346</v>
      </c>
      <c r="C35" s="718">
        <v>-46297.95</v>
      </c>
      <c r="D35" s="718">
        <v>-54350.9</v>
      </c>
      <c r="E35" s="718">
        <v>-67314.05</v>
      </c>
      <c r="F35" s="718">
        <v>-135228.25</v>
      </c>
      <c r="G35" s="718">
        <v>0</v>
      </c>
      <c r="H35" s="718">
        <v>-80135.83</v>
      </c>
    </row>
    <row r="36" spans="1:8">
      <c r="A36" s="235" t="str">
        <f t="shared" si="13"/>
        <v>502</v>
      </c>
      <c r="B36" s="236" t="s">
        <v>2347</v>
      </c>
      <c r="C36" s="718">
        <v>15939.17</v>
      </c>
      <c r="D36" s="718">
        <v>13714.85</v>
      </c>
      <c r="E36" s="718">
        <v>13151.98</v>
      </c>
      <c r="F36" s="718">
        <v>13032.68</v>
      </c>
      <c r="G36" s="718">
        <v>13468.96</v>
      </c>
      <c r="H36" s="718">
        <v>-26501.64</v>
      </c>
    </row>
    <row r="37" spans="1:8">
      <c r="A37" s="235" t="str">
        <f t="shared" si="13"/>
        <v>502</v>
      </c>
      <c r="B37" s="236" t="s">
        <v>2347</v>
      </c>
      <c r="C37" s="718">
        <v>-77555.38</v>
      </c>
      <c r="D37" s="718">
        <v>-88492.27</v>
      </c>
      <c r="E37" s="718">
        <v>-83037.789999999994</v>
      </c>
      <c r="F37" s="718">
        <v>0</v>
      </c>
      <c r="G37" s="718">
        <v>0</v>
      </c>
      <c r="H37" s="718">
        <v>0</v>
      </c>
    </row>
    <row r="38" spans="1:8">
      <c r="A38" s="235" t="str">
        <f t="shared" si="13"/>
        <v>512</v>
      </c>
      <c r="B38" s="236" t="s">
        <v>2375</v>
      </c>
      <c r="C38" s="718">
        <v>0</v>
      </c>
      <c r="D38" s="718">
        <v>0</v>
      </c>
      <c r="E38" s="718">
        <v>0</v>
      </c>
      <c r="F38" s="718">
        <v>3760.8100000000004</v>
      </c>
      <c r="G38" s="718">
        <v>3050.01</v>
      </c>
      <c r="H38" s="718">
        <v>0</v>
      </c>
    </row>
    <row r="39" spans="1:8">
      <c r="A39" s="235" t="str">
        <f t="shared" si="13"/>
        <v>512</v>
      </c>
      <c r="B39" s="236" t="s">
        <v>2375</v>
      </c>
      <c r="C39" s="718">
        <v>0</v>
      </c>
      <c r="D39" s="718">
        <v>0</v>
      </c>
      <c r="E39" s="718">
        <v>0</v>
      </c>
      <c r="F39" s="718">
        <v>3439.4399999999996</v>
      </c>
      <c r="G39" s="718">
        <v>213.77</v>
      </c>
      <c r="H39" s="718">
        <v>662.95</v>
      </c>
    </row>
    <row r="40" spans="1:8">
      <c r="A40" s="235" t="str">
        <f t="shared" si="13"/>
        <v>512</v>
      </c>
      <c r="B40" s="236" t="s">
        <v>2375</v>
      </c>
      <c r="C40" s="718">
        <v>0</v>
      </c>
      <c r="D40" s="718">
        <v>19.920000000000002</v>
      </c>
      <c r="E40" s="718">
        <v>0</v>
      </c>
      <c r="F40" s="718">
        <v>2571.86</v>
      </c>
    </row>
    <row r="41" spans="1:8">
      <c r="A41" s="235" t="str">
        <f t="shared" si="13"/>
        <v>512</v>
      </c>
      <c r="B41" s="236" t="s">
        <v>2375</v>
      </c>
      <c r="D41" s="718">
        <v>22.3</v>
      </c>
      <c r="E41" s="718">
        <v>0</v>
      </c>
      <c r="F41" s="718">
        <v>16.89</v>
      </c>
    </row>
    <row r="42" spans="1:8">
      <c r="A42" s="235" t="str">
        <f t="shared" si="13"/>
        <v>512</v>
      </c>
      <c r="B42" s="236" t="s">
        <v>2375</v>
      </c>
      <c r="F42" s="718">
        <v>41.16</v>
      </c>
    </row>
    <row r="43" spans="1:8">
      <c r="A43" s="235" t="str">
        <f t="shared" si="13"/>
        <v>501</v>
      </c>
      <c r="B43" s="236" t="s">
        <v>2346</v>
      </c>
      <c r="C43" s="718">
        <v>-14227.66</v>
      </c>
      <c r="D43" s="718">
        <v>-111160.5</v>
      </c>
      <c r="E43" s="718">
        <v>-153014.78</v>
      </c>
      <c r="F43" s="718">
        <v>-170020.24000000005</v>
      </c>
      <c r="G43" s="718">
        <v>-60894.75999999998</v>
      </c>
      <c r="H43" s="718">
        <v>-28014.940000000031</v>
      </c>
    </row>
    <row r="44" spans="1:8">
      <c r="A44" s="235">
        <v>502</v>
      </c>
      <c r="B44" s="236" t="s">
        <v>2348</v>
      </c>
      <c r="C44" s="718">
        <v>-176101.20583333334</v>
      </c>
      <c r="D44" s="718">
        <v>-171595.75166666665</v>
      </c>
      <c r="E44" s="718">
        <v>-168232.56166666662</v>
      </c>
      <c r="F44" s="718">
        <v>-176733.0708333333</v>
      </c>
      <c r="G44" s="718">
        <v>-189707.91083333333</v>
      </c>
      <c r="H44" s="718">
        <v>-188109.22833333333</v>
      </c>
    </row>
    <row r="45" spans="1:8">
      <c r="A45" s="235" t="str">
        <f>MID($B45,2,3)</f>
        <v>506</v>
      </c>
      <c r="B45" s="236" t="s">
        <v>2369</v>
      </c>
      <c r="C45" s="718">
        <v>14406.4</v>
      </c>
      <c r="D45" s="718">
        <v>21239.22</v>
      </c>
      <c r="E45" s="718">
        <v>35130.839999999997</v>
      </c>
      <c r="F45" s="718">
        <v>40168.94</v>
      </c>
      <c r="G45" s="718">
        <v>5681.41</v>
      </c>
      <c r="H45" s="718">
        <v>25363.53</v>
      </c>
    </row>
    <row r="46" spans="1:8">
      <c r="A46" s="235" t="str">
        <f t="shared" ref="A46:A60" si="14">MID($B46,2,3)</f>
        <v>506</v>
      </c>
      <c r="B46" s="236" t="s">
        <v>2370</v>
      </c>
      <c r="C46" s="718">
        <v>0</v>
      </c>
      <c r="D46" s="718">
        <v>0</v>
      </c>
      <c r="E46" s="718">
        <v>0</v>
      </c>
      <c r="F46" s="718">
        <v>0</v>
      </c>
      <c r="G46" s="718">
        <v>0</v>
      </c>
      <c r="H46" s="718">
        <v>0</v>
      </c>
    </row>
    <row r="47" spans="1:8">
      <c r="A47" s="235" t="str">
        <f t="shared" si="14"/>
        <v>512</v>
      </c>
      <c r="B47" s="236" t="s">
        <v>2371</v>
      </c>
      <c r="C47" s="718">
        <v>14457.56</v>
      </c>
      <c r="D47" s="718">
        <v>10479.049999999999</v>
      </c>
      <c r="E47" s="718">
        <v>7244.14</v>
      </c>
      <c r="F47" s="718">
        <v>14823.14</v>
      </c>
      <c r="G47" s="718">
        <v>4350.93</v>
      </c>
      <c r="H47" s="718">
        <v>12050.78</v>
      </c>
    </row>
    <row r="48" spans="1:8">
      <c r="A48" s="235" t="str">
        <f t="shared" si="14"/>
        <v>506</v>
      </c>
      <c r="B48" s="236" t="s">
        <v>2349</v>
      </c>
      <c r="C48" s="718">
        <v>0</v>
      </c>
      <c r="D48" s="718">
        <v>0</v>
      </c>
      <c r="E48" s="718">
        <v>0</v>
      </c>
      <c r="F48" s="718">
        <v>0</v>
      </c>
      <c r="G48" s="718">
        <v>0</v>
      </c>
      <c r="H48" s="718">
        <v>0</v>
      </c>
    </row>
    <row r="49" spans="1:8">
      <c r="A49" s="235" t="str">
        <f t="shared" si="14"/>
        <v>506</v>
      </c>
      <c r="B49" s="236" t="s">
        <v>2350</v>
      </c>
      <c r="C49" s="718">
        <v>0</v>
      </c>
      <c r="D49" s="718">
        <v>0</v>
      </c>
      <c r="E49" s="718">
        <v>0</v>
      </c>
      <c r="F49" s="718">
        <v>0</v>
      </c>
      <c r="G49" s="718">
        <v>0</v>
      </c>
      <c r="H49" s="718">
        <v>0</v>
      </c>
    </row>
    <row r="50" spans="1:8">
      <c r="A50" s="235" t="str">
        <f t="shared" si="14"/>
        <v>512</v>
      </c>
      <c r="B50" s="236" t="s">
        <v>2351</v>
      </c>
      <c r="C50" s="718">
        <v>0</v>
      </c>
      <c r="D50" s="718">
        <v>0</v>
      </c>
      <c r="E50" s="718">
        <v>0</v>
      </c>
      <c r="F50" s="718">
        <v>0</v>
      </c>
      <c r="G50" s="718">
        <v>0</v>
      </c>
      <c r="H50" s="718">
        <v>0</v>
      </c>
    </row>
    <row r="51" spans="1:8">
      <c r="A51" s="235" t="str">
        <f t="shared" si="14"/>
        <v>502</v>
      </c>
      <c r="B51" s="236" t="s">
        <v>2372</v>
      </c>
      <c r="C51" s="718">
        <v>110106.37</v>
      </c>
      <c r="D51" s="718">
        <v>98986.94</v>
      </c>
      <c r="E51" s="718">
        <v>101089.81</v>
      </c>
      <c r="F51" s="718">
        <v>111574.48000000001</v>
      </c>
      <c r="G51" s="718">
        <v>73218.89</v>
      </c>
      <c r="H51" s="718">
        <v>92607.44</v>
      </c>
    </row>
    <row r="52" spans="1:8">
      <c r="A52" s="235" t="str">
        <f t="shared" si="14"/>
        <v>512</v>
      </c>
      <c r="B52" s="236" t="s">
        <v>2373</v>
      </c>
      <c r="C52" s="718">
        <v>478364.56999999995</v>
      </c>
      <c r="D52" s="718">
        <v>435786.68</v>
      </c>
      <c r="E52" s="718">
        <v>513579.66000000003</v>
      </c>
      <c r="F52" s="718">
        <v>421019.14</v>
      </c>
      <c r="G52" s="718">
        <v>270636.62</v>
      </c>
      <c r="H52" s="718">
        <v>438223.94</v>
      </c>
    </row>
    <row r="53" spans="1:8">
      <c r="A53" s="235" t="str">
        <f t="shared" si="14"/>
        <v>506</v>
      </c>
      <c r="B53" s="236" t="s">
        <v>2349</v>
      </c>
      <c r="C53" s="718">
        <v>49350.39</v>
      </c>
      <c r="D53" s="718">
        <v>46607.45</v>
      </c>
      <c r="E53" s="718">
        <v>52501.99</v>
      </c>
      <c r="F53" s="718">
        <v>45538.46</v>
      </c>
      <c r="G53" s="718">
        <v>52470.6</v>
      </c>
      <c r="H53" s="718">
        <v>48866.26</v>
      </c>
    </row>
    <row r="54" spans="1:8">
      <c r="A54" s="235" t="str">
        <f t="shared" si="14"/>
        <v>506</v>
      </c>
      <c r="B54" s="236" t="s">
        <v>2350</v>
      </c>
      <c r="C54" s="718">
        <v>458694.72</v>
      </c>
      <c r="D54" s="718">
        <v>312650.95999999996</v>
      </c>
      <c r="E54" s="718">
        <v>481236.69</v>
      </c>
      <c r="F54" s="718">
        <v>681368.21000000008</v>
      </c>
      <c r="G54" s="718">
        <v>708733.82</v>
      </c>
      <c r="H54" s="718">
        <v>723838.3</v>
      </c>
    </row>
    <row r="55" spans="1:8">
      <c r="A55" s="235" t="str">
        <f t="shared" si="14"/>
        <v>512</v>
      </c>
      <c r="B55" s="236" t="s">
        <v>2351</v>
      </c>
      <c r="C55" s="718">
        <v>33998.65</v>
      </c>
      <c r="D55" s="718">
        <v>21876</v>
      </c>
      <c r="E55" s="718">
        <v>35260.42</v>
      </c>
      <c r="F55" s="718">
        <v>36045.979999999996</v>
      </c>
      <c r="G55" s="718">
        <v>29422.190000000002</v>
      </c>
      <c r="H55" s="718">
        <v>32027.739999999998</v>
      </c>
    </row>
    <row r="56" spans="1:8">
      <c r="A56" s="235" t="str">
        <f t="shared" si="14"/>
        <v>506</v>
      </c>
      <c r="B56" s="236" t="s">
        <v>2352</v>
      </c>
      <c r="C56" s="718">
        <v>0</v>
      </c>
      <c r="D56" s="718">
        <v>0</v>
      </c>
      <c r="E56" s="718">
        <v>0</v>
      </c>
      <c r="F56" s="718">
        <v>0</v>
      </c>
      <c r="G56" s="718">
        <v>0</v>
      </c>
      <c r="H56" s="718">
        <v>0</v>
      </c>
    </row>
    <row r="57" spans="1:8">
      <c r="A57" s="235" t="str">
        <f t="shared" si="14"/>
        <v>512</v>
      </c>
      <c r="B57" s="236" t="s">
        <v>2353</v>
      </c>
      <c r="C57" s="718">
        <v>50586.400000000001</v>
      </c>
      <c r="D57" s="718">
        <v>24771.77</v>
      </c>
      <c r="E57" s="718">
        <v>53042.07</v>
      </c>
      <c r="F57" s="718">
        <v>24911.59</v>
      </c>
      <c r="G57" s="718">
        <v>24402.92</v>
      </c>
      <c r="H57" s="718">
        <v>27401.690000000002</v>
      </c>
    </row>
    <row r="58" spans="1:8">
      <c r="A58" s="235" t="str">
        <f t="shared" si="14"/>
        <v>506</v>
      </c>
      <c r="B58" s="236" t="s">
        <v>2354</v>
      </c>
      <c r="C58" s="718">
        <v>70240.38</v>
      </c>
      <c r="D58" s="718">
        <v>191199.44</v>
      </c>
      <c r="E58" s="718">
        <v>43965.56</v>
      </c>
      <c r="F58" s="718">
        <v>69011.429999999993</v>
      </c>
      <c r="G58" s="718">
        <v>78868.37</v>
      </c>
      <c r="H58" s="718">
        <v>44474.400000000001</v>
      </c>
    </row>
    <row r="59" spans="1:8">
      <c r="A59" s="235" t="str">
        <f t="shared" si="14"/>
        <v>502</v>
      </c>
      <c r="B59" s="236" t="s">
        <v>2372</v>
      </c>
      <c r="C59" s="718">
        <v>176141.86</v>
      </c>
      <c r="D59" s="718">
        <v>173269.91</v>
      </c>
      <c r="E59" s="718">
        <v>179092.49</v>
      </c>
      <c r="F59" s="718">
        <v>183216.33</v>
      </c>
      <c r="G59" s="718">
        <v>165052.23000000001</v>
      </c>
      <c r="H59" s="718">
        <v>185774.92</v>
      </c>
    </row>
    <row r="60" spans="1:8">
      <c r="A60" s="235" t="str">
        <f t="shared" si="14"/>
        <v>512</v>
      </c>
      <c r="B60" s="236" t="s">
        <v>2373</v>
      </c>
      <c r="C60" s="718">
        <v>19032.23</v>
      </c>
      <c r="D60" s="718">
        <v>36136.46</v>
      </c>
      <c r="E60" s="718">
        <v>54048.46</v>
      </c>
      <c r="F60" s="718">
        <v>39118.199999999997</v>
      </c>
      <c r="G60" s="718">
        <v>29893.41</v>
      </c>
      <c r="H60" s="718">
        <v>33526.129999999997</v>
      </c>
    </row>
    <row r="61" spans="1:8">
      <c r="A61" s="235" t="str">
        <f>MID($B61,1,3)</f>
        <v>506</v>
      </c>
      <c r="B61" s="236" t="s">
        <v>2355</v>
      </c>
      <c r="C61" s="718">
        <v>0</v>
      </c>
      <c r="D61" s="718">
        <v>247559.72</v>
      </c>
      <c r="E61" s="718">
        <v>0</v>
      </c>
      <c r="F61" s="718">
        <v>0</v>
      </c>
      <c r="G61" s="718">
        <v>61154.559999999998</v>
      </c>
      <c r="H61" s="718">
        <v>63003.48</v>
      </c>
    </row>
    <row r="62" spans="1:8">
      <c r="A62" s="235" t="str">
        <f>MID($B62,1,3)</f>
        <v>509</v>
      </c>
      <c r="B62" s="236" t="s">
        <v>1994</v>
      </c>
      <c r="C62" s="718">
        <v>166</v>
      </c>
      <c r="D62" s="718">
        <v>131</v>
      </c>
      <c r="E62" s="718">
        <v>100</v>
      </c>
      <c r="F62" s="718">
        <v>190</v>
      </c>
      <c r="G62" s="718">
        <v>230</v>
      </c>
      <c r="H62" s="718">
        <v>193</v>
      </c>
    </row>
    <row r="63" spans="1:8">
      <c r="A63" s="235" t="str">
        <f t="shared" si="13"/>
        <v>411</v>
      </c>
      <c r="B63" s="236" t="s">
        <v>2376</v>
      </c>
      <c r="C63" s="718">
        <v>-58020.069554999995</v>
      </c>
      <c r="D63" s="718">
        <v>-58020.069554999995</v>
      </c>
      <c r="E63" s="718">
        <v>-58020.069554999995</v>
      </c>
      <c r="F63" s="718">
        <v>-58020.069554999995</v>
      </c>
      <c r="G63" s="718">
        <v>-58020.069554999995</v>
      </c>
      <c r="H63" s="718">
        <v>-589990.45969353779</v>
      </c>
    </row>
    <row r="64" spans="1:8">
      <c r="A64" s="235">
        <v>923</v>
      </c>
      <c r="B64" s="236" t="s">
        <v>2356</v>
      </c>
    </row>
    <row r="65" spans="1:9">
      <c r="A65" s="235"/>
      <c r="B65" s="236" t="s">
        <v>233</v>
      </c>
      <c r="C65" s="718">
        <f t="shared" ref="C65:H65" si="15">SUM(C29:C64)</f>
        <v>2196689.3126936485</v>
      </c>
      <c r="D65" s="718">
        <f t="shared" si="15"/>
        <v>2236224.9802870099</v>
      </c>
      <c r="E65" s="718">
        <f t="shared" si="15"/>
        <v>2165264.6360102096</v>
      </c>
      <c r="F65" s="718">
        <f t="shared" si="15"/>
        <v>2349814.8006998519</v>
      </c>
      <c r="G65" s="718">
        <f t="shared" si="15"/>
        <v>2296638.819416937</v>
      </c>
      <c r="H65" s="718">
        <f t="shared" si="15"/>
        <v>2071951.6472852479</v>
      </c>
    </row>
    <row r="68" spans="1:9">
      <c r="A68" s="236" t="s">
        <v>2357</v>
      </c>
      <c r="B68" s="235"/>
      <c r="C68" s="235"/>
      <c r="D68" s="235"/>
      <c r="E68" s="235"/>
      <c r="F68" s="235"/>
      <c r="G68" s="235"/>
      <c r="H68" s="235"/>
      <c r="I68" s="235"/>
    </row>
    <row r="69" spans="1:9">
      <c r="A69" s="235" t="s">
        <v>2358</v>
      </c>
      <c r="B69" s="236" t="s">
        <v>2359</v>
      </c>
      <c r="C69" s="235">
        <v>5242838.29</v>
      </c>
      <c r="D69" s="235">
        <v>5522674.6710000001</v>
      </c>
      <c r="E69" s="235">
        <v>5857957.1299999999</v>
      </c>
      <c r="F69" s="235">
        <v>5913403.1952560842</v>
      </c>
      <c r="G69" s="235">
        <v>5912668.284764667</v>
      </c>
      <c r="H69" s="235">
        <v>5911656.2295169178</v>
      </c>
      <c r="I69" s="235"/>
    </row>
    <row r="70" spans="1:9">
      <c r="A70" s="483">
        <v>407.3</v>
      </c>
      <c r="B70" s="236" t="s">
        <v>2360</v>
      </c>
      <c r="C70" s="235">
        <f t="shared" ref="C70:H79" ca="1" si="16">SUMIF($A$29:$H$64,$A70,C$29:C$64)</f>
        <v>901595.54839432577</v>
      </c>
      <c r="D70" s="235">
        <f t="shared" ca="1" si="16"/>
        <v>916755.86372616282</v>
      </c>
      <c r="E70" s="235">
        <f t="shared" ca="1" si="16"/>
        <v>933187.48619902926</v>
      </c>
      <c r="F70" s="235">
        <f t="shared" ca="1" si="16"/>
        <v>957310.78681952879</v>
      </c>
      <c r="G70" s="235">
        <f t="shared" ca="1" si="16"/>
        <v>978798.60142270313</v>
      </c>
      <c r="H70" s="235">
        <f t="shared" ca="1" si="16"/>
        <v>1021677.828668425</v>
      </c>
      <c r="I70" s="235"/>
    </row>
    <row r="71" spans="1:9">
      <c r="A71" s="235">
        <v>408</v>
      </c>
      <c r="B71" s="236" t="s">
        <v>2361</v>
      </c>
      <c r="C71" s="235">
        <f t="shared" ca="1" si="16"/>
        <v>160397.09968765656</v>
      </c>
      <c r="D71" s="235">
        <f t="shared" ca="1" si="16"/>
        <v>160402.54778251395</v>
      </c>
      <c r="E71" s="235">
        <f t="shared" ca="1" si="16"/>
        <v>159632.61103284714</v>
      </c>
      <c r="F71" s="235">
        <f t="shared" ca="1" si="16"/>
        <v>159640.98426865609</v>
      </c>
      <c r="G71" s="235">
        <f t="shared" ca="1" si="16"/>
        <v>159602.52838256673</v>
      </c>
      <c r="H71" s="235">
        <f t="shared" ca="1" si="16"/>
        <v>159610.74664369438</v>
      </c>
      <c r="I71" s="235"/>
    </row>
    <row r="72" spans="1:9">
      <c r="A72" s="235">
        <v>411</v>
      </c>
      <c r="B72" s="236" t="s">
        <v>2378</v>
      </c>
      <c r="C72" s="235">
        <f t="shared" ca="1" si="16"/>
        <v>-58020.069554999995</v>
      </c>
      <c r="D72" s="235">
        <f t="shared" ca="1" si="16"/>
        <v>-58020.069554999995</v>
      </c>
      <c r="E72" s="235">
        <f t="shared" ca="1" si="16"/>
        <v>-58020.069554999995</v>
      </c>
      <c r="F72" s="235">
        <f t="shared" ca="1" si="16"/>
        <v>-58020.069554999995</v>
      </c>
      <c r="G72" s="235">
        <f t="shared" ca="1" si="16"/>
        <v>-58020.069554999995</v>
      </c>
      <c r="H72" s="235">
        <f t="shared" ca="1" si="16"/>
        <v>-589990.45969353779</v>
      </c>
      <c r="I72" s="235"/>
    </row>
    <row r="73" spans="1:9">
      <c r="A73" s="483">
        <v>411.8</v>
      </c>
      <c r="B73" s="236" t="s">
        <v>2377</v>
      </c>
      <c r="C73" s="235">
        <f t="shared" ca="1" si="16"/>
        <v>0</v>
      </c>
      <c r="D73" s="235">
        <f t="shared" ca="1" si="16"/>
        <v>0</v>
      </c>
      <c r="E73" s="235">
        <f t="shared" ca="1" si="16"/>
        <v>0</v>
      </c>
      <c r="F73" s="235">
        <f t="shared" ca="1" si="16"/>
        <v>0</v>
      </c>
      <c r="G73" s="235">
        <f t="shared" ca="1" si="16"/>
        <v>0</v>
      </c>
      <c r="H73" s="235">
        <f t="shared" ca="1" si="16"/>
        <v>0</v>
      </c>
      <c r="I73" s="235"/>
    </row>
    <row r="74" spans="1:9">
      <c r="A74" s="235">
        <v>501</v>
      </c>
      <c r="B74" s="236" t="s">
        <v>2362</v>
      </c>
      <c r="C74" s="235">
        <f t="shared" ca="1" si="16"/>
        <v>-45111.37999999999</v>
      </c>
      <c r="D74" s="235">
        <f t="shared" ca="1" si="16"/>
        <v>-157277.01</v>
      </c>
      <c r="E74" s="235">
        <f t="shared" ca="1" si="16"/>
        <v>-187709.15</v>
      </c>
      <c r="F74" s="235">
        <f t="shared" ca="1" si="16"/>
        <v>-222232.57000000007</v>
      </c>
      <c r="G74" s="235">
        <f t="shared" ca="1" si="16"/>
        <v>-114883.01999999999</v>
      </c>
      <c r="H74" s="235">
        <f t="shared" ca="1" si="16"/>
        <v>-32750.160000000033</v>
      </c>
      <c r="I74" s="235"/>
    </row>
    <row r="75" spans="1:9">
      <c r="A75" s="235">
        <v>502</v>
      </c>
      <c r="B75" s="236" t="s">
        <v>2363</v>
      </c>
      <c r="C75" s="235">
        <f t="shared" ca="1" si="16"/>
        <v>48530.814166666649</v>
      </c>
      <c r="D75" s="235">
        <f t="shared" ca="1" si="16"/>
        <v>25883.678333333373</v>
      </c>
      <c r="E75" s="235">
        <f t="shared" ca="1" si="16"/>
        <v>42063.928333333373</v>
      </c>
      <c r="F75" s="235">
        <f t="shared" ca="1" si="16"/>
        <v>131090.41916666669</v>
      </c>
      <c r="G75" s="235">
        <f t="shared" ca="1" si="16"/>
        <v>62032.169166666674</v>
      </c>
      <c r="H75" s="235">
        <f t="shared" ca="1" si="16"/>
        <v>63771.491666666669</v>
      </c>
      <c r="I75" s="235"/>
    </row>
    <row r="76" spans="1:9">
      <c r="A76" s="235">
        <v>506</v>
      </c>
      <c r="B76" s="236" t="s">
        <v>2364</v>
      </c>
      <c r="C76" s="235">
        <f t="shared" ca="1" si="16"/>
        <v>592691.8899999999</v>
      </c>
      <c r="D76" s="235">
        <f t="shared" ca="1" si="16"/>
        <v>819256.78999999992</v>
      </c>
      <c r="E76" s="235">
        <f t="shared" ca="1" si="16"/>
        <v>612835.08000000007</v>
      </c>
      <c r="F76" s="235">
        <f t="shared" ca="1" si="16"/>
        <v>836087.04</v>
      </c>
      <c r="G76" s="235">
        <f t="shared" ca="1" si="16"/>
        <v>906908.76</v>
      </c>
      <c r="H76" s="235">
        <f t="shared" ca="1" si="16"/>
        <v>905545.97000000009</v>
      </c>
      <c r="I76" s="235"/>
    </row>
    <row r="77" spans="1:9">
      <c r="A77" s="235">
        <v>509</v>
      </c>
      <c r="B77" s="236" t="s">
        <v>2365</v>
      </c>
      <c r="C77" s="235">
        <f t="shared" ca="1" si="16"/>
        <v>166</v>
      </c>
      <c r="D77" s="235">
        <f t="shared" ca="1" si="16"/>
        <v>131</v>
      </c>
      <c r="E77" s="235">
        <f t="shared" ca="1" si="16"/>
        <v>100</v>
      </c>
      <c r="F77" s="235">
        <f t="shared" ca="1" si="16"/>
        <v>190</v>
      </c>
      <c r="G77" s="235">
        <f t="shared" ca="1" si="16"/>
        <v>230</v>
      </c>
      <c r="H77" s="235">
        <f t="shared" ca="1" si="16"/>
        <v>193</v>
      </c>
      <c r="I77" s="235"/>
    </row>
    <row r="78" spans="1:9">
      <c r="A78" s="235">
        <v>512</v>
      </c>
      <c r="B78" s="236" t="s">
        <v>2366</v>
      </c>
      <c r="C78" s="235">
        <f t="shared" ca="1" si="16"/>
        <v>596439.40999999992</v>
      </c>
      <c r="D78" s="235">
        <f t="shared" ca="1" si="16"/>
        <v>529092.18000000005</v>
      </c>
      <c r="E78" s="235">
        <f t="shared" ca="1" si="16"/>
        <v>663174.75</v>
      </c>
      <c r="F78" s="235">
        <f t="shared" ca="1" si="16"/>
        <v>545748.21</v>
      </c>
      <c r="G78" s="235">
        <f t="shared" ca="1" si="16"/>
        <v>361969.85</v>
      </c>
      <c r="H78" s="235">
        <f t="shared" ca="1" si="16"/>
        <v>543893.23</v>
      </c>
      <c r="I78" s="235"/>
    </row>
    <row r="79" spans="1:9">
      <c r="A79" s="235">
        <v>923</v>
      </c>
      <c r="B79" s="236" t="s">
        <v>2356</v>
      </c>
      <c r="C79" s="235">
        <f t="shared" ca="1" si="16"/>
        <v>0</v>
      </c>
      <c r="D79" s="235">
        <f t="shared" ca="1" si="16"/>
        <v>0</v>
      </c>
      <c r="E79" s="235">
        <f t="shared" ca="1" si="16"/>
        <v>0</v>
      </c>
      <c r="F79" s="235">
        <f t="shared" ca="1" si="16"/>
        <v>0</v>
      </c>
      <c r="G79" s="235">
        <f t="shared" ca="1" si="16"/>
        <v>0</v>
      </c>
      <c r="H79" s="235">
        <f t="shared" ca="1" si="16"/>
        <v>0</v>
      </c>
      <c r="I79" s="235"/>
    </row>
    <row r="80" spans="1:9">
      <c r="A80" s="235"/>
      <c r="B80" s="236" t="s">
        <v>2367</v>
      </c>
      <c r="C80" s="235">
        <f t="shared" ref="C80:H80" ca="1" si="17">SUM(C69:C79)</f>
        <v>7439527.602693649</v>
      </c>
      <c r="D80" s="235">
        <f t="shared" ca="1" si="17"/>
        <v>7758899.6512870109</v>
      </c>
      <c r="E80" s="235">
        <f t="shared" ca="1" si="17"/>
        <v>8023221.7660102099</v>
      </c>
      <c r="F80" s="235">
        <f t="shared" ca="1" si="17"/>
        <v>8263217.9959559347</v>
      </c>
      <c r="G80" s="235">
        <f t="shared" ca="1" si="17"/>
        <v>8209307.1041816026</v>
      </c>
      <c r="H80" s="235">
        <f t="shared" ca="1" si="17"/>
        <v>7983607.8768021651</v>
      </c>
      <c r="I80" s="235"/>
    </row>
    <row r="81" spans="1:9">
      <c r="A81" s="235"/>
      <c r="B81" s="236" t="s">
        <v>2368</v>
      </c>
      <c r="C81" s="235">
        <f t="shared" ref="C81:G81" ca="1" si="18">SUM(C74:C78)-C77</f>
        <v>1192550.7341666664</v>
      </c>
      <c r="D81" s="235">
        <f t="shared" ca="1" si="18"/>
        <v>1216955.6383333332</v>
      </c>
      <c r="E81" s="235">
        <f t="shared" ca="1" si="18"/>
        <v>1130364.6083333334</v>
      </c>
      <c r="F81" s="235">
        <f t="shared" ca="1" si="18"/>
        <v>1290693.0991666666</v>
      </c>
      <c r="G81" s="235">
        <f t="shared" ca="1" si="18"/>
        <v>1216027.7591666668</v>
      </c>
      <c r="H81" s="235">
        <f ca="1">SUM(H74:H78)-H77</f>
        <v>1480460.5316666667</v>
      </c>
      <c r="I81" s="235"/>
    </row>
  </sheetData>
  <pageMargins left="0.75" right="0.75" top="1" bottom="1" header="0.5" footer="0.5"/>
  <pageSetup scale="76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>
    <pageSetUpPr fitToPage="1"/>
  </sheetPr>
  <dimension ref="A1:N31"/>
  <sheetViews>
    <sheetView zoomScale="90" zoomScaleNormal="90" workbookViewId="0">
      <pane xSplit="1" ySplit="3" topLeftCell="B4" activePane="bottomRight" state="frozen"/>
      <selection activeCell="K33" sqref="K33"/>
      <selection pane="topRight" activeCell="K33" sqref="K33"/>
      <selection pane="bottomLeft" activeCell="K33" sqref="K33"/>
      <selection pane="bottomRight" activeCell="B4" sqref="B4"/>
    </sheetView>
  </sheetViews>
  <sheetFormatPr defaultColWidth="9" defaultRowHeight="15"/>
  <cols>
    <col min="1" max="1" width="32.375" style="288" customWidth="1"/>
    <col min="2" max="13" width="9.375" style="287" customWidth="1"/>
    <col min="14" max="14" width="10.125" style="287" bestFit="1" customWidth="1"/>
    <col min="15" max="16384" width="9" style="287"/>
  </cols>
  <sheetData>
    <row r="1" spans="1:14" s="284" customFormat="1">
      <c r="A1" s="283"/>
    </row>
    <row r="2" spans="1:14" s="284" customFormat="1">
      <c r="A2" s="286" t="s">
        <v>1833</v>
      </c>
      <c r="B2" s="399" t="s">
        <v>2722</v>
      </c>
      <c r="C2" s="399" t="s">
        <v>2723</v>
      </c>
      <c r="D2" s="399" t="s">
        <v>2724</v>
      </c>
      <c r="E2" s="399" t="s">
        <v>2725</v>
      </c>
      <c r="F2" s="399" t="s">
        <v>2726</v>
      </c>
      <c r="G2" s="399" t="s">
        <v>2727</v>
      </c>
      <c r="H2" s="399" t="s">
        <v>2728</v>
      </c>
      <c r="I2" s="399" t="s">
        <v>2729</v>
      </c>
      <c r="J2" s="399" t="s">
        <v>2730</v>
      </c>
      <c r="K2" s="399" t="s">
        <v>2731</v>
      </c>
      <c r="L2" s="399" t="s">
        <v>2732</v>
      </c>
      <c r="M2" s="399" t="s">
        <v>2733</v>
      </c>
      <c r="N2" s="399" t="s">
        <v>2799</v>
      </c>
    </row>
    <row r="3" spans="1:14" s="284" customFormat="1">
      <c r="A3" s="285" t="s">
        <v>1832</v>
      </c>
    </row>
    <row r="4" spans="1:14">
      <c r="A4" s="286"/>
    </row>
    <row r="5" spans="1:14">
      <c r="A5" s="236" t="s">
        <v>2336</v>
      </c>
      <c r="B5" s="486">
        <v>1318.633226793811</v>
      </c>
      <c r="C5" s="486">
        <v>1320.774893460811</v>
      </c>
      <c r="D5" s="486">
        <v>1320.774893460811</v>
      </c>
      <c r="E5" s="486">
        <v>1366.670427289811</v>
      </c>
      <c r="F5" s="486">
        <v>1412.565961109811</v>
      </c>
      <c r="G5" s="486">
        <v>1553.4832225998109</v>
      </c>
      <c r="H5" s="486">
        <v>1694.400484069811</v>
      </c>
      <c r="I5" s="486">
        <v>1694.400484069811</v>
      </c>
      <c r="J5" s="486">
        <v>1694.400484069811</v>
      </c>
      <c r="K5" s="486">
        <v>1694.400484069811</v>
      </c>
      <c r="L5" s="486">
        <v>1694.400484069811</v>
      </c>
      <c r="M5" s="486">
        <v>1694.400484069811</v>
      </c>
      <c r="N5" s="401">
        <f t="shared" ref="N5:N15" si="0">SUM(B5:M5)</f>
        <v>18459.30552913373</v>
      </c>
    </row>
    <row r="6" spans="1:14">
      <c r="A6" s="236" t="s">
        <v>2431</v>
      </c>
      <c r="B6" s="486">
        <v>1162.50922917615</v>
      </c>
      <c r="C6" s="486">
        <v>1180.8685169343801</v>
      </c>
      <c r="D6" s="486">
        <v>1193.3642404473601</v>
      </c>
      <c r="E6" s="486">
        <v>1196.03235301016</v>
      </c>
      <c r="F6" s="486">
        <v>1189.70999850986</v>
      </c>
      <c r="G6" s="486">
        <v>1191.1413485074099</v>
      </c>
      <c r="H6" s="486">
        <v>1189.9849700436901</v>
      </c>
      <c r="I6" s="486">
        <v>1199.3590522967299</v>
      </c>
      <c r="J6" s="486">
        <v>1206.6676461924101</v>
      </c>
      <c r="K6" s="486">
        <v>1220.50274806676</v>
      </c>
      <c r="L6" s="486">
        <v>1233.8293986742999</v>
      </c>
      <c r="M6" s="486">
        <v>1245.9442214170499</v>
      </c>
      <c r="N6" s="401">
        <f t="shared" si="0"/>
        <v>14409.91372327626</v>
      </c>
    </row>
    <row r="7" spans="1:14">
      <c r="A7" s="236" t="s">
        <v>2337</v>
      </c>
      <c r="B7" s="486">
        <v>49.370604011367099</v>
      </c>
      <c r="C7" s="486">
        <v>49.370604011367099</v>
      </c>
      <c r="D7" s="486">
        <v>49.370604011367099</v>
      </c>
      <c r="E7" s="486">
        <v>49.370604011367099</v>
      </c>
      <c r="F7" s="486">
        <v>49.370604011367099</v>
      </c>
      <c r="G7" s="486">
        <v>49.370604011367099</v>
      </c>
      <c r="H7" s="486">
        <v>54.771074307655901</v>
      </c>
      <c r="I7" s="486">
        <v>54.771074307655901</v>
      </c>
      <c r="J7" s="486">
        <v>54.771074307655901</v>
      </c>
      <c r="K7" s="486">
        <v>54.771074307655901</v>
      </c>
      <c r="L7" s="486">
        <v>54.771074307655901</v>
      </c>
      <c r="M7" s="486">
        <v>54.771074307655901</v>
      </c>
      <c r="N7" s="401">
        <f t="shared" si="0"/>
        <v>624.85006991413798</v>
      </c>
    </row>
    <row r="8" spans="1:14">
      <c r="A8" s="236" t="s">
        <v>2379</v>
      </c>
      <c r="B8" s="486">
        <v>-33.925600891301201</v>
      </c>
      <c r="C8" s="486">
        <v>-33.925600891301798</v>
      </c>
      <c r="D8" s="486">
        <v>-33.925600891301798</v>
      </c>
      <c r="E8" s="486">
        <v>-33.925600891301798</v>
      </c>
      <c r="F8" s="486">
        <v>-33.925600891302402</v>
      </c>
      <c r="G8" s="486">
        <v>-33.925600891300597</v>
      </c>
      <c r="H8" s="486">
        <v>-33.925600891302402</v>
      </c>
      <c r="I8" s="486">
        <v>-33.925600891301798</v>
      </c>
      <c r="J8" s="486">
        <v>-33.925600891301798</v>
      </c>
      <c r="K8" s="486">
        <v>-33.925600891301201</v>
      </c>
      <c r="L8" s="486">
        <v>-33.925600891301798</v>
      </c>
      <c r="M8" s="486">
        <v>-33.925600891301798</v>
      </c>
      <c r="N8" s="401">
        <f t="shared" si="0"/>
        <v>-407.10721069562032</v>
      </c>
    </row>
    <row r="9" spans="1:14">
      <c r="A9" s="236" t="s">
        <v>2380</v>
      </c>
      <c r="B9" s="486">
        <v>0</v>
      </c>
      <c r="C9" s="486">
        <v>0</v>
      </c>
      <c r="D9" s="486">
        <v>0</v>
      </c>
      <c r="E9" s="486">
        <v>0</v>
      </c>
      <c r="F9" s="486">
        <v>0</v>
      </c>
      <c r="G9" s="486">
        <v>0</v>
      </c>
      <c r="H9" s="486">
        <v>0</v>
      </c>
      <c r="I9" s="486">
        <v>0</v>
      </c>
      <c r="J9" s="486">
        <v>0</v>
      </c>
      <c r="K9" s="486">
        <v>0</v>
      </c>
      <c r="L9" s="486">
        <v>0</v>
      </c>
      <c r="M9" s="486">
        <v>0</v>
      </c>
      <c r="N9" s="401">
        <f t="shared" si="0"/>
        <v>0</v>
      </c>
    </row>
    <row r="10" spans="1:14">
      <c r="A10" s="236" t="s">
        <v>2338</v>
      </c>
      <c r="B10" s="486">
        <v>-43.145000000000003</v>
      </c>
      <c r="C10" s="486">
        <v>-43.145000000000003</v>
      </c>
      <c r="D10" s="486">
        <v>-42.645000000000003</v>
      </c>
      <c r="E10" s="486">
        <v>-43.145000000000003</v>
      </c>
      <c r="F10" s="486">
        <v>-43.145000000000003</v>
      </c>
      <c r="G10" s="486">
        <v>-43.145000000000003</v>
      </c>
      <c r="H10" s="486">
        <v>-42.759</v>
      </c>
      <c r="I10" s="486">
        <v>-42.759</v>
      </c>
      <c r="J10" s="486">
        <v>-42.759</v>
      </c>
      <c r="K10" s="486">
        <v>-42.259</v>
      </c>
      <c r="L10" s="486">
        <v>-42.759</v>
      </c>
      <c r="M10" s="486">
        <v>-42.759</v>
      </c>
      <c r="N10" s="401">
        <f t="shared" si="0"/>
        <v>-514.42400000000009</v>
      </c>
    </row>
    <row r="11" spans="1:14">
      <c r="A11" s="236" t="s">
        <v>2339</v>
      </c>
      <c r="B11" s="486">
        <v>-129.6</v>
      </c>
      <c r="C11" s="486">
        <v>-129.6</v>
      </c>
      <c r="D11" s="486">
        <v>-134.6</v>
      </c>
      <c r="E11" s="486">
        <v>-129.6</v>
      </c>
      <c r="F11" s="486">
        <v>-129.6</v>
      </c>
      <c r="G11" s="486">
        <v>-134.6</v>
      </c>
      <c r="H11" s="486">
        <v>-128.70699999999999</v>
      </c>
      <c r="I11" s="486">
        <v>-128.70699999999999</v>
      </c>
      <c r="J11" s="486">
        <v>-133.70699999999999</v>
      </c>
      <c r="K11" s="486">
        <v>-128.70699999999999</v>
      </c>
      <c r="L11" s="486">
        <v>-128.70699999999999</v>
      </c>
      <c r="M11" s="486">
        <v>-133.70699999999999</v>
      </c>
      <c r="N11" s="401">
        <f t="shared" si="0"/>
        <v>-1569.8419999999996</v>
      </c>
    </row>
    <row r="12" spans="1:14">
      <c r="A12" s="236" t="s">
        <v>2340</v>
      </c>
      <c r="B12" s="486">
        <v>0</v>
      </c>
      <c r="C12" s="486">
        <v>0</v>
      </c>
      <c r="D12" s="486">
        <v>0</v>
      </c>
      <c r="E12" s="486">
        <v>0</v>
      </c>
      <c r="F12" s="486">
        <v>0</v>
      </c>
      <c r="G12" s="486">
        <v>0</v>
      </c>
      <c r="H12" s="486">
        <v>0</v>
      </c>
      <c r="I12" s="486">
        <v>0</v>
      </c>
      <c r="J12" s="486">
        <v>0</v>
      </c>
      <c r="K12" s="486">
        <v>0</v>
      </c>
      <c r="L12" s="486">
        <v>0</v>
      </c>
      <c r="M12" s="486">
        <v>0</v>
      </c>
      <c r="N12" s="401">
        <f t="shared" si="0"/>
        <v>0</v>
      </c>
    </row>
    <row r="13" spans="1:14">
      <c r="A13" s="236" t="s">
        <v>2341</v>
      </c>
      <c r="B13" s="486">
        <v>0</v>
      </c>
      <c r="C13" s="486">
        <v>0</v>
      </c>
      <c r="D13" s="486">
        <v>0</v>
      </c>
      <c r="E13" s="486">
        <v>0</v>
      </c>
      <c r="F13" s="486">
        <v>0</v>
      </c>
      <c r="G13" s="486">
        <v>0</v>
      </c>
      <c r="H13" s="486">
        <v>0</v>
      </c>
      <c r="I13" s="486">
        <v>0</v>
      </c>
      <c r="J13" s="486">
        <v>0</v>
      </c>
      <c r="K13" s="486">
        <v>0</v>
      </c>
      <c r="L13" s="486">
        <v>0</v>
      </c>
      <c r="M13" s="486">
        <v>0</v>
      </c>
      <c r="N13" s="401">
        <f t="shared" si="0"/>
        <v>0</v>
      </c>
    </row>
    <row r="14" spans="1:14">
      <c r="A14" s="236" t="s">
        <v>2342</v>
      </c>
      <c r="B14" s="460">
        <v>80.602999999999994</v>
      </c>
      <c r="C14" s="460">
        <v>81.681999999999903</v>
      </c>
      <c r="D14" s="460">
        <v>81.186000000000007</v>
      </c>
      <c r="E14" s="460">
        <v>81.061000000000007</v>
      </c>
      <c r="F14" s="460">
        <v>80.311999999999998</v>
      </c>
      <c r="G14" s="460">
        <v>79.846000000000004</v>
      </c>
      <c r="H14" s="460">
        <v>74.132000000000005</v>
      </c>
      <c r="I14" s="460">
        <v>74.167000000000002</v>
      </c>
      <c r="J14" s="460">
        <v>75.251000000000005</v>
      </c>
      <c r="K14" s="460">
        <v>73.891999999999996</v>
      </c>
      <c r="L14" s="460">
        <v>74.2</v>
      </c>
      <c r="M14" s="460">
        <v>74.188000000000002</v>
      </c>
      <c r="N14" s="401">
        <f t="shared" si="0"/>
        <v>930.51999999999987</v>
      </c>
    </row>
    <row r="15" spans="1:14">
      <c r="A15" s="236" t="s">
        <v>2343</v>
      </c>
      <c r="B15" s="486">
        <v>0</v>
      </c>
      <c r="C15" s="486">
        <v>0</v>
      </c>
      <c r="D15" s="486">
        <v>0</v>
      </c>
      <c r="E15" s="486">
        <v>0</v>
      </c>
      <c r="F15" s="486">
        <v>0</v>
      </c>
      <c r="G15" s="486">
        <v>0</v>
      </c>
      <c r="H15" s="486">
        <v>0</v>
      </c>
      <c r="I15" s="486">
        <v>0</v>
      </c>
      <c r="J15" s="486">
        <v>0</v>
      </c>
      <c r="K15" s="486">
        <v>0</v>
      </c>
      <c r="L15" s="486">
        <v>0</v>
      </c>
      <c r="M15" s="486">
        <v>0</v>
      </c>
      <c r="N15" s="401">
        <f t="shared" si="0"/>
        <v>0</v>
      </c>
    </row>
    <row r="16" spans="1:14">
      <c r="A16" s="286" t="s">
        <v>1995</v>
      </c>
      <c r="B16" s="289">
        <f>SUM(B5:B15)</f>
        <v>2404.4454590900268</v>
      </c>
      <c r="C16" s="289">
        <f t="shared" ref="C16:M16" si="1">SUM(C5:C15)</f>
        <v>2426.0254135152563</v>
      </c>
      <c r="D16" s="289">
        <f t="shared" si="1"/>
        <v>2433.5251370282367</v>
      </c>
      <c r="E16" s="289">
        <f t="shared" si="1"/>
        <v>2486.4637834200366</v>
      </c>
      <c r="F16" s="289">
        <f t="shared" si="1"/>
        <v>2525.2879627397356</v>
      </c>
      <c r="G16" s="289">
        <f t="shared" si="1"/>
        <v>2662.170574227287</v>
      </c>
      <c r="H16" s="289">
        <f t="shared" si="1"/>
        <v>2807.8969275298546</v>
      </c>
      <c r="I16" s="289">
        <f t="shared" si="1"/>
        <v>2817.3060097828952</v>
      </c>
      <c r="J16" s="289">
        <f t="shared" si="1"/>
        <v>2820.6986036785756</v>
      </c>
      <c r="K16" s="289">
        <f t="shared" si="1"/>
        <v>2838.6747055529258</v>
      </c>
      <c r="L16" s="289">
        <f t="shared" si="1"/>
        <v>2851.8093561604651</v>
      </c>
      <c r="M16" s="289">
        <f t="shared" si="1"/>
        <v>2858.9121789032156</v>
      </c>
      <c r="N16" s="485">
        <f t="shared" ref="N16" si="2">SUM(N5:N15)</f>
        <v>31933.216111628506</v>
      </c>
    </row>
    <row r="17" spans="1:14">
      <c r="A17" s="286"/>
    </row>
    <row r="18" spans="1:14" s="163" customFormat="1">
      <c r="A18" s="162" t="s">
        <v>1996</v>
      </c>
    </row>
    <row r="19" spans="1:14">
      <c r="A19" s="236" t="s">
        <v>2338</v>
      </c>
      <c r="B19" s="401">
        <f>B10</f>
        <v>-43.145000000000003</v>
      </c>
      <c r="C19" s="401">
        <f t="shared" ref="C19:M21" si="3">C10</f>
        <v>-43.145000000000003</v>
      </c>
      <c r="D19" s="401">
        <f t="shared" si="3"/>
        <v>-42.645000000000003</v>
      </c>
      <c r="E19" s="401">
        <f t="shared" si="3"/>
        <v>-43.145000000000003</v>
      </c>
      <c r="F19" s="401">
        <f t="shared" si="3"/>
        <v>-43.145000000000003</v>
      </c>
      <c r="G19" s="401">
        <f t="shared" si="3"/>
        <v>-43.145000000000003</v>
      </c>
      <c r="H19" s="401">
        <f t="shared" si="3"/>
        <v>-42.759</v>
      </c>
      <c r="I19" s="401">
        <f t="shared" si="3"/>
        <v>-42.759</v>
      </c>
      <c r="J19" s="401">
        <f t="shared" si="3"/>
        <v>-42.759</v>
      </c>
      <c r="K19" s="401">
        <f t="shared" si="3"/>
        <v>-42.259</v>
      </c>
      <c r="L19" s="401">
        <f t="shared" si="3"/>
        <v>-42.759</v>
      </c>
      <c r="M19" s="401">
        <f t="shared" si="3"/>
        <v>-42.759</v>
      </c>
      <c r="N19" s="401">
        <f t="shared" ref="N19:N22" si="4">SUM(B19:M19)</f>
        <v>-514.42400000000009</v>
      </c>
    </row>
    <row r="20" spans="1:14">
      <c r="A20" s="236" t="s">
        <v>2339</v>
      </c>
      <c r="B20" s="401">
        <f>B11</f>
        <v>-129.6</v>
      </c>
      <c r="C20" s="401">
        <f t="shared" si="3"/>
        <v>-129.6</v>
      </c>
      <c r="D20" s="401">
        <f t="shared" si="3"/>
        <v>-134.6</v>
      </c>
      <c r="E20" s="401">
        <f t="shared" si="3"/>
        <v>-129.6</v>
      </c>
      <c r="F20" s="401">
        <f t="shared" si="3"/>
        <v>-129.6</v>
      </c>
      <c r="G20" s="401">
        <f t="shared" si="3"/>
        <v>-134.6</v>
      </c>
      <c r="H20" s="401">
        <f t="shared" si="3"/>
        <v>-128.70699999999999</v>
      </c>
      <c r="I20" s="401">
        <f t="shared" si="3"/>
        <v>-128.70699999999999</v>
      </c>
      <c r="J20" s="401">
        <f t="shared" si="3"/>
        <v>-133.70699999999999</v>
      </c>
      <c r="K20" s="401">
        <f t="shared" si="3"/>
        <v>-128.70699999999999</v>
      </c>
      <c r="L20" s="401">
        <f t="shared" si="3"/>
        <v>-128.70699999999999</v>
      </c>
      <c r="M20" s="401">
        <f t="shared" si="3"/>
        <v>-133.70699999999999</v>
      </c>
      <c r="N20" s="401">
        <f t="shared" si="4"/>
        <v>-1569.8419999999996</v>
      </c>
    </row>
    <row r="21" spans="1:14">
      <c r="A21" s="236" t="s">
        <v>2340</v>
      </c>
      <c r="B21" s="401">
        <f>B12</f>
        <v>0</v>
      </c>
      <c r="C21" s="401">
        <f t="shared" si="3"/>
        <v>0</v>
      </c>
      <c r="D21" s="401">
        <f t="shared" si="3"/>
        <v>0</v>
      </c>
      <c r="E21" s="401">
        <f t="shared" si="3"/>
        <v>0</v>
      </c>
      <c r="F21" s="401">
        <f t="shared" si="3"/>
        <v>0</v>
      </c>
      <c r="G21" s="401">
        <f t="shared" si="3"/>
        <v>0</v>
      </c>
      <c r="H21" s="401">
        <f t="shared" si="3"/>
        <v>0</v>
      </c>
      <c r="I21" s="401">
        <f t="shared" si="3"/>
        <v>0</v>
      </c>
      <c r="J21" s="401">
        <f t="shared" si="3"/>
        <v>0</v>
      </c>
      <c r="K21" s="401">
        <f t="shared" si="3"/>
        <v>0</v>
      </c>
      <c r="L21" s="401">
        <f t="shared" si="3"/>
        <v>0</v>
      </c>
      <c r="M21" s="401">
        <f t="shared" si="3"/>
        <v>0</v>
      </c>
      <c r="N21" s="401">
        <f t="shared" si="4"/>
        <v>0</v>
      </c>
    </row>
    <row r="22" spans="1:14">
      <c r="A22" s="236" t="s">
        <v>2342</v>
      </c>
      <c r="B22" s="484">
        <f>B14</f>
        <v>80.602999999999994</v>
      </c>
      <c r="C22" s="484">
        <f t="shared" ref="C22:M22" si="5">C14</f>
        <v>81.681999999999903</v>
      </c>
      <c r="D22" s="484">
        <f t="shared" si="5"/>
        <v>81.186000000000007</v>
      </c>
      <c r="E22" s="484">
        <f t="shared" si="5"/>
        <v>81.061000000000007</v>
      </c>
      <c r="F22" s="484">
        <f t="shared" si="5"/>
        <v>80.311999999999998</v>
      </c>
      <c r="G22" s="484">
        <f t="shared" si="5"/>
        <v>79.846000000000004</v>
      </c>
      <c r="H22" s="484">
        <f t="shared" si="5"/>
        <v>74.132000000000005</v>
      </c>
      <c r="I22" s="484">
        <f t="shared" si="5"/>
        <v>74.167000000000002</v>
      </c>
      <c r="J22" s="484">
        <f t="shared" si="5"/>
        <v>75.251000000000005</v>
      </c>
      <c r="K22" s="484">
        <f t="shared" si="5"/>
        <v>73.891999999999996</v>
      </c>
      <c r="L22" s="484">
        <f t="shared" si="5"/>
        <v>74.2</v>
      </c>
      <c r="M22" s="484">
        <f t="shared" si="5"/>
        <v>74.188000000000002</v>
      </c>
      <c r="N22" s="401">
        <f t="shared" si="4"/>
        <v>930.51999999999987</v>
      </c>
    </row>
    <row r="23" spans="1:14" s="163" customFormat="1">
      <c r="A23" s="164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</row>
    <row r="24" spans="1:14" s="163" customFormat="1">
      <c r="A24" s="164" t="s">
        <v>1997</v>
      </c>
      <c r="B24" s="289">
        <f t="shared" ref="B24:M24" si="6">SUM(B19:B23)</f>
        <v>-92.14200000000001</v>
      </c>
      <c r="C24" s="289">
        <f t="shared" si="6"/>
        <v>-91.063000000000102</v>
      </c>
      <c r="D24" s="289">
        <f t="shared" si="6"/>
        <v>-96.058999999999997</v>
      </c>
      <c r="E24" s="289">
        <f t="shared" si="6"/>
        <v>-91.683999999999997</v>
      </c>
      <c r="F24" s="289">
        <f t="shared" si="6"/>
        <v>-92.433000000000007</v>
      </c>
      <c r="G24" s="289">
        <f t="shared" si="6"/>
        <v>-97.899000000000001</v>
      </c>
      <c r="H24" s="289">
        <f t="shared" si="6"/>
        <v>-97.334000000000003</v>
      </c>
      <c r="I24" s="289">
        <f t="shared" si="6"/>
        <v>-97.299000000000007</v>
      </c>
      <c r="J24" s="289">
        <f t="shared" si="6"/>
        <v>-101.215</v>
      </c>
      <c r="K24" s="289">
        <f t="shared" si="6"/>
        <v>-97.074000000000012</v>
      </c>
      <c r="L24" s="289">
        <f t="shared" si="6"/>
        <v>-97.266000000000005</v>
      </c>
      <c r="M24" s="289">
        <f t="shared" si="6"/>
        <v>-102.27800000000001</v>
      </c>
      <c r="N24" s="485">
        <f>SUM(B24:M24)</f>
        <v>-1153.7460000000001</v>
      </c>
    </row>
    <row r="25" spans="1:14">
      <c r="A25" s="164" t="s">
        <v>1996</v>
      </c>
      <c r="N25" s="719">
        <f>N24*0.125</f>
        <v>-144.21825000000001</v>
      </c>
    </row>
    <row r="31" spans="1:14">
      <c r="I31" s="486"/>
    </row>
  </sheetData>
  <pageMargins left="0.75" right="0.75" top="1" bottom="1" header="0.5" footer="0.5"/>
  <pageSetup scale="80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>
    <pageSetUpPr fitToPage="1"/>
  </sheetPr>
  <dimension ref="A1:AD8"/>
  <sheetViews>
    <sheetView workbookViewId="0"/>
  </sheetViews>
  <sheetFormatPr defaultColWidth="9" defaultRowHeight="15"/>
  <cols>
    <col min="1" max="1" width="9" style="414"/>
    <col min="2" max="7" width="10.5" style="414" customWidth="1"/>
    <col min="8" max="10" width="9.875" style="414" bestFit="1" customWidth="1"/>
    <col min="11" max="12" width="10.75" style="414" bestFit="1" customWidth="1"/>
    <col min="13" max="13" width="14" style="414" bestFit="1" customWidth="1"/>
    <col min="14" max="24" width="10.75" style="414" bestFit="1" customWidth="1"/>
    <col min="25" max="25" width="9.625" style="414" customWidth="1"/>
    <col min="26" max="26" width="10.125" style="414" customWidth="1"/>
    <col min="27" max="27" width="10.375" style="414" customWidth="1"/>
    <col min="28" max="28" width="9.625" style="414" customWidth="1"/>
    <col min="29" max="29" width="9.75" style="414" customWidth="1"/>
    <col min="30" max="30" width="14" style="414" bestFit="1" customWidth="1"/>
    <col min="31" max="16384" width="9" style="414"/>
  </cols>
  <sheetData>
    <row r="1" spans="1:30">
      <c r="B1" s="725" t="s">
        <v>2698</v>
      </c>
      <c r="C1" s="725" t="s">
        <v>2699</v>
      </c>
      <c r="D1" s="725" t="s">
        <v>2700</v>
      </c>
      <c r="E1" s="725" t="s">
        <v>2701</v>
      </c>
      <c r="F1" s="725" t="s">
        <v>2702</v>
      </c>
      <c r="G1" s="725" t="s">
        <v>2703</v>
      </c>
      <c r="H1" s="725" t="s">
        <v>2704</v>
      </c>
      <c r="I1" s="725" t="s">
        <v>2705</v>
      </c>
      <c r="J1" s="725" t="s">
        <v>2706</v>
      </c>
      <c r="K1" s="725" t="s">
        <v>2707</v>
      </c>
      <c r="L1" s="725" t="s">
        <v>2708</v>
      </c>
      <c r="M1" s="725" t="s">
        <v>2709</v>
      </c>
      <c r="N1" s="725" t="s">
        <v>2794</v>
      </c>
      <c r="O1" s="725" t="s">
        <v>2795</v>
      </c>
      <c r="P1" s="725" t="s">
        <v>2796</v>
      </c>
      <c r="Q1" s="725" t="s">
        <v>2721</v>
      </c>
      <c r="R1" s="725" t="s">
        <v>2722</v>
      </c>
      <c r="S1" s="725" t="s">
        <v>2723</v>
      </c>
      <c r="T1" s="725" t="s">
        <v>2724</v>
      </c>
      <c r="U1" s="725" t="s">
        <v>2725</v>
      </c>
      <c r="V1" s="725" t="s">
        <v>2726</v>
      </c>
      <c r="W1" s="725" t="s">
        <v>2727</v>
      </c>
      <c r="X1" s="725" t="s">
        <v>2728</v>
      </c>
      <c r="Y1" s="725" t="s">
        <v>2729</v>
      </c>
      <c r="Z1" s="725" t="s">
        <v>2730</v>
      </c>
      <c r="AA1" s="725" t="s">
        <v>2731</v>
      </c>
      <c r="AB1" s="725" t="s">
        <v>2732</v>
      </c>
      <c r="AC1" s="725" t="s">
        <v>2733</v>
      </c>
      <c r="AD1" s="725" t="s">
        <v>2000</v>
      </c>
    </row>
    <row r="2" spans="1:30">
      <c r="A2" s="726" t="s">
        <v>1998</v>
      </c>
      <c r="B2" s="727">
        <v>-350876.70299999998</v>
      </c>
      <c r="C2" s="727">
        <v>-351800.97988407343</v>
      </c>
      <c r="D2" s="727">
        <v>-351905.83313258976</v>
      </c>
      <c r="E2" s="727">
        <v>-352105.14462924004</v>
      </c>
      <c r="F2" s="727">
        <v>-353244.63974798715</v>
      </c>
      <c r="G2" s="727">
        <v>-355472.32135645498</v>
      </c>
      <c r="H2" s="727">
        <v>-357793.20043732284</v>
      </c>
      <c r="I2" s="727">
        <v>-359603.59943572711</v>
      </c>
      <c r="J2" s="727">
        <v>-361236.38195817603</v>
      </c>
      <c r="K2" s="727">
        <v>-362858.52709919494</v>
      </c>
      <c r="L2" s="727">
        <v>-362697.05237482768</v>
      </c>
      <c r="M2" s="727">
        <f>-362405.661437893*1000</f>
        <v>-362405661.43789297</v>
      </c>
      <c r="N2" s="727">
        <v>-362441.04451645963</v>
      </c>
      <c r="O2" s="727">
        <v>-362694.98287050822</v>
      </c>
      <c r="P2" s="727">
        <v>-363200.11577660515</v>
      </c>
      <c r="Q2" s="727">
        <v>-58651.917050229735</v>
      </c>
      <c r="R2" s="727">
        <v>-59869.138986582693</v>
      </c>
      <c r="S2" s="727">
        <v>-60945.146206828009</v>
      </c>
      <c r="T2" s="727">
        <v>-61576.112693646573</v>
      </c>
      <c r="U2" s="727">
        <v>-62141.531655300816</v>
      </c>
      <c r="V2" s="727">
        <v>-62509.947087472188</v>
      </c>
      <c r="W2" s="727">
        <v>-63625.460947975691</v>
      </c>
      <c r="X2" s="727">
        <v>-63881.475449700956</v>
      </c>
      <c r="Y2" s="727">
        <v>-64114.114259761467</v>
      </c>
      <c r="Z2" s="727">
        <v>-64359.439912647184</v>
      </c>
      <c r="AA2" s="727">
        <v>-64667.378815469914</v>
      </c>
      <c r="AB2" s="727">
        <v>-65083.1055194902</v>
      </c>
      <c r="AC2" s="727">
        <v>-65568.61193039018</v>
      </c>
      <c r="AD2" s="727">
        <f>SUM(Q2:AC2)*1000/13</f>
        <v>-62845644.655038118</v>
      </c>
    </row>
    <row r="3" spans="1:30">
      <c r="A3" s="726" t="s">
        <v>2001</v>
      </c>
      <c r="B3" s="728"/>
      <c r="C3" s="728"/>
      <c r="D3" s="728"/>
      <c r="E3" s="728"/>
      <c r="F3" s="728"/>
      <c r="G3" s="728"/>
      <c r="H3" s="729"/>
      <c r="I3" s="729"/>
      <c r="J3" s="729"/>
      <c r="K3" s="729"/>
      <c r="L3" s="729"/>
      <c r="M3" s="730">
        <f>'JURISSEP B'!$G$1268</f>
        <v>0.93813774178066944</v>
      </c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30">
        <f>'JURISSEP F'!$G$1285</f>
        <v>0.93814212321985047</v>
      </c>
    </row>
    <row r="4" spans="1:30">
      <c r="A4" s="726" t="s">
        <v>2002</v>
      </c>
      <c r="B4" s="728"/>
      <c r="C4" s="728"/>
      <c r="D4" s="728"/>
      <c r="E4" s="728"/>
      <c r="F4" s="728"/>
      <c r="G4" s="728"/>
      <c r="H4" s="729"/>
      <c r="I4" s="729"/>
      <c r="J4" s="729"/>
      <c r="K4" s="729"/>
      <c r="L4" s="729"/>
      <c r="M4" s="729">
        <f>M2*M3</f>
        <v>-339986428.82987475</v>
      </c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29">
        <f>AD2*AD3</f>
        <v>-58958146.511797704</v>
      </c>
    </row>
    <row r="5" spans="1:30">
      <c r="A5" s="726"/>
      <c r="B5" s="728"/>
      <c r="C5" s="728"/>
      <c r="D5" s="728"/>
      <c r="E5" s="728"/>
      <c r="F5" s="728"/>
      <c r="G5" s="728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</row>
    <row r="6" spans="1:30">
      <c r="A6" s="726"/>
      <c r="B6" s="728"/>
      <c r="C6" s="728"/>
      <c r="D6" s="728"/>
      <c r="E6" s="728"/>
      <c r="F6" s="728"/>
      <c r="G6" s="728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</row>
    <row r="7" spans="1:30">
      <c r="A7" s="726"/>
      <c r="B7" s="728"/>
      <c r="C7" s="728"/>
      <c r="D7" s="728"/>
      <c r="E7" s="728"/>
      <c r="F7" s="728"/>
      <c r="G7" s="728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9"/>
      <c r="AA7" s="729"/>
      <c r="AB7" s="729"/>
      <c r="AC7" s="729"/>
      <c r="AD7" s="729"/>
    </row>
    <row r="8" spans="1:30">
      <c r="A8" s="731" t="s">
        <v>1999</v>
      </c>
      <c r="B8" s="727">
        <v>-311796.72499999998</v>
      </c>
      <c r="C8" s="727">
        <v>-312297.12147999997</v>
      </c>
      <c r="D8" s="727">
        <v>-312782.37238857959</v>
      </c>
      <c r="E8" s="727">
        <v>-312139.89638756361</v>
      </c>
      <c r="F8" s="727">
        <v>-312691.74437285401</v>
      </c>
      <c r="G8" s="727">
        <v>-313375.8944717985</v>
      </c>
      <c r="H8" s="727">
        <v>-314452.79799367225</v>
      </c>
      <c r="I8" s="727">
        <v>-315605.46558848809</v>
      </c>
      <c r="J8" s="727">
        <v>-316742.9473748309</v>
      </c>
      <c r="K8" s="727">
        <v>-318887.53054075362</v>
      </c>
      <c r="L8" s="727">
        <v>-318925.27952484891</v>
      </c>
      <c r="M8" s="727">
        <v>-318962.63449004083</v>
      </c>
      <c r="N8" s="727">
        <v>-319140.24383396335</v>
      </c>
      <c r="O8" s="727">
        <v>-319256.3007385243</v>
      </c>
      <c r="P8" s="727">
        <v>-319406.16930779704</v>
      </c>
      <c r="Q8" s="727">
        <v>-51340.406532907858</v>
      </c>
      <c r="R8" s="727">
        <v>-51648.614280651906</v>
      </c>
      <c r="S8" s="727">
        <v>-51956.012675293721</v>
      </c>
      <c r="T8" s="727">
        <v>-52232.657404152269</v>
      </c>
      <c r="U8" s="727">
        <v>-52607.266331041697</v>
      </c>
      <c r="V8" s="727">
        <v>-52937.59527346614</v>
      </c>
      <c r="W8" s="727">
        <v>-53372.814804402704</v>
      </c>
      <c r="X8" s="727">
        <v>-53610.489398479171</v>
      </c>
      <c r="Y8" s="727">
        <v>-53847.802407968033</v>
      </c>
      <c r="Z8" s="727">
        <v>-54099.769539509027</v>
      </c>
      <c r="AA8" s="727">
        <v>-54420.481673717091</v>
      </c>
      <c r="AB8" s="727">
        <v>-54809.63356477773</v>
      </c>
      <c r="AC8" s="727">
        <v>-55197.744918616023</v>
      </c>
      <c r="AD8" s="727">
        <f>SUM(Q8:AC8)/13*1000</f>
        <v>-53237022.215767942</v>
      </c>
    </row>
  </sheetData>
  <pageMargins left="0.7" right="0.7" top="0.75" bottom="0.75" header="0.3" footer="0.3"/>
  <pageSetup scale="39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>
    <pageSetUpPr fitToPage="1"/>
  </sheetPr>
  <dimension ref="A1:AQ11"/>
  <sheetViews>
    <sheetView zoomScale="85" zoomScaleNormal="85" workbookViewId="0">
      <pane xSplit="1" ySplit="1" topLeftCell="B2" activePane="bottomRight" state="frozen"/>
      <selection activeCell="AF2" sqref="AF2"/>
      <selection pane="topRight" activeCell="AF2" sqref="AF2"/>
      <selection pane="bottomLeft" activeCell="AF2" sqref="AF2"/>
      <selection pane="bottomRight" activeCell="B2" sqref="B2"/>
    </sheetView>
  </sheetViews>
  <sheetFormatPr defaultColWidth="9" defaultRowHeight="15"/>
  <cols>
    <col min="1" max="1" width="28.875" style="414" bestFit="1" customWidth="1"/>
    <col min="2" max="7" width="12.875" style="414" bestFit="1" customWidth="1"/>
    <col min="8" max="8" width="11.75" style="414" bestFit="1" customWidth="1"/>
    <col min="9" max="12" width="8.5" style="414" bestFit="1" customWidth="1"/>
    <col min="13" max="13" width="13.5" style="414" customWidth="1"/>
    <col min="14" max="29" width="8.5" style="414" bestFit="1" customWidth="1"/>
    <col min="30" max="30" width="14" style="414" customWidth="1"/>
    <col min="31" max="16384" width="9" style="414"/>
  </cols>
  <sheetData>
    <row r="1" spans="1:43">
      <c r="B1" s="725" t="s">
        <v>2698</v>
      </c>
      <c r="C1" s="725" t="s">
        <v>2699</v>
      </c>
      <c r="D1" s="725" t="s">
        <v>2700</v>
      </c>
      <c r="E1" s="725" t="s">
        <v>2701</v>
      </c>
      <c r="F1" s="725" t="s">
        <v>2702</v>
      </c>
      <c r="G1" s="725" t="s">
        <v>2703</v>
      </c>
      <c r="H1" s="725" t="s">
        <v>2704</v>
      </c>
      <c r="I1" s="725" t="s">
        <v>2705</v>
      </c>
      <c r="J1" s="725" t="s">
        <v>2706</v>
      </c>
      <c r="K1" s="725" t="s">
        <v>2707</v>
      </c>
      <c r="L1" s="725" t="s">
        <v>2708</v>
      </c>
      <c r="M1" s="725" t="s">
        <v>2709</v>
      </c>
      <c r="N1" s="725" t="s">
        <v>2794</v>
      </c>
      <c r="O1" s="725" t="s">
        <v>2795</v>
      </c>
      <c r="P1" s="725" t="s">
        <v>2796</v>
      </c>
      <c r="Q1" s="725" t="s">
        <v>2721</v>
      </c>
      <c r="R1" s="725" t="s">
        <v>2722</v>
      </c>
      <c r="S1" s="725" t="s">
        <v>2723</v>
      </c>
      <c r="T1" s="725" t="s">
        <v>2724</v>
      </c>
      <c r="U1" s="725" t="s">
        <v>2725</v>
      </c>
      <c r="V1" s="725" t="s">
        <v>2726</v>
      </c>
      <c r="W1" s="725" t="s">
        <v>2727</v>
      </c>
      <c r="X1" s="725" t="s">
        <v>2728</v>
      </c>
      <c r="Y1" s="725" t="s">
        <v>2729</v>
      </c>
      <c r="Z1" s="725" t="s">
        <v>2730</v>
      </c>
      <c r="AA1" s="725" t="s">
        <v>2731</v>
      </c>
      <c r="AB1" s="725" t="s">
        <v>2732</v>
      </c>
      <c r="AC1" s="725" t="s">
        <v>2733</v>
      </c>
      <c r="AD1" s="725" t="s">
        <v>2000</v>
      </c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</row>
    <row r="2" spans="1:43">
      <c r="A2" s="414" t="s">
        <v>2004</v>
      </c>
      <c r="B2" s="732">
        <v>-1586.4067505393537</v>
      </c>
      <c r="C2" s="732">
        <v>-1571.9073390083092</v>
      </c>
      <c r="D2" s="732">
        <v>-1557.4035560239633</v>
      </c>
      <c r="E2" s="732">
        <v>-1542.9584577751452</v>
      </c>
      <c r="F2" s="732">
        <v>-1528.4619674437433</v>
      </c>
      <c r="G2" s="732">
        <v>-1515.6780163775097</v>
      </c>
      <c r="H2" s="732">
        <v>-1494.5880748778659</v>
      </c>
      <c r="I2" s="732">
        <v>-1473.553199290692</v>
      </c>
      <c r="J2" s="732">
        <v>-1452.5117212848179</v>
      </c>
      <c r="K2" s="732">
        <v>-1431.4646831564739</v>
      </c>
      <c r="L2" s="732">
        <v>-1412.3607022075562</v>
      </c>
      <c r="M2" s="732">
        <f>-1393.24123012799*1000</f>
        <v>-1393241.23012799</v>
      </c>
      <c r="N2" s="732">
        <v>-1374.1062668603859</v>
      </c>
      <c r="O2" s="732">
        <v>-1354.9558124072432</v>
      </c>
      <c r="P2" s="732">
        <v>-1335.7898667660656</v>
      </c>
      <c r="Q2" s="732">
        <v>-1316.6084299368529</v>
      </c>
      <c r="R2" s="732">
        <v>-1297.4115019196051</v>
      </c>
      <c r="S2" s="732">
        <v>-1278.1990827143225</v>
      </c>
      <c r="T2" s="732">
        <v>-1258.9711723234998</v>
      </c>
      <c r="U2" s="732">
        <v>-1239.7277707446419</v>
      </c>
      <c r="V2" s="732">
        <v>-1220.4688779777491</v>
      </c>
      <c r="W2" s="732">
        <v>-1201.1944940228213</v>
      </c>
      <c r="X2" s="732">
        <v>-1176.9696141818999</v>
      </c>
      <c r="Y2" s="732">
        <v>-1152.7283892691335</v>
      </c>
      <c r="Z2" s="732">
        <v>-1128.4708193444019</v>
      </c>
      <c r="AA2" s="732">
        <v>-1104.1969044077057</v>
      </c>
      <c r="AB2" s="732">
        <v>-1079.9066444565492</v>
      </c>
      <c r="AC2" s="732">
        <v>-1055.6000394934279</v>
      </c>
      <c r="AD2" s="732">
        <f>SUM(Q2:AC2)/13*1000</f>
        <v>-1193111.8262148162</v>
      </c>
    </row>
    <row r="3" spans="1:43" ht="15.75">
      <c r="A3" s="414" t="s">
        <v>2007</v>
      </c>
      <c r="B3" s="291"/>
      <c r="C3" s="291"/>
      <c r="D3" s="291"/>
      <c r="E3" s="291"/>
      <c r="F3" s="291"/>
      <c r="G3" s="291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2"/>
    </row>
    <row r="4" spans="1:43" ht="15.75">
      <c r="B4" s="291"/>
      <c r="C4" s="291"/>
      <c r="D4" s="291"/>
      <c r="E4" s="291"/>
      <c r="F4" s="291"/>
      <c r="G4" s="291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</row>
    <row r="5" spans="1:43" ht="15.75">
      <c r="B5" s="291"/>
      <c r="C5" s="291"/>
      <c r="D5" s="291"/>
      <c r="E5" s="291"/>
      <c r="F5" s="291"/>
      <c r="G5" s="291"/>
      <c r="H5" s="732"/>
      <c r="I5" s="732"/>
      <c r="J5" s="732"/>
      <c r="K5" s="732"/>
      <c r="L5" s="732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</row>
    <row r="6" spans="1:43" ht="15.75">
      <c r="B6" s="291"/>
      <c r="C6" s="291"/>
      <c r="D6" s="291"/>
      <c r="E6" s="291"/>
      <c r="F6" s="291"/>
      <c r="G6" s="291"/>
      <c r="H6" s="732"/>
      <c r="I6" s="732"/>
      <c r="J6" s="732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</row>
    <row r="7" spans="1:43" ht="15.75">
      <c r="B7" s="291"/>
      <c r="C7" s="291"/>
      <c r="D7" s="291"/>
      <c r="E7" s="291"/>
      <c r="F7" s="291"/>
      <c r="G7" s="291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2"/>
      <c r="W7" s="732"/>
      <c r="X7" s="732"/>
      <c r="Y7" s="732"/>
      <c r="Z7" s="732"/>
      <c r="AA7" s="732"/>
      <c r="AB7" s="732"/>
      <c r="AC7" s="732"/>
      <c r="AD7" s="732"/>
    </row>
    <row r="8" spans="1:43" ht="15.75">
      <c r="B8" s="291"/>
      <c r="C8" s="291"/>
      <c r="D8" s="291"/>
      <c r="E8" s="291"/>
      <c r="F8" s="291"/>
      <c r="G8" s="291"/>
      <c r="H8" s="732"/>
      <c r="I8" s="732"/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2"/>
    </row>
    <row r="9" spans="1:43" ht="15.75">
      <c r="B9" s="291"/>
      <c r="C9" s="291"/>
      <c r="D9" s="291"/>
      <c r="E9" s="291"/>
      <c r="F9" s="291"/>
      <c r="G9" s="291"/>
      <c r="H9" s="732"/>
      <c r="I9" s="732"/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</row>
    <row r="10" spans="1:43">
      <c r="A10" s="414" t="s">
        <v>2005</v>
      </c>
      <c r="B10" s="732">
        <v>-1167.5917669286926</v>
      </c>
      <c r="C10" s="732">
        <v>-1154.5385551777708</v>
      </c>
      <c r="D10" s="732">
        <v>-1141.4869351525174</v>
      </c>
      <c r="E10" s="732">
        <v>-1128.5022442245668</v>
      </c>
      <c r="F10" s="732">
        <v>-1115.4532038429579</v>
      </c>
      <c r="G10" s="732">
        <v>-1102.4427842945981</v>
      </c>
      <c r="H10" s="732">
        <v>-1083.9330862412785</v>
      </c>
      <c r="I10" s="732">
        <v>-1065.3746754686388</v>
      </c>
      <c r="J10" s="732">
        <v>-1046.8114482706542</v>
      </c>
      <c r="K10" s="732">
        <v>-1028.2427269329696</v>
      </c>
      <c r="L10" s="732">
        <v>-1011.1803747563057</v>
      </c>
      <c r="M10" s="732">
        <f>-994.104511850252*1000</f>
        <v>-994104.51185025205</v>
      </c>
      <c r="N10" s="732">
        <v>-977.015138162413</v>
      </c>
      <c r="O10" s="732">
        <v>-959.91225369528411</v>
      </c>
      <c r="P10" s="732">
        <v>-942.79585844886526</v>
      </c>
      <c r="Q10" s="732">
        <v>-925.66595242066148</v>
      </c>
      <c r="R10" s="732">
        <v>-908.52253561316763</v>
      </c>
      <c r="S10" s="732">
        <v>-891.36560802638382</v>
      </c>
      <c r="T10" s="732">
        <v>-874.19516966030994</v>
      </c>
      <c r="U10" s="732">
        <v>-857.01122051245113</v>
      </c>
      <c r="V10" s="732">
        <v>-839.81376058530225</v>
      </c>
      <c r="W10" s="732">
        <v>-822.6027898788634</v>
      </c>
      <c r="X10" s="732">
        <v>-801.08915780254404</v>
      </c>
      <c r="Y10" s="732">
        <v>-779.56127022436476</v>
      </c>
      <c r="Z10" s="732">
        <v>-758.01912719422535</v>
      </c>
      <c r="AA10" s="732">
        <v>-736.46272871462099</v>
      </c>
      <c r="AB10" s="732">
        <v>-714.89207478305661</v>
      </c>
      <c r="AC10" s="732">
        <v>-693.30716539953232</v>
      </c>
      <c r="AD10" s="732">
        <f t="shared" ref="AD10:AD11" si="0">SUM(Q10:AC10)/13*1000</f>
        <v>-815577.58160119108</v>
      </c>
    </row>
    <row r="11" spans="1:43">
      <c r="A11" s="414" t="s">
        <v>2006</v>
      </c>
      <c r="B11" s="732"/>
      <c r="C11" s="732"/>
      <c r="D11" s="732"/>
      <c r="E11" s="732"/>
      <c r="F11" s="732"/>
      <c r="G11" s="732"/>
      <c r="H11" s="732"/>
      <c r="I11" s="732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>
        <f t="shared" si="0"/>
        <v>0</v>
      </c>
    </row>
  </sheetData>
  <pageMargins left="0.7" right="0.7" top="0.75" bottom="0.75" header="0.3" footer="0.3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BZ7"/>
  <sheetViews>
    <sheetView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25" style="411" bestFit="1" customWidth="1"/>
    <col min="2" max="4" width="9" style="411"/>
    <col min="5" max="5" width="9.875" style="411" customWidth="1"/>
    <col min="6" max="16384" width="9" style="411"/>
  </cols>
  <sheetData>
    <row r="1" spans="1:78" ht="30">
      <c r="A1" s="707" t="s">
        <v>1833</v>
      </c>
      <c r="B1" s="694" t="s">
        <v>2697</v>
      </c>
      <c r="C1" s="694" t="s">
        <v>2698</v>
      </c>
      <c r="D1" s="694" t="s">
        <v>2699</v>
      </c>
      <c r="E1" s="694" t="s">
        <v>2700</v>
      </c>
      <c r="F1" s="694" t="s">
        <v>2701</v>
      </c>
      <c r="G1" s="694" t="s">
        <v>2702</v>
      </c>
      <c r="H1" s="694" t="s">
        <v>2703</v>
      </c>
      <c r="I1" s="694" t="s">
        <v>2704</v>
      </c>
      <c r="J1" s="694" t="s">
        <v>2705</v>
      </c>
      <c r="K1" s="694" t="s">
        <v>2706</v>
      </c>
      <c r="L1" s="694" t="s">
        <v>2707</v>
      </c>
      <c r="M1" s="694" t="s">
        <v>2708</v>
      </c>
      <c r="N1" s="694" t="s">
        <v>2709</v>
      </c>
      <c r="O1" s="399" t="s">
        <v>2798</v>
      </c>
      <c r="P1" s="694" t="s">
        <v>2794</v>
      </c>
      <c r="Q1" s="694" t="s">
        <v>2795</v>
      </c>
      <c r="R1" s="694" t="s">
        <v>2796</v>
      </c>
      <c r="S1" s="694" t="s">
        <v>2721</v>
      </c>
      <c r="T1" s="694" t="s">
        <v>2722</v>
      </c>
      <c r="U1" s="694" t="s">
        <v>2723</v>
      </c>
      <c r="V1" s="694" t="s">
        <v>2724</v>
      </c>
      <c r="W1" s="694" t="s">
        <v>2725</v>
      </c>
      <c r="X1" s="694" t="s">
        <v>2726</v>
      </c>
      <c r="Y1" s="694" t="s">
        <v>2727</v>
      </c>
      <c r="Z1" s="694" t="s">
        <v>2728</v>
      </c>
      <c r="AA1" s="694" t="s">
        <v>2729</v>
      </c>
      <c r="AB1" s="694" t="s">
        <v>2730</v>
      </c>
      <c r="AC1" s="694" t="s">
        <v>2731</v>
      </c>
      <c r="AD1" s="694" t="s">
        <v>2732</v>
      </c>
      <c r="AE1" s="694" t="s">
        <v>2733</v>
      </c>
      <c r="AF1" s="399" t="s">
        <v>2797</v>
      </c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399"/>
    </row>
    <row r="2" spans="1:78">
      <c r="A2" s="412" t="s">
        <v>1832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</row>
    <row r="3" spans="1:78">
      <c r="A3" s="413"/>
    </row>
    <row r="5" spans="1:78">
      <c r="A5" s="411" t="s">
        <v>2251</v>
      </c>
      <c r="B5" s="235">
        <v>125.3202</v>
      </c>
      <c r="C5" s="235">
        <v>125.15402</v>
      </c>
      <c r="D5" s="235">
        <v>125.02302</v>
      </c>
      <c r="E5" s="235">
        <v>124.92278</v>
      </c>
      <c r="F5" s="235">
        <v>124.73314999999999</v>
      </c>
      <c r="G5" s="235">
        <v>124.50257999999999</v>
      </c>
      <c r="H5" s="235">
        <v>124.30964</v>
      </c>
      <c r="I5" s="235">
        <v>124.30964</v>
      </c>
      <c r="J5" s="235">
        <v>124.30964</v>
      </c>
      <c r="K5" s="235">
        <v>124.30964</v>
      </c>
      <c r="L5" s="235">
        <v>124.30964</v>
      </c>
      <c r="M5" s="235">
        <v>124.30964</v>
      </c>
      <c r="N5" s="235">
        <v>124.30964</v>
      </c>
      <c r="O5" s="401">
        <f>SUM(B5:L5,M5:N5)/13</f>
        <v>124.6017869230769</v>
      </c>
      <c r="P5" s="235">
        <v>124.30964</v>
      </c>
      <c r="Q5" s="235">
        <v>124.30964</v>
      </c>
      <c r="R5" s="235">
        <v>124.30964</v>
      </c>
      <c r="S5" s="235">
        <v>124.30964</v>
      </c>
      <c r="T5" s="235">
        <v>124.30964</v>
      </c>
      <c r="U5" s="235">
        <v>124.30964</v>
      </c>
      <c r="V5" s="235">
        <v>124.30964</v>
      </c>
      <c r="W5" s="235">
        <v>124.30964</v>
      </c>
      <c r="X5" s="235">
        <v>124.30964</v>
      </c>
      <c r="Y5" s="235">
        <v>124.30964</v>
      </c>
      <c r="Z5" s="235">
        <v>124.30964</v>
      </c>
      <c r="AA5" s="235">
        <v>124.30964</v>
      </c>
      <c r="AB5" s="235">
        <v>124.30964</v>
      </c>
      <c r="AC5" s="235">
        <v>124.30964</v>
      </c>
      <c r="AD5" s="235">
        <v>124.30964</v>
      </c>
      <c r="AE5" s="235">
        <v>124.30964</v>
      </c>
      <c r="AF5" s="401">
        <f>SUM(S5:Y5,Z5:AE5)/13</f>
        <v>124.30963999999996</v>
      </c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</row>
    <row r="6" spans="1:78">
      <c r="A6" s="411" t="s">
        <v>2080</v>
      </c>
      <c r="O6" s="482">
        <v>0.93811298816770394</v>
      </c>
      <c r="AF6" s="482">
        <f>'JURISSEP F'!$G$1173</f>
        <v>0.93811298816770394</v>
      </c>
    </row>
    <row r="7" spans="1:78">
      <c r="O7" s="548">
        <f>O5*O6</f>
        <v>116.8905546614432</v>
      </c>
      <c r="AF7" s="548">
        <f>AF5*AF6</f>
        <v>116.6164878384515</v>
      </c>
    </row>
  </sheetData>
  <pageMargins left="0.7" right="0.7" top="0.75" bottom="0.75" header="0.3" footer="0.3"/>
  <pageSetup scale="38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3">
    <pageSetUpPr fitToPage="1"/>
  </sheetPr>
  <dimension ref="A1:S470"/>
  <sheetViews>
    <sheetView zoomScale="70" zoomScaleNormal="70" workbookViewId="0"/>
  </sheetViews>
  <sheetFormatPr defaultColWidth="9" defaultRowHeight="15.75"/>
  <cols>
    <col min="1" max="1" width="9" style="640"/>
    <col min="2" max="2" width="9" style="465"/>
    <col min="3" max="3" width="1.625" style="465" customWidth="1"/>
    <col min="4" max="4" width="68.625" style="465" bestFit="1" customWidth="1"/>
    <col min="5" max="5" width="1.625" style="465" customWidth="1"/>
    <col min="6" max="6" width="25.375" style="464" customWidth="1"/>
    <col min="7" max="7" width="1.625" style="465" customWidth="1"/>
    <col min="8" max="8" width="10.5" style="649" bestFit="1" customWidth="1"/>
    <col min="9" max="9" width="1.625" style="649" customWidth="1"/>
    <col min="10" max="10" width="11.875" style="649" bestFit="1" customWidth="1"/>
    <col min="11" max="11" width="1.625" style="649" customWidth="1"/>
    <col min="12" max="12" width="11.125" style="649" bestFit="1" customWidth="1"/>
    <col min="13" max="13" width="1.625" style="649" customWidth="1"/>
    <col min="14" max="14" width="10.5" style="649" bestFit="1" customWidth="1"/>
    <col min="15" max="15" width="1.625" style="649" customWidth="1"/>
    <col min="16" max="16" width="17.375" style="649" customWidth="1"/>
    <col min="17" max="17" width="1.625" style="649" customWidth="1"/>
    <col min="18" max="18" width="13.125" style="649" bestFit="1" customWidth="1"/>
    <col min="19" max="16384" width="9" style="237"/>
  </cols>
  <sheetData>
    <row r="1" spans="1:19">
      <c r="B1" s="826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</row>
    <row r="2" spans="1:19">
      <c r="A2" s="273"/>
      <c r="B2" s="238"/>
      <c r="C2" s="238"/>
      <c r="D2" s="238"/>
      <c r="E2" s="238"/>
      <c r="F2" s="244"/>
      <c r="G2" s="238"/>
      <c r="H2" s="641"/>
      <c r="I2" s="641"/>
      <c r="J2" s="641"/>
      <c r="K2" s="641"/>
      <c r="L2" s="641"/>
      <c r="M2" s="641"/>
      <c r="N2" s="641"/>
      <c r="O2" s="641"/>
      <c r="P2" s="251"/>
      <c r="Q2" s="251"/>
      <c r="R2" s="251"/>
    </row>
    <row r="3" spans="1:19">
      <c r="A3" s="273"/>
      <c r="B3" s="238"/>
      <c r="C3" s="238"/>
      <c r="D3" s="238"/>
      <c r="E3" s="238"/>
      <c r="F3" s="244"/>
      <c r="G3" s="238"/>
      <c r="H3" s="641"/>
      <c r="I3" s="641"/>
      <c r="J3" s="641"/>
      <c r="K3" s="641"/>
      <c r="L3" s="641"/>
      <c r="M3" s="641"/>
      <c r="N3" s="641"/>
      <c r="O3" s="641"/>
      <c r="P3" s="251"/>
      <c r="Q3" s="251"/>
      <c r="R3" s="251"/>
    </row>
    <row r="4" spans="1:19" s="680" customFormat="1">
      <c r="A4" s="828" t="s">
        <v>2252</v>
      </c>
      <c r="B4" s="828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  <c r="Q4" s="828"/>
      <c r="R4" s="828"/>
      <c r="S4" s="828"/>
    </row>
    <row r="5" spans="1:19" s="680" customFormat="1">
      <c r="A5" s="829" t="s">
        <v>2694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</row>
    <row r="6" spans="1:19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9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9">
      <c r="A8" s="273"/>
      <c r="B8" s="241"/>
      <c r="C8" s="242"/>
      <c r="D8" s="242"/>
      <c r="E8" s="242"/>
      <c r="F8" s="250"/>
      <c r="G8" s="242"/>
      <c r="H8" s="641" t="s">
        <v>1249</v>
      </c>
      <c r="I8" s="251"/>
      <c r="J8" s="641" t="s">
        <v>1250</v>
      </c>
      <c r="K8" s="641"/>
      <c r="L8" s="641" t="s">
        <v>1251</v>
      </c>
      <c r="M8" s="641"/>
      <c r="N8" s="641" t="s">
        <v>1252</v>
      </c>
      <c r="O8" s="641"/>
      <c r="P8" s="251"/>
      <c r="Q8" s="251"/>
      <c r="R8" s="251"/>
    </row>
    <row r="9" spans="1:19">
      <c r="A9" s="272"/>
      <c r="B9" s="239"/>
      <c r="C9" s="243"/>
      <c r="D9" s="244"/>
      <c r="E9" s="636"/>
      <c r="F9" s="244" t="s">
        <v>1253</v>
      </c>
      <c r="G9" s="636"/>
      <c r="H9" s="641" t="s">
        <v>1254</v>
      </c>
      <c r="I9" s="251"/>
      <c r="J9" s="641" t="s">
        <v>1255</v>
      </c>
      <c r="K9" s="641"/>
      <c r="L9" s="641" t="s">
        <v>1256</v>
      </c>
      <c r="M9" s="641"/>
      <c r="N9" s="641" t="s">
        <v>1257</v>
      </c>
      <c r="O9" s="641"/>
      <c r="P9" s="251"/>
      <c r="Q9" s="251"/>
      <c r="R9" s="641" t="s">
        <v>1258</v>
      </c>
    </row>
    <row r="10" spans="1:19">
      <c r="A10" s="272"/>
      <c r="B10" s="239"/>
      <c r="C10" s="243"/>
      <c r="D10" s="636"/>
      <c r="E10" s="636"/>
      <c r="F10" s="244" t="s">
        <v>1257</v>
      </c>
      <c r="G10" s="636"/>
      <c r="H10" s="642" t="s">
        <v>1259</v>
      </c>
      <c r="I10" s="251"/>
      <c r="J10" s="642" t="s">
        <v>1259</v>
      </c>
      <c r="K10" s="642"/>
      <c r="L10" s="642" t="s">
        <v>1259</v>
      </c>
      <c r="M10" s="642"/>
      <c r="N10" s="642" t="s">
        <v>1259</v>
      </c>
      <c r="O10" s="642"/>
      <c r="P10" s="641" t="s">
        <v>1260</v>
      </c>
      <c r="Q10" s="641"/>
      <c r="R10" s="641" t="s">
        <v>1261</v>
      </c>
    </row>
    <row r="11" spans="1:19">
      <c r="A11" s="827" t="s">
        <v>1262</v>
      </c>
      <c r="B11" s="827"/>
      <c r="C11" s="827"/>
      <c r="D11" s="827"/>
      <c r="E11" s="636"/>
      <c r="F11" s="245" t="s">
        <v>1263</v>
      </c>
      <c r="G11" s="636"/>
      <c r="H11" s="643" t="s">
        <v>1264</v>
      </c>
      <c r="I11" s="251"/>
      <c r="J11" s="643" t="s">
        <v>1265</v>
      </c>
      <c r="K11" s="641"/>
      <c r="L11" s="643" t="s">
        <v>1265</v>
      </c>
      <c r="M11" s="641"/>
      <c r="N11" s="643" t="s">
        <v>1265</v>
      </c>
      <c r="O11" s="643"/>
      <c r="P11" s="643" t="s">
        <v>1266</v>
      </c>
      <c r="Q11" s="643"/>
      <c r="R11" s="643" t="s">
        <v>1267</v>
      </c>
    </row>
    <row r="12" spans="1:19">
      <c r="A12" s="272"/>
      <c r="B12" s="239"/>
      <c r="C12" s="243"/>
      <c r="D12" s="246"/>
      <c r="E12" s="246"/>
      <c r="F12" s="244"/>
      <c r="G12" s="246"/>
      <c r="H12" s="641"/>
      <c r="I12" s="251"/>
      <c r="J12" s="641"/>
      <c r="K12" s="251"/>
      <c r="L12" s="641"/>
      <c r="M12" s="251"/>
      <c r="N12" s="641"/>
      <c r="O12" s="641"/>
      <c r="P12" s="251"/>
      <c r="Q12" s="251"/>
      <c r="R12" s="251"/>
    </row>
    <row r="13" spans="1:19">
      <c r="A13" s="272"/>
      <c r="B13" s="239"/>
      <c r="C13" s="249"/>
      <c r="D13" s="247" t="s">
        <v>1268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9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9">
      <c r="A15" s="272"/>
      <c r="B15" s="239"/>
      <c r="C15" s="249"/>
      <c r="D15" s="245" t="s">
        <v>293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9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1269</v>
      </c>
      <c r="E17" s="249"/>
      <c r="F17" s="250">
        <v>0</v>
      </c>
      <c r="G17" s="249"/>
      <c r="H17" s="251">
        <v>3.63</v>
      </c>
      <c r="I17" s="251"/>
      <c r="J17" s="251">
        <v>3.63</v>
      </c>
      <c r="K17" s="251"/>
      <c r="L17" s="251">
        <v>0</v>
      </c>
      <c r="M17" s="251"/>
      <c r="N17" s="251">
        <v>0</v>
      </c>
      <c r="O17" s="251"/>
      <c r="P17" s="644" t="s">
        <v>1270</v>
      </c>
      <c r="Q17" s="251"/>
      <c r="R17" s="645">
        <v>1.6</v>
      </c>
    </row>
    <row r="18" spans="1:18">
      <c r="A18" s="272"/>
      <c r="B18" s="248">
        <v>303</v>
      </c>
      <c r="C18" s="249"/>
      <c r="D18" s="249" t="s">
        <v>1271</v>
      </c>
      <c r="E18" s="249"/>
      <c r="F18" s="250">
        <v>0</v>
      </c>
      <c r="G18" s="249"/>
      <c r="H18" s="251">
        <v>20.96</v>
      </c>
      <c r="I18" s="251"/>
      <c r="J18" s="251">
        <v>20.96</v>
      </c>
      <c r="K18" s="251"/>
      <c r="L18" s="251">
        <v>0</v>
      </c>
      <c r="M18" s="251"/>
      <c r="N18" s="251">
        <v>0</v>
      </c>
      <c r="O18" s="251"/>
      <c r="P18" s="644" t="s">
        <v>1272</v>
      </c>
      <c r="Q18" s="251"/>
      <c r="R18" s="645">
        <v>3.1</v>
      </c>
    </row>
    <row r="19" spans="1:18">
      <c r="A19" s="272"/>
      <c r="B19" s="248">
        <v>303.10000000000002</v>
      </c>
      <c r="C19" s="249"/>
      <c r="D19" s="249" t="s">
        <v>1273</v>
      </c>
      <c r="E19" s="249"/>
      <c r="F19" s="250">
        <v>0</v>
      </c>
      <c r="G19" s="249"/>
      <c r="H19" s="251">
        <v>10.06</v>
      </c>
      <c r="I19" s="251"/>
      <c r="J19" s="251">
        <v>10.06</v>
      </c>
      <c r="K19" s="251"/>
      <c r="L19" s="251">
        <v>0</v>
      </c>
      <c r="M19" s="251"/>
      <c r="N19" s="251">
        <v>0</v>
      </c>
      <c r="O19" s="251"/>
      <c r="P19" s="644" t="s">
        <v>1274</v>
      </c>
      <c r="Q19" s="251"/>
      <c r="R19" s="645">
        <v>3.5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1275</v>
      </c>
      <c r="E21" s="249"/>
      <c r="F21" s="250">
        <v>0</v>
      </c>
      <c r="G21" s="249"/>
      <c r="H21" s="251">
        <v>3.63</v>
      </c>
      <c r="I21" s="251"/>
      <c r="J21" s="251"/>
      <c r="K21" s="251"/>
      <c r="L21" s="251"/>
      <c r="M21" s="251"/>
      <c r="N21" s="251"/>
      <c r="O21" s="251"/>
      <c r="P21" s="646" t="s">
        <v>1270</v>
      </c>
      <c r="Q21" s="251"/>
      <c r="R21" s="251">
        <v>1.6</v>
      </c>
    </row>
    <row r="22" spans="1:18">
      <c r="A22" s="272">
        <v>303</v>
      </c>
      <c r="B22" s="239"/>
      <c r="C22" s="249"/>
      <c r="D22" s="247" t="s">
        <v>1275</v>
      </c>
      <c r="E22" s="249"/>
      <c r="F22" s="250">
        <v>0</v>
      </c>
      <c r="G22" s="249"/>
      <c r="H22" s="251">
        <v>16.11</v>
      </c>
      <c r="I22" s="251"/>
      <c r="J22" s="251"/>
      <c r="K22" s="251"/>
      <c r="L22" s="251"/>
      <c r="M22" s="251"/>
      <c r="N22" s="251"/>
      <c r="O22" s="251"/>
      <c r="P22" s="251" t="s">
        <v>1411</v>
      </c>
      <c r="Q22" s="251"/>
      <c r="R22" s="646" t="s">
        <v>3652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1276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1277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1286</v>
      </c>
      <c r="E28" s="249"/>
      <c r="F28" s="647">
        <v>-6</v>
      </c>
      <c r="G28" s="249"/>
      <c r="H28" s="251">
        <v>0.04</v>
      </c>
      <c r="I28" s="251"/>
      <c r="J28" s="251">
        <v>0.04</v>
      </c>
      <c r="K28" s="251"/>
      <c r="L28" s="251">
        <v>0</v>
      </c>
      <c r="M28" s="251"/>
      <c r="N28" s="251">
        <v>0</v>
      </c>
      <c r="O28" s="251"/>
      <c r="P28" s="648" t="s">
        <v>2560</v>
      </c>
      <c r="Q28" s="251"/>
      <c r="R28" s="251">
        <v>1.1696045736064793</v>
      </c>
    </row>
    <row r="29" spans="1:18">
      <c r="A29" s="272"/>
      <c r="B29" s="248"/>
      <c r="C29" s="249"/>
      <c r="D29" s="253" t="s">
        <v>1289</v>
      </c>
      <c r="E29" s="249"/>
      <c r="F29" s="647">
        <v>-6</v>
      </c>
      <c r="G29" s="249"/>
      <c r="H29" s="251">
        <v>4.54</v>
      </c>
      <c r="I29" s="251"/>
      <c r="J29" s="251">
        <v>4.28</v>
      </c>
      <c r="K29" s="251"/>
      <c r="L29" s="251">
        <v>0.26</v>
      </c>
      <c r="M29" s="251"/>
      <c r="N29" s="251">
        <v>0</v>
      </c>
      <c r="O29" s="251"/>
      <c r="P29" s="648" t="s">
        <v>2560</v>
      </c>
      <c r="Q29" s="251"/>
      <c r="R29" s="251">
        <v>17.380040006304025</v>
      </c>
    </row>
    <row r="30" spans="1:18">
      <c r="A30" s="272"/>
      <c r="B30" s="248"/>
      <c r="C30" s="249"/>
      <c r="D30" s="253" t="s">
        <v>1287</v>
      </c>
      <c r="E30" s="249"/>
      <c r="F30" s="647">
        <v>-6</v>
      </c>
      <c r="G30" s="249"/>
      <c r="H30" s="251">
        <v>0.63</v>
      </c>
      <c r="I30" s="251"/>
      <c r="J30" s="251">
        <v>0.59</v>
      </c>
      <c r="K30" s="251"/>
      <c r="L30" s="251">
        <v>0.04</v>
      </c>
      <c r="M30" s="251"/>
      <c r="N30" s="251">
        <v>0</v>
      </c>
      <c r="O30" s="251"/>
      <c r="P30" s="648" t="s">
        <v>2560</v>
      </c>
      <c r="Q30" s="251"/>
      <c r="R30" s="251">
        <v>1.1699517574086837</v>
      </c>
    </row>
    <row r="31" spans="1:18">
      <c r="A31" s="272"/>
      <c r="B31" s="248"/>
      <c r="C31" s="249"/>
      <c r="D31" s="253" t="s">
        <v>1288</v>
      </c>
      <c r="E31" s="249"/>
      <c r="F31" s="647">
        <v>-6</v>
      </c>
      <c r="G31" s="249"/>
      <c r="H31" s="251">
        <v>3.17</v>
      </c>
      <c r="I31" s="251"/>
      <c r="J31" s="251">
        <v>2.9899999999999998</v>
      </c>
      <c r="K31" s="251"/>
      <c r="L31" s="251">
        <v>0.18</v>
      </c>
      <c r="M31" s="251"/>
      <c r="N31" s="251">
        <v>0</v>
      </c>
      <c r="O31" s="251"/>
      <c r="P31" s="648" t="s">
        <v>2560</v>
      </c>
      <c r="Q31" s="251"/>
      <c r="R31" s="251">
        <v>17.325755079264649</v>
      </c>
    </row>
    <row r="32" spans="1:18">
      <c r="A32" s="272"/>
      <c r="B32" s="248"/>
      <c r="C32" s="249"/>
      <c r="D32" s="253" t="s">
        <v>1292</v>
      </c>
      <c r="E32" s="249"/>
      <c r="F32" s="647">
        <v>-8</v>
      </c>
      <c r="G32" s="249"/>
      <c r="H32" s="251">
        <v>1.68</v>
      </c>
      <c r="I32" s="251"/>
      <c r="J32" s="251">
        <v>1.56</v>
      </c>
      <c r="K32" s="251"/>
      <c r="L32" s="251">
        <v>0.12</v>
      </c>
      <c r="M32" s="251"/>
      <c r="N32" s="251">
        <v>0</v>
      </c>
      <c r="O32" s="251"/>
      <c r="P32" s="648" t="s">
        <v>2560</v>
      </c>
      <c r="Q32" s="251"/>
      <c r="R32" s="251">
        <v>16.334994040990171</v>
      </c>
    </row>
    <row r="33" spans="1:18">
      <c r="A33" s="272"/>
      <c r="B33" s="248"/>
      <c r="C33" s="249"/>
      <c r="D33" s="253" t="s">
        <v>1291</v>
      </c>
      <c r="E33" s="249"/>
      <c r="F33" s="647">
        <v>-8</v>
      </c>
      <c r="G33" s="249"/>
      <c r="H33" s="251">
        <v>1.1399999999999999</v>
      </c>
      <c r="I33" s="251"/>
      <c r="J33" s="251">
        <v>1.0599999999999998</v>
      </c>
      <c r="K33" s="251"/>
      <c r="L33" s="251">
        <v>0.08</v>
      </c>
      <c r="M33" s="251"/>
      <c r="N33" s="251">
        <v>0</v>
      </c>
      <c r="O33" s="251"/>
      <c r="P33" s="648" t="s">
        <v>2560</v>
      </c>
      <c r="Q33" s="251"/>
      <c r="R33" s="251">
        <v>16.310574207718858</v>
      </c>
    </row>
    <row r="34" spans="1:18">
      <c r="A34" s="272"/>
      <c r="B34" s="248"/>
      <c r="C34" s="249"/>
      <c r="D34" s="253" t="s">
        <v>1293</v>
      </c>
      <c r="E34" s="249"/>
      <c r="F34" s="647">
        <v>-8</v>
      </c>
      <c r="G34" s="249"/>
      <c r="H34" s="251">
        <v>1.31</v>
      </c>
      <c r="I34" s="251"/>
      <c r="J34" s="251">
        <v>1.21</v>
      </c>
      <c r="K34" s="251"/>
      <c r="L34" s="251">
        <v>0.1</v>
      </c>
      <c r="M34" s="251"/>
      <c r="N34" s="251">
        <v>0</v>
      </c>
      <c r="O34" s="251"/>
      <c r="P34" s="648" t="s">
        <v>2560</v>
      </c>
      <c r="Q34" s="251"/>
      <c r="R34" s="251">
        <v>16.194361949806595</v>
      </c>
    </row>
    <row r="35" spans="1:18">
      <c r="A35" s="272"/>
      <c r="B35" s="248"/>
      <c r="C35" s="249"/>
      <c r="D35" s="253" t="s">
        <v>1296</v>
      </c>
      <c r="E35" s="249"/>
      <c r="F35" s="647">
        <v>-8</v>
      </c>
      <c r="G35" s="249"/>
      <c r="H35" s="251">
        <v>1.1599999999999999</v>
      </c>
      <c r="I35" s="251"/>
      <c r="J35" s="251">
        <v>1.0699999999999998</v>
      </c>
      <c r="K35" s="251"/>
      <c r="L35" s="251">
        <v>0.09</v>
      </c>
      <c r="M35" s="251"/>
      <c r="N35" s="251">
        <v>0</v>
      </c>
      <c r="O35" s="251"/>
      <c r="P35" s="648" t="s">
        <v>2560</v>
      </c>
      <c r="Q35" s="251"/>
      <c r="R35" s="251">
        <v>16.2900374539979</v>
      </c>
    </row>
    <row r="36" spans="1:18">
      <c r="A36" s="272"/>
      <c r="B36" s="248"/>
      <c r="C36" s="249"/>
      <c r="D36" s="253" t="s">
        <v>1294</v>
      </c>
      <c r="E36" s="249"/>
      <c r="F36" s="647">
        <v>-8</v>
      </c>
      <c r="G36" s="249"/>
      <c r="H36" s="251">
        <v>2.15</v>
      </c>
      <c r="I36" s="251"/>
      <c r="J36" s="251">
        <v>1.99</v>
      </c>
      <c r="K36" s="251"/>
      <c r="L36" s="251">
        <v>0.16</v>
      </c>
      <c r="M36" s="251"/>
      <c r="N36" s="251">
        <v>0</v>
      </c>
      <c r="O36" s="251"/>
      <c r="P36" s="648" t="s">
        <v>2560</v>
      </c>
      <c r="Q36" s="251"/>
      <c r="R36" s="251">
        <v>19.180341797678263</v>
      </c>
    </row>
    <row r="37" spans="1:18">
      <c r="A37" s="272"/>
      <c r="B37" s="248"/>
      <c r="C37" s="249"/>
      <c r="D37" s="253" t="s">
        <v>1295</v>
      </c>
      <c r="E37" s="249"/>
      <c r="F37" s="647">
        <v>-8</v>
      </c>
      <c r="G37" s="249"/>
      <c r="H37" s="251">
        <v>3.44</v>
      </c>
      <c r="I37" s="251"/>
      <c r="J37" s="251">
        <v>3.19</v>
      </c>
      <c r="K37" s="251"/>
      <c r="L37" s="251">
        <v>0.25</v>
      </c>
      <c r="M37" s="251"/>
      <c r="N37" s="251">
        <v>0</v>
      </c>
      <c r="O37" s="251"/>
      <c r="P37" s="648" t="s">
        <v>2560</v>
      </c>
      <c r="Q37" s="251"/>
      <c r="R37" s="251">
        <v>20.231508448292683</v>
      </c>
    </row>
    <row r="38" spans="1:18">
      <c r="A38" s="272"/>
      <c r="B38" s="248"/>
      <c r="C38" s="249"/>
      <c r="D38" s="253" t="s">
        <v>1301</v>
      </c>
      <c r="E38" s="249"/>
      <c r="F38" s="647">
        <v>-8</v>
      </c>
      <c r="G38" s="249"/>
      <c r="H38" s="251">
        <v>5.31</v>
      </c>
      <c r="I38" s="251"/>
      <c r="J38" s="251">
        <v>4.92</v>
      </c>
      <c r="K38" s="251"/>
      <c r="L38" s="251">
        <v>0.39</v>
      </c>
      <c r="M38" s="251"/>
      <c r="N38" s="251">
        <v>0</v>
      </c>
      <c r="O38" s="251"/>
      <c r="P38" s="648" t="s">
        <v>2560</v>
      </c>
      <c r="Q38" s="251"/>
      <c r="R38" s="251">
        <v>20.353932584269664</v>
      </c>
    </row>
    <row r="39" spans="1:18">
      <c r="A39" s="272"/>
      <c r="B39" s="248"/>
      <c r="C39" s="249"/>
      <c r="D39" s="253" t="s">
        <v>1280</v>
      </c>
      <c r="E39" s="249"/>
      <c r="F39" s="647">
        <v>0</v>
      </c>
      <c r="G39" s="249"/>
      <c r="H39" s="251">
        <v>1.54</v>
      </c>
      <c r="I39" s="251"/>
      <c r="J39" s="251">
        <v>1.54</v>
      </c>
      <c r="K39" s="251"/>
      <c r="L39" s="251">
        <v>0</v>
      </c>
      <c r="M39" s="251"/>
      <c r="N39" s="251">
        <v>0</v>
      </c>
      <c r="O39" s="251"/>
      <c r="P39" s="648" t="s">
        <v>2560</v>
      </c>
      <c r="Q39" s="251"/>
      <c r="R39" s="251">
        <v>22.165532088206202</v>
      </c>
    </row>
    <row r="40" spans="1:18">
      <c r="A40" s="272"/>
      <c r="B40" s="248"/>
      <c r="C40" s="249"/>
      <c r="D40" s="253" t="s">
        <v>1278</v>
      </c>
      <c r="E40" s="249"/>
      <c r="F40" s="647">
        <v>-13</v>
      </c>
      <c r="G40" s="249"/>
      <c r="H40" s="251">
        <v>1.81</v>
      </c>
      <c r="I40" s="251"/>
      <c r="J40" s="251">
        <v>1.6</v>
      </c>
      <c r="K40" s="251"/>
      <c r="L40" s="251">
        <v>0.21</v>
      </c>
      <c r="M40" s="251"/>
      <c r="N40" s="251">
        <v>0</v>
      </c>
      <c r="O40" s="251"/>
      <c r="P40" s="648" t="s">
        <v>2560</v>
      </c>
      <c r="Q40" s="251"/>
      <c r="R40" s="251">
        <v>46.504146531459178</v>
      </c>
    </row>
    <row r="41" spans="1:18">
      <c r="A41" s="272"/>
      <c r="B41" s="248"/>
      <c r="C41" s="249"/>
      <c r="D41" s="253" t="s">
        <v>1279</v>
      </c>
      <c r="E41" s="249"/>
      <c r="F41" s="647">
        <v>-13</v>
      </c>
      <c r="G41" s="249"/>
      <c r="H41" s="251">
        <v>1.21</v>
      </c>
      <c r="I41" s="251"/>
      <c r="J41" s="251">
        <v>1.0699999999999998</v>
      </c>
      <c r="K41" s="251"/>
      <c r="L41" s="251">
        <v>0.14000000000000001</v>
      </c>
      <c r="M41" s="251"/>
      <c r="N41" s="251">
        <v>0</v>
      </c>
      <c r="O41" s="251"/>
      <c r="P41" s="648" t="s">
        <v>2560</v>
      </c>
      <c r="Q41" s="251"/>
      <c r="R41" s="251">
        <v>45.332728759384523</v>
      </c>
    </row>
    <row r="42" spans="1:18">
      <c r="A42" s="272"/>
      <c r="B42" s="248"/>
      <c r="C42" s="249"/>
      <c r="D42" s="249"/>
      <c r="E42" s="249"/>
      <c r="F42" s="250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54" t="s">
        <v>2535</v>
      </c>
      <c r="E43" s="249"/>
      <c r="F43" s="277" t="s">
        <v>2561</v>
      </c>
      <c r="G43" s="249"/>
      <c r="H43" s="251">
        <v>2.423191946265475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24.35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2254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50"/>
      <c r="R45" s="651"/>
    </row>
    <row r="46" spans="1:18">
      <c r="A46" s="272"/>
      <c r="B46" s="248"/>
      <c r="C46" s="249"/>
      <c r="D46" s="253" t="s">
        <v>2536</v>
      </c>
      <c r="E46" s="249"/>
      <c r="F46" s="647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8" t="s">
        <v>2256</v>
      </c>
      <c r="Q46" s="251"/>
      <c r="R46" s="251">
        <v>0</v>
      </c>
    </row>
    <row r="47" spans="1:18">
      <c r="A47" s="272"/>
      <c r="B47" s="248"/>
      <c r="C47" s="249"/>
      <c r="D47" s="253" t="s">
        <v>2537</v>
      </c>
      <c r="E47" s="249"/>
      <c r="F47" s="647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8" t="s">
        <v>2253</v>
      </c>
      <c r="Q47" s="251"/>
      <c r="R47" s="251">
        <v>0</v>
      </c>
    </row>
    <row r="48" spans="1:18">
      <c r="A48" s="272"/>
      <c r="B48" s="248"/>
      <c r="C48" s="249"/>
      <c r="D48" s="253" t="s">
        <v>2538</v>
      </c>
      <c r="E48" s="249"/>
      <c r="F48" s="647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8" t="s">
        <v>2253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50"/>
      <c r="R49" s="651"/>
    </row>
    <row r="50" spans="1:18">
      <c r="A50" s="463"/>
      <c r="B50" s="469"/>
      <c r="C50" s="467"/>
      <c r="D50" s="473" t="s">
        <v>2259</v>
      </c>
      <c r="E50" s="471"/>
      <c r="F50" s="471"/>
      <c r="G50" s="463"/>
      <c r="H50" s="251">
        <v>0</v>
      </c>
      <c r="I50" s="251"/>
      <c r="J50" s="251"/>
      <c r="K50" s="251"/>
      <c r="L50" s="251"/>
      <c r="M50" s="251"/>
      <c r="N50" s="251"/>
      <c r="P50" s="650"/>
      <c r="R50" s="651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50"/>
      <c r="R51" s="651"/>
    </row>
    <row r="52" spans="1:18">
      <c r="A52" s="463"/>
      <c r="B52" s="469">
        <v>311.2</v>
      </c>
      <c r="C52" s="467"/>
      <c r="D52" s="470" t="s">
        <v>2260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50"/>
      <c r="R52" s="651"/>
    </row>
    <row r="53" spans="1:18">
      <c r="A53" s="463"/>
      <c r="B53" s="469"/>
      <c r="C53" s="467"/>
      <c r="D53" s="470" t="s">
        <v>1281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50" t="s">
        <v>2253</v>
      </c>
      <c r="R53" s="651">
        <v>0</v>
      </c>
    </row>
    <row r="54" spans="1:18">
      <c r="A54" s="463"/>
      <c r="B54" s="469"/>
      <c r="C54" s="467"/>
      <c r="D54" s="470" t="s">
        <v>1282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50" t="s">
        <v>2253</v>
      </c>
      <c r="R54" s="651">
        <v>0</v>
      </c>
    </row>
    <row r="55" spans="1:18">
      <c r="A55" s="463"/>
      <c r="B55" s="469"/>
      <c r="C55" s="467"/>
      <c r="D55" s="472" t="s">
        <v>1283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50" t="s">
        <v>2253</v>
      </c>
      <c r="R55" s="651">
        <v>0</v>
      </c>
    </row>
    <row r="56" spans="1:18">
      <c r="A56" s="463"/>
      <c r="B56" s="469"/>
      <c r="C56" s="467"/>
      <c r="D56" s="472" t="s">
        <v>1284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50" t="s">
        <v>2253</v>
      </c>
      <c r="R56" s="651">
        <v>0</v>
      </c>
    </row>
    <row r="57" spans="1:18">
      <c r="A57" s="463"/>
      <c r="B57" s="469"/>
      <c r="C57" s="467"/>
      <c r="D57" s="472" t="s">
        <v>1285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50" t="s">
        <v>2253</v>
      </c>
      <c r="R57" s="651">
        <v>0</v>
      </c>
    </row>
    <row r="58" spans="1:18">
      <c r="A58" s="463"/>
      <c r="B58" s="469"/>
      <c r="C58" s="467"/>
      <c r="D58" s="472" t="s">
        <v>1290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50" t="s">
        <v>2253</v>
      </c>
      <c r="R58" s="651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50"/>
      <c r="R59" s="651"/>
    </row>
    <row r="60" spans="1:18">
      <c r="A60" s="463"/>
      <c r="B60" s="469"/>
      <c r="C60" s="467"/>
      <c r="D60" s="473" t="s">
        <v>2539</v>
      </c>
      <c r="E60" s="471"/>
      <c r="F60" s="471"/>
      <c r="G60" s="463"/>
      <c r="H60" s="251">
        <v>0</v>
      </c>
      <c r="I60" s="251"/>
      <c r="J60" s="251"/>
      <c r="K60" s="251"/>
      <c r="L60" s="251"/>
      <c r="M60" s="251"/>
      <c r="N60" s="251"/>
      <c r="P60" s="650" t="str">
        <f>P58</f>
        <v>100-R2.5</v>
      </c>
      <c r="R60" s="651">
        <v>0</v>
      </c>
    </row>
    <row r="61" spans="1:18">
      <c r="A61" s="463"/>
      <c r="B61" s="469"/>
      <c r="C61" s="467"/>
      <c r="D61" s="473"/>
      <c r="E61" s="471"/>
      <c r="F61" s="471"/>
      <c r="G61" s="463"/>
      <c r="H61" s="251"/>
      <c r="I61" s="251"/>
      <c r="J61" s="251"/>
      <c r="K61" s="251"/>
      <c r="L61" s="251"/>
      <c r="M61" s="251"/>
      <c r="N61" s="251"/>
      <c r="P61" s="650"/>
      <c r="R61" s="651"/>
    </row>
    <row r="62" spans="1:18">
      <c r="A62" s="463">
        <v>311</v>
      </c>
      <c r="B62" s="469"/>
      <c r="C62" s="467"/>
      <c r="D62" s="473" t="s">
        <v>1297</v>
      </c>
      <c r="E62" s="471"/>
      <c r="F62" s="277" t="str">
        <f>F43</f>
        <v>-6%-8%-13%</v>
      </c>
      <c r="G62" s="463"/>
      <c r="H62" s="251">
        <v>2.42</v>
      </c>
      <c r="I62" s="251"/>
      <c r="J62" s="251"/>
      <c r="K62" s="251"/>
      <c r="L62" s="251"/>
      <c r="M62" s="251"/>
      <c r="N62" s="251"/>
      <c r="P62" s="652" t="s">
        <v>2253</v>
      </c>
      <c r="R62" s="653">
        <v>24.35</v>
      </c>
    </row>
    <row r="63" spans="1:18">
      <c r="A63" s="272"/>
      <c r="B63" s="248"/>
      <c r="C63" s="249"/>
      <c r="D63" s="249"/>
      <c r="E63" s="249"/>
      <c r="F63" s="250"/>
      <c r="G63" s="249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</row>
    <row r="64" spans="1:18">
      <c r="A64" s="272"/>
      <c r="B64" s="248">
        <v>312</v>
      </c>
      <c r="C64" s="249"/>
      <c r="D64" s="249" t="s">
        <v>1298</v>
      </c>
      <c r="E64" s="249"/>
      <c r="F64" s="250"/>
      <c r="G64" s="249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</row>
    <row r="65" spans="1:18">
      <c r="A65" s="272"/>
      <c r="B65" s="248"/>
      <c r="C65" s="249"/>
      <c r="D65" s="654" t="s">
        <v>1286</v>
      </c>
      <c r="E65" s="249"/>
      <c r="F65" s="647">
        <v>-6</v>
      </c>
      <c r="G65" s="249"/>
      <c r="H65" s="251">
        <v>3.21</v>
      </c>
      <c r="I65" s="251"/>
      <c r="J65" s="251">
        <v>3.03</v>
      </c>
      <c r="K65" s="251"/>
      <c r="L65" s="251">
        <v>0.27</v>
      </c>
      <c r="M65" s="251"/>
      <c r="N65" s="251">
        <v>-0.09</v>
      </c>
      <c r="O65" s="251"/>
      <c r="P65" s="648" t="s">
        <v>1308</v>
      </c>
      <c r="Q65" s="251"/>
      <c r="R65" s="655">
        <v>1.1600018737663025</v>
      </c>
    </row>
    <row r="66" spans="1:18">
      <c r="A66" s="272"/>
      <c r="B66" s="248"/>
      <c r="C66" s="249"/>
      <c r="D66" s="654" t="s">
        <v>1289</v>
      </c>
      <c r="E66" s="249"/>
      <c r="F66" s="647">
        <v>-6</v>
      </c>
      <c r="G66" s="249"/>
      <c r="H66" s="251">
        <v>4.92</v>
      </c>
      <c r="I66" s="251"/>
      <c r="J66" s="251">
        <v>4.6399999999999997</v>
      </c>
      <c r="K66" s="251"/>
      <c r="L66" s="251">
        <v>0.42</v>
      </c>
      <c r="M66" s="251"/>
      <c r="N66" s="251">
        <v>-0.14000000000000001</v>
      </c>
      <c r="O66" s="251"/>
      <c r="P66" s="655" t="s">
        <v>1308</v>
      </c>
      <c r="Q66" s="251"/>
      <c r="R66" s="655">
        <v>16.982789396249931</v>
      </c>
    </row>
    <row r="67" spans="1:18">
      <c r="A67" s="272"/>
      <c r="B67" s="248"/>
      <c r="C67" s="249"/>
      <c r="D67" s="654" t="s">
        <v>1287</v>
      </c>
      <c r="E67" s="249"/>
      <c r="F67" s="647">
        <v>-6</v>
      </c>
      <c r="G67" s="249"/>
      <c r="H67" s="251">
        <v>3.08</v>
      </c>
      <c r="I67" s="251"/>
      <c r="J67" s="251">
        <v>2.91</v>
      </c>
      <c r="K67" s="251"/>
      <c r="L67" s="251">
        <v>0.26</v>
      </c>
      <c r="M67" s="251"/>
      <c r="N67" s="251">
        <v>-0.09</v>
      </c>
      <c r="O67" s="251"/>
      <c r="P67" s="655" t="s">
        <v>1308</v>
      </c>
      <c r="Q67" s="251"/>
      <c r="R67" s="655">
        <v>1.1600004308491036</v>
      </c>
    </row>
    <row r="68" spans="1:18">
      <c r="A68" s="656"/>
      <c r="B68" s="249"/>
      <c r="C68" s="249"/>
      <c r="D68" s="654" t="s">
        <v>1288</v>
      </c>
      <c r="E68" s="249"/>
      <c r="F68" s="647">
        <v>-6</v>
      </c>
      <c r="G68" s="249"/>
      <c r="H68" s="251">
        <v>5.19</v>
      </c>
      <c r="I68" s="251"/>
      <c r="J68" s="251">
        <v>4.9000000000000004</v>
      </c>
      <c r="K68" s="251"/>
      <c r="L68" s="251">
        <v>0.44</v>
      </c>
      <c r="M68" s="251"/>
      <c r="N68" s="251">
        <v>-0.15</v>
      </c>
      <c r="O68" s="251"/>
      <c r="P68" s="655" t="s">
        <v>1308</v>
      </c>
      <c r="Q68" s="251"/>
      <c r="R68" s="655">
        <v>16.923681432433298</v>
      </c>
    </row>
    <row r="69" spans="1:18">
      <c r="A69" s="656"/>
      <c r="B69" s="249"/>
      <c r="C69" s="249"/>
      <c r="D69" s="654" t="s">
        <v>1292</v>
      </c>
      <c r="E69" s="249"/>
      <c r="F69" s="647">
        <v>-8</v>
      </c>
      <c r="G69" s="249"/>
      <c r="H69" s="251">
        <v>4.83</v>
      </c>
      <c r="I69" s="251"/>
      <c r="J69" s="251">
        <v>4.47</v>
      </c>
      <c r="K69" s="251"/>
      <c r="L69" s="251">
        <v>0.49</v>
      </c>
      <c r="M69" s="251"/>
      <c r="N69" s="251">
        <v>-0.13</v>
      </c>
      <c r="O69" s="251"/>
      <c r="P69" s="655" t="s">
        <v>1308</v>
      </c>
      <c r="Q69" s="251"/>
      <c r="R69" s="655">
        <v>15.966106724538497</v>
      </c>
    </row>
    <row r="70" spans="1:18">
      <c r="A70" s="656"/>
      <c r="B70" s="249"/>
      <c r="C70" s="249"/>
      <c r="D70" s="654" t="s">
        <v>1291</v>
      </c>
      <c r="E70" s="249"/>
      <c r="F70" s="647">
        <v>-8</v>
      </c>
      <c r="G70" s="249"/>
      <c r="H70" s="251">
        <v>4.16</v>
      </c>
      <c r="I70" s="251"/>
      <c r="J70" s="251">
        <v>3.8600000000000003</v>
      </c>
      <c r="K70" s="251"/>
      <c r="L70" s="251">
        <v>0.42</v>
      </c>
      <c r="M70" s="251"/>
      <c r="N70" s="251">
        <v>-0.12</v>
      </c>
      <c r="O70" s="251"/>
      <c r="P70" s="655" t="s">
        <v>1308</v>
      </c>
      <c r="Q70" s="251"/>
      <c r="R70" s="655">
        <v>16.022674994329403</v>
      </c>
    </row>
    <row r="71" spans="1:18">
      <c r="A71" s="656"/>
      <c r="B71" s="249"/>
      <c r="C71" s="249"/>
      <c r="D71" s="654" t="s">
        <v>1293</v>
      </c>
      <c r="E71" s="249"/>
      <c r="F71" s="647">
        <v>-8</v>
      </c>
      <c r="G71" s="249"/>
      <c r="H71" s="251">
        <v>5.0999999999999996</v>
      </c>
      <c r="I71" s="251"/>
      <c r="J71" s="251">
        <v>4.72</v>
      </c>
      <c r="K71" s="251"/>
      <c r="L71" s="251">
        <v>0.52</v>
      </c>
      <c r="M71" s="251"/>
      <c r="N71" s="251">
        <v>-0.14000000000000001</v>
      </c>
      <c r="O71" s="251"/>
      <c r="P71" s="655" t="s">
        <v>1308</v>
      </c>
      <c r="Q71" s="251"/>
      <c r="R71" s="655">
        <v>15.946060511144678</v>
      </c>
    </row>
    <row r="72" spans="1:18">
      <c r="A72" s="656"/>
      <c r="B72" s="249"/>
      <c r="C72" s="249"/>
      <c r="D72" s="654" t="s">
        <v>1296</v>
      </c>
      <c r="E72" s="249"/>
      <c r="F72" s="647">
        <v>-8</v>
      </c>
      <c r="G72" s="249"/>
      <c r="H72" s="251">
        <v>1.19</v>
      </c>
      <c r="I72" s="251"/>
      <c r="J72" s="251">
        <v>1.0999999999999999</v>
      </c>
      <c r="K72" s="251"/>
      <c r="L72" s="251">
        <v>0.12</v>
      </c>
      <c r="M72" s="251"/>
      <c r="N72" s="251">
        <v>-0.03</v>
      </c>
      <c r="O72" s="251"/>
      <c r="P72" s="655" t="s">
        <v>1308</v>
      </c>
      <c r="Q72" s="251"/>
      <c r="R72" s="655">
        <v>15.987247991465972</v>
      </c>
    </row>
    <row r="73" spans="1:18">
      <c r="A73" s="656"/>
      <c r="B73" s="249"/>
      <c r="C73" s="249"/>
      <c r="D73" s="654" t="s">
        <v>1294</v>
      </c>
      <c r="E73" s="249"/>
      <c r="F73" s="647">
        <v>-8</v>
      </c>
      <c r="G73" s="249"/>
      <c r="H73" s="251">
        <v>3.54</v>
      </c>
      <c r="I73" s="251"/>
      <c r="J73" s="251">
        <v>3.2800000000000002</v>
      </c>
      <c r="K73" s="251"/>
      <c r="L73" s="251">
        <v>0.36</v>
      </c>
      <c r="M73" s="251"/>
      <c r="N73" s="251">
        <v>-0.1</v>
      </c>
      <c r="O73" s="251"/>
      <c r="P73" s="655" t="s">
        <v>1308</v>
      </c>
      <c r="Q73" s="251"/>
      <c r="R73" s="655">
        <v>18.644439837411241</v>
      </c>
    </row>
    <row r="74" spans="1:18">
      <c r="A74" s="656"/>
      <c r="B74" s="249"/>
      <c r="C74" s="249"/>
      <c r="D74" s="654" t="s">
        <v>1300</v>
      </c>
      <c r="E74" s="249"/>
      <c r="F74" s="647">
        <v>-8</v>
      </c>
      <c r="G74" s="249"/>
      <c r="H74" s="251">
        <v>3.99</v>
      </c>
      <c r="I74" s="251"/>
      <c r="J74" s="251">
        <v>3.69</v>
      </c>
      <c r="K74" s="251"/>
      <c r="L74" s="251">
        <v>0.41</v>
      </c>
      <c r="M74" s="251"/>
      <c r="N74" s="251">
        <v>-0.11</v>
      </c>
      <c r="O74" s="251"/>
      <c r="P74" s="648" t="s">
        <v>1308</v>
      </c>
      <c r="Q74" s="251"/>
      <c r="R74" s="655">
        <v>18.749823728642838</v>
      </c>
    </row>
    <row r="75" spans="1:18">
      <c r="A75" s="656"/>
      <c r="B75" s="249"/>
      <c r="C75" s="249"/>
      <c r="D75" s="654" t="s">
        <v>1295</v>
      </c>
      <c r="E75" s="249"/>
      <c r="F75" s="647">
        <v>-8</v>
      </c>
      <c r="G75" s="249"/>
      <c r="H75" s="251">
        <v>4.3499999999999996</v>
      </c>
      <c r="I75" s="251"/>
      <c r="J75" s="251">
        <v>4.0299999999999994</v>
      </c>
      <c r="K75" s="251"/>
      <c r="L75" s="251">
        <v>0.44</v>
      </c>
      <c r="M75" s="251"/>
      <c r="N75" s="251">
        <v>-0.12</v>
      </c>
      <c r="O75" s="251"/>
      <c r="P75" s="648" t="s">
        <v>1308</v>
      </c>
      <c r="Q75" s="251"/>
      <c r="R75" s="655">
        <v>19.672953070255446</v>
      </c>
    </row>
    <row r="76" spans="1:18">
      <c r="A76" s="656"/>
      <c r="B76" s="249"/>
      <c r="C76" s="249"/>
      <c r="D76" s="654" t="s">
        <v>1301</v>
      </c>
      <c r="E76" s="249"/>
      <c r="F76" s="647">
        <v>-8</v>
      </c>
      <c r="G76" s="249"/>
      <c r="H76" s="251">
        <v>3.57</v>
      </c>
      <c r="I76" s="251"/>
      <c r="J76" s="251">
        <v>3.31</v>
      </c>
      <c r="K76" s="251"/>
      <c r="L76" s="251">
        <v>0.36</v>
      </c>
      <c r="M76" s="251"/>
      <c r="N76" s="251">
        <v>-0.1</v>
      </c>
      <c r="O76" s="251"/>
      <c r="P76" s="648" t="s">
        <v>1308</v>
      </c>
      <c r="Q76" s="251"/>
      <c r="R76" s="655">
        <v>19.760679852526636</v>
      </c>
    </row>
    <row r="77" spans="1:18">
      <c r="A77" s="272"/>
      <c r="B77" s="248"/>
      <c r="C77" s="249"/>
      <c r="D77" s="657" t="s">
        <v>1278</v>
      </c>
      <c r="E77" s="249"/>
      <c r="F77" s="647">
        <v>-13</v>
      </c>
      <c r="G77" s="249"/>
      <c r="H77" s="251">
        <v>2.17</v>
      </c>
      <c r="I77" s="251"/>
      <c r="J77" s="251">
        <v>1.92</v>
      </c>
      <c r="K77" s="251"/>
      <c r="L77" s="251">
        <v>0.31</v>
      </c>
      <c r="M77" s="251"/>
      <c r="N77" s="251">
        <v>-0.06</v>
      </c>
      <c r="O77" s="251"/>
      <c r="P77" s="648" t="s">
        <v>1308</v>
      </c>
      <c r="Q77" s="251"/>
      <c r="R77" s="655">
        <v>42.84371931144328</v>
      </c>
    </row>
    <row r="78" spans="1:18">
      <c r="A78" s="272"/>
      <c r="B78" s="248"/>
      <c r="C78" s="249"/>
      <c r="D78" s="657" t="s">
        <v>1279</v>
      </c>
      <c r="E78" s="249"/>
      <c r="F78" s="647">
        <v>-13</v>
      </c>
      <c r="G78" s="249"/>
      <c r="H78" s="251">
        <v>1.96</v>
      </c>
      <c r="I78" s="251"/>
      <c r="J78" s="251">
        <v>1.73</v>
      </c>
      <c r="K78" s="251"/>
      <c r="L78" s="251">
        <v>0.28000000000000003</v>
      </c>
      <c r="M78" s="251"/>
      <c r="N78" s="251">
        <v>-0.05</v>
      </c>
      <c r="O78" s="251"/>
      <c r="P78" s="648" t="s">
        <v>1308</v>
      </c>
      <c r="Q78" s="251"/>
      <c r="R78" s="655">
        <v>42.576565097379095</v>
      </c>
    </row>
    <row r="79" spans="1:18">
      <c r="A79" s="272"/>
      <c r="B79" s="248"/>
      <c r="C79" s="249"/>
      <c r="D79" s="249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272"/>
      <c r="B80" s="248"/>
      <c r="C80" s="249"/>
      <c r="D80" s="254" t="s">
        <v>2540</v>
      </c>
      <c r="E80" s="249"/>
      <c r="F80" s="277" t="s">
        <v>2561</v>
      </c>
      <c r="G80" s="249"/>
      <c r="H80" s="251">
        <v>3.9960416395243401</v>
      </c>
      <c r="I80" s="251"/>
      <c r="J80" s="251"/>
      <c r="K80" s="251"/>
      <c r="L80" s="251"/>
      <c r="M80" s="251"/>
      <c r="N80" s="251"/>
      <c r="O80" s="251"/>
      <c r="P80" s="655" t="s">
        <v>1308</v>
      </c>
      <c r="Q80" s="251"/>
      <c r="R80" s="251">
        <v>19.7</v>
      </c>
    </row>
    <row r="81" spans="1:18">
      <c r="A81" s="272"/>
      <c r="B81" s="248"/>
      <c r="C81" s="249"/>
      <c r="D81" s="254"/>
      <c r="E81" s="249"/>
      <c r="F81" s="250"/>
      <c r="G81" s="249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</row>
    <row r="82" spans="1:18">
      <c r="A82" s="463"/>
      <c r="B82" s="469">
        <v>312.10000000000002</v>
      </c>
      <c r="C82" s="467"/>
      <c r="D82" s="470" t="s">
        <v>2262</v>
      </c>
      <c r="E82" s="471"/>
      <c r="F82" s="471"/>
      <c r="G82" s="463"/>
      <c r="H82" s="251"/>
      <c r="I82" s="251"/>
      <c r="J82" s="251"/>
      <c r="K82" s="251"/>
      <c r="L82" s="251"/>
      <c r="M82" s="251"/>
      <c r="N82" s="251"/>
      <c r="P82" s="650"/>
      <c r="R82" s="651"/>
    </row>
    <row r="83" spans="1:18">
      <c r="A83" s="463"/>
      <c r="B83" s="469"/>
      <c r="C83" s="467"/>
      <c r="D83" s="470" t="s">
        <v>2255</v>
      </c>
      <c r="E83" s="471"/>
      <c r="F83" s="471">
        <v>0</v>
      </c>
      <c r="G83" s="463"/>
      <c r="H83" s="251">
        <v>0.92</v>
      </c>
      <c r="I83" s="251"/>
      <c r="J83" s="251">
        <v>0.92</v>
      </c>
      <c r="K83" s="251"/>
      <c r="L83" s="251">
        <v>0</v>
      </c>
      <c r="M83" s="251"/>
      <c r="N83" s="251">
        <v>0</v>
      </c>
      <c r="P83" s="650" t="s">
        <v>2256</v>
      </c>
      <c r="R83" s="655">
        <v>6</v>
      </c>
    </row>
    <row r="84" spans="1:18">
      <c r="A84" s="463"/>
      <c r="B84" s="469"/>
      <c r="C84" s="467"/>
      <c r="D84" s="472" t="s">
        <v>2263</v>
      </c>
      <c r="E84" s="471"/>
      <c r="F84" s="471">
        <v>0</v>
      </c>
      <c r="G84" s="463"/>
      <c r="H84" s="251">
        <v>1.3</v>
      </c>
      <c r="I84" s="251"/>
      <c r="J84" s="251">
        <v>1.3</v>
      </c>
      <c r="K84" s="251"/>
      <c r="L84" s="251">
        <v>0</v>
      </c>
      <c r="M84" s="251"/>
      <c r="N84" s="251">
        <v>0</v>
      </c>
      <c r="P84" s="650" t="s">
        <v>2256</v>
      </c>
      <c r="R84" s="655">
        <v>3</v>
      </c>
    </row>
    <row r="85" spans="1:18">
      <c r="A85" s="463"/>
      <c r="B85" s="469"/>
      <c r="C85" s="467"/>
      <c r="D85" s="472" t="s">
        <v>2264</v>
      </c>
      <c r="E85" s="471"/>
      <c r="F85" s="471">
        <v>0</v>
      </c>
      <c r="G85" s="463"/>
      <c r="H85" s="251">
        <v>1.3</v>
      </c>
      <c r="I85" s="251"/>
      <c r="J85" s="251">
        <v>1.3</v>
      </c>
      <c r="K85" s="251"/>
      <c r="L85" s="251">
        <v>0</v>
      </c>
      <c r="M85" s="251"/>
      <c r="N85" s="251">
        <v>0</v>
      </c>
      <c r="P85" s="650" t="s">
        <v>2256</v>
      </c>
      <c r="R85" s="655">
        <v>3</v>
      </c>
    </row>
    <row r="86" spans="1:18">
      <c r="A86" s="463"/>
      <c r="B86" s="469"/>
      <c r="C86" s="467"/>
      <c r="D86" s="472" t="s">
        <v>2265</v>
      </c>
      <c r="E86" s="471"/>
      <c r="F86" s="471">
        <v>0</v>
      </c>
      <c r="G86" s="463"/>
      <c r="H86" s="251">
        <v>4.1100000000000003</v>
      </c>
      <c r="I86" s="251"/>
      <c r="J86" s="251">
        <v>4.1100000000000003</v>
      </c>
      <c r="K86" s="251"/>
      <c r="L86" s="251">
        <v>0</v>
      </c>
      <c r="M86" s="251"/>
      <c r="N86" s="251">
        <v>0</v>
      </c>
      <c r="P86" s="650" t="s">
        <v>2256</v>
      </c>
      <c r="R86" s="655">
        <v>3.0000002046451586</v>
      </c>
    </row>
    <row r="87" spans="1:18">
      <c r="A87" s="463"/>
      <c r="B87" s="469"/>
      <c r="C87" s="467"/>
      <c r="D87" s="472" t="s">
        <v>2257</v>
      </c>
      <c r="E87" s="471"/>
      <c r="F87" s="471">
        <v>0</v>
      </c>
      <c r="G87" s="463"/>
      <c r="H87" s="251">
        <v>0.04</v>
      </c>
      <c r="I87" s="251"/>
      <c r="J87" s="251">
        <v>0.04</v>
      </c>
      <c r="K87" s="251"/>
      <c r="L87" s="251">
        <v>0</v>
      </c>
      <c r="M87" s="251"/>
      <c r="N87" s="251">
        <v>0</v>
      </c>
      <c r="P87" s="650" t="s">
        <v>2256</v>
      </c>
      <c r="R87" s="655">
        <v>3</v>
      </c>
    </row>
    <row r="88" spans="1:18">
      <c r="A88" s="463"/>
      <c r="B88" s="469"/>
      <c r="C88" s="467"/>
      <c r="D88" s="472" t="s">
        <v>2258</v>
      </c>
      <c r="E88" s="471"/>
      <c r="F88" s="471">
        <v>0</v>
      </c>
      <c r="G88" s="463"/>
      <c r="H88" s="251">
        <v>0.08</v>
      </c>
      <c r="I88" s="251"/>
      <c r="J88" s="251">
        <v>0.08</v>
      </c>
      <c r="K88" s="251"/>
      <c r="L88" s="251">
        <v>0</v>
      </c>
      <c r="M88" s="251"/>
      <c r="N88" s="251">
        <v>0</v>
      </c>
      <c r="P88" s="650" t="s">
        <v>2256</v>
      </c>
      <c r="R88" s="655">
        <v>5</v>
      </c>
    </row>
    <row r="89" spans="1:18">
      <c r="A89" s="463"/>
      <c r="B89" s="469"/>
      <c r="C89" s="467"/>
      <c r="D89" s="472" t="s">
        <v>2266</v>
      </c>
      <c r="E89" s="471"/>
      <c r="F89" s="471">
        <v>0</v>
      </c>
      <c r="G89" s="463"/>
      <c r="H89" s="251">
        <v>2.68</v>
      </c>
      <c r="I89" s="251"/>
      <c r="J89" s="251">
        <v>2.68</v>
      </c>
      <c r="K89" s="251"/>
      <c r="L89" s="251">
        <v>0</v>
      </c>
      <c r="M89" s="251"/>
      <c r="N89" s="251">
        <v>0</v>
      </c>
      <c r="P89" s="650" t="s">
        <v>2256</v>
      </c>
      <c r="R89" s="655">
        <v>4.0000002175966491</v>
      </c>
    </row>
    <row r="90" spans="1:18">
      <c r="A90" s="478"/>
      <c r="B90" s="474"/>
      <c r="C90" s="475"/>
      <c r="D90" s="476" t="s">
        <v>2267</v>
      </c>
      <c r="E90" s="477"/>
      <c r="F90" s="477">
        <v>0</v>
      </c>
      <c r="G90" s="478"/>
      <c r="H90" s="251">
        <v>0</v>
      </c>
      <c r="I90" s="251"/>
      <c r="J90" s="251">
        <v>0</v>
      </c>
      <c r="K90" s="251"/>
      <c r="L90" s="251">
        <v>0</v>
      </c>
      <c r="M90" s="251"/>
      <c r="N90" s="251">
        <v>0</v>
      </c>
      <c r="O90" s="658"/>
      <c r="P90" s="659" t="s">
        <v>2256</v>
      </c>
      <c r="Q90" s="658"/>
      <c r="R90" s="655">
        <v>0</v>
      </c>
    </row>
    <row r="91" spans="1:18">
      <c r="A91" s="463"/>
      <c r="B91" s="469"/>
      <c r="C91" s="467"/>
      <c r="D91" s="470" t="s">
        <v>2268</v>
      </c>
      <c r="E91" s="468"/>
      <c r="F91" s="471">
        <v>0</v>
      </c>
      <c r="G91" s="463"/>
      <c r="H91" s="251">
        <v>0</v>
      </c>
      <c r="I91" s="251"/>
      <c r="J91" s="251">
        <v>0</v>
      </c>
      <c r="K91" s="251"/>
      <c r="L91" s="251">
        <v>0</v>
      </c>
      <c r="M91" s="251"/>
      <c r="N91" s="251">
        <v>0</v>
      </c>
      <c r="P91" s="649" t="s">
        <v>2256</v>
      </c>
      <c r="R91" s="655">
        <v>0</v>
      </c>
    </row>
    <row r="92" spans="1:18">
      <c r="A92" s="463"/>
      <c r="B92" s="463"/>
      <c r="C92" s="467"/>
      <c r="D92" s="472" t="s">
        <v>2269</v>
      </c>
      <c r="E92" s="468"/>
      <c r="F92" s="471">
        <v>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9" t="s">
        <v>2256</v>
      </c>
      <c r="R92" s="655">
        <v>0</v>
      </c>
    </row>
    <row r="93" spans="1:18">
      <c r="A93" s="463"/>
      <c r="B93" s="469"/>
      <c r="C93" s="467"/>
      <c r="D93" s="472" t="s">
        <v>2270</v>
      </c>
      <c r="E93" s="471"/>
      <c r="F93" s="471">
        <v>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9" t="s">
        <v>2256</v>
      </c>
      <c r="R93" s="655">
        <v>0</v>
      </c>
    </row>
    <row r="94" spans="1:18">
      <c r="A94" s="463"/>
      <c r="B94" s="469"/>
      <c r="C94" s="467"/>
      <c r="D94" s="473"/>
      <c r="E94" s="471"/>
      <c r="F94" s="471"/>
      <c r="G94" s="463"/>
      <c r="H94" s="251"/>
      <c r="I94" s="251"/>
      <c r="J94" s="251"/>
      <c r="K94" s="251"/>
      <c r="L94" s="251"/>
      <c r="M94" s="251"/>
      <c r="N94" s="251"/>
      <c r="P94" s="650"/>
      <c r="R94" s="651"/>
    </row>
    <row r="95" spans="1:18">
      <c r="A95" s="463"/>
      <c r="B95" s="469"/>
      <c r="C95" s="467"/>
      <c r="D95" s="473" t="s">
        <v>2271</v>
      </c>
      <c r="E95" s="471"/>
      <c r="F95" s="471"/>
      <c r="G95" s="463"/>
      <c r="H95" s="251"/>
      <c r="I95" s="251"/>
      <c r="J95" s="251"/>
      <c r="K95" s="251"/>
      <c r="L95" s="251"/>
      <c r="M95" s="251"/>
      <c r="N95" s="251"/>
      <c r="P95" s="650"/>
      <c r="R95" s="651"/>
    </row>
    <row r="96" spans="1:18">
      <c r="A96" s="463"/>
      <c r="B96" s="469"/>
      <c r="C96" s="467"/>
      <c r="D96" s="473"/>
      <c r="E96" s="471"/>
      <c r="F96" s="471"/>
      <c r="G96" s="463"/>
      <c r="H96" s="251"/>
      <c r="I96" s="251"/>
      <c r="J96" s="251"/>
      <c r="K96" s="251"/>
      <c r="L96" s="251"/>
      <c r="M96" s="251"/>
      <c r="N96" s="251"/>
      <c r="P96" s="650"/>
      <c r="R96" s="651"/>
    </row>
    <row r="97" spans="1:18">
      <c r="A97" s="463"/>
      <c r="B97" s="469">
        <v>312.2</v>
      </c>
      <c r="C97" s="467"/>
      <c r="D97" s="470" t="s">
        <v>2272</v>
      </c>
      <c r="E97" s="471"/>
      <c r="F97" s="471"/>
      <c r="G97" s="463"/>
      <c r="H97" s="251"/>
      <c r="I97" s="251"/>
      <c r="J97" s="251"/>
      <c r="K97" s="251"/>
      <c r="L97" s="251"/>
      <c r="M97" s="251"/>
      <c r="N97" s="251"/>
      <c r="P97" s="650"/>
      <c r="R97" s="651"/>
    </row>
    <row r="98" spans="1:18">
      <c r="A98" s="463"/>
      <c r="B98" s="469"/>
      <c r="C98" s="467"/>
      <c r="D98" s="470" t="s">
        <v>1281</v>
      </c>
      <c r="E98" s="468"/>
      <c r="F98" s="471">
        <v>0</v>
      </c>
      <c r="G98" s="463"/>
      <c r="H98" s="251">
        <v>0</v>
      </c>
      <c r="I98" s="251"/>
      <c r="J98" s="251">
        <v>0</v>
      </c>
      <c r="K98" s="251"/>
      <c r="L98" s="251">
        <v>0</v>
      </c>
      <c r="M98" s="251"/>
      <c r="N98" s="251">
        <v>0</v>
      </c>
      <c r="P98" s="649" t="s">
        <v>2261</v>
      </c>
      <c r="R98" s="651">
        <v>0</v>
      </c>
    </row>
    <row r="99" spans="1:18">
      <c r="A99" s="463"/>
      <c r="B99" s="469"/>
      <c r="C99" s="467"/>
      <c r="D99" s="470" t="s">
        <v>1282</v>
      </c>
      <c r="E99" s="468"/>
      <c r="F99" s="471">
        <v>0</v>
      </c>
      <c r="G99" s="463"/>
      <c r="H99" s="251">
        <v>0</v>
      </c>
      <c r="I99" s="251"/>
      <c r="J99" s="251">
        <v>0</v>
      </c>
      <c r="K99" s="251"/>
      <c r="L99" s="251">
        <v>0</v>
      </c>
      <c r="M99" s="251"/>
      <c r="N99" s="251">
        <v>0</v>
      </c>
      <c r="P99" s="649" t="s">
        <v>2261</v>
      </c>
      <c r="R99" s="651">
        <v>0</v>
      </c>
    </row>
    <row r="100" spans="1:18">
      <c r="A100" s="463"/>
      <c r="B100" s="463"/>
      <c r="C100" s="467"/>
      <c r="D100" s="472" t="s">
        <v>1283</v>
      </c>
      <c r="E100" s="468"/>
      <c r="F100" s="471">
        <v>0</v>
      </c>
      <c r="G100" s="463"/>
      <c r="H100" s="251">
        <v>0</v>
      </c>
      <c r="I100" s="251"/>
      <c r="J100" s="251">
        <v>0</v>
      </c>
      <c r="K100" s="251"/>
      <c r="L100" s="251">
        <v>0</v>
      </c>
      <c r="M100" s="251"/>
      <c r="N100" s="251">
        <v>0</v>
      </c>
      <c r="P100" s="649" t="s">
        <v>2261</v>
      </c>
      <c r="R100" s="651">
        <v>0</v>
      </c>
    </row>
    <row r="101" spans="1:18">
      <c r="A101" s="463"/>
      <c r="B101" s="469"/>
      <c r="C101" s="467"/>
      <c r="D101" s="472" t="s">
        <v>1284</v>
      </c>
      <c r="E101" s="471"/>
      <c r="F101" s="471">
        <v>0</v>
      </c>
      <c r="G101" s="463"/>
      <c r="H101" s="251">
        <v>0</v>
      </c>
      <c r="I101" s="251"/>
      <c r="J101" s="251">
        <v>0</v>
      </c>
      <c r="K101" s="251"/>
      <c r="L101" s="251">
        <v>0</v>
      </c>
      <c r="M101" s="251"/>
      <c r="N101" s="251">
        <v>0</v>
      </c>
      <c r="P101" s="650" t="s">
        <v>2261</v>
      </c>
      <c r="R101" s="651">
        <v>0</v>
      </c>
    </row>
    <row r="102" spans="1:18">
      <c r="A102" s="463"/>
      <c r="B102" s="469"/>
      <c r="C102" s="467"/>
      <c r="D102" s="472" t="s">
        <v>1285</v>
      </c>
      <c r="E102" s="471"/>
      <c r="F102" s="471">
        <v>0</v>
      </c>
      <c r="G102" s="463"/>
      <c r="H102" s="251">
        <v>0</v>
      </c>
      <c r="I102" s="251"/>
      <c r="J102" s="251">
        <v>0</v>
      </c>
      <c r="K102" s="251"/>
      <c r="L102" s="251">
        <v>0</v>
      </c>
      <c r="M102" s="251"/>
      <c r="N102" s="251">
        <v>0</v>
      </c>
      <c r="P102" s="649" t="s">
        <v>2261</v>
      </c>
      <c r="R102" s="651">
        <v>0</v>
      </c>
    </row>
    <row r="103" spans="1:18">
      <c r="A103" s="478"/>
      <c r="B103" s="479"/>
      <c r="C103" s="475"/>
      <c r="D103" s="476" t="s">
        <v>1290</v>
      </c>
      <c r="E103" s="477"/>
      <c r="F103" s="477">
        <v>0</v>
      </c>
      <c r="G103" s="478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658"/>
      <c r="P103" s="658" t="s">
        <v>2261</v>
      </c>
      <c r="Q103" s="658"/>
      <c r="R103" s="651">
        <v>0</v>
      </c>
    </row>
    <row r="104" spans="1:18">
      <c r="A104" s="463"/>
      <c r="B104" s="469"/>
      <c r="C104" s="467"/>
      <c r="D104" s="473"/>
      <c r="E104" s="471"/>
      <c r="F104" s="471"/>
      <c r="G104" s="463"/>
      <c r="H104" s="251"/>
      <c r="I104" s="251"/>
      <c r="J104" s="251"/>
      <c r="K104" s="251"/>
      <c r="L104" s="251"/>
      <c r="M104" s="251"/>
      <c r="N104" s="251"/>
      <c r="P104" s="650"/>
      <c r="R104" s="660"/>
    </row>
    <row r="105" spans="1:18">
      <c r="A105" s="463"/>
      <c r="B105" s="469"/>
      <c r="C105" s="467"/>
      <c r="D105" s="473" t="s">
        <v>2541</v>
      </c>
      <c r="E105" s="471"/>
      <c r="F105" s="471"/>
      <c r="G105" s="463"/>
      <c r="H105" s="251"/>
      <c r="I105" s="251"/>
      <c r="J105" s="251"/>
      <c r="K105" s="251"/>
      <c r="L105" s="251"/>
      <c r="M105" s="251"/>
      <c r="N105" s="251"/>
      <c r="P105" s="650"/>
      <c r="R105" s="660"/>
    </row>
    <row r="106" spans="1:18">
      <c r="A106" s="463"/>
      <c r="B106" s="469"/>
      <c r="C106" s="467"/>
      <c r="D106" s="473"/>
      <c r="E106" s="471"/>
      <c r="F106" s="471"/>
      <c r="G106" s="463"/>
      <c r="H106" s="251"/>
      <c r="I106" s="251"/>
      <c r="J106" s="251"/>
      <c r="K106" s="251"/>
      <c r="L106" s="251"/>
      <c r="M106" s="251"/>
      <c r="N106" s="251"/>
      <c r="P106" s="650"/>
      <c r="R106" s="660"/>
    </row>
    <row r="107" spans="1:18">
      <c r="A107" s="463">
        <v>312</v>
      </c>
      <c r="B107" s="469"/>
      <c r="C107" s="467"/>
      <c r="D107" s="473" t="s">
        <v>1302</v>
      </c>
      <c r="E107" s="471"/>
      <c r="F107" s="277" t="str">
        <f>F80</f>
        <v>-6%-8%-13%</v>
      </c>
      <c r="G107" s="463"/>
      <c r="H107" s="251">
        <v>4</v>
      </c>
      <c r="I107" s="251"/>
      <c r="J107" s="251"/>
      <c r="K107" s="251"/>
      <c r="L107" s="251"/>
      <c r="M107" s="251"/>
      <c r="N107" s="251"/>
      <c r="P107" s="652" t="s">
        <v>2752</v>
      </c>
      <c r="R107" s="653" t="s">
        <v>2753</v>
      </c>
    </row>
    <row r="108" spans="1:18">
      <c r="A108" s="272"/>
      <c r="B108" s="248"/>
      <c r="C108" s="249"/>
      <c r="D108" s="254"/>
      <c r="E108" s="249"/>
      <c r="F108" s="250"/>
      <c r="G108" s="249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</row>
    <row r="109" spans="1:18">
      <c r="A109" s="272"/>
      <c r="B109" s="248">
        <v>314</v>
      </c>
      <c r="C109" s="249"/>
      <c r="D109" s="249" t="s">
        <v>1303</v>
      </c>
      <c r="E109" s="249"/>
      <c r="F109" s="250"/>
      <c r="G109" s="249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</row>
    <row r="110" spans="1:18">
      <c r="A110" s="272"/>
      <c r="B110" s="248"/>
      <c r="C110" s="249"/>
      <c r="D110" s="657" t="s">
        <v>1286</v>
      </c>
      <c r="E110" s="249"/>
      <c r="F110" s="647">
        <v>-6</v>
      </c>
      <c r="G110" s="249"/>
      <c r="H110" s="251">
        <v>2.52</v>
      </c>
      <c r="I110" s="251"/>
      <c r="J110" s="251">
        <v>2.3800000000000003</v>
      </c>
      <c r="K110" s="251"/>
      <c r="L110" s="251">
        <v>0.24</v>
      </c>
      <c r="M110" s="251"/>
      <c r="N110" s="251">
        <v>-0.1</v>
      </c>
      <c r="O110" s="251"/>
      <c r="P110" s="648" t="s">
        <v>1369</v>
      </c>
      <c r="Q110" s="251"/>
      <c r="R110" s="251">
        <v>1.1699980140825932</v>
      </c>
    </row>
    <row r="111" spans="1:18">
      <c r="A111" s="272"/>
      <c r="B111" s="248"/>
      <c r="C111" s="249"/>
      <c r="D111" s="657" t="s">
        <v>1287</v>
      </c>
      <c r="E111" s="249"/>
      <c r="F111" s="647">
        <v>-6</v>
      </c>
      <c r="G111" s="249"/>
      <c r="H111" s="251">
        <v>1.62</v>
      </c>
      <c r="I111" s="251"/>
      <c r="J111" s="251">
        <v>1.5300000000000002</v>
      </c>
      <c r="K111" s="251"/>
      <c r="L111" s="251">
        <v>0.15</v>
      </c>
      <c r="M111" s="251"/>
      <c r="N111" s="251">
        <v>-0.06</v>
      </c>
      <c r="O111" s="251"/>
      <c r="P111" s="648" t="s">
        <v>1369</v>
      </c>
      <c r="Q111" s="251"/>
      <c r="R111" s="251">
        <v>1.16999855983006</v>
      </c>
    </row>
    <row r="112" spans="1:18">
      <c r="A112" s="272"/>
      <c r="B112" s="248"/>
      <c r="C112" s="249"/>
      <c r="D112" s="657" t="s">
        <v>1288</v>
      </c>
      <c r="E112" s="249"/>
      <c r="F112" s="647">
        <v>-6</v>
      </c>
      <c r="G112" s="249"/>
      <c r="H112" s="251">
        <v>5.29</v>
      </c>
      <c r="I112" s="251"/>
      <c r="J112" s="251">
        <v>4.99</v>
      </c>
      <c r="K112" s="251"/>
      <c r="L112" s="251">
        <v>0.5</v>
      </c>
      <c r="M112" s="251"/>
      <c r="N112" s="251">
        <v>-0.2</v>
      </c>
      <c r="O112" s="251"/>
      <c r="P112" s="648" t="s">
        <v>1369</v>
      </c>
      <c r="Q112" s="251"/>
      <c r="R112" s="251">
        <v>16.579757541235328</v>
      </c>
    </row>
    <row r="113" spans="1:18">
      <c r="A113" s="272"/>
      <c r="B113" s="248"/>
      <c r="C113" s="249"/>
      <c r="D113" s="657" t="s">
        <v>1292</v>
      </c>
      <c r="E113" s="249"/>
      <c r="F113" s="647">
        <v>-8</v>
      </c>
      <c r="G113" s="249"/>
      <c r="H113" s="251">
        <v>3.34</v>
      </c>
      <c r="I113" s="251"/>
      <c r="J113" s="251">
        <v>3.09</v>
      </c>
      <c r="K113" s="251"/>
      <c r="L113" s="251">
        <v>0.37</v>
      </c>
      <c r="M113" s="251"/>
      <c r="N113" s="251">
        <v>-0.12</v>
      </c>
      <c r="O113" s="251"/>
      <c r="P113" s="648" t="s">
        <v>1369</v>
      </c>
      <c r="Q113" s="251"/>
      <c r="R113" s="251">
        <v>15.721387018759396</v>
      </c>
    </row>
    <row r="114" spans="1:18">
      <c r="A114" s="272"/>
      <c r="B114" s="248"/>
      <c r="C114" s="249"/>
      <c r="D114" s="657" t="s">
        <v>1293</v>
      </c>
      <c r="E114" s="249"/>
      <c r="F114" s="647">
        <v>-8</v>
      </c>
      <c r="G114" s="249"/>
      <c r="H114" s="251">
        <v>2.62</v>
      </c>
      <c r="I114" s="251"/>
      <c r="J114" s="251">
        <v>2.4300000000000002</v>
      </c>
      <c r="K114" s="251"/>
      <c r="L114" s="251">
        <v>0.28999999999999998</v>
      </c>
      <c r="M114" s="251"/>
      <c r="N114" s="251">
        <v>-0.1</v>
      </c>
      <c r="O114" s="251"/>
      <c r="P114" s="648" t="s">
        <v>1369</v>
      </c>
      <c r="Q114" s="251"/>
      <c r="R114" s="251">
        <v>15.316435750465159</v>
      </c>
    </row>
    <row r="115" spans="1:18">
      <c r="A115" s="272"/>
      <c r="B115" s="248"/>
      <c r="C115" s="249"/>
      <c r="D115" s="657" t="s">
        <v>1294</v>
      </c>
      <c r="E115" s="249"/>
      <c r="F115" s="647">
        <v>-8</v>
      </c>
      <c r="G115" s="249"/>
      <c r="H115" s="251">
        <v>2.12</v>
      </c>
      <c r="I115" s="251"/>
      <c r="J115" s="251">
        <v>1.9600000000000002</v>
      </c>
      <c r="K115" s="251"/>
      <c r="L115" s="251">
        <v>0.24</v>
      </c>
      <c r="M115" s="251"/>
      <c r="N115" s="251">
        <v>-0.08</v>
      </c>
      <c r="O115" s="251"/>
      <c r="P115" s="648" t="s">
        <v>1369</v>
      </c>
      <c r="Q115" s="251"/>
      <c r="R115" s="251">
        <v>17.897442118620596</v>
      </c>
    </row>
    <row r="116" spans="1:18">
      <c r="A116" s="272"/>
      <c r="B116" s="248"/>
      <c r="C116" s="249"/>
      <c r="D116" s="657" t="s">
        <v>1295</v>
      </c>
      <c r="E116" s="249"/>
      <c r="F116" s="647">
        <v>-8</v>
      </c>
      <c r="G116" s="249"/>
      <c r="H116" s="251">
        <v>2.64</v>
      </c>
      <c r="I116" s="251"/>
      <c r="J116" s="251">
        <v>2.4500000000000002</v>
      </c>
      <c r="K116" s="251"/>
      <c r="L116" s="251">
        <v>0.28999999999999998</v>
      </c>
      <c r="M116" s="251"/>
      <c r="N116" s="251">
        <v>-0.1</v>
      </c>
      <c r="O116" s="251"/>
      <c r="P116" s="648" t="s">
        <v>1369</v>
      </c>
      <c r="Q116" s="251"/>
      <c r="R116" s="251">
        <v>18.846899429588031</v>
      </c>
    </row>
    <row r="117" spans="1:18">
      <c r="A117" s="272"/>
      <c r="B117" s="248"/>
      <c r="C117" s="256"/>
      <c r="D117" s="657" t="s">
        <v>1278</v>
      </c>
      <c r="E117" s="239"/>
      <c r="F117" s="647">
        <v>-13</v>
      </c>
      <c r="G117" s="239"/>
      <c r="H117" s="251">
        <v>2.14</v>
      </c>
      <c r="I117" s="251"/>
      <c r="J117" s="251">
        <v>1.9000000000000001</v>
      </c>
      <c r="K117" s="251"/>
      <c r="L117" s="251">
        <v>0.32</v>
      </c>
      <c r="M117" s="251"/>
      <c r="N117" s="251">
        <v>-0.08</v>
      </c>
      <c r="O117" s="251"/>
      <c r="P117" s="648" t="s">
        <v>1369</v>
      </c>
      <c r="Q117" s="251"/>
      <c r="R117" s="251">
        <v>41.504250401047372</v>
      </c>
    </row>
    <row r="118" spans="1:18">
      <c r="A118" s="272"/>
      <c r="B118" s="248"/>
      <c r="C118" s="249"/>
      <c r="D118" s="249"/>
      <c r="E118" s="249"/>
      <c r="F118" s="250"/>
      <c r="G118" s="249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</row>
    <row r="119" spans="1:18">
      <c r="B119" s="248"/>
      <c r="C119" s="249"/>
      <c r="D119" s="254" t="s">
        <v>2542</v>
      </c>
      <c r="E119" s="249"/>
      <c r="F119" s="277" t="s">
        <v>2562</v>
      </c>
      <c r="G119" s="249"/>
      <c r="H119" s="251">
        <v>2.8349996636740951</v>
      </c>
      <c r="I119" s="251"/>
      <c r="J119" s="251"/>
      <c r="K119" s="251"/>
      <c r="L119" s="251"/>
      <c r="M119" s="251"/>
      <c r="N119" s="251"/>
      <c r="O119" s="251"/>
      <c r="P119" s="251"/>
      <c r="Q119" s="251"/>
      <c r="R119" s="251">
        <v>21</v>
      </c>
    </row>
    <row r="120" spans="1:18">
      <c r="A120" s="272"/>
      <c r="B120" s="248"/>
      <c r="C120" s="249"/>
      <c r="D120" s="254"/>
      <c r="E120" s="249"/>
      <c r="F120" s="277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463"/>
      <c r="B121" s="469">
        <v>314.10000000000002</v>
      </c>
      <c r="C121" s="467"/>
      <c r="D121" s="470" t="s">
        <v>2273</v>
      </c>
      <c r="E121" s="471"/>
      <c r="F121" s="471"/>
      <c r="G121" s="463"/>
      <c r="H121" s="251"/>
      <c r="I121" s="251"/>
      <c r="J121" s="251"/>
      <c r="K121" s="251"/>
      <c r="L121" s="251"/>
      <c r="M121" s="251"/>
      <c r="N121" s="251"/>
      <c r="P121" s="650"/>
      <c r="R121" s="651"/>
    </row>
    <row r="122" spans="1:18">
      <c r="A122" s="463"/>
      <c r="B122" s="469"/>
      <c r="C122" s="467"/>
      <c r="D122" s="472" t="s">
        <v>1281</v>
      </c>
      <c r="E122" s="471"/>
      <c r="F122" s="661">
        <v>0</v>
      </c>
      <c r="G122" s="662"/>
      <c r="H122" s="251">
        <v>0</v>
      </c>
      <c r="I122" s="251"/>
      <c r="J122" s="251">
        <v>0</v>
      </c>
      <c r="K122" s="251"/>
      <c r="L122" s="251">
        <v>0</v>
      </c>
      <c r="M122" s="251"/>
      <c r="N122" s="251">
        <v>0</v>
      </c>
      <c r="R122" s="651">
        <v>0</v>
      </c>
    </row>
    <row r="123" spans="1:18">
      <c r="A123" s="463"/>
      <c r="B123" s="469"/>
      <c r="C123" s="467"/>
      <c r="D123" s="472" t="s">
        <v>1282</v>
      </c>
      <c r="E123" s="471"/>
      <c r="F123" s="661">
        <v>0</v>
      </c>
      <c r="G123" s="662"/>
      <c r="H123" s="251">
        <v>0</v>
      </c>
      <c r="I123" s="251"/>
      <c r="J123" s="251">
        <v>0</v>
      </c>
      <c r="K123" s="251"/>
      <c r="L123" s="251">
        <v>0</v>
      </c>
      <c r="M123" s="251"/>
      <c r="N123" s="251">
        <v>0</v>
      </c>
      <c r="R123" s="651">
        <v>0</v>
      </c>
    </row>
    <row r="124" spans="1:18">
      <c r="A124" s="463"/>
      <c r="B124" s="469"/>
      <c r="C124" s="467"/>
      <c r="D124" s="472" t="s">
        <v>1283</v>
      </c>
      <c r="E124" s="471"/>
      <c r="F124" s="661">
        <v>0</v>
      </c>
      <c r="G124" s="662"/>
      <c r="H124" s="251">
        <v>0</v>
      </c>
      <c r="I124" s="251"/>
      <c r="J124" s="251">
        <v>0</v>
      </c>
      <c r="K124" s="251"/>
      <c r="L124" s="251">
        <v>0</v>
      </c>
      <c r="M124" s="251"/>
      <c r="N124" s="251">
        <v>0</v>
      </c>
      <c r="R124" s="651">
        <v>0</v>
      </c>
    </row>
    <row r="125" spans="1:18">
      <c r="A125" s="463"/>
      <c r="B125" s="469"/>
      <c r="C125" s="467"/>
      <c r="D125" s="472" t="s">
        <v>1284</v>
      </c>
      <c r="E125" s="471"/>
      <c r="F125" s="661">
        <v>0</v>
      </c>
      <c r="G125" s="662"/>
      <c r="H125" s="251">
        <v>0</v>
      </c>
      <c r="I125" s="251"/>
      <c r="J125" s="251">
        <v>0</v>
      </c>
      <c r="K125" s="251"/>
      <c r="L125" s="251">
        <v>0</v>
      </c>
      <c r="M125" s="251"/>
      <c r="N125" s="251">
        <v>0</v>
      </c>
      <c r="R125" s="651">
        <v>0</v>
      </c>
    </row>
    <row r="126" spans="1:18">
      <c r="A126" s="463"/>
      <c r="B126" s="469"/>
      <c r="C126" s="467"/>
      <c r="D126" s="473"/>
      <c r="E126" s="471"/>
      <c r="F126" s="661"/>
      <c r="G126" s="662"/>
      <c r="H126" s="251"/>
      <c r="I126" s="251"/>
      <c r="J126" s="251"/>
      <c r="K126" s="251"/>
      <c r="L126" s="251"/>
      <c r="M126" s="251"/>
      <c r="N126" s="251"/>
      <c r="R126" s="651"/>
    </row>
    <row r="127" spans="1:18">
      <c r="A127" s="463"/>
      <c r="B127" s="469"/>
      <c r="C127" s="467"/>
      <c r="D127" s="473" t="s">
        <v>2274</v>
      </c>
      <c r="E127" s="471"/>
      <c r="F127" s="661">
        <v>0</v>
      </c>
      <c r="G127" s="662"/>
      <c r="H127" s="251">
        <v>0</v>
      </c>
      <c r="I127" s="251"/>
      <c r="J127" s="251">
        <v>0</v>
      </c>
      <c r="K127" s="251"/>
      <c r="L127" s="251">
        <v>0</v>
      </c>
      <c r="M127" s="251"/>
      <c r="N127" s="251">
        <v>0</v>
      </c>
      <c r="R127" s="651">
        <v>0</v>
      </c>
    </row>
    <row r="128" spans="1:18">
      <c r="A128" s="272"/>
      <c r="B128" s="248"/>
      <c r="C128" s="249"/>
      <c r="D128" s="249"/>
      <c r="E128" s="249"/>
      <c r="F128" s="250"/>
      <c r="G128" s="249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</row>
    <row r="129" spans="1:19">
      <c r="A129" s="272">
        <v>314</v>
      </c>
      <c r="B129" s="248"/>
      <c r="C129" s="249"/>
      <c r="D129" s="663" t="s">
        <v>1304</v>
      </c>
      <c r="E129" s="249"/>
      <c r="F129" s="250" t="s">
        <v>2562</v>
      </c>
      <c r="G129" s="249"/>
      <c r="H129" s="251">
        <v>2.83</v>
      </c>
      <c r="I129" s="251"/>
      <c r="J129" s="251"/>
      <c r="K129" s="251"/>
      <c r="L129" s="251"/>
      <c r="M129" s="251"/>
      <c r="N129" s="251"/>
      <c r="O129" s="251"/>
      <c r="P129" s="251" t="s">
        <v>1369</v>
      </c>
      <c r="Q129" s="251"/>
      <c r="R129" s="251">
        <v>21</v>
      </c>
    </row>
    <row r="130" spans="1:19">
      <c r="A130" s="272"/>
      <c r="B130" s="248"/>
      <c r="C130" s="249"/>
      <c r="D130" s="249"/>
      <c r="E130" s="249"/>
      <c r="F130" s="250"/>
      <c r="G130" s="249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</row>
    <row r="131" spans="1:19">
      <c r="A131" s="272"/>
      <c r="B131" s="248">
        <v>315</v>
      </c>
      <c r="C131" s="249"/>
      <c r="D131" s="249" t="s">
        <v>1305</v>
      </c>
      <c r="E131" s="249"/>
      <c r="F131" s="250"/>
      <c r="G131" s="249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40"/>
    </row>
    <row r="132" spans="1:19">
      <c r="A132" s="272"/>
      <c r="B132" s="248"/>
      <c r="C132" s="249"/>
      <c r="D132" s="654" t="s">
        <v>1286</v>
      </c>
      <c r="E132" s="249"/>
      <c r="F132" s="647">
        <v>-6</v>
      </c>
      <c r="G132" s="249"/>
      <c r="H132" s="655">
        <v>1.24</v>
      </c>
      <c r="I132" s="251"/>
      <c r="J132" s="655">
        <v>1.17</v>
      </c>
      <c r="K132" s="251"/>
      <c r="L132" s="655">
        <v>0.08</v>
      </c>
      <c r="M132" s="251"/>
      <c r="N132" s="655">
        <v>-0.01</v>
      </c>
      <c r="O132" s="251"/>
      <c r="P132" s="251" t="s">
        <v>1372</v>
      </c>
      <c r="Q132" s="251"/>
      <c r="R132" s="655">
        <v>1.1699808047112321</v>
      </c>
      <c r="S132" s="240"/>
    </row>
    <row r="133" spans="1:19">
      <c r="A133" s="272"/>
      <c r="B133" s="248"/>
      <c r="C133" s="249"/>
      <c r="D133" s="654" t="s">
        <v>1289</v>
      </c>
      <c r="E133" s="249"/>
      <c r="F133" s="647">
        <v>-6</v>
      </c>
      <c r="G133" s="249"/>
      <c r="H133" s="655">
        <v>4.75</v>
      </c>
      <c r="I133" s="251"/>
      <c r="J133" s="655">
        <v>4.4800000000000004</v>
      </c>
      <c r="K133" s="251"/>
      <c r="L133" s="655">
        <v>0.31</v>
      </c>
      <c r="M133" s="251"/>
      <c r="N133" s="655">
        <v>-0.04</v>
      </c>
      <c r="O133" s="251"/>
      <c r="P133" s="251" t="s">
        <v>1372</v>
      </c>
      <c r="Q133" s="251"/>
      <c r="R133" s="655">
        <v>17.480009390790421</v>
      </c>
      <c r="S133" s="240"/>
    </row>
    <row r="134" spans="1:19">
      <c r="A134" s="272"/>
      <c r="B134" s="248"/>
      <c r="C134" s="249"/>
      <c r="D134" s="654" t="s">
        <v>1287</v>
      </c>
      <c r="E134" s="249"/>
      <c r="F134" s="647">
        <v>-6</v>
      </c>
      <c r="G134" s="249"/>
      <c r="H134" s="655">
        <v>2</v>
      </c>
      <c r="I134" s="251"/>
      <c r="J134" s="655">
        <v>1.8900000000000001</v>
      </c>
      <c r="K134" s="251"/>
      <c r="L134" s="655">
        <v>0.13</v>
      </c>
      <c r="M134" s="251"/>
      <c r="N134" s="655">
        <v>-0.02</v>
      </c>
      <c r="O134" s="251"/>
      <c r="P134" s="251" t="s">
        <v>1372</v>
      </c>
      <c r="Q134" s="251"/>
      <c r="R134" s="655">
        <v>1.1700150729904399</v>
      </c>
      <c r="S134" s="240"/>
    </row>
    <row r="135" spans="1:19">
      <c r="A135" s="272"/>
      <c r="B135" s="248"/>
      <c r="C135" s="249"/>
      <c r="D135" s="654" t="s">
        <v>1288</v>
      </c>
      <c r="E135" s="249"/>
      <c r="F135" s="647">
        <v>-6</v>
      </c>
      <c r="G135" s="249"/>
      <c r="H135" s="655">
        <v>3.74</v>
      </c>
      <c r="I135" s="251"/>
      <c r="J135" s="655">
        <v>3.5300000000000002</v>
      </c>
      <c r="K135" s="251"/>
      <c r="L135" s="655">
        <v>0.25</v>
      </c>
      <c r="M135" s="251"/>
      <c r="N135" s="655">
        <v>-0.04</v>
      </c>
      <c r="O135" s="251"/>
      <c r="P135" s="251" t="s">
        <v>1372</v>
      </c>
      <c r="Q135" s="251"/>
      <c r="R135" s="655">
        <v>17.347282008997322</v>
      </c>
      <c r="S135" s="258"/>
    </row>
    <row r="136" spans="1:19">
      <c r="A136" s="272"/>
      <c r="B136" s="248"/>
      <c r="C136" s="249"/>
      <c r="D136" s="654" t="s">
        <v>1292</v>
      </c>
      <c r="E136" s="249"/>
      <c r="F136" s="647">
        <v>-8</v>
      </c>
      <c r="G136" s="249"/>
      <c r="H136" s="655">
        <v>2.37</v>
      </c>
      <c r="I136" s="251"/>
      <c r="J136" s="655">
        <v>2.19</v>
      </c>
      <c r="K136" s="251"/>
      <c r="L136" s="655">
        <v>0.2</v>
      </c>
      <c r="M136" s="251"/>
      <c r="N136" s="655">
        <v>-0.02</v>
      </c>
      <c r="O136" s="251"/>
      <c r="P136" s="251" t="s">
        <v>1372</v>
      </c>
      <c r="Q136" s="251"/>
      <c r="R136" s="655">
        <v>16.254777418637662</v>
      </c>
      <c r="S136" s="258"/>
    </row>
    <row r="137" spans="1:19">
      <c r="A137" s="272"/>
      <c r="B137" s="248"/>
      <c r="C137" s="249"/>
      <c r="D137" s="654" t="s">
        <v>1291</v>
      </c>
      <c r="E137" s="249"/>
      <c r="F137" s="647">
        <v>-8</v>
      </c>
      <c r="G137" s="249"/>
      <c r="H137" s="655">
        <v>3.69</v>
      </c>
      <c r="I137" s="251"/>
      <c r="J137" s="655">
        <v>3.4099999999999997</v>
      </c>
      <c r="K137" s="251"/>
      <c r="L137" s="655">
        <v>0.31</v>
      </c>
      <c r="M137" s="251"/>
      <c r="N137" s="655">
        <v>-0.03</v>
      </c>
      <c r="O137" s="251"/>
      <c r="P137" s="251" t="s">
        <v>1372</v>
      </c>
      <c r="Q137" s="251"/>
      <c r="R137" s="655">
        <v>16.468234507109329</v>
      </c>
      <c r="S137" s="240"/>
    </row>
    <row r="138" spans="1:19">
      <c r="A138" s="272"/>
      <c r="B138" s="248"/>
      <c r="C138" s="249"/>
      <c r="D138" s="654" t="s">
        <v>1293</v>
      </c>
      <c r="E138" s="249"/>
      <c r="F138" s="647">
        <v>-8</v>
      </c>
      <c r="G138" s="249"/>
      <c r="H138" s="655">
        <v>1.66</v>
      </c>
      <c r="I138" s="251"/>
      <c r="J138" s="655">
        <v>1.54</v>
      </c>
      <c r="K138" s="251"/>
      <c r="L138" s="655">
        <v>0.14000000000000001</v>
      </c>
      <c r="M138" s="251"/>
      <c r="N138" s="655">
        <v>-0.02</v>
      </c>
      <c r="O138" s="251"/>
      <c r="P138" s="251" t="s">
        <v>1372</v>
      </c>
      <c r="Q138" s="251"/>
      <c r="R138" s="655">
        <v>15.981954995530058</v>
      </c>
      <c r="S138" s="240"/>
    </row>
    <row r="139" spans="1:19">
      <c r="A139" s="272"/>
      <c r="B139" s="248"/>
      <c r="C139" s="249"/>
      <c r="D139" s="654" t="s">
        <v>1296</v>
      </c>
      <c r="E139" s="249"/>
      <c r="F139" s="647">
        <v>-8</v>
      </c>
      <c r="G139" s="249"/>
      <c r="H139" s="655">
        <v>4.8499999999999996</v>
      </c>
      <c r="I139" s="251"/>
      <c r="J139" s="655">
        <v>4.4899999999999993</v>
      </c>
      <c r="K139" s="251"/>
      <c r="L139" s="655">
        <v>0.4</v>
      </c>
      <c r="M139" s="251"/>
      <c r="N139" s="655">
        <v>-0.04</v>
      </c>
      <c r="O139" s="251"/>
      <c r="P139" s="251" t="s">
        <v>1372</v>
      </c>
      <c r="Q139" s="251"/>
      <c r="R139" s="655">
        <v>16.480736728060673</v>
      </c>
      <c r="S139" s="240"/>
    </row>
    <row r="140" spans="1:19">
      <c r="A140" s="272"/>
      <c r="B140" s="248"/>
      <c r="C140" s="249"/>
      <c r="D140" s="654" t="s">
        <v>1294</v>
      </c>
      <c r="E140" s="249"/>
      <c r="F140" s="647">
        <v>-8</v>
      </c>
      <c r="G140" s="249"/>
      <c r="H140" s="655">
        <v>1.73</v>
      </c>
      <c r="I140" s="251"/>
      <c r="J140" s="655">
        <v>1.6099999999999999</v>
      </c>
      <c r="K140" s="251"/>
      <c r="L140" s="655">
        <v>0.14000000000000001</v>
      </c>
      <c r="M140" s="251"/>
      <c r="N140" s="655">
        <v>-0.02</v>
      </c>
      <c r="O140" s="251"/>
      <c r="P140" s="251" t="s">
        <v>1372</v>
      </c>
      <c r="Q140" s="251"/>
      <c r="R140" s="655">
        <v>18.816813113582807</v>
      </c>
      <c r="S140" s="240"/>
    </row>
    <row r="141" spans="1:19">
      <c r="A141" s="272"/>
      <c r="B141" s="248"/>
      <c r="C141" s="249"/>
      <c r="D141" s="654" t="s">
        <v>1300</v>
      </c>
      <c r="E141" s="249"/>
      <c r="F141" s="647">
        <v>-8</v>
      </c>
      <c r="G141" s="249"/>
      <c r="H141" s="655">
        <v>3.66</v>
      </c>
      <c r="I141" s="251"/>
      <c r="J141" s="655">
        <v>3.38</v>
      </c>
      <c r="K141" s="251"/>
      <c r="L141" s="655">
        <v>0.31</v>
      </c>
      <c r="M141" s="251"/>
      <c r="N141" s="655">
        <v>-0.03</v>
      </c>
      <c r="O141" s="251"/>
      <c r="P141" s="251" t="s">
        <v>1372</v>
      </c>
      <c r="Q141" s="251"/>
      <c r="R141" s="655">
        <v>19.442161796825211</v>
      </c>
      <c r="S141" s="240"/>
    </row>
    <row r="142" spans="1:19">
      <c r="A142" s="272"/>
      <c r="B142" s="248"/>
      <c r="C142" s="249"/>
      <c r="D142" s="654" t="s">
        <v>1295</v>
      </c>
      <c r="E142" s="249"/>
      <c r="F142" s="647">
        <v>-8</v>
      </c>
      <c r="G142" s="249"/>
      <c r="H142" s="655">
        <v>3.56</v>
      </c>
      <c r="I142" s="251"/>
      <c r="J142" s="655">
        <v>3.29</v>
      </c>
      <c r="K142" s="251"/>
      <c r="L142" s="655">
        <v>0.3</v>
      </c>
      <c r="M142" s="251"/>
      <c r="N142" s="655">
        <v>-0.03</v>
      </c>
      <c r="O142" s="251"/>
      <c r="P142" s="251" t="s">
        <v>1372</v>
      </c>
      <c r="Q142" s="251"/>
      <c r="R142" s="655">
        <v>20.236471204617438</v>
      </c>
      <c r="S142" s="240"/>
    </row>
    <row r="143" spans="1:19">
      <c r="A143" s="272"/>
      <c r="B143" s="248"/>
      <c r="C143" s="249"/>
      <c r="D143" s="654" t="s">
        <v>1301</v>
      </c>
      <c r="E143" s="249"/>
      <c r="F143" s="647">
        <v>-8</v>
      </c>
      <c r="G143" s="249"/>
      <c r="H143" s="655">
        <v>4.1500000000000004</v>
      </c>
      <c r="I143" s="251"/>
      <c r="J143" s="655">
        <v>3.8400000000000003</v>
      </c>
      <c r="K143" s="251"/>
      <c r="L143" s="655">
        <v>0.35</v>
      </c>
      <c r="M143" s="251"/>
      <c r="N143" s="655">
        <v>-0.04</v>
      </c>
      <c r="O143" s="251"/>
      <c r="P143" s="251" t="s">
        <v>1372</v>
      </c>
      <c r="Q143" s="251"/>
      <c r="R143" s="655">
        <v>20.469995597521262</v>
      </c>
      <c r="S143" s="240"/>
    </row>
    <row r="144" spans="1:19">
      <c r="A144" s="272"/>
      <c r="B144" s="248"/>
      <c r="C144" s="249"/>
      <c r="D144" s="657" t="s">
        <v>1278</v>
      </c>
      <c r="E144" s="249"/>
      <c r="F144" s="647">
        <v>-13</v>
      </c>
      <c r="G144" s="249"/>
      <c r="H144" s="655">
        <v>1.99</v>
      </c>
      <c r="I144" s="251"/>
      <c r="J144" s="655">
        <v>1.76</v>
      </c>
      <c r="K144" s="251"/>
      <c r="L144" s="655">
        <v>0.25</v>
      </c>
      <c r="M144" s="251"/>
      <c r="N144" s="655">
        <v>-0.02</v>
      </c>
      <c r="O144" s="251"/>
      <c r="P144" s="251" t="s">
        <v>1372</v>
      </c>
      <c r="Q144" s="251"/>
      <c r="R144" s="655">
        <v>45.870628284021585</v>
      </c>
      <c r="S144" s="240"/>
    </row>
    <row r="145" spans="1:19">
      <c r="A145" s="272"/>
      <c r="B145" s="248"/>
      <c r="C145" s="249"/>
      <c r="D145" s="657" t="s">
        <v>1279</v>
      </c>
      <c r="E145" s="249"/>
      <c r="F145" s="647">
        <v>-13</v>
      </c>
      <c r="G145" s="249"/>
      <c r="H145" s="655">
        <v>1.42</v>
      </c>
      <c r="I145" s="251"/>
      <c r="J145" s="655">
        <v>1.25</v>
      </c>
      <c r="K145" s="251"/>
      <c r="L145" s="655">
        <v>0.18</v>
      </c>
      <c r="M145" s="251"/>
      <c r="N145" s="655">
        <v>-0.01</v>
      </c>
      <c r="O145" s="251"/>
      <c r="P145" s="251" t="s">
        <v>1372</v>
      </c>
      <c r="Q145" s="251"/>
      <c r="R145" s="655">
        <v>39.939607298690994</v>
      </c>
      <c r="S145" s="240"/>
    </row>
    <row r="146" spans="1:19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9">
      <c r="A147" s="272"/>
      <c r="B147" s="248"/>
      <c r="C147" s="249"/>
      <c r="D147" s="254" t="s">
        <v>2543</v>
      </c>
      <c r="E147" s="249"/>
      <c r="F147" s="277" t="s">
        <v>2562</v>
      </c>
      <c r="G147" s="249"/>
      <c r="H147" s="251">
        <v>2.998988710100535</v>
      </c>
      <c r="I147" s="251"/>
      <c r="J147" s="251"/>
      <c r="K147" s="251"/>
      <c r="L147" s="251"/>
      <c r="M147" s="251"/>
      <c r="N147" s="251"/>
      <c r="O147" s="251"/>
      <c r="P147" s="251" t="str">
        <f>P145</f>
        <v>70-R4</v>
      </c>
      <c r="Q147" s="251"/>
      <c r="R147" s="251">
        <v>21.73</v>
      </c>
    </row>
    <row r="148" spans="1:19">
      <c r="A148" s="463"/>
      <c r="B148" s="469"/>
      <c r="C148" s="467"/>
      <c r="D148" s="473"/>
      <c r="E148" s="471"/>
      <c r="F148" s="471"/>
      <c r="G148" s="463"/>
      <c r="P148" s="650"/>
      <c r="R148" s="651"/>
    </row>
    <row r="149" spans="1:19">
      <c r="A149" s="463"/>
      <c r="B149" s="469">
        <v>315.10000000000002</v>
      </c>
      <c r="C149" s="467"/>
      <c r="D149" s="470" t="s">
        <v>2276</v>
      </c>
      <c r="E149" s="471"/>
      <c r="F149" s="471"/>
      <c r="G149" s="463"/>
      <c r="P149" s="650"/>
      <c r="R149" s="651"/>
    </row>
    <row r="150" spans="1:19">
      <c r="A150" s="463"/>
      <c r="B150" s="469"/>
      <c r="C150" s="467"/>
      <c r="D150" s="470" t="s">
        <v>1281</v>
      </c>
      <c r="E150" s="468"/>
      <c r="F150" s="464">
        <v>-10</v>
      </c>
      <c r="G150" s="463"/>
      <c r="H150" s="649">
        <v>0</v>
      </c>
      <c r="J150" s="649">
        <v>0</v>
      </c>
      <c r="L150" s="649">
        <v>0</v>
      </c>
      <c r="N150" s="649">
        <v>0</v>
      </c>
      <c r="P150" s="649" t="s">
        <v>2275</v>
      </c>
      <c r="R150" s="665">
        <v>0</v>
      </c>
    </row>
    <row r="151" spans="1:19">
      <c r="A151" s="463"/>
      <c r="B151" s="469"/>
      <c r="C151" s="467"/>
      <c r="D151" s="472" t="s">
        <v>1283</v>
      </c>
      <c r="E151" s="468"/>
      <c r="F151" s="464">
        <v>-10</v>
      </c>
      <c r="G151" s="463"/>
      <c r="H151" s="649">
        <v>0</v>
      </c>
      <c r="J151" s="649">
        <v>0</v>
      </c>
      <c r="L151" s="649">
        <v>0</v>
      </c>
      <c r="N151" s="649">
        <v>0</v>
      </c>
      <c r="P151" s="649" t="s">
        <v>2275</v>
      </c>
      <c r="R151" s="665">
        <v>0</v>
      </c>
    </row>
    <row r="152" spans="1:19">
      <c r="A152" s="463"/>
      <c r="B152" s="469"/>
      <c r="C152" s="467"/>
      <c r="D152" s="472" t="s">
        <v>1284</v>
      </c>
      <c r="E152" s="471"/>
      <c r="F152" s="471">
        <v>-10</v>
      </c>
      <c r="G152" s="463"/>
      <c r="H152" s="649">
        <v>0</v>
      </c>
      <c r="J152" s="649">
        <v>0</v>
      </c>
      <c r="L152" s="649">
        <v>0</v>
      </c>
      <c r="N152" s="649">
        <v>0</v>
      </c>
      <c r="P152" s="650" t="s">
        <v>2275</v>
      </c>
      <c r="R152" s="665">
        <v>0</v>
      </c>
    </row>
    <row r="153" spans="1:19">
      <c r="A153" s="463"/>
      <c r="B153" s="469"/>
      <c r="C153" s="467"/>
      <c r="D153" s="473"/>
      <c r="E153" s="471"/>
      <c r="F153" s="471"/>
      <c r="G153" s="463"/>
      <c r="P153" s="650"/>
      <c r="R153" s="665"/>
    </row>
    <row r="154" spans="1:19">
      <c r="A154" s="463"/>
      <c r="B154" s="469"/>
      <c r="C154" s="467"/>
      <c r="D154" s="473" t="s">
        <v>2277</v>
      </c>
      <c r="E154" s="471"/>
      <c r="F154" s="471"/>
      <c r="G154" s="463"/>
      <c r="H154" s="649">
        <v>0</v>
      </c>
      <c r="J154" s="649">
        <v>0</v>
      </c>
      <c r="L154" s="649">
        <v>0</v>
      </c>
      <c r="N154" s="649">
        <v>0</v>
      </c>
      <c r="P154" s="650"/>
      <c r="R154" s="665">
        <v>0</v>
      </c>
    </row>
    <row r="155" spans="1:19">
      <c r="A155" s="463"/>
      <c r="B155" s="469"/>
      <c r="C155" s="467"/>
      <c r="D155" s="473"/>
      <c r="E155" s="471"/>
      <c r="F155" s="471"/>
      <c r="G155" s="463"/>
      <c r="P155" s="650"/>
      <c r="R155" s="665"/>
    </row>
    <row r="156" spans="1:19">
      <c r="A156" s="463">
        <v>315</v>
      </c>
      <c r="B156" s="469"/>
      <c r="C156" s="467"/>
      <c r="D156" s="473" t="s">
        <v>1306</v>
      </c>
      <c r="E156" s="471"/>
      <c r="F156" s="471" t="s">
        <v>2562</v>
      </c>
      <c r="G156" s="463"/>
      <c r="H156" s="649">
        <v>2.998988710100535</v>
      </c>
      <c r="P156" s="650" t="s">
        <v>1372</v>
      </c>
      <c r="R156" s="665">
        <v>21.73</v>
      </c>
    </row>
    <row r="157" spans="1:19">
      <c r="A157" s="463"/>
      <c r="B157" s="469"/>
      <c r="C157" s="467"/>
      <c r="D157" s="473"/>
      <c r="E157" s="471"/>
      <c r="F157" s="471"/>
      <c r="G157" s="463"/>
      <c r="P157" s="650"/>
      <c r="R157" s="665"/>
    </row>
    <row r="158" spans="1:19">
      <c r="A158" s="272"/>
      <c r="B158" s="248"/>
      <c r="C158" s="249"/>
      <c r="D158" s="249"/>
      <c r="E158" s="249"/>
      <c r="F158" s="250"/>
      <c r="G158" s="249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</row>
    <row r="159" spans="1:19">
      <c r="A159" s="272"/>
      <c r="B159" s="248">
        <v>316</v>
      </c>
      <c r="C159" s="249" t="s">
        <v>160</v>
      </c>
      <c r="D159" s="249" t="s">
        <v>1307</v>
      </c>
      <c r="E159" s="249"/>
      <c r="F159" s="250"/>
      <c r="G159" s="249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</row>
    <row r="160" spans="1:19">
      <c r="A160" s="272"/>
      <c r="B160" s="248"/>
      <c r="C160" s="249"/>
      <c r="D160" s="253" t="s">
        <v>1278</v>
      </c>
      <c r="E160" s="249"/>
      <c r="F160" s="250">
        <v>-13</v>
      </c>
      <c r="G160" s="249"/>
      <c r="H160" s="655">
        <v>2.2599999999999998</v>
      </c>
      <c r="I160" s="251"/>
      <c r="J160" s="655">
        <v>1.9999999999999998</v>
      </c>
      <c r="K160" s="251"/>
      <c r="L160" s="655">
        <v>0.28000000000000003</v>
      </c>
      <c r="M160" s="251"/>
      <c r="N160" s="655">
        <v>-0.02</v>
      </c>
      <c r="O160" s="251"/>
      <c r="P160" s="648" t="s">
        <v>2279</v>
      </c>
      <c r="Q160" s="251"/>
      <c r="R160" s="251">
        <v>43.661738646144499</v>
      </c>
    </row>
    <row r="161" spans="1:19">
      <c r="A161" s="272"/>
      <c r="B161" s="248"/>
      <c r="C161" s="249"/>
      <c r="D161" s="249" t="s">
        <v>1280</v>
      </c>
      <c r="E161" s="249"/>
      <c r="F161" s="250">
        <v>0</v>
      </c>
      <c r="G161" s="249"/>
      <c r="H161" s="655">
        <v>3.46</v>
      </c>
      <c r="I161" s="251"/>
      <c r="J161" s="655">
        <v>3.46</v>
      </c>
      <c r="K161" s="251"/>
      <c r="L161" s="655">
        <v>0.03</v>
      </c>
      <c r="M161" s="251"/>
      <c r="N161" s="655">
        <v>-0.03</v>
      </c>
      <c r="O161" s="251"/>
      <c r="P161" s="648" t="s">
        <v>2279</v>
      </c>
      <c r="Q161" s="251"/>
      <c r="R161" s="251">
        <v>21.573189160409342</v>
      </c>
    </row>
    <row r="162" spans="1:19">
      <c r="A162" s="272"/>
      <c r="B162" s="248"/>
      <c r="C162" s="249"/>
      <c r="D162" s="253" t="s">
        <v>1286</v>
      </c>
      <c r="E162" s="249"/>
      <c r="F162" s="250">
        <v>-6</v>
      </c>
      <c r="G162" s="249"/>
      <c r="H162" s="655">
        <v>1.52</v>
      </c>
      <c r="I162" s="251"/>
      <c r="J162" s="655">
        <v>1.43</v>
      </c>
      <c r="K162" s="251"/>
      <c r="L162" s="655">
        <v>0.1</v>
      </c>
      <c r="M162" s="251"/>
      <c r="N162" s="655">
        <v>-0.01</v>
      </c>
      <c r="O162" s="251"/>
      <c r="P162" s="648" t="s">
        <v>2279</v>
      </c>
      <c r="Q162" s="251"/>
      <c r="R162" s="251">
        <v>1.1600067442252571</v>
      </c>
      <c r="S162" s="240"/>
    </row>
    <row r="163" spans="1:19">
      <c r="A163" s="272"/>
      <c r="B163" s="248"/>
      <c r="C163" s="249"/>
      <c r="D163" s="253" t="s">
        <v>1287</v>
      </c>
      <c r="E163" s="249"/>
      <c r="F163" s="250">
        <v>-6</v>
      </c>
      <c r="G163" s="249"/>
      <c r="H163" s="655">
        <v>0.06</v>
      </c>
      <c r="I163" s="251"/>
      <c r="J163" s="655">
        <v>0.06</v>
      </c>
      <c r="K163" s="251"/>
      <c r="L163" s="655">
        <v>0</v>
      </c>
      <c r="M163" s="251"/>
      <c r="N163" s="655">
        <v>0</v>
      </c>
      <c r="O163" s="251"/>
      <c r="P163" s="648" t="s">
        <v>2279</v>
      </c>
      <c r="Q163" s="251"/>
      <c r="R163" s="251">
        <v>1.1594202898550725</v>
      </c>
      <c r="S163" s="240"/>
    </row>
    <row r="164" spans="1:19">
      <c r="A164" s="272"/>
      <c r="B164" s="248"/>
      <c r="C164" s="249"/>
      <c r="D164" s="253" t="s">
        <v>1288</v>
      </c>
      <c r="E164" s="249"/>
      <c r="F164" s="250">
        <v>-6</v>
      </c>
      <c r="G164" s="249"/>
      <c r="H164" s="655">
        <v>3.36</v>
      </c>
      <c r="I164" s="251"/>
      <c r="J164" s="655">
        <v>3.1699999999999995</v>
      </c>
      <c r="K164" s="251"/>
      <c r="L164" s="655">
        <v>0.22</v>
      </c>
      <c r="M164" s="251"/>
      <c r="N164" s="655">
        <v>-0.03</v>
      </c>
      <c r="O164" s="251"/>
      <c r="P164" s="648" t="s">
        <v>2279</v>
      </c>
      <c r="Q164" s="251"/>
      <c r="R164" s="251">
        <v>16.879993937696049</v>
      </c>
      <c r="S164" s="240"/>
    </row>
    <row r="165" spans="1:19">
      <c r="A165" s="274"/>
      <c r="B165" s="255"/>
      <c r="C165" s="249"/>
      <c r="D165" s="253" t="s">
        <v>1291</v>
      </c>
      <c r="E165" s="249"/>
      <c r="F165" s="250">
        <v>-8</v>
      </c>
      <c r="G165" s="249"/>
      <c r="H165" s="655">
        <v>0.9</v>
      </c>
      <c r="I165" s="251"/>
      <c r="J165" s="655">
        <v>0.83000000000000007</v>
      </c>
      <c r="K165" s="251"/>
      <c r="L165" s="655">
        <v>0.08</v>
      </c>
      <c r="M165" s="251"/>
      <c r="N165" s="655">
        <v>-0.01</v>
      </c>
      <c r="O165" s="251"/>
      <c r="P165" s="648" t="s">
        <v>2279</v>
      </c>
      <c r="Q165" s="251"/>
      <c r="R165" s="251">
        <v>15.907761400276371</v>
      </c>
      <c r="S165" s="240"/>
    </row>
    <row r="166" spans="1:19">
      <c r="A166" s="272"/>
      <c r="B166" s="248"/>
      <c r="C166" s="249"/>
      <c r="D166" s="253" t="s">
        <v>1292</v>
      </c>
      <c r="E166" s="249"/>
      <c r="F166" s="250">
        <v>-8</v>
      </c>
      <c r="G166" s="249"/>
      <c r="H166" s="655">
        <v>1.06</v>
      </c>
      <c r="I166" s="251"/>
      <c r="J166" s="655">
        <v>0.98000000000000009</v>
      </c>
      <c r="K166" s="251"/>
      <c r="L166" s="655">
        <v>0.09</v>
      </c>
      <c r="M166" s="251"/>
      <c r="N166" s="655">
        <v>-0.01</v>
      </c>
      <c r="O166" s="251"/>
      <c r="P166" s="648" t="s">
        <v>2279</v>
      </c>
      <c r="Q166" s="251"/>
      <c r="R166" s="251">
        <v>15.828094604279718</v>
      </c>
      <c r="S166" s="240"/>
    </row>
    <row r="167" spans="1:19">
      <c r="A167" s="656"/>
      <c r="B167" s="249"/>
      <c r="C167" s="249"/>
      <c r="D167" s="253" t="s">
        <v>1293</v>
      </c>
      <c r="E167" s="249"/>
      <c r="F167" s="250">
        <v>-8</v>
      </c>
      <c r="G167" s="249"/>
      <c r="H167" s="655">
        <v>0.89</v>
      </c>
      <c r="I167" s="251"/>
      <c r="J167" s="655">
        <v>0.83000000000000007</v>
      </c>
      <c r="K167" s="251"/>
      <c r="L167" s="655">
        <v>7.0000000000000007E-2</v>
      </c>
      <c r="M167" s="251"/>
      <c r="N167" s="655">
        <v>-0.01</v>
      </c>
      <c r="O167" s="251"/>
      <c r="P167" s="648" t="s">
        <v>2279</v>
      </c>
      <c r="Q167" s="251"/>
      <c r="R167" s="251">
        <v>15.645154312085376</v>
      </c>
      <c r="S167" s="240"/>
    </row>
    <row r="168" spans="1:19">
      <c r="A168" s="272"/>
      <c r="B168" s="248"/>
      <c r="C168" s="249"/>
      <c r="D168" s="253" t="s">
        <v>1294</v>
      </c>
      <c r="E168" s="249"/>
      <c r="F168" s="250">
        <v>-8</v>
      </c>
      <c r="G168" s="249"/>
      <c r="H168" s="655">
        <v>2.17</v>
      </c>
      <c r="I168" s="251"/>
      <c r="J168" s="655">
        <v>2.0099999999999998</v>
      </c>
      <c r="K168" s="251"/>
      <c r="L168" s="655">
        <v>0.18</v>
      </c>
      <c r="M168" s="251"/>
      <c r="N168" s="655">
        <v>-0.02</v>
      </c>
      <c r="O168" s="251"/>
      <c r="P168" s="648" t="s">
        <v>2279</v>
      </c>
      <c r="Q168" s="251"/>
      <c r="R168" s="251">
        <v>18.544435667593959</v>
      </c>
      <c r="S168" s="240"/>
    </row>
    <row r="169" spans="1:19">
      <c r="A169" s="272"/>
      <c r="B169" s="248"/>
      <c r="C169" s="249"/>
      <c r="D169" s="253" t="s">
        <v>1295</v>
      </c>
      <c r="E169" s="249"/>
      <c r="F169" s="250">
        <v>-8</v>
      </c>
      <c r="G169" s="249"/>
      <c r="H169" s="655">
        <v>3.53</v>
      </c>
      <c r="I169" s="251"/>
      <c r="J169" s="655">
        <v>3.2699999999999996</v>
      </c>
      <c r="K169" s="251"/>
      <c r="L169" s="655">
        <v>0.28999999999999998</v>
      </c>
      <c r="M169" s="251"/>
      <c r="N169" s="655">
        <v>-0.03</v>
      </c>
      <c r="O169" s="251"/>
      <c r="P169" s="648" t="s">
        <v>2279</v>
      </c>
      <c r="Q169" s="251"/>
      <c r="R169" s="251">
        <v>19.641892580225253</v>
      </c>
      <c r="S169" s="261"/>
    </row>
    <row r="170" spans="1:19">
      <c r="A170" s="272"/>
      <c r="B170" s="248"/>
      <c r="C170" s="249"/>
      <c r="D170" s="253"/>
      <c r="E170" s="249"/>
      <c r="F170" s="250"/>
      <c r="G170" s="249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40"/>
    </row>
    <row r="171" spans="1:19">
      <c r="B171" s="248"/>
      <c r="C171" s="249"/>
      <c r="D171" s="254" t="s">
        <v>2544</v>
      </c>
      <c r="E171" s="249"/>
      <c r="F171" s="277" t="s">
        <v>2562</v>
      </c>
      <c r="G171" s="249"/>
      <c r="H171" s="251">
        <v>2.750505327092676</v>
      </c>
      <c r="I171" s="251"/>
      <c r="J171" s="251"/>
      <c r="K171" s="251"/>
      <c r="L171" s="251"/>
      <c r="M171" s="251"/>
      <c r="N171" s="251"/>
      <c r="O171" s="251"/>
      <c r="P171" s="251" t="str">
        <f>P169</f>
        <v>75-R1.5</v>
      </c>
      <c r="Q171" s="251"/>
      <c r="R171" s="251">
        <v>22.74</v>
      </c>
      <c r="S171" s="240"/>
    </row>
    <row r="172" spans="1:19">
      <c r="A172" s="272"/>
      <c r="B172" s="248"/>
      <c r="C172" s="249"/>
      <c r="D172" s="254"/>
      <c r="E172" s="249"/>
      <c r="F172" s="277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40"/>
    </row>
    <row r="173" spans="1:19">
      <c r="A173" s="463"/>
      <c r="B173" s="469">
        <v>316.10000000000002</v>
      </c>
      <c r="C173" s="467"/>
      <c r="D173" s="470" t="s">
        <v>2281</v>
      </c>
      <c r="E173" s="471"/>
      <c r="F173" s="471"/>
      <c r="G173" s="463"/>
      <c r="P173" s="650"/>
      <c r="R173" s="651"/>
      <c r="S173" s="258"/>
    </row>
    <row r="174" spans="1:19">
      <c r="A174" s="463"/>
      <c r="B174" s="469"/>
      <c r="C174" s="467"/>
      <c r="D174" s="470" t="s">
        <v>1281</v>
      </c>
      <c r="E174" s="471"/>
      <c r="F174" s="250">
        <v>-3</v>
      </c>
      <c r="G174" s="249"/>
      <c r="H174" s="649">
        <v>0</v>
      </c>
      <c r="J174" s="649">
        <v>0</v>
      </c>
      <c r="L174" s="649">
        <v>0</v>
      </c>
      <c r="N174" s="649">
        <v>0</v>
      </c>
      <c r="O174" s="251"/>
      <c r="P174" s="648" t="s">
        <v>2279</v>
      </c>
      <c r="Q174" s="251"/>
      <c r="R174" s="665">
        <v>0</v>
      </c>
      <c r="S174" s="267"/>
    </row>
    <row r="175" spans="1:19">
      <c r="A175" s="463"/>
      <c r="B175" s="469"/>
      <c r="C175" s="467"/>
      <c r="D175" s="470" t="s">
        <v>1282</v>
      </c>
      <c r="E175" s="471"/>
      <c r="F175" s="250">
        <v>-3</v>
      </c>
      <c r="G175" s="249"/>
      <c r="H175" s="649">
        <v>0</v>
      </c>
      <c r="J175" s="649">
        <v>0</v>
      </c>
      <c r="L175" s="649">
        <v>0</v>
      </c>
      <c r="N175" s="649">
        <v>0</v>
      </c>
      <c r="O175" s="251"/>
      <c r="P175" s="648" t="s">
        <v>2279</v>
      </c>
      <c r="Q175" s="251"/>
      <c r="R175" s="665">
        <v>0</v>
      </c>
      <c r="S175" s="267"/>
    </row>
    <row r="176" spans="1:19">
      <c r="A176" s="463"/>
      <c r="B176" s="469"/>
      <c r="C176" s="467"/>
      <c r="D176" s="470" t="s">
        <v>1283</v>
      </c>
      <c r="E176" s="471"/>
      <c r="F176" s="250">
        <v>-2</v>
      </c>
      <c r="G176" s="249"/>
      <c r="H176" s="649">
        <v>0</v>
      </c>
      <c r="J176" s="649">
        <v>0</v>
      </c>
      <c r="L176" s="649">
        <v>0</v>
      </c>
      <c r="N176" s="649">
        <v>0</v>
      </c>
      <c r="O176" s="251"/>
      <c r="P176" s="648" t="s">
        <v>2279</v>
      </c>
      <c r="Q176" s="251"/>
      <c r="R176" s="665">
        <v>0</v>
      </c>
      <c r="S176" s="267"/>
    </row>
    <row r="177" spans="1:19">
      <c r="A177" s="463"/>
      <c r="B177" s="469"/>
      <c r="C177" s="467"/>
      <c r="D177" s="472" t="s">
        <v>1284</v>
      </c>
      <c r="E177" s="471"/>
      <c r="F177" s="250">
        <v>-2</v>
      </c>
      <c r="G177" s="249"/>
      <c r="H177" s="649">
        <v>0</v>
      </c>
      <c r="J177" s="649">
        <v>0</v>
      </c>
      <c r="L177" s="649">
        <v>0</v>
      </c>
      <c r="N177" s="649">
        <v>0</v>
      </c>
      <c r="O177" s="251"/>
      <c r="P177" s="648" t="s">
        <v>2279</v>
      </c>
      <c r="Q177" s="251"/>
      <c r="R177" s="665">
        <v>0</v>
      </c>
      <c r="S177" s="267"/>
    </row>
    <row r="178" spans="1:19">
      <c r="A178" s="463"/>
      <c r="B178" s="469"/>
      <c r="C178" s="467"/>
      <c r="D178" s="472" t="s">
        <v>1285</v>
      </c>
      <c r="E178" s="471"/>
      <c r="F178" s="250">
        <v>-2</v>
      </c>
      <c r="G178" s="249"/>
      <c r="H178" s="649">
        <v>0</v>
      </c>
      <c r="J178" s="649">
        <v>0</v>
      </c>
      <c r="L178" s="649">
        <v>0</v>
      </c>
      <c r="N178" s="649">
        <v>0</v>
      </c>
      <c r="O178" s="251"/>
      <c r="P178" s="648" t="s">
        <v>2279</v>
      </c>
      <c r="Q178" s="251"/>
      <c r="R178" s="665">
        <v>0</v>
      </c>
      <c r="S178" s="267"/>
    </row>
    <row r="179" spans="1:19">
      <c r="A179" s="463"/>
      <c r="B179" s="469"/>
      <c r="C179" s="467"/>
      <c r="D179" s="473"/>
      <c r="E179" s="471"/>
      <c r="F179" s="471"/>
      <c r="G179" s="463"/>
      <c r="P179" s="650"/>
      <c r="R179" s="665"/>
      <c r="S179" s="267"/>
    </row>
    <row r="180" spans="1:19">
      <c r="A180" s="463"/>
      <c r="B180" s="469"/>
      <c r="C180" s="467"/>
      <c r="D180" s="473" t="s">
        <v>2282</v>
      </c>
      <c r="E180" s="471"/>
      <c r="F180" s="471"/>
      <c r="G180" s="463"/>
      <c r="H180" s="665">
        <v>0</v>
      </c>
      <c r="P180" s="650"/>
      <c r="R180" s="665">
        <v>0</v>
      </c>
      <c r="S180" s="240"/>
    </row>
    <row r="181" spans="1:19">
      <c r="A181" s="463"/>
      <c r="B181" s="469"/>
      <c r="C181" s="467"/>
      <c r="D181" s="473"/>
      <c r="E181" s="471"/>
      <c r="F181" s="471"/>
      <c r="G181" s="463"/>
      <c r="H181" s="665"/>
      <c r="P181" s="650"/>
      <c r="R181" s="665"/>
      <c r="S181" s="240"/>
    </row>
    <row r="182" spans="1:19">
      <c r="A182" s="272">
        <v>316</v>
      </c>
      <c r="B182" s="469"/>
      <c r="C182" s="467"/>
      <c r="D182" s="473" t="s">
        <v>2545</v>
      </c>
      <c r="E182" s="471"/>
      <c r="F182" s="277" t="s">
        <v>2562</v>
      </c>
      <c r="G182" s="249"/>
      <c r="H182" s="251">
        <v>2.750505327092676</v>
      </c>
      <c r="I182" s="251"/>
      <c r="J182" s="251"/>
      <c r="K182" s="251"/>
      <c r="L182" s="251"/>
      <c r="M182" s="251"/>
      <c r="N182" s="251"/>
      <c r="O182" s="251"/>
      <c r="P182" s="251" t="str">
        <f>P171</f>
        <v>75-R1.5</v>
      </c>
      <c r="Q182" s="251"/>
      <c r="R182" s="251">
        <v>22.74</v>
      </c>
      <c r="S182" s="240"/>
    </row>
    <row r="183" spans="1:19">
      <c r="A183" s="272"/>
      <c r="B183" s="248"/>
      <c r="C183" s="249"/>
      <c r="D183" s="254"/>
      <c r="E183" s="249"/>
      <c r="F183" s="250"/>
      <c r="G183" s="249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40"/>
    </row>
    <row r="184" spans="1:19">
      <c r="A184" s="272"/>
      <c r="B184" s="248"/>
      <c r="C184" s="249"/>
      <c r="D184" s="247" t="s">
        <v>1309</v>
      </c>
      <c r="E184" s="249"/>
      <c r="F184" s="250"/>
      <c r="G184" s="249"/>
      <c r="H184" s="251">
        <v>3.71</v>
      </c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40"/>
    </row>
    <row r="185" spans="1:19">
      <c r="A185" s="272"/>
      <c r="B185" s="248"/>
      <c r="C185" s="249"/>
      <c r="D185" s="247"/>
      <c r="E185" s="249"/>
      <c r="F185" s="250"/>
      <c r="G185" s="249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40"/>
    </row>
    <row r="186" spans="1:19">
      <c r="A186" s="272"/>
      <c r="B186" s="248"/>
      <c r="C186" s="249"/>
      <c r="D186" s="245" t="s">
        <v>315</v>
      </c>
      <c r="E186" s="249"/>
      <c r="F186" s="250"/>
      <c r="G186" s="249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40"/>
    </row>
    <row r="187" spans="1:19">
      <c r="A187" s="272"/>
      <c r="B187" s="248"/>
      <c r="C187" s="249"/>
      <c r="D187" s="257"/>
      <c r="E187" s="249"/>
      <c r="F187" s="250"/>
      <c r="G187" s="249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40"/>
    </row>
    <row r="188" spans="1:19">
      <c r="A188" s="272"/>
      <c r="B188" s="248">
        <v>330.1</v>
      </c>
      <c r="C188" s="249"/>
      <c r="D188" s="257" t="s">
        <v>1310</v>
      </c>
      <c r="E188" s="249"/>
      <c r="F188" s="250"/>
      <c r="G188" s="249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40"/>
    </row>
    <row r="189" spans="1:19">
      <c r="A189" s="272">
        <v>330</v>
      </c>
      <c r="B189" s="248"/>
      <c r="C189" s="249"/>
      <c r="D189" s="257" t="s">
        <v>1311</v>
      </c>
      <c r="E189" s="249"/>
      <c r="F189" s="666">
        <v>0</v>
      </c>
      <c r="G189" s="249"/>
      <c r="H189" s="251">
        <v>0</v>
      </c>
      <c r="I189" s="251"/>
      <c r="J189" s="251">
        <v>0</v>
      </c>
      <c r="K189" s="251"/>
      <c r="L189" s="251">
        <v>0</v>
      </c>
      <c r="M189" s="251"/>
      <c r="N189" s="251">
        <v>0</v>
      </c>
      <c r="O189" s="251"/>
      <c r="P189" s="644" t="s">
        <v>1312</v>
      </c>
      <c r="Q189" s="644"/>
      <c r="R189" s="645">
        <v>0</v>
      </c>
      <c r="S189" s="240"/>
    </row>
    <row r="190" spans="1:19">
      <c r="A190" s="272"/>
      <c r="B190" s="248"/>
      <c r="C190" s="249"/>
      <c r="D190" s="257"/>
      <c r="E190" s="249"/>
      <c r="F190" s="666"/>
      <c r="G190" s="249"/>
      <c r="H190" s="251"/>
      <c r="I190" s="251"/>
      <c r="J190" s="251"/>
      <c r="K190" s="251"/>
      <c r="L190" s="251"/>
      <c r="M190" s="251"/>
      <c r="N190" s="251"/>
      <c r="O190" s="251"/>
      <c r="P190" s="644"/>
      <c r="Q190" s="644"/>
      <c r="R190" s="645"/>
      <c r="S190" s="240"/>
    </row>
    <row r="191" spans="1:19">
      <c r="A191" s="272"/>
      <c r="B191" s="248"/>
      <c r="C191" s="249"/>
      <c r="D191" s="259" t="s">
        <v>1313</v>
      </c>
      <c r="E191" s="249"/>
      <c r="F191" s="666"/>
      <c r="G191" s="249"/>
      <c r="H191" s="251">
        <v>0</v>
      </c>
      <c r="I191" s="251"/>
      <c r="J191" s="251"/>
      <c r="K191" s="251"/>
      <c r="L191" s="251"/>
      <c r="M191" s="251"/>
      <c r="N191" s="251"/>
      <c r="O191" s="251"/>
      <c r="P191" s="644"/>
      <c r="Q191" s="644"/>
      <c r="R191" s="645">
        <v>0</v>
      </c>
      <c r="S191" s="240"/>
    </row>
    <row r="192" spans="1:19">
      <c r="A192" s="272"/>
      <c r="B192" s="248"/>
      <c r="C192" s="249"/>
      <c r="D192" s="257"/>
      <c r="E192" s="249"/>
      <c r="F192" s="666"/>
      <c r="G192" s="249"/>
      <c r="H192" s="251"/>
      <c r="I192" s="251"/>
      <c r="J192" s="251"/>
      <c r="K192" s="251"/>
      <c r="L192" s="251"/>
      <c r="M192" s="251"/>
      <c r="N192" s="251"/>
      <c r="O192" s="251"/>
      <c r="P192" s="644"/>
      <c r="Q192" s="644"/>
      <c r="R192" s="645"/>
      <c r="S192" s="240"/>
    </row>
    <row r="193" spans="1:19">
      <c r="A193" s="272"/>
      <c r="B193" s="248">
        <v>331</v>
      </c>
      <c r="C193" s="249"/>
      <c r="D193" s="257" t="s">
        <v>1314</v>
      </c>
      <c r="E193" s="249"/>
      <c r="F193" s="666"/>
      <c r="G193" s="249"/>
      <c r="H193" s="251"/>
      <c r="I193" s="251"/>
      <c r="J193" s="251"/>
      <c r="K193" s="251"/>
      <c r="L193" s="251"/>
      <c r="M193" s="251"/>
      <c r="N193" s="251"/>
      <c r="O193" s="251"/>
      <c r="P193" s="644"/>
      <c r="Q193" s="644"/>
      <c r="R193" s="645"/>
      <c r="S193" s="240"/>
    </row>
    <row r="194" spans="1:19">
      <c r="A194" s="272">
        <v>331</v>
      </c>
      <c r="B194" s="248"/>
      <c r="C194" s="249"/>
      <c r="D194" s="257" t="s">
        <v>1315</v>
      </c>
      <c r="E194" s="249"/>
      <c r="F194" s="666">
        <v>-3</v>
      </c>
      <c r="G194" s="249"/>
      <c r="H194" s="251">
        <v>2.48</v>
      </c>
      <c r="I194" s="251"/>
      <c r="J194" s="251">
        <v>2.41</v>
      </c>
      <c r="K194" s="251"/>
      <c r="L194" s="251">
        <v>7.0000000000000007E-2</v>
      </c>
      <c r="M194" s="251"/>
      <c r="N194" s="251">
        <v>0</v>
      </c>
      <c r="O194" s="251"/>
      <c r="P194" s="644" t="s">
        <v>1316</v>
      </c>
      <c r="Q194" s="644"/>
      <c r="R194" s="645">
        <v>24.7</v>
      </c>
    </row>
    <row r="195" spans="1:19">
      <c r="A195" s="272"/>
      <c r="B195" s="248"/>
      <c r="C195" s="249"/>
      <c r="D195" s="257"/>
      <c r="E195" s="249"/>
      <c r="F195" s="666"/>
      <c r="G195" s="249"/>
      <c r="H195" s="251"/>
      <c r="I195" s="251"/>
      <c r="J195" s="251"/>
      <c r="K195" s="251"/>
      <c r="L195" s="251"/>
      <c r="M195" s="251"/>
      <c r="N195" s="251"/>
      <c r="O195" s="251"/>
      <c r="P195" s="644"/>
      <c r="Q195" s="644"/>
      <c r="R195" s="645"/>
    </row>
    <row r="196" spans="1:19">
      <c r="A196" s="272"/>
      <c r="B196" s="248"/>
      <c r="C196" s="249"/>
      <c r="D196" s="259" t="s">
        <v>1317</v>
      </c>
      <c r="E196" s="249"/>
      <c r="F196" s="666"/>
      <c r="G196" s="249"/>
      <c r="H196" s="251">
        <v>2.48</v>
      </c>
      <c r="I196" s="251"/>
      <c r="J196" s="251"/>
      <c r="K196" s="251"/>
      <c r="L196" s="251"/>
      <c r="M196" s="251"/>
      <c r="N196" s="251"/>
      <c r="O196" s="251"/>
      <c r="P196" s="644"/>
      <c r="Q196" s="644"/>
      <c r="R196" s="645">
        <v>24.7</v>
      </c>
    </row>
    <row r="197" spans="1:19">
      <c r="A197" s="272"/>
      <c r="B197" s="248"/>
      <c r="C197" s="249"/>
      <c r="D197" s="257"/>
      <c r="E197" s="249"/>
      <c r="F197" s="666"/>
      <c r="G197" s="249"/>
      <c r="H197" s="251"/>
      <c r="I197" s="251"/>
      <c r="J197" s="251"/>
      <c r="K197" s="251"/>
      <c r="L197" s="251"/>
      <c r="M197" s="251"/>
      <c r="N197" s="251"/>
      <c r="O197" s="251"/>
      <c r="P197" s="644"/>
      <c r="Q197" s="644"/>
      <c r="R197" s="645"/>
    </row>
    <row r="198" spans="1:19">
      <c r="A198" s="272"/>
      <c r="B198" s="248">
        <v>332</v>
      </c>
      <c r="C198" s="249"/>
      <c r="D198" s="257" t="s">
        <v>1318</v>
      </c>
      <c r="E198" s="249"/>
      <c r="F198" s="667"/>
      <c r="G198" s="249"/>
      <c r="H198" s="251"/>
      <c r="I198" s="251"/>
      <c r="J198" s="251"/>
      <c r="K198" s="251"/>
      <c r="L198" s="251"/>
      <c r="M198" s="251"/>
      <c r="N198" s="251"/>
      <c r="O198" s="251"/>
      <c r="P198" s="645"/>
      <c r="Q198" s="645"/>
      <c r="R198" s="645"/>
    </row>
    <row r="199" spans="1:19">
      <c r="A199" s="272">
        <v>332</v>
      </c>
      <c r="B199" s="248"/>
      <c r="C199" s="249"/>
      <c r="D199" s="257" t="s">
        <v>1315</v>
      </c>
      <c r="E199" s="249"/>
      <c r="F199" s="666">
        <v>-3</v>
      </c>
      <c r="G199" s="249"/>
      <c r="H199" s="251">
        <v>2.61</v>
      </c>
      <c r="I199" s="251"/>
      <c r="J199" s="251">
        <v>2.5299999999999998</v>
      </c>
      <c r="K199" s="251"/>
      <c r="L199" s="251">
        <v>0.08</v>
      </c>
      <c r="M199" s="251"/>
      <c r="N199" s="251">
        <v>0</v>
      </c>
      <c r="O199" s="251"/>
      <c r="P199" s="644" t="s">
        <v>2283</v>
      </c>
      <c r="Q199" s="644"/>
      <c r="R199" s="645">
        <v>25.1</v>
      </c>
    </row>
    <row r="200" spans="1:19">
      <c r="A200" s="272"/>
      <c r="B200" s="248"/>
      <c r="C200" s="249"/>
      <c r="D200" s="257"/>
      <c r="E200" s="249"/>
      <c r="F200" s="666"/>
      <c r="G200" s="249"/>
      <c r="H200" s="251"/>
      <c r="I200" s="251"/>
      <c r="J200" s="251"/>
      <c r="K200" s="251"/>
      <c r="L200" s="251"/>
      <c r="M200" s="251"/>
      <c r="N200" s="251"/>
      <c r="O200" s="251"/>
      <c r="P200" s="644"/>
      <c r="Q200" s="644"/>
      <c r="R200" s="645"/>
    </row>
    <row r="201" spans="1:19">
      <c r="A201" s="272"/>
      <c r="B201" s="248"/>
      <c r="C201" s="249"/>
      <c r="D201" s="259" t="s">
        <v>1319</v>
      </c>
      <c r="E201" s="249"/>
      <c r="F201" s="666"/>
      <c r="G201" s="249"/>
      <c r="H201" s="251">
        <v>2.61</v>
      </c>
      <c r="I201" s="251"/>
      <c r="J201" s="251"/>
      <c r="K201" s="251"/>
      <c r="L201" s="251"/>
      <c r="M201" s="251"/>
      <c r="N201" s="251"/>
      <c r="O201" s="251"/>
      <c r="P201" s="644"/>
      <c r="Q201" s="644"/>
      <c r="R201" s="645">
        <v>25.1</v>
      </c>
    </row>
    <row r="202" spans="1:19">
      <c r="A202" s="272"/>
      <c r="B202" s="248"/>
      <c r="C202" s="249"/>
      <c r="D202" s="257"/>
      <c r="E202" s="249"/>
      <c r="F202" s="666"/>
      <c r="G202" s="249"/>
      <c r="H202" s="251"/>
      <c r="I202" s="251"/>
      <c r="J202" s="251"/>
      <c r="K202" s="251"/>
      <c r="L202" s="251"/>
      <c r="M202" s="251"/>
      <c r="N202" s="251"/>
      <c r="O202" s="251"/>
      <c r="P202" s="644"/>
      <c r="Q202" s="644"/>
      <c r="R202" s="645"/>
    </row>
    <row r="203" spans="1:19">
      <c r="A203" s="272"/>
      <c r="B203" s="248">
        <v>333</v>
      </c>
      <c r="C203" s="249"/>
      <c r="D203" s="257" t="s">
        <v>1320</v>
      </c>
      <c r="E203" s="249"/>
      <c r="F203" s="666"/>
      <c r="G203" s="249"/>
      <c r="H203" s="251"/>
      <c r="I203" s="251"/>
      <c r="J203" s="251"/>
      <c r="K203" s="251"/>
      <c r="L203" s="251"/>
      <c r="M203" s="251"/>
      <c r="N203" s="251"/>
      <c r="O203" s="251"/>
      <c r="P203" s="644"/>
      <c r="Q203" s="644"/>
      <c r="R203" s="645"/>
    </row>
    <row r="204" spans="1:19">
      <c r="A204" s="272">
        <v>333</v>
      </c>
      <c r="B204" s="248"/>
      <c r="C204" s="249"/>
      <c r="D204" s="257" t="s">
        <v>1321</v>
      </c>
      <c r="E204" s="249"/>
      <c r="F204" s="666">
        <v>-3</v>
      </c>
      <c r="G204" s="249"/>
      <c r="H204" s="251">
        <v>3.8600000000000003</v>
      </c>
      <c r="I204" s="251"/>
      <c r="J204" s="251">
        <v>3.75</v>
      </c>
      <c r="K204" s="251"/>
      <c r="L204" s="251">
        <v>0.15</v>
      </c>
      <c r="M204" s="251"/>
      <c r="N204" s="251">
        <v>-0.04</v>
      </c>
      <c r="O204" s="251"/>
      <c r="P204" s="644" t="s">
        <v>1322</v>
      </c>
      <c r="Q204" s="644"/>
      <c r="R204" s="645">
        <v>25.2</v>
      </c>
    </row>
    <row r="205" spans="1:19">
      <c r="A205" s="272"/>
      <c r="B205" s="248"/>
      <c r="C205" s="249"/>
      <c r="D205" s="257"/>
      <c r="E205" s="249"/>
      <c r="F205" s="666"/>
      <c r="G205" s="249"/>
      <c r="H205" s="251"/>
      <c r="I205" s="251"/>
      <c r="J205" s="251"/>
      <c r="K205" s="251"/>
      <c r="L205" s="251"/>
      <c r="M205" s="251"/>
      <c r="N205" s="251"/>
      <c r="O205" s="251"/>
      <c r="P205" s="644"/>
      <c r="Q205" s="644"/>
      <c r="R205" s="645"/>
    </row>
    <row r="206" spans="1:19">
      <c r="A206" s="272"/>
      <c r="B206" s="248"/>
      <c r="C206" s="249"/>
      <c r="D206" s="259" t="s">
        <v>1323</v>
      </c>
      <c r="E206" s="249"/>
      <c r="F206" s="666"/>
      <c r="G206" s="249"/>
      <c r="H206" s="251">
        <v>3.8600000000000003</v>
      </c>
      <c r="I206" s="251"/>
      <c r="J206" s="251"/>
      <c r="K206" s="251"/>
      <c r="L206" s="251"/>
      <c r="M206" s="251"/>
      <c r="N206" s="251"/>
      <c r="O206" s="251"/>
      <c r="P206" s="644"/>
      <c r="Q206" s="644"/>
      <c r="R206" s="645">
        <v>25.2</v>
      </c>
    </row>
    <row r="207" spans="1:19">
      <c r="A207" s="272"/>
      <c r="B207" s="248"/>
      <c r="C207" s="249"/>
      <c r="D207" s="257"/>
      <c r="E207" s="249"/>
      <c r="F207" s="666"/>
      <c r="G207" s="249"/>
      <c r="H207" s="251"/>
      <c r="I207" s="251"/>
      <c r="J207" s="251"/>
      <c r="K207" s="251"/>
      <c r="L207" s="251"/>
      <c r="M207" s="251"/>
      <c r="N207" s="251"/>
      <c r="O207" s="251"/>
      <c r="P207" s="644"/>
      <c r="Q207" s="644"/>
      <c r="R207" s="645"/>
    </row>
    <row r="208" spans="1:19">
      <c r="A208" s="272"/>
      <c r="B208" s="248">
        <v>334</v>
      </c>
      <c r="C208" s="249"/>
      <c r="D208" s="257" t="s">
        <v>1324</v>
      </c>
      <c r="E208" s="249"/>
      <c r="F208" s="666"/>
      <c r="G208" s="249"/>
      <c r="H208" s="251"/>
      <c r="I208" s="251"/>
      <c r="J208" s="251"/>
      <c r="K208" s="251"/>
      <c r="L208" s="251"/>
      <c r="M208" s="251"/>
      <c r="N208" s="251"/>
      <c r="O208" s="251"/>
      <c r="P208" s="644"/>
      <c r="Q208" s="644"/>
      <c r="R208" s="645"/>
    </row>
    <row r="209" spans="1:18">
      <c r="A209" s="272">
        <v>334</v>
      </c>
      <c r="B209" s="248"/>
      <c r="C209" s="249"/>
      <c r="D209" s="257" t="s">
        <v>1321</v>
      </c>
      <c r="E209" s="249"/>
      <c r="F209" s="666">
        <v>-3</v>
      </c>
      <c r="G209" s="249"/>
      <c r="H209" s="251">
        <v>3.8099999999999996</v>
      </c>
      <c r="I209" s="251"/>
      <c r="J209" s="251">
        <v>3.7</v>
      </c>
      <c r="K209" s="251"/>
      <c r="L209" s="251">
        <v>0.11</v>
      </c>
      <c r="M209" s="251"/>
      <c r="N209" s="251">
        <v>0</v>
      </c>
      <c r="O209" s="251"/>
      <c r="P209" s="644" t="s">
        <v>1325</v>
      </c>
      <c r="Q209" s="644"/>
      <c r="R209" s="645">
        <v>22.7</v>
      </c>
    </row>
    <row r="210" spans="1:18">
      <c r="A210" s="272"/>
      <c r="B210" s="248"/>
      <c r="C210" s="249"/>
      <c r="D210" s="257"/>
      <c r="E210" s="249"/>
      <c r="F210" s="666"/>
      <c r="G210" s="249"/>
      <c r="H210" s="251"/>
      <c r="I210" s="251"/>
      <c r="J210" s="251"/>
      <c r="K210" s="251"/>
      <c r="L210" s="251"/>
      <c r="M210" s="251"/>
      <c r="N210" s="251"/>
      <c r="O210" s="251"/>
      <c r="P210" s="644"/>
      <c r="Q210" s="644"/>
      <c r="R210" s="645"/>
    </row>
    <row r="211" spans="1:18">
      <c r="A211" s="272"/>
      <c r="B211" s="248"/>
      <c r="C211" s="249"/>
      <c r="D211" s="259" t="s">
        <v>1326</v>
      </c>
      <c r="E211" s="249"/>
      <c r="F211" s="666"/>
      <c r="G211" s="249"/>
      <c r="H211" s="251">
        <v>3.8099999999999996</v>
      </c>
      <c r="I211" s="251"/>
      <c r="J211" s="251"/>
      <c r="K211" s="251"/>
      <c r="L211" s="251"/>
      <c r="M211" s="251"/>
      <c r="N211" s="251"/>
      <c r="O211" s="251"/>
      <c r="P211" s="644"/>
      <c r="Q211" s="644"/>
      <c r="R211" s="645">
        <v>22.7</v>
      </c>
    </row>
    <row r="212" spans="1:18">
      <c r="A212" s="272"/>
      <c r="B212" s="248"/>
      <c r="C212" s="249"/>
      <c r="D212" s="257"/>
      <c r="E212" s="249"/>
      <c r="F212" s="666"/>
      <c r="G212" s="249"/>
      <c r="H212" s="251"/>
      <c r="I212" s="251"/>
      <c r="J212" s="251"/>
      <c r="K212" s="251"/>
      <c r="L212" s="251"/>
      <c r="M212" s="251"/>
      <c r="N212" s="251"/>
      <c r="O212" s="251"/>
      <c r="P212" s="644"/>
      <c r="Q212" s="644"/>
      <c r="R212" s="645"/>
    </row>
    <row r="213" spans="1:18">
      <c r="A213" s="272"/>
      <c r="B213" s="248">
        <v>335</v>
      </c>
      <c r="C213" s="249"/>
      <c r="D213" s="257" t="s">
        <v>1327</v>
      </c>
      <c r="E213" s="249"/>
      <c r="F213" s="666"/>
      <c r="G213" s="249"/>
      <c r="H213" s="251"/>
      <c r="I213" s="251"/>
      <c r="J213" s="251"/>
      <c r="K213" s="251"/>
      <c r="L213" s="251"/>
      <c r="M213" s="251"/>
      <c r="N213" s="251"/>
      <c r="O213" s="251"/>
      <c r="P213" s="644"/>
      <c r="Q213" s="644"/>
      <c r="R213" s="645"/>
    </row>
    <row r="214" spans="1:18">
      <c r="A214" s="272">
        <v>335</v>
      </c>
      <c r="B214" s="248"/>
      <c r="C214" s="249"/>
      <c r="D214" s="257" t="s">
        <v>1321</v>
      </c>
      <c r="E214" s="249"/>
      <c r="F214" s="666">
        <v>-3</v>
      </c>
      <c r="G214" s="249"/>
      <c r="H214" s="251">
        <v>3.7599999999999993</v>
      </c>
      <c r="I214" s="251"/>
      <c r="J214" s="251">
        <v>3.65</v>
      </c>
      <c r="K214" s="251"/>
      <c r="L214" s="251">
        <v>0.11</v>
      </c>
      <c r="M214" s="251"/>
      <c r="N214" s="251">
        <v>0</v>
      </c>
      <c r="O214" s="251"/>
      <c r="P214" s="644" t="s">
        <v>2284</v>
      </c>
      <c r="Q214" s="644"/>
      <c r="R214" s="645">
        <v>17.600000000000001</v>
      </c>
    </row>
    <row r="215" spans="1:18">
      <c r="A215" s="272"/>
      <c r="B215" s="248"/>
      <c r="C215" s="249"/>
      <c r="D215" s="257"/>
      <c r="E215" s="249"/>
      <c r="F215" s="666"/>
      <c r="G215" s="249"/>
      <c r="H215" s="251"/>
      <c r="I215" s="251"/>
      <c r="J215" s="251"/>
      <c r="K215" s="251"/>
      <c r="L215" s="251"/>
      <c r="M215" s="251"/>
      <c r="N215" s="251"/>
      <c r="O215" s="251"/>
      <c r="P215" s="644"/>
      <c r="Q215" s="644"/>
      <c r="R215" s="645"/>
    </row>
    <row r="216" spans="1:18">
      <c r="A216" s="272"/>
      <c r="B216" s="248"/>
      <c r="C216" s="249"/>
      <c r="D216" s="259" t="s">
        <v>1328</v>
      </c>
      <c r="E216" s="249"/>
      <c r="F216" s="666"/>
      <c r="G216" s="249"/>
      <c r="H216" s="251">
        <v>3.7599999999999993</v>
      </c>
      <c r="I216" s="251"/>
      <c r="J216" s="251"/>
      <c r="K216" s="251"/>
      <c r="L216" s="251"/>
      <c r="M216" s="251"/>
      <c r="N216" s="251"/>
      <c r="O216" s="251"/>
      <c r="P216" s="644"/>
      <c r="Q216" s="644"/>
      <c r="R216" s="645">
        <v>17.600000000000001</v>
      </c>
    </row>
    <row r="217" spans="1:18">
      <c r="A217" s="272"/>
      <c r="B217" s="248"/>
      <c r="C217" s="249"/>
      <c r="D217" s="257"/>
      <c r="E217" s="249"/>
      <c r="F217" s="666"/>
      <c r="G217" s="249"/>
      <c r="H217" s="251"/>
      <c r="I217" s="251"/>
      <c r="J217" s="251"/>
      <c r="K217" s="251"/>
      <c r="L217" s="251"/>
      <c r="M217" s="251"/>
      <c r="N217" s="251"/>
      <c r="O217" s="251"/>
      <c r="P217" s="644"/>
      <c r="Q217" s="644"/>
      <c r="R217" s="645"/>
    </row>
    <row r="218" spans="1:18">
      <c r="A218" s="272"/>
      <c r="B218" s="248">
        <v>336</v>
      </c>
      <c r="C218" s="249"/>
      <c r="D218" s="257" t="s">
        <v>1329</v>
      </c>
      <c r="E218" s="249"/>
      <c r="F218" s="666"/>
      <c r="G218" s="249"/>
      <c r="H218" s="251"/>
      <c r="I218" s="251"/>
      <c r="J218" s="251"/>
      <c r="K218" s="251"/>
      <c r="L218" s="251"/>
      <c r="M218" s="251"/>
      <c r="N218" s="251"/>
      <c r="O218" s="251"/>
      <c r="P218" s="644"/>
      <c r="Q218" s="644"/>
      <c r="R218" s="645"/>
    </row>
    <row r="219" spans="1:18">
      <c r="A219" s="272">
        <v>336</v>
      </c>
      <c r="B219" s="248"/>
      <c r="C219" s="249"/>
      <c r="D219" s="257" t="s">
        <v>1315</v>
      </c>
      <c r="E219" s="249"/>
      <c r="F219" s="666">
        <v>-3</v>
      </c>
      <c r="G219" s="249"/>
      <c r="H219" s="251">
        <v>3.3300000000000005</v>
      </c>
      <c r="I219" s="251"/>
      <c r="J219" s="251">
        <v>3.23</v>
      </c>
      <c r="K219" s="251"/>
      <c r="L219" s="251">
        <v>0.1</v>
      </c>
      <c r="M219" s="251"/>
      <c r="N219" s="251">
        <v>0</v>
      </c>
      <c r="O219" s="251"/>
      <c r="P219" s="644" t="s">
        <v>2285</v>
      </c>
      <c r="Q219" s="644"/>
      <c r="R219" s="645">
        <v>21.9</v>
      </c>
    </row>
    <row r="220" spans="1:18">
      <c r="A220" s="272"/>
      <c r="B220" s="248"/>
      <c r="C220" s="249"/>
      <c r="D220" s="257"/>
      <c r="E220" s="249"/>
      <c r="F220" s="250"/>
      <c r="G220" s="249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</row>
    <row r="221" spans="1:18">
      <c r="A221" s="272"/>
      <c r="B221" s="248"/>
      <c r="C221" s="249"/>
      <c r="D221" s="259" t="s">
        <v>1330</v>
      </c>
      <c r="E221" s="249"/>
      <c r="F221" s="250"/>
      <c r="G221" s="249"/>
      <c r="H221" s="251">
        <v>3.33</v>
      </c>
      <c r="I221" s="251"/>
      <c r="J221" s="251"/>
      <c r="K221" s="251"/>
      <c r="L221" s="251"/>
      <c r="M221" s="251"/>
      <c r="N221" s="251"/>
      <c r="O221" s="251"/>
      <c r="P221" s="251"/>
      <c r="Q221" s="251"/>
      <c r="R221" s="251">
        <v>21.9</v>
      </c>
    </row>
    <row r="222" spans="1:18">
      <c r="A222" s="272"/>
      <c r="B222" s="248"/>
      <c r="C222" s="249"/>
      <c r="D222" s="257"/>
      <c r="E222" s="249"/>
      <c r="F222" s="250"/>
      <c r="G222" s="249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</row>
    <row r="223" spans="1:18">
      <c r="A223" s="275"/>
      <c r="B223" s="260"/>
      <c r="C223" s="243"/>
      <c r="D223" s="247" t="s">
        <v>1331</v>
      </c>
      <c r="E223" s="243"/>
      <c r="F223" s="250"/>
      <c r="G223" s="243"/>
      <c r="H223" s="251">
        <v>3.05</v>
      </c>
      <c r="I223" s="251"/>
      <c r="J223" s="251"/>
      <c r="K223" s="251"/>
      <c r="L223" s="251"/>
      <c r="M223" s="251"/>
      <c r="N223" s="251"/>
      <c r="O223" s="251"/>
      <c r="P223" s="641"/>
      <c r="Q223" s="641"/>
      <c r="R223" s="251"/>
    </row>
    <row r="224" spans="1:18">
      <c r="A224" s="272"/>
      <c r="B224" s="248"/>
      <c r="C224" s="249"/>
      <c r="D224" s="257"/>
      <c r="E224" s="249"/>
      <c r="F224" s="250"/>
      <c r="G224" s="249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</row>
    <row r="225" spans="1:18">
      <c r="A225" s="272"/>
      <c r="B225" s="248"/>
      <c r="C225" s="249"/>
      <c r="D225" s="262"/>
      <c r="E225" s="249"/>
      <c r="F225" s="250"/>
      <c r="G225" s="249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</row>
    <row r="226" spans="1:18">
      <c r="A226" s="272"/>
      <c r="B226" s="248"/>
      <c r="C226" s="239"/>
      <c r="D226" s="244" t="s">
        <v>325</v>
      </c>
      <c r="E226" s="239"/>
      <c r="F226" s="250"/>
      <c r="G226" s="239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</row>
    <row r="227" spans="1:18">
      <c r="A227" s="272"/>
      <c r="B227" s="248"/>
      <c r="C227" s="249"/>
      <c r="D227" s="263"/>
      <c r="E227" s="249"/>
      <c r="F227" s="250"/>
      <c r="G227" s="249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</row>
    <row r="228" spans="1:18">
      <c r="A228" s="276"/>
      <c r="B228" s="264">
        <v>340.1</v>
      </c>
      <c r="C228" s="265"/>
      <c r="D228" s="266" t="s">
        <v>1310</v>
      </c>
      <c r="E228" s="265"/>
      <c r="F228" s="250"/>
      <c r="G228" s="265"/>
      <c r="H228" s="251"/>
      <c r="I228" s="251"/>
      <c r="J228" s="251"/>
      <c r="K228" s="251"/>
      <c r="L228" s="251"/>
      <c r="M228" s="251"/>
      <c r="N228" s="251"/>
      <c r="O228" s="251"/>
      <c r="P228" s="668"/>
      <c r="Q228" s="668"/>
      <c r="R228" s="251"/>
    </row>
    <row r="229" spans="1:18">
      <c r="A229" s="276">
        <v>340</v>
      </c>
      <c r="B229" s="264"/>
      <c r="C229" s="265"/>
      <c r="D229" s="266" t="s">
        <v>1332</v>
      </c>
      <c r="E229" s="265"/>
      <c r="F229" s="250">
        <v>0</v>
      </c>
      <c r="G229" s="265"/>
      <c r="H229" s="251">
        <v>2.19</v>
      </c>
      <c r="I229" s="251"/>
      <c r="J229" s="251">
        <v>2.19</v>
      </c>
      <c r="K229" s="251"/>
      <c r="L229" s="251">
        <v>0</v>
      </c>
      <c r="M229" s="251"/>
      <c r="N229" s="251">
        <v>0</v>
      </c>
      <c r="O229" s="251"/>
      <c r="P229" s="668" t="s">
        <v>1274</v>
      </c>
      <c r="Q229" s="668"/>
      <c r="R229" s="251">
        <v>178.7</v>
      </c>
    </row>
    <row r="230" spans="1:18">
      <c r="A230" s="276"/>
      <c r="B230" s="264"/>
      <c r="C230" s="265"/>
      <c r="D230" s="266"/>
      <c r="E230" s="265"/>
      <c r="F230" s="250"/>
      <c r="G230" s="265"/>
      <c r="H230" s="251"/>
      <c r="I230" s="251"/>
      <c r="J230" s="251"/>
      <c r="K230" s="251"/>
      <c r="L230" s="251"/>
      <c r="M230" s="251"/>
      <c r="N230" s="251"/>
      <c r="O230" s="251"/>
      <c r="P230" s="668"/>
      <c r="Q230" s="668"/>
      <c r="R230" s="251"/>
    </row>
    <row r="231" spans="1:18">
      <c r="A231" s="276"/>
      <c r="B231" s="264"/>
      <c r="C231" s="265"/>
      <c r="D231" s="268" t="s">
        <v>1333</v>
      </c>
      <c r="E231" s="265"/>
      <c r="F231" s="250"/>
      <c r="G231" s="265"/>
      <c r="H231" s="251">
        <v>2.19</v>
      </c>
      <c r="I231" s="251"/>
      <c r="J231" s="251"/>
      <c r="K231" s="251"/>
      <c r="L231" s="251"/>
      <c r="M231" s="251"/>
      <c r="N231" s="251"/>
      <c r="O231" s="251"/>
      <c r="P231" s="668"/>
      <c r="Q231" s="668"/>
      <c r="R231" s="251">
        <v>178.7</v>
      </c>
    </row>
    <row r="232" spans="1:18">
      <c r="A232" s="276"/>
      <c r="B232" s="264"/>
      <c r="C232" s="265"/>
      <c r="D232" s="266"/>
      <c r="E232" s="265"/>
      <c r="F232" s="250"/>
      <c r="G232" s="265"/>
      <c r="H232" s="251"/>
      <c r="I232" s="251"/>
      <c r="J232" s="251"/>
      <c r="K232" s="251"/>
      <c r="L232" s="251"/>
      <c r="M232" s="251"/>
      <c r="N232" s="251"/>
      <c r="O232" s="251"/>
      <c r="P232" s="668"/>
      <c r="Q232" s="668"/>
      <c r="R232" s="251"/>
    </row>
    <row r="233" spans="1:18">
      <c r="A233" s="272"/>
      <c r="B233" s="248">
        <v>341</v>
      </c>
      <c r="C233" s="249"/>
      <c r="D233" s="253" t="s">
        <v>1314</v>
      </c>
      <c r="E233" s="249"/>
      <c r="F233" s="250"/>
      <c r="G233" s="249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</row>
    <row r="234" spans="1:18">
      <c r="A234" s="272"/>
      <c r="B234" s="248"/>
      <c r="C234" s="249"/>
      <c r="D234" s="269" t="s">
        <v>1345</v>
      </c>
      <c r="E234" s="249"/>
      <c r="F234" s="666">
        <v>-7</v>
      </c>
      <c r="G234" s="249"/>
      <c r="H234" s="645">
        <v>2.92</v>
      </c>
      <c r="I234" s="251"/>
      <c r="J234" s="645">
        <v>2.73</v>
      </c>
      <c r="K234" s="251"/>
      <c r="L234" s="645">
        <v>0.19</v>
      </c>
      <c r="M234" s="251"/>
      <c r="N234" s="251">
        <v>0</v>
      </c>
      <c r="O234" s="251"/>
      <c r="P234" s="644" t="s">
        <v>2287</v>
      </c>
      <c r="Q234" s="251"/>
      <c r="R234" s="645">
        <v>14.6</v>
      </c>
    </row>
    <row r="235" spans="1:18">
      <c r="A235" s="272"/>
      <c r="B235" s="248"/>
      <c r="C235" s="249"/>
      <c r="D235" s="269" t="s">
        <v>1346</v>
      </c>
      <c r="E235" s="249"/>
      <c r="F235" s="666">
        <v>-7</v>
      </c>
      <c r="G235" s="249"/>
      <c r="H235" s="645">
        <v>4.3199999999999994</v>
      </c>
      <c r="I235" s="251"/>
      <c r="J235" s="645">
        <v>4.04</v>
      </c>
      <c r="K235" s="251"/>
      <c r="L235" s="645">
        <v>0.27999999999999997</v>
      </c>
      <c r="M235" s="251"/>
      <c r="N235" s="251">
        <v>0</v>
      </c>
      <c r="O235" s="251"/>
      <c r="P235" s="644" t="s">
        <v>2287</v>
      </c>
      <c r="Q235" s="251"/>
      <c r="R235" s="645">
        <v>10.199999999999999</v>
      </c>
    </row>
    <row r="236" spans="1:18">
      <c r="A236" s="272"/>
      <c r="B236" s="248"/>
      <c r="C236" s="249"/>
      <c r="D236" s="269" t="s">
        <v>1340</v>
      </c>
      <c r="E236" s="249"/>
      <c r="F236" s="666">
        <v>-7</v>
      </c>
      <c r="G236" s="249"/>
      <c r="H236" s="645">
        <v>3.94</v>
      </c>
      <c r="I236" s="251"/>
      <c r="J236" s="645">
        <v>3.6799999999999997</v>
      </c>
      <c r="K236" s="251"/>
      <c r="L236" s="645">
        <v>0.26</v>
      </c>
      <c r="M236" s="251"/>
      <c r="N236" s="251">
        <v>0</v>
      </c>
      <c r="O236" s="251"/>
      <c r="P236" s="644" t="s">
        <v>2287</v>
      </c>
      <c r="Q236" s="251"/>
      <c r="R236" s="645">
        <v>14.9</v>
      </c>
    </row>
    <row r="237" spans="1:18">
      <c r="A237" s="272"/>
      <c r="B237" s="248"/>
      <c r="C237" s="249"/>
      <c r="D237" s="269" t="s">
        <v>1341</v>
      </c>
      <c r="E237" s="249"/>
      <c r="F237" s="666">
        <v>-7</v>
      </c>
      <c r="G237" s="249"/>
      <c r="H237" s="645">
        <v>4.34</v>
      </c>
      <c r="I237" s="251"/>
      <c r="J237" s="645">
        <v>4.0599999999999996</v>
      </c>
      <c r="K237" s="251"/>
      <c r="L237" s="645">
        <v>0.27999999999999997</v>
      </c>
      <c r="M237" s="251"/>
      <c r="N237" s="251">
        <v>0</v>
      </c>
      <c r="O237" s="251"/>
      <c r="P237" s="644" t="s">
        <v>2287</v>
      </c>
      <c r="Q237" s="251"/>
      <c r="R237" s="645">
        <v>13</v>
      </c>
    </row>
    <row r="238" spans="1:18">
      <c r="A238" s="272"/>
      <c r="B238" s="248"/>
      <c r="C238" s="249"/>
      <c r="D238" s="269" t="s">
        <v>1342</v>
      </c>
      <c r="E238" s="249"/>
      <c r="F238" s="666">
        <v>-7</v>
      </c>
      <c r="G238" s="249"/>
      <c r="H238" s="645">
        <v>4.33</v>
      </c>
      <c r="I238" s="251"/>
      <c r="J238" s="645">
        <v>4.05</v>
      </c>
      <c r="K238" s="251"/>
      <c r="L238" s="645">
        <v>0.27999999999999997</v>
      </c>
      <c r="M238" s="251"/>
      <c r="N238" s="251">
        <v>0</v>
      </c>
      <c r="O238" s="251"/>
      <c r="P238" s="644" t="s">
        <v>2287</v>
      </c>
      <c r="Q238" s="251"/>
      <c r="R238" s="645">
        <v>13</v>
      </c>
    </row>
    <row r="239" spans="1:18">
      <c r="A239" s="272"/>
      <c r="B239" s="248"/>
      <c r="C239" s="249"/>
      <c r="D239" s="269" t="s">
        <v>1343</v>
      </c>
      <c r="E239" s="249"/>
      <c r="F239" s="666">
        <v>-7</v>
      </c>
      <c r="G239" s="249"/>
      <c r="H239" s="645">
        <v>3.9699999999999998</v>
      </c>
      <c r="I239" s="251"/>
      <c r="J239" s="645">
        <v>3.71</v>
      </c>
      <c r="K239" s="251"/>
      <c r="L239" s="645">
        <v>0.26</v>
      </c>
      <c r="M239" s="251"/>
      <c r="N239" s="251">
        <v>0</v>
      </c>
      <c r="O239" s="251"/>
      <c r="P239" s="644" t="s">
        <v>2287</v>
      </c>
      <c r="Q239" s="251"/>
      <c r="R239" s="645">
        <v>9.1999999999999993</v>
      </c>
    </row>
    <row r="240" spans="1:18">
      <c r="A240" s="272"/>
      <c r="B240" s="248"/>
      <c r="C240" s="249"/>
      <c r="D240" s="269" t="s">
        <v>1344</v>
      </c>
      <c r="E240" s="249"/>
      <c r="F240" s="666">
        <v>-7</v>
      </c>
      <c r="G240" s="249"/>
      <c r="H240" s="645">
        <v>2.76</v>
      </c>
      <c r="I240" s="251"/>
      <c r="J240" s="645">
        <v>2.58</v>
      </c>
      <c r="K240" s="251"/>
      <c r="L240" s="645">
        <v>0.18</v>
      </c>
      <c r="M240" s="251"/>
      <c r="N240" s="251">
        <v>0</v>
      </c>
      <c r="O240" s="251"/>
      <c r="P240" s="644" t="s">
        <v>2287</v>
      </c>
      <c r="Q240" s="251"/>
      <c r="R240" s="645">
        <v>14.6</v>
      </c>
    </row>
    <row r="241" spans="1:18">
      <c r="A241" s="272"/>
      <c r="B241" s="248"/>
      <c r="C241" s="249"/>
      <c r="D241" s="269" t="s">
        <v>2546</v>
      </c>
      <c r="E241" s="249"/>
      <c r="F241" s="666">
        <v>-5</v>
      </c>
      <c r="G241" s="249"/>
      <c r="H241" s="645">
        <v>4.24</v>
      </c>
      <c r="I241" s="251"/>
      <c r="J241" s="645">
        <v>4.04</v>
      </c>
      <c r="K241" s="251"/>
      <c r="L241" s="645">
        <v>0.2</v>
      </c>
      <c r="M241" s="251"/>
      <c r="N241" s="251">
        <v>0</v>
      </c>
      <c r="O241" s="251"/>
      <c r="P241" s="644" t="s">
        <v>2547</v>
      </c>
      <c r="Q241" s="251"/>
      <c r="R241" s="645">
        <v>40</v>
      </c>
    </row>
    <row r="242" spans="1:18">
      <c r="A242" s="272"/>
      <c r="B242" s="248"/>
      <c r="C242" s="249"/>
      <c r="D242" s="269" t="s">
        <v>1347</v>
      </c>
      <c r="E242" s="249"/>
      <c r="F242" s="666">
        <v>-10</v>
      </c>
      <c r="G242" s="249"/>
      <c r="H242" s="645">
        <v>19.170000000000002</v>
      </c>
      <c r="I242" s="251"/>
      <c r="J242" s="645">
        <v>17.43</v>
      </c>
      <c r="K242" s="251"/>
      <c r="L242" s="645">
        <v>1.7399999999999998</v>
      </c>
      <c r="M242" s="251"/>
      <c r="N242" s="251">
        <v>0</v>
      </c>
      <c r="O242" s="251"/>
      <c r="P242" s="644" t="s">
        <v>2287</v>
      </c>
      <c r="Q242" s="251"/>
      <c r="R242" s="645">
        <v>4.5</v>
      </c>
    </row>
    <row r="243" spans="1:18">
      <c r="A243" s="272"/>
      <c r="B243" s="248"/>
      <c r="C243" s="249"/>
      <c r="D243" s="269" t="s">
        <v>1348</v>
      </c>
      <c r="E243" s="249"/>
      <c r="F243" s="666">
        <v>-6</v>
      </c>
      <c r="G243" s="249"/>
      <c r="H243" s="645">
        <v>4.16</v>
      </c>
      <c r="I243" s="251"/>
      <c r="J243" s="645">
        <v>3.92</v>
      </c>
      <c r="K243" s="251"/>
      <c r="L243" s="645">
        <v>0.24</v>
      </c>
      <c r="M243" s="251"/>
      <c r="N243" s="251">
        <v>0</v>
      </c>
      <c r="O243" s="251"/>
      <c r="P243" s="644" t="s">
        <v>2287</v>
      </c>
      <c r="Q243" s="251"/>
      <c r="R243" s="645">
        <v>14.9</v>
      </c>
    </row>
    <row r="244" spans="1:18">
      <c r="A244" s="272"/>
      <c r="B244" s="248"/>
      <c r="C244" s="249"/>
      <c r="D244" s="269" t="s">
        <v>1339</v>
      </c>
      <c r="E244" s="249"/>
      <c r="F244" s="666">
        <v>-7</v>
      </c>
      <c r="G244" s="249"/>
      <c r="H244" s="645">
        <v>3.7900000000000005</v>
      </c>
      <c r="I244" s="251"/>
      <c r="J244" s="645">
        <v>3.54</v>
      </c>
      <c r="K244" s="251"/>
      <c r="L244" s="645">
        <v>0.25</v>
      </c>
      <c r="M244" s="251"/>
      <c r="N244" s="251">
        <v>0</v>
      </c>
      <c r="O244" s="251"/>
      <c r="P244" s="644" t="s">
        <v>2287</v>
      </c>
      <c r="Q244" s="251"/>
      <c r="R244" s="645">
        <v>17.7</v>
      </c>
    </row>
    <row r="245" spans="1:18">
      <c r="A245" s="272"/>
      <c r="B245" s="248"/>
      <c r="C245" s="249"/>
      <c r="D245" s="269" t="s">
        <v>1334</v>
      </c>
      <c r="E245" s="249"/>
      <c r="F245" s="666">
        <v>-7</v>
      </c>
      <c r="G245" s="249"/>
      <c r="H245" s="645">
        <v>3.8700000000000006</v>
      </c>
      <c r="I245" s="251"/>
      <c r="J245" s="645">
        <v>3.62</v>
      </c>
      <c r="K245" s="251"/>
      <c r="L245" s="645">
        <v>0.25</v>
      </c>
      <c r="M245" s="251"/>
      <c r="N245" s="251">
        <v>0</v>
      </c>
      <c r="O245" s="251"/>
      <c r="P245" s="644" t="s">
        <v>2287</v>
      </c>
      <c r="Q245" s="251"/>
      <c r="R245" s="645">
        <v>15.8</v>
      </c>
    </row>
    <row r="246" spans="1:18">
      <c r="A246" s="272"/>
      <c r="B246" s="248"/>
      <c r="C246" s="249"/>
      <c r="D246" s="269" t="s">
        <v>1335</v>
      </c>
      <c r="E246" s="249"/>
      <c r="F246" s="666">
        <v>-7</v>
      </c>
      <c r="G246" s="249"/>
      <c r="H246" s="645">
        <v>3.8600000000000003</v>
      </c>
      <c r="I246" s="251"/>
      <c r="J246" s="645">
        <v>3.61</v>
      </c>
      <c r="K246" s="251"/>
      <c r="L246" s="645">
        <v>0.25</v>
      </c>
      <c r="M246" s="251"/>
      <c r="N246" s="251">
        <v>0</v>
      </c>
      <c r="O246" s="251"/>
      <c r="P246" s="644" t="s">
        <v>2287</v>
      </c>
      <c r="Q246" s="251"/>
      <c r="R246" s="645">
        <v>15.8</v>
      </c>
    </row>
    <row r="247" spans="1:18">
      <c r="A247" s="272"/>
      <c r="B247" s="248"/>
      <c r="C247" s="249"/>
      <c r="D247" s="269" t="s">
        <v>1336</v>
      </c>
      <c r="E247" s="249"/>
      <c r="F247" s="666">
        <v>-7</v>
      </c>
      <c r="G247" s="249"/>
      <c r="H247" s="645">
        <v>3.7800000000000002</v>
      </c>
      <c r="I247" s="251"/>
      <c r="J247" s="645">
        <v>3.53</v>
      </c>
      <c r="K247" s="251"/>
      <c r="L247" s="645">
        <v>0.25</v>
      </c>
      <c r="M247" s="251"/>
      <c r="N247" s="251">
        <v>0</v>
      </c>
      <c r="O247" s="251"/>
      <c r="P247" s="644" t="s">
        <v>2287</v>
      </c>
      <c r="Q247" s="251"/>
      <c r="R247" s="645">
        <v>17.7</v>
      </c>
    </row>
    <row r="248" spans="1:18">
      <c r="A248" s="272"/>
      <c r="B248" s="248"/>
      <c r="C248" s="249"/>
      <c r="D248" s="269" t="s">
        <v>1337</v>
      </c>
      <c r="E248" s="249"/>
      <c r="F248" s="666">
        <v>-7</v>
      </c>
      <c r="G248" s="249"/>
      <c r="H248" s="645">
        <v>3.7800000000000002</v>
      </c>
      <c r="I248" s="251"/>
      <c r="J248" s="645">
        <v>3.53</v>
      </c>
      <c r="K248" s="251"/>
      <c r="L248" s="645">
        <v>0.25</v>
      </c>
      <c r="M248" s="251"/>
      <c r="N248" s="251">
        <v>0</v>
      </c>
      <c r="O248" s="251"/>
      <c r="P248" s="644" t="s">
        <v>2287</v>
      </c>
      <c r="Q248" s="251"/>
      <c r="R248" s="645">
        <v>17.7</v>
      </c>
    </row>
    <row r="249" spans="1:18">
      <c r="A249" s="272"/>
      <c r="B249" s="248"/>
      <c r="C249" s="249"/>
      <c r="D249" s="269" t="s">
        <v>1338</v>
      </c>
      <c r="E249" s="249"/>
      <c r="F249" s="666">
        <v>-7</v>
      </c>
      <c r="G249" s="249"/>
      <c r="H249" s="645">
        <v>3.7900000000000005</v>
      </c>
      <c r="I249" s="251"/>
      <c r="J249" s="645">
        <v>3.54</v>
      </c>
      <c r="K249" s="251"/>
      <c r="L249" s="645">
        <v>0.25</v>
      </c>
      <c r="M249" s="251"/>
      <c r="N249" s="251">
        <v>0</v>
      </c>
      <c r="O249" s="251"/>
      <c r="P249" s="644" t="s">
        <v>2287</v>
      </c>
      <c r="Q249" s="251"/>
      <c r="R249" s="645">
        <v>17.7</v>
      </c>
    </row>
    <row r="250" spans="1:18">
      <c r="A250" s="272"/>
      <c r="B250" s="248"/>
      <c r="C250" s="249"/>
      <c r="D250" s="269" t="s">
        <v>2286</v>
      </c>
      <c r="E250" s="249"/>
      <c r="F250" s="666">
        <v>-12</v>
      </c>
      <c r="G250" s="249"/>
      <c r="H250" s="645">
        <v>3.0300000000000002</v>
      </c>
      <c r="I250" s="251"/>
      <c r="J250" s="645">
        <v>2.71</v>
      </c>
      <c r="K250" s="251"/>
      <c r="L250" s="645">
        <v>0.32</v>
      </c>
      <c r="M250" s="251"/>
      <c r="N250" s="251">
        <v>0</v>
      </c>
      <c r="O250" s="251"/>
      <c r="P250" s="644" t="s">
        <v>2287</v>
      </c>
      <c r="Q250" s="251"/>
      <c r="R250" s="645">
        <v>35.6</v>
      </c>
    </row>
    <row r="251" spans="1:18">
      <c r="A251" s="272"/>
      <c r="B251" s="248"/>
      <c r="C251" s="249"/>
      <c r="D251" s="253"/>
      <c r="E251" s="249"/>
      <c r="F251" s="250"/>
      <c r="G251" s="249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</row>
    <row r="252" spans="1:18">
      <c r="A252" s="272">
        <v>341</v>
      </c>
      <c r="B252" s="248"/>
      <c r="C252" s="249"/>
      <c r="D252" s="254" t="s">
        <v>1349</v>
      </c>
      <c r="E252" s="249"/>
      <c r="F252" s="277" t="s">
        <v>2548</v>
      </c>
      <c r="G252" s="249"/>
      <c r="H252" s="251">
        <v>3.38</v>
      </c>
      <c r="I252" s="251"/>
      <c r="J252" s="251"/>
      <c r="K252" s="251"/>
      <c r="L252" s="251"/>
      <c r="M252" s="251"/>
      <c r="N252" s="251"/>
      <c r="O252" s="251"/>
      <c r="P252" s="251" t="str">
        <f>P250</f>
        <v>50-R2.5</v>
      </c>
      <c r="Q252" s="251"/>
      <c r="R252" s="251">
        <v>25.9</v>
      </c>
    </row>
    <row r="253" spans="1:18">
      <c r="A253" s="272"/>
      <c r="B253" s="248"/>
      <c r="C253" s="249"/>
      <c r="D253" s="253"/>
      <c r="E253" s="249"/>
      <c r="F253" s="250"/>
      <c r="G253" s="249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</row>
    <row r="254" spans="1:18">
      <c r="A254" s="272"/>
      <c r="B254" s="248">
        <v>342</v>
      </c>
      <c r="C254" s="249"/>
      <c r="D254" s="249" t="s">
        <v>1350</v>
      </c>
      <c r="E254" s="249"/>
      <c r="F254" s="250"/>
      <c r="G254" s="249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</row>
    <row r="255" spans="1:18">
      <c r="A255" s="272"/>
      <c r="B255" s="248"/>
      <c r="C255" s="249"/>
      <c r="D255" s="269" t="s">
        <v>1345</v>
      </c>
      <c r="E255" s="249"/>
      <c r="F255" s="666">
        <v>-7</v>
      </c>
      <c r="G255" s="249"/>
      <c r="H255" s="645">
        <v>5.43</v>
      </c>
      <c r="I255" s="251"/>
      <c r="J255" s="645">
        <v>5.07</v>
      </c>
      <c r="K255" s="251"/>
      <c r="L255" s="645">
        <v>0.36</v>
      </c>
      <c r="M255" s="251"/>
      <c r="N255" s="251">
        <v>0</v>
      </c>
      <c r="O255" s="251"/>
      <c r="P255" s="251" t="s">
        <v>1351</v>
      </c>
      <c r="Q255" s="251"/>
      <c r="R255" s="645">
        <v>15.1</v>
      </c>
    </row>
    <row r="256" spans="1:18">
      <c r="A256" s="272"/>
      <c r="B256" s="248"/>
      <c r="C256" s="249"/>
      <c r="D256" s="269" t="s">
        <v>1346</v>
      </c>
      <c r="E256" s="249"/>
      <c r="F256" s="666">
        <v>-7</v>
      </c>
      <c r="G256" s="249"/>
      <c r="H256" s="645">
        <v>7.39</v>
      </c>
      <c r="I256" s="251"/>
      <c r="J256" s="645">
        <v>6.9099999999999993</v>
      </c>
      <c r="K256" s="251"/>
      <c r="L256" s="645">
        <v>0.48</v>
      </c>
      <c r="M256" s="251"/>
      <c r="N256" s="251">
        <v>0</v>
      </c>
      <c r="O256" s="251"/>
      <c r="P256" s="251" t="s">
        <v>1351</v>
      </c>
      <c r="Q256" s="251"/>
      <c r="R256" s="645">
        <v>10.3</v>
      </c>
    </row>
    <row r="257" spans="1:18">
      <c r="A257" s="272"/>
      <c r="B257" s="248"/>
      <c r="C257" s="249"/>
      <c r="D257" s="253" t="s">
        <v>1340</v>
      </c>
      <c r="E257" s="249"/>
      <c r="F257" s="666">
        <v>-7</v>
      </c>
      <c r="G257" s="249"/>
      <c r="H257" s="645">
        <v>5</v>
      </c>
      <c r="I257" s="251"/>
      <c r="J257" s="645">
        <v>4.67</v>
      </c>
      <c r="K257" s="251"/>
      <c r="L257" s="645">
        <v>0.33</v>
      </c>
      <c r="M257" s="251"/>
      <c r="N257" s="251">
        <v>0</v>
      </c>
      <c r="O257" s="251"/>
      <c r="P257" s="251" t="s">
        <v>1351</v>
      </c>
      <c r="Q257" s="251"/>
      <c r="R257" s="645">
        <v>14.8</v>
      </c>
    </row>
    <row r="258" spans="1:18">
      <c r="A258" s="272"/>
      <c r="B258" s="248"/>
      <c r="C258" s="249"/>
      <c r="D258" s="269" t="s">
        <v>1341</v>
      </c>
      <c r="E258" s="249"/>
      <c r="F258" s="666">
        <v>-7</v>
      </c>
      <c r="G258" s="249"/>
      <c r="H258" s="645">
        <v>6.9599999999999991</v>
      </c>
      <c r="I258" s="251"/>
      <c r="J258" s="645">
        <v>6.5</v>
      </c>
      <c r="K258" s="251"/>
      <c r="L258" s="645">
        <v>0.45999999999999996</v>
      </c>
      <c r="M258" s="251"/>
      <c r="N258" s="251">
        <v>0</v>
      </c>
      <c r="O258" s="251"/>
      <c r="P258" s="251" t="s">
        <v>1351</v>
      </c>
      <c r="Q258" s="251"/>
      <c r="R258" s="645">
        <v>13.2</v>
      </c>
    </row>
    <row r="259" spans="1:18">
      <c r="A259" s="272"/>
      <c r="B259" s="248"/>
      <c r="C259" s="249"/>
      <c r="D259" s="269" t="s">
        <v>1342</v>
      </c>
      <c r="E259" s="249"/>
      <c r="F259" s="666">
        <v>-7</v>
      </c>
      <c r="G259" s="249"/>
      <c r="H259" s="645">
        <v>6.9899999999999993</v>
      </c>
      <c r="I259" s="251"/>
      <c r="J259" s="645">
        <v>6.5299999999999994</v>
      </c>
      <c r="K259" s="251"/>
      <c r="L259" s="645">
        <v>0.45999999999999996</v>
      </c>
      <c r="M259" s="251"/>
      <c r="N259" s="251">
        <v>0</v>
      </c>
      <c r="O259" s="251"/>
      <c r="P259" s="251" t="s">
        <v>1351</v>
      </c>
      <c r="Q259" s="251"/>
      <c r="R259" s="645">
        <v>13.2</v>
      </c>
    </row>
    <row r="260" spans="1:18">
      <c r="A260" s="272"/>
      <c r="B260" s="248"/>
      <c r="C260" s="249"/>
      <c r="D260" s="269" t="s">
        <v>1343</v>
      </c>
      <c r="E260" s="249"/>
      <c r="F260" s="666">
        <v>-7</v>
      </c>
      <c r="G260" s="249"/>
      <c r="H260" s="645">
        <v>6.5299999999999994</v>
      </c>
      <c r="I260" s="251"/>
      <c r="J260" s="645">
        <v>6.1</v>
      </c>
      <c r="K260" s="251"/>
      <c r="L260" s="645">
        <v>0.43</v>
      </c>
      <c r="M260" s="251"/>
      <c r="N260" s="251">
        <v>0</v>
      </c>
      <c r="O260" s="251"/>
      <c r="P260" s="251" t="s">
        <v>1351</v>
      </c>
      <c r="Q260" s="251"/>
      <c r="R260" s="645">
        <v>9.4</v>
      </c>
    </row>
    <row r="261" spans="1:18">
      <c r="A261" s="272"/>
      <c r="B261" s="248"/>
      <c r="C261" s="249"/>
      <c r="D261" s="269" t="s">
        <v>1344</v>
      </c>
      <c r="E261" s="249"/>
      <c r="F261" s="666">
        <v>-7</v>
      </c>
      <c r="G261" s="249"/>
      <c r="H261" s="645">
        <v>4.6500000000000004</v>
      </c>
      <c r="I261" s="251"/>
      <c r="J261" s="645">
        <v>4.3499999999999996</v>
      </c>
      <c r="K261" s="251"/>
      <c r="L261" s="645">
        <v>0.3</v>
      </c>
      <c r="M261" s="251"/>
      <c r="N261" s="251">
        <v>0</v>
      </c>
      <c r="O261" s="251"/>
      <c r="P261" s="251" t="s">
        <v>1351</v>
      </c>
      <c r="Q261" s="251"/>
      <c r="R261" s="645">
        <v>14.8</v>
      </c>
    </row>
    <row r="262" spans="1:18">
      <c r="A262" s="272"/>
      <c r="B262" s="248"/>
      <c r="C262" s="249"/>
      <c r="D262" s="269" t="s">
        <v>1332</v>
      </c>
      <c r="E262" s="249"/>
      <c r="F262" s="666">
        <v>-7</v>
      </c>
      <c r="G262" s="249"/>
      <c r="H262" s="645">
        <v>3.0300000000000002</v>
      </c>
      <c r="I262" s="251"/>
      <c r="J262" s="645">
        <v>2.83</v>
      </c>
      <c r="K262" s="251"/>
      <c r="L262" s="645">
        <v>0.2</v>
      </c>
      <c r="M262" s="251"/>
      <c r="N262" s="251">
        <v>0</v>
      </c>
      <c r="O262" s="251"/>
      <c r="P262" s="251" t="s">
        <v>1351</v>
      </c>
      <c r="Q262" s="251"/>
      <c r="R262" s="645">
        <v>14.2</v>
      </c>
    </row>
    <row r="263" spans="1:18">
      <c r="A263" s="272"/>
      <c r="B263" s="248"/>
      <c r="C263" s="249"/>
      <c r="D263" s="269" t="s">
        <v>1347</v>
      </c>
      <c r="E263" s="249"/>
      <c r="F263" s="666">
        <v>-10</v>
      </c>
      <c r="G263" s="249"/>
      <c r="H263" s="645">
        <v>15.740000000000002</v>
      </c>
      <c r="I263" s="251"/>
      <c r="J263" s="645">
        <v>14.31</v>
      </c>
      <c r="K263" s="251"/>
      <c r="L263" s="645">
        <v>1.43</v>
      </c>
      <c r="M263" s="251"/>
      <c r="N263" s="251">
        <v>0</v>
      </c>
      <c r="O263" s="251"/>
      <c r="P263" s="251" t="s">
        <v>1351</v>
      </c>
      <c r="Q263" s="251"/>
      <c r="R263" s="645">
        <v>4.4000000000000004</v>
      </c>
    </row>
    <row r="264" spans="1:18">
      <c r="A264" s="272"/>
      <c r="B264" s="248"/>
      <c r="C264" s="249"/>
      <c r="D264" s="269" t="s">
        <v>1348</v>
      </c>
      <c r="E264" s="249"/>
      <c r="F264" s="666">
        <v>-6</v>
      </c>
      <c r="G264" s="249"/>
      <c r="H264" s="645">
        <v>3.8900000000000006</v>
      </c>
      <c r="I264" s="251"/>
      <c r="J264" s="645">
        <v>3.6700000000000004</v>
      </c>
      <c r="K264" s="251"/>
      <c r="L264" s="645">
        <v>0.22</v>
      </c>
      <c r="M264" s="251"/>
      <c r="N264" s="251">
        <v>0</v>
      </c>
      <c r="O264" s="251"/>
      <c r="P264" s="251" t="s">
        <v>1351</v>
      </c>
      <c r="Q264" s="251"/>
      <c r="R264" s="645">
        <v>14.7</v>
      </c>
    </row>
    <row r="265" spans="1:18">
      <c r="A265" s="272"/>
      <c r="B265" s="248"/>
      <c r="C265" s="249"/>
      <c r="D265" s="269" t="s">
        <v>1339</v>
      </c>
      <c r="E265" s="249"/>
      <c r="F265" s="666">
        <v>-7</v>
      </c>
      <c r="G265" s="249"/>
      <c r="H265" s="645">
        <v>3.85</v>
      </c>
      <c r="I265" s="251"/>
      <c r="J265" s="645">
        <v>3.5999999999999996</v>
      </c>
      <c r="K265" s="251"/>
      <c r="L265" s="645">
        <v>0.25</v>
      </c>
      <c r="M265" s="251"/>
      <c r="N265" s="251">
        <v>0</v>
      </c>
      <c r="O265" s="251"/>
      <c r="P265" s="251" t="s">
        <v>1351</v>
      </c>
      <c r="Q265" s="251"/>
      <c r="R265" s="645">
        <v>17.5</v>
      </c>
    </row>
    <row r="266" spans="1:18">
      <c r="A266" s="272"/>
      <c r="B266" s="248"/>
      <c r="C266" s="249"/>
      <c r="D266" s="269" t="s">
        <v>1334</v>
      </c>
      <c r="E266" s="249"/>
      <c r="F266" s="666">
        <v>-7</v>
      </c>
      <c r="G266" s="249"/>
      <c r="H266" s="645">
        <v>3.9</v>
      </c>
      <c r="I266" s="251"/>
      <c r="J266" s="645">
        <v>3.64</v>
      </c>
      <c r="K266" s="251"/>
      <c r="L266" s="645">
        <v>0.26</v>
      </c>
      <c r="M266" s="251"/>
      <c r="N266" s="251">
        <v>0</v>
      </c>
      <c r="O266" s="251"/>
      <c r="P266" s="251" t="s">
        <v>1351</v>
      </c>
      <c r="Q266" s="251"/>
      <c r="R266" s="645">
        <v>15.6</v>
      </c>
    </row>
    <row r="267" spans="1:18">
      <c r="A267" s="272"/>
      <c r="B267" s="248"/>
      <c r="C267" s="249"/>
      <c r="D267" s="269" t="s">
        <v>1335</v>
      </c>
      <c r="E267" s="249"/>
      <c r="F267" s="666">
        <v>-7</v>
      </c>
      <c r="G267" s="249"/>
      <c r="H267" s="645">
        <v>3.9</v>
      </c>
      <c r="I267" s="251"/>
      <c r="J267" s="645">
        <v>3.64</v>
      </c>
      <c r="K267" s="251"/>
      <c r="L267" s="645">
        <v>0.26</v>
      </c>
      <c r="M267" s="251"/>
      <c r="N267" s="251">
        <v>0</v>
      </c>
      <c r="O267" s="251"/>
      <c r="P267" s="251" t="s">
        <v>1351</v>
      </c>
      <c r="Q267" s="251"/>
      <c r="R267" s="645">
        <v>15.6</v>
      </c>
    </row>
    <row r="268" spans="1:18">
      <c r="A268" s="272"/>
      <c r="B268" s="248"/>
      <c r="C268" s="249"/>
      <c r="D268" s="269" t="s">
        <v>1336</v>
      </c>
      <c r="E268" s="249"/>
      <c r="F268" s="666">
        <v>-7</v>
      </c>
      <c r="G268" s="249"/>
      <c r="H268" s="645">
        <v>3.8200000000000003</v>
      </c>
      <c r="I268" s="251"/>
      <c r="J268" s="645">
        <v>3.5700000000000003</v>
      </c>
      <c r="K268" s="251"/>
      <c r="L268" s="645">
        <v>0.25</v>
      </c>
      <c r="M268" s="251"/>
      <c r="N268" s="251">
        <v>0</v>
      </c>
      <c r="O268" s="251"/>
      <c r="P268" s="251" t="s">
        <v>1351</v>
      </c>
      <c r="Q268" s="251"/>
      <c r="R268" s="645">
        <v>17.5</v>
      </c>
    </row>
    <row r="269" spans="1:18">
      <c r="A269" s="272"/>
      <c r="B269" s="248"/>
      <c r="C269" s="249"/>
      <c r="D269" s="269" t="s">
        <v>1337</v>
      </c>
      <c r="E269" s="249"/>
      <c r="F269" s="666">
        <v>-7</v>
      </c>
      <c r="G269" s="249"/>
      <c r="H269" s="645">
        <v>3.8200000000000003</v>
      </c>
      <c r="I269" s="251"/>
      <c r="J269" s="645">
        <v>3.5700000000000003</v>
      </c>
      <c r="K269" s="251"/>
      <c r="L269" s="645">
        <v>0.25</v>
      </c>
      <c r="M269" s="251"/>
      <c r="N269" s="251">
        <v>0</v>
      </c>
      <c r="O269" s="251"/>
      <c r="P269" s="251" t="s">
        <v>1351</v>
      </c>
      <c r="Q269" s="251"/>
      <c r="R269" s="645">
        <v>17.5</v>
      </c>
    </row>
    <row r="270" spans="1:18">
      <c r="A270" s="272"/>
      <c r="B270" s="248"/>
      <c r="C270" s="249"/>
      <c r="D270" s="269" t="s">
        <v>1338</v>
      </c>
      <c r="E270" s="249"/>
      <c r="F270" s="666">
        <v>-7</v>
      </c>
      <c r="G270" s="249"/>
      <c r="H270" s="645">
        <v>3.83</v>
      </c>
      <c r="I270" s="251"/>
      <c r="J270" s="645">
        <v>3.58</v>
      </c>
      <c r="K270" s="251"/>
      <c r="L270" s="645">
        <v>0.25</v>
      </c>
      <c r="M270" s="251"/>
      <c r="N270" s="251">
        <v>0</v>
      </c>
      <c r="O270" s="251"/>
      <c r="P270" s="251" t="s">
        <v>1351</v>
      </c>
      <c r="Q270" s="251"/>
      <c r="R270" s="645">
        <v>17.5</v>
      </c>
    </row>
    <row r="271" spans="1:18">
      <c r="A271" s="272"/>
      <c r="B271" s="248"/>
      <c r="C271" s="249"/>
      <c r="D271" s="269" t="s">
        <v>1352</v>
      </c>
      <c r="E271" s="249"/>
      <c r="F271" s="666">
        <v>-7</v>
      </c>
      <c r="G271" s="249"/>
      <c r="H271" s="645">
        <v>3.53</v>
      </c>
      <c r="I271" s="251"/>
      <c r="J271" s="645">
        <v>3.3000000000000003</v>
      </c>
      <c r="K271" s="251"/>
      <c r="L271" s="645">
        <v>0.22999999999999998</v>
      </c>
      <c r="M271" s="251"/>
      <c r="N271" s="251">
        <v>0</v>
      </c>
      <c r="O271" s="251"/>
      <c r="P271" s="251" t="s">
        <v>1351</v>
      </c>
      <c r="Q271" s="251"/>
      <c r="R271" s="645">
        <v>17.399999999999999</v>
      </c>
    </row>
    <row r="272" spans="1:18">
      <c r="A272" s="272"/>
      <c r="B272" s="248"/>
      <c r="C272" s="249"/>
      <c r="D272" s="266" t="s">
        <v>2286</v>
      </c>
      <c r="E272" s="249"/>
      <c r="F272" s="666">
        <v>-12</v>
      </c>
      <c r="G272" s="249"/>
      <c r="H272" s="645">
        <v>3.1</v>
      </c>
      <c r="I272" s="251"/>
      <c r="J272" s="645">
        <v>2.77</v>
      </c>
      <c r="K272" s="251"/>
      <c r="L272" s="645">
        <v>0.33</v>
      </c>
      <c r="M272" s="251"/>
      <c r="N272" s="251">
        <v>0</v>
      </c>
      <c r="O272" s="251"/>
      <c r="P272" s="251" t="s">
        <v>1351</v>
      </c>
      <c r="Q272" s="251"/>
      <c r="R272" s="645">
        <v>35.6</v>
      </c>
    </row>
    <row r="273" spans="1:18">
      <c r="A273" s="272"/>
      <c r="B273" s="248"/>
      <c r="C273" s="249"/>
      <c r="D273" s="269" t="s">
        <v>2288</v>
      </c>
      <c r="E273" s="249"/>
      <c r="F273" s="666">
        <v>-12</v>
      </c>
      <c r="G273" s="249"/>
      <c r="H273" s="645">
        <v>3.1</v>
      </c>
      <c r="I273" s="251"/>
      <c r="J273" s="645">
        <v>2.77</v>
      </c>
      <c r="K273" s="251"/>
      <c r="L273" s="645">
        <v>0.33</v>
      </c>
      <c r="M273" s="251"/>
      <c r="N273" s="251">
        <v>0</v>
      </c>
      <c r="O273" s="251"/>
      <c r="P273" s="251" t="s">
        <v>1351</v>
      </c>
      <c r="Q273" s="251"/>
      <c r="R273" s="645">
        <v>35.6</v>
      </c>
    </row>
    <row r="274" spans="1:18">
      <c r="A274" s="272"/>
      <c r="B274" s="248"/>
      <c r="C274" s="249"/>
      <c r="D274" s="269" t="s">
        <v>2549</v>
      </c>
      <c r="E274" s="249"/>
      <c r="F274" s="666">
        <v>-12</v>
      </c>
      <c r="G274" s="249"/>
      <c r="H274" s="645">
        <v>3.1</v>
      </c>
      <c r="I274" s="251"/>
      <c r="J274" s="645">
        <v>2.77</v>
      </c>
      <c r="K274" s="251"/>
      <c r="L274" s="645">
        <v>0.33</v>
      </c>
      <c r="M274" s="251"/>
      <c r="N274" s="251">
        <v>0</v>
      </c>
      <c r="O274" s="251"/>
      <c r="P274" s="251" t="s">
        <v>1351</v>
      </c>
      <c r="Q274" s="251"/>
      <c r="R274" s="645">
        <v>14.7</v>
      </c>
    </row>
    <row r="275" spans="1:18">
      <c r="A275" s="272"/>
      <c r="B275" s="248"/>
      <c r="C275" s="249"/>
      <c r="D275" s="249"/>
      <c r="E275" s="249"/>
      <c r="F275" s="250"/>
      <c r="G275" s="249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</row>
    <row r="276" spans="1:18">
      <c r="A276" s="272">
        <v>342</v>
      </c>
      <c r="B276" s="248"/>
      <c r="C276" s="249"/>
      <c r="D276" s="254" t="s">
        <v>1353</v>
      </c>
      <c r="E276" s="249"/>
      <c r="F276" s="277" t="s">
        <v>2313</v>
      </c>
      <c r="G276" s="249"/>
      <c r="H276" s="251">
        <v>3.27</v>
      </c>
      <c r="I276" s="251"/>
      <c r="J276" s="251"/>
      <c r="K276" s="251"/>
      <c r="L276" s="251"/>
      <c r="M276" s="251"/>
      <c r="N276" s="251"/>
      <c r="O276" s="251"/>
      <c r="P276" s="251" t="str">
        <f>P274</f>
        <v>45-R2.5</v>
      </c>
      <c r="Q276" s="251"/>
      <c r="R276" s="251">
        <v>31.3</v>
      </c>
    </row>
    <row r="277" spans="1:18">
      <c r="A277" s="272"/>
      <c r="B277" s="248"/>
      <c r="C277" s="249"/>
      <c r="D277" s="249"/>
      <c r="E277" s="249"/>
      <c r="F277" s="250"/>
      <c r="G277" s="249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</row>
    <row r="278" spans="1:18">
      <c r="A278" s="272"/>
      <c r="B278" s="248">
        <v>343</v>
      </c>
      <c r="C278" s="249"/>
      <c r="D278" s="249" t="s">
        <v>1354</v>
      </c>
      <c r="E278" s="249"/>
      <c r="F278" s="250"/>
      <c r="G278" s="249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</row>
    <row r="279" spans="1:18">
      <c r="A279" s="272"/>
      <c r="B279" s="248"/>
      <c r="C279" s="249"/>
      <c r="D279" s="269" t="s">
        <v>1345</v>
      </c>
      <c r="E279" s="249"/>
      <c r="F279" s="666">
        <v>-7</v>
      </c>
      <c r="G279" s="249"/>
      <c r="H279" s="251">
        <v>4.9399999999999995</v>
      </c>
      <c r="I279" s="251"/>
      <c r="J279" s="251">
        <v>4.62</v>
      </c>
      <c r="K279" s="251"/>
      <c r="L279" s="251">
        <v>0.37</v>
      </c>
      <c r="M279" s="251"/>
      <c r="N279" s="251">
        <v>-0.05</v>
      </c>
      <c r="O279" s="251"/>
      <c r="P279" s="644" t="s">
        <v>1355</v>
      </c>
      <c r="Q279" s="251"/>
      <c r="R279" s="645">
        <v>13.8</v>
      </c>
    </row>
    <row r="280" spans="1:18">
      <c r="A280" s="272"/>
      <c r="B280" s="248"/>
      <c r="C280" s="249"/>
      <c r="D280" s="269" t="s">
        <v>1346</v>
      </c>
      <c r="E280" s="249"/>
      <c r="F280" s="666">
        <v>-7</v>
      </c>
      <c r="G280" s="249"/>
      <c r="H280" s="251">
        <v>4.82</v>
      </c>
      <c r="I280" s="251"/>
      <c r="J280" s="251">
        <v>4.51</v>
      </c>
      <c r="K280" s="251"/>
      <c r="L280" s="251">
        <v>0.36</v>
      </c>
      <c r="M280" s="251"/>
      <c r="N280" s="251">
        <v>-0.05</v>
      </c>
      <c r="O280" s="251"/>
      <c r="P280" s="644" t="s">
        <v>1355</v>
      </c>
      <c r="Q280" s="251"/>
      <c r="R280" s="645">
        <v>9.6</v>
      </c>
    </row>
    <row r="281" spans="1:18">
      <c r="A281" s="272"/>
      <c r="B281" s="248"/>
      <c r="C281" s="249"/>
      <c r="D281" s="269" t="s">
        <v>1340</v>
      </c>
      <c r="E281" s="249"/>
      <c r="F281" s="666">
        <v>-7</v>
      </c>
      <c r="G281" s="249"/>
      <c r="H281" s="251">
        <v>4.41</v>
      </c>
      <c r="I281" s="251"/>
      <c r="J281" s="251">
        <v>4.12</v>
      </c>
      <c r="K281" s="251"/>
      <c r="L281" s="251">
        <v>0.33</v>
      </c>
      <c r="M281" s="251"/>
      <c r="N281" s="251">
        <v>-0.04</v>
      </c>
      <c r="O281" s="251"/>
      <c r="P281" s="644" t="s">
        <v>1355</v>
      </c>
      <c r="Q281" s="251"/>
      <c r="R281" s="645">
        <v>13.8</v>
      </c>
    </row>
    <row r="282" spans="1:18">
      <c r="A282" s="272"/>
      <c r="B282" s="248"/>
      <c r="C282" s="249"/>
      <c r="D282" s="269" t="s">
        <v>1341</v>
      </c>
      <c r="E282" s="249"/>
      <c r="F282" s="666">
        <v>-7</v>
      </c>
      <c r="G282" s="249"/>
      <c r="H282" s="251">
        <v>5.42</v>
      </c>
      <c r="I282" s="251"/>
      <c r="J282" s="251">
        <v>5.0599999999999996</v>
      </c>
      <c r="K282" s="251"/>
      <c r="L282" s="251">
        <v>0.41000000000000003</v>
      </c>
      <c r="M282" s="251"/>
      <c r="N282" s="251">
        <v>-0.05</v>
      </c>
      <c r="O282" s="251"/>
      <c r="P282" s="644" t="s">
        <v>1355</v>
      </c>
      <c r="Q282" s="251"/>
      <c r="R282" s="645">
        <v>12.2</v>
      </c>
    </row>
    <row r="283" spans="1:18">
      <c r="A283" s="272"/>
      <c r="B283" s="248"/>
      <c r="C283" s="249"/>
      <c r="D283" s="269" t="s">
        <v>1342</v>
      </c>
      <c r="E283" s="249"/>
      <c r="F283" s="666">
        <v>-7</v>
      </c>
      <c r="G283" s="249"/>
      <c r="H283" s="251">
        <v>5.28</v>
      </c>
      <c r="I283" s="251"/>
      <c r="J283" s="251">
        <v>4.9399999999999995</v>
      </c>
      <c r="K283" s="251"/>
      <c r="L283" s="251">
        <v>0.38999999999999996</v>
      </c>
      <c r="M283" s="251"/>
      <c r="N283" s="251">
        <v>-0.05</v>
      </c>
      <c r="O283" s="251"/>
      <c r="P283" s="644" t="s">
        <v>1355</v>
      </c>
      <c r="Q283" s="251"/>
      <c r="R283" s="645">
        <v>12.2</v>
      </c>
    </row>
    <row r="284" spans="1:18">
      <c r="A284" s="272"/>
      <c r="B284" s="248"/>
      <c r="C284" s="249"/>
      <c r="D284" s="269" t="s">
        <v>1343</v>
      </c>
      <c r="E284" s="249"/>
      <c r="F284" s="666">
        <v>-7</v>
      </c>
      <c r="G284" s="249"/>
      <c r="H284" s="251">
        <v>5.81</v>
      </c>
      <c r="I284" s="251"/>
      <c r="J284" s="251">
        <v>5.43</v>
      </c>
      <c r="K284" s="251"/>
      <c r="L284" s="251">
        <v>0.43</v>
      </c>
      <c r="M284" s="251"/>
      <c r="N284" s="251">
        <v>-0.05</v>
      </c>
      <c r="O284" s="251"/>
      <c r="P284" s="644" t="s">
        <v>1355</v>
      </c>
      <c r="Q284" s="251"/>
      <c r="R284" s="645">
        <v>8.8000000000000007</v>
      </c>
    </row>
    <row r="285" spans="1:18">
      <c r="A285" s="272"/>
      <c r="B285" s="248"/>
      <c r="C285" s="249"/>
      <c r="D285" s="269" t="s">
        <v>1344</v>
      </c>
      <c r="E285" s="249"/>
      <c r="F285" s="666">
        <v>-7</v>
      </c>
      <c r="G285" s="249"/>
      <c r="H285" s="251">
        <v>4.74</v>
      </c>
      <c r="I285" s="251"/>
      <c r="J285" s="251">
        <v>4.43</v>
      </c>
      <c r="K285" s="251"/>
      <c r="L285" s="251">
        <v>0.35000000000000003</v>
      </c>
      <c r="M285" s="251"/>
      <c r="N285" s="251">
        <v>-0.04</v>
      </c>
      <c r="O285" s="251"/>
      <c r="P285" s="644" t="s">
        <v>1355</v>
      </c>
      <c r="Q285" s="251"/>
      <c r="R285" s="645">
        <v>13.6</v>
      </c>
    </row>
    <row r="286" spans="1:18">
      <c r="A286" s="272"/>
      <c r="B286" s="248"/>
      <c r="C286" s="249"/>
      <c r="D286" s="269" t="s">
        <v>1348</v>
      </c>
      <c r="E286" s="249"/>
      <c r="F286" s="666">
        <v>-6</v>
      </c>
      <c r="G286" s="249"/>
      <c r="H286" s="251">
        <v>5.53</v>
      </c>
      <c r="I286" s="251"/>
      <c r="J286" s="251">
        <v>5.21</v>
      </c>
      <c r="K286" s="251"/>
      <c r="L286" s="251">
        <v>0.37</v>
      </c>
      <c r="M286" s="251"/>
      <c r="N286" s="251">
        <v>-0.05</v>
      </c>
      <c r="O286" s="251"/>
      <c r="P286" s="644" t="s">
        <v>1355</v>
      </c>
      <c r="Q286" s="251"/>
      <c r="R286" s="645">
        <v>13.9</v>
      </c>
    </row>
    <row r="287" spans="1:18">
      <c r="A287" s="274"/>
      <c r="B287" s="255"/>
      <c r="C287" s="249"/>
      <c r="D287" s="269" t="s">
        <v>1339</v>
      </c>
      <c r="E287" s="249"/>
      <c r="F287" s="666">
        <v>-7</v>
      </c>
      <c r="G287" s="249"/>
      <c r="H287" s="251">
        <v>4.49</v>
      </c>
      <c r="I287" s="251"/>
      <c r="J287" s="251">
        <v>4.1900000000000004</v>
      </c>
      <c r="K287" s="251"/>
      <c r="L287" s="251">
        <v>0.33999999999999997</v>
      </c>
      <c r="M287" s="251"/>
      <c r="N287" s="251">
        <v>-0.04</v>
      </c>
      <c r="O287" s="251"/>
      <c r="P287" s="644" t="s">
        <v>1355</v>
      </c>
      <c r="Q287" s="251"/>
      <c r="R287" s="645">
        <v>16.399999999999999</v>
      </c>
    </row>
    <row r="288" spans="1:18">
      <c r="A288" s="272"/>
      <c r="B288" s="248"/>
      <c r="C288" s="249"/>
      <c r="D288" s="269" t="s">
        <v>1334</v>
      </c>
      <c r="E288" s="249"/>
      <c r="F288" s="666">
        <v>-7</v>
      </c>
      <c r="G288" s="249"/>
      <c r="H288" s="251">
        <v>4.58</v>
      </c>
      <c r="I288" s="251"/>
      <c r="J288" s="251">
        <v>4.2799999999999994</v>
      </c>
      <c r="K288" s="251"/>
      <c r="L288" s="251">
        <v>0.33999999999999997</v>
      </c>
      <c r="M288" s="251"/>
      <c r="N288" s="251">
        <v>-0.04</v>
      </c>
      <c r="O288" s="251"/>
      <c r="P288" s="644" t="s">
        <v>1355</v>
      </c>
      <c r="Q288" s="251"/>
      <c r="R288" s="645">
        <v>14.7</v>
      </c>
    </row>
    <row r="289" spans="1:19">
      <c r="A289" s="272"/>
      <c r="B289" s="248"/>
      <c r="C289" s="249"/>
      <c r="D289" s="269" t="s">
        <v>1335</v>
      </c>
      <c r="E289" s="249"/>
      <c r="F289" s="666">
        <v>-7</v>
      </c>
      <c r="G289" s="249"/>
      <c r="H289" s="251">
        <v>4.5000000000000009</v>
      </c>
      <c r="I289" s="251"/>
      <c r="J289" s="251">
        <v>4.2</v>
      </c>
      <c r="K289" s="251"/>
      <c r="L289" s="251">
        <v>0.33999999999999997</v>
      </c>
      <c r="M289" s="251"/>
      <c r="N289" s="251">
        <v>-0.04</v>
      </c>
      <c r="O289" s="251"/>
      <c r="P289" s="644" t="s">
        <v>1355</v>
      </c>
      <c r="Q289" s="251"/>
      <c r="R289" s="645">
        <v>14.6</v>
      </c>
    </row>
    <row r="290" spans="1:19">
      <c r="A290" s="272"/>
      <c r="B290" s="248"/>
      <c r="C290" s="249"/>
      <c r="D290" s="269" t="s">
        <v>1336</v>
      </c>
      <c r="E290" s="249"/>
      <c r="F290" s="666">
        <v>-7</v>
      </c>
      <c r="G290" s="249"/>
      <c r="H290" s="251">
        <v>4.5200000000000005</v>
      </c>
      <c r="I290" s="251"/>
      <c r="J290" s="251">
        <v>4.22</v>
      </c>
      <c r="K290" s="251"/>
      <c r="L290" s="251">
        <v>0.33999999999999997</v>
      </c>
      <c r="M290" s="251"/>
      <c r="N290" s="251">
        <v>-0.04</v>
      </c>
      <c r="O290" s="251"/>
      <c r="P290" s="644" t="s">
        <v>1355</v>
      </c>
      <c r="Q290" s="251"/>
      <c r="R290" s="645">
        <v>16.399999999999999</v>
      </c>
      <c r="S290" s="240"/>
    </row>
    <row r="291" spans="1:19">
      <c r="A291" s="272"/>
      <c r="B291" s="248"/>
      <c r="C291" s="249"/>
      <c r="D291" s="269" t="s">
        <v>1337</v>
      </c>
      <c r="E291" s="249"/>
      <c r="F291" s="666">
        <v>-7</v>
      </c>
      <c r="G291" s="249"/>
      <c r="H291" s="251">
        <v>4.57</v>
      </c>
      <c r="I291" s="251"/>
      <c r="J291" s="251">
        <v>4.2700000000000005</v>
      </c>
      <c r="K291" s="251"/>
      <c r="L291" s="251">
        <v>0.33999999999999997</v>
      </c>
      <c r="M291" s="251"/>
      <c r="N291" s="251">
        <v>-0.04</v>
      </c>
      <c r="O291" s="251"/>
      <c r="P291" s="644" t="s">
        <v>1355</v>
      </c>
      <c r="Q291" s="251"/>
      <c r="R291" s="645">
        <v>16.399999999999999</v>
      </c>
      <c r="S291" s="240"/>
    </row>
    <row r="292" spans="1:19">
      <c r="A292" s="272"/>
      <c r="B292" s="248"/>
      <c r="C292" s="249"/>
      <c r="D292" s="269" t="s">
        <v>1338</v>
      </c>
      <c r="E292" s="249"/>
      <c r="F292" s="666">
        <v>-7</v>
      </c>
      <c r="G292" s="249"/>
      <c r="H292" s="251">
        <v>4.4799999999999995</v>
      </c>
      <c r="I292" s="251"/>
      <c r="J292" s="251">
        <v>4.1900000000000004</v>
      </c>
      <c r="K292" s="251"/>
      <c r="L292" s="251">
        <v>0.33</v>
      </c>
      <c r="M292" s="251"/>
      <c r="N292" s="251">
        <v>-0.04</v>
      </c>
      <c r="O292" s="251"/>
      <c r="P292" s="644" t="s">
        <v>1355</v>
      </c>
      <c r="Q292" s="251"/>
      <c r="R292" s="645">
        <v>16.3</v>
      </c>
      <c r="S292" s="240"/>
    </row>
    <row r="293" spans="1:19">
      <c r="A293" s="272"/>
      <c r="B293" s="248"/>
      <c r="C293" s="249"/>
      <c r="D293" s="269" t="s">
        <v>2286</v>
      </c>
      <c r="E293" s="249"/>
      <c r="F293" s="666">
        <v>-12</v>
      </c>
      <c r="G293" s="249"/>
      <c r="H293" s="251">
        <v>3.5699999999999994</v>
      </c>
      <c r="I293" s="251"/>
      <c r="J293" s="251">
        <v>3.19</v>
      </c>
      <c r="K293" s="251"/>
      <c r="L293" s="251">
        <v>0.41000000000000003</v>
      </c>
      <c r="M293" s="251"/>
      <c r="N293" s="251">
        <v>-0.03</v>
      </c>
      <c r="O293" s="251"/>
      <c r="P293" s="644" t="s">
        <v>1355</v>
      </c>
      <c r="Q293" s="251"/>
      <c r="R293" s="645">
        <v>30.9</v>
      </c>
      <c r="S293" s="240"/>
    </row>
    <row r="294" spans="1:19">
      <c r="A294" s="272"/>
      <c r="B294" s="248"/>
      <c r="C294" s="249"/>
      <c r="D294" s="249"/>
      <c r="E294" s="249"/>
      <c r="F294" s="250"/>
      <c r="G294" s="249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40"/>
    </row>
    <row r="295" spans="1:19">
      <c r="A295" s="272">
        <v>343</v>
      </c>
      <c r="B295" s="248"/>
      <c r="C295" s="249"/>
      <c r="D295" s="254" t="s">
        <v>1356</v>
      </c>
      <c r="E295" s="249"/>
      <c r="F295" s="277" t="s">
        <v>2314</v>
      </c>
      <c r="G295" s="249"/>
      <c r="H295" s="251">
        <v>4.63</v>
      </c>
      <c r="I295" s="251"/>
      <c r="J295" s="251"/>
      <c r="K295" s="251"/>
      <c r="L295" s="251"/>
      <c r="M295" s="251"/>
      <c r="N295" s="251"/>
      <c r="O295" s="251"/>
      <c r="P295" s="251" t="str">
        <f>P293</f>
        <v>35-R1.5</v>
      </c>
      <c r="Q295" s="251"/>
      <c r="R295" s="251">
        <v>16</v>
      </c>
      <c r="S295" s="240"/>
    </row>
    <row r="296" spans="1:19">
      <c r="A296" s="272"/>
      <c r="B296" s="248"/>
      <c r="C296" s="249"/>
      <c r="D296" s="249"/>
      <c r="E296" s="249"/>
      <c r="F296" s="250"/>
      <c r="G296" s="249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40"/>
    </row>
    <row r="297" spans="1:19">
      <c r="A297" s="272"/>
      <c r="B297" s="248">
        <v>344</v>
      </c>
      <c r="C297" s="249"/>
      <c r="D297" s="249" t="s">
        <v>1357</v>
      </c>
      <c r="E297" s="249"/>
      <c r="F297" s="250"/>
      <c r="G297" s="249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40"/>
    </row>
    <row r="298" spans="1:19">
      <c r="A298" s="272"/>
      <c r="B298" s="248"/>
      <c r="C298" s="249"/>
      <c r="D298" s="669" t="s">
        <v>1345</v>
      </c>
      <c r="E298" s="249"/>
      <c r="F298" s="666">
        <v>-7</v>
      </c>
      <c r="G298" s="249"/>
      <c r="H298" s="645">
        <v>2.94</v>
      </c>
      <c r="I298" s="251"/>
      <c r="J298" s="645">
        <v>2.74</v>
      </c>
      <c r="K298" s="251"/>
      <c r="L298" s="645">
        <v>0.25</v>
      </c>
      <c r="M298" s="251"/>
      <c r="N298" s="645">
        <v>-0.05</v>
      </c>
      <c r="O298" s="251"/>
      <c r="P298" s="644" t="s">
        <v>2289</v>
      </c>
      <c r="Q298" s="251"/>
      <c r="R298" s="645">
        <v>14.9</v>
      </c>
      <c r="S298" s="258"/>
    </row>
    <row r="299" spans="1:19">
      <c r="A299" s="272"/>
      <c r="B299" s="248"/>
      <c r="C299" s="249"/>
      <c r="D299" s="669" t="s">
        <v>1346</v>
      </c>
      <c r="E299" s="249"/>
      <c r="F299" s="666">
        <v>-7</v>
      </c>
      <c r="G299" s="249"/>
      <c r="H299" s="645">
        <v>5.55</v>
      </c>
      <c r="I299" s="251"/>
      <c r="J299" s="645">
        <v>5.18</v>
      </c>
      <c r="K299" s="251"/>
      <c r="L299" s="645">
        <v>0.47000000000000003</v>
      </c>
      <c r="M299" s="251"/>
      <c r="N299" s="645">
        <v>-0.1</v>
      </c>
      <c r="O299" s="251"/>
      <c r="P299" s="644" t="s">
        <v>2289</v>
      </c>
      <c r="Q299" s="251"/>
      <c r="R299" s="645">
        <v>10.4</v>
      </c>
      <c r="S299" s="258"/>
    </row>
    <row r="300" spans="1:19">
      <c r="A300" s="272"/>
      <c r="B300" s="248"/>
      <c r="C300" s="249"/>
      <c r="D300" s="669" t="s">
        <v>1340</v>
      </c>
      <c r="E300" s="249"/>
      <c r="F300" s="666">
        <v>-7</v>
      </c>
      <c r="G300" s="249"/>
      <c r="H300" s="645">
        <v>3.9799999999999995</v>
      </c>
      <c r="I300" s="251"/>
      <c r="J300" s="645">
        <v>3.7199999999999998</v>
      </c>
      <c r="K300" s="251"/>
      <c r="L300" s="645">
        <v>0.33</v>
      </c>
      <c r="M300" s="251"/>
      <c r="N300" s="645">
        <v>-6.9999999999999993E-2</v>
      </c>
      <c r="O300" s="251"/>
      <c r="P300" s="644" t="s">
        <v>2289</v>
      </c>
      <c r="Q300" s="251"/>
      <c r="R300" s="645">
        <v>15.2</v>
      </c>
      <c r="S300" s="258"/>
    </row>
    <row r="301" spans="1:19">
      <c r="A301" s="272"/>
      <c r="B301" s="248"/>
      <c r="C301" s="249"/>
      <c r="D301" s="669" t="s">
        <v>1341</v>
      </c>
      <c r="E301" s="249"/>
      <c r="F301" s="666">
        <v>-7</v>
      </c>
      <c r="G301" s="249"/>
      <c r="H301" s="645">
        <v>4.0199999999999996</v>
      </c>
      <c r="I301" s="251"/>
      <c r="J301" s="645">
        <v>3.7600000000000002</v>
      </c>
      <c r="K301" s="251"/>
      <c r="L301" s="645">
        <v>0.33999999999999997</v>
      </c>
      <c r="M301" s="251"/>
      <c r="N301" s="645">
        <v>-0.08</v>
      </c>
      <c r="O301" s="251"/>
      <c r="P301" s="644" t="s">
        <v>2289</v>
      </c>
      <c r="Q301" s="251"/>
      <c r="R301" s="645">
        <v>13.3</v>
      </c>
      <c r="S301" s="258"/>
    </row>
    <row r="302" spans="1:19">
      <c r="A302" s="272"/>
      <c r="B302" s="248"/>
      <c r="C302" s="249"/>
      <c r="D302" s="669" t="s">
        <v>1342</v>
      </c>
      <c r="E302" s="249"/>
      <c r="F302" s="666">
        <v>-7</v>
      </c>
      <c r="G302" s="249"/>
      <c r="H302" s="645">
        <v>4.0799999999999992</v>
      </c>
      <c r="I302" s="251"/>
      <c r="J302" s="645">
        <v>3.82</v>
      </c>
      <c r="K302" s="251"/>
      <c r="L302" s="645">
        <v>0.33999999999999997</v>
      </c>
      <c r="M302" s="251"/>
      <c r="N302" s="645">
        <v>-0.08</v>
      </c>
      <c r="O302" s="251"/>
      <c r="P302" s="644" t="s">
        <v>2289</v>
      </c>
      <c r="Q302" s="251"/>
      <c r="R302" s="645">
        <v>13.3</v>
      </c>
      <c r="S302" s="258"/>
    </row>
    <row r="303" spans="1:19">
      <c r="A303" s="272"/>
      <c r="B303" s="248"/>
      <c r="C303" s="249"/>
      <c r="D303" s="669" t="s">
        <v>1343</v>
      </c>
      <c r="E303" s="249"/>
      <c r="F303" s="666">
        <v>-7</v>
      </c>
      <c r="G303" s="249"/>
      <c r="H303" s="645">
        <v>4.04</v>
      </c>
      <c r="I303" s="251"/>
      <c r="J303" s="645">
        <v>3.7800000000000002</v>
      </c>
      <c r="K303" s="251"/>
      <c r="L303" s="645">
        <v>0.33999999999999997</v>
      </c>
      <c r="M303" s="251"/>
      <c r="N303" s="645">
        <v>-0.08</v>
      </c>
      <c r="O303" s="251"/>
      <c r="P303" s="644" t="s">
        <v>2289</v>
      </c>
      <c r="Q303" s="251"/>
      <c r="R303" s="645">
        <v>9.3000000000000007</v>
      </c>
      <c r="S303" s="249"/>
    </row>
    <row r="304" spans="1:19">
      <c r="A304" s="272"/>
      <c r="B304" s="248"/>
      <c r="C304" s="249"/>
      <c r="D304" s="669" t="s">
        <v>1344</v>
      </c>
      <c r="E304" s="249"/>
      <c r="F304" s="666">
        <v>-7</v>
      </c>
      <c r="G304" s="249"/>
      <c r="H304" s="645">
        <v>2.77</v>
      </c>
      <c r="I304" s="251"/>
      <c r="J304" s="645">
        <v>2.59</v>
      </c>
      <c r="K304" s="251"/>
      <c r="L304" s="645">
        <v>0.22999999999999998</v>
      </c>
      <c r="M304" s="251"/>
      <c r="N304" s="645">
        <v>-0.05</v>
      </c>
      <c r="O304" s="251"/>
      <c r="P304" s="644" t="s">
        <v>2289</v>
      </c>
      <c r="Q304" s="251"/>
      <c r="R304" s="645">
        <v>14.8</v>
      </c>
      <c r="S304" s="249"/>
    </row>
    <row r="305" spans="1:19">
      <c r="A305" s="272"/>
      <c r="B305" s="248"/>
      <c r="C305" s="249"/>
      <c r="D305" s="670" t="s">
        <v>2546</v>
      </c>
      <c r="E305" s="249"/>
      <c r="F305" s="666">
        <v>-5</v>
      </c>
      <c r="G305" s="249"/>
      <c r="H305" s="645">
        <v>4.6100000000000003</v>
      </c>
      <c r="I305" s="251"/>
      <c r="J305" s="645">
        <v>4.3900000000000006</v>
      </c>
      <c r="K305" s="251"/>
      <c r="L305" s="645">
        <v>0.26</v>
      </c>
      <c r="M305" s="251"/>
      <c r="N305" s="645">
        <v>-0.04</v>
      </c>
      <c r="O305" s="251"/>
      <c r="P305" s="644" t="s">
        <v>2550</v>
      </c>
      <c r="Q305" s="251"/>
      <c r="R305" s="645">
        <v>30</v>
      </c>
      <c r="S305" s="249"/>
    </row>
    <row r="306" spans="1:19">
      <c r="A306" s="272"/>
      <c r="B306" s="248"/>
      <c r="C306" s="249"/>
      <c r="D306" s="669" t="s">
        <v>1347</v>
      </c>
      <c r="E306" s="249"/>
      <c r="F306" s="666">
        <v>-10</v>
      </c>
      <c r="G306" s="249"/>
      <c r="H306" s="645">
        <v>5.37</v>
      </c>
      <c r="I306" s="251"/>
      <c r="J306" s="645">
        <v>4.88</v>
      </c>
      <c r="K306" s="251"/>
      <c r="L306" s="645">
        <v>0.59</v>
      </c>
      <c r="M306" s="251"/>
      <c r="N306" s="645">
        <v>-0.1</v>
      </c>
      <c r="O306" s="251"/>
      <c r="P306" s="644" t="s">
        <v>2289</v>
      </c>
      <c r="Q306" s="251"/>
      <c r="R306" s="645">
        <v>4.2</v>
      </c>
      <c r="S306" s="249"/>
    </row>
    <row r="307" spans="1:19">
      <c r="A307" s="272"/>
      <c r="B307" s="248"/>
      <c r="C307" s="249"/>
      <c r="D307" s="669" t="s">
        <v>1348</v>
      </c>
      <c r="E307" s="249"/>
      <c r="F307" s="666">
        <v>-6</v>
      </c>
      <c r="G307" s="249"/>
      <c r="H307" s="645">
        <v>4.21</v>
      </c>
      <c r="I307" s="251"/>
      <c r="J307" s="645">
        <v>3.9699999999999998</v>
      </c>
      <c r="K307" s="251"/>
      <c r="L307" s="645">
        <v>0.32</v>
      </c>
      <c r="M307" s="251"/>
      <c r="N307" s="645">
        <v>-0.08</v>
      </c>
      <c r="O307" s="251"/>
      <c r="P307" s="644" t="s">
        <v>2289</v>
      </c>
      <c r="Q307" s="251"/>
      <c r="R307" s="645">
        <v>15.3</v>
      </c>
      <c r="S307" s="249"/>
    </row>
    <row r="308" spans="1:19">
      <c r="A308" s="272"/>
      <c r="B308" s="248"/>
      <c r="C308" s="249"/>
      <c r="D308" s="669" t="s">
        <v>1339</v>
      </c>
      <c r="E308" s="249"/>
      <c r="F308" s="666">
        <v>-7</v>
      </c>
      <c r="G308" s="249"/>
      <c r="H308" s="645">
        <v>3.7600000000000002</v>
      </c>
      <c r="I308" s="251"/>
      <c r="J308" s="645">
        <v>3.51</v>
      </c>
      <c r="K308" s="251"/>
      <c r="L308" s="645">
        <v>0.32</v>
      </c>
      <c r="M308" s="251"/>
      <c r="N308" s="645">
        <v>-6.9999999999999993E-2</v>
      </c>
      <c r="O308" s="251"/>
      <c r="P308" s="644" t="s">
        <v>2289</v>
      </c>
      <c r="Q308" s="251"/>
      <c r="R308" s="645">
        <v>18.2</v>
      </c>
      <c r="S308" s="258"/>
    </row>
    <row r="309" spans="1:19">
      <c r="A309" s="272"/>
      <c r="B309" s="248"/>
      <c r="C309" s="249"/>
      <c r="D309" s="669" t="s">
        <v>1334</v>
      </c>
      <c r="E309" s="249"/>
      <c r="F309" s="666">
        <v>-7</v>
      </c>
      <c r="G309" s="249"/>
      <c r="H309" s="645">
        <v>3.85</v>
      </c>
      <c r="I309" s="251"/>
      <c r="J309" s="645">
        <v>3.5999999999999996</v>
      </c>
      <c r="K309" s="251"/>
      <c r="L309" s="645">
        <v>0.32</v>
      </c>
      <c r="M309" s="251"/>
      <c r="N309" s="645">
        <v>-6.9999999999999993E-2</v>
      </c>
      <c r="O309" s="251"/>
      <c r="P309" s="644" t="s">
        <v>2289</v>
      </c>
      <c r="Q309" s="251"/>
      <c r="R309" s="645">
        <v>16.2</v>
      </c>
      <c r="S309" s="258"/>
    </row>
    <row r="310" spans="1:19">
      <c r="A310" s="272"/>
      <c r="B310" s="248"/>
      <c r="C310" s="249"/>
      <c r="D310" s="669" t="s">
        <v>1335</v>
      </c>
      <c r="E310" s="249"/>
      <c r="F310" s="666">
        <v>-7</v>
      </c>
      <c r="G310" s="249"/>
      <c r="H310" s="645">
        <v>3.85</v>
      </c>
      <c r="I310" s="251"/>
      <c r="J310" s="645">
        <v>3.5999999999999996</v>
      </c>
      <c r="K310" s="251"/>
      <c r="L310" s="645">
        <v>0.32</v>
      </c>
      <c r="M310" s="251"/>
      <c r="N310" s="645">
        <v>-6.9999999999999993E-2</v>
      </c>
      <c r="O310" s="251"/>
      <c r="P310" s="644" t="s">
        <v>2289</v>
      </c>
      <c r="Q310" s="251"/>
      <c r="R310" s="645">
        <v>16.2</v>
      </c>
      <c r="S310" s="258"/>
    </row>
    <row r="311" spans="1:19">
      <c r="A311" s="272"/>
      <c r="B311" s="248"/>
      <c r="C311" s="249"/>
      <c r="D311" s="669" t="s">
        <v>1336</v>
      </c>
      <c r="E311" s="249"/>
      <c r="F311" s="666">
        <v>-7</v>
      </c>
      <c r="G311" s="249"/>
      <c r="H311" s="645">
        <v>3.7500000000000004</v>
      </c>
      <c r="I311" s="251"/>
      <c r="J311" s="645">
        <v>3.5000000000000004</v>
      </c>
      <c r="K311" s="251"/>
      <c r="L311" s="645">
        <v>0.32</v>
      </c>
      <c r="M311" s="251"/>
      <c r="N311" s="645">
        <v>-6.9999999999999993E-2</v>
      </c>
      <c r="O311" s="251"/>
      <c r="P311" s="644" t="s">
        <v>2289</v>
      </c>
      <c r="Q311" s="251"/>
      <c r="R311" s="645">
        <v>18.2</v>
      </c>
      <c r="S311" s="258"/>
    </row>
    <row r="312" spans="1:19" s="292" customFormat="1">
      <c r="A312" s="272"/>
      <c r="B312" s="248"/>
      <c r="C312" s="239"/>
      <c r="D312" s="669" t="s">
        <v>1337</v>
      </c>
      <c r="E312" s="239"/>
      <c r="F312" s="666">
        <v>-7</v>
      </c>
      <c r="G312" s="239"/>
      <c r="H312" s="645">
        <v>3.7500000000000004</v>
      </c>
      <c r="I312" s="251"/>
      <c r="J312" s="645">
        <v>3.5000000000000004</v>
      </c>
      <c r="K312" s="251"/>
      <c r="L312" s="645">
        <v>0.32</v>
      </c>
      <c r="M312" s="251"/>
      <c r="N312" s="645">
        <v>-6.9999999999999993E-2</v>
      </c>
      <c r="O312" s="251"/>
      <c r="P312" s="644" t="s">
        <v>2289</v>
      </c>
      <c r="Q312" s="251"/>
      <c r="R312" s="645">
        <v>18.2</v>
      </c>
      <c r="S312" s="296"/>
    </row>
    <row r="313" spans="1:19" s="292" customFormat="1">
      <c r="A313" s="272"/>
      <c r="B313" s="248"/>
      <c r="C313" s="249"/>
      <c r="D313" s="669" t="s">
        <v>1338</v>
      </c>
      <c r="E313" s="249"/>
      <c r="F313" s="666">
        <v>-7</v>
      </c>
      <c r="G313" s="249"/>
      <c r="H313" s="645">
        <v>3.7600000000000002</v>
      </c>
      <c r="I313" s="251"/>
      <c r="J313" s="645">
        <v>3.51</v>
      </c>
      <c r="K313" s="251"/>
      <c r="L313" s="645">
        <v>0.32</v>
      </c>
      <c r="M313" s="251"/>
      <c r="N313" s="645">
        <v>-6.9999999999999993E-2</v>
      </c>
      <c r="O313" s="251"/>
      <c r="P313" s="644" t="s">
        <v>2289</v>
      </c>
      <c r="Q313" s="251"/>
      <c r="R313" s="645">
        <v>18.2</v>
      </c>
      <c r="S313" s="296"/>
    </row>
    <row r="314" spans="1:19" s="292" customFormat="1">
      <c r="A314" s="272"/>
      <c r="B314" s="248"/>
      <c r="C314" s="249"/>
      <c r="D314" s="671" t="s">
        <v>2286</v>
      </c>
      <c r="E314" s="249"/>
      <c r="F314" s="666">
        <v>-12</v>
      </c>
      <c r="G314" s="249"/>
      <c r="H314" s="645">
        <v>2.8899999999999997</v>
      </c>
      <c r="I314" s="251"/>
      <c r="J314" s="645">
        <v>2.58</v>
      </c>
      <c r="K314" s="251"/>
      <c r="L314" s="645">
        <v>0.36</v>
      </c>
      <c r="M314" s="251"/>
      <c r="N314" s="645">
        <v>-0.05</v>
      </c>
      <c r="O314" s="251"/>
      <c r="P314" s="644" t="s">
        <v>2289</v>
      </c>
      <c r="Q314" s="251"/>
      <c r="R314" s="645">
        <v>38.200000000000003</v>
      </c>
      <c r="S314" s="296"/>
    </row>
    <row r="315" spans="1:19" s="292" customFormat="1">
      <c r="A315" s="272"/>
      <c r="B315" s="248"/>
      <c r="C315" s="249"/>
      <c r="D315" s="249"/>
      <c r="E315" s="249"/>
      <c r="F315" s="250"/>
      <c r="G315" s="249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96"/>
    </row>
    <row r="316" spans="1:19" s="292" customFormat="1">
      <c r="A316" s="272">
        <v>344</v>
      </c>
      <c r="B316" s="248"/>
      <c r="C316" s="249"/>
      <c r="D316" s="254" t="s">
        <v>1358</v>
      </c>
      <c r="E316" s="249"/>
      <c r="F316" s="277" t="s">
        <v>2548</v>
      </c>
      <c r="G316" s="249"/>
      <c r="H316" s="251">
        <v>3.26</v>
      </c>
      <c r="I316" s="251"/>
      <c r="J316" s="251"/>
      <c r="K316" s="251"/>
      <c r="L316" s="251"/>
      <c r="M316" s="251"/>
      <c r="N316" s="251"/>
      <c r="O316" s="251"/>
      <c r="P316" s="251" t="str">
        <f>P314</f>
        <v>55-S2.5</v>
      </c>
      <c r="Q316" s="251"/>
      <c r="R316" s="251">
        <v>28</v>
      </c>
      <c r="S316" s="296"/>
    </row>
    <row r="317" spans="1:19" s="292" customFormat="1">
      <c r="A317" s="272"/>
      <c r="B317" s="248"/>
      <c r="C317" s="249"/>
      <c r="D317" s="249"/>
      <c r="E317" s="249"/>
      <c r="F317" s="250"/>
      <c r="G317" s="249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93"/>
    </row>
    <row r="318" spans="1:19" s="292" customFormat="1">
      <c r="A318" s="272"/>
      <c r="B318" s="248">
        <v>345</v>
      </c>
      <c r="C318" s="249"/>
      <c r="D318" s="249" t="s">
        <v>1359</v>
      </c>
      <c r="E318" s="249"/>
      <c r="F318" s="250"/>
      <c r="G318" s="249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96"/>
    </row>
    <row r="319" spans="1:19" s="292" customFormat="1">
      <c r="A319" s="272"/>
      <c r="B319" s="248"/>
      <c r="C319" s="249"/>
      <c r="D319" s="669" t="s">
        <v>1345</v>
      </c>
      <c r="E319" s="249"/>
      <c r="F319" s="666">
        <v>-7</v>
      </c>
      <c r="G319" s="249"/>
      <c r="H319" s="645">
        <v>3.7700000000000005</v>
      </c>
      <c r="I319" s="251"/>
      <c r="J319" s="645">
        <v>3.52</v>
      </c>
      <c r="K319" s="251"/>
      <c r="L319" s="645">
        <v>0.25</v>
      </c>
      <c r="M319" s="251"/>
      <c r="N319" s="251">
        <v>0</v>
      </c>
      <c r="O319" s="251"/>
      <c r="P319" s="644" t="s">
        <v>2290</v>
      </c>
      <c r="Q319" s="251"/>
      <c r="R319" s="645">
        <v>14.8</v>
      </c>
      <c r="S319" s="296"/>
    </row>
    <row r="320" spans="1:19">
      <c r="A320" s="272"/>
      <c r="B320" s="248"/>
      <c r="C320" s="249"/>
      <c r="D320" s="669" t="s">
        <v>1346</v>
      </c>
      <c r="E320" s="249"/>
      <c r="F320" s="666">
        <v>-7</v>
      </c>
      <c r="G320" s="249"/>
      <c r="H320" s="645">
        <v>4.92</v>
      </c>
      <c r="I320" s="251"/>
      <c r="J320" s="645">
        <v>4.5999999999999996</v>
      </c>
      <c r="K320" s="251"/>
      <c r="L320" s="645">
        <v>0.32</v>
      </c>
      <c r="M320" s="251"/>
      <c r="N320" s="251">
        <v>0</v>
      </c>
      <c r="O320" s="251"/>
      <c r="P320" s="644" t="s">
        <v>2290</v>
      </c>
      <c r="Q320" s="251"/>
      <c r="R320" s="645">
        <v>10.3</v>
      </c>
      <c r="S320" s="258"/>
    </row>
    <row r="321" spans="1:19">
      <c r="A321" s="272"/>
      <c r="B321" s="248"/>
      <c r="C321" s="249"/>
      <c r="D321" s="669" t="s">
        <v>1340</v>
      </c>
      <c r="E321" s="249"/>
      <c r="F321" s="666">
        <v>-7</v>
      </c>
      <c r="G321" s="249"/>
      <c r="H321" s="645">
        <v>4.2299999999999995</v>
      </c>
      <c r="I321" s="251"/>
      <c r="J321" s="645">
        <v>3.95</v>
      </c>
      <c r="K321" s="251"/>
      <c r="L321" s="645">
        <v>0.27999999999999997</v>
      </c>
      <c r="M321" s="251"/>
      <c r="N321" s="251">
        <v>0</v>
      </c>
      <c r="O321" s="251"/>
      <c r="P321" s="644" t="s">
        <v>2290</v>
      </c>
      <c r="Q321" s="251"/>
      <c r="R321" s="645">
        <v>15</v>
      </c>
      <c r="S321" s="258"/>
    </row>
    <row r="322" spans="1:19">
      <c r="A322" s="272"/>
      <c r="B322" s="248"/>
      <c r="C322" s="249"/>
      <c r="D322" s="669" t="s">
        <v>1341</v>
      </c>
      <c r="E322" s="249"/>
      <c r="F322" s="666">
        <v>-7</v>
      </c>
      <c r="G322" s="249"/>
      <c r="H322" s="645">
        <v>4.4400000000000004</v>
      </c>
      <c r="I322" s="251"/>
      <c r="J322" s="645">
        <v>4.1500000000000004</v>
      </c>
      <c r="K322" s="251"/>
      <c r="L322" s="645">
        <v>0.28999999999999998</v>
      </c>
      <c r="M322" s="251"/>
      <c r="N322" s="251">
        <v>0</v>
      </c>
      <c r="O322" s="251"/>
      <c r="P322" s="644" t="s">
        <v>2290</v>
      </c>
      <c r="Q322" s="251"/>
      <c r="R322" s="645">
        <v>13.1</v>
      </c>
      <c r="S322" s="258"/>
    </row>
    <row r="323" spans="1:19">
      <c r="A323" s="272"/>
      <c r="B323" s="248"/>
      <c r="C323" s="249"/>
      <c r="D323" s="669" t="s">
        <v>1342</v>
      </c>
      <c r="E323" s="249"/>
      <c r="F323" s="666">
        <v>-7</v>
      </c>
      <c r="G323" s="249"/>
      <c r="H323" s="645">
        <v>4.45</v>
      </c>
      <c r="I323" s="251"/>
      <c r="J323" s="645">
        <v>4.16</v>
      </c>
      <c r="K323" s="251"/>
      <c r="L323" s="645">
        <v>0.28999999999999998</v>
      </c>
      <c r="M323" s="251"/>
      <c r="N323" s="251">
        <v>0</v>
      </c>
      <c r="O323" s="251"/>
      <c r="P323" s="644" t="s">
        <v>2290</v>
      </c>
      <c r="Q323" s="251"/>
      <c r="R323" s="645">
        <v>13.1</v>
      </c>
      <c r="S323" s="249"/>
    </row>
    <row r="324" spans="1:19">
      <c r="A324" s="272"/>
      <c r="B324" s="248"/>
      <c r="C324" s="249"/>
      <c r="D324" s="669" t="s">
        <v>1343</v>
      </c>
      <c r="E324" s="249"/>
      <c r="F324" s="666">
        <v>-7</v>
      </c>
      <c r="G324" s="249"/>
      <c r="H324" s="645">
        <v>5.84</v>
      </c>
      <c r="I324" s="251"/>
      <c r="J324" s="645">
        <v>5.46</v>
      </c>
      <c r="K324" s="251"/>
      <c r="L324" s="645">
        <v>0.38</v>
      </c>
      <c r="M324" s="251"/>
      <c r="N324" s="251">
        <v>0</v>
      </c>
      <c r="O324" s="251"/>
      <c r="P324" s="644" t="s">
        <v>2290</v>
      </c>
      <c r="Q324" s="251"/>
      <c r="R324" s="645">
        <v>9.3000000000000007</v>
      </c>
      <c r="S324" s="249"/>
    </row>
    <row r="325" spans="1:19">
      <c r="A325" s="272"/>
      <c r="B325" s="248"/>
      <c r="C325" s="249"/>
      <c r="D325" s="669" t="s">
        <v>1344</v>
      </c>
      <c r="E325" s="249"/>
      <c r="F325" s="666">
        <v>-7</v>
      </c>
      <c r="G325" s="249"/>
      <c r="H325" s="645">
        <v>3.64</v>
      </c>
      <c r="I325" s="251"/>
      <c r="J325" s="645">
        <v>3.4000000000000004</v>
      </c>
      <c r="K325" s="251"/>
      <c r="L325" s="645">
        <v>0.24</v>
      </c>
      <c r="M325" s="251"/>
      <c r="N325" s="251">
        <v>0</v>
      </c>
      <c r="O325" s="251"/>
      <c r="P325" s="644" t="s">
        <v>2290</v>
      </c>
      <c r="Q325" s="251"/>
      <c r="R325" s="645">
        <v>14.8</v>
      </c>
      <c r="S325" s="249"/>
    </row>
    <row r="326" spans="1:19">
      <c r="A326" s="272"/>
      <c r="B326" s="248"/>
      <c r="C326" s="249"/>
      <c r="D326" s="670" t="s">
        <v>2546</v>
      </c>
      <c r="E326" s="249"/>
      <c r="F326" s="666">
        <v>-5</v>
      </c>
      <c r="G326" s="249"/>
      <c r="H326" s="645">
        <v>4.3600000000000003</v>
      </c>
      <c r="I326" s="251"/>
      <c r="J326" s="645">
        <v>4.1500000000000004</v>
      </c>
      <c r="K326" s="251"/>
      <c r="L326" s="645">
        <v>0.21</v>
      </c>
      <c r="M326" s="251"/>
      <c r="N326" s="251">
        <v>0</v>
      </c>
      <c r="O326" s="251"/>
      <c r="P326" s="644" t="s">
        <v>1351</v>
      </c>
      <c r="Q326" s="251"/>
      <c r="R326" s="645">
        <v>45</v>
      </c>
      <c r="S326" s="249"/>
    </row>
    <row r="327" spans="1:19">
      <c r="A327" s="272"/>
      <c r="B327" s="248"/>
      <c r="C327" s="249"/>
      <c r="D327" s="669" t="s">
        <v>1347</v>
      </c>
      <c r="E327" s="249"/>
      <c r="F327" s="666">
        <v>-10</v>
      </c>
      <c r="G327" s="249"/>
      <c r="H327" s="645">
        <v>22.160000000000004</v>
      </c>
      <c r="I327" s="251"/>
      <c r="J327" s="645">
        <v>20.150000000000002</v>
      </c>
      <c r="K327" s="251"/>
      <c r="L327" s="645">
        <v>2.0099999999999998</v>
      </c>
      <c r="M327" s="251"/>
      <c r="N327" s="251">
        <v>0</v>
      </c>
      <c r="O327" s="251"/>
      <c r="P327" s="644" t="s">
        <v>2290</v>
      </c>
      <c r="Q327" s="251"/>
      <c r="R327" s="645">
        <v>4.4000000000000004</v>
      </c>
      <c r="S327" s="249"/>
    </row>
    <row r="328" spans="1:19">
      <c r="A328" s="272"/>
      <c r="B328" s="248"/>
      <c r="C328" s="249"/>
      <c r="D328" s="669" t="s">
        <v>1348</v>
      </c>
      <c r="E328" s="249"/>
      <c r="F328" s="666">
        <v>-6</v>
      </c>
      <c r="G328" s="249"/>
      <c r="H328" s="645">
        <v>4.01</v>
      </c>
      <c r="I328" s="251"/>
      <c r="J328" s="645">
        <v>3.7800000000000002</v>
      </c>
      <c r="K328" s="251"/>
      <c r="L328" s="645">
        <v>0.22999999999999998</v>
      </c>
      <c r="M328" s="251"/>
      <c r="N328" s="251">
        <v>0</v>
      </c>
      <c r="O328" s="251"/>
      <c r="P328" s="644" t="s">
        <v>2290</v>
      </c>
      <c r="Q328" s="251"/>
      <c r="R328" s="645">
        <v>15</v>
      </c>
      <c r="S328" s="249"/>
    </row>
    <row r="329" spans="1:19">
      <c r="A329" s="272"/>
      <c r="B329" s="248"/>
      <c r="C329" s="249"/>
      <c r="D329" s="669" t="s">
        <v>1339</v>
      </c>
      <c r="E329" s="249"/>
      <c r="F329" s="666">
        <v>-7</v>
      </c>
      <c r="G329" s="249"/>
      <c r="H329" s="645">
        <v>4.04</v>
      </c>
      <c r="I329" s="251"/>
      <c r="J329" s="645">
        <v>3.7800000000000002</v>
      </c>
      <c r="K329" s="251"/>
      <c r="L329" s="645">
        <v>0.26</v>
      </c>
      <c r="M329" s="251"/>
      <c r="N329" s="251">
        <v>0</v>
      </c>
      <c r="O329" s="251"/>
      <c r="P329" s="644" t="s">
        <v>2290</v>
      </c>
      <c r="Q329" s="251"/>
      <c r="R329" s="645">
        <v>17.899999999999999</v>
      </c>
      <c r="S329" s="249"/>
    </row>
    <row r="330" spans="1:19">
      <c r="A330" s="272"/>
      <c r="B330" s="248"/>
      <c r="C330" s="249"/>
      <c r="D330" s="669" t="s">
        <v>1334</v>
      </c>
      <c r="E330" s="249"/>
      <c r="F330" s="666">
        <v>-7</v>
      </c>
      <c r="G330" s="249"/>
      <c r="H330" s="645">
        <v>4.1800000000000006</v>
      </c>
      <c r="I330" s="251"/>
      <c r="J330" s="645">
        <v>3.91</v>
      </c>
      <c r="K330" s="251"/>
      <c r="L330" s="645">
        <v>0.27</v>
      </c>
      <c r="M330" s="251"/>
      <c r="N330" s="251">
        <v>0</v>
      </c>
      <c r="O330" s="251"/>
      <c r="P330" s="644" t="s">
        <v>2290</v>
      </c>
      <c r="Q330" s="251"/>
      <c r="R330" s="645">
        <v>16.100000000000001</v>
      </c>
      <c r="S330" s="249"/>
    </row>
    <row r="331" spans="1:19">
      <c r="A331" s="272"/>
      <c r="B331" s="248"/>
      <c r="C331" s="249"/>
      <c r="D331" s="669" t="s">
        <v>1335</v>
      </c>
      <c r="E331" s="249"/>
      <c r="F331" s="666">
        <v>-7</v>
      </c>
      <c r="G331" s="249"/>
      <c r="H331" s="645">
        <v>4.25</v>
      </c>
      <c r="I331" s="251"/>
      <c r="J331" s="645">
        <v>3.9699999999999998</v>
      </c>
      <c r="K331" s="251"/>
      <c r="L331" s="645">
        <v>0.27999999999999997</v>
      </c>
      <c r="M331" s="251"/>
      <c r="N331" s="251">
        <v>0</v>
      </c>
      <c r="O331" s="251"/>
      <c r="P331" s="644" t="s">
        <v>2290</v>
      </c>
      <c r="Q331" s="251"/>
      <c r="R331" s="645">
        <v>16</v>
      </c>
      <c r="S331" s="249"/>
    </row>
    <row r="332" spans="1:19">
      <c r="A332" s="272"/>
      <c r="B332" s="248"/>
      <c r="C332" s="249"/>
      <c r="D332" s="669" t="s">
        <v>1336</v>
      </c>
      <c r="E332" s="249"/>
      <c r="F332" s="666">
        <v>-7</v>
      </c>
      <c r="G332" s="249"/>
      <c r="H332" s="645">
        <v>4.1300000000000008</v>
      </c>
      <c r="I332" s="251"/>
      <c r="J332" s="645">
        <v>3.8600000000000003</v>
      </c>
      <c r="K332" s="251"/>
      <c r="L332" s="645">
        <v>0.27</v>
      </c>
      <c r="M332" s="251"/>
      <c r="N332" s="251">
        <v>0</v>
      </c>
      <c r="O332" s="251"/>
      <c r="P332" s="644" t="s">
        <v>2290</v>
      </c>
      <c r="Q332" s="251"/>
      <c r="R332" s="645">
        <v>18</v>
      </c>
      <c r="S332" s="249"/>
    </row>
    <row r="333" spans="1:19">
      <c r="A333" s="272"/>
      <c r="B333" s="248"/>
      <c r="C333" s="249"/>
      <c r="D333" s="669" t="s">
        <v>1337</v>
      </c>
      <c r="E333" s="249"/>
      <c r="F333" s="666">
        <v>-7</v>
      </c>
      <c r="G333" s="249"/>
      <c r="H333" s="645">
        <v>3.7900000000000005</v>
      </c>
      <c r="I333" s="251"/>
      <c r="J333" s="645">
        <v>3.54</v>
      </c>
      <c r="K333" s="251"/>
      <c r="L333" s="645">
        <v>0.25</v>
      </c>
      <c r="M333" s="251"/>
      <c r="N333" s="251">
        <v>0</v>
      </c>
      <c r="O333" s="251"/>
      <c r="P333" s="644" t="s">
        <v>2290</v>
      </c>
      <c r="Q333" s="251"/>
      <c r="R333" s="645">
        <v>17.899999999999999</v>
      </c>
      <c r="S333" s="249"/>
    </row>
    <row r="334" spans="1:19">
      <c r="A334" s="272"/>
      <c r="B334" s="248"/>
      <c r="C334" s="249"/>
      <c r="D334" s="669" t="s">
        <v>1338</v>
      </c>
      <c r="E334" s="249"/>
      <c r="F334" s="666">
        <v>-7</v>
      </c>
      <c r="G334" s="249"/>
      <c r="H334" s="645">
        <v>3.9099999999999997</v>
      </c>
      <c r="I334" s="251"/>
      <c r="J334" s="645">
        <v>3.65</v>
      </c>
      <c r="K334" s="251"/>
      <c r="L334" s="645">
        <v>0.26</v>
      </c>
      <c r="M334" s="251"/>
      <c r="N334" s="251">
        <v>0</v>
      </c>
      <c r="O334" s="251"/>
      <c r="P334" s="644" t="s">
        <v>2290</v>
      </c>
      <c r="Q334" s="251"/>
      <c r="R334" s="645">
        <v>18</v>
      </c>
      <c r="S334" s="249"/>
    </row>
    <row r="335" spans="1:19">
      <c r="A335" s="272"/>
      <c r="B335" s="248"/>
      <c r="C335" s="249"/>
      <c r="D335" s="671" t="s">
        <v>2286</v>
      </c>
      <c r="E335" s="249"/>
      <c r="F335" s="666">
        <v>-12</v>
      </c>
      <c r="G335" s="249"/>
      <c r="H335" s="645">
        <v>2.96</v>
      </c>
      <c r="I335" s="251"/>
      <c r="J335" s="645">
        <v>2.64</v>
      </c>
      <c r="K335" s="251"/>
      <c r="L335" s="645">
        <v>0.32</v>
      </c>
      <c r="M335" s="251"/>
      <c r="N335" s="251">
        <v>0</v>
      </c>
      <c r="O335" s="251"/>
      <c r="P335" s="644" t="s">
        <v>2290</v>
      </c>
      <c r="Q335" s="251"/>
      <c r="R335" s="645">
        <v>37.299999999999997</v>
      </c>
      <c r="S335" s="249"/>
    </row>
    <row r="336" spans="1:19">
      <c r="A336" s="272"/>
      <c r="B336" s="248"/>
      <c r="C336" s="249"/>
      <c r="D336" s="249"/>
      <c r="E336" s="249"/>
      <c r="F336" s="250"/>
      <c r="G336" s="249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40"/>
    </row>
    <row r="337" spans="1:19">
      <c r="A337" s="272">
        <v>345</v>
      </c>
      <c r="B337" s="248"/>
      <c r="C337" s="249"/>
      <c r="D337" s="254" t="s">
        <v>1360</v>
      </c>
      <c r="E337" s="249"/>
      <c r="F337" s="277" t="str">
        <f>F316</f>
        <v>-5%,-6%,-7%,-10%,-12%</v>
      </c>
      <c r="G337" s="249"/>
      <c r="H337" s="251">
        <v>3.96</v>
      </c>
      <c r="I337" s="251"/>
      <c r="J337" s="251"/>
      <c r="K337" s="251"/>
      <c r="L337" s="251"/>
      <c r="M337" s="251"/>
      <c r="N337" s="251"/>
      <c r="O337" s="251"/>
      <c r="P337" s="251" t="str">
        <f>P335</f>
        <v>50-R3</v>
      </c>
      <c r="Q337" s="251"/>
      <c r="R337" s="251">
        <v>20.399999999999999</v>
      </c>
      <c r="S337" s="240"/>
    </row>
    <row r="338" spans="1:19">
      <c r="A338" s="272"/>
      <c r="B338" s="248"/>
      <c r="C338" s="249"/>
      <c r="D338" s="249"/>
      <c r="E338" s="249"/>
      <c r="F338" s="250"/>
      <c r="G338" s="249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40"/>
    </row>
    <row r="339" spans="1:19">
      <c r="A339" s="272"/>
      <c r="B339" s="248">
        <v>346</v>
      </c>
      <c r="C339" s="249"/>
      <c r="D339" s="249" t="s">
        <v>1361</v>
      </c>
      <c r="E339" s="249"/>
      <c r="F339" s="250"/>
      <c r="G339" s="249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40"/>
    </row>
    <row r="340" spans="1:19">
      <c r="A340" s="272"/>
      <c r="B340" s="248"/>
      <c r="C340" s="249"/>
      <c r="D340" s="669" t="s">
        <v>1345</v>
      </c>
      <c r="E340" s="249"/>
      <c r="F340" s="666">
        <v>-7</v>
      </c>
      <c r="G340" s="249"/>
      <c r="H340" s="645">
        <v>3.26</v>
      </c>
      <c r="I340" s="251"/>
      <c r="J340" s="645">
        <v>3.05</v>
      </c>
      <c r="K340" s="251"/>
      <c r="L340" s="645">
        <v>0.21</v>
      </c>
      <c r="M340" s="251"/>
      <c r="N340" s="251">
        <v>0</v>
      </c>
      <c r="O340" s="251"/>
      <c r="P340" s="644" t="s">
        <v>2291</v>
      </c>
      <c r="Q340" s="251"/>
      <c r="R340" s="645">
        <v>13.8</v>
      </c>
      <c r="S340" s="240"/>
    </row>
    <row r="341" spans="1:19">
      <c r="A341" s="272"/>
      <c r="B341" s="248"/>
      <c r="C341" s="249"/>
      <c r="D341" s="669" t="s">
        <v>1346</v>
      </c>
      <c r="E341" s="249"/>
      <c r="F341" s="666">
        <v>-7</v>
      </c>
      <c r="G341" s="249"/>
      <c r="H341" s="645">
        <v>5.2200000000000006</v>
      </c>
      <c r="I341" s="251"/>
      <c r="J341" s="645">
        <v>4.88</v>
      </c>
      <c r="K341" s="251"/>
      <c r="L341" s="645">
        <v>0.33999999999999997</v>
      </c>
      <c r="M341" s="251"/>
      <c r="N341" s="251">
        <v>0</v>
      </c>
      <c r="O341" s="251"/>
      <c r="P341" s="644" t="s">
        <v>2291</v>
      </c>
      <c r="Q341" s="251"/>
      <c r="R341" s="645">
        <v>10</v>
      </c>
      <c r="S341" s="240"/>
    </row>
    <row r="342" spans="1:19">
      <c r="A342" s="272"/>
      <c r="B342" s="248"/>
      <c r="C342" s="249"/>
      <c r="D342" s="669" t="s">
        <v>1340</v>
      </c>
      <c r="E342" s="249"/>
      <c r="F342" s="666">
        <v>-7</v>
      </c>
      <c r="G342" s="249"/>
      <c r="H342" s="645">
        <v>4.01</v>
      </c>
      <c r="I342" s="251"/>
      <c r="J342" s="645">
        <v>3.75</v>
      </c>
      <c r="K342" s="251"/>
      <c r="L342" s="645">
        <v>0.26</v>
      </c>
      <c r="M342" s="251"/>
      <c r="N342" s="251">
        <v>0</v>
      </c>
      <c r="O342" s="251"/>
      <c r="P342" s="644" t="s">
        <v>2291</v>
      </c>
      <c r="Q342" s="251"/>
      <c r="R342" s="645">
        <v>14.2</v>
      </c>
      <c r="S342" s="240"/>
    </row>
    <row r="343" spans="1:19">
      <c r="A343" s="272"/>
      <c r="B343" s="248"/>
      <c r="C343" s="249"/>
      <c r="D343" s="669" t="s">
        <v>1341</v>
      </c>
      <c r="E343" s="249"/>
      <c r="F343" s="666">
        <v>-7</v>
      </c>
      <c r="G343" s="249"/>
      <c r="H343" s="645">
        <v>6.22</v>
      </c>
      <c r="I343" s="251"/>
      <c r="J343" s="645">
        <v>5.81</v>
      </c>
      <c r="K343" s="251"/>
      <c r="L343" s="645">
        <v>0.41000000000000003</v>
      </c>
      <c r="M343" s="251"/>
      <c r="N343" s="251">
        <v>0</v>
      </c>
      <c r="O343" s="251"/>
      <c r="P343" s="644" t="s">
        <v>2291</v>
      </c>
      <c r="Q343" s="251"/>
      <c r="R343" s="645">
        <v>13</v>
      </c>
      <c r="S343" s="240"/>
    </row>
    <row r="344" spans="1:19">
      <c r="A344" s="272"/>
      <c r="B344" s="248"/>
      <c r="C344" s="249"/>
      <c r="D344" s="669" t="s">
        <v>1342</v>
      </c>
      <c r="E344" s="249"/>
      <c r="F344" s="666">
        <v>-7</v>
      </c>
      <c r="G344" s="249"/>
      <c r="H344" s="645">
        <v>6.2399999999999993</v>
      </c>
      <c r="I344" s="251"/>
      <c r="J344" s="645">
        <v>5.83</v>
      </c>
      <c r="K344" s="251"/>
      <c r="L344" s="645">
        <v>0.41000000000000003</v>
      </c>
      <c r="M344" s="251"/>
      <c r="N344" s="251">
        <v>0</v>
      </c>
      <c r="O344" s="251"/>
      <c r="P344" s="644" t="s">
        <v>2291</v>
      </c>
      <c r="Q344" s="251"/>
      <c r="R344" s="645">
        <v>13</v>
      </c>
      <c r="S344" s="240"/>
    </row>
    <row r="345" spans="1:19">
      <c r="A345" s="272"/>
      <c r="B345" s="248"/>
      <c r="C345" s="249"/>
      <c r="D345" s="669" t="s">
        <v>1343</v>
      </c>
      <c r="E345" s="249"/>
      <c r="F345" s="666">
        <v>-7</v>
      </c>
      <c r="G345" s="249"/>
      <c r="H345" s="645">
        <v>4.9799999999999995</v>
      </c>
      <c r="I345" s="251"/>
      <c r="J345" s="645">
        <v>4.6500000000000004</v>
      </c>
      <c r="K345" s="251"/>
      <c r="L345" s="645">
        <v>0.33</v>
      </c>
      <c r="M345" s="251"/>
      <c r="N345" s="251">
        <v>0</v>
      </c>
      <c r="O345" s="251"/>
      <c r="P345" s="644" t="s">
        <v>2291</v>
      </c>
      <c r="Q345" s="251"/>
      <c r="R345" s="645">
        <v>9</v>
      </c>
      <c r="S345" s="240"/>
    </row>
    <row r="346" spans="1:19">
      <c r="A346" s="272"/>
      <c r="B346" s="248"/>
      <c r="C346" s="249"/>
      <c r="D346" s="669" t="s">
        <v>1344</v>
      </c>
      <c r="E346" s="249"/>
      <c r="F346" s="666">
        <v>-7</v>
      </c>
      <c r="G346" s="249"/>
      <c r="H346" s="645">
        <v>3.3099999999999996</v>
      </c>
      <c r="I346" s="251"/>
      <c r="J346" s="645">
        <v>3.09</v>
      </c>
      <c r="K346" s="251"/>
      <c r="L346" s="645">
        <v>0.22</v>
      </c>
      <c r="M346" s="251"/>
      <c r="N346" s="251">
        <v>0</v>
      </c>
      <c r="O346" s="251"/>
      <c r="P346" s="644" t="s">
        <v>2291</v>
      </c>
      <c r="Q346" s="251"/>
      <c r="R346" s="645">
        <v>13.9</v>
      </c>
    </row>
    <row r="347" spans="1:19">
      <c r="A347" s="272"/>
      <c r="B347" s="248"/>
      <c r="C347" s="249"/>
      <c r="D347" s="670" t="s">
        <v>2546</v>
      </c>
      <c r="E347" s="249"/>
      <c r="F347" s="666">
        <v>0</v>
      </c>
      <c r="G347" s="249"/>
      <c r="H347" s="645">
        <v>4.25</v>
      </c>
      <c r="I347" s="251"/>
      <c r="J347" s="645">
        <v>4.25</v>
      </c>
      <c r="K347" s="251"/>
      <c r="L347" s="645">
        <v>0</v>
      </c>
      <c r="M347" s="251"/>
      <c r="N347" s="251">
        <v>0</v>
      </c>
      <c r="O347" s="251"/>
      <c r="P347" s="644" t="s">
        <v>2551</v>
      </c>
      <c r="Q347" s="251"/>
      <c r="R347" s="645">
        <v>32</v>
      </c>
    </row>
    <row r="348" spans="1:19">
      <c r="A348" s="274"/>
      <c r="B348" s="255"/>
      <c r="C348" s="249"/>
      <c r="D348" s="669" t="s">
        <v>1347</v>
      </c>
      <c r="E348" s="249"/>
      <c r="F348" s="666">
        <v>-10</v>
      </c>
      <c r="G348" s="249"/>
      <c r="H348" s="645">
        <v>17.75</v>
      </c>
      <c r="I348" s="251"/>
      <c r="J348" s="645">
        <v>16.14</v>
      </c>
      <c r="K348" s="251"/>
      <c r="L348" s="645">
        <v>1.6099999999999999</v>
      </c>
      <c r="M348" s="251"/>
      <c r="N348" s="251">
        <v>0</v>
      </c>
      <c r="O348" s="251"/>
      <c r="P348" s="644" t="s">
        <v>2291</v>
      </c>
      <c r="Q348" s="251"/>
      <c r="R348" s="645">
        <v>4.3</v>
      </c>
    </row>
    <row r="349" spans="1:19">
      <c r="A349" s="272"/>
      <c r="B349" s="248"/>
      <c r="C349" s="249"/>
      <c r="D349" s="669" t="s">
        <v>1348</v>
      </c>
      <c r="E349" s="249"/>
      <c r="F349" s="666">
        <v>-6</v>
      </c>
      <c r="G349" s="249"/>
      <c r="H349" s="645">
        <v>3.93</v>
      </c>
      <c r="I349" s="251"/>
      <c r="J349" s="645">
        <v>3.71</v>
      </c>
      <c r="K349" s="251"/>
      <c r="L349" s="645">
        <v>0.22</v>
      </c>
      <c r="M349" s="251"/>
      <c r="N349" s="251">
        <v>0</v>
      </c>
      <c r="O349" s="251"/>
      <c r="P349" s="644" t="s">
        <v>2291</v>
      </c>
      <c r="Q349" s="251"/>
      <c r="R349" s="645">
        <v>14.2</v>
      </c>
    </row>
    <row r="350" spans="1:19">
      <c r="A350" s="272"/>
      <c r="B350" s="248"/>
      <c r="C350" s="249"/>
      <c r="D350" s="669" t="s">
        <v>1339</v>
      </c>
      <c r="E350" s="249"/>
      <c r="F350" s="666">
        <v>-7</v>
      </c>
      <c r="G350" s="249"/>
      <c r="H350" s="645">
        <v>4.6100000000000003</v>
      </c>
      <c r="I350" s="251"/>
      <c r="J350" s="645">
        <v>4.3099999999999996</v>
      </c>
      <c r="K350" s="251"/>
      <c r="L350" s="645">
        <v>0.3</v>
      </c>
      <c r="M350" s="251"/>
      <c r="N350" s="251">
        <v>0</v>
      </c>
      <c r="O350" s="251"/>
      <c r="P350" s="644" t="s">
        <v>2291</v>
      </c>
      <c r="Q350" s="251"/>
      <c r="R350" s="645">
        <v>17.399999999999999</v>
      </c>
    </row>
    <row r="351" spans="1:19">
      <c r="A351" s="272"/>
      <c r="B351" s="248"/>
      <c r="C351" s="249"/>
      <c r="D351" s="669" t="s">
        <v>1334</v>
      </c>
      <c r="E351" s="249"/>
      <c r="F351" s="666">
        <v>-7</v>
      </c>
      <c r="G351" s="249"/>
      <c r="H351" s="645">
        <v>4.04</v>
      </c>
      <c r="I351" s="251"/>
      <c r="J351" s="645">
        <v>3.7800000000000002</v>
      </c>
      <c r="K351" s="251"/>
      <c r="L351" s="645">
        <v>0.26</v>
      </c>
      <c r="M351" s="251"/>
      <c r="N351" s="251">
        <v>0</v>
      </c>
      <c r="O351" s="251"/>
      <c r="P351" s="644" t="s">
        <v>2291</v>
      </c>
      <c r="Q351" s="251"/>
      <c r="R351" s="645">
        <v>15.5</v>
      </c>
    </row>
    <row r="352" spans="1:19">
      <c r="A352" s="272"/>
      <c r="B352" s="248"/>
      <c r="C352" s="249"/>
      <c r="D352" s="669" t="s">
        <v>1336</v>
      </c>
      <c r="E352" s="249"/>
      <c r="F352" s="666">
        <v>-7</v>
      </c>
      <c r="G352" s="249"/>
      <c r="H352" s="645">
        <v>3.8900000000000006</v>
      </c>
      <c r="I352" s="251"/>
      <c r="J352" s="645">
        <v>3.64</v>
      </c>
      <c r="K352" s="251"/>
      <c r="L352" s="645">
        <v>0.25</v>
      </c>
      <c r="M352" s="251"/>
      <c r="N352" s="251">
        <v>0</v>
      </c>
      <c r="O352" s="251"/>
      <c r="P352" s="644" t="s">
        <v>2291</v>
      </c>
      <c r="Q352" s="251"/>
      <c r="R352" s="645">
        <v>16.899999999999999</v>
      </c>
    </row>
    <row r="353" spans="1:19">
      <c r="A353" s="272"/>
      <c r="B353" s="248"/>
      <c r="C353" s="249"/>
      <c r="D353" s="669" t="s">
        <v>1337</v>
      </c>
      <c r="E353" s="249"/>
      <c r="F353" s="666">
        <v>-7</v>
      </c>
      <c r="G353" s="249"/>
      <c r="H353" s="645">
        <v>3.8900000000000006</v>
      </c>
      <c r="I353" s="251"/>
      <c r="J353" s="645">
        <v>3.64</v>
      </c>
      <c r="K353" s="251"/>
      <c r="L353" s="645">
        <v>0.25</v>
      </c>
      <c r="M353" s="251"/>
      <c r="N353" s="251">
        <v>0</v>
      </c>
      <c r="O353" s="251"/>
      <c r="P353" s="644" t="s">
        <v>2291</v>
      </c>
      <c r="Q353" s="251"/>
      <c r="R353" s="645">
        <v>16.899999999999999</v>
      </c>
    </row>
    <row r="354" spans="1:19">
      <c r="A354" s="272"/>
      <c r="B354" s="248"/>
      <c r="C354" s="249"/>
      <c r="D354" s="669" t="s">
        <v>1338</v>
      </c>
      <c r="E354" s="249"/>
      <c r="F354" s="666">
        <v>-7</v>
      </c>
      <c r="G354" s="249"/>
      <c r="H354" s="645">
        <v>3.9099999999999997</v>
      </c>
      <c r="I354" s="251"/>
      <c r="J354" s="645">
        <v>3.65</v>
      </c>
      <c r="K354" s="251"/>
      <c r="L354" s="645">
        <v>0.26</v>
      </c>
      <c r="M354" s="251"/>
      <c r="N354" s="251">
        <v>0</v>
      </c>
      <c r="O354" s="251"/>
      <c r="P354" s="644" t="s">
        <v>2291</v>
      </c>
      <c r="Q354" s="251"/>
      <c r="R354" s="645">
        <v>16.899999999999999</v>
      </c>
    </row>
    <row r="355" spans="1:19">
      <c r="A355" s="272"/>
      <c r="B355" s="248"/>
      <c r="C355" s="249"/>
      <c r="D355" s="671" t="s">
        <v>2286</v>
      </c>
      <c r="E355" s="249"/>
      <c r="F355" s="666">
        <v>-12</v>
      </c>
      <c r="G355" s="249"/>
      <c r="H355" s="645">
        <v>3.32</v>
      </c>
      <c r="I355" s="251"/>
      <c r="J355" s="645">
        <v>2.96</v>
      </c>
      <c r="K355" s="251"/>
      <c r="L355" s="645">
        <v>0.36</v>
      </c>
      <c r="M355" s="251"/>
      <c r="N355" s="251">
        <v>0</v>
      </c>
      <c r="O355" s="251"/>
      <c r="P355" s="644" t="s">
        <v>2291</v>
      </c>
      <c r="Q355" s="251"/>
      <c r="R355" s="645">
        <v>33.6</v>
      </c>
    </row>
    <row r="356" spans="1:19">
      <c r="A356" s="272"/>
      <c r="B356" s="248"/>
      <c r="C356" s="249"/>
      <c r="D356" s="249"/>
      <c r="E356" s="249"/>
      <c r="F356" s="250"/>
      <c r="G356" s="249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</row>
    <row r="357" spans="1:19">
      <c r="A357" s="272">
        <v>346</v>
      </c>
      <c r="B357" s="248"/>
      <c r="C357" s="249"/>
      <c r="D357" s="254" t="s">
        <v>1362</v>
      </c>
      <c r="E357" s="249"/>
      <c r="F357" s="277" t="s">
        <v>2313</v>
      </c>
      <c r="G357" s="249"/>
      <c r="H357" s="251">
        <v>4.3600000000000003</v>
      </c>
      <c r="I357" s="251"/>
      <c r="J357" s="251"/>
      <c r="K357" s="251"/>
      <c r="L357" s="251"/>
      <c r="M357" s="251"/>
      <c r="N357" s="251"/>
      <c r="O357" s="251"/>
      <c r="P357" s="251" t="str">
        <f>P355</f>
        <v>40-R2</v>
      </c>
      <c r="Q357" s="251"/>
      <c r="R357" s="251">
        <v>12.6</v>
      </c>
    </row>
    <row r="358" spans="1:19">
      <c r="A358" s="272"/>
      <c r="B358" s="248"/>
      <c r="C358" s="249"/>
      <c r="D358" s="249"/>
      <c r="E358" s="249"/>
      <c r="F358" s="250"/>
      <c r="G358" s="249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</row>
    <row r="359" spans="1:19">
      <c r="A359" s="272"/>
      <c r="B359" s="248"/>
      <c r="C359" s="249"/>
      <c r="D359" s="270" t="s">
        <v>1363</v>
      </c>
      <c r="E359" s="249"/>
      <c r="F359" s="250"/>
      <c r="G359" s="243"/>
      <c r="H359" s="251">
        <v>4</v>
      </c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40"/>
    </row>
    <row r="360" spans="1:19">
      <c r="A360" s="272"/>
      <c r="B360" s="248"/>
      <c r="C360" s="249"/>
      <c r="D360" s="270"/>
      <c r="E360" s="249"/>
      <c r="F360" s="250"/>
      <c r="G360" s="243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</row>
    <row r="361" spans="1:19">
      <c r="A361" s="272"/>
      <c r="B361" s="248"/>
      <c r="C361" s="249"/>
      <c r="D361" s="249"/>
      <c r="E361" s="249"/>
      <c r="F361" s="250"/>
      <c r="G361" s="249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</row>
    <row r="362" spans="1:19">
      <c r="A362" s="272"/>
      <c r="B362" s="248"/>
      <c r="C362" s="249"/>
      <c r="D362" s="244" t="s">
        <v>1364</v>
      </c>
      <c r="E362" s="249"/>
      <c r="F362" s="250"/>
      <c r="G362" s="249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</row>
    <row r="363" spans="1:19">
      <c r="A363" s="272"/>
      <c r="B363" s="248"/>
      <c r="C363" s="249"/>
      <c r="D363" s="252"/>
      <c r="E363" s="249"/>
      <c r="F363" s="250"/>
      <c r="G363" s="249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</row>
    <row r="364" spans="1:19">
      <c r="A364" s="272">
        <v>350</v>
      </c>
      <c r="B364" s="248">
        <v>350.1</v>
      </c>
      <c r="C364" s="249"/>
      <c r="D364" s="249" t="s">
        <v>1365</v>
      </c>
      <c r="E364" s="249"/>
      <c r="F364" s="250">
        <v>0</v>
      </c>
      <c r="G364" s="249"/>
      <c r="H364" s="251">
        <v>0.86</v>
      </c>
      <c r="I364" s="251"/>
      <c r="J364" s="251">
        <v>0.86</v>
      </c>
      <c r="K364" s="251"/>
      <c r="L364" s="251">
        <v>0</v>
      </c>
      <c r="M364" s="251"/>
      <c r="N364" s="251">
        <v>0</v>
      </c>
      <c r="O364" s="251"/>
      <c r="P364" s="644" t="s">
        <v>2275</v>
      </c>
      <c r="Q364" s="251"/>
      <c r="R364" s="251">
        <v>48.9</v>
      </c>
    </row>
    <row r="365" spans="1:19">
      <c r="A365" s="272"/>
      <c r="B365" s="248">
        <v>352.1</v>
      </c>
      <c r="C365" s="249"/>
      <c r="D365" s="249" t="s">
        <v>1366</v>
      </c>
      <c r="E365" s="249"/>
      <c r="F365" s="250">
        <v>-25</v>
      </c>
      <c r="G365" s="249"/>
      <c r="H365" s="251">
        <v>1.66</v>
      </c>
      <c r="I365" s="251"/>
      <c r="J365" s="251">
        <v>1.3299999999999998</v>
      </c>
      <c r="K365" s="251"/>
      <c r="L365" s="251">
        <v>0.33</v>
      </c>
      <c r="M365" s="251"/>
      <c r="N365" s="251">
        <v>0</v>
      </c>
      <c r="O365" s="251"/>
      <c r="P365" s="644" t="s">
        <v>2275</v>
      </c>
      <c r="Q365" s="251"/>
      <c r="R365" s="251">
        <v>59.5</v>
      </c>
    </row>
    <row r="366" spans="1:19">
      <c r="A366" s="272"/>
      <c r="B366" s="248">
        <v>352.2</v>
      </c>
      <c r="C366" s="249"/>
      <c r="D366" s="249" t="s">
        <v>1367</v>
      </c>
      <c r="E366" s="249"/>
      <c r="F366" s="250">
        <v>-25</v>
      </c>
      <c r="G366" s="249"/>
      <c r="H366" s="251">
        <v>1.83</v>
      </c>
      <c r="I366" s="251"/>
      <c r="J366" s="251">
        <v>1.46</v>
      </c>
      <c r="K366" s="251"/>
      <c r="L366" s="251">
        <v>0.37</v>
      </c>
      <c r="M366" s="251"/>
      <c r="N366" s="251">
        <v>0</v>
      </c>
      <c r="O366" s="251"/>
      <c r="P366" s="644" t="s">
        <v>1380</v>
      </c>
      <c r="Q366" s="251"/>
      <c r="R366" s="251">
        <v>47.9</v>
      </c>
    </row>
    <row r="367" spans="1:19">
      <c r="A367" s="272"/>
      <c r="B367" s="248">
        <v>353.1</v>
      </c>
      <c r="C367" s="249"/>
      <c r="D367" s="249" t="s">
        <v>1368</v>
      </c>
      <c r="E367" s="249"/>
      <c r="F367" s="250">
        <v>-15</v>
      </c>
      <c r="G367" s="249"/>
      <c r="H367" s="251">
        <v>1.9</v>
      </c>
      <c r="I367" s="251"/>
      <c r="J367" s="251">
        <v>1.6500000000000001</v>
      </c>
      <c r="K367" s="251"/>
      <c r="L367" s="251">
        <v>0.3</v>
      </c>
      <c r="M367" s="251"/>
      <c r="N367" s="251">
        <v>-0.05</v>
      </c>
      <c r="O367" s="251"/>
      <c r="P367" s="644" t="s">
        <v>1369</v>
      </c>
      <c r="Q367" s="251"/>
      <c r="R367" s="251">
        <v>46</v>
      </c>
    </row>
    <row r="368" spans="1:19">
      <c r="A368" s="272"/>
      <c r="B368" s="248">
        <v>353.2</v>
      </c>
      <c r="C368" s="249"/>
      <c r="D368" s="249" t="s">
        <v>1370</v>
      </c>
      <c r="E368" s="249"/>
      <c r="F368" s="250">
        <v>-15</v>
      </c>
      <c r="G368" s="249"/>
      <c r="H368" s="646">
        <v>0</v>
      </c>
      <c r="I368" s="251"/>
      <c r="J368" s="251">
        <v>0</v>
      </c>
      <c r="K368" s="251"/>
      <c r="L368" s="251">
        <v>0</v>
      </c>
      <c r="M368" s="251"/>
      <c r="N368" s="251">
        <v>0</v>
      </c>
      <c r="O368" s="251"/>
      <c r="P368" s="644" t="s">
        <v>2292</v>
      </c>
      <c r="Q368" s="251"/>
      <c r="R368" s="251">
        <v>0</v>
      </c>
    </row>
    <row r="369" spans="1:18">
      <c r="A369" s="272">
        <v>354</v>
      </c>
      <c r="B369" s="248"/>
      <c r="C369" s="249"/>
      <c r="D369" s="249" t="s">
        <v>1371</v>
      </c>
      <c r="E369" s="249"/>
      <c r="F369" s="250">
        <v>-40</v>
      </c>
      <c r="G369" s="249"/>
      <c r="H369" s="251">
        <v>1.6900000000000002</v>
      </c>
      <c r="I369" s="251"/>
      <c r="J369" s="251">
        <v>1.21</v>
      </c>
      <c r="K369" s="251"/>
      <c r="L369" s="251">
        <v>0.54</v>
      </c>
      <c r="M369" s="251"/>
      <c r="N369" s="251">
        <v>-0.06</v>
      </c>
      <c r="O369" s="251"/>
      <c r="P369" s="644" t="s">
        <v>1372</v>
      </c>
      <c r="Q369" s="251"/>
      <c r="R369" s="251">
        <v>44.8</v>
      </c>
    </row>
    <row r="370" spans="1:18">
      <c r="A370" s="272">
        <v>355</v>
      </c>
      <c r="B370" s="248"/>
      <c r="C370" s="249"/>
      <c r="D370" s="249" t="s">
        <v>1373</v>
      </c>
      <c r="E370" s="249"/>
      <c r="F370" s="250">
        <v>-75</v>
      </c>
      <c r="G370" s="249"/>
      <c r="H370" s="251">
        <v>2.93</v>
      </c>
      <c r="I370" s="251"/>
      <c r="J370" s="251">
        <v>1.68</v>
      </c>
      <c r="K370" s="251"/>
      <c r="L370" s="251">
        <v>1.4200000000000002</v>
      </c>
      <c r="M370" s="251"/>
      <c r="N370" s="251">
        <v>-0.16999999999999998</v>
      </c>
      <c r="O370" s="251"/>
      <c r="P370" s="644" t="s">
        <v>2293</v>
      </c>
      <c r="Q370" s="251"/>
      <c r="R370" s="251">
        <v>48.8</v>
      </c>
    </row>
    <row r="371" spans="1:18">
      <c r="A371" s="272">
        <v>356</v>
      </c>
      <c r="B371" s="248"/>
      <c r="C371" s="249"/>
      <c r="D371" s="249" t="s">
        <v>1374</v>
      </c>
      <c r="E371" s="249"/>
      <c r="F371" s="250">
        <v>-75</v>
      </c>
      <c r="G371" s="249"/>
      <c r="H371" s="251">
        <v>2.54</v>
      </c>
      <c r="I371" s="251"/>
      <c r="J371" s="251">
        <v>1.46</v>
      </c>
      <c r="K371" s="251"/>
      <c r="L371" s="251">
        <v>1.23</v>
      </c>
      <c r="M371" s="251"/>
      <c r="N371" s="251">
        <v>-0.15</v>
      </c>
      <c r="O371" s="251"/>
      <c r="P371" s="644" t="s">
        <v>2294</v>
      </c>
      <c r="Q371" s="251"/>
      <c r="R371" s="251">
        <v>43.8</v>
      </c>
    </row>
    <row r="372" spans="1:18">
      <c r="A372" s="272">
        <v>357</v>
      </c>
      <c r="B372" s="248"/>
      <c r="C372" s="249"/>
      <c r="D372" s="249" t="s">
        <v>1375</v>
      </c>
      <c r="E372" s="249"/>
      <c r="F372" s="250">
        <v>0</v>
      </c>
      <c r="G372" s="249"/>
      <c r="H372" s="251">
        <v>1.7000000000000002</v>
      </c>
      <c r="I372" s="251"/>
      <c r="J372" s="251">
        <v>1.7000000000000002</v>
      </c>
      <c r="K372" s="251"/>
      <c r="L372" s="251">
        <v>0</v>
      </c>
      <c r="M372" s="251"/>
      <c r="N372" s="251">
        <v>0</v>
      </c>
      <c r="O372" s="251"/>
      <c r="P372" s="644" t="s">
        <v>1387</v>
      </c>
      <c r="Q372" s="251"/>
      <c r="R372" s="251">
        <v>28.7</v>
      </c>
    </row>
    <row r="373" spans="1:18">
      <c r="A373" s="272">
        <v>358</v>
      </c>
      <c r="B373" s="248"/>
      <c r="C373" s="249"/>
      <c r="D373" s="253" t="s">
        <v>1376</v>
      </c>
      <c r="E373" s="249"/>
      <c r="F373" s="250">
        <v>0</v>
      </c>
      <c r="G373" s="249"/>
      <c r="H373" s="251">
        <v>0.74</v>
      </c>
      <c r="I373" s="251"/>
      <c r="J373" s="251">
        <v>0.74</v>
      </c>
      <c r="K373" s="251"/>
      <c r="L373" s="251">
        <v>0</v>
      </c>
      <c r="M373" s="251"/>
      <c r="N373" s="251">
        <v>0</v>
      </c>
      <c r="O373" s="251"/>
      <c r="P373" s="644" t="s">
        <v>2295</v>
      </c>
      <c r="Q373" s="251"/>
      <c r="R373" s="251">
        <v>23.6</v>
      </c>
    </row>
    <row r="374" spans="1:18">
      <c r="A374" s="272"/>
      <c r="B374" s="248"/>
      <c r="C374" s="249"/>
      <c r="D374" s="249"/>
      <c r="E374" s="249"/>
      <c r="F374" s="250"/>
      <c r="G374" s="249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</row>
    <row r="375" spans="1:18">
      <c r="A375" s="272"/>
      <c r="B375" s="248"/>
      <c r="C375" s="249"/>
      <c r="D375" s="247" t="s">
        <v>1377</v>
      </c>
      <c r="E375" s="249"/>
      <c r="F375" s="250"/>
      <c r="G375" s="243"/>
      <c r="H375" s="251">
        <v>2.25</v>
      </c>
      <c r="I375" s="251"/>
      <c r="J375" s="672"/>
      <c r="K375" s="251"/>
      <c r="L375" s="251"/>
      <c r="M375" s="251"/>
      <c r="N375" s="251"/>
      <c r="O375" s="251"/>
      <c r="P375" s="251"/>
      <c r="Q375" s="251"/>
      <c r="R375" s="251"/>
    </row>
    <row r="376" spans="1:18">
      <c r="A376" s="272"/>
      <c r="B376" s="248"/>
      <c r="C376" s="249"/>
      <c r="D376" s="247"/>
      <c r="E376" s="249"/>
      <c r="F376" s="250"/>
      <c r="G376" s="243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</row>
    <row r="377" spans="1:18">
      <c r="A377" s="673"/>
      <c r="B377" s="294">
        <v>352.1</v>
      </c>
      <c r="C377" s="293"/>
      <c r="D377" s="293" t="s">
        <v>1366</v>
      </c>
      <c r="E377" s="293"/>
      <c r="F377" s="250">
        <v>-25</v>
      </c>
      <c r="G377" s="293"/>
      <c r="H377" s="674">
        <v>1.66</v>
      </c>
      <c r="I377" s="674"/>
      <c r="J377" s="674">
        <v>1.3299999999999998</v>
      </c>
      <c r="K377" s="674"/>
      <c r="L377" s="674">
        <v>0.33</v>
      </c>
      <c r="M377" s="674"/>
      <c r="N377" s="674">
        <v>0</v>
      </c>
      <c r="O377" s="674"/>
      <c r="P377" s="674" t="s">
        <v>2275</v>
      </c>
      <c r="Q377" s="674"/>
      <c r="R377" s="674">
        <v>59.5</v>
      </c>
    </row>
    <row r="378" spans="1:18">
      <c r="A378" s="673"/>
      <c r="B378" s="294">
        <v>352.2</v>
      </c>
      <c r="C378" s="293"/>
      <c r="D378" s="293" t="s">
        <v>1367</v>
      </c>
      <c r="E378" s="293"/>
      <c r="F378" s="250">
        <v>-25</v>
      </c>
      <c r="G378" s="293"/>
      <c r="H378" s="675">
        <v>1.83</v>
      </c>
      <c r="I378" s="674"/>
      <c r="J378" s="674">
        <v>1.46</v>
      </c>
      <c r="K378" s="674"/>
      <c r="L378" s="674">
        <v>0.37</v>
      </c>
      <c r="M378" s="674"/>
      <c r="N378" s="674">
        <v>0</v>
      </c>
      <c r="O378" s="674"/>
      <c r="P378" s="674" t="s">
        <v>1380</v>
      </c>
      <c r="Q378" s="674"/>
      <c r="R378" s="674">
        <v>47.9</v>
      </c>
    </row>
    <row r="379" spans="1:18">
      <c r="A379" s="272">
        <v>352</v>
      </c>
      <c r="B379" s="294"/>
      <c r="C379" s="293"/>
      <c r="D379" s="293"/>
      <c r="E379" s="293"/>
      <c r="F379" s="676">
        <v>-0.25</v>
      </c>
      <c r="G379" s="293"/>
      <c r="H379" s="674">
        <f>H377</f>
        <v>1.66</v>
      </c>
      <c r="I379" s="674"/>
      <c r="J379" s="677"/>
      <c r="K379" s="677"/>
      <c r="L379" s="677"/>
      <c r="M379" s="677"/>
      <c r="N379" s="677"/>
      <c r="O379" s="677"/>
      <c r="P379" s="678" t="s">
        <v>2552</v>
      </c>
      <c r="Q379" s="677"/>
      <c r="R379" s="678" t="s">
        <v>2322</v>
      </c>
    </row>
    <row r="380" spans="1:18">
      <c r="A380" s="272"/>
      <c r="B380" s="294"/>
      <c r="C380" s="293"/>
      <c r="D380" s="293"/>
      <c r="E380" s="293"/>
      <c r="F380" s="250"/>
      <c r="G380" s="293"/>
      <c r="H380" s="674"/>
      <c r="I380" s="674"/>
      <c r="J380" s="674"/>
      <c r="K380" s="674"/>
      <c r="L380" s="674"/>
      <c r="M380" s="674"/>
      <c r="N380" s="674"/>
      <c r="O380" s="674"/>
      <c r="P380" s="674"/>
      <c r="Q380" s="674"/>
      <c r="R380" s="674"/>
    </row>
    <row r="381" spans="1:18">
      <c r="A381" s="272"/>
      <c r="B381" s="294">
        <v>353.1</v>
      </c>
      <c r="C381" s="293"/>
      <c r="D381" s="293" t="s">
        <v>1368</v>
      </c>
      <c r="E381" s="293"/>
      <c r="F381" s="250">
        <v>-15</v>
      </c>
      <c r="G381" s="293"/>
      <c r="H381" s="674">
        <f>H367</f>
        <v>1.9</v>
      </c>
      <c r="I381" s="674"/>
      <c r="J381" s="674">
        <f t="shared" ref="J381:R382" si="0">J367</f>
        <v>1.6500000000000001</v>
      </c>
      <c r="K381" s="674"/>
      <c r="L381" s="674">
        <f t="shared" si="0"/>
        <v>0.3</v>
      </c>
      <c r="M381" s="674"/>
      <c r="N381" s="674">
        <f t="shared" si="0"/>
        <v>-0.05</v>
      </c>
      <c r="O381" s="674"/>
      <c r="P381" s="674" t="str">
        <f t="shared" si="0"/>
        <v>60-R2</v>
      </c>
      <c r="Q381" s="674"/>
      <c r="R381" s="674">
        <f t="shared" si="0"/>
        <v>46</v>
      </c>
    </row>
    <row r="382" spans="1:18">
      <c r="A382" s="272"/>
      <c r="B382" s="294">
        <v>353.2</v>
      </c>
      <c r="C382" s="293"/>
      <c r="D382" s="293" t="s">
        <v>1370</v>
      </c>
      <c r="E382" s="293"/>
      <c r="F382" s="250">
        <v>-15</v>
      </c>
      <c r="G382" s="293"/>
      <c r="H382" s="674">
        <f>H368</f>
        <v>0</v>
      </c>
      <c r="I382" s="674"/>
      <c r="J382" s="674">
        <f t="shared" si="0"/>
        <v>0</v>
      </c>
      <c r="K382" s="674"/>
      <c r="L382" s="674">
        <f t="shared" si="0"/>
        <v>0</v>
      </c>
      <c r="M382" s="674"/>
      <c r="N382" s="674">
        <f t="shared" si="0"/>
        <v>0</v>
      </c>
      <c r="O382" s="674"/>
      <c r="P382" s="674" t="str">
        <f t="shared" si="0"/>
        <v>45-R2</v>
      </c>
      <c r="Q382" s="674"/>
      <c r="R382" s="674">
        <f t="shared" si="0"/>
        <v>0</v>
      </c>
    </row>
    <row r="383" spans="1:18">
      <c r="A383" s="272">
        <v>353</v>
      </c>
      <c r="B383" s="294"/>
      <c r="C383" s="293"/>
      <c r="D383" s="297"/>
      <c r="E383" s="293"/>
      <c r="F383" s="676">
        <v>-0.15</v>
      </c>
      <c r="G383" s="298"/>
      <c r="H383" s="677">
        <v>1.9</v>
      </c>
      <c r="I383" s="674"/>
      <c r="J383" s="677"/>
      <c r="K383" s="677"/>
      <c r="L383" s="677"/>
      <c r="M383" s="677"/>
      <c r="N383" s="677"/>
      <c r="O383" s="677"/>
      <c r="P383" s="678" t="s">
        <v>2553</v>
      </c>
      <c r="Q383" s="677"/>
      <c r="R383" s="677">
        <v>46</v>
      </c>
    </row>
    <row r="384" spans="1:18">
      <c r="A384" s="272"/>
      <c r="B384" s="294"/>
      <c r="C384" s="293"/>
      <c r="D384" s="293"/>
      <c r="E384" s="293"/>
      <c r="F384" s="295"/>
      <c r="G384" s="293"/>
      <c r="H384" s="674"/>
      <c r="I384" s="674"/>
      <c r="J384" s="674"/>
      <c r="K384" s="674"/>
      <c r="L384" s="674"/>
      <c r="M384" s="674"/>
      <c r="N384" s="674"/>
      <c r="O384" s="674"/>
      <c r="P384" s="674"/>
      <c r="Q384" s="674"/>
      <c r="R384" s="674"/>
    </row>
    <row r="385" spans="1:18">
      <c r="A385" s="272"/>
      <c r="B385" s="248"/>
      <c r="C385" s="249"/>
      <c r="D385" s="249"/>
      <c r="E385" s="249"/>
      <c r="F385" s="250"/>
      <c r="G385" s="249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</row>
    <row r="386" spans="1:18">
      <c r="A386" s="272"/>
      <c r="B386" s="248"/>
      <c r="C386" s="239"/>
      <c r="D386" s="244" t="s">
        <v>1378</v>
      </c>
      <c r="E386" s="239"/>
      <c r="F386" s="250"/>
      <c r="G386" s="239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</row>
    <row r="387" spans="1:18">
      <c r="A387" s="272"/>
      <c r="B387" s="248"/>
      <c r="C387" s="249"/>
      <c r="D387" s="252"/>
      <c r="E387" s="249"/>
      <c r="F387" s="250"/>
      <c r="G387" s="249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674"/>
    </row>
    <row r="388" spans="1:18">
      <c r="A388" s="272">
        <v>360</v>
      </c>
      <c r="B388" s="248">
        <v>360.1</v>
      </c>
      <c r="C388" s="249"/>
      <c r="D388" s="679" t="s">
        <v>1379</v>
      </c>
      <c r="E388" s="249"/>
      <c r="F388" s="666">
        <v>0</v>
      </c>
      <c r="G388" s="249"/>
      <c r="H388" s="645">
        <v>0.64</v>
      </c>
      <c r="I388" s="251"/>
      <c r="J388" s="251">
        <v>0.64</v>
      </c>
      <c r="K388" s="251"/>
      <c r="L388" s="251">
        <v>0</v>
      </c>
      <c r="M388" s="251"/>
      <c r="N388" s="251">
        <v>0</v>
      </c>
      <c r="O388" s="251"/>
      <c r="P388" s="251" t="s">
        <v>1372</v>
      </c>
      <c r="Q388" s="251"/>
      <c r="R388" s="674">
        <v>51.4</v>
      </c>
    </row>
    <row r="389" spans="1:18">
      <c r="A389" s="272">
        <v>361</v>
      </c>
      <c r="B389" s="248"/>
      <c r="C389" s="249"/>
      <c r="D389" s="680" t="s">
        <v>1381</v>
      </c>
      <c r="E389" s="249"/>
      <c r="F389" s="666">
        <v>-25</v>
      </c>
      <c r="G389" s="249"/>
      <c r="H389" s="645">
        <v>2.15</v>
      </c>
      <c r="I389" s="251"/>
      <c r="J389" s="251">
        <v>1.72</v>
      </c>
      <c r="K389" s="251"/>
      <c r="L389" s="251">
        <v>0.43</v>
      </c>
      <c r="M389" s="251"/>
      <c r="N389" s="251">
        <v>0</v>
      </c>
      <c r="O389" s="251"/>
      <c r="P389" s="251" t="s">
        <v>1299</v>
      </c>
      <c r="Q389" s="251"/>
      <c r="R389" s="674">
        <v>48.4</v>
      </c>
    </row>
    <row r="390" spans="1:18">
      <c r="A390" s="272">
        <v>362</v>
      </c>
      <c r="B390" s="248"/>
      <c r="C390" s="249"/>
      <c r="D390" s="681" t="s">
        <v>1382</v>
      </c>
      <c r="E390" s="249"/>
      <c r="F390" s="666">
        <v>-20</v>
      </c>
      <c r="G390" s="249"/>
      <c r="H390" s="645">
        <v>1.56</v>
      </c>
      <c r="I390" s="251"/>
      <c r="J390" s="251">
        <v>1.5</v>
      </c>
      <c r="K390" s="251"/>
      <c r="L390" s="251">
        <v>0.08</v>
      </c>
      <c r="M390" s="251"/>
      <c r="N390" s="251">
        <v>-0.02</v>
      </c>
      <c r="O390" s="251"/>
      <c r="P390" s="251" t="s">
        <v>1383</v>
      </c>
      <c r="Q390" s="251"/>
      <c r="R390" s="674">
        <v>40.299999999999997</v>
      </c>
    </row>
    <row r="391" spans="1:18">
      <c r="A391" s="272">
        <v>364</v>
      </c>
      <c r="B391" s="248"/>
      <c r="C391" s="249"/>
      <c r="D391" s="681" t="s">
        <v>1384</v>
      </c>
      <c r="E391" s="249"/>
      <c r="F391" s="666">
        <v>-50</v>
      </c>
      <c r="G391" s="249"/>
      <c r="H391" s="645">
        <v>1.56</v>
      </c>
      <c r="I391" s="251"/>
      <c r="J391" s="251">
        <v>1.1200000000000001</v>
      </c>
      <c r="K391" s="251"/>
      <c r="L391" s="251">
        <v>0.49</v>
      </c>
      <c r="M391" s="251"/>
      <c r="N391" s="251">
        <v>-0.05</v>
      </c>
      <c r="O391" s="251"/>
      <c r="P391" s="251" t="s">
        <v>2296</v>
      </c>
      <c r="Q391" s="251"/>
      <c r="R391" s="674">
        <v>40.1</v>
      </c>
    </row>
    <row r="392" spans="1:18">
      <c r="A392" s="272">
        <v>365</v>
      </c>
      <c r="B392" s="248"/>
      <c r="C392" s="249"/>
      <c r="D392" s="680" t="s">
        <v>1385</v>
      </c>
      <c r="E392" s="249"/>
      <c r="F392" s="666">
        <v>-30</v>
      </c>
      <c r="G392" s="249"/>
      <c r="H392" s="645">
        <v>1.56</v>
      </c>
      <c r="I392" s="251"/>
      <c r="J392" s="251">
        <v>1.23</v>
      </c>
      <c r="K392" s="251"/>
      <c r="L392" s="251">
        <v>0.39</v>
      </c>
      <c r="M392" s="251"/>
      <c r="N392" s="251">
        <v>-0.06</v>
      </c>
      <c r="O392" s="251"/>
      <c r="P392" s="251" t="s">
        <v>2297</v>
      </c>
      <c r="Q392" s="251"/>
      <c r="R392" s="674">
        <v>38.299999999999997</v>
      </c>
    </row>
    <row r="393" spans="1:18">
      <c r="A393" s="272">
        <v>366</v>
      </c>
      <c r="B393" s="248"/>
      <c r="C393" s="249"/>
      <c r="D393" s="679" t="s">
        <v>1386</v>
      </c>
      <c r="E393" s="249"/>
      <c r="F393" s="666">
        <v>0</v>
      </c>
      <c r="G393" s="249"/>
      <c r="H393" s="645">
        <v>2.3199999999999998</v>
      </c>
      <c r="I393" s="251"/>
      <c r="J393" s="251">
        <v>2.3199999999999998</v>
      </c>
      <c r="K393" s="251"/>
      <c r="L393" s="251">
        <v>0</v>
      </c>
      <c r="M393" s="251"/>
      <c r="N393" s="251">
        <v>0</v>
      </c>
      <c r="O393" s="251"/>
      <c r="P393" s="251" t="s">
        <v>1387</v>
      </c>
      <c r="Q393" s="251"/>
      <c r="R393" s="674">
        <v>25.6</v>
      </c>
    </row>
    <row r="394" spans="1:18">
      <c r="A394" s="272">
        <v>367</v>
      </c>
      <c r="B394" s="272"/>
      <c r="C394" s="249"/>
      <c r="D394" s="680" t="s">
        <v>1388</v>
      </c>
      <c r="E394" s="249"/>
      <c r="F394" s="666">
        <v>-20</v>
      </c>
      <c r="G394" s="249"/>
      <c r="H394" s="645">
        <v>1.56</v>
      </c>
      <c r="I394" s="251"/>
      <c r="J394" s="251">
        <v>1.38</v>
      </c>
      <c r="K394" s="251"/>
      <c r="L394" s="251">
        <v>0.18</v>
      </c>
      <c r="M394" s="251"/>
      <c r="N394" s="251">
        <v>0</v>
      </c>
      <c r="O394" s="251"/>
      <c r="P394" s="251" t="s">
        <v>2298</v>
      </c>
      <c r="Q394" s="251"/>
      <c r="R394" s="674">
        <v>40.200000000000003</v>
      </c>
    </row>
    <row r="395" spans="1:18">
      <c r="A395" s="272">
        <v>368</v>
      </c>
      <c r="B395" s="248"/>
      <c r="C395" s="249"/>
      <c r="D395" s="680" t="s">
        <v>1389</v>
      </c>
      <c r="E395" s="249"/>
      <c r="F395" s="666">
        <v>-5</v>
      </c>
      <c r="G395" s="249"/>
      <c r="H395" s="645">
        <v>1.79</v>
      </c>
      <c r="I395" s="251"/>
      <c r="J395" s="251">
        <v>1.7000000000000002</v>
      </c>
      <c r="K395" s="251"/>
      <c r="L395" s="251">
        <v>0.13999999999999999</v>
      </c>
      <c r="M395" s="251"/>
      <c r="N395" s="251">
        <v>-0.05</v>
      </c>
      <c r="O395" s="251"/>
      <c r="P395" s="251" t="s">
        <v>2299</v>
      </c>
      <c r="Q395" s="251"/>
      <c r="R395" s="674">
        <v>33</v>
      </c>
    </row>
    <row r="396" spans="1:18">
      <c r="A396" s="272">
        <v>369</v>
      </c>
      <c r="B396" s="248"/>
      <c r="C396" s="249"/>
      <c r="D396" s="680" t="s">
        <v>1390</v>
      </c>
      <c r="E396" s="249"/>
      <c r="F396" s="666">
        <v>-25</v>
      </c>
      <c r="G396" s="249"/>
      <c r="H396" s="645">
        <v>1.63</v>
      </c>
      <c r="I396" s="251"/>
      <c r="J396" s="251">
        <v>1.3</v>
      </c>
      <c r="K396" s="251"/>
      <c r="L396" s="251">
        <v>0.33</v>
      </c>
      <c r="M396" s="251"/>
      <c r="N396" s="251">
        <v>0</v>
      </c>
      <c r="O396" s="251"/>
      <c r="P396" s="251" t="s">
        <v>2300</v>
      </c>
      <c r="Q396" s="251"/>
      <c r="R396" s="674">
        <v>36.6</v>
      </c>
    </row>
    <row r="397" spans="1:18">
      <c r="A397" s="272"/>
      <c r="B397" s="248">
        <v>370</v>
      </c>
      <c r="C397" s="249"/>
      <c r="D397" s="680" t="s">
        <v>1391</v>
      </c>
      <c r="E397" s="249"/>
      <c r="F397" s="666">
        <v>0</v>
      </c>
      <c r="G397" s="249"/>
      <c r="H397" s="645">
        <v>3.51</v>
      </c>
      <c r="I397" s="251"/>
      <c r="J397" s="251">
        <v>3.51</v>
      </c>
      <c r="K397" s="251"/>
      <c r="L397" s="251">
        <v>0</v>
      </c>
      <c r="M397" s="251"/>
      <c r="N397" s="251">
        <v>0</v>
      </c>
      <c r="O397" s="251"/>
      <c r="P397" s="251" t="s">
        <v>2305</v>
      </c>
      <c r="Q397" s="251"/>
      <c r="R397" s="674">
        <v>4.3</v>
      </c>
    </row>
    <row r="398" spans="1:18">
      <c r="B398" s="248">
        <v>370.01</v>
      </c>
      <c r="C398" s="249"/>
      <c r="D398" s="680" t="s">
        <v>2301</v>
      </c>
      <c r="E398" s="249"/>
      <c r="F398" s="666">
        <v>0</v>
      </c>
      <c r="G398" s="249"/>
      <c r="H398" s="645">
        <v>6.8500000000000005</v>
      </c>
      <c r="I398" s="251"/>
      <c r="J398" s="251">
        <v>6.8500000000000005</v>
      </c>
      <c r="K398" s="251"/>
      <c r="L398" s="251">
        <v>0</v>
      </c>
      <c r="M398" s="251"/>
      <c r="N398" s="251">
        <v>0</v>
      </c>
      <c r="O398" s="251"/>
      <c r="P398" s="251" t="s">
        <v>2302</v>
      </c>
      <c r="Q398" s="251"/>
      <c r="R398" s="674">
        <v>14.5</v>
      </c>
    </row>
    <row r="399" spans="1:18">
      <c r="B399" s="248">
        <v>370.11</v>
      </c>
      <c r="C399" s="249"/>
      <c r="D399" s="680" t="s">
        <v>2754</v>
      </c>
      <c r="E399" s="249"/>
      <c r="F399" s="666">
        <v>0</v>
      </c>
      <c r="G399" s="249"/>
      <c r="H399" s="645">
        <v>6.8500000000000005</v>
      </c>
      <c r="I399" s="251"/>
      <c r="J399" s="251">
        <v>6.8500000000000005</v>
      </c>
      <c r="K399" s="251"/>
      <c r="L399" s="251">
        <v>0</v>
      </c>
      <c r="M399" s="251"/>
      <c r="N399" s="251">
        <v>0</v>
      </c>
      <c r="O399" s="251"/>
      <c r="P399" s="251" t="s">
        <v>2302</v>
      </c>
      <c r="Q399" s="251"/>
      <c r="R399" s="674">
        <v>14.5</v>
      </c>
    </row>
    <row r="400" spans="1:18">
      <c r="A400" s="272"/>
      <c r="B400" s="248">
        <v>370.2</v>
      </c>
      <c r="C400" s="249"/>
      <c r="D400" s="682" t="s">
        <v>2554</v>
      </c>
      <c r="E400" s="249"/>
      <c r="F400" s="666">
        <v>0</v>
      </c>
      <c r="G400" s="249"/>
      <c r="H400" s="645">
        <v>4.29</v>
      </c>
      <c r="I400" s="251"/>
      <c r="J400" s="251">
        <v>4.29</v>
      </c>
      <c r="K400" s="251"/>
      <c r="L400" s="251">
        <v>0</v>
      </c>
      <c r="M400" s="251"/>
      <c r="N400" s="251">
        <v>0</v>
      </c>
      <c r="O400" s="251"/>
      <c r="P400" s="251" t="s">
        <v>2305</v>
      </c>
      <c r="Q400" s="251"/>
      <c r="R400" s="674">
        <v>14.7</v>
      </c>
    </row>
    <row r="401" spans="1:18">
      <c r="A401" s="272">
        <v>371</v>
      </c>
      <c r="B401" s="248"/>
      <c r="C401" s="249"/>
      <c r="D401" s="680" t="s">
        <v>1392</v>
      </c>
      <c r="E401" s="249"/>
      <c r="F401" s="666">
        <v>-10</v>
      </c>
      <c r="G401" s="249"/>
      <c r="H401" s="645">
        <v>0.52999999999999992</v>
      </c>
      <c r="I401" s="251"/>
      <c r="J401" s="251">
        <v>0.48</v>
      </c>
      <c r="K401" s="251"/>
      <c r="L401" s="251">
        <v>0.06</v>
      </c>
      <c r="M401" s="251"/>
      <c r="N401" s="251">
        <v>-0.01</v>
      </c>
      <c r="O401" s="251"/>
      <c r="P401" s="251" t="s">
        <v>2303</v>
      </c>
      <c r="Q401" s="251"/>
      <c r="R401" s="674">
        <v>19.3</v>
      </c>
    </row>
    <row r="402" spans="1:18">
      <c r="A402" s="272"/>
      <c r="B402" s="248">
        <v>371.01</v>
      </c>
      <c r="C402" s="249"/>
      <c r="D402" s="680" t="s">
        <v>2755</v>
      </c>
      <c r="E402" s="249"/>
      <c r="F402" s="666">
        <v>0</v>
      </c>
      <c r="G402" s="249"/>
      <c r="H402" s="645">
        <v>10</v>
      </c>
      <c r="I402" s="251"/>
      <c r="J402" s="251">
        <v>10</v>
      </c>
      <c r="K402" s="251"/>
      <c r="L402" s="251">
        <v>0</v>
      </c>
      <c r="M402" s="251"/>
      <c r="N402" s="251">
        <v>0</v>
      </c>
      <c r="O402" s="251"/>
      <c r="P402" s="251" t="s">
        <v>2756</v>
      </c>
      <c r="Q402" s="251"/>
      <c r="R402" s="674"/>
    </row>
    <row r="403" spans="1:18">
      <c r="A403" s="272">
        <v>373</v>
      </c>
      <c r="B403" s="248"/>
      <c r="C403" s="249"/>
      <c r="D403" s="680" t="s">
        <v>1393</v>
      </c>
      <c r="E403" s="249"/>
      <c r="F403" s="666">
        <v>-10</v>
      </c>
      <c r="G403" s="249"/>
      <c r="H403" s="645">
        <v>4.0000000000000009</v>
      </c>
      <c r="I403" s="251"/>
      <c r="J403" s="251">
        <v>3.64</v>
      </c>
      <c r="K403" s="251"/>
      <c r="L403" s="251">
        <v>0.47000000000000003</v>
      </c>
      <c r="M403" s="251"/>
      <c r="N403" s="251">
        <v>-0.11</v>
      </c>
      <c r="O403" s="251"/>
      <c r="P403" s="251" t="s">
        <v>2304</v>
      </c>
      <c r="Q403" s="251"/>
      <c r="R403" s="674">
        <v>22.1</v>
      </c>
    </row>
    <row r="404" spans="1:18">
      <c r="A404" s="272"/>
      <c r="B404" s="248"/>
      <c r="C404" s="249"/>
      <c r="D404" s="249"/>
      <c r="E404" s="249"/>
      <c r="F404" s="250"/>
      <c r="G404" s="249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645"/>
    </row>
    <row r="405" spans="1:18">
      <c r="A405" s="272"/>
      <c r="B405" s="248">
        <v>370</v>
      </c>
      <c r="C405" s="249"/>
      <c r="D405" s="682" t="s">
        <v>2554</v>
      </c>
      <c r="E405" s="249"/>
      <c r="F405" s="666">
        <v>0</v>
      </c>
      <c r="G405" s="249"/>
      <c r="H405" s="645">
        <v>4.29</v>
      </c>
      <c r="I405" s="251"/>
      <c r="J405" s="251">
        <v>4.29</v>
      </c>
      <c r="K405" s="251"/>
      <c r="L405" s="251">
        <v>0</v>
      </c>
      <c r="M405" s="251"/>
      <c r="N405" s="251">
        <v>0</v>
      </c>
      <c r="O405" s="251"/>
      <c r="P405" s="251" t="s">
        <v>2305</v>
      </c>
      <c r="Q405" s="251"/>
      <c r="R405" s="674">
        <v>14.7</v>
      </c>
    </row>
    <row r="406" spans="1:18">
      <c r="A406" s="272"/>
      <c r="B406" s="248">
        <v>370.01</v>
      </c>
      <c r="C406" s="249"/>
      <c r="D406" s="680" t="s">
        <v>2301</v>
      </c>
      <c r="E406" s="249"/>
      <c r="F406" s="666">
        <v>0</v>
      </c>
      <c r="G406" s="249"/>
      <c r="H406" s="645">
        <v>6.8500000000000005</v>
      </c>
      <c r="I406" s="251"/>
      <c r="J406" s="251">
        <v>6.8500000000000005</v>
      </c>
      <c r="K406" s="251"/>
      <c r="L406" s="251">
        <v>0</v>
      </c>
      <c r="M406" s="251"/>
      <c r="N406" s="251">
        <v>0</v>
      </c>
      <c r="O406" s="251"/>
      <c r="P406" s="251" t="s">
        <v>2302</v>
      </c>
      <c r="Q406" s="251"/>
      <c r="R406" s="674">
        <v>14.5</v>
      </c>
    </row>
    <row r="407" spans="1:18">
      <c r="A407" s="272"/>
      <c r="B407" s="248">
        <v>370.2</v>
      </c>
      <c r="C407" s="249"/>
      <c r="D407" s="680" t="s">
        <v>1391</v>
      </c>
      <c r="E407" s="249"/>
      <c r="F407" s="666">
        <v>0</v>
      </c>
      <c r="G407" s="249"/>
      <c r="H407" s="645">
        <v>3.51</v>
      </c>
      <c r="I407" s="251"/>
      <c r="J407" s="251">
        <v>3.51</v>
      </c>
      <c r="K407" s="251"/>
      <c r="L407" s="251">
        <v>0</v>
      </c>
      <c r="M407" s="251"/>
      <c r="N407" s="251">
        <v>0</v>
      </c>
      <c r="O407" s="251"/>
      <c r="P407" s="251" t="s">
        <v>2305</v>
      </c>
      <c r="Q407" s="251"/>
      <c r="R407" s="674">
        <v>4.3</v>
      </c>
    </row>
    <row r="408" spans="1:18">
      <c r="A408" s="272">
        <v>370</v>
      </c>
      <c r="B408" s="248"/>
      <c r="C408" s="249"/>
      <c r="D408" s="249"/>
      <c r="E408" s="249"/>
      <c r="F408" s="250">
        <v>0</v>
      </c>
      <c r="G408" s="249"/>
      <c r="H408" s="683">
        <v>3.65</v>
      </c>
      <c r="I408" s="683"/>
      <c r="J408" s="683"/>
      <c r="K408" s="683"/>
      <c r="L408" s="683"/>
      <c r="M408" s="683"/>
      <c r="N408" s="683"/>
      <c r="O408" s="683"/>
      <c r="P408" s="683" t="s">
        <v>2316</v>
      </c>
      <c r="Q408" s="683"/>
      <c r="R408" s="684" t="s">
        <v>2321</v>
      </c>
    </row>
    <row r="409" spans="1:18">
      <c r="A409" s="272"/>
      <c r="B409" s="248"/>
      <c r="C409" s="249"/>
      <c r="D409" s="249"/>
      <c r="E409" s="249"/>
      <c r="F409" s="250"/>
      <c r="G409" s="249"/>
      <c r="H409" s="668"/>
      <c r="I409" s="668"/>
      <c r="J409" s="668"/>
      <c r="K409" s="668"/>
      <c r="L409" s="668"/>
      <c r="M409" s="668"/>
      <c r="N409" s="668"/>
      <c r="O409" s="668"/>
      <c r="P409" s="668"/>
      <c r="Q409" s="668"/>
      <c r="R409" s="655"/>
    </row>
    <row r="410" spans="1:18">
      <c r="A410" s="272"/>
      <c r="B410" s="248"/>
      <c r="C410" s="249"/>
      <c r="D410" s="249"/>
      <c r="E410" s="249"/>
      <c r="F410" s="250"/>
      <c r="G410" s="249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645"/>
    </row>
    <row r="411" spans="1:18">
      <c r="A411" s="272"/>
      <c r="B411" s="248"/>
      <c r="C411" s="249"/>
      <c r="D411" s="247" t="s">
        <v>1394</v>
      </c>
      <c r="E411" s="249"/>
      <c r="F411" s="250"/>
      <c r="G411" s="243"/>
      <c r="H411" s="251">
        <v>1.84</v>
      </c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</row>
    <row r="412" spans="1:18">
      <c r="A412" s="272"/>
      <c r="B412" s="248"/>
      <c r="C412" s="249"/>
      <c r="D412" s="247"/>
      <c r="E412" s="249"/>
      <c r="F412" s="250"/>
      <c r="G412" s="243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</row>
    <row r="413" spans="1:18">
      <c r="A413" s="272"/>
      <c r="B413" s="248"/>
      <c r="C413" s="249"/>
      <c r="D413" s="249"/>
      <c r="E413" s="249"/>
      <c r="F413" s="250"/>
      <c r="G413" s="249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</row>
    <row r="414" spans="1:18">
      <c r="A414" s="272"/>
      <c r="B414" s="248"/>
      <c r="C414" s="249"/>
      <c r="D414" s="244" t="s">
        <v>1395</v>
      </c>
      <c r="E414" s="249"/>
      <c r="F414" s="250"/>
      <c r="G414" s="249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</row>
    <row r="415" spans="1:18">
      <c r="A415" s="272"/>
      <c r="B415" s="248"/>
      <c r="C415" s="249"/>
      <c r="D415" s="252"/>
      <c r="E415" s="249"/>
      <c r="F415" s="250"/>
      <c r="G415" s="249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</row>
    <row r="416" spans="1:18">
      <c r="A416" s="272"/>
      <c r="B416" s="248">
        <v>390.1</v>
      </c>
      <c r="C416" s="249"/>
      <c r="D416" s="257" t="s">
        <v>1396</v>
      </c>
      <c r="E416" s="249"/>
      <c r="F416" s="250">
        <v>-15</v>
      </c>
      <c r="G416" s="249"/>
      <c r="H416" s="251">
        <v>2.4300000000000002</v>
      </c>
      <c r="I416" s="251"/>
      <c r="J416" s="251">
        <v>2.11</v>
      </c>
      <c r="K416" s="251"/>
      <c r="L416" s="251">
        <v>0.32</v>
      </c>
      <c r="M416" s="251"/>
      <c r="N416" s="251">
        <v>0</v>
      </c>
      <c r="O416" s="251"/>
      <c r="P416" s="251" t="s">
        <v>2306</v>
      </c>
      <c r="Q416" s="251"/>
      <c r="R416" s="645">
        <v>39.200000000000003</v>
      </c>
    </row>
    <row r="417" spans="1:18">
      <c r="A417" s="272"/>
      <c r="B417" s="248">
        <v>390.2</v>
      </c>
      <c r="C417" s="249"/>
      <c r="D417" s="257" t="s">
        <v>1397</v>
      </c>
      <c r="E417" s="249"/>
      <c r="F417" s="250">
        <v>-10</v>
      </c>
      <c r="G417" s="249"/>
      <c r="H417" s="251">
        <v>1.43</v>
      </c>
      <c r="I417" s="251"/>
      <c r="J417" s="251">
        <v>1.3</v>
      </c>
      <c r="K417" s="251"/>
      <c r="L417" s="251">
        <v>0.13</v>
      </c>
      <c r="M417" s="251"/>
      <c r="N417" s="251">
        <v>0</v>
      </c>
      <c r="O417" s="251"/>
      <c r="P417" s="251" t="s">
        <v>2307</v>
      </c>
      <c r="Q417" s="251"/>
      <c r="R417" s="645">
        <v>18</v>
      </c>
    </row>
    <row r="418" spans="1:18">
      <c r="A418" s="272"/>
      <c r="B418" s="248">
        <v>391.1</v>
      </c>
      <c r="C418" s="249"/>
      <c r="D418" s="257" t="s">
        <v>1398</v>
      </c>
      <c r="E418" s="249"/>
      <c r="F418" s="250">
        <v>0</v>
      </c>
      <c r="G418" s="249"/>
      <c r="H418" s="251">
        <v>4.3600000000000003</v>
      </c>
      <c r="I418" s="251"/>
      <c r="J418" s="251">
        <v>4.3600000000000003</v>
      </c>
      <c r="K418" s="251"/>
      <c r="L418" s="251">
        <v>0</v>
      </c>
      <c r="M418" s="251"/>
      <c r="N418" s="251">
        <v>0</v>
      </c>
      <c r="O418" s="251"/>
      <c r="P418" s="251" t="s">
        <v>1270</v>
      </c>
      <c r="Q418" s="251"/>
      <c r="R418" s="645">
        <v>9.9</v>
      </c>
    </row>
    <row r="419" spans="1:18">
      <c r="A419" s="272"/>
      <c r="B419" s="248">
        <v>391.2</v>
      </c>
      <c r="C419" s="249"/>
      <c r="D419" s="257" t="s">
        <v>1399</v>
      </c>
      <c r="E419" s="249"/>
      <c r="F419" s="250">
        <v>0</v>
      </c>
      <c r="G419" s="249"/>
      <c r="H419" s="251">
        <v>11.690000000000001</v>
      </c>
      <c r="I419" s="251"/>
      <c r="J419" s="251">
        <v>11.690000000000001</v>
      </c>
      <c r="K419" s="251"/>
      <c r="L419" s="251">
        <v>0</v>
      </c>
      <c r="M419" s="251"/>
      <c r="N419" s="251">
        <v>0</v>
      </c>
      <c r="O419" s="251"/>
      <c r="P419" s="251" t="s">
        <v>1272</v>
      </c>
      <c r="Q419" s="251"/>
      <c r="R419" s="645">
        <v>4</v>
      </c>
    </row>
    <row r="420" spans="1:18">
      <c r="A420" s="272"/>
      <c r="B420" s="248">
        <v>391.31</v>
      </c>
      <c r="C420" s="249"/>
      <c r="D420" s="257" t="s">
        <v>1400</v>
      </c>
      <c r="E420" s="249"/>
      <c r="F420" s="250">
        <v>0</v>
      </c>
      <c r="G420" s="249"/>
      <c r="H420" s="251">
        <v>25.019999999999996</v>
      </c>
      <c r="I420" s="251"/>
      <c r="J420" s="251">
        <v>25.019999999999996</v>
      </c>
      <c r="K420" s="251"/>
      <c r="L420" s="251">
        <v>0</v>
      </c>
      <c r="M420" s="251"/>
      <c r="N420" s="251">
        <v>0</v>
      </c>
      <c r="O420" s="251"/>
      <c r="P420" s="251" t="s">
        <v>1401</v>
      </c>
      <c r="Q420" s="251"/>
      <c r="R420" s="645">
        <v>2.2000000000000002</v>
      </c>
    </row>
    <row r="421" spans="1:18">
      <c r="A421" s="272"/>
      <c r="B421" s="248">
        <v>392</v>
      </c>
      <c r="C421" s="249"/>
      <c r="D421" s="249" t="s">
        <v>1402</v>
      </c>
      <c r="E421" s="249"/>
      <c r="F421" s="250">
        <v>0</v>
      </c>
      <c r="G421" s="249"/>
      <c r="H421" s="251">
        <v>1.97</v>
      </c>
      <c r="I421" s="251"/>
      <c r="J421" s="251">
        <v>1.97</v>
      </c>
      <c r="K421" s="251"/>
      <c r="L421" s="251">
        <v>0</v>
      </c>
      <c r="M421" s="251"/>
      <c r="N421" s="251">
        <v>0</v>
      </c>
      <c r="O421" s="251"/>
      <c r="P421" s="251" t="s">
        <v>2308</v>
      </c>
      <c r="Q421" s="251"/>
      <c r="R421" s="645">
        <v>10.8</v>
      </c>
    </row>
    <row r="422" spans="1:18">
      <c r="A422" s="272"/>
      <c r="B422" s="248">
        <v>392.1</v>
      </c>
      <c r="C422" s="249"/>
      <c r="D422" s="249" t="s">
        <v>1403</v>
      </c>
      <c r="E422" s="249"/>
      <c r="F422" s="250">
        <v>0</v>
      </c>
      <c r="G422" s="249"/>
      <c r="H422" s="251">
        <v>3.19</v>
      </c>
      <c r="I422" s="251"/>
      <c r="J422" s="251">
        <v>3.19</v>
      </c>
      <c r="K422" s="251"/>
      <c r="L422" s="251">
        <v>0</v>
      </c>
      <c r="M422" s="251"/>
      <c r="N422" s="251">
        <v>0</v>
      </c>
      <c r="O422" s="251"/>
      <c r="P422" s="251" t="s">
        <v>2309</v>
      </c>
      <c r="Q422" s="251"/>
      <c r="R422" s="645">
        <v>13.9</v>
      </c>
    </row>
    <row r="423" spans="1:18">
      <c r="A423" s="272">
        <v>393</v>
      </c>
      <c r="B423" s="248">
        <v>393</v>
      </c>
      <c r="C423" s="249"/>
      <c r="D423" s="253" t="s">
        <v>1404</v>
      </c>
      <c r="E423" s="249"/>
      <c r="F423" s="250">
        <v>0</v>
      </c>
      <c r="G423" s="249"/>
      <c r="H423" s="251">
        <v>4.3999999999999995</v>
      </c>
      <c r="I423" s="251"/>
      <c r="J423" s="251">
        <v>4.3999999999999995</v>
      </c>
      <c r="K423" s="251"/>
      <c r="L423" s="251">
        <v>0</v>
      </c>
      <c r="M423" s="251"/>
      <c r="N423" s="251">
        <v>0</v>
      </c>
      <c r="O423" s="251"/>
      <c r="P423" s="251" t="s">
        <v>1405</v>
      </c>
      <c r="Q423" s="251"/>
      <c r="R423" s="645">
        <v>18</v>
      </c>
    </row>
    <row r="424" spans="1:18">
      <c r="A424" s="272">
        <v>394</v>
      </c>
      <c r="B424" s="248">
        <v>394</v>
      </c>
      <c r="C424" s="249"/>
      <c r="D424" s="257" t="s">
        <v>1406</v>
      </c>
      <c r="E424" s="249"/>
      <c r="F424" s="250">
        <v>0</v>
      </c>
      <c r="G424" s="249"/>
      <c r="H424" s="251">
        <v>4.0199999999999996</v>
      </c>
      <c r="I424" s="251"/>
      <c r="J424" s="251">
        <v>4.0199999999999996</v>
      </c>
      <c r="K424" s="251"/>
      <c r="L424" s="251">
        <v>0</v>
      </c>
      <c r="M424" s="251"/>
      <c r="N424" s="251">
        <v>0</v>
      </c>
      <c r="O424" s="251"/>
      <c r="P424" s="251" t="s">
        <v>1405</v>
      </c>
      <c r="Q424" s="251"/>
      <c r="R424" s="645">
        <v>17.5</v>
      </c>
    </row>
    <row r="425" spans="1:18">
      <c r="A425" s="742">
        <v>396</v>
      </c>
      <c r="B425" s="743">
        <v>396.3</v>
      </c>
      <c r="C425" s="744"/>
      <c r="D425" s="745" t="s">
        <v>1407</v>
      </c>
      <c r="E425" s="249"/>
      <c r="F425" s="250">
        <v>0</v>
      </c>
      <c r="G425" s="249"/>
      <c r="H425" s="251">
        <v>5.65</v>
      </c>
      <c r="I425" s="251"/>
      <c r="J425" s="251">
        <v>5.65</v>
      </c>
      <c r="K425" s="251"/>
      <c r="L425" s="251">
        <v>0</v>
      </c>
      <c r="M425" s="251"/>
      <c r="N425" s="251">
        <v>0</v>
      </c>
      <c r="O425" s="251"/>
      <c r="P425" s="251" t="s">
        <v>2310</v>
      </c>
      <c r="Q425" s="251"/>
      <c r="R425" s="645">
        <v>12</v>
      </c>
    </row>
    <row r="426" spans="1:18">
      <c r="A426" s="742"/>
      <c r="B426" s="743">
        <v>396.2</v>
      </c>
      <c r="C426" s="744"/>
      <c r="D426" s="745" t="s">
        <v>2757</v>
      </c>
      <c r="E426" s="249"/>
      <c r="F426" s="250">
        <v>0</v>
      </c>
      <c r="G426" s="249"/>
      <c r="H426" s="251">
        <v>4.99</v>
      </c>
      <c r="I426" s="251"/>
      <c r="J426" s="251">
        <v>4.99</v>
      </c>
      <c r="K426" s="251"/>
      <c r="L426" s="251">
        <v>0</v>
      </c>
      <c r="M426" s="251"/>
      <c r="N426" s="251">
        <v>0</v>
      </c>
      <c r="O426" s="251"/>
      <c r="P426" s="251" t="s">
        <v>2758</v>
      </c>
      <c r="Q426" s="251"/>
      <c r="R426" s="645">
        <v>13.3</v>
      </c>
    </row>
    <row r="427" spans="1:18">
      <c r="A427" s="272"/>
      <c r="B427" s="248">
        <v>397</v>
      </c>
      <c r="C427" s="249"/>
      <c r="D427" s="253" t="s">
        <v>2555</v>
      </c>
      <c r="E427" s="249"/>
      <c r="F427" s="250">
        <v>0</v>
      </c>
      <c r="G427" s="249"/>
      <c r="H427" s="251">
        <v>4.9000000000000004</v>
      </c>
      <c r="I427" s="251"/>
      <c r="J427" s="251">
        <v>4.9000000000000004</v>
      </c>
      <c r="K427" s="251"/>
      <c r="L427" s="251">
        <v>0</v>
      </c>
      <c r="M427" s="251"/>
      <c r="N427" s="251">
        <v>0</v>
      </c>
      <c r="O427" s="251"/>
      <c r="P427" s="251" t="s">
        <v>2311</v>
      </c>
      <c r="Q427" s="251"/>
      <c r="R427" s="645">
        <v>13.4</v>
      </c>
    </row>
    <row r="428" spans="1:18">
      <c r="A428" s="272"/>
      <c r="B428" s="248">
        <v>397.1</v>
      </c>
      <c r="C428" s="249"/>
      <c r="D428" s="253" t="s">
        <v>2556</v>
      </c>
      <c r="E428" s="249"/>
      <c r="F428" s="250">
        <v>0</v>
      </c>
      <c r="G428" s="249"/>
      <c r="H428" s="251">
        <v>10.84</v>
      </c>
      <c r="I428" s="251"/>
      <c r="J428" s="251">
        <v>10.84</v>
      </c>
      <c r="K428" s="251"/>
      <c r="L428" s="251">
        <v>0</v>
      </c>
      <c r="M428" s="251"/>
      <c r="N428" s="251">
        <v>0</v>
      </c>
      <c r="O428" s="251"/>
      <c r="P428" s="251" t="s">
        <v>1408</v>
      </c>
      <c r="Q428" s="251"/>
      <c r="R428" s="645">
        <v>5.6</v>
      </c>
    </row>
    <row r="429" spans="1:18">
      <c r="A429" s="272"/>
      <c r="B429" s="248">
        <v>397.2</v>
      </c>
      <c r="C429" s="249"/>
      <c r="D429" s="249" t="s">
        <v>2312</v>
      </c>
      <c r="E429" s="249"/>
      <c r="F429" s="250">
        <v>0</v>
      </c>
      <c r="G429" s="249"/>
      <c r="H429" s="251">
        <v>14.08</v>
      </c>
      <c r="I429" s="251"/>
      <c r="J429" s="251">
        <v>14.08</v>
      </c>
      <c r="K429" s="251"/>
      <c r="L429" s="251">
        <v>0</v>
      </c>
      <c r="M429" s="251"/>
      <c r="N429" s="251">
        <v>0</v>
      </c>
      <c r="O429" s="251"/>
      <c r="P429" s="251" t="s">
        <v>1408</v>
      </c>
      <c r="Q429" s="251"/>
      <c r="R429" s="251">
        <v>6.5</v>
      </c>
    </row>
    <row r="430" spans="1:18">
      <c r="A430" s="272"/>
      <c r="B430" s="248"/>
      <c r="C430" s="249"/>
      <c r="D430" s="249"/>
      <c r="E430" s="249"/>
      <c r="F430" s="250"/>
      <c r="G430" s="249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</row>
    <row r="431" spans="1:18">
      <c r="A431" s="272"/>
      <c r="B431" s="239"/>
      <c r="C431" s="249"/>
      <c r="D431" s="247" t="s">
        <v>1409</v>
      </c>
      <c r="E431" s="249"/>
      <c r="F431" s="250"/>
      <c r="G431" s="249"/>
      <c r="H431" s="251">
        <v>6.84</v>
      </c>
      <c r="I431" s="251"/>
      <c r="J431" s="641"/>
      <c r="K431" s="251"/>
      <c r="L431" s="641"/>
      <c r="M431" s="251"/>
      <c r="N431" s="641"/>
      <c r="O431" s="641"/>
      <c r="P431" s="251"/>
      <c r="Q431" s="251"/>
      <c r="R431" s="251"/>
    </row>
    <row r="432" spans="1:18">
      <c r="A432" s="272"/>
      <c r="B432" s="239"/>
      <c r="C432" s="249"/>
      <c r="D432" s="243"/>
      <c r="E432" s="249"/>
      <c r="F432" s="250"/>
      <c r="G432" s="249"/>
      <c r="H432" s="251"/>
      <c r="I432" s="251"/>
      <c r="J432" s="641"/>
      <c r="K432" s="251"/>
      <c r="L432" s="641"/>
      <c r="M432" s="251"/>
      <c r="N432" s="641"/>
      <c r="O432" s="641"/>
      <c r="P432" s="251"/>
      <c r="Q432" s="251"/>
      <c r="R432" s="251"/>
    </row>
    <row r="433" spans="1:18">
      <c r="A433" s="272"/>
      <c r="B433" s="239"/>
      <c r="C433" s="249"/>
      <c r="D433" s="247" t="s">
        <v>1410</v>
      </c>
      <c r="E433" s="249"/>
      <c r="F433" s="250"/>
      <c r="G433" s="249"/>
      <c r="H433" s="251">
        <v>2.97</v>
      </c>
      <c r="I433" s="251"/>
      <c r="J433" s="641"/>
      <c r="K433" s="251"/>
      <c r="L433" s="641"/>
      <c r="M433" s="251"/>
      <c r="N433" s="641"/>
      <c r="O433" s="641"/>
      <c r="P433" s="251"/>
      <c r="Q433" s="251"/>
      <c r="R433" s="251"/>
    </row>
    <row r="434" spans="1:18">
      <c r="A434" s="272"/>
      <c r="B434" s="239"/>
      <c r="C434" s="249"/>
      <c r="D434" s="247"/>
      <c r="E434" s="249"/>
      <c r="F434" s="250"/>
      <c r="G434" s="249"/>
      <c r="H434" s="251"/>
      <c r="I434" s="251"/>
      <c r="J434" s="641"/>
      <c r="K434" s="251"/>
      <c r="L434" s="641"/>
      <c r="M434" s="251"/>
      <c r="N434" s="641"/>
      <c r="O434" s="641"/>
      <c r="P434" s="251"/>
      <c r="Q434" s="251"/>
      <c r="R434" s="251"/>
    </row>
    <row r="435" spans="1:18">
      <c r="A435" s="272"/>
      <c r="B435" s="248">
        <v>390.1</v>
      </c>
      <c r="C435" s="249"/>
      <c r="D435" s="257" t="s">
        <v>1396</v>
      </c>
      <c r="E435" s="249"/>
      <c r="F435" s="250">
        <v>-15</v>
      </c>
      <c r="G435" s="249"/>
      <c r="H435" s="251">
        <f>H416</f>
        <v>2.4300000000000002</v>
      </c>
      <c r="I435" s="251"/>
      <c r="J435" s="251">
        <f>J416</f>
        <v>2.11</v>
      </c>
      <c r="K435" s="251"/>
      <c r="L435" s="251">
        <f>L416</f>
        <v>0.32</v>
      </c>
      <c r="M435" s="251"/>
      <c r="N435" s="251">
        <f>N416</f>
        <v>0</v>
      </c>
      <c r="O435" s="251"/>
      <c r="P435" s="251" t="str">
        <f>P416</f>
        <v>50-S0</v>
      </c>
      <c r="Q435" s="251"/>
      <c r="R435" s="251">
        <f>R416</f>
        <v>39.200000000000003</v>
      </c>
    </row>
    <row r="436" spans="1:18">
      <c r="A436" s="272"/>
      <c r="B436" s="248">
        <v>390.2</v>
      </c>
      <c r="C436" s="249"/>
      <c r="D436" s="257" t="s">
        <v>1397</v>
      </c>
      <c r="E436" s="249"/>
      <c r="F436" s="250">
        <v>-10</v>
      </c>
      <c r="G436" s="249"/>
      <c r="H436" s="251">
        <f>H417</f>
        <v>1.43</v>
      </c>
      <c r="I436" s="251"/>
      <c r="J436" s="251">
        <f>J417</f>
        <v>1.3</v>
      </c>
      <c r="K436" s="251"/>
      <c r="L436" s="251">
        <f>L417</f>
        <v>0.13</v>
      </c>
      <c r="M436" s="251"/>
      <c r="N436" s="251">
        <f>N417</f>
        <v>0</v>
      </c>
      <c r="O436" s="251"/>
      <c r="P436" s="251" t="str">
        <f>P417</f>
        <v>33-R1.5</v>
      </c>
      <c r="Q436" s="251"/>
      <c r="R436" s="251">
        <f>R417</f>
        <v>18</v>
      </c>
    </row>
    <row r="437" spans="1:18">
      <c r="A437" s="272">
        <v>390</v>
      </c>
      <c r="B437" s="239"/>
      <c r="C437" s="249"/>
      <c r="D437" s="247"/>
      <c r="E437" s="249"/>
      <c r="F437" s="676">
        <v>0.15</v>
      </c>
      <c r="G437" s="249"/>
      <c r="H437" s="683">
        <v>2.42</v>
      </c>
      <c r="I437" s="683"/>
      <c r="J437" s="685"/>
      <c r="K437" s="683"/>
      <c r="L437" s="685"/>
      <c r="M437" s="683"/>
      <c r="N437" s="685"/>
      <c r="O437" s="685"/>
      <c r="P437" s="683" t="s">
        <v>2557</v>
      </c>
      <c r="Q437" s="683"/>
      <c r="R437" s="686" t="s">
        <v>2558</v>
      </c>
    </row>
    <row r="438" spans="1:18">
      <c r="A438" s="272"/>
      <c r="B438" s="239"/>
      <c r="C438" s="249"/>
      <c r="D438" s="247"/>
      <c r="E438" s="249"/>
      <c r="F438" s="250"/>
      <c r="G438" s="249"/>
      <c r="H438" s="251"/>
      <c r="I438" s="251"/>
      <c r="J438" s="641"/>
      <c r="K438" s="251"/>
      <c r="L438" s="641"/>
      <c r="M438" s="251"/>
      <c r="N438" s="641"/>
      <c r="O438" s="641"/>
      <c r="P438" s="251"/>
      <c r="Q438" s="251"/>
      <c r="R438" s="251"/>
    </row>
    <row r="439" spans="1:18">
      <c r="A439" s="272"/>
      <c r="B439" s="248">
        <v>391.1</v>
      </c>
      <c r="C439" s="249"/>
      <c r="D439" s="257" t="s">
        <v>1398</v>
      </c>
      <c r="E439" s="249"/>
      <c r="F439" s="250">
        <v>0</v>
      </c>
      <c r="G439" s="249"/>
      <c r="H439" s="251">
        <f>H418</f>
        <v>4.3600000000000003</v>
      </c>
      <c r="I439" s="251"/>
      <c r="J439" s="251">
        <f t="shared" ref="J439:R439" si="1">J418</f>
        <v>4.3600000000000003</v>
      </c>
      <c r="K439" s="251"/>
      <c r="L439" s="251">
        <f t="shared" si="1"/>
        <v>0</v>
      </c>
      <c r="M439" s="251"/>
      <c r="N439" s="251">
        <f t="shared" si="1"/>
        <v>0</v>
      </c>
      <c r="O439" s="251"/>
      <c r="P439" s="251" t="str">
        <f t="shared" si="1"/>
        <v>20-SQ</v>
      </c>
      <c r="Q439" s="251"/>
      <c r="R439" s="251">
        <f t="shared" si="1"/>
        <v>9.9</v>
      </c>
    </row>
    <row r="440" spans="1:18">
      <c r="A440" s="272"/>
      <c r="B440" s="248">
        <v>391.2</v>
      </c>
      <c r="C440" s="249"/>
      <c r="D440" s="257" t="s">
        <v>1399</v>
      </c>
      <c r="E440" s="249"/>
      <c r="F440" s="250">
        <v>0</v>
      </c>
      <c r="G440" s="249"/>
      <c r="H440" s="251">
        <f>H419</f>
        <v>11.690000000000001</v>
      </c>
      <c r="I440" s="251"/>
      <c r="J440" s="251">
        <f>J419</f>
        <v>11.690000000000001</v>
      </c>
      <c r="K440" s="251"/>
      <c r="L440" s="251">
        <f>L419</f>
        <v>0</v>
      </c>
      <c r="M440" s="251"/>
      <c r="N440" s="251">
        <f>N419</f>
        <v>0</v>
      </c>
      <c r="O440" s="251"/>
      <c r="P440" s="251" t="str">
        <f>P419</f>
        <v>5-SQ</v>
      </c>
      <c r="Q440" s="251"/>
      <c r="R440" s="251">
        <f>R419</f>
        <v>4</v>
      </c>
    </row>
    <row r="441" spans="1:18">
      <c r="A441" s="272"/>
      <c r="B441" s="248">
        <v>391.31</v>
      </c>
      <c r="C441" s="249"/>
      <c r="D441" s="257" t="s">
        <v>1400</v>
      </c>
      <c r="E441" s="249"/>
      <c r="F441" s="250">
        <v>0</v>
      </c>
      <c r="G441" s="249"/>
      <c r="H441" s="251">
        <f>H420</f>
        <v>25.019999999999996</v>
      </c>
      <c r="I441" s="251"/>
      <c r="J441" s="251">
        <f>J420</f>
        <v>25.019999999999996</v>
      </c>
      <c r="K441" s="251"/>
      <c r="L441" s="251">
        <f>L420</f>
        <v>0</v>
      </c>
      <c r="M441" s="251"/>
      <c r="N441" s="251">
        <f>N420</f>
        <v>0</v>
      </c>
      <c r="O441" s="251"/>
      <c r="P441" s="251" t="str">
        <f>P420</f>
        <v>4-SQ</v>
      </c>
      <c r="Q441" s="251"/>
      <c r="R441" s="251">
        <f>R420</f>
        <v>2.2000000000000002</v>
      </c>
    </row>
    <row r="442" spans="1:18">
      <c r="A442" s="272">
        <v>391</v>
      </c>
      <c r="B442" s="248"/>
      <c r="C442" s="249"/>
      <c r="D442" s="257"/>
      <c r="E442" s="249"/>
      <c r="F442" s="250">
        <v>0</v>
      </c>
      <c r="G442" s="249"/>
      <c r="H442" s="683">
        <v>12.29</v>
      </c>
      <c r="I442" s="683"/>
      <c r="J442" s="685"/>
      <c r="K442" s="683"/>
      <c r="L442" s="685"/>
      <c r="M442" s="683"/>
      <c r="N442" s="685"/>
      <c r="O442" s="685"/>
      <c r="P442" s="683" t="s">
        <v>1829</v>
      </c>
      <c r="Q442" s="683"/>
      <c r="R442" s="686" t="s">
        <v>2318</v>
      </c>
    </row>
    <row r="443" spans="1:18">
      <c r="A443" s="272"/>
      <c r="B443" s="248"/>
      <c r="C443" s="249"/>
      <c r="D443" s="257"/>
      <c r="E443" s="249"/>
      <c r="F443" s="250"/>
      <c r="G443" s="249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</row>
    <row r="444" spans="1:18">
      <c r="A444" s="272"/>
      <c r="B444" s="239"/>
      <c r="C444" s="249"/>
      <c r="D444" s="247"/>
      <c r="E444" s="249"/>
      <c r="F444" s="250"/>
      <c r="G444" s="249"/>
      <c r="H444" s="251"/>
      <c r="I444" s="251"/>
      <c r="J444" s="641"/>
      <c r="K444" s="251"/>
      <c r="L444" s="641"/>
      <c r="M444" s="251"/>
      <c r="N444" s="641"/>
      <c r="O444" s="641"/>
      <c r="P444" s="251"/>
      <c r="Q444" s="251"/>
      <c r="R444" s="251"/>
    </row>
    <row r="445" spans="1:18">
      <c r="A445" s="272"/>
      <c r="B445" s="248">
        <v>392</v>
      </c>
      <c r="C445" s="249"/>
      <c r="D445" s="249" t="s">
        <v>1402</v>
      </c>
      <c r="E445" s="249"/>
      <c r="F445" s="250">
        <v>0</v>
      </c>
      <c r="G445" s="249"/>
      <c r="H445" s="251">
        <f>H421</f>
        <v>1.97</v>
      </c>
      <c r="I445" s="251"/>
      <c r="J445" s="251">
        <f>J421</f>
        <v>1.97</v>
      </c>
      <c r="K445" s="251"/>
      <c r="L445" s="251">
        <f>L421</f>
        <v>0</v>
      </c>
      <c r="M445" s="251"/>
      <c r="N445" s="251">
        <f>N421</f>
        <v>0</v>
      </c>
      <c r="O445" s="251"/>
      <c r="P445" s="251" t="str">
        <f>P421</f>
        <v>14-S2</v>
      </c>
      <c r="Q445" s="251"/>
      <c r="R445" s="251">
        <f>R421</f>
        <v>10.8</v>
      </c>
    </row>
    <row r="446" spans="1:18">
      <c r="A446" s="272"/>
      <c r="B446" s="248">
        <v>392.1</v>
      </c>
      <c r="C446" s="249"/>
      <c r="D446" s="249" t="s">
        <v>1403</v>
      </c>
      <c r="E446" s="249"/>
      <c r="F446" s="250">
        <v>0</v>
      </c>
      <c r="G446" s="249"/>
      <c r="H446" s="251">
        <f>H422</f>
        <v>3.19</v>
      </c>
      <c r="I446" s="251"/>
      <c r="J446" s="251">
        <f>J422</f>
        <v>3.19</v>
      </c>
      <c r="K446" s="251"/>
      <c r="L446" s="251">
        <f>L422</f>
        <v>0</v>
      </c>
      <c r="M446" s="251"/>
      <c r="N446" s="251">
        <f>N422</f>
        <v>0</v>
      </c>
      <c r="O446" s="251"/>
      <c r="P446" s="251" t="str">
        <f>P422</f>
        <v>16-L2.5</v>
      </c>
      <c r="Q446" s="251"/>
      <c r="R446" s="251">
        <f>R422</f>
        <v>13.9</v>
      </c>
    </row>
    <row r="447" spans="1:18">
      <c r="A447" s="272">
        <v>392</v>
      </c>
      <c r="B447" s="248"/>
      <c r="C447" s="249"/>
      <c r="D447" s="249"/>
      <c r="E447" s="249"/>
      <c r="F447" s="250">
        <v>0</v>
      </c>
      <c r="G447" s="249"/>
      <c r="H447" s="683">
        <v>2.95</v>
      </c>
      <c r="I447" s="683"/>
      <c r="J447" s="685"/>
      <c r="K447" s="683"/>
      <c r="L447" s="685"/>
      <c r="M447" s="683"/>
      <c r="N447" s="685"/>
      <c r="O447" s="685"/>
      <c r="P447" s="683" t="s">
        <v>2559</v>
      </c>
      <c r="Q447" s="683"/>
      <c r="R447" s="686" t="s">
        <v>2319</v>
      </c>
    </row>
    <row r="448" spans="1:18">
      <c r="A448" s="272"/>
      <c r="B448" s="248"/>
      <c r="C448" s="249"/>
      <c r="D448" s="249"/>
      <c r="E448" s="249"/>
      <c r="F448" s="250"/>
      <c r="G448" s="249"/>
      <c r="H448" s="672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</row>
    <row r="449" spans="1:18">
      <c r="A449" s="272"/>
      <c r="B449" s="248"/>
      <c r="C449" s="249"/>
      <c r="D449" s="249"/>
      <c r="E449" s="249"/>
      <c r="F449" s="250"/>
      <c r="G449" s="249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</row>
    <row r="450" spans="1:18">
      <c r="A450" s="272"/>
      <c r="B450" s="248">
        <v>397</v>
      </c>
      <c r="C450" s="249"/>
      <c r="D450" s="253" t="s">
        <v>2555</v>
      </c>
      <c r="E450" s="249"/>
      <c r="F450" s="250">
        <v>0</v>
      </c>
      <c r="G450" s="249"/>
      <c r="H450" s="251">
        <f>H427</f>
        <v>4.9000000000000004</v>
      </c>
      <c r="I450" s="251"/>
      <c r="J450" s="251">
        <f t="shared" ref="J450:R450" si="2">J427</f>
        <v>4.9000000000000004</v>
      </c>
      <c r="K450" s="251"/>
      <c r="L450" s="251">
        <f t="shared" si="2"/>
        <v>0</v>
      </c>
      <c r="M450" s="251"/>
      <c r="N450" s="251">
        <f t="shared" si="2"/>
        <v>0</v>
      </c>
      <c r="O450" s="251"/>
      <c r="P450" s="251" t="str">
        <f t="shared" si="2"/>
        <v>18-L3</v>
      </c>
      <c r="Q450" s="251"/>
      <c r="R450" s="251">
        <f t="shared" si="2"/>
        <v>13.4</v>
      </c>
    </row>
    <row r="451" spans="1:18">
      <c r="A451" s="272"/>
      <c r="B451" s="248">
        <v>397.1</v>
      </c>
      <c r="C451" s="249"/>
      <c r="D451" s="253" t="s">
        <v>2556</v>
      </c>
      <c r="E451" s="249"/>
      <c r="F451" s="250">
        <v>0</v>
      </c>
      <c r="G451" s="249"/>
      <c r="H451" s="251">
        <f t="shared" ref="H451:R452" si="3">H428</f>
        <v>10.84</v>
      </c>
      <c r="I451" s="251"/>
      <c r="J451" s="251">
        <f t="shared" si="3"/>
        <v>10.84</v>
      </c>
      <c r="K451" s="251"/>
      <c r="L451" s="251">
        <f t="shared" si="3"/>
        <v>0</v>
      </c>
      <c r="M451" s="251"/>
      <c r="N451" s="251">
        <f t="shared" si="3"/>
        <v>0</v>
      </c>
      <c r="O451" s="251"/>
      <c r="P451" s="251" t="str">
        <f t="shared" si="3"/>
        <v>10-SQ</v>
      </c>
      <c r="Q451" s="251"/>
      <c r="R451" s="251">
        <f t="shared" si="3"/>
        <v>5.6</v>
      </c>
    </row>
    <row r="452" spans="1:18">
      <c r="A452" s="272"/>
      <c r="B452" s="248">
        <v>397.2</v>
      </c>
      <c r="C452" s="249"/>
      <c r="D452" s="249" t="s">
        <v>2312</v>
      </c>
      <c r="E452" s="249"/>
      <c r="F452" s="250">
        <v>0</v>
      </c>
      <c r="G452" s="249"/>
      <c r="H452" s="251">
        <f t="shared" si="3"/>
        <v>14.08</v>
      </c>
      <c r="I452" s="251"/>
      <c r="J452" s="251">
        <f t="shared" si="3"/>
        <v>14.08</v>
      </c>
      <c r="K452" s="251"/>
      <c r="L452" s="251">
        <f t="shared" si="3"/>
        <v>0</v>
      </c>
      <c r="M452" s="251"/>
      <c r="N452" s="251">
        <f t="shared" si="3"/>
        <v>0</v>
      </c>
      <c r="O452" s="251"/>
      <c r="P452" s="251" t="str">
        <f t="shared" si="3"/>
        <v>10-SQ</v>
      </c>
      <c r="Q452" s="251"/>
      <c r="R452" s="251">
        <f t="shared" si="3"/>
        <v>6.5</v>
      </c>
    </row>
    <row r="453" spans="1:18">
      <c r="A453" s="272">
        <v>397</v>
      </c>
      <c r="B453" s="248"/>
      <c r="C453" s="249"/>
      <c r="D453" s="249"/>
      <c r="E453" s="249"/>
      <c r="F453" s="250">
        <v>0</v>
      </c>
      <c r="G453" s="249"/>
      <c r="H453" s="683">
        <v>8.24</v>
      </c>
      <c r="I453" s="683"/>
      <c r="J453" s="685"/>
      <c r="K453" s="683"/>
      <c r="L453" s="685"/>
      <c r="M453" s="683"/>
      <c r="N453" s="685"/>
      <c r="O453" s="685"/>
      <c r="P453" s="683" t="s">
        <v>2317</v>
      </c>
      <c r="Q453" s="683"/>
      <c r="R453" s="686" t="s">
        <v>2320</v>
      </c>
    </row>
    <row r="454" spans="1:18">
      <c r="F454" s="250"/>
    </row>
    <row r="455" spans="1:18">
      <c r="F455" s="250"/>
    </row>
    <row r="456" spans="1:18">
      <c r="F456" s="250"/>
    </row>
    <row r="457" spans="1:18">
      <c r="F457" s="250"/>
    </row>
    <row r="458" spans="1:18">
      <c r="F458" s="250"/>
    </row>
    <row r="459" spans="1:18">
      <c r="F459" s="250"/>
    </row>
    <row r="460" spans="1:18">
      <c r="F460" s="250"/>
    </row>
    <row r="461" spans="1:18">
      <c r="F461" s="250"/>
    </row>
    <row r="462" spans="1:18">
      <c r="F462" s="250"/>
    </row>
    <row r="463" spans="1:18">
      <c r="F463" s="250"/>
    </row>
    <row r="464" spans="1:18">
      <c r="A464" s="465"/>
      <c r="F464" s="250"/>
    </row>
    <row r="465" spans="1:6">
      <c r="A465" s="465"/>
      <c r="F465" s="250"/>
    </row>
    <row r="466" spans="1:6">
      <c r="A466" s="465"/>
      <c r="F466" s="250"/>
    </row>
    <row r="467" spans="1:6">
      <c r="A467" s="465"/>
      <c r="F467" s="250"/>
    </row>
    <row r="468" spans="1:6">
      <c r="A468" s="465"/>
      <c r="F468" s="250"/>
    </row>
    <row r="469" spans="1:6">
      <c r="A469" s="465"/>
      <c r="F469" s="250"/>
    </row>
    <row r="470" spans="1:6">
      <c r="A470" s="465"/>
      <c r="F470" s="250"/>
    </row>
  </sheetData>
  <mergeCells count="4">
    <mergeCell ref="B1:R1"/>
    <mergeCell ref="A11:D11"/>
    <mergeCell ref="A4:S4"/>
    <mergeCell ref="A5:S5"/>
  </mergeCells>
  <pageMargins left="0.7" right="0.7" top="0.75" bottom="0.75" header="0.3" footer="0.3"/>
  <pageSetup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I47"/>
  <sheetViews>
    <sheetView zoomScale="85" zoomScaleNormal="85" workbookViewId="0">
      <selection sqref="A1:F1"/>
    </sheetView>
  </sheetViews>
  <sheetFormatPr defaultColWidth="9" defaultRowHeight="12.75"/>
  <cols>
    <col min="1" max="1" width="6" style="69" customWidth="1"/>
    <col min="2" max="2" width="38.375" style="69" customWidth="1"/>
    <col min="3" max="3" width="15.875" style="69" customWidth="1"/>
    <col min="4" max="4" width="14.75" style="69" customWidth="1"/>
    <col min="5" max="5" width="3.75" style="69" customWidth="1"/>
    <col min="6" max="6" width="14.75" style="69" customWidth="1"/>
    <col min="7" max="7" width="1.625" style="69" customWidth="1"/>
    <col min="8" max="8" width="13.125" style="69" customWidth="1"/>
    <col min="9" max="16384" width="9" style="69"/>
  </cols>
  <sheetData>
    <row r="1" spans="1:9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</row>
    <row r="2" spans="1:9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</row>
    <row r="3" spans="1:9" s="68" customFormat="1" ht="20.100000000000001" customHeight="1">
      <c r="A3" s="809" t="s">
        <v>1173</v>
      </c>
      <c r="B3" s="809"/>
      <c r="C3" s="809"/>
      <c r="D3" s="809"/>
      <c r="E3" s="809"/>
      <c r="F3" s="809"/>
    </row>
    <row r="4" spans="1:9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</row>
    <row r="5" spans="1:9" s="68" customFormat="1" ht="20.100000000000001" customHeight="1">
      <c r="A5" s="808" t="str">
        <f>'Rate Case Constants'!C18</f>
        <v>AS OF JUNE 30, 2022</v>
      </c>
      <c r="B5" s="809"/>
      <c r="C5" s="809"/>
      <c r="D5" s="809"/>
      <c r="E5" s="809"/>
      <c r="F5" s="809"/>
    </row>
    <row r="6" spans="1:9" s="68" customFormat="1" ht="20.100000000000001" customHeight="1">
      <c r="A6" s="84"/>
      <c r="B6" s="84"/>
      <c r="C6" s="84"/>
      <c r="D6" s="84"/>
      <c r="E6" s="84"/>
      <c r="F6" s="84"/>
    </row>
    <row r="7" spans="1:9" s="68" customFormat="1" ht="20.100000000000001" customHeight="1">
      <c r="A7" s="67" t="s">
        <v>173</v>
      </c>
      <c r="E7" s="74"/>
      <c r="F7" s="74" t="s">
        <v>1172</v>
      </c>
    </row>
    <row r="8" spans="1:9" s="68" customFormat="1" ht="20.100000000000001" customHeight="1">
      <c r="A8" s="68" t="str">
        <f>'Rate Case Constants'!C29</f>
        <v>TYPE OF FILING: __X__ ORIGINAL  _____ UPDATED  _____ REVISED</v>
      </c>
      <c r="E8" s="74"/>
      <c r="F8" s="74" t="s">
        <v>175</v>
      </c>
    </row>
    <row r="9" spans="1:9" s="68" customFormat="1" ht="20.100000000000001" customHeight="1">
      <c r="A9" s="67" t="s">
        <v>1194</v>
      </c>
      <c r="E9" s="75"/>
      <c r="F9" s="75" t="str">
        <f>'Rate Case Constants'!C36</f>
        <v>WITNESS:   C. M. GARRETT</v>
      </c>
    </row>
    <row r="10" spans="1:9" s="68" customFormat="1" ht="20.100000000000001" customHeight="1"/>
    <row r="11" spans="1:9" ht="58.5" customHeight="1">
      <c r="A11" s="76" t="s">
        <v>131</v>
      </c>
      <c r="B11" s="79" t="s">
        <v>1174</v>
      </c>
      <c r="C11" s="76" t="s">
        <v>1175</v>
      </c>
      <c r="D11" s="76" t="s">
        <v>1176</v>
      </c>
      <c r="E11" s="76"/>
      <c r="F11" s="76" t="s">
        <v>1177</v>
      </c>
    </row>
    <row r="12" spans="1:9" ht="23.1" customHeight="1">
      <c r="A12" s="80"/>
      <c r="B12" s="81"/>
      <c r="C12" s="81"/>
      <c r="D12" s="82" t="s">
        <v>142</v>
      </c>
      <c r="E12" s="82"/>
      <c r="F12" s="82" t="s">
        <v>142</v>
      </c>
    </row>
    <row r="13" spans="1:9" ht="23.1" customHeight="1">
      <c r="A13" s="73"/>
      <c r="B13" s="78" t="s">
        <v>1169</v>
      </c>
      <c r="C13" s="71"/>
      <c r="D13" s="95"/>
      <c r="E13" s="95"/>
      <c r="F13" s="95"/>
    </row>
    <row r="14" spans="1:9" ht="18.95" customHeight="1">
      <c r="A14" s="70">
        <v>1</v>
      </c>
      <c r="B14" s="78" t="s">
        <v>15</v>
      </c>
      <c r="C14" s="71" t="s">
        <v>1182</v>
      </c>
      <c r="D14" s="86">
        <f>'SCH B-2'!G27</f>
        <v>8064865360.8814383</v>
      </c>
      <c r="E14" s="86"/>
      <c r="F14" s="86">
        <f>'SCH B-2'!G55</f>
        <v>9649576172.2962837</v>
      </c>
      <c r="I14" s="93"/>
    </row>
    <row r="15" spans="1:9" ht="18.95" customHeight="1">
      <c r="A15" s="70">
        <v>2</v>
      </c>
      <c r="B15" s="78" t="s">
        <v>1181</v>
      </c>
      <c r="C15" s="71" t="s">
        <v>1183</v>
      </c>
      <c r="D15" s="86">
        <f>SUM('SCH B-2.6'!$G13:$G17)</f>
        <v>1196865.7517534709</v>
      </c>
      <c r="E15" s="86"/>
      <c r="F15" s="86">
        <f>SUM('SCH B-2.6'!$G33:$G37)</f>
        <v>1196865.8924704194</v>
      </c>
      <c r="H15" s="93"/>
      <c r="I15" s="93"/>
    </row>
    <row r="16" spans="1:9" ht="18.95" customHeight="1">
      <c r="A16" s="70">
        <v>3</v>
      </c>
      <c r="B16" s="78" t="s">
        <v>1178</v>
      </c>
      <c r="C16" s="71" t="s">
        <v>1184</v>
      </c>
      <c r="D16" s="131">
        <f>'SCH B-3 B'!$I116</f>
        <v>-3078403439.530582</v>
      </c>
      <c r="E16" s="86"/>
      <c r="F16" s="131">
        <f>'SCH B-3 F'!$I116</f>
        <v>-3515588478.5004873</v>
      </c>
      <c r="H16" s="93"/>
      <c r="I16" s="93"/>
    </row>
    <row r="17" spans="1:9" ht="18.95" customHeight="1">
      <c r="A17" s="70">
        <v>4</v>
      </c>
      <c r="B17" s="78" t="s">
        <v>1205</v>
      </c>
      <c r="C17" s="71"/>
      <c r="D17" s="86">
        <f>SUM(D14:D16)</f>
        <v>4987658787.1026096</v>
      </c>
      <c r="E17" s="86"/>
      <c r="F17" s="86">
        <f>SUM(F14:F16)</f>
        <v>6135184559.6882677</v>
      </c>
      <c r="I17" s="93"/>
    </row>
    <row r="18" spans="1:9" ht="18.95" customHeight="1">
      <c r="A18" s="70">
        <v>5</v>
      </c>
      <c r="B18" s="78" t="s">
        <v>1179</v>
      </c>
      <c r="C18" s="71" t="s">
        <v>1186</v>
      </c>
      <c r="D18" s="131">
        <f>'SCH B-4'!J22</f>
        <v>143354513.23109385</v>
      </c>
      <c r="E18" s="86"/>
      <c r="F18" s="89">
        <f>'SCH B-4'!J47</f>
        <v>155823721.27160484</v>
      </c>
      <c r="H18" s="93"/>
      <c r="I18" s="93"/>
    </row>
    <row r="19" spans="1:9" ht="18.95" customHeight="1">
      <c r="A19" s="70">
        <v>6</v>
      </c>
      <c r="B19" s="78" t="s">
        <v>1206</v>
      </c>
      <c r="C19" s="71"/>
      <c r="D19" s="86">
        <f>SUM(D17:D18)</f>
        <v>5131013300.333703</v>
      </c>
      <c r="E19" s="86"/>
      <c r="F19" s="86">
        <f>SUM(F17:F18)</f>
        <v>6291008280.9598722</v>
      </c>
      <c r="I19" s="93"/>
    </row>
    <row r="20" spans="1:9" ht="8.25" customHeight="1">
      <c r="A20" s="70"/>
      <c r="B20" s="78"/>
      <c r="C20" s="71"/>
      <c r="D20" s="86"/>
      <c r="E20" s="86"/>
      <c r="F20" s="88"/>
      <c r="I20" s="93"/>
    </row>
    <row r="21" spans="1:9" ht="18.95" customHeight="1">
      <c r="A21" s="70">
        <v>7</v>
      </c>
      <c r="B21" s="78" t="s">
        <v>1180</v>
      </c>
      <c r="C21" s="71" t="s">
        <v>1185</v>
      </c>
      <c r="D21" s="86">
        <f ca="1">'SCH B-5'!G21</f>
        <v>113610169.29883184</v>
      </c>
      <c r="E21" s="86"/>
      <c r="F21" s="86">
        <f>'SCH B-5'!G47</f>
        <v>130078093.24042901</v>
      </c>
      <c r="I21" s="93"/>
    </row>
    <row r="22" spans="1:9" ht="18.95" customHeight="1">
      <c r="A22" s="70">
        <v>8</v>
      </c>
      <c r="B22" s="78" t="s">
        <v>1187</v>
      </c>
      <c r="C22" s="71" t="s">
        <v>1185</v>
      </c>
      <c r="D22" s="86">
        <f>'SCH B-5'!G13+'SCH B-5'!G15+'SCH B-5'!G17+'SCH B-5'!G19</f>
        <v>133360857.10931772</v>
      </c>
      <c r="E22" s="86"/>
      <c r="F22" s="86">
        <f>SUM('SCH B-5'!G39:G45)</f>
        <v>141451085.26844323</v>
      </c>
      <c r="I22" s="93"/>
    </row>
    <row r="23" spans="1:9" ht="18.95" customHeight="1">
      <c r="A23" s="70">
        <v>9</v>
      </c>
      <c r="B23" s="78" t="s">
        <v>1188</v>
      </c>
      <c r="C23" s="71" t="s">
        <v>1189</v>
      </c>
      <c r="D23" s="86">
        <f>-'SCH B-6'!H12</f>
        <v>-1712215.5636785864</v>
      </c>
      <c r="E23" s="86"/>
      <c r="F23" s="86">
        <f>-'SCH B-6'!H34</f>
        <v>-1712215.5636785864</v>
      </c>
      <c r="I23" s="93"/>
    </row>
    <row r="24" spans="1:9" ht="18.95" customHeight="1">
      <c r="A24" s="70">
        <v>10</v>
      </c>
      <c r="B24" s="78" t="s">
        <v>1190</v>
      </c>
      <c r="C24" s="71" t="s">
        <v>1189</v>
      </c>
      <c r="D24" s="86">
        <f>-'SCH B-6'!H16</f>
        <v>-1012273526.1623662</v>
      </c>
      <c r="E24" s="86"/>
      <c r="F24" s="86">
        <f>-'SCH B-6'!H38</f>
        <v>-1282066234.1413991</v>
      </c>
      <c r="I24" s="93"/>
    </row>
    <row r="25" spans="1:9" ht="18.95" customHeight="1">
      <c r="A25" s="70">
        <v>11</v>
      </c>
      <c r="B25" s="78" t="s">
        <v>1191</v>
      </c>
      <c r="C25" s="71" t="s">
        <v>1189</v>
      </c>
      <c r="D25" s="86">
        <f>-'SCH B-6'!H14</f>
        <v>-82288493.059952542</v>
      </c>
      <c r="E25" s="86"/>
      <c r="F25" s="86">
        <f>-'SCH B-6'!H36</f>
        <v>-80926984.971659347</v>
      </c>
      <c r="I25" s="93"/>
    </row>
    <row r="26" spans="1:9" ht="18.95" customHeight="1">
      <c r="A26" s="70">
        <v>12</v>
      </c>
      <c r="B26" s="78" t="s">
        <v>1192</v>
      </c>
      <c r="C26" s="71" t="s">
        <v>1189</v>
      </c>
      <c r="D26" s="131">
        <f>-'SCH B-6'!H18</f>
        <v>0</v>
      </c>
      <c r="E26" s="86"/>
      <c r="F26" s="131">
        <f>-'SCH B-6'!H40</f>
        <v>0</v>
      </c>
      <c r="I26" s="93"/>
    </row>
    <row r="27" spans="1:9" ht="18.95" customHeight="1">
      <c r="A27" s="70"/>
      <c r="B27" s="78"/>
      <c r="C27" s="71"/>
      <c r="D27" s="86"/>
      <c r="E27" s="86"/>
      <c r="F27" s="88"/>
      <c r="I27" s="93"/>
    </row>
    <row r="28" spans="1:9" ht="18.95" customHeight="1" thickBot="1">
      <c r="A28" s="70">
        <v>13</v>
      </c>
      <c r="B28" s="78" t="s">
        <v>1193</v>
      </c>
      <c r="C28" s="71"/>
      <c r="D28" s="94">
        <f ca="1">SUM(D19:D26)</f>
        <v>4281710091.9558554</v>
      </c>
      <c r="E28" s="86"/>
      <c r="F28" s="94">
        <f>SUM(F19:F26)</f>
        <v>5197832024.7920065</v>
      </c>
      <c r="I28" s="93"/>
    </row>
    <row r="29" spans="1:9" ht="18.95" customHeight="1" thickTop="1">
      <c r="A29" s="70"/>
      <c r="B29" s="78"/>
      <c r="C29" s="71"/>
      <c r="D29" s="86"/>
      <c r="E29" s="86"/>
      <c r="F29" s="88"/>
    </row>
    <row r="30" spans="1:9" ht="18.95" customHeight="1">
      <c r="A30" s="70"/>
      <c r="B30" s="78"/>
      <c r="C30" s="71"/>
      <c r="D30" s="86"/>
      <c r="E30" s="86"/>
      <c r="F30" s="88"/>
    </row>
    <row r="31" spans="1:9" ht="18.95" customHeight="1">
      <c r="A31" s="70"/>
      <c r="B31" s="78"/>
      <c r="C31" s="71"/>
      <c r="D31" s="86"/>
      <c r="E31" s="86"/>
      <c r="F31" s="86"/>
    </row>
    <row r="32" spans="1:9" ht="18.95" customHeight="1">
      <c r="A32" s="70"/>
      <c r="B32" s="78"/>
      <c r="C32" s="71"/>
      <c r="D32" s="86"/>
      <c r="E32" s="86"/>
      <c r="F32" s="88"/>
    </row>
    <row r="33" spans="1:6" ht="18.95" customHeight="1">
      <c r="A33" s="70"/>
      <c r="B33" s="78"/>
      <c r="C33" s="71"/>
      <c r="D33" s="86"/>
      <c r="E33" s="86"/>
      <c r="F33" s="88"/>
    </row>
    <row r="34" spans="1:6" ht="18.95" customHeight="1">
      <c r="A34" s="70"/>
      <c r="B34" s="78"/>
      <c r="C34" s="71"/>
      <c r="D34" s="86"/>
      <c r="E34" s="86"/>
      <c r="F34" s="88"/>
    </row>
    <row r="35" spans="1:6" ht="18.95" customHeight="1">
      <c r="A35" s="70"/>
      <c r="B35" s="78"/>
      <c r="C35" s="71"/>
      <c r="D35" s="86"/>
      <c r="E35" s="86"/>
      <c r="F35" s="88"/>
    </row>
    <row r="36" spans="1:6" ht="18.95" customHeight="1">
      <c r="A36" s="70"/>
      <c r="B36" s="78"/>
      <c r="C36" s="71"/>
      <c r="D36" s="86"/>
      <c r="E36" s="86"/>
      <c r="F36" s="88"/>
    </row>
    <row r="37" spans="1:6" ht="18.95" customHeight="1">
      <c r="A37" s="70"/>
      <c r="B37" s="78"/>
      <c r="C37" s="71"/>
      <c r="D37" s="86"/>
      <c r="E37" s="86"/>
      <c r="F37" s="88"/>
    </row>
    <row r="38" spans="1:6" ht="18.95" customHeight="1">
      <c r="A38" s="70"/>
      <c r="B38" s="78"/>
      <c r="C38" s="71"/>
      <c r="D38" s="86"/>
      <c r="E38" s="86"/>
      <c r="F38" s="88"/>
    </row>
    <row r="39" spans="1:6" ht="18.95" customHeight="1">
      <c r="A39" s="70"/>
      <c r="B39" s="78"/>
      <c r="C39" s="71"/>
      <c r="D39" s="86"/>
      <c r="E39" s="86"/>
      <c r="F39" s="88"/>
    </row>
    <row r="40" spans="1:6" ht="18.95" customHeight="1">
      <c r="A40" s="70"/>
      <c r="B40" s="78"/>
      <c r="C40" s="71"/>
      <c r="D40" s="86"/>
      <c r="E40" s="86"/>
      <c r="F40" s="88"/>
    </row>
    <row r="41" spans="1:6" ht="18.95" customHeight="1">
      <c r="A41" s="70"/>
      <c r="B41" s="78"/>
      <c r="C41" s="71"/>
      <c r="D41" s="86"/>
      <c r="E41" s="86"/>
      <c r="F41" s="88"/>
    </row>
    <row r="42" spans="1:6" ht="18.95" customHeight="1">
      <c r="A42" s="70"/>
      <c r="B42" s="78"/>
      <c r="C42" s="71"/>
      <c r="D42" s="86"/>
      <c r="E42" s="86"/>
      <c r="F42" s="88"/>
    </row>
    <row r="43" spans="1:6" ht="18.95" customHeight="1">
      <c r="A43" s="70"/>
      <c r="B43" s="78"/>
      <c r="C43" s="71"/>
      <c r="D43" s="86"/>
      <c r="E43" s="86"/>
      <c r="F43" s="88"/>
    </row>
    <row r="44" spans="1:6" ht="18.95" customHeight="1">
      <c r="A44" s="70"/>
      <c r="B44" s="78"/>
      <c r="C44" s="71"/>
      <c r="D44" s="86"/>
      <c r="E44" s="86"/>
      <c r="F44" s="88"/>
    </row>
    <row r="45" spans="1:6" ht="18.95" customHeight="1">
      <c r="A45" s="70"/>
      <c r="B45" s="78"/>
      <c r="C45" s="71"/>
      <c r="D45" s="86"/>
      <c r="E45" s="86"/>
      <c r="F45" s="88"/>
    </row>
    <row r="46" spans="1:6" ht="18.95" customHeight="1">
      <c r="A46" s="70"/>
      <c r="B46" s="78"/>
      <c r="C46" s="71"/>
      <c r="D46" s="86"/>
      <c r="E46" s="86"/>
      <c r="F46" s="88"/>
    </row>
    <row r="47" spans="1:6" ht="18.95" customHeight="1">
      <c r="A47" s="70"/>
      <c r="B47" s="78"/>
      <c r="C47" s="71"/>
      <c r="D47" s="86"/>
      <c r="E47" s="86"/>
      <c r="F47" s="88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R361"/>
  <sheetViews>
    <sheetView zoomScale="70" zoomScaleNormal="70" workbookViewId="0"/>
  </sheetViews>
  <sheetFormatPr defaultColWidth="11" defaultRowHeight="15.75"/>
  <cols>
    <col min="1" max="1" width="9" style="640"/>
    <col min="2" max="2" width="9" style="465"/>
    <col min="3" max="3" width="1.625" style="465" customWidth="1"/>
    <col min="4" max="4" width="59.75" style="465" customWidth="1"/>
    <col min="5" max="5" width="1.625" style="465" customWidth="1"/>
    <col min="6" max="6" width="20.25" style="464" bestFit="1" customWidth="1"/>
    <col min="7" max="7" width="1.625" style="465" customWidth="1"/>
    <col min="8" max="8" width="10.125" style="649" bestFit="1" customWidth="1"/>
    <col min="9" max="9" width="1.625" style="649" customWidth="1"/>
    <col min="10" max="10" width="11.875" style="649" bestFit="1" customWidth="1"/>
    <col min="11" max="11" width="1.625" style="649" customWidth="1"/>
    <col min="12" max="12" width="11.125" style="649" bestFit="1" customWidth="1"/>
    <col min="13" max="13" width="1.625" style="649" customWidth="1"/>
    <col min="14" max="14" width="10.5" style="649" bestFit="1" customWidth="1"/>
    <col min="15" max="15" width="1.625" style="649" customWidth="1"/>
    <col min="16" max="16" width="15.375" style="649" bestFit="1" customWidth="1"/>
    <col min="17" max="17" width="1.625" style="649" customWidth="1"/>
    <col min="18" max="18" width="13.125" style="649" bestFit="1" customWidth="1"/>
    <col min="19" max="16384" width="11" style="463"/>
  </cols>
  <sheetData>
    <row r="1" spans="1:18">
      <c r="B1" s="826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</row>
    <row r="2" spans="1:18">
      <c r="A2" s="273"/>
      <c r="B2" s="238"/>
      <c r="C2" s="238"/>
      <c r="D2" s="238"/>
      <c r="E2" s="238"/>
      <c r="F2" s="244"/>
      <c r="G2" s="238"/>
      <c r="H2" s="641"/>
      <c r="I2" s="641"/>
      <c r="J2" s="641"/>
      <c r="K2" s="641"/>
      <c r="L2" s="641"/>
      <c r="M2" s="641"/>
      <c r="N2" s="641"/>
      <c r="O2" s="641"/>
      <c r="P2" s="251"/>
      <c r="Q2" s="251"/>
      <c r="R2" s="251"/>
    </row>
    <row r="3" spans="1:18">
      <c r="A3" s="273"/>
      <c r="B3" s="238"/>
      <c r="C3" s="238"/>
      <c r="D3" s="238"/>
      <c r="E3" s="238"/>
      <c r="F3" s="244"/>
      <c r="G3" s="238"/>
      <c r="H3" s="641"/>
      <c r="I3" s="641"/>
      <c r="J3" s="641"/>
      <c r="K3" s="641"/>
      <c r="L3" s="641"/>
      <c r="M3" s="641"/>
      <c r="N3" s="641"/>
      <c r="O3" s="641"/>
      <c r="P3" s="251"/>
      <c r="Q3" s="251"/>
      <c r="R3" s="251"/>
    </row>
    <row r="4" spans="1:18">
      <c r="A4" s="830" t="s">
        <v>2252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</row>
    <row r="5" spans="1:18">
      <c r="A5" s="830" t="s">
        <v>2751</v>
      </c>
      <c r="B5" s="830"/>
      <c r="C5" s="830"/>
      <c r="D5" s="830"/>
      <c r="E5" s="830"/>
      <c r="F5" s="830"/>
      <c r="G5" s="830"/>
      <c r="H5" s="830"/>
      <c r="I5" s="830"/>
      <c r="J5" s="830"/>
      <c r="K5" s="830"/>
      <c r="L5" s="830"/>
      <c r="M5" s="830"/>
      <c r="N5" s="830"/>
      <c r="O5" s="830"/>
      <c r="P5" s="830"/>
      <c r="Q5" s="830"/>
      <c r="R5" s="830"/>
    </row>
    <row r="6" spans="1:18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8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8">
      <c r="A8" s="273"/>
      <c r="B8" s="241"/>
      <c r="C8" s="242"/>
      <c r="D8" s="242"/>
      <c r="E8" s="242"/>
      <c r="F8" s="250"/>
      <c r="G8" s="242"/>
      <c r="H8" s="641" t="s">
        <v>1249</v>
      </c>
      <c r="I8" s="251"/>
      <c r="J8" s="641" t="s">
        <v>1250</v>
      </c>
      <c r="K8" s="641"/>
      <c r="L8" s="641" t="s">
        <v>1251</v>
      </c>
      <c r="M8" s="641"/>
      <c r="N8" s="641" t="s">
        <v>1252</v>
      </c>
      <c r="O8" s="641"/>
      <c r="P8" s="251"/>
      <c r="Q8" s="251"/>
      <c r="R8" s="251"/>
    </row>
    <row r="9" spans="1:18">
      <c r="A9" s="272"/>
      <c r="B9" s="239"/>
      <c r="C9" s="243"/>
      <c r="D9" s="244"/>
      <c r="E9" s="636"/>
      <c r="F9" s="244" t="s">
        <v>1253</v>
      </c>
      <c r="G9" s="636"/>
      <c r="H9" s="641" t="s">
        <v>1254</v>
      </c>
      <c r="I9" s="251"/>
      <c r="J9" s="641" t="s">
        <v>1255</v>
      </c>
      <c r="K9" s="641"/>
      <c r="L9" s="641" t="s">
        <v>1256</v>
      </c>
      <c r="M9" s="641"/>
      <c r="N9" s="641" t="s">
        <v>1257</v>
      </c>
      <c r="O9" s="641"/>
      <c r="P9" s="251"/>
      <c r="Q9" s="251"/>
      <c r="R9" s="641" t="s">
        <v>1258</v>
      </c>
    </row>
    <row r="10" spans="1:18">
      <c r="A10" s="272"/>
      <c r="B10" s="239"/>
      <c r="C10" s="243"/>
      <c r="D10" s="636"/>
      <c r="E10" s="636"/>
      <c r="F10" s="244" t="s">
        <v>1257</v>
      </c>
      <c r="G10" s="636"/>
      <c r="H10" s="642" t="s">
        <v>1259</v>
      </c>
      <c r="I10" s="251"/>
      <c r="J10" s="642" t="s">
        <v>1259</v>
      </c>
      <c r="K10" s="642"/>
      <c r="L10" s="642" t="s">
        <v>1259</v>
      </c>
      <c r="M10" s="642"/>
      <c r="N10" s="642" t="s">
        <v>1259</v>
      </c>
      <c r="O10" s="642"/>
      <c r="P10" s="641" t="s">
        <v>1260</v>
      </c>
      <c r="Q10" s="641"/>
      <c r="R10" s="641" t="s">
        <v>1261</v>
      </c>
    </row>
    <row r="11" spans="1:18" s="466" customFormat="1">
      <c r="A11" s="827" t="s">
        <v>1262</v>
      </c>
      <c r="B11" s="827"/>
      <c r="C11" s="827"/>
      <c r="D11" s="827"/>
      <c r="E11" s="636"/>
      <c r="F11" s="245" t="s">
        <v>1263</v>
      </c>
      <c r="G11" s="636"/>
      <c r="H11" s="643" t="s">
        <v>1264</v>
      </c>
      <c r="I11" s="251"/>
      <c r="J11" s="643" t="s">
        <v>1265</v>
      </c>
      <c r="K11" s="641"/>
      <c r="L11" s="643" t="s">
        <v>1265</v>
      </c>
      <c r="M11" s="641"/>
      <c r="N11" s="643" t="s">
        <v>1265</v>
      </c>
      <c r="O11" s="643"/>
      <c r="P11" s="643" t="s">
        <v>1266</v>
      </c>
      <c r="Q11" s="643"/>
      <c r="R11" s="643" t="s">
        <v>1267</v>
      </c>
    </row>
    <row r="12" spans="1:18">
      <c r="A12" s="272"/>
      <c r="B12" s="239"/>
      <c r="C12" s="243"/>
      <c r="D12" s="246"/>
      <c r="E12" s="246"/>
      <c r="F12" s="244"/>
      <c r="G12" s="246"/>
      <c r="H12" s="641"/>
      <c r="I12" s="251"/>
      <c r="J12" s="641"/>
      <c r="K12" s="251"/>
      <c r="L12" s="641"/>
      <c r="M12" s="251"/>
      <c r="N12" s="641"/>
      <c r="O12" s="641"/>
      <c r="P12" s="251"/>
      <c r="Q12" s="251"/>
      <c r="R12" s="251"/>
    </row>
    <row r="13" spans="1:18">
      <c r="A13" s="272"/>
      <c r="B13" s="239"/>
      <c r="C13" s="249"/>
      <c r="D13" s="247" t="s">
        <v>1268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8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8">
      <c r="A15" s="272"/>
      <c r="B15" s="239"/>
      <c r="C15" s="249"/>
      <c r="D15" s="245" t="s">
        <v>293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8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1269</v>
      </c>
      <c r="E17" s="249"/>
      <c r="F17" s="250">
        <v>0</v>
      </c>
      <c r="G17" s="249"/>
      <c r="H17" s="251">
        <v>0</v>
      </c>
      <c r="I17" s="251"/>
      <c r="J17" s="251">
        <v>0</v>
      </c>
      <c r="K17" s="251"/>
      <c r="L17" s="251">
        <v>0</v>
      </c>
      <c r="M17" s="251"/>
      <c r="N17" s="251">
        <v>0</v>
      </c>
      <c r="O17" s="251"/>
      <c r="P17" s="644" t="s">
        <v>1270</v>
      </c>
      <c r="Q17" s="251"/>
      <c r="R17" s="645">
        <v>0</v>
      </c>
    </row>
    <row r="18" spans="1:18">
      <c r="A18" s="272"/>
      <c r="B18" s="248">
        <v>303</v>
      </c>
      <c r="C18" s="249"/>
      <c r="D18" s="249" t="s">
        <v>1271</v>
      </c>
      <c r="E18" s="249"/>
      <c r="F18" s="250">
        <v>0</v>
      </c>
      <c r="G18" s="249"/>
      <c r="H18" s="251">
        <v>18.440000000000001</v>
      </c>
      <c r="I18" s="251"/>
      <c r="J18" s="251">
        <v>18.440000000000001</v>
      </c>
      <c r="K18" s="251"/>
      <c r="L18" s="251">
        <v>0</v>
      </c>
      <c r="M18" s="251"/>
      <c r="N18" s="251">
        <v>0</v>
      </c>
      <c r="O18" s="251"/>
      <c r="P18" s="644" t="s">
        <v>1272</v>
      </c>
      <c r="Q18" s="251"/>
      <c r="R18" s="645">
        <v>2.8</v>
      </c>
    </row>
    <row r="19" spans="1:18">
      <c r="A19" s="272"/>
      <c r="B19" s="248">
        <v>303.10000000000002</v>
      </c>
      <c r="C19" s="249"/>
      <c r="D19" s="249" t="s">
        <v>1273</v>
      </c>
      <c r="E19" s="249"/>
      <c r="F19" s="250">
        <v>0</v>
      </c>
      <c r="G19" s="249"/>
      <c r="H19" s="251">
        <v>7.6762446567917033</v>
      </c>
      <c r="I19" s="251"/>
      <c r="J19" s="251">
        <v>7.6762446567917033</v>
      </c>
      <c r="K19" s="251"/>
      <c r="L19" s="251">
        <v>0</v>
      </c>
      <c r="M19" s="251"/>
      <c r="N19" s="251">
        <v>0</v>
      </c>
      <c r="O19" s="251"/>
      <c r="P19" s="644" t="s">
        <v>1274</v>
      </c>
      <c r="Q19" s="251"/>
      <c r="R19" s="645">
        <v>7.4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1275</v>
      </c>
      <c r="E21" s="249"/>
      <c r="F21" s="746">
        <v>0</v>
      </c>
      <c r="G21" s="249"/>
      <c r="H21" s="251">
        <v>0</v>
      </c>
      <c r="I21" s="251"/>
      <c r="J21" s="251"/>
      <c r="K21" s="251"/>
      <c r="L21" s="251"/>
      <c r="M21" s="251"/>
      <c r="N21" s="251"/>
      <c r="O21" s="251"/>
      <c r="P21" s="646" t="s">
        <v>1270</v>
      </c>
      <c r="Q21" s="251"/>
      <c r="R21" s="251">
        <v>0</v>
      </c>
    </row>
    <row r="22" spans="1:18">
      <c r="A22" s="272">
        <v>303</v>
      </c>
      <c r="B22" s="239"/>
      <c r="C22" s="249"/>
      <c r="D22" s="247" t="s">
        <v>1275</v>
      </c>
      <c r="E22" s="249"/>
      <c r="F22" s="746">
        <v>0</v>
      </c>
      <c r="G22" s="249"/>
      <c r="H22" s="251">
        <v>16.18</v>
      </c>
      <c r="I22" s="251"/>
      <c r="J22" s="251"/>
      <c r="K22" s="251"/>
      <c r="L22" s="251"/>
      <c r="M22" s="251"/>
      <c r="N22" s="251"/>
      <c r="O22" s="251"/>
      <c r="P22" s="251" t="s">
        <v>1411</v>
      </c>
      <c r="Q22" s="251"/>
      <c r="R22" s="646" t="s">
        <v>2759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1276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1277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1278</v>
      </c>
      <c r="E28" s="249"/>
      <c r="F28" s="647">
        <v>-13</v>
      </c>
      <c r="G28" s="249"/>
      <c r="H28" s="251">
        <v>2.06</v>
      </c>
      <c r="I28" s="251"/>
      <c r="J28" s="251">
        <v>1.8230088495575223</v>
      </c>
      <c r="K28" s="251"/>
      <c r="L28" s="251">
        <v>0.25522123893805315</v>
      </c>
      <c r="M28" s="251"/>
      <c r="N28" s="251">
        <v>-1.8230088495575225E-2</v>
      </c>
      <c r="O28" s="251"/>
      <c r="P28" s="648" t="s">
        <v>2560</v>
      </c>
      <c r="Q28" s="251"/>
      <c r="R28" s="251">
        <v>43.8</v>
      </c>
    </row>
    <row r="29" spans="1:18">
      <c r="A29" s="272"/>
      <c r="B29" s="248"/>
      <c r="C29" s="249"/>
      <c r="D29" s="253" t="s">
        <v>1279</v>
      </c>
      <c r="E29" s="249"/>
      <c r="F29" s="647">
        <v>-13</v>
      </c>
      <c r="G29" s="249"/>
      <c r="H29" s="251">
        <v>1.26</v>
      </c>
      <c r="I29" s="251"/>
      <c r="J29" s="251">
        <v>1.1150442477876106</v>
      </c>
      <c r="K29" s="251"/>
      <c r="L29" s="251">
        <v>0.15610619469026552</v>
      </c>
      <c r="M29" s="251"/>
      <c r="N29" s="251">
        <v>-1.1150442477876108E-2</v>
      </c>
      <c r="O29" s="251"/>
      <c r="P29" s="648" t="s">
        <v>2560</v>
      </c>
      <c r="Q29" s="251"/>
      <c r="R29" s="251">
        <v>42.8</v>
      </c>
    </row>
    <row r="30" spans="1:18">
      <c r="A30" s="272"/>
      <c r="B30" s="248"/>
      <c r="C30" s="249"/>
      <c r="D30" s="253" t="s">
        <v>2760</v>
      </c>
      <c r="E30" s="249"/>
      <c r="F30" s="647">
        <v>-5</v>
      </c>
      <c r="G30" s="249"/>
      <c r="H30" s="251">
        <v>2.29</v>
      </c>
      <c r="I30" s="251"/>
      <c r="J30" s="251">
        <v>2.1809523809523812</v>
      </c>
      <c r="K30" s="251"/>
      <c r="L30" s="251">
        <v>0.13085714285714287</v>
      </c>
      <c r="M30" s="251"/>
      <c r="N30" s="251">
        <v>-2.1809523809523806E-2</v>
      </c>
      <c r="O30" s="251"/>
      <c r="P30" s="648" t="s">
        <v>2560</v>
      </c>
      <c r="Q30" s="251"/>
      <c r="R30" s="251">
        <v>44.7</v>
      </c>
    </row>
    <row r="31" spans="1:18">
      <c r="A31" s="272"/>
      <c r="B31" s="248"/>
      <c r="C31" s="249"/>
      <c r="D31" s="253" t="s">
        <v>1280</v>
      </c>
      <c r="E31" s="249"/>
      <c r="F31" s="647">
        <v>-1</v>
      </c>
      <c r="G31" s="249"/>
      <c r="H31" s="251">
        <v>1.79</v>
      </c>
      <c r="I31" s="251"/>
      <c r="J31" s="251">
        <v>1.7722772277227723</v>
      </c>
      <c r="K31" s="251"/>
      <c r="L31" s="251">
        <v>3.5445544554455449E-2</v>
      </c>
      <c r="M31" s="251"/>
      <c r="N31" s="251">
        <v>-1.7722772277227725E-2</v>
      </c>
      <c r="O31" s="251"/>
      <c r="P31" s="648" t="s">
        <v>2560</v>
      </c>
      <c r="Q31" s="251"/>
      <c r="R31" s="251">
        <v>19.7</v>
      </c>
    </row>
    <row r="32" spans="1:18">
      <c r="A32" s="272"/>
      <c r="B32" s="248"/>
      <c r="C32" s="249"/>
      <c r="D32" s="253" t="s">
        <v>1286</v>
      </c>
      <c r="E32" s="249"/>
      <c r="F32" s="647">
        <v>-4</v>
      </c>
      <c r="G32" s="249"/>
      <c r="H32" s="251">
        <v>0</v>
      </c>
      <c r="I32" s="251"/>
      <c r="J32" s="251">
        <v>0</v>
      </c>
      <c r="K32" s="251"/>
      <c r="L32" s="251">
        <v>0</v>
      </c>
      <c r="M32" s="251"/>
      <c r="N32" s="251">
        <v>0</v>
      </c>
      <c r="O32" s="251"/>
      <c r="P32" s="648" t="s">
        <v>2560</v>
      </c>
      <c r="Q32" s="251"/>
      <c r="R32" s="251">
        <v>0</v>
      </c>
    </row>
    <row r="33" spans="1:18">
      <c r="A33" s="272"/>
      <c r="B33" s="248"/>
      <c r="C33" s="249"/>
      <c r="D33" s="253" t="s">
        <v>1287</v>
      </c>
      <c r="E33" s="249"/>
      <c r="F33" s="647">
        <v>-4</v>
      </c>
      <c r="G33" s="249"/>
      <c r="H33" s="251">
        <v>0</v>
      </c>
      <c r="I33" s="251"/>
      <c r="J33" s="251">
        <v>0</v>
      </c>
      <c r="K33" s="251"/>
      <c r="L33" s="251">
        <v>0</v>
      </c>
      <c r="M33" s="251"/>
      <c r="N33" s="251">
        <v>0</v>
      </c>
      <c r="O33" s="251"/>
      <c r="P33" s="648" t="s">
        <v>2560</v>
      </c>
      <c r="Q33" s="251"/>
      <c r="R33" s="251">
        <v>0</v>
      </c>
    </row>
    <row r="34" spans="1:18">
      <c r="A34" s="272"/>
      <c r="B34" s="248"/>
      <c r="C34" s="249"/>
      <c r="D34" s="253" t="s">
        <v>1288</v>
      </c>
      <c r="E34" s="249"/>
      <c r="F34" s="647">
        <v>-4</v>
      </c>
      <c r="G34" s="249"/>
      <c r="H34" s="251">
        <v>6.1</v>
      </c>
      <c r="I34" s="251"/>
      <c r="J34" s="251">
        <v>5.865384615384615</v>
      </c>
      <c r="K34" s="251"/>
      <c r="L34" s="251">
        <v>0.29326923076923078</v>
      </c>
      <c r="M34" s="251"/>
      <c r="N34" s="251">
        <v>-5.8653846153846154E-2</v>
      </c>
      <c r="O34" s="251"/>
      <c r="P34" s="648" t="s">
        <v>2560</v>
      </c>
      <c r="Q34" s="251"/>
      <c r="R34" s="251">
        <v>8</v>
      </c>
    </row>
    <row r="35" spans="1:18">
      <c r="A35" s="272"/>
      <c r="B35" s="248"/>
      <c r="C35" s="249"/>
      <c r="D35" s="253" t="s">
        <v>1289</v>
      </c>
      <c r="E35" s="249"/>
      <c r="F35" s="647">
        <v>-4</v>
      </c>
      <c r="G35" s="249"/>
      <c r="H35" s="251">
        <v>8.16</v>
      </c>
      <c r="I35" s="251"/>
      <c r="J35" s="251">
        <v>7.8461538461538458</v>
      </c>
      <c r="K35" s="251"/>
      <c r="L35" s="251">
        <v>0.39230769230769236</v>
      </c>
      <c r="M35" s="251"/>
      <c r="N35" s="251">
        <v>-7.8461538461538471E-2</v>
      </c>
      <c r="O35" s="251"/>
      <c r="P35" s="648" t="s">
        <v>2560</v>
      </c>
      <c r="Q35" s="251"/>
      <c r="R35" s="251">
        <v>8</v>
      </c>
    </row>
    <row r="36" spans="1:18">
      <c r="A36" s="272"/>
      <c r="B36" s="248"/>
      <c r="C36" s="249"/>
      <c r="D36" s="253" t="s">
        <v>1291</v>
      </c>
      <c r="E36" s="249"/>
      <c r="F36" s="647">
        <v>-7</v>
      </c>
      <c r="G36" s="249"/>
      <c r="H36" s="251">
        <v>2.12</v>
      </c>
      <c r="I36" s="251"/>
      <c r="J36" s="251">
        <v>1.9813084112149535</v>
      </c>
      <c r="K36" s="251"/>
      <c r="L36" s="251">
        <v>0.15850467289719625</v>
      </c>
      <c r="M36" s="251"/>
      <c r="N36" s="251">
        <v>-1.9813084112149531E-2</v>
      </c>
      <c r="O36" s="251"/>
      <c r="P36" s="648" t="s">
        <v>2560</v>
      </c>
      <c r="Q36" s="251"/>
      <c r="R36" s="251">
        <v>13.8</v>
      </c>
    </row>
    <row r="37" spans="1:18">
      <c r="A37" s="272"/>
      <c r="B37" s="248"/>
      <c r="C37" s="249"/>
      <c r="D37" s="253" t="s">
        <v>1292</v>
      </c>
      <c r="E37" s="249"/>
      <c r="F37" s="647">
        <v>-7</v>
      </c>
      <c r="G37" s="249"/>
      <c r="H37" s="251">
        <v>4.24</v>
      </c>
      <c r="I37" s="251"/>
      <c r="J37" s="251">
        <v>3.962616822429907</v>
      </c>
      <c r="K37" s="251"/>
      <c r="L37" s="251">
        <v>0.31700934579439249</v>
      </c>
      <c r="M37" s="251"/>
      <c r="N37" s="251">
        <v>-3.9626168224299062E-2</v>
      </c>
      <c r="O37" s="251"/>
      <c r="P37" s="648" t="s">
        <v>2560</v>
      </c>
      <c r="Q37" s="251"/>
      <c r="R37" s="251">
        <v>13.8</v>
      </c>
    </row>
    <row r="38" spans="1:18">
      <c r="A38" s="272"/>
      <c r="B38" s="248"/>
      <c r="C38" s="249"/>
      <c r="D38" s="253" t="s">
        <v>1293</v>
      </c>
      <c r="E38" s="249"/>
      <c r="F38" s="647">
        <v>-7</v>
      </c>
      <c r="G38" s="249"/>
      <c r="H38" s="251">
        <v>3.7</v>
      </c>
      <c r="I38" s="251"/>
      <c r="J38" s="251">
        <v>3.4579439252336455</v>
      </c>
      <c r="K38" s="251"/>
      <c r="L38" s="251">
        <v>0.27663551401869158</v>
      </c>
      <c r="M38" s="251"/>
      <c r="N38" s="251">
        <v>-3.4579439252336447E-2</v>
      </c>
      <c r="O38" s="251"/>
      <c r="P38" s="648" t="s">
        <v>2560</v>
      </c>
      <c r="Q38" s="251"/>
      <c r="R38" s="251">
        <v>13.7</v>
      </c>
    </row>
    <row r="39" spans="1:18">
      <c r="A39" s="272"/>
      <c r="B39" s="248"/>
      <c r="C39" s="249"/>
      <c r="D39" s="253" t="s">
        <v>1294</v>
      </c>
      <c r="E39" s="249"/>
      <c r="F39" s="647">
        <v>-7</v>
      </c>
      <c r="G39" s="249"/>
      <c r="H39" s="251">
        <v>2.71</v>
      </c>
      <c r="I39" s="251"/>
      <c r="J39" s="251">
        <v>2.5327102803738319</v>
      </c>
      <c r="K39" s="251"/>
      <c r="L39" s="251">
        <v>0.20261682242990653</v>
      </c>
      <c r="M39" s="251"/>
      <c r="N39" s="251">
        <v>-2.5327102803738316E-2</v>
      </c>
      <c r="O39" s="251"/>
      <c r="P39" s="648" t="s">
        <v>2560</v>
      </c>
      <c r="Q39" s="251"/>
      <c r="R39" s="251">
        <v>16.7</v>
      </c>
    </row>
    <row r="40" spans="1:18">
      <c r="A40" s="272"/>
      <c r="B40" s="248"/>
      <c r="C40" s="249"/>
      <c r="D40" s="253" t="s">
        <v>1295</v>
      </c>
      <c r="E40" s="249"/>
      <c r="F40" s="647">
        <v>-7</v>
      </c>
      <c r="G40" s="249"/>
      <c r="H40" s="251">
        <v>4.09</v>
      </c>
      <c r="I40" s="251"/>
      <c r="J40" s="251">
        <v>3.8224299065420557</v>
      </c>
      <c r="K40" s="251"/>
      <c r="L40" s="251">
        <v>0.30579439252336443</v>
      </c>
      <c r="M40" s="251"/>
      <c r="N40" s="251">
        <v>-3.8224299065420554E-2</v>
      </c>
      <c r="O40" s="251"/>
      <c r="P40" s="648" t="s">
        <v>2560</v>
      </c>
      <c r="Q40" s="251"/>
      <c r="R40" s="251">
        <v>16.8</v>
      </c>
    </row>
    <row r="41" spans="1:18">
      <c r="A41" s="272"/>
      <c r="B41" s="248"/>
      <c r="C41" s="249"/>
      <c r="D41" s="253" t="s">
        <v>1296</v>
      </c>
      <c r="E41" s="249"/>
      <c r="F41" s="647">
        <v>-7</v>
      </c>
      <c r="G41" s="249"/>
      <c r="H41" s="251">
        <v>2.34</v>
      </c>
      <c r="I41" s="251"/>
      <c r="J41" s="251">
        <v>2.1869158878504673</v>
      </c>
      <c r="K41" s="251"/>
      <c r="L41" s="251">
        <v>0.17495327102803737</v>
      </c>
      <c r="M41" s="251"/>
      <c r="N41" s="251">
        <v>-2.1869158878504671E-2</v>
      </c>
      <c r="O41" s="251"/>
      <c r="P41" s="648" t="s">
        <v>2560</v>
      </c>
      <c r="Q41" s="251"/>
      <c r="R41" s="251">
        <v>13.8</v>
      </c>
    </row>
    <row r="42" spans="1:18">
      <c r="A42" s="272"/>
      <c r="B42" s="248"/>
      <c r="C42" s="249"/>
      <c r="D42" s="254"/>
      <c r="E42" s="249"/>
      <c r="F42" s="277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49" t="s">
        <v>1297</v>
      </c>
      <c r="E43" s="249"/>
      <c r="F43" s="747" t="s">
        <v>3653</v>
      </c>
      <c r="G43" s="249"/>
      <c r="H43" s="251">
        <v>3.75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16.899999999999999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2254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50"/>
      <c r="R45" s="651"/>
    </row>
    <row r="46" spans="1:18">
      <c r="A46" s="272"/>
      <c r="B46" s="248"/>
      <c r="C46" s="249"/>
      <c r="D46" s="253" t="s">
        <v>2536</v>
      </c>
      <c r="E46" s="249"/>
      <c r="F46" s="647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8" t="s">
        <v>2256</v>
      </c>
      <c r="Q46" s="251"/>
      <c r="R46" s="251">
        <v>0</v>
      </c>
    </row>
    <row r="47" spans="1:18">
      <c r="A47" s="272"/>
      <c r="B47" s="248"/>
      <c r="C47" s="249"/>
      <c r="D47" s="253" t="s">
        <v>2537</v>
      </c>
      <c r="E47" s="249"/>
      <c r="F47" s="647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8" t="s">
        <v>2253</v>
      </c>
      <c r="Q47" s="251"/>
      <c r="R47" s="251">
        <v>0</v>
      </c>
    </row>
    <row r="48" spans="1:18">
      <c r="A48" s="272"/>
      <c r="B48" s="248"/>
      <c r="C48" s="249"/>
      <c r="D48" s="253" t="s">
        <v>2538</v>
      </c>
      <c r="E48" s="249"/>
      <c r="F48" s="647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8" t="s">
        <v>2253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50"/>
      <c r="R49" s="651"/>
    </row>
    <row r="50" spans="1:18">
      <c r="A50" s="463"/>
      <c r="B50" s="469"/>
      <c r="C50" s="467"/>
      <c r="D50" s="473" t="s">
        <v>2259</v>
      </c>
      <c r="E50" s="471"/>
      <c r="F50" s="481">
        <v>0</v>
      </c>
      <c r="G50" s="463"/>
      <c r="H50" s="251">
        <v>0</v>
      </c>
      <c r="I50" s="251"/>
      <c r="J50" s="251"/>
      <c r="K50" s="251"/>
      <c r="L50" s="251"/>
      <c r="M50" s="251"/>
      <c r="N50" s="251"/>
      <c r="P50" s="650"/>
      <c r="R50" s="651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50"/>
      <c r="R51" s="651"/>
    </row>
    <row r="52" spans="1:18">
      <c r="A52" s="463"/>
      <c r="B52" s="469">
        <v>311.2</v>
      </c>
      <c r="C52" s="467"/>
      <c r="D52" s="470" t="s">
        <v>2260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50"/>
      <c r="R52" s="651"/>
    </row>
    <row r="53" spans="1:18">
      <c r="A53" s="463"/>
      <c r="B53" s="469"/>
      <c r="C53" s="467"/>
      <c r="D53" s="470" t="s">
        <v>1281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50" t="s">
        <v>2253</v>
      </c>
      <c r="R53" s="651">
        <v>0</v>
      </c>
    </row>
    <row r="54" spans="1:18">
      <c r="A54" s="463"/>
      <c r="B54" s="469"/>
      <c r="C54" s="467"/>
      <c r="D54" s="470" t="s">
        <v>1282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50" t="s">
        <v>2253</v>
      </c>
      <c r="R54" s="651">
        <v>0</v>
      </c>
    </row>
    <row r="55" spans="1:18">
      <c r="A55" s="463"/>
      <c r="B55" s="469"/>
      <c r="C55" s="467"/>
      <c r="D55" s="472" t="s">
        <v>1283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50" t="s">
        <v>2253</v>
      </c>
      <c r="R55" s="651">
        <v>0</v>
      </c>
    </row>
    <row r="56" spans="1:18">
      <c r="A56" s="463"/>
      <c r="B56" s="469"/>
      <c r="C56" s="467"/>
      <c r="D56" s="472" t="s">
        <v>1284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50" t="s">
        <v>2253</v>
      </c>
      <c r="R56" s="651">
        <v>0</v>
      </c>
    </row>
    <row r="57" spans="1:18">
      <c r="A57" s="463"/>
      <c r="B57" s="469"/>
      <c r="C57" s="467"/>
      <c r="D57" s="472" t="s">
        <v>1285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50" t="s">
        <v>2253</v>
      </c>
      <c r="R57" s="651">
        <v>0</v>
      </c>
    </row>
    <row r="58" spans="1:18">
      <c r="A58" s="463"/>
      <c r="B58" s="469"/>
      <c r="C58" s="467"/>
      <c r="D58" s="472" t="s">
        <v>1290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50" t="s">
        <v>2253</v>
      </c>
      <c r="R58" s="651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50"/>
      <c r="R59" s="651"/>
    </row>
    <row r="60" spans="1:18">
      <c r="A60" s="463">
        <v>311</v>
      </c>
      <c r="B60" s="469"/>
      <c r="C60" s="467"/>
      <c r="D60" s="473" t="s">
        <v>1297</v>
      </c>
      <c r="E60" s="471"/>
      <c r="F60" s="747" t="s">
        <v>3653</v>
      </c>
      <c r="G60" s="463"/>
      <c r="H60" s="251">
        <v>3.75</v>
      </c>
      <c r="I60" s="251"/>
      <c r="J60" s="251"/>
      <c r="K60" s="251"/>
      <c r="L60" s="251"/>
      <c r="M60" s="251"/>
      <c r="N60" s="251"/>
      <c r="P60" s="652" t="s">
        <v>2560</v>
      </c>
      <c r="R60" s="653">
        <v>16.899999999999999</v>
      </c>
    </row>
    <row r="61" spans="1:18">
      <c r="A61" s="272"/>
      <c r="B61" s="248"/>
      <c r="C61" s="249"/>
      <c r="D61" s="249"/>
      <c r="E61" s="249"/>
      <c r="F61" s="250"/>
      <c r="G61" s="249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</row>
    <row r="62" spans="1:18">
      <c r="A62" s="272"/>
      <c r="B62" s="248">
        <v>312</v>
      </c>
      <c r="C62" s="249"/>
      <c r="D62" s="249" t="s">
        <v>1298</v>
      </c>
      <c r="E62" s="249"/>
      <c r="F62" s="250"/>
      <c r="G62" s="249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</row>
    <row r="63" spans="1:18">
      <c r="A63" s="272"/>
      <c r="B63" s="248"/>
      <c r="C63" s="249"/>
      <c r="D63" s="654" t="s">
        <v>1278</v>
      </c>
      <c r="E63" s="249"/>
      <c r="F63" s="647">
        <v>-13</v>
      </c>
      <c r="G63" s="249"/>
      <c r="H63" s="251">
        <v>2.34</v>
      </c>
      <c r="I63" s="251"/>
      <c r="J63" s="251">
        <v>2.0707964601769908</v>
      </c>
      <c r="K63" s="251"/>
      <c r="L63" s="251">
        <v>0.31061946902654869</v>
      </c>
      <c r="M63" s="251"/>
      <c r="N63" s="251">
        <v>-4.1415929203539828E-2</v>
      </c>
      <c r="O63" s="251"/>
      <c r="P63" s="648" t="s">
        <v>2762</v>
      </c>
      <c r="Q63" s="251"/>
      <c r="R63" s="655">
        <v>40.299999999999997</v>
      </c>
    </row>
    <row r="64" spans="1:18">
      <c r="A64" s="272"/>
      <c r="B64" s="248"/>
      <c r="C64" s="249"/>
      <c r="D64" s="654" t="s">
        <v>1279</v>
      </c>
      <c r="E64" s="249"/>
      <c r="F64" s="647">
        <v>-13</v>
      </c>
      <c r="G64" s="249"/>
      <c r="H64" s="251">
        <v>2.04</v>
      </c>
      <c r="I64" s="251"/>
      <c r="J64" s="251">
        <v>1.8053097345132743</v>
      </c>
      <c r="K64" s="251"/>
      <c r="L64" s="251">
        <v>0.27079646017699116</v>
      </c>
      <c r="M64" s="251"/>
      <c r="N64" s="251">
        <v>-3.6106194690265492E-2</v>
      </c>
      <c r="O64" s="251"/>
      <c r="P64" s="655" t="s">
        <v>2762</v>
      </c>
      <c r="Q64" s="251"/>
      <c r="R64" s="655">
        <v>39.6</v>
      </c>
    </row>
    <row r="65" spans="1:18">
      <c r="A65" s="272"/>
      <c r="B65" s="248"/>
      <c r="C65" s="249"/>
      <c r="D65" s="654" t="s">
        <v>1286</v>
      </c>
      <c r="E65" s="249"/>
      <c r="F65" s="647">
        <v>-4</v>
      </c>
      <c r="G65" s="249"/>
      <c r="H65" s="251">
        <v>0</v>
      </c>
      <c r="I65" s="251"/>
      <c r="J65" s="251">
        <v>0</v>
      </c>
      <c r="K65" s="251"/>
      <c r="L65" s="251">
        <v>0</v>
      </c>
      <c r="M65" s="251"/>
      <c r="N65" s="251">
        <v>0</v>
      </c>
      <c r="O65" s="251"/>
      <c r="P65" s="655" t="s">
        <v>2762</v>
      </c>
      <c r="Q65" s="251"/>
      <c r="R65" s="655">
        <v>0</v>
      </c>
    </row>
    <row r="66" spans="1:18">
      <c r="A66" s="656"/>
      <c r="B66" s="249"/>
      <c r="C66" s="249"/>
      <c r="D66" s="654" t="s">
        <v>1287</v>
      </c>
      <c r="E66" s="249"/>
      <c r="F66" s="647">
        <v>-4</v>
      </c>
      <c r="G66" s="249"/>
      <c r="H66" s="251">
        <v>0</v>
      </c>
      <c r="I66" s="251"/>
      <c r="J66" s="251">
        <v>0</v>
      </c>
      <c r="K66" s="251"/>
      <c r="L66" s="251">
        <v>0</v>
      </c>
      <c r="M66" s="251"/>
      <c r="N66" s="251">
        <v>0</v>
      </c>
      <c r="O66" s="251"/>
      <c r="P66" s="655" t="s">
        <v>2762</v>
      </c>
      <c r="Q66" s="251"/>
      <c r="R66" s="655">
        <v>0</v>
      </c>
    </row>
    <row r="67" spans="1:18">
      <c r="A67" s="656"/>
      <c r="B67" s="249"/>
      <c r="C67" s="249"/>
      <c r="D67" s="654" t="s">
        <v>1288</v>
      </c>
      <c r="E67" s="249"/>
      <c r="F67" s="647">
        <v>-4</v>
      </c>
      <c r="G67" s="249"/>
      <c r="H67" s="251">
        <v>10.220000000000001</v>
      </c>
      <c r="I67" s="251"/>
      <c r="J67" s="251">
        <v>9.8269230769230766</v>
      </c>
      <c r="K67" s="251"/>
      <c r="L67" s="251">
        <v>0.58961538461538465</v>
      </c>
      <c r="M67" s="251"/>
      <c r="N67" s="251">
        <v>-0.19653846153846155</v>
      </c>
      <c r="O67" s="251"/>
      <c r="P67" s="655" t="s">
        <v>2762</v>
      </c>
      <c r="Q67" s="251"/>
      <c r="R67" s="655">
        <v>7.9</v>
      </c>
    </row>
    <row r="68" spans="1:18">
      <c r="A68" s="656"/>
      <c r="B68" s="249"/>
      <c r="C68" s="249"/>
      <c r="D68" s="654" t="s">
        <v>1289</v>
      </c>
      <c r="E68" s="249"/>
      <c r="F68" s="647">
        <v>-4</v>
      </c>
      <c r="G68" s="249"/>
      <c r="H68" s="251">
        <v>9.0299999999999994</v>
      </c>
      <c r="I68" s="251"/>
      <c r="J68" s="251">
        <v>8.6826923076923066</v>
      </c>
      <c r="K68" s="251"/>
      <c r="L68" s="251">
        <v>0.52096153846153836</v>
      </c>
      <c r="M68" s="251"/>
      <c r="N68" s="251">
        <v>-0.17365384615384616</v>
      </c>
      <c r="O68" s="251"/>
      <c r="P68" s="655" t="s">
        <v>2762</v>
      </c>
      <c r="Q68" s="251"/>
      <c r="R68" s="655">
        <v>7.9</v>
      </c>
    </row>
    <row r="69" spans="1:18">
      <c r="A69" s="656"/>
      <c r="B69" s="249"/>
      <c r="C69" s="249"/>
      <c r="D69" s="654" t="s">
        <v>1291</v>
      </c>
      <c r="E69" s="249"/>
      <c r="F69" s="647">
        <v>-7</v>
      </c>
      <c r="G69" s="249"/>
      <c r="H69" s="251">
        <v>4.1500000000000004</v>
      </c>
      <c r="I69" s="251"/>
      <c r="J69" s="251">
        <v>3.8785046728971966</v>
      </c>
      <c r="K69" s="251"/>
      <c r="L69" s="251">
        <v>0.34906542056074769</v>
      </c>
      <c r="M69" s="251"/>
      <c r="N69" s="251">
        <v>-7.7570093457943926E-2</v>
      </c>
      <c r="O69" s="251"/>
      <c r="P69" s="655" t="s">
        <v>2762</v>
      </c>
      <c r="Q69" s="251"/>
      <c r="R69" s="655">
        <v>13.6</v>
      </c>
    </row>
    <row r="70" spans="1:18">
      <c r="A70" s="656"/>
      <c r="B70" s="249"/>
      <c r="C70" s="249"/>
      <c r="D70" s="654" t="s">
        <v>1292</v>
      </c>
      <c r="E70" s="249"/>
      <c r="F70" s="647">
        <v>-7</v>
      </c>
      <c r="G70" s="249"/>
      <c r="H70" s="251">
        <v>5.41</v>
      </c>
      <c r="I70" s="251"/>
      <c r="J70" s="251">
        <v>5.0560747663551409</v>
      </c>
      <c r="K70" s="251"/>
      <c r="L70" s="251">
        <v>0.45504672897196258</v>
      </c>
      <c r="M70" s="251"/>
      <c r="N70" s="251">
        <v>-0.10112149532710279</v>
      </c>
      <c r="O70" s="251"/>
      <c r="P70" s="655" t="s">
        <v>2762</v>
      </c>
      <c r="Q70" s="251"/>
      <c r="R70" s="655">
        <v>13.6</v>
      </c>
    </row>
    <row r="71" spans="1:18">
      <c r="A71" s="656"/>
      <c r="B71" s="249"/>
      <c r="C71" s="249"/>
      <c r="D71" s="654" t="s">
        <v>1293</v>
      </c>
      <c r="E71" s="249"/>
      <c r="F71" s="647">
        <v>-7</v>
      </c>
      <c r="G71" s="249"/>
      <c r="H71" s="251">
        <v>5.62</v>
      </c>
      <c r="I71" s="251"/>
      <c r="J71" s="251">
        <v>5.2523364485981308</v>
      </c>
      <c r="K71" s="251"/>
      <c r="L71" s="251">
        <v>0.47271028037383178</v>
      </c>
      <c r="M71" s="251"/>
      <c r="N71" s="251">
        <v>-0.10504672897196261</v>
      </c>
      <c r="O71" s="251"/>
      <c r="P71" s="655" t="s">
        <v>2762</v>
      </c>
      <c r="Q71" s="251"/>
      <c r="R71" s="655">
        <v>13.5</v>
      </c>
    </row>
    <row r="72" spans="1:18">
      <c r="A72" s="656"/>
      <c r="B72" s="249"/>
      <c r="C72" s="249"/>
      <c r="D72" s="654" t="s">
        <v>1294</v>
      </c>
      <c r="E72" s="249"/>
      <c r="F72" s="647">
        <v>-7</v>
      </c>
      <c r="G72" s="249"/>
      <c r="H72" s="251">
        <v>3.86</v>
      </c>
      <c r="I72" s="251"/>
      <c r="J72" s="251">
        <v>3.6074766355140184</v>
      </c>
      <c r="K72" s="251"/>
      <c r="L72" s="251">
        <v>0.32467289719626163</v>
      </c>
      <c r="M72" s="251"/>
      <c r="N72" s="251">
        <v>-7.2149532710280365E-2</v>
      </c>
      <c r="O72" s="251"/>
      <c r="P72" s="648" t="s">
        <v>2762</v>
      </c>
      <c r="Q72" s="251"/>
      <c r="R72" s="655">
        <v>16.2</v>
      </c>
    </row>
    <row r="73" spans="1:18">
      <c r="A73" s="656"/>
      <c r="B73" s="249"/>
      <c r="C73" s="249"/>
      <c r="D73" s="654" t="s">
        <v>1295</v>
      </c>
      <c r="E73" s="249"/>
      <c r="F73" s="647">
        <v>-7</v>
      </c>
      <c r="G73" s="249"/>
      <c r="H73" s="251">
        <v>5.14</v>
      </c>
      <c r="I73" s="251"/>
      <c r="J73" s="251">
        <v>4.8037383177570092</v>
      </c>
      <c r="K73" s="251"/>
      <c r="L73" s="251">
        <v>0.43233644859813081</v>
      </c>
      <c r="M73" s="251"/>
      <c r="N73" s="251">
        <v>-9.6074766355140173E-2</v>
      </c>
      <c r="O73" s="251"/>
      <c r="P73" s="648" t="s">
        <v>2762</v>
      </c>
      <c r="Q73" s="251"/>
      <c r="R73" s="655">
        <v>16.399999999999999</v>
      </c>
    </row>
    <row r="74" spans="1:18">
      <c r="A74" s="656"/>
      <c r="B74" s="249"/>
      <c r="C74" s="249"/>
      <c r="D74" s="654" t="s">
        <v>1296</v>
      </c>
      <c r="E74" s="249"/>
      <c r="F74" s="647">
        <v>-7</v>
      </c>
      <c r="G74" s="249"/>
      <c r="H74" s="251">
        <v>1.17</v>
      </c>
      <c r="I74" s="251"/>
      <c r="J74" s="251">
        <v>1.0934579439252337</v>
      </c>
      <c r="K74" s="251"/>
      <c r="L74" s="251">
        <v>9.8411214953271015E-2</v>
      </c>
      <c r="M74" s="251"/>
      <c r="N74" s="251">
        <v>-2.1869158878504671E-2</v>
      </c>
      <c r="O74" s="251"/>
      <c r="P74" s="648" t="s">
        <v>2762</v>
      </c>
      <c r="Q74" s="251"/>
      <c r="R74" s="655">
        <v>13.6</v>
      </c>
    </row>
    <row r="75" spans="1:18">
      <c r="A75" s="272"/>
      <c r="B75" s="248"/>
      <c r="C75" s="249"/>
      <c r="D75" s="657" t="s">
        <v>1300</v>
      </c>
      <c r="E75" s="249"/>
      <c r="F75" s="647">
        <v>-7</v>
      </c>
      <c r="G75" s="249"/>
      <c r="H75" s="251">
        <v>4.1100000000000003</v>
      </c>
      <c r="I75" s="251"/>
      <c r="J75" s="251">
        <v>3.8411214953271031</v>
      </c>
      <c r="K75" s="251"/>
      <c r="L75" s="251">
        <v>0.34570093457943923</v>
      </c>
      <c r="M75" s="251"/>
      <c r="N75" s="251">
        <v>-7.6822429906542061E-2</v>
      </c>
      <c r="O75" s="251"/>
      <c r="P75" s="648" t="s">
        <v>2762</v>
      </c>
      <c r="Q75" s="251"/>
      <c r="R75" s="655">
        <v>16.3</v>
      </c>
    </row>
    <row r="76" spans="1:18">
      <c r="A76" s="272"/>
      <c r="B76" s="248"/>
      <c r="C76" s="249"/>
      <c r="D76" s="657" t="s">
        <v>1301</v>
      </c>
      <c r="E76" s="249"/>
      <c r="F76" s="647">
        <v>-7</v>
      </c>
      <c r="G76" s="249"/>
      <c r="H76" s="251">
        <v>3.87</v>
      </c>
      <c r="I76" s="251"/>
      <c r="J76" s="251">
        <v>3.6168224299065423</v>
      </c>
      <c r="K76" s="251"/>
      <c r="L76" s="251">
        <v>0.3255140186915888</v>
      </c>
      <c r="M76" s="251"/>
      <c r="N76" s="251">
        <v>-7.2336448598130834E-2</v>
      </c>
      <c r="O76" s="251"/>
      <c r="P76" s="648" t="s">
        <v>2762</v>
      </c>
      <c r="Q76" s="251"/>
      <c r="R76" s="655">
        <v>16.399999999999999</v>
      </c>
    </row>
    <row r="77" spans="1:18">
      <c r="A77" s="272"/>
      <c r="B77" s="248"/>
      <c r="C77" s="249"/>
      <c r="D77" s="249"/>
      <c r="E77" s="249"/>
      <c r="F77" s="250"/>
      <c r="G77" s="249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</row>
    <row r="78" spans="1:18">
      <c r="A78" s="272"/>
      <c r="B78" s="248"/>
      <c r="C78" s="249"/>
      <c r="D78" s="254" t="s">
        <v>1302</v>
      </c>
      <c r="E78" s="249"/>
      <c r="F78" s="277" t="s">
        <v>2761</v>
      </c>
      <c r="G78" s="249"/>
      <c r="H78" s="251">
        <v>5.22</v>
      </c>
      <c r="I78" s="251"/>
      <c r="J78" s="251"/>
      <c r="K78" s="251"/>
      <c r="L78" s="251"/>
      <c r="M78" s="251"/>
      <c r="N78" s="251"/>
      <c r="O78" s="251"/>
      <c r="P78" s="655"/>
      <c r="Q78" s="251"/>
      <c r="R78" s="251">
        <v>14.7</v>
      </c>
    </row>
    <row r="79" spans="1:18">
      <c r="A79" s="272"/>
      <c r="B79" s="248"/>
      <c r="C79" s="249"/>
      <c r="D79" s="254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463"/>
      <c r="B80" s="469">
        <v>312.10000000000002</v>
      </c>
      <c r="C80" s="467"/>
      <c r="D80" s="470" t="s">
        <v>2262</v>
      </c>
      <c r="E80" s="471"/>
      <c r="F80" s="471"/>
      <c r="G80" s="463"/>
      <c r="H80" s="251"/>
      <c r="I80" s="251"/>
      <c r="J80" s="251"/>
      <c r="K80" s="251"/>
      <c r="L80" s="251"/>
      <c r="M80" s="251"/>
      <c r="N80" s="251"/>
      <c r="P80" s="650"/>
      <c r="R80" s="651"/>
    </row>
    <row r="81" spans="1:18">
      <c r="A81" s="463"/>
      <c r="B81" s="469"/>
      <c r="C81" s="467"/>
      <c r="D81" s="470" t="s">
        <v>2763</v>
      </c>
      <c r="E81" s="471"/>
      <c r="F81" s="471">
        <v>0</v>
      </c>
      <c r="G81" s="463"/>
      <c r="H81" s="251">
        <v>2.2000000000000002</v>
      </c>
      <c r="I81" s="251"/>
      <c r="J81" s="251">
        <v>2.2000000000000002</v>
      </c>
      <c r="K81" s="251"/>
      <c r="L81" s="251">
        <v>0</v>
      </c>
      <c r="M81" s="251"/>
      <c r="N81" s="251">
        <v>0</v>
      </c>
      <c r="P81" s="650" t="s">
        <v>2256</v>
      </c>
      <c r="R81" s="655">
        <v>4</v>
      </c>
    </row>
    <row r="82" spans="1:18">
      <c r="A82" s="463"/>
      <c r="B82" s="469"/>
      <c r="C82" s="467"/>
      <c r="D82" s="472" t="s">
        <v>2764</v>
      </c>
      <c r="E82" s="471"/>
      <c r="F82" s="471">
        <v>0</v>
      </c>
      <c r="G82" s="463"/>
      <c r="H82" s="251">
        <v>2.16</v>
      </c>
      <c r="I82" s="251"/>
      <c r="J82" s="251">
        <v>2.16</v>
      </c>
      <c r="K82" s="251"/>
      <c r="L82" s="251">
        <v>0</v>
      </c>
      <c r="M82" s="251"/>
      <c r="N82" s="251">
        <v>0</v>
      </c>
      <c r="P82" s="650" t="s">
        <v>2256</v>
      </c>
      <c r="R82" s="655">
        <v>3</v>
      </c>
    </row>
    <row r="83" spans="1:18">
      <c r="A83" s="463"/>
      <c r="B83" s="469"/>
      <c r="C83" s="467"/>
      <c r="D83" s="472" t="s">
        <v>2765</v>
      </c>
      <c r="E83" s="471"/>
      <c r="F83" s="471">
        <v>0</v>
      </c>
      <c r="G83" s="463"/>
      <c r="H83" s="251">
        <v>0</v>
      </c>
      <c r="I83" s="251"/>
      <c r="J83" s="251">
        <v>0</v>
      </c>
      <c r="K83" s="251"/>
      <c r="L83" s="251">
        <v>0</v>
      </c>
      <c r="M83" s="251"/>
      <c r="N83" s="251">
        <v>0</v>
      </c>
      <c r="P83" s="650" t="s">
        <v>2256</v>
      </c>
      <c r="R83" s="655">
        <v>0</v>
      </c>
    </row>
    <row r="84" spans="1:18">
      <c r="A84" s="463"/>
      <c r="B84" s="469"/>
      <c r="C84" s="467"/>
      <c r="D84" s="472" t="s">
        <v>2766</v>
      </c>
      <c r="E84" s="471"/>
      <c r="F84" s="471">
        <v>0</v>
      </c>
      <c r="G84" s="463"/>
      <c r="H84" s="251">
        <v>2.57</v>
      </c>
      <c r="I84" s="251"/>
      <c r="J84" s="251">
        <v>2.57</v>
      </c>
      <c r="K84" s="251"/>
      <c r="L84" s="251">
        <v>0</v>
      </c>
      <c r="M84" s="251"/>
      <c r="N84" s="251">
        <v>0</v>
      </c>
      <c r="P84" s="650" t="s">
        <v>2256</v>
      </c>
      <c r="R84" s="655">
        <v>1</v>
      </c>
    </row>
    <row r="85" spans="1:18">
      <c r="A85" s="463"/>
      <c r="B85" s="469"/>
      <c r="C85" s="467"/>
      <c r="D85" s="472" t="s">
        <v>2767</v>
      </c>
      <c r="E85" s="471"/>
      <c r="F85" s="471">
        <v>0</v>
      </c>
      <c r="G85" s="463"/>
      <c r="H85" s="251">
        <v>0.2</v>
      </c>
      <c r="I85" s="251"/>
      <c r="J85" s="251">
        <v>0.2</v>
      </c>
      <c r="K85" s="251"/>
      <c r="L85" s="251">
        <v>0</v>
      </c>
      <c r="M85" s="251"/>
      <c r="N85" s="251">
        <v>0</v>
      </c>
      <c r="P85" s="650" t="s">
        <v>2256</v>
      </c>
      <c r="R85" s="655">
        <v>1</v>
      </c>
    </row>
    <row r="86" spans="1:18">
      <c r="A86" s="463"/>
      <c r="B86" s="469"/>
      <c r="C86" s="467"/>
      <c r="D86" s="472" t="s">
        <v>2768</v>
      </c>
      <c r="E86" s="471"/>
      <c r="F86" s="471">
        <v>0</v>
      </c>
      <c r="G86" s="463"/>
      <c r="H86" s="251">
        <v>3.71</v>
      </c>
      <c r="I86" s="251"/>
      <c r="J86" s="251">
        <v>3.71</v>
      </c>
      <c r="K86" s="251"/>
      <c r="L86" s="251">
        <v>0</v>
      </c>
      <c r="M86" s="251"/>
      <c r="N86" s="251">
        <v>0</v>
      </c>
      <c r="P86" s="650" t="s">
        <v>2256</v>
      </c>
      <c r="R86" s="655">
        <v>3</v>
      </c>
    </row>
    <row r="87" spans="1:18" s="478" customFormat="1">
      <c r="B87" s="474"/>
      <c r="C87" s="475"/>
      <c r="D87" s="476" t="s">
        <v>1296</v>
      </c>
      <c r="E87" s="477"/>
      <c r="F87" s="477">
        <v>0</v>
      </c>
      <c r="H87" s="251">
        <v>0</v>
      </c>
      <c r="I87" s="251"/>
      <c r="J87" s="251">
        <v>0</v>
      </c>
      <c r="K87" s="251"/>
      <c r="L87" s="251">
        <v>0</v>
      </c>
      <c r="M87" s="251"/>
      <c r="N87" s="251">
        <v>0</v>
      </c>
      <c r="O87" s="658"/>
      <c r="P87" s="659" t="s">
        <v>2256</v>
      </c>
      <c r="Q87" s="658"/>
      <c r="R87" s="655">
        <v>1</v>
      </c>
    </row>
    <row r="88" spans="1:18">
      <c r="A88" s="463"/>
      <c r="B88" s="469"/>
      <c r="C88" s="467"/>
      <c r="D88" s="473"/>
      <c r="E88" s="471"/>
      <c r="F88" s="471"/>
      <c r="G88" s="463"/>
      <c r="H88" s="251"/>
      <c r="I88" s="251"/>
      <c r="J88" s="251"/>
      <c r="K88" s="251"/>
      <c r="L88" s="251"/>
      <c r="M88" s="251"/>
      <c r="N88" s="251"/>
      <c r="P88" s="650"/>
      <c r="R88" s="651"/>
    </row>
    <row r="89" spans="1:18">
      <c r="A89" s="463"/>
      <c r="B89" s="469"/>
      <c r="C89" s="467"/>
      <c r="D89" s="473" t="s">
        <v>2271</v>
      </c>
      <c r="E89" s="471"/>
      <c r="F89" s="471"/>
      <c r="G89" s="463"/>
      <c r="H89" s="251"/>
      <c r="I89" s="251"/>
      <c r="J89" s="251"/>
      <c r="K89" s="251"/>
      <c r="L89" s="251"/>
      <c r="M89" s="251"/>
      <c r="N89" s="251"/>
      <c r="P89" s="650"/>
      <c r="R89" s="651"/>
    </row>
    <row r="90" spans="1:18">
      <c r="A90" s="463"/>
      <c r="B90" s="469"/>
      <c r="C90" s="467"/>
      <c r="D90" s="473"/>
      <c r="E90" s="471"/>
      <c r="F90" s="471"/>
      <c r="G90" s="463"/>
      <c r="H90" s="251"/>
      <c r="I90" s="251"/>
      <c r="J90" s="251"/>
      <c r="K90" s="251"/>
      <c r="L90" s="251"/>
      <c r="M90" s="251"/>
      <c r="N90" s="251"/>
      <c r="P90" s="650"/>
      <c r="R90" s="651"/>
    </row>
    <row r="91" spans="1:18">
      <c r="A91" s="463"/>
      <c r="B91" s="469">
        <v>312.2</v>
      </c>
      <c r="C91" s="467"/>
      <c r="D91" s="470" t="s">
        <v>2272</v>
      </c>
      <c r="E91" s="471"/>
      <c r="F91" s="471"/>
      <c r="G91" s="463"/>
      <c r="H91" s="251"/>
      <c r="I91" s="251"/>
      <c r="J91" s="251"/>
      <c r="K91" s="251"/>
      <c r="L91" s="251"/>
      <c r="M91" s="251"/>
      <c r="N91" s="251"/>
      <c r="P91" s="650"/>
      <c r="R91" s="651"/>
    </row>
    <row r="92" spans="1:18">
      <c r="A92" s="463"/>
      <c r="B92" s="469"/>
      <c r="C92" s="467"/>
      <c r="D92" s="470" t="s">
        <v>1281</v>
      </c>
      <c r="E92" s="468"/>
      <c r="F92" s="471">
        <v>-10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9" t="s">
        <v>2261</v>
      </c>
      <c r="R92" s="651">
        <v>0</v>
      </c>
    </row>
    <row r="93" spans="1:18">
      <c r="A93" s="463"/>
      <c r="B93" s="469"/>
      <c r="C93" s="467"/>
      <c r="D93" s="470" t="s">
        <v>1282</v>
      </c>
      <c r="E93" s="468"/>
      <c r="F93" s="471">
        <v>-10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9" t="s">
        <v>2261</v>
      </c>
      <c r="R93" s="651">
        <v>0</v>
      </c>
    </row>
    <row r="94" spans="1:18">
      <c r="A94" s="463"/>
      <c r="B94" s="463"/>
      <c r="C94" s="467"/>
      <c r="D94" s="472" t="s">
        <v>1283</v>
      </c>
      <c r="E94" s="468"/>
      <c r="F94" s="471">
        <v>-10</v>
      </c>
      <c r="G94" s="463"/>
      <c r="H94" s="251">
        <v>0</v>
      </c>
      <c r="I94" s="251"/>
      <c r="J94" s="251">
        <v>0</v>
      </c>
      <c r="K94" s="251"/>
      <c r="L94" s="251">
        <v>0</v>
      </c>
      <c r="M94" s="251"/>
      <c r="N94" s="251">
        <v>0</v>
      </c>
      <c r="P94" s="649" t="s">
        <v>2261</v>
      </c>
      <c r="R94" s="651">
        <v>0</v>
      </c>
    </row>
    <row r="95" spans="1:18">
      <c r="A95" s="463"/>
      <c r="B95" s="469"/>
      <c r="C95" s="467"/>
      <c r="D95" s="472" t="s">
        <v>1284</v>
      </c>
      <c r="E95" s="471"/>
      <c r="F95" s="471">
        <v>-10</v>
      </c>
      <c r="G95" s="463"/>
      <c r="H95" s="251">
        <v>0</v>
      </c>
      <c r="I95" s="251"/>
      <c r="J95" s="251">
        <v>0</v>
      </c>
      <c r="K95" s="251"/>
      <c r="L95" s="251">
        <v>0</v>
      </c>
      <c r="M95" s="251"/>
      <c r="N95" s="251">
        <v>0</v>
      </c>
      <c r="P95" s="650" t="s">
        <v>2261</v>
      </c>
      <c r="R95" s="651">
        <v>0</v>
      </c>
    </row>
    <row r="96" spans="1:18" s="478" customFormat="1">
      <c r="A96" s="463"/>
      <c r="B96" s="469"/>
      <c r="C96" s="467"/>
      <c r="D96" s="472" t="s">
        <v>1285</v>
      </c>
      <c r="E96" s="471"/>
      <c r="F96" s="471">
        <v>-10</v>
      </c>
      <c r="G96" s="463"/>
      <c r="H96" s="251">
        <v>0</v>
      </c>
      <c r="I96" s="251"/>
      <c r="J96" s="251">
        <v>0</v>
      </c>
      <c r="K96" s="251"/>
      <c r="L96" s="251">
        <v>0</v>
      </c>
      <c r="M96" s="251"/>
      <c r="N96" s="251">
        <v>0</v>
      </c>
      <c r="O96" s="649"/>
      <c r="P96" s="649" t="s">
        <v>2261</v>
      </c>
      <c r="Q96" s="649"/>
      <c r="R96" s="651">
        <v>0</v>
      </c>
    </row>
    <row r="97" spans="1:18">
      <c r="A97" s="478"/>
      <c r="B97" s="479"/>
      <c r="C97" s="475"/>
      <c r="D97" s="476" t="s">
        <v>1290</v>
      </c>
      <c r="E97" s="477"/>
      <c r="F97" s="477">
        <v>-10</v>
      </c>
      <c r="G97" s="478"/>
      <c r="H97" s="251">
        <v>0</v>
      </c>
      <c r="I97" s="251"/>
      <c r="J97" s="251">
        <v>0</v>
      </c>
      <c r="K97" s="251"/>
      <c r="L97" s="251">
        <v>0</v>
      </c>
      <c r="M97" s="251"/>
      <c r="N97" s="251">
        <v>0</v>
      </c>
      <c r="O97" s="658"/>
      <c r="P97" s="658" t="s">
        <v>2261</v>
      </c>
      <c r="Q97" s="658"/>
      <c r="R97" s="651">
        <v>0</v>
      </c>
    </row>
    <row r="98" spans="1:18">
      <c r="A98" s="463"/>
      <c r="B98" s="469"/>
      <c r="C98" s="467"/>
      <c r="D98" s="473"/>
      <c r="E98" s="471"/>
      <c r="F98" s="471"/>
      <c r="G98" s="463"/>
      <c r="H98" s="251"/>
      <c r="I98" s="251"/>
      <c r="J98" s="251"/>
      <c r="K98" s="251"/>
      <c r="L98" s="251"/>
      <c r="M98" s="251"/>
      <c r="N98" s="251"/>
      <c r="P98" s="650"/>
      <c r="R98" s="660"/>
    </row>
    <row r="99" spans="1:18">
      <c r="A99" s="463">
        <v>312</v>
      </c>
      <c r="B99" s="469"/>
      <c r="C99" s="467"/>
      <c r="D99" s="473" t="s">
        <v>1302</v>
      </c>
      <c r="E99" s="471"/>
      <c r="F99" s="277" t="s">
        <v>2761</v>
      </c>
      <c r="G99" s="463"/>
      <c r="H99" s="251">
        <v>5.22</v>
      </c>
      <c r="I99" s="251"/>
      <c r="J99" s="251"/>
      <c r="K99" s="251"/>
      <c r="L99" s="251"/>
      <c r="M99" s="251"/>
      <c r="N99" s="251"/>
      <c r="P99" s="652" t="s">
        <v>2762</v>
      </c>
      <c r="R99" s="653">
        <v>14.7</v>
      </c>
    </row>
    <row r="100" spans="1:18">
      <c r="A100" s="272"/>
      <c r="B100" s="248"/>
      <c r="C100" s="249"/>
      <c r="D100" s="254"/>
      <c r="E100" s="249"/>
      <c r="F100" s="250"/>
      <c r="G100" s="249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</row>
    <row r="101" spans="1:18">
      <c r="A101" s="272"/>
      <c r="B101" s="248">
        <v>314</v>
      </c>
      <c r="C101" s="249"/>
      <c r="D101" s="249" t="s">
        <v>1303</v>
      </c>
      <c r="E101" s="249"/>
      <c r="F101" s="250"/>
      <c r="G101" s="249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</row>
    <row r="102" spans="1:18">
      <c r="A102" s="272"/>
      <c r="B102" s="248"/>
      <c r="C102" s="249"/>
      <c r="D102" s="657" t="s">
        <v>1278</v>
      </c>
      <c r="E102" s="249"/>
      <c r="F102" s="647">
        <v>-13</v>
      </c>
      <c r="G102" s="249"/>
      <c r="H102" s="251">
        <v>2.2599999999999998</v>
      </c>
      <c r="I102" s="251"/>
      <c r="J102" s="251">
        <v>1.9999999999999998</v>
      </c>
      <c r="K102" s="251"/>
      <c r="L102" s="251">
        <v>0.3</v>
      </c>
      <c r="M102" s="251"/>
      <c r="N102" s="251">
        <v>-0.04</v>
      </c>
      <c r="O102" s="251"/>
      <c r="P102" s="648" t="s">
        <v>2769</v>
      </c>
      <c r="Q102" s="251"/>
      <c r="R102" s="251">
        <v>38.700000000000003</v>
      </c>
    </row>
    <row r="103" spans="1:18">
      <c r="A103" s="272"/>
      <c r="B103" s="248"/>
      <c r="C103" s="249"/>
      <c r="D103" s="657" t="s">
        <v>1286</v>
      </c>
      <c r="E103" s="249"/>
      <c r="F103" s="647">
        <v>-4</v>
      </c>
      <c r="G103" s="249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251"/>
      <c r="P103" s="648" t="s">
        <v>2769</v>
      </c>
      <c r="Q103" s="251"/>
      <c r="R103" s="251">
        <v>0</v>
      </c>
    </row>
    <row r="104" spans="1:18">
      <c r="A104" s="272"/>
      <c r="B104" s="248"/>
      <c r="C104" s="249"/>
      <c r="D104" s="657" t="s">
        <v>1287</v>
      </c>
      <c r="E104" s="249"/>
      <c r="F104" s="647">
        <v>-4</v>
      </c>
      <c r="G104" s="249"/>
      <c r="H104" s="251">
        <v>0</v>
      </c>
      <c r="I104" s="251"/>
      <c r="J104" s="251">
        <v>0</v>
      </c>
      <c r="K104" s="251"/>
      <c r="L104" s="251">
        <v>0</v>
      </c>
      <c r="M104" s="251"/>
      <c r="N104" s="251">
        <v>0</v>
      </c>
      <c r="O104" s="251"/>
      <c r="P104" s="648" t="s">
        <v>2769</v>
      </c>
      <c r="Q104" s="251"/>
      <c r="R104" s="251">
        <v>0</v>
      </c>
    </row>
    <row r="105" spans="1:18">
      <c r="A105" s="272"/>
      <c r="B105" s="248"/>
      <c r="C105" s="249"/>
      <c r="D105" s="657" t="s">
        <v>1288</v>
      </c>
      <c r="E105" s="249"/>
      <c r="F105" s="647">
        <v>-4</v>
      </c>
      <c r="G105" s="249"/>
      <c r="H105" s="251">
        <v>10.6</v>
      </c>
      <c r="I105" s="251"/>
      <c r="J105" s="251">
        <v>10.192307692307692</v>
      </c>
      <c r="K105" s="251"/>
      <c r="L105" s="251">
        <v>0.61153846153846148</v>
      </c>
      <c r="M105" s="251"/>
      <c r="N105" s="251">
        <v>-0.20384615384615384</v>
      </c>
      <c r="O105" s="251"/>
      <c r="P105" s="648" t="s">
        <v>2769</v>
      </c>
      <c r="Q105" s="251"/>
      <c r="R105" s="251">
        <v>7.8</v>
      </c>
    </row>
    <row r="106" spans="1:18">
      <c r="A106" s="272"/>
      <c r="B106" s="248"/>
      <c r="C106" s="249"/>
      <c r="D106" s="657" t="s">
        <v>1292</v>
      </c>
      <c r="E106" s="249"/>
      <c r="F106" s="647">
        <v>-7</v>
      </c>
      <c r="G106" s="249"/>
      <c r="H106" s="251">
        <v>3.72</v>
      </c>
      <c r="I106" s="251"/>
      <c r="J106" s="251">
        <v>3.4766355140186915</v>
      </c>
      <c r="K106" s="251"/>
      <c r="L106" s="251">
        <v>0.31289719626168222</v>
      </c>
      <c r="M106" s="251"/>
      <c r="N106" s="251">
        <v>-6.9532710280373833E-2</v>
      </c>
      <c r="O106" s="251"/>
      <c r="P106" s="648" t="s">
        <v>2769</v>
      </c>
      <c r="Q106" s="251"/>
      <c r="R106" s="251">
        <v>13.4</v>
      </c>
    </row>
    <row r="107" spans="1:18">
      <c r="A107" s="272"/>
      <c r="B107" s="248"/>
      <c r="C107" s="249"/>
      <c r="D107" s="657" t="s">
        <v>1293</v>
      </c>
      <c r="E107" s="249"/>
      <c r="F107" s="647">
        <v>-7</v>
      </c>
      <c r="G107" s="249"/>
      <c r="H107" s="251">
        <v>3.7</v>
      </c>
      <c r="I107" s="251"/>
      <c r="J107" s="251">
        <v>3.457943925233645</v>
      </c>
      <c r="K107" s="251"/>
      <c r="L107" s="251">
        <v>0.31121495327102805</v>
      </c>
      <c r="M107" s="251"/>
      <c r="N107" s="251">
        <v>-6.9158878504672894E-2</v>
      </c>
      <c r="O107" s="251"/>
      <c r="P107" s="648" t="s">
        <v>2769</v>
      </c>
      <c r="Q107" s="251"/>
      <c r="R107" s="251">
        <v>13.2</v>
      </c>
    </row>
    <row r="108" spans="1:18">
      <c r="A108" s="272"/>
      <c r="B108" s="248"/>
      <c r="C108" s="249"/>
      <c r="D108" s="657" t="s">
        <v>1294</v>
      </c>
      <c r="E108" s="249"/>
      <c r="F108" s="647">
        <v>-7</v>
      </c>
      <c r="G108" s="249"/>
      <c r="H108" s="251">
        <v>3.87</v>
      </c>
      <c r="I108" s="251"/>
      <c r="J108" s="251">
        <v>3.6168224299065423</v>
      </c>
      <c r="K108" s="251"/>
      <c r="L108" s="251">
        <v>0.3255140186915888</v>
      </c>
      <c r="M108" s="251"/>
      <c r="N108" s="251">
        <v>-7.2336448598130834E-2</v>
      </c>
      <c r="O108" s="251"/>
      <c r="P108" s="648" t="s">
        <v>2769</v>
      </c>
      <c r="Q108" s="251"/>
      <c r="R108" s="251">
        <v>15.9</v>
      </c>
    </row>
    <row r="109" spans="1:18">
      <c r="A109" s="272"/>
      <c r="B109" s="248"/>
      <c r="C109" s="256"/>
      <c r="D109" s="657" t="s">
        <v>1295</v>
      </c>
      <c r="E109" s="239"/>
      <c r="F109" s="647">
        <v>-7</v>
      </c>
      <c r="G109" s="239"/>
      <c r="H109" s="251">
        <v>2.75</v>
      </c>
      <c r="I109" s="251"/>
      <c r="J109" s="251">
        <v>2.5700934579439254</v>
      </c>
      <c r="K109" s="251"/>
      <c r="L109" s="251">
        <v>0.23130841121495327</v>
      </c>
      <c r="M109" s="251"/>
      <c r="N109" s="251">
        <v>-5.1401869158878503E-2</v>
      </c>
      <c r="O109" s="251"/>
      <c r="P109" s="648" t="s">
        <v>2769</v>
      </c>
      <c r="Q109" s="251"/>
      <c r="R109" s="251">
        <v>15.7</v>
      </c>
    </row>
    <row r="110" spans="1:18">
      <c r="A110" s="272"/>
      <c r="B110" s="248"/>
      <c r="C110" s="249"/>
      <c r="D110" s="249"/>
      <c r="E110" s="249"/>
      <c r="F110" s="250"/>
      <c r="G110" s="249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</row>
    <row r="111" spans="1:18">
      <c r="A111" s="272">
        <v>314</v>
      </c>
      <c r="B111" s="248"/>
      <c r="C111" s="249"/>
      <c r="D111" s="254" t="s">
        <v>1304</v>
      </c>
      <c r="E111" s="249"/>
      <c r="F111" s="277" t="s">
        <v>2770</v>
      </c>
      <c r="G111" s="249"/>
      <c r="H111" s="251">
        <v>4.21</v>
      </c>
      <c r="I111" s="251"/>
      <c r="J111" s="251"/>
      <c r="K111" s="251"/>
      <c r="L111" s="251"/>
      <c r="M111" s="251"/>
      <c r="N111" s="251"/>
      <c r="O111" s="251"/>
      <c r="P111" s="251" t="s">
        <v>2769</v>
      </c>
      <c r="Q111" s="251"/>
      <c r="R111" s="251">
        <v>15.6</v>
      </c>
    </row>
    <row r="112" spans="1:18">
      <c r="A112" s="272"/>
      <c r="B112" s="248"/>
      <c r="C112" s="249"/>
      <c r="D112" s="254"/>
      <c r="E112" s="249"/>
      <c r="F112" s="277"/>
      <c r="G112" s="249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</row>
    <row r="113" spans="1:18">
      <c r="A113" s="463"/>
      <c r="B113" s="469">
        <v>314.10000000000002</v>
      </c>
      <c r="C113" s="467"/>
      <c r="D113" s="470" t="s">
        <v>2273</v>
      </c>
      <c r="E113" s="471"/>
      <c r="F113" s="471"/>
      <c r="G113" s="463"/>
      <c r="H113" s="251"/>
      <c r="I113" s="251"/>
      <c r="J113" s="251"/>
      <c r="K113" s="251"/>
      <c r="L113" s="251"/>
      <c r="M113" s="251"/>
      <c r="N113" s="251"/>
      <c r="P113" s="650"/>
      <c r="R113" s="651"/>
    </row>
    <row r="114" spans="1:18">
      <c r="A114" s="463"/>
      <c r="B114" s="469"/>
      <c r="C114" s="467"/>
      <c r="D114" s="472" t="s">
        <v>1281</v>
      </c>
      <c r="E114" s="471"/>
      <c r="F114" s="661">
        <v>0</v>
      </c>
      <c r="G114" s="662"/>
      <c r="H114" s="251">
        <v>0</v>
      </c>
      <c r="I114" s="251"/>
      <c r="J114" s="251">
        <v>0</v>
      </c>
      <c r="K114" s="251"/>
      <c r="L114" s="251">
        <v>0</v>
      </c>
      <c r="M114" s="251"/>
      <c r="N114" s="251">
        <v>0</v>
      </c>
      <c r="R114" s="651">
        <v>0</v>
      </c>
    </row>
    <row r="115" spans="1:18">
      <c r="A115" s="463"/>
      <c r="B115" s="469"/>
      <c r="C115" s="467"/>
      <c r="D115" s="472" t="s">
        <v>1282</v>
      </c>
      <c r="E115" s="471"/>
      <c r="F115" s="661">
        <v>0</v>
      </c>
      <c r="G115" s="662"/>
      <c r="H115" s="251">
        <v>0</v>
      </c>
      <c r="I115" s="251"/>
      <c r="J115" s="251">
        <v>0</v>
      </c>
      <c r="K115" s="251"/>
      <c r="L115" s="251">
        <v>0</v>
      </c>
      <c r="M115" s="251"/>
      <c r="N115" s="251">
        <v>0</v>
      </c>
      <c r="R115" s="651">
        <v>0</v>
      </c>
    </row>
    <row r="116" spans="1:18">
      <c r="A116" s="463"/>
      <c r="B116" s="469"/>
      <c r="C116" s="467"/>
      <c r="D116" s="472" t="s">
        <v>1283</v>
      </c>
      <c r="E116" s="471"/>
      <c r="F116" s="661">
        <v>0</v>
      </c>
      <c r="G116" s="662"/>
      <c r="H116" s="251">
        <v>0</v>
      </c>
      <c r="I116" s="251"/>
      <c r="J116" s="251">
        <v>0</v>
      </c>
      <c r="K116" s="251"/>
      <c r="L116" s="251">
        <v>0</v>
      </c>
      <c r="M116" s="251"/>
      <c r="N116" s="251">
        <v>0</v>
      </c>
      <c r="R116" s="651">
        <v>0</v>
      </c>
    </row>
    <row r="117" spans="1:18">
      <c r="A117" s="463"/>
      <c r="B117" s="469"/>
      <c r="C117" s="467"/>
      <c r="D117" s="472" t="s">
        <v>1284</v>
      </c>
      <c r="E117" s="471"/>
      <c r="F117" s="661">
        <v>0</v>
      </c>
      <c r="G117" s="662"/>
      <c r="H117" s="251">
        <v>0</v>
      </c>
      <c r="I117" s="251"/>
      <c r="J117" s="251">
        <v>0</v>
      </c>
      <c r="K117" s="251"/>
      <c r="L117" s="251">
        <v>0</v>
      </c>
      <c r="M117" s="251"/>
      <c r="N117" s="251">
        <v>0</v>
      </c>
      <c r="R117" s="651">
        <v>0</v>
      </c>
    </row>
    <row r="118" spans="1:18">
      <c r="A118" s="463"/>
      <c r="B118" s="469"/>
      <c r="C118" s="467"/>
      <c r="D118" s="473"/>
      <c r="E118" s="471"/>
      <c r="F118" s="661"/>
      <c r="G118" s="662"/>
      <c r="H118" s="251"/>
      <c r="I118" s="251"/>
      <c r="J118" s="251"/>
      <c r="K118" s="251"/>
      <c r="L118" s="251"/>
      <c r="M118" s="251"/>
      <c r="N118" s="251"/>
      <c r="R118" s="651"/>
    </row>
    <row r="119" spans="1:18">
      <c r="A119" s="463"/>
      <c r="B119" s="469"/>
      <c r="C119" s="467"/>
      <c r="D119" s="473" t="s">
        <v>2274</v>
      </c>
      <c r="E119" s="471"/>
      <c r="F119" s="661">
        <v>0</v>
      </c>
      <c r="G119" s="662"/>
      <c r="H119" s="251">
        <v>0</v>
      </c>
      <c r="I119" s="251"/>
      <c r="J119" s="251">
        <v>0</v>
      </c>
      <c r="K119" s="251"/>
      <c r="L119" s="251">
        <v>0</v>
      </c>
      <c r="M119" s="251"/>
      <c r="N119" s="251">
        <v>0</v>
      </c>
      <c r="R119" s="651">
        <v>0</v>
      </c>
    </row>
    <row r="120" spans="1:18">
      <c r="A120" s="272"/>
      <c r="B120" s="248"/>
      <c r="C120" s="249"/>
      <c r="D120" s="249"/>
      <c r="E120" s="249"/>
      <c r="F120" s="250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272"/>
      <c r="B121" s="248">
        <v>315</v>
      </c>
      <c r="C121" s="249"/>
      <c r="D121" s="249" t="s">
        <v>1305</v>
      </c>
      <c r="E121" s="249"/>
      <c r="F121" s="250"/>
      <c r="G121" s="249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</row>
    <row r="122" spans="1:18">
      <c r="A122" s="272"/>
      <c r="B122" s="248"/>
      <c r="C122" s="249"/>
      <c r="D122" s="654" t="s">
        <v>1278</v>
      </c>
      <c r="E122" s="249"/>
      <c r="F122" s="647">
        <v>-13</v>
      </c>
      <c r="G122" s="249"/>
      <c r="H122" s="655">
        <v>2.0299999999999998</v>
      </c>
      <c r="I122" s="251"/>
      <c r="J122" s="655">
        <v>1.7964601769911501</v>
      </c>
      <c r="K122" s="251"/>
      <c r="L122" s="655">
        <v>0.25150442477876112</v>
      </c>
      <c r="M122" s="251"/>
      <c r="N122" s="655">
        <v>-1.7964601769911506E-2</v>
      </c>
      <c r="O122" s="251"/>
      <c r="P122" s="251" t="s">
        <v>1372</v>
      </c>
      <c r="Q122" s="251"/>
      <c r="R122" s="655">
        <v>43.4</v>
      </c>
    </row>
    <row r="123" spans="1:18">
      <c r="A123" s="272"/>
      <c r="B123" s="248"/>
      <c r="C123" s="249"/>
      <c r="D123" s="654" t="s">
        <v>1279</v>
      </c>
      <c r="E123" s="249"/>
      <c r="F123" s="647">
        <v>-13</v>
      </c>
      <c r="G123" s="249"/>
      <c r="H123" s="655">
        <v>1.41</v>
      </c>
      <c r="I123" s="251"/>
      <c r="J123" s="655">
        <v>1.247787610619469</v>
      </c>
      <c r="K123" s="251"/>
      <c r="L123" s="655">
        <v>0.1746902654867257</v>
      </c>
      <c r="M123" s="251"/>
      <c r="N123" s="655">
        <v>-1.2477876106194693E-2</v>
      </c>
      <c r="O123" s="251"/>
      <c r="P123" s="251" t="s">
        <v>1372</v>
      </c>
      <c r="Q123" s="251"/>
      <c r="R123" s="655">
        <v>37.6</v>
      </c>
    </row>
    <row r="124" spans="1:18">
      <c r="A124" s="272"/>
      <c r="B124" s="248"/>
      <c r="C124" s="249"/>
      <c r="D124" s="654" t="s">
        <v>1286</v>
      </c>
      <c r="E124" s="249"/>
      <c r="F124" s="647">
        <v>-4</v>
      </c>
      <c r="G124" s="249"/>
      <c r="H124" s="655">
        <v>0</v>
      </c>
      <c r="I124" s="251"/>
      <c r="J124" s="655">
        <v>0</v>
      </c>
      <c r="K124" s="251"/>
      <c r="L124" s="655">
        <v>0</v>
      </c>
      <c r="M124" s="251"/>
      <c r="N124" s="655">
        <v>0</v>
      </c>
      <c r="O124" s="251"/>
      <c r="P124" s="251" t="s">
        <v>1372</v>
      </c>
      <c r="Q124" s="251"/>
      <c r="R124" s="655">
        <v>0</v>
      </c>
    </row>
    <row r="125" spans="1:18">
      <c r="A125" s="272"/>
      <c r="B125" s="248"/>
      <c r="C125" s="249"/>
      <c r="D125" s="654" t="s">
        <v>1287</v>
      </c>
      <c r="E125" s="249"/>
      <c r="F125" s="647">
        <v>-4</v>
      </c>
      <c r="G125" s="249"/>
      <c r="H125" s="655">
        <v>0</v>
      </c>
      <c r="I125" s="251"/>
      <c r="J125" s="655">
        <v>0</v>
      </c>
      <c r="K125" s="251"/>
      <c r="L125" s="655">
        <v>0</v>
      </c>
      <c r="M125" s="251"/>
      <c r="N125" s="655">
        <v>0</v>
      </c>
      <c r="O125" s="251"/>
      <c r="P125" s="251" t="s">
        <v>1372</v>
      </c>
      <c r="Q125" s="251"/>
      <c r="R125" s="655">
        <v>0</v>
      </c>
    </row>
    <row r="126" spans="1:18">
      <c r="A126" s="272"/>
      <c r="B126" s="248"/>
      <c r="C126" s="249"/>
      <c r="D126" s="654" t="s">
        <v>1288</v>
      </c>
      <c r="E126" s="249"/>
      <c r="F126" s="647">
        <v>-4</v>
      </c>
      <c r="G126" s="249"/>
      <c r="H126" s="655">
        <v>7.41</v>
      </c>
      <c r="I126" s="251"/>
      <c r="J126" s="655">
        <v>7.125</v>
      </c>
      <c r="K126" s="251"/>
      <c r="L126" s="655">
        <v>0.35625000000000001</v>
      </c>
      <c r="M126" s="251"/>
      <c r="N126" s="655">
        <v>-7.1250000000000008E-2</v>
      </c>
      <c r="O126" s="251"/>
      <c r="P126" s="251" t="s">
        <v>1372</v>
      </c>
      <c r="Q126" s="251"/>
      <c r="R126" s="655">
        <v>7.9</v>
      </c>
    </row>
    <row r="127" spans="1:18">
      <c r="A127" s="272"/>
      <c r="B127" s="248"/>
      <c r="C127" s="249"/>
      <c r="D127" s="654" t="s">
        <v>1289</v>
      </c>
      <c r="E127" s="249"/>
      <c r="F127" s="647">
        <v>-4</v>
      </c>
      <c r="G127" s="249"/>
      <c r="H127" s="655">
        <v>8.57</v>
      </c>
      <c r="I127" s="251"/>
      <c r="J127" s="655">
        <v>8.2403846153846168</v>
      </c>
      <c r="K127" s="251"/>
      <c r="L127" s="655">
        <v>0.4120192307692308</v>
      </c>
      <c r="M127" s="251"/>
      <c r="N127" s="655">
        <v>-8.2403846153846161E-2</v>
      </c>
      <c r="O127" s="251"/>
      <c r="P127" s="251" t="s">
        <v>1372</v>
      </c>
      <c r="Q127" s="251"/>
      <c r="R127" s="655">
        <v>8</v>
      </c>
    </row>
    <row r="128" spans="1:18">
      <c r="A128" s="272"/>
      <c r="B128" s="248"/>
      <c r="C128" s="249"/>
      <c r="D128" s="654" t="s">
        <v>1291</v>
      </c>
      <c r="E128" s="249"/>
      <c r="F128" s="647">
        <v>-7</v>
      </c>
      <c r="G128" s="249"/>
      <c r="H128" s="655">
        <v>3.59</v>
      </c>
      <c r="I128" s="251"/>
      <c r="J128" s="655">
        <v>3.3551401869158877</v>
      </c>
      <c r="K128" s="251"/>
      <c r="L128" s="655">
        <v>0.26841121495327097</v>
      </c>
      <c r="M128" s="251"/>
      <c r="N128" s="655">
        <v>-3.3551401869158871E-2</v>
      </c>
      <c r="O128" s="251"/>
      <c r="P128" s="251" t="s">
        <v>1372</v>
      </c>
      <c r="Q128" s="251"/>
      <c r="R128" s="655">
        <v>14</v>
      </c>
    </row>
    <row r="129" spans="1:18">
      <c r="A129" s="272"/>
      <c r="B129" s="248"/>
      <c r="C129" s="249"/>
      <c r="D129" s="654" t="s">
        <v>1292</v>
      </c>
      <c r="E129" s="249"/>
      <c r="F129" s="647">
        <v>-7</v>
      </c>
      <c r="G129" s="249"/>
      <c r="H129" s="655">
        <v>3.11</v>
      </c>
      <c r="I129" s="251"/>
      <c r="J129" s="655">
        <v>2.9065420560747661</v>
      </c>
      <c r="K129" s="251"/>
      <c r="L129" s="655">
        <v>0.23252336448598129</v>
      </c>
      <c r="M129" s="251"/>
      <c r="N129" s="655">
        <v>-2.9065420560747662E-2</v>
      </c>
      <c r="O129" s="251"/>
      <c r="P129" s="251" t="s">
        <v>1372</v>
      </c>
      <c r="Q129" s="251"/>
      <c r="R129" s="655">
        <v>13.8</v>
      </c>
    </row>
    <row r="130" spans="1:18">
      <c r="A130" s="272"/>
      <c r="B130" s="248"/>
      <c r="C130" s="249"/>
      <c r="D130" s="654" t="s">
        <v>1293</v>
      </c>
      <c r="E130" s="249"/>
      <c r="F130" s="647">
        <v>-7</v>
      </c>
      <c r="G130" s="249"/>
      <c r="H130" s="655">
        <v>3.94</v>
      </c>
      <c r="I130" s="251"/>
      <c r="J130" s="655">
        <v>3.6822429906542054</v>
      </c>
      <c r="K130" s="251"/>
      <c r="L130" s="655">
        <v>0.29457943925233643</v>
      </c>
      <c r="M130" s="251"/>
      <c r="N130" s="655">
        <v>-3.6822429906542054E-2</v>
      </c>
      <c r="O130" s="251"/>
      <c r="P130" s="251" t="s">
        <v>1372</v>
      </c>
      <c r="Q130" s="251"/>
      <c r="R130" s="655">
        <v>13.8</v>
      </c>
    </row>
    <row r="131" spans="1:18">
      <c r="A131" s="272"/>
      <c r="B131" s="248"/>
      <c r="C131" s="249"/>
      <c r="D131" s="654" t="s">
        <v>1294</v>
      </c>
      <c r="E131" s="249"/>
      <c r="F131" s="647">
        <v>-7</v>
      </c>
      <c r="G131" s="249"/>
      <c r="H131" s="655">
        <v>1.69</v>
      </c>
      <c r="I131" s="251"/>
      <c r="J131" s="655">
        <v>1.5794392523364487</v>
      </c>
      <c r="K131" s="251"/>
      <c r="L131" s="655">
        <v>0.12635514018691588</v>
      </c>
      <c r="M131" s="251"/>
      <c r="N131" s="655">
        <v>-1.5794392523364485E-2</v>
      </c>
      <c r="O131" s="251"/>
      <c r="P131" s="251" t="s">
        <v>1372</v>
      </c>
      <c r="Q131" s="251"/>
      <c r="R131" s="655">
        <v>16.399999999999999</v>
      </c>
    </row>
    <row r="132" spans="1:18">
      <c r="A132" s="272"/>
      <c r="B132" s="248"/>
      <c r="C132" s="249"/>
      <c r="D132" s="654" t="s">
        <v>1295</v>
      </c>
      <c r="E132" s="249"/>
      <c r="F132" s="647">
        <v>-7</v>
      </c>
      <c r="G132" s="249"/>
      <c r="H132" s="655">
        <v>3.85</v>
      </c>
      <c r="I132" s="251"/>
      <c r="J132" s="655">
        <v>3.5981308411214954</v>
      </c>
      <c r="K132" s="251"/>
      <c r="L132" s="655">
        <v>0.28785046728971964</v>
      </c>
      <c r="M132" s="251"/>
      <c r="N132" s="655">
        <v>-3.5981308411214954E-2</v>
      </c>
      <c r="O132" s="251"/>
      <c r="P132" s="251" t="s">
        <v>1372</v>
      </c>
      <c r="Q132" s="251"/>
      <c r="R132" s="655">
        <v>16.8</v>
      </c>
    </row>
    <row r="133" spans="1:18">
      <c r="A133" s="272"/>
      <c r="B133" s="248"/>
      <c r="C133" s="249"/>
      <c r="D133" s="654" t="s">
        <v>1296</v>
      </c>
      <c r="E133" s="249"/>
      <c r="F133" s="647">
        <v>-7</v>
      </c>
      <c r="G133" s="249"/>
      <c r="H133" s="655">
        <v>4.7699999999999996</v>
      </c>
      <c r="I133" s="251"/>
      <c r="J133" s="655">
        <v>4.4579439252336446</v>
      </c>
      <c r="K133" s="251"/>
      <c r="L133" s="655">
        <v>0.35663551401869154</v>
      </c>
      <c r="M133" s="251"/>
      <c r="N133" s="655">
        <v>-4.4579439252336442E-2</v>
      </c>
      <c r="O133" s="251"/>
      <c r="P133" s="251" t="s">
        <v>1372</v>
      </c>
      <c r="Q133" s="251"/>
      <c r="R133" s="655">
        <v>14</v>
      </c>
    </row>
    <row r="134" spans="1:18">
      <c r="A134" s="272"/>
      <c r="B134" s="248"/>
      <c r="C134" s="249"/>
      <c r="D134" s="657" t="s">
        <v>1300</v>
      </c>
      <c r="E134" s="249"/>
      <c r="F134" s="647">
        <v>-7</v>
      </c>
      <c r="G134" s="249"/>
      <c r="H134" s="655">
        <v>3.58</v>
      </c>
      <c r="I134" s="251"/>
      <c r="J134" s="655">
        <v>3.3457943925233646</v>
      </c>
      <c r="K134" s="251"/>
      <c r="L134" s="655">
        <v>0.26766355140186915</v>
      </c>
      <c r="M134" s="251"/>
      <c r="N134" s="655">
        <v>-3.3457943925233644E-2</v>
      </c>
      <c r="O134" s="251"/>
      <c r="P134" s="251" t="s">
        <v>1372</v>
      </c>
      <c r="Q134" s="251"/>
      <c r="R134" s="655">
        <v>17</v>
      </c>
    </row>
    <row r="135" spans="1:18">
      <c r="A135" s="272"/>
      <c r="B135" s="248"/>
      <c r="C135" s="249"/>
      <c r="D135" s="657" t="s">
        <v>1301</v>
      </c>
      <c r="E135" s="249"/>
      <c r="F135" s="647">
        <v>-7</v>
      </c>
      <c r="G135" s="249"/>
      <c r="H135" s="655">
        <v>4.3499999999999996</v>
      </c>
      <c r="I135" s="251"/>
      <c r="J135" s="655">
        <v>4.065420560747663</v>
      </c>
      <c r="K135" s="251"/>
      <c r="L135" s="655">
        <v>0.32523364485981304</v>
      </c>
      <c r="M135" s="251"/>
      <c r="N135" s="655">
        <v>-4.065420560747663E-2</v>
      </c>
      <c r="O135" s="251"/>
      <c r="P135" s="251" t="s">
        <v>1372</v>
      </c>
      <c r="Q135" s="251"/>
      <c r="R135" s="655">
        <v>17</v>
      </c>
    </row>
    <row r="136" spans="1:18">
      <c r="A136" s="272"/>
      <c r="B136" s="248"/>
      <c r="C136" s="249"/>
      <c r="D136" s="657"/>
      <c r="E136" s="249"/>
      <c r="F136" s="664"/>
      <c r="G136" s="249"/>
      <c r="H136" s="655"/>
      <c r="I136" s="251"/>
      <c r="J136" s="655"/>
      <c r="K136" s="251"/>
      <c r="L136" s="655"/>
      <c r="M136" s="251"/>
      <c r="N136" s="655"/>
      <c r="O136" s="251"/>
      <c r="P136" s="251"/>
      <c r="Q136" s="251"/>
      <c r="R136" s="251"/>
    </row>
    <row r="137" spans="1:18">
      <c r="A137" s="272">
        <v>315</v>
      </c>
      <c r="B137" s="248"/>
      <c r="C137" s="249"/>
      <c r="D137" s="473" t="s">
        <v>1306</v>
      </c>
      <c r="E137" s="249"/>
      <c r="F137" s="277" t="s">
        <v>2770</v>
      </c>
      <c r="G137" s="249"/>
      <c r="H137" s="251">
        <v>3.91</v>
      </c>
      <c r="I137" s="251"/>
      <c r="J137" s="251"/>
      <c r="K137" s="251"/>
      <c r="L137" s="251"/>
      <c r="M137" s="251"/>
      <c r="N137" s="251"/>
      <c r="O137" s="251"/>
      <c r="P137" s="251" t="str">
        <f>P135</f>
        <v>70-R4</v>
      </c>
      <c r="Q137" s="251"/>
      <c r="R137" s="251">
        <v>15.6</v>
      </c>
    </row>
    <row r="138" spans="1:18">
      <c r="A138" s="272"/>
      <c r="B138" s="248"/>
      <c r="C138" s="249"/>
      <c r="D138" s="254"/>
      <c r="E138" s="249"/>
      <c r="F138" s="277"/>
      <c r="G138" s="249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</row>
    <row r="139" spans="1:18">
      <c r="A139" s="463"/>
      <c r="B139" s="469"/>
      <c r="C139" s="467"/>
      <c r="D139" s="473"/>
      <c r="E139" s="471"/>
      <c r="F139" s="471"/>
      <c r="G139" s="463"/>
      <c r="P139" s="650"/>
      <c r="R139" s="651"/>
    </row>
    <row r="140" spans="1:18">
      <c r="A140" s="463"/>
      <c r="B140" s="469">
        <v>315.10000000000002</v>
      </c>
      <c r="C140" s="467"/>
      <c r="D140" s="470" t="s">
        <v>2276</v>
      </c>
      <c r="E140" s="471"/>
      <c r="F140" s="471"/>
      <c r="G140" s="463"/>
      <c r="P140" s="650"/>
      <c r="R140" s="651"/>
    </row>
    <row r="141" spans="1:18">
      <c r="A141" s="463"/>
      <c r="B141" s="469"/>
      <c r="C141" s="467"/>
      <c r="D141" s="470" t="s">
        <v>1281</v>
      </c>
      <c r="E141" s="468"/>
      <c r="F141" s="464">
        <v>-10</v>
      </c>
      <c r="G141" s="463"/>
      <c r="H141" s="649">
        <v>0</v>
      </c>
      <c r="J141" s="649">
        <v>0</v>
      </c>
      <c r="L141" s="649">
        <v>0</v>
      </c>
      <c r="N141" s="649">
        <v>0</v>
      </c>
      <c r="P141" s="649" t="s">
        <v>1372</v>
      </c>
      <c r="R141" s="665">
        <v>0</v>
      </c>
    </row>
    <row r="142" spans="1:18">
      <c r="A142" s="463"/>
      <c r="B142" s="469"/>
      <c r="C142" s="467"/>
      <c r="D142" s="472" t="s">
        <v>1283</v>
      </c>
      <c r="E142" s="468"/>
      <c r="F142" s="464">
        <v>-10</v>
      </c>
      <c r="G142" s="463"/>
      <c r="H142" s="649">
        <v>0</v>
      </c>
      <c r="J142" s="649">
        <v>0</v>
      </c>
      <c r="L142" s="649">
        <v>0</v>
      </c>
      <c r="N142" s="649">
        <v>0</v>
      </c>
      <c r="P142" s="649" t="s">
        <v>1372</v>
      </c>
      <c r="R142" s="665">
        <v>0</v>
      </c>
    </row>
    <row r="143" spans="1:18">
      <c r="A143" s="463"/>
      <c r="B143" s="469"/>
      <c r="C143" s="467"/>
      <c r="D143" s="472" t="s">
        <v>1284</v>
      </c>
      <c r="E143" s="471"/>
      <c r="F143" s="471">
        <v>-10</v>
      </c>
      <c r="G143" s="463"/>
      <c r="H143" s="649">
        <v>0</v>
      </c>
      <c r="J143" s="649">
        <v>0</v>
      </c>
      <c r="L143" s="649">
        <v>0</v>
      </c>
      <c r="N143" s="649">
        <v>0</v>
      </c>
      <c r="P143" s="650" t="s">
        <v>1372</v>
      </c>
      <c r="R143" s="665">
        <v>0</v>
      </c>
    </row>
    <row r="144" spans="1:18">
      <c r="A144" s="463"/>
      <c r="B144" s="469"/>
      <c r="C144" s="467"/>
      <c r="D144" s="473"/>
      <c r="E144" s="471"/>
      <c r="F144" s="471"/>
      <c r="G144" s="463"/>
      <c r="P144" s="650"/>
      <c r="R144" s="665"/>
    </row>
    <row r="145" spans="1:18">
      <c r="A145" s="463"/>
      <c r="B145" s="469"/>
      <c r="C145" s="467"/>
      <c r="D145" s="473" t="s">
        <v>2277</v>
      </c>
      <c r="E145" s="471"/>
      <c r="F145" s="481" t="s">
        <v>2315</v>
      </c>
      <c r="G145" s="463"/>
      <c r="H145" s="649">
        <v>0</v>
      </c>
      <c r="J145" s="649">
        <v>0</v>
      </c>
      <c r="L145" s="649">
        <v>0</v>
      </c>
      <c r="N145" s="649">
        <v>0</v>
      </c>
      <c r="P145" s="650"/>
      <c r="R145" s="665">
        <v>0</v>
      </c>
    </row>
    <row r="146" spans="1:18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8">
      <c r="A147" s="272"/>
      <c r="B147" s="248">
        <v>316</v>
      </c>
      <c r="C147" s="249" t="s">
        <v>160</v>
      </c>
      <c r="D147" s="249" t="s">
        <v>2278</v>
      </c>
      <c r="E147" s="249"/>
      <c r="F147" s="250"/>
      <c r="G147" s="249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</row>
    <row r="148" spans="1:18">
      <c r="A148" s="272"/>
      <c r="B148" s="248"/>
      <c r="C148" s="249"/>
      <c r="D148" s="253" t="s">
        <v>1278</v>
      </c>
      <c r="E148" s="249"/>
      <c r="F148" s="250">
        <v>-13</v>
      </c>
      <c r="G148" s="249"/>
      <c r="H148" s="655">
        <v>2.41</v>
      </c>
      <c r="I148" s="251"/>
      <c r="J148" s="655">
        <v>2.1327433628318584</v>
      </c>
      <c r="K148" s="251"/>
      <c r="L148" s="655">
        <v>0.27725663716814164</v>
      </c>
      <c r="M148" s="251"/>
      <c r="N148" s="655">
        <v>0</v>
      </c>
      <c r="O148" s="251"/>
      <c r="P148" s="648" t="s">
        <v>1308</v>
      </c>
      <c r="Q148" s="251"/>
      <c r="R148" s="251">
        <v>41</v>
      </c>
    </row>
    <row r="149" spans="1:18">
      <c r="A149" s="272"/>
      <c r="B149" s="248"/>
      <c r="C149" s="249"/>
      <c r="D149" s="249" t="s">
        <v>1280</v>
      </c>
      <c r="E149" s="249"/>
      <c r="F149" s="250">
        <v>-1</v>
      </c>
      <c r="G149" s="249"/>
      <c r="H149" s="655">
        <v>3.73</v>
      </c>
      <c r="I149" s="251"/>
      <c r="J149" s="655">
        <v>3.6930693069306932</v>
      </c>
      <c r="K149" s="251"/>
      <c r="L149" s="655">
        <v>3.6930693069306929E-2</v>
      </c>
      <c r="M149" s="251"/>
      <c r="N149" s="655">
        <v>0</v>
      </c>
      <c r="O149" s="251"/>
      <c r="P149" s="648" t="s">
        <v>1308</v>
      </c>
      <c r="Q149" s="251"/>
      <c r="R149" s="251">
        <v>19.2</v>
      </c>
    </row>
    <row r="150" spans="1:18">
      <c r="A150" s="272"/>
      <c r="B150" s="248"/>
      <c r="C150" s="249"/>
      <c r="D150" s="253" t="s">
        <v>1286</v>
      </c>
      <c r="E150" s="249"/>
      <c r="F150" s="250">
        <v>-4</v>
      </c>
      <c r="G150" s="249"/>
      <c r="H150" s="655">
        <v>0</v>
      </c>
      <c r="I150" s="251"/>
      <c r="J150" s="655">
        <v>0</v>
      </c>
      <c r="K150" s="251"/>
      <c r="L150" s="655">
        <v>0</v>
      </c>
      <c r="M150" s="251"/>
      <c r="N150" s="655">
        <v>0</v>
      </c>
      <c r="O150" s="251"/>
      <c r="P150" s="648" t="s">
        <v>1308</v>
      </c>
      <c r="Q150" s="251"/>
      <c r="R150" s="251">
        <v>0</v>
      </c>
    </row>
    <row r="151" spans="1:18">
      <c r="A151" s="272"/>
      <c r="B151" s="248"/>
      <c r="C151" s="249"/>
      <c r="D151" s="253" t="s">
        <v>1287</v>
      </c>
      <c r="E151" s="249"/>
      <c r="F151" s="250">
        <v>-4</v>
      </c>
      <c r="G151" s="249"/>
      <c r="H151" s="655">
        <v>0</v>
      </c>
      <c r="I151" s="251"/>
      <c r="J151" s="655">
        <v>0</v>
      </c>
      <c r="K151" s="251"/>
      <c r="L151" s="655">
        <v>0</v>
      </c>
      <c r="M151" s="251"/>
      <c r="N151" s="655">
        <v>0</v>
      </c>
      <c r="O151" s="251"/>
      <c r="P151" s="648" t="s">
        <v>1308</v>
      </c>
      <c r="Q151" s="251"/>
      <c r="R151" s="251">
        <v>0</v>
      </c>
    </row>
    <row r="152" spans="1:18">
      <c r="A152" s="272"/>
      <c r="B152" s="248"/>
      <c r="C152" s="249"/>
      <c r="D152" s="253" t="s">
        <v>1288</v>
      </c>
      <c r="E152" s="249"/>
      <c r="F152" s="250">
        <v>-4</v>
      </c>
      <c r="G152" s="249"/>
      <c r="H152" s="655">
        <v>6.81</v>
      </c>
      <c r="I152" s="251"/>
      <c r="J152" s="655">
        <v>6.5480769230769225</v>
      </c>
      <c r="K152" s="251"/>
      <c r="L152" s="655">
        <v>0.26192307692307693</v>
      </c>
      <c r="M152" s="251"/>
      <c r="N152" s="655">
        <v>0</v>
      </c>
      <c r="O152" s="251"/>
      <c r="P152" s="648" t="s">
        <v>1308</v>
      </c>
      <c r="Q152" s="251"/>
      <c r="R152" s="251">
        <v>7.9</v>
      </c>
    </row>
    <row r="153" spans="1:18">
      <c r="A153" s="272"/>
      <c r="B153" s="248"/>
      <c r="C153" s="249"/>
      <c r="D153" s="253" t="s">
        <v>1291</v>
      </c>
      <c r="E153" s="249"/>
      <c r="F153" s="250">
        <v>-7</v>
      </c>
      <c r="G153" s="249"/>
      <c r="H153" s="655">
        <v>0.79</v>
      </c>
      <c r="I153" s="251"/>
      <c r="J153" s="655">
        <v>0.73831775700934577</v>
      </c>
      <c r="K153" s="251"/>
      <c r="L153" s="655">
        <v>5.1682242990654215E-2</v>
      </c>
      <c r="M153" s="251"/>
      <c r="N153" s="655">
        <v>0</v>
      </c>
      <c r="O153" s="251"/>
      <c r="P153" s="648" t="s">
        <v>1308</v>
      </c>
      <c r="Q153" s="251"/>
      <c r="R153" s="251">
        <v>13.5</v>
      </c>
    </row>
    <row r="154" spans="1:18">
      <c r="A154" s="274"/>
      <c r="B154" s="255"/>
      <c r="C154" s="249"/>
      <c r="D154" s="253" t="s">
        <v>1292</v>
      </c>
      <c r="E154" s="249"/>
      <c r="F154" s="250">
        <v>-7</v>
      </c>
      <c r="G154" s="249"/>
      <c r="H154" s="655">
        <v>1.06</v>
      </c>
      <c r="I154" s="251"/>
      <c r="J154" s="655">
        <v>0.99065420560747663</v>
      </c>
      <c r="K154" s="251"/>
      <c r="L154" s="655">
        <v>6.9345794392523377E-2</v>
      </c>
      <c r="M154" s="251"/>
      <c r="N154" s="655">
        <v>0</v>
      </c>
      <c r="O154" s="251"/>
      <c r="P154" s="648" t="s">
        <v>1308</v>
      </c>
      <c r="Q154" s="251"/>
      <c r="R154" s="251">
        <v>13.4</v>
      </c>
    </row>
    <row r="155" spans="1:18">
      <c r="A155" s="272"/>
      <c r="B155" s="248"/>
      <c r="C155" s="249"/>
      <c r="D155" s="253" t="s">
        <v>1293</v>
      </c>
      <c r="E155" s="249"/>
      <c r="F155" s="250">
        <v>-7</v>
      </c>
      <c r="G155" s="249"/>
      <c r="H155" s="655">
        <v>1.08</v>
      </c>
      <c r="I155" s="251"/>
      <c r="J155" s="655">
        <v>1.0093457943925235</v>
      </c>
      <c r="K155" s="251"/>
      <c r="L155" s="655">
        <v>7.065420560747665E-2</v>
      </c>
      <c r="M155" s="251"/>
      <c r="N155" s="655">
        <v>0</v>
      </c>
      <c r="O155" s="251"/>
      <c r="P155" s="648" t="s">
        <v>1308</v>
      </c>
      <c r="Q155" s="251"/>
      <c r="R155" s="251">
        <v>13.4</v>
      </c>
    </row>
    <row r="156" spans="1:18">
      <c r="A156" s="656"/>
      <c r="B156" s="249"/>
      <c r="C156" s="249"/>
      <c r="D156" s="253" t="s">
        <v>1294</v>
      </c>
      <c r="E156" s="249"/>
      <c r="F156" s="250">
        <v>-7</v>
      </c>
      <c r="G156" s="249"/>
      <c r="H156" s="655">
        <v>1.98</v>
      </c>
      <c r="I156" s="251"/>
      <c r="J156" s="655">
        <v>1.8504672897196262</v>
      </c>
      <c r="K156" s="251"/>
      <c r="L156" s="655">
        <v>0.12953271028037386</v>
      </c>
      <c r="M156" s="251"/>
      <c r="N156" s="655">
        <v>0</v>
      </c>
      <c r="O156" s="251"/>
      <c r="P156" s="648" t="s">
        <v>1308</v>
      </c>
      <c r="Q156" s="251"/>
      <c r="R156" s="251">
        <v>16.100000000000001</v>
      </c>
    </row>
    <row r="157" spans="1:18">
      <c r="A157" s="272"/>
      <c r="B157" s="248"/>
      <c r="C157" s="249"/>
      <c r="D157" s="253" t="s">
        <v>1295</v>
      </c>
      <c r="E157" s="249"/>
      <c r="F157" s="250">
        <v>-7</v>
      </c>
      <c r="G157" s="249"/>
      <c r="H157" s="655">
        <v>4.4000000000000004</v>
      </c>
      <c r="I157" s="251"/>
      <c r="J157" s="655">
        <v>4.1121495327102808</v>
      </c>
      <c r="K157" s="251"/>
      <c r="L157" s="655">
        <v>0.28785046728971969</v>
      </c>
      <c r="M157" s="251"/>
      <c r="N157" s="655">
        <v>0</v>
      </c>
      <c r="O157" s="251"/>
      <c r="P157" s="648" t="s">
        <v>1308</v>
      </c>
      <c r="Q157" s="251"/>
      <c r="R157" s="251">
        <v>16.399999999999999</v>
      </c>
    </row>
    <row r="158" spans="1:18">
      <c r="A158" s="272"/>
      <c r="B158" s="248"/>
      <c r="C158" s="249"/>
      <c r="D158" s="253"/>
      <c r="E158" s="249"/>
      <c r="F158" s="250"/>
      <c r="G158" s="249"/>
      <c r="H158" s="655"/>
      <c r="I158" s="251"/>
      <c r="J158" s="655"/>
      <c r="K158" s="251"/>
      <c r="L158" s="655"/>
      <c r="M158" s="251"/>
      <c r="N158" s="655"/>
      <c r="O158" s="251"/>
      <c r="P158" s="648"/>
      <c r="Q158" s="251"/>
      <c r="R158" s="251"/>
    </row>
    <row r="159" spans="1:18">
      <c r="A159" s="272">
        <v>316</v>
      </c>
      <c r="B159" s="248"/>
      <c r="C159" s="249"/>
      <c r="D159" s="253" t="s">
        <v>2280</v>
      </c>
      <c r="E159" s="249"/>
      <c r="F159" s="277" t="s">
        <v>3654</v>
      </c>
      <c r="G159" s="249"/>
      <c r="H159" s="251">
        <v>3.78</v>
      </c>
      <c r="I159" s="251"/>
      <c r="J159" s="251"/>
      <c r="K159" s="251"/>
      <c r="L159" s="251"/>
      <c r="M159" s="251"/>
      <c r="N159" s="251"/>
      <c r="O159" s="251"/>
      <c r="P159" s="251" t="str">
        <f>P157</f>
        <v>70-R1.5</v>
      </c>
      <c r="Q159" s="251"/>
      <c r="R159" s="251">
        <v>16.899999999999999</v>
      </c>
    </row>
    <row r="160" spans="1:18">
      <c r="A160" s="272"/>
      <c r="B160" s="248"/>
      <c r="C160" s="249"/>
      <c r="D160" s="254"/>
      <c r="E160" s="249"/>
      <c r="F160" s="277"/>
      <c r="G160" s="249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</row>
    <row r="161" spans="1:18">
      <c r="A161" s="272"/>
      <c r="B161" s="248"/>
      <c r="C161" s="249"/>
      <c r="D161" s="254"/>
      <c r="E161" s="249"/>
      <c r="F161" s="277"/>
      <c r="G161" s="249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</row>
    <row r="162" spans="1:18">
      <c r="A162" s="463"/>
      <c r="B162" s="469">
        <v>316.10000000000002</v>
      </c>
      <c r="C162" s="467"/>
      <c r="D162" s="470" t="s">
        <v>2281</v>
      </c>
      <c r="E162" s="471"/>
      <c r="F162" s="471"/>
      <c r="G162" s="463"/>
      <c r="P162" s="650"/>
      <c r="R162" s="651"/>
    </row>
    <row r="163" spans="1:18">
      <c r="A163" s="463"/>
      <c r="B163" s="469"/>
      <c r="C163" s="467"/>
      <c r="D163" s="470" t="s">
        <v>1281</v>
      </c>
      <c r="E163" s="471"/>
      <c r="F163" s="250">
        <v>0</v>
      </c>
      <c r="G163" s="249"/>
      <c r="H163" s="649">
        <v>0</v>
      </c>
      <c r="J163" s="649">
        <v>0</v>
      </c>
      <c r="L163" s="649">
        <v>0</v>
      </c>
      <c r="N163" s="649">
        <v>0</v>
      </c>
      <c r="O163" s="251"/>
      <c r="P163" s="648" t="s">
        <v>1308</v>
      </c>
      <c r="Q163" s="251"/>
      <c r="R163" s="665">
        <v>0</v>
      </c>
    </row>
    <row r="164" spans="1:18">
      <c r="A164" s="463"/>
      <c r="B164" s="469"/>
      <c r="C164" s="467"/>
      <c r="D164" s="470" t="s">
        <v>1282</v>
      </c>
      <c r="E164" s="471"/>
      <c r="F164" s="250">
        <v>0</v>
      </c>
      <c r="G164" s="249"/>
      <c r="H164" s="649">
        <v>0</v>
      </c>
      <c r="J164" s="649">
        <v>0</v>
      </c>
      <c r="L164" s="649">
        <v>0</v>
      </c>
      <c r="N164" s="649">
        <v>0</v>
      </c>
      <c r="O164" s="251"/>
      <c r="P164" s="648" t="s">
        <v>1308</v>
      </c>
      <c r="Q164" s="251"/>
      <c r="R164" s="665">
        <v>0</v>
      </c>
    </row>
    <row r="165" spans="1:18">
      <c r="A165" s="463"/>
      <c r="B165" s="469"/>
      <c r="C165" s="467"/>
      <c r="D165" s="472" t="s">
        <v>1284</v>
      </c>
      <c r="E165" s="471"/>
      <c r="F165" s="250">
        <v>0</v>
      </c>
      <c r="G165" s="249"/>
      <c r="H165" s="649">
        <v>0</v>
      </c>
      <c r="J165" s="649">
        <v>0</v>
      </c>
      <c r="L165" s="649">
        <v>0</v>
      </c>
      <c r="N165" s="649">
        <v>0</v>
      </c>
      <c r="O165" s="251"/>
      <c r="P165" s="648" t="s">
        <v>1308</v>
      </c>
      <c r="Q165" s="251"/>
      <c r="R165" s="665">
        <v>0</v>
      </c>
    </row>
    <row r="166" spans="1:18">
      <c r="A166" s="463"/>
      <c r="B166" s="469"/>
      <c r="C166" s="467"/>
      <c r="D166" s="472" t="s">
        <v>1285</v>
      </c>
      <c r="E166" s="471"/>
      <c r="F166" s="250">
        <v>0</v>
      </c>
      <c r="G166" s="249"/>
      <c r="H166" s="649">
        <v>0</v>
      </c>
      <c r="J166" s="649">
        <v>0</v>
      </c>
      <c r="L166" s="649">
        <v>0</v>
      </c>
      <c r="N166" s="649">
        <v>0</v>
      </c>
      <c r="O166" s="251"/>
      <c r="P166" s="648" t="s">
        <v>1308</v>
      </c>
      <c r="Q166" s="251"/>
      <c r="R166" s="665">
        <v>0</v>
      </c>
    </row>
    <row r="167" spans="1:18">
      <c r="A167" s="463"/>
      <c r="B167" s="469"/>
      <c r="C167" s="467"/>
      <c r="D167" s="473"/>
      <c r="E167" s="471"/>
      <c r="F167" s="471"/>
      <c r="G167" s="463"/>
      <c r="P167" s="650"/>
      <c r="R167" s="665"/>
    </row>
    <row r="168" spans="1:18">
      <c r="A168" s="463"/>
      <c r="B168" s="469"/>
      <c r="C168" s="467"/>
      <c r="D168" s="473" t="s">
        <v>2282</v>
      </c>
      <c r="E168" s="471"/>
      <c r="F168" s="481"/>
      <c r="G168" s="463"/>
      <c r="H168" s="665">
        <v>0</v>
      </c>
      <c r="P168" s="650"/>
      <c r="R168" s="665">
        <v>0</v>
      </c>
    </row>
    <row r="169" spans="1:18">
      <c r="A169" s="272"/>
      <c r="B169" s="248"/>
      <c r="C169" s="249"/>
      <c r="D169" s="254"/>
      <c r="E169" s="249"/>
      <c r="F169" s="250"/>
      <c r="G169" s="249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</row>
    <row r="170" spans="1:18">
      <c r="A170" s="272"/>
      <c r="B170" s="248"/>
      <c r="C170" s="249"/>
      <c r="D170" s="247" t="s">
        <v>1309</v>
      </c>
      <c r="E170" s="249"/>
      <c r="F170" s="250"/>
      <c r="G170" s="249"/>
      <c r="H170" s="251">
        <v>4.9400000000000004</v>
      </c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</row>
    <row r="171" spans="1:18">
      <c r="A171" s="272"/>
      <c r="B171" s="248"/>
      <c r="C171" s="249"/>
      <c r="D171" s="247"/>
      <c r="E171" s="249"/>
      <c r="F171" s="250"/>
      <c r="G171" s="249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</row>
    <row r="172" spans="1:18">
      <c r="A172" s="272"/>
      <c r="B172" s="248"/>
      <c r="C172" s="249"/>
      <c r="D172" s="245" t="s">
        <v>315</v>
      </c>
      <c r="E172" s="249"/>
      <c r="F172" s="250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</row>
    <row r="173" spans="1:18">
      <c r="A173" s="272"/>
      <c r="B173" s="248"/>
      <c r="C173" s="249"/>
      <c r="D173" s="257"/>
      <c r="E173" s="249"/>
      <c r="F173" s="250"/>
      <c r="G173" s="249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</row>
    <row r="174" spans="1:18">
      <c r="A174" s="272"/>
      <c r="B174" s="248">
        <v>330.1</v>
      </c>
      <c r="C174" s="249"/>
      <c r="D174" s="257" t="s">
        <v>1310</v>
      </c>
      <c r="E174" s="249"/>
      <c r="F174" s="250"/>
      <c r="G174" s="249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</row>
    <row r="175" spans="1:18">
      <c r="A175" s="272">
        <v>330</v>
      </c>
      <c r="B175" s="248"/>
      <c r="C175" s="249"/>
      <c r="D175" s="257" t="s">
        <v>1311</v>
      </c>
      <c r="E175" s="249"/>
      <c r="F175" s="666">
        <v>0</v>
      </c>
      <c r="G175" s="249"/>
      <c r="H175" s="251">
        <v>0</v>
      </c>
      <c r="I175" s="251"/>
      <c r="J175" s="251">
        <v>0</v>
      </c>
      <c r="K175" s="251"/>
      <c r="L175" s="251">
        <v>0</v>
      </c>
      <c r="M175" s="251"/>
      <c r="N175" s="251">
        <v>0</v>
      </c>
      <c r="O175" s="251"/>
      <c r="P175" s="644" t="s">
        <v>2256</v>
      </c>
      <c r="Q175" s="644"/>
      <c r="R175" s="645">
        <v>0</v>
      </c>
    </row>
    <row r="176" spans="1:18">
      <c r="A176" s="272"/>
      <c r="B176" s="248"/>
      <c r="C176" s="249"/>
      <c r="D176" s="257"/>
      <c r="E176" s="249"/>
      <c r="F176" s="666"/>
      <c r="G176" s="249"/>
      <c r="H176" s="251"/>
      <c r="I176" s="251"/>
      <c r="J176" s="251"/>
      <c r="K176" s="251"/>
      <c r="L176" s="251"/>
      <c r="M176" s="251"/>
      <c r="N176" s="251"/>
      <c r="O176" s="251"/>
      <c r="P176" s="644"/>
      <c r="Q176" s="644"/>
      <c r="R176" s="645"/>
    </row>
    <row r="177" spans="1:18">
      <c r="A177" s="272"/>
      <c r="B177" s="248"/>
      <c r="C177" s="249"/>
      <c r="D177" s="259" t="s">
        <v>1313</v>
      </c>
      <c r="E177" s="249"/>
      <c r="F177" s="666"/>
      <c r="G177" s="249"/>
      <c r="H177" s="251">
        <v>0</v>
      </c>
      <c r="I177" s="251"/>
      <c r="J177" s="251"/>
      <c r="K177" s="251"/>
      <c r="L177" s="251"/>
      <c r="M177" s="251"/>
      <c r="N177" s="251"/>
      <c r="O177" s="251"/>
      <c r="P177" s="644"/>
      <c r="Q177" s="644"/>
      <c r="R177" s="645">
        <v>0</v>
      </c>
    </row>
    <row r="178" spans="1:18">
      <c r="A178" s="272"/>
      <c r="B178" s="248"/>
      <c r="C178" s="249"/>
      <c r="D178" s="257"/>
      <c r="E178" s="249"/>
      <c r="F178" s="666"/>
      <c r="G178" s="249"/>
      <c r="H178" s="251"/>
      <c r="I178" s="251"/>
      <c r="J178" s="251"/>
      <c r="K178" s="251"/>
      <c r="L178" s="251"/>
      <c r="M178" s="251"/>
      <c r="N178" s="251"/>
      <c r="O178" s="251"/>
      <c r="P178" s="644"/>
      <c r="Q178" s="644"/>
      <c r="R178" s="645"/>
    </row>
    <row r="179" spans="1:18">
      <c r="A179" s="272"/>
      <c r="B179" s="248">
        <v>331</v>
      </c>
      <c r="C179" s="249"/>
      <c r="D179" s="257" t="s">
        <v>1314</v>
      </c>
      <c r="E179" s="249"/>
      <c r="F179" s="666"/>
      <c r="G179" s="249"/>
      <c r="H179" s="251"/>
      <c r="I179" s="251"/>
      <c r="J179" s="251"/>
      <c r="K179" s="251"/>
      <c r="L179" s="251"/>
      <c r="M179" s="251"/>
      <c r="N179" s="251"/>
      <c r="O179" s="251"/>
      <c r="P179" s="644"/>
      <c r="Q179" s="644"/>
      <c r="R179" s="645"/>
    </row>
    <row r="180" spans="1:18">
      <c r="A180" s="272">
        <v>331</v>
      </c>
      <c r="B180" s="248"/>
      <c r="C180" s="249"/>
      <c r="D180" s="257" t="s">
        <v>1315</v>
      </c>
      <c r="E180" s="249"/>
      <c r="F180" s="666">
        <v>-2</v>
      </c>
      <c r="G180" s="249"/>
      <c r="H180" s="251">
        <v>4.3499999999999996</v>
      </c>
      <c r="I180" s="251"/>
      <c r="J180" s="251">
        <v>4.2647058823529411</v>
      </c>
      <c r="K180" s="251"/>
      <c r="L180" s="251">
        <v>8.5294117647058812E-2</v>
      </c>
      <c r="M180" s="251"/>
      <c r="N180" s="251">
        <v>0</v>
      </c>
      <c r="O180" s="251"/>
      <c r="P180" s="644" t="s">
        <v>2771</v>
      </c>
      <c r="Q180" s="644"/>
      <c r="R180" s="645">
        <v>20.8</v>
      </c>
    </row>
    <row r="181" spans="1:18">
      <c r="A181" s="272"/>
      <c r="B181" s="248"/>
      <c r="C181" s="249"/>
      <c r="D181" s="257"/>
      <c r="E181" s="249"/>
      <c r="F181" s="666"/>
      <c r="G181" s="249"/>
      <c r="H181" s="251"/>
      <c r="I181" s="251"/>
      <c r="J181" s="251"/>
      <c r="K181" s="251"/>
      <c r="L181" s="251"/>
      <c r="M181" s="251"/>
      <c r="N181" s="251"/>
      <c r="O181" s="251"/>
      <c r="P181" s="644"/>
      <c r="Q181" s="644"/>
      <c r="R181" s="645"/>
    </row>
    <row r="182" spans="1:18">
      <c r="A182" s="272"/>
      <c r="B182" s="248"/>
      <c r="C182" s="249"/>
      <c r="D182" s="259" t="s">
        <v>1317</v>
      </c>
      <c r="E182" s="249"/>
      <c r="F182" s="666"/>
      <c r="G182" s="249"/>
      <c r="H182" s="251">
        <v>4.3535629883226248</v>
      </c>
      <c r="I182" s="251"/>
      <c r="J182" s="251"/>
      <c r="K182" s="251"/>
      <c r="L182" s="251"/>
      <c r="M182" s="251"/>
      <c r="N182" s="251"/>
      <c r="O182" s="251"/>
      <c r="P182" s="644"/>
      <c r="Q182" s="644"/>
      <c r="R182" s="645">
        <v>20.8</v>
      </c>
    </row>
    <row r="183" spans="1:18">
      <c r="A183" s="272"/>
      <c r="B183" s="248"/>
      <c r="C183" s="249"/>
      <c r="D183" s="257"/>
      <c r="E183" s="249"/>
      <c r="F183" s="666"/>
      <c r="G183" s="249"/>
      <c r="H183" s="251"/>
      <c r="I183" s="251"/>
      <c r="J183" s="251"/>
      <c r="K183" s="251"/>
      <c r="L183" s="251"/>
      <c r="M183" s="251"/>
      <c r="N183" s="251"/>
      <c r="O183" s="251"/>
      <c r="P183" s="644"/>
      <c r="Q183" s="644"/>
      <c r="R183" s="645"/>
    </row>
    <row r="184" spans="1:18">
      <c r="A184" s="272"/>
      <c r="B184" s="248">
        <v>332</v>
      </c>
      <c r="C184" s="249"/>
      <c r="D184" s="257" t="s">
        <v>1318</v>
      </c>
      <c r="E184" s="249"/>
      <c r="F184" s="667"/>
      <c r="G184" s="249"/>
      <c r="H184" s="251"/>
      <c r="I184" s="251"/>
      <c r="J184" s="251"/>
      <c r="K184" s="251"/>
      <c r="L184" s="251"/>
      <c r="M184" s="251"/>
      <c r="N184" s="251"/>
      <c r="O184" s="251"/>
      <c r="P184" s="645"/>
      <c r="Q184" s="645"/>
      <c r="R184" s="645"/>
    </row>
    <row r="185" spans="1:18">
      <c r="A185" s="272">
        <v>332</v>
      </c>
      <c r="B185" s="248"/>
      <c r="C185" s="249"/>
      <c r="D185" s="257" t="s">
        <v>1315</v>
      </c>
      <c r="E185" s="249"/>
      <c r="F185" s="666">
        <v>-2</v>
      </c>
      <c r="G185" s="249"/>
      <c r="H185" s="251">
        <v>2.58</v>
      </c>
      <c r="I185" s="251"/>
      <c r="J185" s="251">
        <v>2.5294117647058822</v>
      </c>
      <c r="K185" s="251"/>
      <c r="L185" s="251">
        <v>5.0588235294117649E-2</v>
      </c>
      <c r="M185" s="251"/>
      <c r="N185" s="251">
        <v>0</v>
      </c>
      <c r="O185" s="251"/>
      <c r="P185" s="644" t="s">
        <v>2772</v>
      </c>
      <c r="Q185" s="644"/>
      <c r="R185" s="645">
        <v>20.7</v>
      </c>
    </row>
    <row r="186" spans="1:18">
      <c r="A186" s="272"/>
      <c r="B186" s="248"/>
      <c r="C186" s="249"/>
      <c r="D186" s="257"/>
      <c r="E186" s="249"/>
      <c r="F186" s="666"/>
      <c r="G186" s="249"/>
      <c r="H186" s="251"/>
      <c r="I186" s="251"/>
      <c r="J186" s="251"/>
      <c r="K186" s="251"/>
      <c r="L186" s="251"/>
      <c r="M186" s="251"/>
      <c r="N186" s="251"/>
      <c r="O186" s="251"/>
      <c r="P186" s="644"/>
      <c r="Q186" s="644"/>
      <c r="R186" s="645"/>
    </row>
    <row r="187" spans="1:18">
      <c r="A187" s="272"/>
      <c r="B187" s="248"/>
      <c r="C187" s="249"/>
      <c r="D187" s="259" t="s">
        <v>1319</v>
      </c>
      <c r="E187" s="249"/>
      <c r="F187" s="666"/>
      <c r="G187" s="249"/>
      <c r="H187" s="251">
        <v>2.5817744229496529</v>
      </c>
      <c r="I187" s="251"/>
      <c r="J187" s="251"/>
      <c r="K187" s="251"/>
      <c r="L187" s="251"/>
      <c r="M187" s="251"/>
      <c r="N187" s="251"/>
      <c r="O187" s="251"/>
      <c r="P187" s="644"/>
      <c r="Q187" s="644"/>
      <c r="R187" s="645">
        <v>20.7</v>
      </c>
    </row>
    <row r="188" spans="1:18">
      <c r="A188" s="272"/>
      <c r="B188" s="248"/>
      <c r="C188" s="249"/>
      <c r="D188" s="257"/>
      <c r="E188" s="249"/>
      <c r="F188" s="666"/>
      <c r="G188" s="249"/>
      <c r="H188" s="251"/>
      <c r="I188" s="251"/>
      <c r="J188" s="251"/>
      <c r="K188" s="251"/>
      <c r="L188" s="251"/>
      <c r="M188" s="251"/>
      <c r="N188" s="251"/>
      <c r="O188" s="251"/>
      <c r="P188" s="644"/>
      <c r="Q188" s="644"/>
      <c r="R188" s="645"/>
    </row>
    <row r="189" spans="1:18">
      <c r="A189" s="272"/>
      <c r="B189" s="248">
        <v>333</v>
      </c>
      <c r="C189" s="249"/>
      <c r="D189" s="257" t="s">
        <v>1320</v>
      </c>
      <c r="E189" s="249"/>
      <c r="F189" s="666"/>
      <c r="G189" s="249"/>
      <c r="H189" s="251"/>
      <c r="I189" s="251"/>
      <c r="J189" s="251"/>
      <c r="K189" s="251"/>
      <c r="L189" s="251"/>
      <c r="M189" s="251"/>
      <c r="N189" s="251"/>
      <c r="O189" s="251"/>
      <c r="P189" s="644"/>
      <c r="Q189" s="644"/>
      <c r="R189" s="645"/>
    </row>
    <row r="190" spans="1:18">
      <c r="A190" s="272">
        <v>333</v>
      </c>
      <c r="B190" s="248"/>
      <c r="C190" s="249"/>
      <c r="D190" s="257" t="s">
        <v>1321</v>
      </c>
      <c r="E190" s="249"/>
      <c r="F190" s="666">
        <v>-2</v>
      </c>
      <c r="G190" s="249"/>
      <c r="H190" s="251">
        <v>3.82</v>
      </c>
      <c r="I190" s="251"/>
      <c r="J190" s="251">
        <v>3.7450980392156863</v>
      </c>
      <c r="K190" s="251"/>
      <c r="L190" s="251">
        <v>7.4901960784313715E-2</v>
      </c>
      <c r="M190" s="251"/>
      <c r="N190" s="251">
        <v>0</v>
      </c>
      <c r="O190" s="251"/>
      <c r="P190" s="644" t="s">
        <v>1322</v>
      </c>
      <c r="Q190" s="644"/>
      <c r="R190" s="645">
        <v>20.8</v>
      </c>
    </row>
    <row r="191" spans="1:18">
      <c r="A191" s="272"/>
      <c r="B191" s="248"/>
      <c r="C191" s="249"/>
      <c r="D191" s="257"/>
      <c r="E191" s="249"/>
      <c r="F191" s="666"/>
      <c r="G191" s="249"/>
      <c r="H191" s="251"/>
      <c r="I191" s="251"/>
      <c r="J191" s="251"/>
      <c r="K191" s="251"/>
      <c r="L191" s="251"/>
      <c r="M191" s="251"/>
      <c r="N191" s="251"/>
      <c r="O191" s="251"/>
      <c r="P191" s="644"/>
      <c r="Q191" s="644"/>
      <c r="R191" s="645"/>
    </row>
    <row r="192" spans="1:18">
      <c r="A192" s="272"/>
      <c r="B192" s="248"/>
      <c r="C192" s="249"/>
      <c r="D192" s="259" t="s">
        <v>1323</v>
      </c>
      <c r="E192" s="249"/>
      <c r="F192" s="666"/>
      <c r="G192" s="249"/>
      <c r="H192" s="251">
        <v>3.8160309061512612</v>
      </c>
      <c r="I192" s="251"/>
      <c r="J192" s="251"/>
      <c r="K192" s="251"/>
      <c r="L192" s="251"/>
      <c r="M192" s="251"/>
      <c r="N192" s="251"/>
      <c r="O192" s="251"/>
      <c r="P192" s="644"/>
      <c r="Q192" s="644"/>
      <c r="R192" s="645">
        <v>20.8</v>
      </c>
    </row>
    <row r="193" spans="1:18">
      <c r="A193" s="272"/>
      <c r="B193" s="248"/>
      <c r="C193" s="249"/>
      <c r="D193" s="257"/>
      <c r="E193" s="249"/>
      <c r="F193" s="666"/>
      <c r="G193" s="249"/>
      <c r="H193" s="251"/>
      <c r="I193" s="251"/>
      <c r="J193" s="251"/>
      <c r="K193" s="251"/>
      <c r="L193" s="251"/>
      <c r="M193" s="251"/>
      <c r="N193" s="251"/>
      <c r="O193" s="251"/>
      <c r="P193" s="644"/>
      <c r="Q193" s="644"/>
      <c r="R193" s="645"/>
    </row>
    <row r="194" spans="1:18">
      <c r="A194" s="272"/>
      <c r="B194" s="248">
        <v>334</v>
      </c>
      <c r="C194" s="249"/>
      <c r="D194" s="257" t="s">
        <v>1324</v>
      </c>
      <c r="E194" s="249"/>
      <c r="F194" s="666"/>
      <c r="G194" s="249"/>
      <c r="H194" s="251"/>
      <c r="I194" s="251"/>
      <c r="J194" s="251"/>
      <c r="K194" s="251"/>
      <c r="L194" s="251"/>
      <c r="M194" s="251"/>
      <c r="N194" s="251"/>
      <c r="O194" s="251"/>
      <c r="P194" s="644"/>
      <c r="Q194" s="644"/>
      <c r="R194" s="645"/>
    </row>
    <row r="195" spans="1:18">
      <c r="A195" s="272">
        <v>334</v>
      </c>
      <c r="B195" s="248"/>
      <c r="C195" s="249"/>
      <c r="D195" s="257" t="s">
        <v>1321</v>
      </c>
      <c r="E195" s="249"/>
      <c r="F195" s="666">
        <v>-2</v>
      </c>
      <c r="G195" s="249"/>
      <c r="H195" s="251">
        <v>3.86</v>
      </c>
      <c r="I195" s="251"/>
      <c r="J195" s="251">
        <v>3.784313725490196</v>
      </c>
      <c r="K195" s="251"/>
      <c r="L195" s="251">
        <v>7.5686274509803919E-2</v>
      </c>
      <c r="M195" s="251"/>
      <c r="N195" s="251">
        <v>0</v>
      </c>
      <c r="O195" s="251"/>
      <c r="P195" s="644" t="s">
        <v>1325</v>
      </c>
      <c r="Q195" s="644"/>
      <c r="R195" s="645">
        <v>19.100000000000001</v>
      </c>
    </row>
    <row r="196" spans="1:18">
      <c r="A196" s="272"/>
      <c r="B196" s="248"/>
      <c r="C196" s="249"/>
      <c r="D196" s="257"/>
      <c r="E196" s="249"/>
      <c r="F196" s="666"/>
      <c r="G196" s="249"/>
      <c r="H196" s="251"/>
      <c r="I196" s="251"/>
      <c r="J196" s="251"/>
      <c r="K196" s="251"/>
      <c r="L196" s="251"/>
      <c r="M196" s="251"/>
      <c r="N196" s="251"/>
      <c r="O196" s="251"/>
      <c r="P196" s="644"/>
      <c r="Q196" s="644"/>
      <c r="R196" s="645"/>
    </row>
    <row r="197" spans="1:18">
      <c r="A197" s="272"/>
      <c r="B197" s="248"/>
      <c r="C197" s="249"/>
      <c r="D197" s="259" t="s">
        <v>1326</v>
      </c>
      <c r="E197" s="249"/>
      <c r="F197" s="666"/>
      <c r="G197" s="249"/>
      <c r="H197" s="251">
        <v>3.8555183097983927</v>
      </c>
      <c r="I197" s="251"/>
      <c r="J197" s="251"/>
      <c r="K197" s="251"/>
      <c r="L197" s="251"/>
      <c r="M197" s="251"/>
      <c r="N197" s="251"/>
      <c r="O197" s="251"/>
      <c r="P197" s="644"/>
      <c r="Q197" s="644"/>
      <c r="R197" s="645">
        <v>19.100000000000001</v>
      </c>
    </row>
    <row r="198" spans="1:18">
      <c r="A198" s="272"/>
      <c r="B198" s="248"/>
      <c r="C198" s="249"/>
      <c r="D198" s="257"/>
      <c r="E198" s="249"/>
      <c r="F198" s="666"/>
      <c r="G198" s="249"/>
      <c r="H198" s="251"/>
      <c r="I198" s="251"/>
      <c r="J198" s="251"/>
      <c r="K198" s="251"/>
      <c r="L198" s="251"/>
      <c r="M198" s="251"/>
      <c r="N198" s="251"/>
      <c r="O198" s="251"/>
      <c r="P198" s="644"/>
      <c r="Q198" s="644"/>
      <c r="R198" s="645"/>
    </row>
    <row r="199" spans="1:18">
      <c r="A199" s="272"/>
      <c r="B199" s="248">
        <v>335</v>
      </c>
      <c r="C199" s="249"/>
      <c r="D199" s="257" t="s">
        <v>1327</v>
      </c>
      <c r="E199" s="249"/>
      <c r="F199" s="666"/>
      <c r="G199" s="249"/>
      <c r="H199" s="251"/>
      <c r="I199" s="251"/>
      <c r="J199" s="251"/>
      <c r="K199" s="251"/>
      <c r="L199" s="251"/>
      <c r="M199" s="251"/>
      <c r="N199" s="251"/>
      <c r="O199" s="251"/>
      <c r="P199" s="644"/>
      <c r="Q199" s="644"/>
      <c r="R199" s="645"/>
    </row>
    <row r="200" spans="1:18">
      <c r="A200" s="272">
        <v>335</v>
      </c>
      <c r="B200" s="248"/>
      <c r="C200" s="249"/>
      <c r="D200" s="257" t="s">
        <v>1321</v>
      </c>
      <c r="E200" s="249"/>
      <c r="F200" s="666">
        <v>-2</v>
      </c>
      <c r="G200" s="249"/>
      <c r="H200" s="251">
        <v>2.93</v>
      </c>
      <c r="I200" s="251"/>
      <c r="J200" s="251">
        <v>2.8725490196078431</v>
      </c>
      <c r="K200" s="251"/>
      <c r="L200" s="251">
        <v>5.7450980392156868E-2</v>
      </c>
      <c r="M200" s="251"/>
      <c r="N200" s="251">
        <v>0</v>
      </c>
      <c r="O200" s="251"/>
      <c r="P200" s="644" t="s">
        <v>2773</v>
      </c>
      <c r="Q200" s="644"/>
      <c r="R200" s="645">
        <v>16.7</v>
      </c>
    </row>
    <row r="201" spans="1:18">
      <c r="A201" s="272"/>
      <c r="B201" s="248"/>
      <c r="C201" s="249"/>
      <c r="D201" s="257"/>
      <c r="E201" s="249"/>
      <c r="F201" s="666"/>
      <c r="G201" s="249"/>
      <c r="H201" s="251"/>
      <c r="I201" s="251"/>
      <c r="J201" s="251"/>
      <c r="K201" s="251"/>
      <c r="L201" s="251"/>
      <c r="M201" s="251"/>
      <c r="N201" s="251"/>
      <c r="O201" s="251"/>
      <c r="P201" s="644"/>
      <c r="Q201" s="644"/>
      <c r="R201" s="645"/>
    </row>
    <row r="202" spans="1:18" s="470" customFormat="1">
      <c r="A202" s="272"/>
      <c r="B202" s="248"/>
      <c r="C202" s="249"/>
      <c r="D202" s="259" t="s">
        <v>1328</v>
      </c>
      <c r="E202" s="249"/>
      <c r="F202" s="666"/>
      <c r="G202" s="249"/>
      <c r="H202" s="251">
        <v>2.9307093834738351</v>
      </c>
      <c r="I202" s="251"/>
      <c r="J202" s="251"/>
      <c r="K202" s="251"/>
      <c r="L202" s="251"/>
      <c r="M202" s="251"/>
      <c r="N202" s="251"/>
      <c r="O202" s="251"/>
      <c r="P202" s="644"/>
      <c r="Q202" s="644"/>
      <c r="R202" s="645">
        <v>16.7</v>
      </c>
    </row>
    <row r="203" spans="1:18">
      <c r="A203" s="272"/>
      <c r="B203" s="248"/>
      <c r="C203" s="249"/>
      <c r="D203" s="257"/>
      <c r="E203" s="249"/>
      <c r="F203" s="666"/>
      <c r="G203" s="249"/>
      <c r="H203" s="251"/>
      <c r="I203" s="251"/>
      <c r="J203" s="251"/>
      <c r="K203" s="251"/>
      <c r="L203" s="251"/>
      <c r="M203" s="251"/>
      <c r="N203" s="251"/>
      <c r="O203" s="251"/>
      <c r="P203" s="644"/>
      <c r="Q203" s="644"/>
      <c r="R203" s="645"/>
    </row>
    <row r="204" spans="1:18">
      <c r="A204" s="272"/>
      <c r="B204" s="248">
        <v>336</v>
      </c>
      <c r="C204" s="249"/>
      <c r="D204" s="257" t="s">
        <v>1329</v>
      </c>
      <c r="E204" s="249"/>
      <c r="F204" s="666"/>
      <c r="G204" s="249"/>
      <c r="H204" s="251"/>
      <c r="I204" s="251"/>
      <c r="J204" s="251"/>
      <c r="K204" s="251"/>
      <c r="L204" s="251"/>
      <c r="M204" s="251"/>
      <c r="N204" s="251"/>
      <c r="O204" s="251"/>
      <c r="P204" s="644"/>
      <c r="Q204" s="644"/>
      <c r="R204" s="645"/>
    </row>
    <row r="205" spans="1:18">
      <c r="A205" s="272">
        <v>336</v>
      </c>
      <c r="B205" s="248"/>
      <c r="C205" s="249"/>
      <c r="D205" s="257" t="s">
        <v>1315</v>
      </c>
      <c r="E205" s="249"/>
      <c r="F205" s="666">
        <v>-2</v>
      </c>
      <c r="G205" s="249"/>
      <c r="H205" s="251">
        <v>3.41</v>
      </c>
      <c r="I205" s="251"/>
      <c r="J205" s="251">
        <v>3.3431372549019609</v>
      </c>
      <c r="K205" s="251"/>
      <c r="L205" s="251">
        <v>6.6862745098039217E-2</v>
      </c>
      <c r="M205" s="251"/>
      <c r="N205" s="251">
        <v>0</v>
      </c>
      <c r="O205" s="251"/>
      <c r="P205" s="644" t="s">
        <v>1380</v>
      </c>
      <c r="Q205" s="644"/>
      <c r="R205" s="645">
        <v>20.3</v>
      </c>
    </row>
    <row r="206" spans="1:18" s="480" customFormat="1">
      <c r="A206" s="272"/>
      <c r="B206" s="248"/>
      <c r="C206" s="249"/>
      <c r="D206" s="257"/>
      <c r="E206" s="249"/>
      <c r="F206" s="250"/>
      <c r="G206" s="249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</row>
    <row r="207" spans="1:18">
      <c r="A207" s="272"/>
      <c r="B207" s="248"/>
      <c r="C207" s="249"/>
      <c r="D207" s="259" t="s">
        <v>1330</v>
      </c>
      <c r="E207" s="249"/>
      <c r="F207" s="250" t="s">
        <v>160</v>
      </c>
      <c r="G207" s="249"/>
      <c r="H207" s="251">
        <v>3.41</v>
      </c>
      <c r="I207" s="251"/>
      <c r="J207" s="251"/>
      <c r="K207" s="251"/>
      <c r="L207" s="251"/>
      <c r="M207" s="251"/>
      <c r="N207" s="251"/>
      <c r="O207" s="251"/>
      <c r="P207" s="251"/>
      <c r="Q207" s="251"/>
      <c r="R207" s="251">
        <v>20.3</v>
      </c>
    </row>
    <row r="208" spans="1:18">
      <c r="A208" s="272"/>
      <c r="B208" s="248"/>
      <c r="C208" s="249"/>
      <c r="D208" s="257"/>
      <c r="E208" s="249"/>
      <c r="F208" s="250"/>
      <c r="G208" s="249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</row>
    <row r="209" spans="1:18">
      <c r="A209" s="275"/>
      <c r="B209" s="260"/>
      <c r="C209" s="243"/>
      <c r="D209" s="247" t="s">
        <v>1331</v>
      </c>
      <c r="E209" s="243"/>
      <c r="F209" s="250"/>
      <c r="G209" s="243"/>
      <c r="H209" s="251">
        <v>3.16</v>
      </c>
      <c r="I209" s="251"/>
      <c r="J209" s="251"/>
      <c r="K209" s="251"/>
      <c r="L209" s="251"/>
      <c r="M209" s="251"/>
      <c r="N209" s="251"/>
      <c r="O209" s="251"/>
      <c r="P209" s="641"/>
      <c r="Q209" s="641"/>
      <c r="R209" s="251"/>
    </row>
    <row r="210" spans="1:18" s="478" customFormat="1">
      <c r="A210" s="272"/>
      <c r="B210" s="248"/>
      <c r="C210" s="249"/>
      <c r="D210" s="257"/>
      <c r="E210" s="249"/>
      <c r="F210" s="250"/>
      <c r="G210" s="249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</row>
    <row r="211" spans="1:18" s="478" customFormat="1">
      <c r="A211" s="272"/>
      <c r="B211" s="248"/>
      <c r="C211" s="249"/>
      <c r="D211" s="262"/>
      <c r="E211" s="249"/>
      <c r="F211" s="250"/>
      <c r="G211" s="249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</row>
    <row r="212" spans="1:18" s="478" customFormat="1">
      <c r="A212" s="272"/>
      <c r="B212" s="248"/>
      <c r="C212" s="239"/>
      <c r="D212" s="244" t="s">
        <v>325</v>
      </c>
      <c r="E212" s="239"/>
      <c r="F212" s="250"/>
      <c r="G212" s="239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</row>
    <row r="213" spans="1:18" s="478" customFormat="1">
      <c r="A213" s="272"/>
      <c r="B213" s="248"/>
      <c r="C213" s="249"/>
      <c r="D213" s="263"/>
      <c r="E213" s="249"/>
      <c r="F213" s="250"/>
      <c r="G213" s="249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</row>
    <row r="214" spans="1:18" s="478" customFormat="1">
      <c r="A214" s="276"/>
      <c r="B214" s="264">
        <v>340.1</v>
      </c>
      <c r="C214" s="265"/>
      <c r="D214" s="266" t="s">
        <v>1310</v>
      </c>
      <c r="E214" s="265"/>
      <c r="F214" s="250"/>
      <c r="G214" s="265"/>
      <c r="H214" s="251"/>
      <c r="I214" s="251"/>
      <c r="J214" s="251"/>
      <c r="K214" s="251"/>
      <c r="L214" s="251"/>
      <c r="M214" s="251"/>
      <c r="N214" s="251"/>
      <c r="O214" s="251"/>
      <c r="P214" s="668"/>
      <c r="Q214" s="668"/>
      <c r="R214" s="251"/>
    </row>
    <row r="215" spans="1:18">
      <c r="A215" s="276">
        <v>340</v>
      </c>
      <c r="B215" s="264"/>
      <c r="C215" s="265"/>
      <c r="D215" s="266" t="s">
        <v>1332</v>
      </c>
      <c r="E215" s="265"/>
      <c r="F215" s="250">
        <v>0</v>
      </c>
      <c r="G215" s="265"/>
      <c r="H215" s="251">
        <v>1.1399999999999999</v>
      </c>
      <c r="I215" s="251"/>
      <c r="J215" s="251">
        <v>1.1399999999999999</v>
      </c>
      <c r="K215" s="251"/>
      <c r="L215" s="251">
        <v>0</v>
      </c>
      <c r="M215" s="251"/>
      <c r="N215" s="251">
        <v>0</v>
      </c>
      <c r="O215" s="251"/>
      <c r="P215" s="668" t="s">
        <v>1274</v>
      </c>
      <c r="Q215" s="668"/>
      <c r="R215" s="251">
        <v>21</v>
      </c>
    </row>
    <row r="216" spans="1:18">
      <c r="A216" s="276"/>
      <c r="B216" s="264"/>
      <c r="C216" s="265"/>
      <c r="D216" s="266"/>
      <c r="E216" s="265"/>
      <c r="F216" s="250"/>
      <c r="G216" s="265"/>
      <c r="H216" s="251"/>
      <c r="I216" s="251"/>
      <c r="J216" s="251"/>
      <c r="K216" s="251"/>
      <c r="L216" s="251"/>
      <c r="M216" s="251"/>
      <c r="N216" s="251"/>
      <c r="O216" s="251"/>
      <c r="P216" s="668"/>
      <c r="Q216" s="668"/>
      <c r="R216" s="251"/>
    </row>
    <row r="217" spans="1:18">
      <c r="A217" s="276"/>
      <c r="B217" s="264"/>
      <c r="C217" s="265"/>
      <c r="D217" s="268" t="s">
        <v>1333</v>
      </c>
      <c r="E217" s="265"/>
      <c r="F217" s="250"/>
      <c r="G217" s="265"/>
      <c r="H217" s="251">
        <v>1.1439305555925592</v>
      </c>
      <c r="I217" s="251"/>
      <c r="J217" s="251"/>
      <c r="K217" s="251"/>
      <c r="L217" s="251"/>
      <c r="M217" s="251"/>
      <c r="N217" s="251"/>
      <c r="O217" s="251"/>
      <c r="P217" s="668"/>
      <c r="Q217" s="668"/>
      <c r="R217" s="251">
        <v>21</v>
      </c>
    </row>
    <row r="218" spans="1:18">
      <c r="A218" s="276"/>
      <c r="B218" s="264"/>
      <c r="C218" s="265"/>
      <c r="D218" s="266"/>
      <c r="E218" s="265"/>
      <c r="F218" s="250"/>
      <c r="G218" s="265"/>
      <c r="H218" s="251"/>
      <c r="I218" s="251"/>
      <c r="J218" s="251"/>
      <c r="K218" s="251"/>
      <c r="L218" s="251"/>
      <c r="M218" s="251"/>
      <c r="N218" s="251"/>
      <c r="O218" s="251"/>
      <c r="P218" s="668"/>
      <c r="Q218" s="668"/>
      <c r="R218" s="251"/>
    </row>
    <row r="219" spans="1:18">
      <c r="A219" s="272"/>
      <c r="B219" s="248">
        <v>341</v>
      </c>
      <c r="C219" s="249"/>
      <c r="D219" s="253" t="s">
        <v>1314</v>
      </c>
      <c r="E219" s="249"/>
      <c r="F219" s="250"/>
      <c r="G219" s="249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</row>
    <row r="220" spans="1:18">
      <c r="A220" s="272"/>
      <c r="B220" s="248"/>
      <c r="C220" s="249"/>
      <c r="D220" s="269" t="s">
        <v>1345</v>
      </c>
      <c r="E220" s="249"/>
      <c r="F220" s="666">
        <v>-6</v>
      </c>
      <c r="G220" s="249"/>
      <c r="H220" s="645">
        <v>2.02</v>
      </c>
      <c r="I220" s="251"/>
      <c r="J220" s="645">
        <v>1.9056603773584906</v>
      </c>
      <c r="K220" s="251"/>
      <c r="L220" s="645">
        <v>0.11433962264150942</v>
      </c>
      <c r="M220" s="251"/>
      <c r="N220" s="251">
        <v>0</v>
      </c>
      <c r="O220" s="251"/>
      <c r="P220" s="644" t="s">
        <v>2774</v>
      </c>
      <c r="Q220" s="251"/>
      <c r="R220" s="645">
        <v>14.1</v>
      </c>
    </row>
    <row r="221" spans="1:18">
      <c r="A221" s="272"/>
      <c r="B221" s="248"/>
      <c r="C221" s="249"/>
      <c r="D221" s="269" t="s">
        <v>1346</v>
      </c>
      <c r="E221" s="249"/>
      <c r="F221" s="666">
        <v>-6</v>
      </c>
      <c r="G221" s="249"/>
      <c r="H221" s="645">
        <v>1.61</v>
      </c>
      <c r="I221" s="251"/>
      <c r="J221" s="645">
        <v>1.5188679245283021</v>
      </c>
      <c r="K221" s="251"/>
      <c r="L221" s="645">
        <v>9.1132075471698104E-2</v>
      </c>
      <c r="M221" s="251"/>
      <c r="N221" s="251">
        <v>0</v>
      </c>
      <c r="O221" s="251"/>
      <c r="P221" s="644" t="s">
        <v>2774</v>
      </c>
      <c r="Q221" s="251"/>
      <c r="R221" s="645">
        <v>15.1</v>
      </c>
    </row>
    <row r="222" spans="1:18">
      <c r="A222" s="272"/>
      <c r="B222" s="248"/>
      <c r="C222" s="249"/>
      <c r="D222" s="269" t="s">
        <v>1340</v>
      </c>
      <c r="E222" s="249"/>
      <c r="F222" s="666">
        <v>-6</v>
      </c>
      <c r="G222" s="249"/>
      <c r="H222" s="645">
        <v>3.04</v>
      </c>
      <c r="I222" s="251"/>
      <c r="J222" s="645">
        <v>2.867924528301887</v>
      </c>
      <c r="K222" s="251"/>
      <c r="L222" s="645">
        <v>0.17207547169811319</v>
      </c>
      <c r="M222" s="251"/>
      <c r="N222" s="251">
        <v>0</v>
      </c>
      <c r="O222" s="251"/>
      <c r="P222" s="644" t="s">
        <v>2774</v>
      </c>
      <c r="Q222" s="251"/>
      <c r="R222" s="645">
        <v>20</v>
      </c>
    </row>
    <row r="223" spans="1:18">
      <c r="A223" s="272"/>
      <c r="B223" s="248"/>
      <c r="C223" s="249"/>
      <c r="D223" s="269" t="s">
        <v>1341</v>
      </c>
      <c r="E223" s="249"/>
      <c r="F223" s="666">
        <v>-6</v>
      </c>
      <c r="G223" s="249"/>
      <c r="H223" s="645">
        <v>3</v>
      </c>
      <c r="I223" s="251"/>
      <c r="J223" s="645">
        <v>2.8301886792452828</v>
      </c>
      <c r="K223" s="251"/>
      <c r="L223" s="645">
        <v>0.16981132075471697</v>
      </c>
      <c r="M223" s="251"/>
      <c r="N223" s="251">
        <v>0</v>
      </c>
      <c r="O223" s="251"/>
      <c r="P223" s="644" t="s">
        <v>2774</v>
      </c>
      <c r="Q223" s="251"/>
      <c r="R223" s="645">
        <v>18.2</v>
      </c>
    </row>
    <row r="224" spans="1:18">
      <c r="A224" s="272"/>
      <c r="B224" s="248"/>
      <c r="C224" s="249"/>
      <c r="D224" s="269" t="s">
        <v>1342</v>
      </c>
      <c r="E224" s="249"/>
      <c r="F224" s="666">
        <v>-6</v>
      </c>
      <c r="G224" s="249"/>
      <c r="H224" s="645">
        <v>2.09</v>
      </c>
      <c r="I224" s="251"/>
      <c r="J224" s="645">
        <v>1.9716981132075471</v>
      </c>
      <c r="K224" s="251"/>
      <c r="L224" s="645">
        <v>0.11830188679245281</v>
      </c>
      <c r="M224" s="251"/>
      <c r="N224" s="251">
        <v>0</v>
      </c>
      <c r="O224" s="251"/>
      <c r="P224" s="644" t="s">
        <v>2774</v>
      </c>
      <c r="Q224" s="251"/>
      <c r="R224" s="645">
        <v>17.899999999999999</v>
      </c>
    </row>
    <row r="225" spans="1:18">
      <c r="A225" s="272"/>
      <c r="B225" s="248"/>
      <c r="C225" s="249"/>
      <c r="D225" s="269" t="s">
        <v>1343</v>
      </c>
      <c r="E225" s="249"/>
      <c r="F225" s="666">
        <v>-6</v>
      </c>
      <c r="G225" s="249"/>
      <c r="H225" s="645">
        <v>1.29</v>
      </c>
      <c r="I225" s="251"/>
      <c r="J225" s="645">
        <v>1.2169811320754718</v>
      </c>
      <c r="K225" s="251"/>
      <c r="L225" s="645">
        <v>7.3018867924528302E-2</v>
      </c>
      <c r="M225" s="251"/>
      <c r="N225" s="251">
        <v>0</v>
      </c>
      <c r="O225" s="251"/>
      <c r="P225" s="644" t="s">
        <v>2774</v>
      </c>
      <c r="Q225" s="251"/>
      <c r="R225" s="645">
        <v>14.1</v>
      </c>
    </row>
    <row r="226" spans="1:18">
      <c r="A226" s="272"/>
      <c r="B226" s="248"/>
      <c r="C226" s="249"/>
      <c r="D226" s="269" t="s">
        <v>1344</v>
      </c>
      <c r="E226" s="249"/>
      <c r="F226" s="666">
        <v>-6</v>
      </c>
      <c r="G226" s="249"/>
      <c r="H226" s="645">
        <v>2.0299999999999998</v>
      </c>
      <c r="I226" s="251"/>
      <c r="J226" s="645">
        <v>1.9150943396226414</v>
      </c>
      <c r="K226" s="251"/>
      <c r="L226" s="645">
        <v>0.11490566037735847</v>
      </c>
      <c r="M226" s="251"/>
      <c r="N226" s="251">
        <v>0</v>
      </c>
      <c r="O226" s="251"/>
      <c r="P226" s="644" t="s">
        <v>2774</v>
      </c>
      <c r="Q226" s="251"/>
      <c r="R226" s="645">
        <v>13.3</v>
      </c>
    </row>
    <row r="227" spans="1:18">
      <c r="A227" s="272"/>
      <c r="B227" s="248"/>
      <c r="C227" s="249"/>
      <c r="D227" s="269" t="s">
        <v>2546</v>
      </c>
      <c r="E227" s="249"/>
      <c r="F227" s="666">
        <v>-3</v>
      </c>
      <c r="G227" s="249"/>
      <c r="H227" s="645">
        <v>4.25</v>
      </c>
      <c r="I227" s="251"/>
      <c r="J227" s="645">
        <v>4.1262135922330101</v>
      </c>
      <c r="K227" s="251"/>
      <c r="L227" s="645">
        <v>0.12378640776699028</v>
      </c>
      <c r="M227" s="251"/>
      <c r="N227" s="251">
        <v>0</v>
      </c>
      <c r="O227" s="251"/>
      <c r="P227" s="644" t="s">
        <v>2547</v>
      </c>
      <c r="Q227" s="251"/>
      <c r="R227" s="645">
        <v>20.8</v>
      </c>
    </row>
    <row r="228" spans="1:18">
      <c r="A228" s="272"/>
      <c r="B228" s="248"/>
      <c r="C228" s="249"/>
      <c r="D228" s="269" t="s">
        <v>2286</v>
      </c>
      <c r="E228" s="249"/>
      <c r="F228" s="666">
        <v>-10</v>
      </c>
      <c r="G228" s="249"/>
      <c r="H228" s="645">
        <v>2.94</v>
      </c>
      <c r="I228" s="251"/>
      <c r="J228" s="645">
        <v>2.6727272727272728</v>
      </c>
      <c r="K228" s="251"/>
      <c r="L228" s="645">
        <v>0.26727272727272727</v>
      </c>
      <c r="M228" s="251"/>
      <c r="N228" s="251">
        <v>0</v>
      </c>
      <c r="O228" s="251"/>
      <c r="P228" s="644" t="s">
        <v>2774</v>
      </c>
      <c r="Q228" s="251"/>
      <c r="R228" s="645">
        <v>32.799999999999997</v>
      </c>
    </row>
    <row r="229" spans="1:18">
      <c r="A229" s="272"/>
      <c r="B229" s="248"/>
      <c r="C229" s="249"/>
      <c r="D229" s="269" t="s">
        <v>1347</v>
      </c>
      <c r="E229" s="249"/>
      <c r="F229" s="666">
        <v>-12</v>
      </c>
      <c r="G229" s="249"/>
      <c r="H229" s="645">
        <v>3.07</v>
      </c>
      <c r="I229" s="251"/>
      <c r="J229" s="645">
        <v>2.7410714285714284</v>
      </c>
      <c r="K229" s="251"/>
      <c r="L229" s="645">
        <v>0.32892857142857135</v>
      </c>
      <c r="M229" s="251"/>
      <c r="N229" s="251">
        <v>0</v>
      </c>
      <c r="O229" s="251"/>
      <c r="P229" s="644" t="s">
        <v>2774</v>
      </c>
      <c r="Q229" s="251"/>
      <c r="R229" s="645">
        <v>4.9000000000000004</v>
      </c>
    </row>
    <row r="230" spans="1:18">
      <c r="A230" s="272"/>
      <c r="B230" s="248"/>
      <c r="C230" s="249"/>
      <c r="D230" s="269" t="s">
        <v>1348</v>
      </c>
      <c r="E230" s="249"/>
      <c r="F230" s="666">
        <v>-6</v>
      </c>
      <c r="G230" s="249"/>
      <c r="H230" s="645">
        <v>2.31</v>
      </c>
      <c r="I230" s="251"/>
      <c r="J230" s="645">
        <v>2.1792452830188678</v>
      </c>
      <c r="K230" s="251"/>
      <c r="L230" s="645">
        <v>0.13075471698113206</v>
      </c>
      <c r="M230" s="251"/>
      <c r="N230" s="251">
        <v>0</v>
      </c>
      <c r="O230" s="251"/>
      <c r="P230" s="644" t="s">
        <v>2774</v>
      </c>
      <c r="Q230" s="251"/>
      <c r="R230" s="645">
        <v>19.8</v>
      </c>
    </row>
    <row r="231" spans="1:18">
      <c r="A231" s="272"/>
      <c r="B231" s="248"/>
      <c r="C231" s="249"/>
      <c r="D231" s="269" t="s">
        <v>2775</v>
      </c>
      <c r="E231" s="249"/>
      <c r="F231" s="666">
        <v>-1</v>
      </c>
      <c r="G231" s="249"/>
      <c r="H231" s="645">
        <v>4.0999999999999996</v>
      </c>
      <c r="I231" s="251"/>
      <c r="J231" s="645">
        <v>4.0594059405940595</v>
      </c>
      <c r="K231" s="251"/>
      <c r="L231" s="645">
        <v>4.0594059405940588E-2</v>
      </c>
      <c r="M231" s="251"/>
      <c r="N231" s="251">
        <v>0</v>
      </c>
      <c r="O231" s="251"/>
      <c r="P231" s="644" t="s">
        <v>2547</v>
      </c>
      <c r="Q231" s="251"/>
      <c r="R231" s="645">
        <v>23.8</v>
      </c>
    </row>
    <row r="232" spans="1:18">
      <c r="A232" s="272"/>
      <c r="B232" s="248"/>
      <c r="C232" s="249"/>
      <c r="D232" s="269" t="s">
        <v>1339</v>
      </c>
      <c r="E232" s="249"/>
      <c r="F232" s="666">
        <v>-8</v>
      </c>
      <c r="G232" s="249"/>
      <c r="H232" s="645">
        <v>2.63</v>
      </c>
      <c r="I232" s="251"/>
      <c r="J232" s="645">
        <v>2.4351851851851851</v>
      </c>
      <c r="K232" s="251"/>
      <c r="L232" s="645">
        <v>0.1948148148148148</v>
      </c>
      <c r="M232" s="251"/>
      <c r="N232" s="251">
        <v>0</v>
      </c>
      <c r="O232" s="251"/>
      <c r="P232" s="644" t="s">
        <v>2774</v>
      </c>
      <c r="Q232" s="251"/>
      <c r="R232" s="645">
        <v>22.6</v>
      </c>
    </row>
    <row r="233" spans="1:18">
      <c r="A233" s="272"/>
      <c r="B233" s="248"/>
      <c r="C233" s="249"/>
      <c r="D233" s="269" t="s">
        <v>1334</v>
      </c>
      <c r="E233" s="249"/>
      <c r="F233" s="666">
        <v>-8</v>
      </c>
      <c r="G233" s="249"/>
      <c r="H233" s="645">
        <v>2.19</v>
      </c>
      <c r="I233" s="251"/>
      <c r="J233" s="645">
        <v>2.0277777777777777</v>
      </c>
      <c r="K233" s="251"/>
      <c r="L233" s="645">
        <v>0.16222222222222221</v>
      </c>
      <c r="M233" s="251"/>
      <c r="N233" s="251">
        <v>0</v>
      </c>
      <c r="O233" s="251"/>
      <c r="P233" s="644" t="s">
        <v>2774</v>
      </c>
      <c r="Q233" s="251"/>
      <c r="R233" s="645">
        <v>20.6</v>
      </c>
    </row>
    <row r="234" spans="1:18">
      <c r="A234" s="272"/>
      <c r="B234" s="248"/>
      <c r="C234" s="249"/>
      <c r="D234" s="269" t="s">
        <v>1335</v>
      </c>
      <c r="E234" s="249"/>
      <c r="F234" s="666">
        <v>-8</v>
      </c>
      <c r="G234" s="249"/>
      <c r="H234" s="645">
        <v>2.1800000000000002</v>
      </c>
      <c r="I234" s="251"/>
      <c r="J234" s="645">
        <v>2.0185185185185186</v>
      </c>
      <c r="K234" s="251"/>
      <c r="L234" s="645">
        <v>0.16148148148148148</v>
      </c>
      <c r="M234" s="251"/>
      <c r="N234" s="251">
        <v>0</v>
      </c>
      <c r="O234" s="251"/>
      <c r="P234" s="644" t="s">
        <v>2774</v>
      </c>
      <c r="Q234" s="251"/>
      <c r="R234" s="645">
        <v>20.6</v>
      </c>
    </row>
    <row r="235" spans="1:18">
      <c r="A235" s="272"/>
      <c r="B235" s="248"/>
      <c r="C235" s="249"/>
      <c r="D235" s="269" t="s">
        <v>1336</v>
      </c>
      <c r="E235" s="249"/>
      <c r="F235" s="666">
        <v>-8</v>
      </c>
      <c r="G235" s="249"/>
      <c r="H235" s="645">
        <v>2.2799999999999998</v>
      </c>
      <c r="I235" s="251"/>
      <c r="J235" s="645">
        <v>2.1111111111111107</v>
      </c>
      <c r="K235" s="251"/>
      <c r="L235" s="645">
        <v>0.16888888888888887</v>
      </c>
      <c r="M235" s="251"/>
      <c r="N235" s="251">
        <v>0</v>
      </c>
      <c r="O235" s="251"/>
      <c r="P235" s="644" t="s">
        <v>2774</v>
      </c>
      <c r="Q235" s="251"/>
      <c r="R235" s="645">
        <v>22.4</v>
      </c>
    </row>
    <row r="236" spans="1:18">
      <c r="A236" s="272"/>
      <c r="B236" s="248"/>
      <c r="C236" s="249"/>
      <c r="D236" s="269" t="s">
        <v>1337</v>
      </c>
      <c r="E236" s="249"/>
      <c r="F236" s="666">
        <v>-8</v>
      </c>
      <c r="G236" s="249"/>
      <c r="H236" s="645">
        <v>2.2799999999999998</v>
      </c>
      <c r="I236" s="251"/>
      <c r="J236" s="645">
        <v>2.1111111111111107</v>
      </c>
      <c r="K236" s="251"/>
      <c r="L236" s="645">
        <v>0.16888888888888887</v>
      </c>
      <c r="M236" s="251"/>
      <c r="N236" s="251">
        <v>0</v>
      </c>
      <c r="O236" s="251"/>
      <c r="P236" s="644" t="s">
        <v>2774</v>
      </c>
      <c r="Q236" s="251"/>
      <c r="R236" s="645">
        <v>22.4</v>
      </c>
    </row>
    <row r="237" spans="1:18">
      <c r="A237" s="272"/>
      <c r="B237" s="248"/>
      <c r="C237" s="249"/>
      <c r="D237" s="269" t="s">
        <v>1338</v>
      </c>
      <c r="E237" s="249"/>
      <c r="F237" s="666">
        <v>-8</v>
      </c>
      <c r="G237" s="249"/>
      <c r="H237" s="645">
        <v>2.29</v>
      </c>
      <c r="I237" s="251"/>
      <c r="J237" s="645">
        <v>2.1203703703703702</v>
      </c>
      <c r="K237" s="251"/>
      <c r="L237" s="645">
        <v>0.16962962962962963</v>
      </c>
      <c r="M237" s="251"/>
      <c r="N237" s="251">
        <v>0</v>
      </c>
      <c r="O237" s="251"/>
      <c r="P237" s="644" t="s">
        <v>2774</v>
      </c>
      <c r="Q237" s="251"/>
      <c r="R237" s="645">
        <v>22.4</v>
      </c>
    </row>
    <row r="238" spans="1:18">
      <c r="A238" s="272"/>
      <c r="B238" s="248"/>
      <c r="C238" s="249"/>
      <c r="D238" s="253"/>
      <c r="E238" s="249"/>
      <c r="F238" s="250"/>
      <c r="G238" s="249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</row>
    <row r="239" spans="1:18">
      <c r="A239" s="272">
        <v>341</v>
      </c>
      <c r="B239" s="248"/>
      <c r="C239" s="249"/>
      <c r="D239" s="254" t="s">
        <v>1349</v>
      </c>
      <c r="E239" s="249"/>
      <c r="F239" s="277" t="s">
        <v>2777</v>
      </c>
      <c r="G239" s="249"/>
      <c r="H239" s="251">
        <v>2.67</v>
      </c>
      <c r="I239" s="251"/>
      <c r="J239" s="251"/>
      <c r="K239" s="251"/>
      <c r="L239" s="251"/>
      <c r="M239" s="251"/>
      <c r="N239" s="251"/>
      <c r="O239" s="251"/>
      <c r="P239" s="251" t="s">
        <v>2776</v>
      </c>
      <c r="Q239" s="251"/>
      <c r="R239" s="251">
        <v>27.8</v>
      </c>
    </row>
    <row r="240" spans="1:18">
      <c r="A240" s="272"/>
      <c r="B240" s="248"/>
      <c r="C240" s="249"/>
      <c r="D240" s="253"/>
      <c r="E240" s="249"/>
      <c r="F240" s="250"/>
      <c r="G240" s="249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</row>
    <row r="241" spans="1:18">
      <c r="A241" s="272"/>
      <c r="B241" s="248">
        <v>342</v>
      </c>
      <c r="C241" s="249"/>
      <c r="D241" s="249" t="s">
        <v>1350</v>
      </c>
      <c r="E241" s="249"/>
      <c r="F241" s="250"/>
      <c r="G241" s="249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</row>
    <row r="242" spans="1:18">
      <c r="A242" s="272"/>
      <c r="B242" s="248"/>
      <c r="C242" s="249"/>
      <c r="D242" s="269" t="s">
        <v>1345</v>
      </c>
      <c r="E242" s="249"/>
      <c r="F242" s="666">
        <v>-6</v>
      </c>
      <c r="G242" s="249"/>
      <c r="H242" s="645">
        <v>3.98</v>
      </c>
      <c r="I242" s="251"/>
      <c r="J242" s="645">
        <v>3.7547169811320753</v>
      </c>
      <c r="K242" s="251"/>
      <c r="L242" s="645">
        <v>0.22528301886792451</v>
      </c>
      <c r="M242" s="251"/>
      <c r="N242" s="251">
        <v>0</v>
      </c>
      <c r="O242" s="251"/>
      <c r="P242" s="251" t="s">
        <v>2778</v>
      </c>
      <c r="Q242" s="251"/>
      <c r="R242" s="645">
        <v>14.4</v>
      </c>
    </row>
    <row r="243" spans="1:18">
      <c r="A243" s="272"/>
      <c r="B243" s="248"/>
      <c r="C243" s="249"/>
      <c r="D243" s="269" t="s">
        <v>1346</v>
      </c>
      <c r="E243" s="249"/>
      <c r="F243" s="666">
        <v>-6</v>
      </c>
      <c r="G243" s="249"/>
      <c r="H243" s="645">
        <v>2.85</v>
      </c>
      <c r="I243" s="251"/>
      <c r="J243" s="645">
        <v>2.6886792452830188</v>
      </c>
      <c r="K243" s="251"/>
      <c r="L243" s="645">
        <v>0.16132075471698112</v>
      </c>
      <c r="M243" s="251"/>
      <c r="N243" s="251">
        <v>0</v>
      </c>
      <c r="O243" s="251"/>
      <c r="P243" s="251" t="s">
        <v>2778</v>
      </c>
      <c r="Q243" s="251"/>
      <c r="R243" s="645">
        <v>15.3</v>
      </c>
    </row>
    <row r="244" spans="1:18">
      <c r="A244" s="272"/>
      <c r="B244" s="248"/>
      <c r="C244" s="249"/>
      <c r="D244" s="253" t="s">
        <v>1340</v>
      </c>
      <c r="E244" s="249"/>
      <c r="F244" s="666">
        <v>-6</v>
      </c>
      <c r="G244" s="249"/>
      <c r="H244" s="645">
        <v>2.66</v>
      </c>
      <c r="I244" s="251"/>
      <c r="J244" s="645">
        <v>2.5094339622641511</v>
      </c>
      <c r="K244" s="251"/>
      <c r="L244" s="645">
        <v>0.15056603773584906</v>
      </c>
      <c r="M244" s="251"/>
      <c r="N244" s="251">
        <v>0</v>
      </c>
      <c r="O244" s="251"/>
      <c r="P244" s="251" t="s">
        <v>2778</v>
      </c>
      <c r="Q244" s="251"/>
      <c r="R244" s="645">
        <v>19.3</v>
      </c>
    </row>
    <row r="245" spans="1:18">
      <c r="A245" s="272"/>
      <c r="B245" s="248"/>
      <c r="C245" s="249"/>
      <c r="D245" s="269" t="s">
        <v>1341</v>
      </c>
      <c r="E245" s="249"/>
      <c r="F245" s="666">
        <v>-6</v>
      </c>
      <c r="G245" s="249"/>
      <c r="H245" s="645">
        <v>3.46</v>
      </c>
      <c r="I245" s="251"/>
      <c r="J245" s="645">
        <v>3.2641509433962264</v>
      </c>
      <c r="K245" s="251"/>
      <c r="L245" s="645">
        <v>0.19584905660377355</v>
      </c>
      <c r="M245" s="251"/>
      <c r="N245" s="251">
        <v>0</v>
      </c>
      <c r="O245" s="251"/>
      <c r="P245" s="251" t="s">
        <v>2778</v>
      </c>
      <c r="Q245" s="251"/>
      <c r="R245" s="645">
        <v>18.2</v>
      </c>
    </row>
    <row r="246" spans="1:18">
      <c r="A246" s="272"/>
      <c r="B246" s="248"/>
      <c r="C246" s="249"/>
      <c r="D246" s="269" t="s">
        <v>1342</v>
      </c>
      <c r="E246" s="249"/>
      <c r="F246" s="666">
        <v>-6</v>
      </c>
      <c r="G246" s="249"/>
      <c r="H246" s="645">
        <v>3.41</v>
      </c>
      <c r="I246" s="251"/>
      <c r="J246" s="645">
        <v>3.216981132075472</v>
      </c>
      <c r="K246" s="251"/>
      <c r="L246" s="645">
        <v>0.1930188679245283</v>
      </c>
      <c r="M246" s="251"/>
      <c r="N246" s="251">
        <v>0</v>
      </c>
      <c r="O246" s="251"/>
      <c r="P246" s="251" t="s">
        <v>2778</v>
      </c>
      <c r="Q246" s="251"/>
      <c r="R246" s="645">
        <v>18.100000000000001</v>
      </c>
    </row>
    <row r="247" spans="1:18">
      <c r="A247" s="272"/>
      <c r="B247" s="248"/>
      <c r="C247" s="249"/>
      <c r="D247" s="269" t="s">
        <v>1343</v>
      </c>
      <c r="E247" s="249"/>
      <c r="F247" s="666">
        <v>-6</v>
      </c>
      <c r="G247" s="249"/>
      <c r="H247" s="645">
        <v>2.08</v>
      </c>
      <c r="I247" s="251"/>
      <c r="J247" s="645">
        <v>1.9622641509433962</v>
      </c>
      <c r="K247" s="251"/>
      <c r="L247" s="645">
        <v>0.11773584905660377</v>
      </c>
      <c r="M247" s="251"/>
      <c r="N247" s="251">
        <v>0</v>
      </c>
      <c r="O247" s="251"/>
      <c r="P247" s="251" t="s">
        <v>2778</v>
      </c>
      <c r="Q247" s="251"/>
      <c r="R247" s="645">
        <v>14.5</v>
      </c>
    </row>
    <row r="248" spans="1:18">
      <c r="A248" s="272"/>
      <c r="B248" s="248"/>
      <c r="C248" s="249"/>
      <c r="D248" s="269" t="s">
        <v>1344</v>
      </c>
      <c r="E248" s="249"/>
      <c r="F248" s="666">
        <v>-6</v>
      </c>
      <c r="G248" s="249"/>
      <c r="H248" s="645">
        <v>3.69</v>
      </c>
      <c r="I248" s="251"/>
      <c r="J248" s="645">
        <v>3.4811320754716979</v>
      </c>
      <c r="K248" s="251"/>
      <c r="L248" s="645">
        <v>0.20886792452830186</v>
      </c>
      <c r="M248" s="251"/>
      <c r="N248" s="251">
        <v>0</v>
      </c>
      <c r="O248" s="251"/>
      <c r="P248" s="251" t="s">
        <v>2778</v>
      </c>
      <c r="Q248" s="251"/>
      <c r="R248" s="645">
        <v>13.3</v>
      </c>
    </row>
    <row r="249" spans="1:18">
      <c r="A249" s="272"/>
      <c r="B249" s="248"/>
      <c r="C249" s="249"/>
      <c r="D249" s="269" t="s">
        <v>2779</v>
      </c>
      <c r="E249" s="249"/>
      <c r="F249" s="666">
        <v>-6</v>
      </c>
      <c r="G249" s="249"/>
      <c r="H249" s="645">
        <v>1.64</v>
      </c>
      <c r="I249" s="251"/>
      <c r="J249" s="645">
        <v>1.5471698113207546</v>
      </c>
      <c r="K249" s="251"/>
      <c r="L249" s="645">
        <v>9.2830188679245265E-2</v>
      </c>
      <c r="M249" s="251"/>
      <c r="N249" s="251">
        <v>0</v>
      </c>
      <c r="O249" s="251"/>
      <c r="P249" s="251" t="s">
        <v>2778</v>
      </c>
      <c r="Q249" s="251"/>
      <c r="R249" s="645">
        <v>18.3</v>
      </c>
    </row>
    <row r="250" spans="1:18">
      <c r="A250" s="272"/>
      <c r="B250" s="248"/>
      <c r="C250" s="249"/>
      <c r="D250" s="266" t="s">
        <v>2286</v>
      </c>
      <c r="E250" s="249"/>
      <c r="F250" s="666">
        <v>-10</v>
      </c>
      <c r="G250" s="249"/>
      <c r="H250" s="645">
        <v>1.53</v>
      </c>
      <c r="I250" s="251"/>
      <c r="J250" s="645">
        <v>1.3909090909090909</v>
      </c>
      <c r="K250" s="251"/>
      <c r="L250" s="645">
        <v>0.1390909090909091</v>
      </c>
      <c r="M250" s="251"/>
      <c r="N250" s="251">
        <v>0</v>
      </c>
      <c r="O250" s="251"/>
      <c r="P250" s="251" t="s">
        <v>2778</v>
      </c>
      <c r="Q250" s="251"/>
      <c r="R250" s="645">
        <v>31.6</v>
      </c>
    </row>
    <row r="251" spans="1:18">
      <c r="A251" s="272"/>
      <c r="B251" s="248"/>
      <c r="C251" s="249"/>
      <c r="D251" s="269" t="s">
        <v>2780</v>
      </c>
      <c r="E251" s="249"/>
      <c r="F251" s="666">
        <v>-10</v>
      </c>
      <c r="G251" s="249"/>
      <c r="H251" s="645">
        <v>3.01</v>
      </c>
      <c r="I251" s="251"/>
      <c r="J251" s="645">
        <v>2.7363636363636363</v>
      </c>
      <c r="K251" s="251"/>
      <c r="L251" s="645">
        <v>0.27363636363636362</v>
      </c>
      <c r="M251" s="251"/>
      <c r="N251" s="251">
        <v>0</v>
      </c>
      <c r="O251" s="251"/>
      <c r="P251" s="251" t="s">
        <v>2778</v>
      </c>
      <c r="Q251" s="251"/>
      <c r="R251" s="645">
        <v>31.6</v>
      </c>
    </row>
    <row r="252" spans="1:18">
      <c r="A252" s="272"/>
      <c r="B252" s="248"/>
      <c r="C252" s="249"/>
      <c r="D252" s="269" t="s">
        <v>1347</v>
      </c>
      <c r="E252" s="249"/>
      <c r="F252" s="666">
        <v>-12</v>
      </c>
      <c r="G252" s="249"/>
      <c r="H252" s="645">
        <v>4.75</v>
      </c>
      <c r="I252" s="251"/>
      <c r="J252" s="645">
        <v>4.2410714285714288</v>
      </c>
      <c r="K252" s="251"/>
      <c r="L252" s="645">
        <v>0.50892857142857129</v>
      </c>
      <c r="M252" s="251"/>
      <c r="N252" s="251">
        <v>0</v>
      </c>
      <c r="O252" s="251"/>
      <c r="P252" s="251" t="s">
        <v>2778</v>
      </c>
      <c r="Q252" s="251"/>
      <c r="R252" s="645">
        <v>5</v>
      </c>
    </row>
    <row r="253" spans="1:18">
      <c r="A253" s="272"/>
      <c r="B253" s="248"/>
      <c r="C253" s="249"/>
      <c r="D253" s="269" t="s">
        <v>2781</v>
      </c>
      <c r="E253" s="249"/>
      <c r="F253" s="666">
        <v>-6</v>
      </c>
      <c r="G253" s="249"/>
      <c r="H253" s="645">
        <v>4.6900000000000004</v>
      </c>
      <c r="I253" s="251"/>
      <c r="J253" s="645">
        <v>4.4245283018867925</v>
      </c>
      <c r="K253" s="251"/>
      <c r="L253" s="645">
        <v>0.26547169811320753</v>
      </c>
      <c r="M253" s="251"/>
      <c r="N253" s="251">
        <v>0</v>
      </c>
      <c r="O253" s="251"/>
      <c r="P253" s="251" t="s">
        <v>2778</v>
      </c>
      <c r="Q253" s="251"/>
      <c r="R253" s="645">
        <v>20.100000000000001</v>
      </c>
    </row>
    <row r="254" spans="1:18">
      <c r="A254" s="272"/>
      <c r="B254" s="248"/>
      <c r="C254" s="249"/>
      <c r="D254" s="269" t="s">
        <v>1348</v>
      </c>
      <c r="E254" s="249"/>
      <c r="F254" s="666">
        <v>-6</v>
      </c>
      <c r="G254" s="249"/>
      <c r="H254" s="645">
        <v>2.23</v>
      </c>
      <c r="I254" s="251"/>
      <c r="J254" s="645">
        <v>2.1037735849056602</v>
      </c>
      <c r="K254" s="251"/>
      <c r="L254" s="645">
        <v>0.1262264150943396</v>
      </c>
      <c r="M254" s="251"/>
      <c r="N254" s="251">
        <v>0</v>
      </c>
      <c r="O254" s="251"/>
      <c r="P254" s="251" t="s">
        <v>2778</v>
      </c>
      <c r="Q254" s="251"/>
      <c r="R254" s="645">
        <v>19</v>
      </c>
    </row>
    <row r="255" spans="1:18">
      <c r="A255" s="272"/>
      <c r="B255" s="248"/>
      <c r="C255" s="249"/>
      <c r="D255" s="269" t="s">
        <v>1339</v>
      </c>
      <c r="E255" s="249"/>
      <c r="F255" s="666">
        <v>-8</v>
      </c>
      <c r="G255" s="249"/>
      <c r="H255" s="645">
        <v>2.79</v>
      </c>
      <c r="I255" s="251"/>
      <c r="J255" s="645">
        <v>2.5833333333333335</v>
      </c>
      <c r="K255" s="251"/>
      <c r="L255" s="645">
        <v>0.20666666666666667</v>
      </c>
      <c r="M255" s="251"/>
      <c r="N255" s="251">
        <v>0</v>
      </c>
      <c r="O255" s="251"/>
      <c r="P255" s="251" t="s">
        <v>2778</v>
      </c>
      <c r="Q255" s="251"/>
      <c r="R255" s="645">
        <v>22</v>
      </c>
    </row>
    <row r="256" spans="1:18">
      <c r="A256" s="272"/>
      <c r="B256" s="248"/>
      <c r="C256" s="249"/>
      <c r="D256" s="269" t="s">
        <v>1334</v>
      </c>
      <c r="E256" s="249"/>
      <c r="F256" s="666">
        <v>-8</v>
      </c>
      <c r="G256" s="249"/>
      <c r="H256" s="645">
        <v>2.2599999999999998</v>
      </c>
      <c r="I256" s="251"/>
      <c r="J256" s="645">
        <v>2.0925925925925926</v>
      </c>
      <c r="K256" s="251"/>
      <c r="L256" s="645">
        <v>0.16740740740740739</v>
      </c>
      <c r="M256" s="251"/>
      <c r="N256" s="251">
        <v>0</v>
      </c>
      <c r="O256" s="251"/>
      <c r="P256" s="251" t="s">
        <v>2778</v>
      </c>
      <c r="Q256" s="251"/>
      <c r="R256" s="645">
        <v>19.899999999999999</v>
      </c>
    </row>
    <row r="257" spans="1:18">
      <c r="A257" s="272"/>
      <c r="B257" s="248"/>
      <c r="C257" s="249"/>
      <c r="D257" s="269" t="s">
        <v>1335</v>
      </c>
      <c r="E257" s="249"/>
      <c r="F257" s="666">
        <v>-8</v>
      </c>
      <c r="G257" s="249"/>
      <c r="H257" s="645">
        <v>2.2599999999999998</v>
      </c>
      <c r="I257" s="251"/>
      <c r="J257" s="645">
        <v>2.0925925925925926</v>
      </c>
      <c r="K257" s="251"/>
      <c r="L257" s="645">
        <v>0.16740740740740739</v>
      </c>
      <c r="M257" s="251"/>
      <c r="N257" s="251">
        <v>0</v>
      </c>
      <c r="O257" s="251"/>
      <c r="P257" s="251" t="s">
        <v>2778</v>
      </c>
      <c r="Q257" s="251"/>
      <c r="R257" s="645">
        <v>19.899999999999999</v>
      </c>
    </row>
    <row r="258" spans="1:18">
      <c r="A258" s="272"/>
      <c r="B258" s="248"/>
      <c r="C258" s="249"/>
      <c r="D258" s="269" t="s">
        <v>1336</v>
      </c>
      <c r="E258" s="249"/>
      <c r="F258" s="666">
        <v>-8</v>
      </c>
      <c r="G258" s="249"/>
      <c r="H258" s="645">
        <v>2.36</v>
      </c>
      <c r="I258" s="251"/>
      <c r="J258" s="645">
        <v>2.1851851851851851</v>
      </c>
      <c r="K258" s="251"/>
      <c r="L258" s="645">
        <v>0.17481481481481478</v>
      </c>
      <c r="M258" s="251"/>
      <c r="N258" s="251">
        <v>0</v>
      </c>
      <c r="O258" s="251"/>
      <c r="P258" s="251" t="s">
        <v>2778</v>
      </c>
      <c r="Q258" s="251"/>
      <c r="R258" s="645">
        <v>21.6</v>
      </c>
    </row>
    <row r="259" spans="1:18">
      <c r="A259" s="272"/>
      <c r="B259" s="248"/>
      <c r="C259" s="249"/>
      <c r="D259" s="269" t="s">
        <v>1337</v>
      </c>
      <c r="E259" s="249"/>
      <c r="F259" s="666">
        <v>-8</v>
      </c>
      <c r="G259" s="249"/>
      <c r="H259" s="645">
        <v>2.36</v>
      </c>
      <c r="I259" s="251"/>
      <c r="J259" s="645">
        <v>2.1851851851851851</v>
      </c>
      <c r="K259" s="251"/>
      <c r="L259" s="645">
        <v>0.17481481481481478</v>
      </c>
      <c r="M259" s="251"/>
      <c r="N259" s="251">
        <v>0</v>
      </c>
      <c r="O259" s="251"/>
      <c r="P259" s="251" t="s">
        <v>2778</v>
      </c>
      <c r="Q259" s="251"/>
      <c r="R259" s="645">
        <v>21.6</v>
      </c>
    </row>
    <row r="260" spans="1:18">
      <c r="A260" s="272"/>
      <c r="B260" s="248"/>
      <c r="C260" s="249"/>
      <c r="D260" s="269" t="s">
        <v>1338</v>
      </c>
      <c r="E260" s="249"/>
      <c r="F260" s="666">
        <v>-8</v>
      </c>
      <c r="G260" s="249"/>
      <c r="H260" s="645">
        <v>2.36</v>
      </c>
      <c r="I260" s="251"/>
      <c r="J260" s="645">
        <v>2.1851851851851851</v>
      </c>
      <c r="K260" s="251"/>
      <c r="L260" s="645">
        <v>0.17481481481481478</v>
      </c>
      <c r="M260" s="251"/>
      <c r="N260" s="251">
        <v>0</v>
      </c>
      <c r="O260" s="251"/>
      <c r="P260" s="251" t="s">
        <v>2778</v>
      </c>
      <c r="Q260" s="251"/>
      <c r="R260" s="645">
        <v>21.6</v>
      </c>
    </row>
    <row r="261" spans="1:18">
      <c r="A261" s="272"/>
      <c r="B261" s="248"/>
      <c r="C261" s="249"/>
      <c r="D261" s="269" t="s">
        <v>1352</v>
      </c>
      <c r="E261" s="249"/>
      <c r="F261" s="666">
        <v>-8</v>
      </c>
      <c r="G261" s="249"/>
      <c r="H261" s="645">
        <v>2.4700000000000002</v>
      </c>
      <c r="I261" s="251"/>
      <c r="J261" s="645">
        <v>2.2870370370370372</v>
      </c>
      <c r="K261" s="251"/>
      <c r="L261" s="645">
        <v>0.18296296296296297</v>
      </c>
      <c r="M261" s="251"/>
      <c r="N261" s="251">
        <v>0</v>
      </c>
      <c r="O261" s="251"/>
      <c r="P261" s="251" t="s">
        <v>2778</v>
      </c>
      <c r="Q261" s="251"/>
      <c r="R261" s="645">
        <v>21.7</v>
      </c>
    </row>
    <row r="262" spans="1:18">
      <c r="A262" s="272"/>
      <c r="B262" s="248"/>
      <c r="C262" s="249"/>
      <c r="D262" s="249"/>
      <c r="E262" s="249"/>
      <c r="F262" s="250"/>
      <c r="G262" s="249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</row>
    <row r="263" spans="1:18">
      <c r="A263" s="272">
        <v>342</v>
      </c>
      <c r="B263" s="248"/>
      <c r="C263" s="249"/>
      <c r="D263" s="254" t="s">
        <v>1353</v>
      </c>
      <c r="E263" s="249"/>
      <c r="F263" s="277" t="s">
        <v>2782</v>
      </c>
      <c r="G263" s="249"/>
      <c r="H263" s="251">
        <v>2.81</v>
      </c>
      <c r="I263" s="251"/>
      <c r="J263" s="251"/>
      <c r="K263" s="251"/>
      <c r="L263" s="251"/>
      <c r="M263" s="251"/>
      <c r="N263" s="251"/>
      <c r="O263" s="251"/>
      <c r="P263" s="251" t="s">
        <v>2778</v>
      </c>
      <c r="Q263" s="251"/>
      <c r="R263" s="251">
        <v>24.5</v>
      </c>
    </row>
    <row r="264" spans="1:18">
      <c r="A264" s="272"/>
      <c r="B264" s="248"/>
      <c r="C264" s="249"/>
      <c r="D264" s="249"/>
      <c r="E264" s="249"/>
      <c r="F264" s="250"/>
      <c r="G264" s="249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</row>
    <row r="265" spans="1:18">
      <c r="A265" s="272"/>
      <c r="B265" s="248">
        <v>343</v>
      </c>
      <c r="C265" s="249"/>
      <c r="D265" s="249" t="s">
        <v>1354</v>
      </c>
      <c r="E265" s="249"/>
      <c r="F265" s="250"/>
      <c r="G265" s="249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</row>
    <row r="266" spans="1:18">
      <c r="A266" s="272"/>
      <c r="B266" s="248"/>
      <c r="C266" s="249"/>
      <c r="D266" s="269" t="s">
        <v>1345</v>
      </c>
      <c r="E266" s="249"/>
      <c r="F266" s="666">
        <v>-6</v>
      </c>
      <c r="G266" s="249"/>
      <c r="H266" s="251">
        <v>3.57</v>
      </c>
      <c r="I266" s="251"/>
      <c r="J266" s="251">
        <v>3.3679245283018866</v>
      </c>
      <c r="K266" s="251"/>
      <c r="L266" s="251">
        <v>0.23575471698113207</v>
      </c>
      <c r="M266" s="251"/>
      <c r="N266" s="251">
        <v>-3.3679245283018862E-2</v>
      </c>
      <c r="O266" s="251"/>
      <c r="P266" s="644" t="s">
        <v>2783</v>
      </c>
      <c r="Q266" s="251"/>
      <c r="R266" s="645">
        <v>13.5</v>
      </c>
    </row>
    <row r="267" spans="1:18">
      <c r="A267" s="272"/>
      <c r="B267" s="248"/>
      <c r="C267" s="249"/>
      <c r="D267" s="269" t="s">
        <v>1346</v>
      </c>
      <c r="E267" s="249"/>
      <c r="F267" s="666">
        <v>-6</v>
      </c>
      <c r="G267" s="249"/>
      <c r="H267" s="251">
        <v>2.72</v>
      </c>
      <c r="I267" s="251"/>
      <c r="J267" s="251">
        <v>2.5660377358490569</v>
      </c>
      <c r="K267" s="251"/>
      <c r="L267" s="251">
        <v>0.17962264150943397</v>
      </c>
      <c r="M267" s="251"/>
      <c r="N267" s="251">
        <v>-2.5660377358490565E-2</v>
      </c>
      <c r="O267" s="251"/>
      <c r="P267" s="644" t="s">
        <v>2783</v>
      </c>
      <c r="Q267" s="251"/>
      <c r="R267" s="645">
        <v>14.4</v>
      </c>
    </row>
    <row r="268" spans="1:18">
      <c r="A268" s="272"/>
      <c r="B268" s="248"/>
      <c r="C268" s="249"/>
      <c r="D268" s="269" t="s">
        <v>1340</v>
      </c>
      <c r="E268" s="249"/>
      <c r="F268" s="666">
        <v>-6</v>
      </c>
      <c r="G268" s="249"/>
      <c r="H268" s="251">
        <v>3.07</v>
      </c>
      <c r="I268" s="251"/>
      <c r="J268" s="251">
        <v>2.8962264150943393</v>
      </c>
      <c r="K268" s="251"/>
      <c r="L268" s="251">
        <v>0.20273584905660377</v>
      </c>
      <c r="M268" s="251"/>
      <c r="N268" s="251">
        <v>-2.8962264150943395E-2</v>
      </c>
      <c r="O268" s="251"/>
      <c r="P268" s="644" t="s">
        <v>2783</v>
      </c>
      <c r="Q268" s="251"/>
      <c r="R268" s="645">
        <v>18.3</v>
      </c>
    </row>
    <row r="269" spans="1:18">
      <c r="A269" s="272"/>
      <c r="B269" s="248"/>
      <c r="C269" s="249"/>
      <c r="D269" s="269" t="s">
        <v>1341</v>
      </c>
      <c r="E269" s="249"/>
      <c r="F269" s="666">
        <v>-6</v>
      </c>
      <c r="G269" s="249"/>
      <c r="H269" s="251">
        <v>3.59</v>
      </c>
      <c r="I269" s="251"/>
      <c r="J269" s="251">
        <v>3.3867924528301883</v>
      </c>
      <c r="K269" s="251"/>
      <c r="L269" s="251">
        <v>0.23707547169811319</v>
      </c>
      <c r="M269" s="251"/>
      <c r="N269" s="251">
        <v>-3.3867924528301882E-2</v>
      </c>
      <c r="O269" s="251"/>
      <c r="P269" s="644" t="s">
        <v>2783</v>
      </c>
      <c r="Q269" s="251"/>
      <c r="R269" s="645">
        <v>16.899999999999999</v>
      </c>
    </row>
    <row r="270" spans="1:18">
      <c r="A270" s="272"/>
      <c r="B270" s="248"/>
      <c r="C270" s="249"/>
      <c r="D270" s="269" t="s">
        <v>1342</v>
      </c>
      <c r="E270" s="249"/>
      <c r="F270" s="666">
        <v>-6</v>
      </c>
      <c r="G270" s="249"/>
      <c r="H270" s="251">
        <v>2.4900000000000002</v>
      </c>
      <c r="I270" s="251"/>
      <c r="J270" s="251">
        <v>2.3490566037735854</v>
      </c>
      <c r="K270" s="251"/>
      <c r="L270" s="251">
        <v>0.16443396226415097</v>
      </c>
      <c r="M270" s="251"/>
      <c r="N270" s="251">
        <v>-2.349056603773585E-2</v>
      </c>
      <c r="O270" s="251"/>
      <c r="P270" s="644" t="s">
        <v>2783</v>
      </c>
      <c r="Q270" s="251"/>
      <c r="R270" s="645">
        <v>16.3</v>
      </c>
    </row>
    <row r="271" spans="1:18">
      <c r="A271" s="272"/>
      <c r="B271" s="248"/>
      <c r="C271" s="249"/>
      <c r="D271" s="269" t="s">
        <v>1343</v>
      </c>
      <c r="E271" s="249"/>
      <c r="F271" s="666">
        <v>-6</v>
      </c>
      <c r="G271" s="249"/>
      <c r="H271" s="251">
        <v>1.87</v>
      </c>
      <c r="I271" s="251"/>
      <c r="J271" s="251">
        <v>1.7641509433962266</v>
      </c>
      <c r="K271" s="251"/>
      <c r="L271" s="251">
        <v>0.12349056603773585</v>
      </c>
      <c r="M271" s="251"/>
      <c r="N271" s="251">
        <v>-1.7641509433962265E-2</v>
      </c>
      <c r="O271" s="251"/>
      <c r="P271" s="644" t="s">
        <v>2783</v>
      </c>
      <c r="Q271" s="251"/>
      <c r="R271" s="645">
        <v>13.4</v>
      </c>
    </row>
    <row r="272" spans="1:18">
      <c r="A272" s="272"/>
      <c r="B272" s="248"/>
      <c r="C272" s="249"/>
      <c r="D272" s="269" t="s">
        <v>1344</v>
      </c>
      <c r="E272" s="249"/>
      <c r="F272" s="666">
        <v>-6</v>
      </c>
      <c r="G272" s="249"/>
      <c r="H272" s="251">
        <v>3.63</v>
      </c>
      <c r="I272" s="251"/>
      <c r="J272" s="251">
        <v>3.424528301886792</v>
      </c>
      <c r="K272" s="251"/>
      <c r="L272" s="251">
        <v>0.23971698113207546</v>
      </c>
      <c r="M272" s="251"/>
      <c r="N272" s="251">
        <v>-3.4245283018867922E-2</v>
      </c>
      <c r="O272" s="251"/>
      <c r="P272" s="644" t="s">
        <v>2783</v>
      </c>
      <c r="Q272" s="251"/>
      <c r="R272" s="645">
        <v>12.7</v>
      </c>
    </row>
    <row r="273" spans="1:18">
      <c r="A273" s="272"/>
      <c r="B273" s="248"/>
      <c r="C273" s="249"/>
      <c r="D273" s="269" t="s">
        <v>2286</v>
      </c>
      <c r="E273" s="249"/>
      <c r="F273" s="666">
        <v>-10</v>
      </c>
      <c r="G273" s="249"/>
      <c r="H273" s="251">
        <v>3.49</v>
      </c>
      <c r="I273" s="251"/>
      <c r="J273" s="251">
        <v>3.1727272727272728</v>
      </c>
      <c r="K273" s="251"/>
      <c r="L273" s="251">
        <v>0.34899999999999998</v>
      </c>
      <c r="M273" s="251"/>
      <c r="N273" s="251">
        <v>-3.1727272727272729E-2</v>
      </c>
      <c r="O273" s="251"/>
      <c r="P273" s="644" t="s">
        <v>2783</v>
      </c>
      <c r="Q273" s="251"/>
      <c r="R273" s="645">
        <v>29</v>
      </c>
    </row>
    <row r="274" spans="1:18">
      <c r="A274" s="272"/>
      <c r="B274" s="248"/>
      <c r="C274" s="249"/>
      <c r="D274" s="269" t="s">
        <v>1348</v>
      </c>
      <c r="E274" s="249"/>
      <c r="F274" s="666">
        <v>-6</v>
      </c>
      <c r="G274" s="249"/>
      <c r="H274" s="251">
        <v>3.08</v>
      </c>
      <c r="I274" s="251"/>
      <c r="J274" s="251">
        <v>2.9056603773584908</v>
      </c>
      <c r="K274" s="251"/>
      <c r="L274" s="251">
        <v>0.20339622641509433</v>
      </c>
      <c r="M274" s="251"/>
      <c r="N274" s="251">
        <v>-2.9056603773584905E-2</v>
      </c>
      <c r="O274" s="251"/>
      <c r="P274" s="644" t="s">
        <v>2783</v>
      </c>
      <c r="Q274" s="251"/>
      <c r="R274" s="645">
        <v>18</v>
      </c>
    </row>
    <row r="275" spans="1:18">
      <c r="A275" s="274"/>
      <c r="B275" s="255"/>
      <c r="C275" s="249"/>
      <c r="D275" s="269" t="s">
        <v>1339</v>
      </c>
      <c r="E275" s="249"/>
      <c r="F275" s="666">
        <v>-8</v>
      </c>
      <c r="G275" s="249"/>
      <c r="H275" s="251">
        <v>2.83</v>
      </c>
      <c r="I275" s="251"/>
      <c r="J275" s="251">
        <v>2.6203703703703702</v>
      </c>
      <c r="K275" s="251"/>
      <c r="L275" s="251">
        <v>0.23583333333333334</v>
      </c>
      <c r="M275" s="251"/>
      <c r="N275" s="251">
        <v>-2.6203703703703701E-2</v>
      </c>
      <c r="O275" s="251"/>
      <c r="P275" s="644" t="s">
        <v>2783</v>
      </c>
      <c r="Q275" s="251"/>
      <c r="R275" s="645">
        <v>20.3</v>
      </c>
    </row>
    <row r="276" spans="1:18">
      <c r="A276" s="272"/>
      <c r="B276" s="248"/>
      <c r="C276" s="249"/>
      <c r="D276" s="269" t="s">
        <v>1334</v>
      </c>
      <c r="E276" s="249"/>
      <c r="F276" s="666">
        <v>-8</v>
      </c>
      <c r="G276" s="249"/>
      <c r="H276" s="251">
        <v>2.96</v>
      </c>
      <c r="I276" s="251"/>
      <c r="J276" s="251">
        <v>2.7407407407407409</v>
      </c>
      <c r="K276" s="251"/>
      <c r="L276" s="251">
        <v>0.24666666666666665</v>
      </c>
      <c r="M276" s="251"/>
      <c r="N276" s="251">
        <v>-2.7407407407407405E-2</v>
      </c>
      <c r="O276" s="251"/>
      <c r="P276" s="644" t="s">
        <v>2783</v>
      </c>
      <c r="Q276" s="251"/>
      <c r="R276" s="645">
        <v>18.8</v>
      </c>
    </row>
    <row r="277" spans="1:18">
      <c r="A277" s="272"/>
      <c r="B277" s="248"/>
      <c r="C277" s="249"/>
      <c r="D277" s="269" t="s">
        <v>1335</v>
      </c>
      <c r="E277" s="249"/>
      <c r="F277" s="666">
        <v>-8</v>
      </c>
      <c r="G277" s="249"/>
      <c r="H277" s="251">
        <v>2.84</v>
      </c>
      <c r="I277" s="251"/>
      <c r="J277" s="251">
        <v>2.6296296296296293</v>
      </c>
      <c r="K277" s="251"/>
      <c r="L277" s="251">
        <v>0.23666666666666664</v>
      </c>
      <c r="M277" s="251"/>
      <c r="N277" s="251">
        <v>-2.6296296296296293E-2</v>
      </c>
      <c r="O277" s="251"/>
      <c r="P277" s="644" t="s">
        <v>2783</v>
      </c>
      <c r="Q277" s="251"/>
      <c r="R277" s="645">
        <v>18.7</v>
      </c>
    </row>
    <row r="278" spans="1:18">
      <c r="A278" s="272"/>
      <c r="B278" s="248"/>
      <c r="C278" s="249"/>
      <c r="D278" s="269" t="s">
        <v>1336</v>
      </c>
      <c r="E278" s="249"/>
      <c r="F278" s="666">
        <v>-8</v>
      </c>
      <c r="G278" s="249"/>
      <c r="H278" s="251">
        <v>2.99</v>
      </c>
      <c r="I278" s="251"/>
      <c r="J278" s="251">
        <v>2.768518518518519</v>
      </c>
      <c r="K278" s="251"/>
      <c r="L278" s="251">
        <v>0.24916666666666668</v>
      </c>
      <c r="M278" s="251"/>
      <c r="N278" s="251">
        <v>-2.7685185185185184E-2</v>
      </c>
      <c r="O278" s="251"/>
      <c r="P278" s="644" t="s">
        <v>2783</v>
      </c>
      <c r="Q278" s="251"/>
      <c r="R278" s="645">
        <v>20.399999999999999</v>
      </c>
    </row>
    <row r="279" spans="1:18">
      <c r="A279" s="272"/>
      <c r="B279" s="248"/>
      <c r="C279" s="249"/>
      <c r="D279" s="269" t="s">
        <v>1337</v>
      </c>
      <c r="E279" s="249"/>
      <c r="F279" s="666">
        <v>-8</v>
      </c>
      <c r="G279" s="249"/>
      <c r="H279" s="251">
        <v>2.84</v>
      </c>
      <c r="I279" s="251"/>
      <c r="J279" s="251">
        <v>2.6296296296296293</v>
      </c>
      <c r="K279" s="251"/>
      <c r="L279" s="251">
        <v>0.23666666666666664</v>
      </c>
      <c r="M279" s="251"/>
      <c r="N279" s="251">
        <v>-2.6296296296296293E-2</v>
      </c>
      <c r="O279" s="251"/>
      <c r="P279" s="644" t="s">
        <v>2783</v>
      </c>
      <c r="Q279" s="251"/>
      <c r="R279" s="645">
        <v>20.2</v>
      </c>
    </row>
    <row r="280" spans="1:18">
      <c r="A280" s="272"/>
      <c r="B280" s="248"/>
      <c r="C280" s="249"/>
      <c r="D280" s="269" t="s">
        <v>1338</v>
      </c>
      <c r="E280" s="249"/>
      <c r="F280" s="666">
        <v>-8</v>
      </c>
      <c r="G280" s="249"/>
      <c r="H280" s="251">
        <v>2.79</v>
      </c>
      <c r="I280" s="251"/>
      <c r="J280" s="251">
        <v>2.5833333333333335</v>
      </c>
      <c r="K280" s="251"/>
      <c r="L280" s="251">
        <v>0.23249999999999998</v>
      </c>
      <c r="M280" s="251"/>
      <c r="N280" s="251">
        <v>-2.5833333333333333E-2</v>
      </c>
      <c r="O280" s="251"/>
      <c r="P280" s="644" t="s">
        <v>2783</v>
      </c>
      <c r="Q280" s="251"/>
      <c r="R280" s="645">
        <v>20.2</v>
      </c>
    </row>
    <row r="281" spans="1:18">
      <c r="A281" s="272"/>
      <c r="B281" s="248"/>
      <c r="C281" s="249"/>
      <c r="D281" s="249"/>
      <c r="E281" s="249"/>
      <c r="F281" s="250"/>
      <c r="G281" s="249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</row>
    <row r="282" spans="1:18">
      <c r="A282" s="272">
        <v>343</v>
      </c>
      <c r="B282" s="248"/>
      <c r="C282" s="249"/>
      <c r="D282" s="254" t="s">
        <v>1356</v>
      </c>
      <c r="E282" s="249"/>
      <c r="F282" s="277" t="s">
        <v>2784</v>
      </c>
      <c r="G282" s="249"/>
      <c r="H282" s="251">
        <v>3.17</v>
      </c>
      <c r="I282" s="251"/>
      <c r="J282" s="251"/>
      <c r="K282" s="251"/>
      <c r="L282" s="251"/>
      <c r="M282" s="251"/>
      <c r="N282" s="251"/>
      <c r="O282" s="251"/>
      <c r="P282" s="251" t="s">
        <v>2783</v>
      </c>
      <c r="Q282" s="251"/>
      <c r="R282" s="251">
        <v>22.3</v>
      </c>
    </row>
    <row r="283" spans="1:18">
      <c r="A283" s="272"/>
      <c r="B283" s="248"/>
      <c r="C283" s="249"/>
      <c r="D283" s="249"/>
      <c r="E283" s="249"/>
      <c r="F283" s="250"/>
      <c r="G283" s="249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</row>
    <row r="284" spans="1:18">
      <c r="A284" s="272"/>
      <c r="B284" s="248">
        <v>344</v>
      </c>
      <c r="C284" s="249"/>
      <c r="D284" s="249" t="s">
        <v>1357</v>
      </c>
      <c r="E284" s="249"/>
      <c r="F284" s="250"/>
      <c r="G284" s="249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</row>
    <row r="285" spans="1:18">
      <c r="A285" s="272"/>
      <c r="B285" s="248"/>
      <c r="C285" s="249"/>
      <c r="D285" s="669" t="s">
        <v>1345</v>
      </c>
      <c r="E285" s="249"/>
      <c r="F285" s="666">
        <v>-6</v>
      </c>
      <c r="G285" s="249"/>
      <c r="H285" s="645">
        <v>2.4900000000000002</v>
      </c>
      <c r="I285" s="251"/>
      <c r="J285" s="645">
        <v>2.3490566037735849</v>
      </c>
      <c r="K285" s="251"/>
      <c r="L285" s="645">
        <v>0.14094339622641508</v>
      </c>
      <c r="M285" s="251"/>
      <c r="N285" s="645">
        <v>0</v>
      </c>
      <c r="O285" s="251"/>
      <c r="P285" s="644" t="s">
        <v>2785</v>
      </c>
      <c r="Q285" s="251"/>
      <c r="R285" s="645">
        <v>14.2</v>
      </c>
    </row>
    <row r="286" spans="1:18">
      <c r="A286" s="272"/>
      <c r="B286" s="248"/>
      <c r="C286" s="249"/>
      <c r="D286" s="669" t="s">
        <v>1346</v>
      </c>
      <c r="E286" s="249"/>
      <c r="F286" s="666">
        <v>-6</v>
      </c>
      <c r="G286" s="249"/>
      <c r="H286" s="645">
        <v>2.4700000000000002</v>
      </c>
      <c r="I286" s="251"/>
      <c r="J286" s="645">
        <v>2.3301886792452833</v>
      </c>
      <c r="K286" s="251"/>
      <c r="L286" s="645">
        <v>0.13981132075471697</v>
      </c>
      <c r="M286" s="251"/>
      <c r="N286" s="645">
        <v>0</v>
      </c>
      <c r="O286" s="251"/>
      <c r="P286" s="644" t="s">
        <v>2785</v>
      </c>
      <c r="Q286" s="251"/>
      <c r="R286" s="645">
        <v>15.3</v>
      </c>
    </row>
    <row r="287" spans="1:18">
      <c r="A287" s="272"/>
      <c r="B287" s="248"/>
      <c r="C287" s="249"/>
      <c r="D287" s="669" t="s">
        <v>1340</v>
      </c>
      <c r="E287" s="249"/>
      <c r="F287" s="666">
        <v>-6</v>
      </c>
      <c r="G287" s="249"/>
      <c r="H287" s="645">
        <v>2.46</v>
      </c>
      <c r="I287" s="251"/>
      <c r="J287" s="645">
        <v>2.3207547169811322</v>
      </c>
      <c r="K287" s="251"/>
      <c r="L287" s="645">
        <v>0.1392452830188679</v>
      </c>
      <c r="M287" s="251"/>
      <c r="N287" s="645">
        <v>0</v>
      </c>
      <c r="O287" s="251"/>
      <c r="P287" s="644" t="s">
        <v>2785</v>
      </c>
      <c r="Q287" s="251"/>
      <c r="R287" s="645">
        <v>19.8</v>
      </c>
    </row>
    <row r="288" spans="1:18">
      <c r="A288" s="272"/>
      <c r="B288" s="248"/>
      <c r="C288" s="249"/>
      <c r="D288" s="669" t="s">
        <v>1341</v>
      </c>
      <c r="E288" s="249"/>
      <c r="F288" s="666">
        <v>-6</v>
      </c>
      <c r="G288" s="249"/>
      <c r="H288" s="645">
        <v>2.33</v>
      </c>
      <c r="I288" s="251"/>
      <c r="J288" s="645">
        <v>2.1981132075471699</v>
      </c>
      <c r="K288" s="251"/>
      <c r="L288" s="645">
        <v>0.13188679245283019</v>
      </c>
      <c r="M288" s="251"/>
      <c r="N288" s="645">
        <v>0</v>
      </c>
      <c r="O288" s="251"/>
      <c r="P288" s="644" t="s">
        <v>2785</v>
      </c>
      <c r="Q288" s="251"/>
      <c r="R288" s="645">
        <v>17.8</v>
      </c>
    </row>
    <row r="289" spans="1:18">
      <c r="A289" s="272"/>
      <c r="B289" s="248"/>
      <c r="C289" s="249"/>
      <c r="D289" s="669" t="s">
        <v>1342</v>
      </c>
      <c r="E289" s="249"/>
      <c r="F289" s="666">
        <v>-6</v>
      </c>
      <c r="G289" s="249"/>
      <c r="H289" s="645">
        <v>2.42</v>
      </c>
      <c r="I289" s="251"/>
      <c r="J289" s="645">
        <v>2.283018867924528</v>
      </c>
      <c r="K289" s="251"/>
      <c r="L289" s="645">
        <v>0.13698113207547169</v>
      </c>
      <c r="M289" s="251"/>
      <c r="N289" s="645">
        <v>0</v>
      </c>
      <c r="O289" s="251"/>
      <c r="P289" s="644" t="s">
        <v>2785</v>
      </c>
      <c r="Q289" s="251"/>
      <c r="R289" s="645">
        <v>18</v>
      </c>
    </row>
    <row r="290" spans="1:18">
      <c r="A290" s="272"/>
      <c r="B290" s="248"/>
      <c r="C290" s="249"/>
      <c r="D290" s="669" t="s">
        <v>1343</v>
      </c>
      <c r="E290" s="249"/>
      <c r="F290" s="666">
        <v>-6</v>
      </c>
      <c r="G290" s="249"/>
      <c r="H290" s="645">
        <v>1.57</v>
      </c>
      <c r="I290" s="251"/>
      <c r="J290" s="645">
        <v>1.4811320754716981</v>
      </c>
      <c r="K290" s="251"/>
      <c r="L290" s="645">
        <v>8.8867924528301875E-2</v>
      </c>
      <c r="M290" s="251"/>
      <c r="N290" s="645">
        <v>0</v>
      </c>
      <c r="O290" s="251"/>
      <c r="P290" s="644" t="s">
        <v>2785</v>
      </c>
      <c r="Q290" s="251"/>
      <c r="R290" s="645">
        <v>14.2</v>
      </c>
    </row>
    <row r="291" spans="1:18">
      <c r="A291" s="272"/>
      <c r="B291" s="248"/>
      <c r="C291" s="249"/>
      <c r="D291" s="669" t="s">
        <v>1344</v>
      </c>
      <c r="E291" s="249"/>
      <c r="F291" s="666">
        <v>-6</v>
      </c>
      <c r="G291" s="249"/>
      <c r="H291" s="645">
        <v>2.3199999999999998</v>
      </c>
      <c r="I291" s="251"/>
      <c r="J291" s="645">
        <v>2.1886792452830188</v>
      </c>
      <c r="K291" s="251"/>
      <c r="L291" s="645">
        <v>0.1313207547169811</v>
      </c>
      <c r="M291" s="251"/>
      <c r="N291" s="645">
        <v>0</v>
      </c>
      <c r="O291" s="251"/>
      <c r="P291" s="644" t="s">
        <v>2785</v>
      </c>
      <c r="Q291" s="251"/>
      <c r="R291" s="645">
        <v>13.2</v>
      </c>
    </row>
    <row r="292" spans="1:18">
      <c r="A292" s="272"/>
      <c r="B292" s="248"/>
      <c r="C292" s="249"/>
      <c r="D292" s="670" t="s">
        <v>2546</v>
      </c>
      <c r="E292" s="249"/>
      <c r="F292" s="666">
        <v>-3</v>
      </c>
      <c r="G292" s="249"/>
      <c r="H292" s="645">
        <v>4.63</v>
      </c>
      <c r="I292" s="251"/>
      <c r="J292" s="645">
        <v>4.4951456310679614</v>
      </c>
      <c r="K292" s="251"/>
      <c r="L292" s="645">
        <v>0.13485436893203881</v>
      </c>
      <c r="M292" s="251"/>
      <c r="N292" s="645">
        <v>0</v>
      </c>
      <c r="O292" s="251"/>
      <c r="P292" s="644" t="s">
        <v>2786</v>
      </c>
      <c r="Q292" s="251"/>
      <c r="R292" s="645">
        <v>18.2</v>
      </c>
    </row>
    <row r="293" spans="1:18">
      <c r="A293" s="272"/>
      <c r="B293" s="248"/>
      <c r="C293" s="249"/>
      <c r="D293" s="671" t="s">
        <v>2286</v>
      </c>
      <c r="E293" s="249"/>
      <c r="F293" s="666">
        <v>-10</v>
      </c>
      <c r="G293" s="249"/>
      <c r="H293" s="645">
        <v>2.8</v>
      </c>
      <c r="I293" s="251"/>
      <c r="J293" s="645">
        <v>2.5454545454545454</v>
      </c>
      <c r="K293" s="251"/>
      <c r="L293" s="645">
        <v>0.25454545454545452</v>
      </c>
      <c r="M293" s="251"/>
      <c r="N293" s="645">
        <v>0</v>
      </c>
      <c r="O293" s="251"/>
      <c r="P293" s="644" t="s">
        <v>2785</v>
      </c>
      <c r="Q293" s="251"/>
      <c r="R293" s="645">
        <v>33.1</v>
      </c>
    </row>
    <row r="294" spans="1:18">
      <c r="A294" s="272"/>
      <c r="B294" s="248"/>
      <c r="C294" s="249"/>
      <c r="D294" s="669" t="s">
        <v>1347</v>
      </c>
      <c r="E294" s="249"/>
      <c r="F294" s="666">
        <v>-12</v>
      </c>
      <c r="G294" s="249"/>
      <c r="H294" s="645">
        <v>1.2</v>
      </c>
      <c r="I294" s="251"/>
      <c r="J294" s="645">
        <v>1.0714285714285714</v>
      </c>
      <c r="K294" s="251"/>
      <c r="L294" s="645">
        <v>0.12857142857142853</v>
      </c>
      <c r="M294" s="251"/>
      <c r="N294" s="645">
        <v>0</v>
      </c>
      <c r="O294" s="251"/>
      <c r="P294" s="644" t="s">
        <v>2785</v>
      </c>
      <c r="Q294" s="251"/>
      <c r="R294" s="645">
        <v>4.8</v>
      </c>
    </row>
    <row r="295" spans="1:18">
      <c r="A295" s="272"/>
      <c r="B295" s="248"/>
      <c r="C295" s="249"/>
      <c r="D295" s="669" t="s">
        <v>2787</v>
      </c>
      <c r="E295" s="249"/>
      <c r="F295" s="666">
        <v>-10</v>
      </c>
      <c r="G295" s="249"/>
      <c r="H295" s="645">
        <v>4.37</v>
      </c>
      <c r="I295" s="251"/>
      <c r="J295" s="645">
        <v>3.9727272727272727</v>
      </c>
      <c r="K295" s="251"/>
      <c r="L295" s="645">
        <v>0.39727272727272728</v>
      </c>
      <c r="M295" s="251"/>
      <c r="N295" s="645">
        <v>0</v>
      </c>
      <c r="O295" s="251"/>
      <c r="P295" s="644" t="s">
        <v>2786</v>
      </c>
      <c r="Q295" s="251"/>
      <c r="R295" s="645">
        <v>24.8</v>
      </c>
    </row>
    <row r="296" spans="1:18">
      <c r="A296" s="272"/>
      <c r="B296" s="248"/>
      <c r="C296" s="249"/>
      <c r="D296" s="669" t="s">
        <v>1348</v>
      </c>
      <c r="E296" s="249"/>
      <c r="F296" s="666">
        <v>-6</v>
      </c>
      <c r="G296" s="249"/>
      <c r="H296" s="645">
        <v>2.7</v>
      </c>
      <c r="I296" s="251"/>
      <c r="J296" s="645">
        <v>2.5471698113207548</v>
      </c>
      <c r="K296" s="251"/>
      <c r="L296" s="645">
        <v>0.15283018867924528</v>
      </c>
      <c r="M296" s="251"/>
      <c r="N296" s="645">
        <v>0</v>
      </c>
      <c r="O296" s="251"/>
      <c r="P296" s="644" t="s">
        <v>2785</v>
      </c>
      <c r="Q296" s="251"/>
      <c r="R296" s="645">
        <v>19.7</v>
      </c>
    </row>
    <row r="297" spans="1:18">
      <c r="A297" s="272"/>
      <c r="B297" s="248"/>
      <c r="C297" s="249"/>
      <c r="D297" s="669" t="s">
        <v>2775</v>
      </c>
      <c r="E297" s="249"/>
      <c r="F297" s="666">
        <v>-1</v>
      </c>
      <c r="G297" s="249"/>
      <c r="H297" s="645">
        <v>4.54</v>
      </c>
      <c r="I297" s="251"/>
      <c r="J297" s="645">
        <v>4.4950495049504955</v>
      </c>
      <c r="K297" s="251"/>
      <c r="L297" s="645">
        <v>4.4950495049504949E-2</v>
      </c>
      <c r="M297" s="251"/>
      <c r="N297" s="645">
        <v>0</v>
      </c>
      <c r="O297" s="251"/>
      <c r="P297" s="644" t="s">
        <v>2786</v>
      </c>
      <c r="Q297" s="251"/>
      <c r="R297" s="645">
        <v>21.4</v>
      </c>
    </row>
    <row r="298" spans="1:18">
      <c r="A298" s="272"/>
      <c r="B298" s="248"/>
      <c r="C298" s="249"/>
      <c r="D298" s="669" t="s">
        <v>1339</v>
      </c>
      <c r="E298" s="249"/>
      <c r="F298" s="666">
        <v>-8</v>
      </c>
      <c r="G298" s="249"/>
      <c r="H298" s="645">
        <v>2.56</v>
      </c>
      <c r="I298" s="251"/>
      <c r="J298" s="645">
        <v>2.3703703703703702</v>
      </c>
      <c r="K298" s="251"/>
      <c r="L298" s="645">
        <v>0.18962962962962962</v>
      </c>
      <c r="M298" s="251"/>
      <c r="N298" s="645">
        <v>0</v>
      </c>
      <c r="O298" s="251"/>
      <c r="P298" s="644" t="s">
        <v>2785</v>
      </c>
      <c r="Q298" s="251"/>
      <c r="R298" s="645">
        <v>22.6</v>
      </c>
    </row>
    <row r="299" spans="1:18">
      <c r="A299" s="272"/>
      <c r="B299" s="248"/>
      <c r="C299" s="249"/>
      <c r="D299" s="669" t="s">
        <v>1334</v>
      </c>
      <c r="E299" s="249"/>
      <c r="F299" s="666">
        <v>-8</v>
      </c>
      <c r="G299" s="249"/>
      <c r="H299" s="645">
        <v>2.39</v>
      </c>
      <c r="I299" s="251"/>
      <c r="J299" s="645">
        <v>2.2129629629629632</v>
      </c>
      <c r="K299" s="251"/>
      <c r="L299" s="645">
        <v>0.17703703703703705</v>
      </c>
      <c r="M299" s="251"/>
      <c r="N299" s="645">
        <v>0</v>
      </c>
      <c r="O299" s="251"/>
      <c r="P299" s="644" t="s">
        <v>2785</v>
      </c>
      <c r="Q299" s="251"/>
      <c r="R299" s="645">
        <v>20.7</v>
      </c>
    </row>
    <row r="300" spans="1:18">
      <c r="A300" s="272"/>
      <c r="B300" s="248"/>
      <c r="C300" s="249"/>
      <c r="D300" s="669" t="s">
        <v>1335</v>
      </c>
      <c r="E300" s="249"/>
      <c r="F300" s="666">
        <v>-8</v>
      </c>
      <c r="G300" s="249"/>
      <c r="H300" s="645">
        <v>2.44</v>
      </c>
      <c r="I300" s="251"/>
      <c r="J300" s="645">
        <v>2.2592592592592591</v>
      </c>
      <c r="K300" s="251"/>
      <c r="L300" s="645">
        <v>0.18074074074074073</v>
      </c>
      <c r="M300" s="251"/>
      <c r="N300" s="645">
        <v>0</v>
      </c>
      <c r="O300" s="251"/>
      <c r="P300" s="644" t="s">
        <v>2785</v>
      </c>
      <c r="Q300" s="251"/>
      <c r="R300" s="645">
        <v>20.6</v>
      </c>
    </row>
    <row r="301" spans="1:18">
      <c r="A301" s="272"/>
      <c r="B301" s="248"/>
      <c r="C301" s="249"/>
      <c r="D301" s="669" t="s">
        <v>1336</v>
      </c>
      <c r="E301" s="249"/>
      <c r="F301" s="666">
        <v>-8</v>
      </c>
      <c r="G301" s="249"/>
      <c r="H301" s="645">
        <v>2.48</v>
      </c>
      <c r="I301" s="251"/>
      <c r="J301" s="645">
        <v>2.2962962962962963</v>
      </c>
      <c r="K301" s="251"/>
      <c r="L301" s="645">
        <v>0.1837037037037037</v>
      </c>
      <c r="M301" s="251"/>
      <c r="N301" s="645">
        <v>0</v>
      </c>
      <c r="O301" s="251"/>
      <c r="P301" s="644" t="s">
        <v>2785</v>
      </c>
      <c r="Q301" s="251"/>
      <c r="R301" s="645">
        <v>22.5</v>
      </c>
    </row>
    <row r="302" spans="1:18">
      <c r="A302" s="272"/>
      <c r="B302" s="248"/>
      <c r="C302" s="239"/>
      <c r="D302" s="669" t="s">
        <v>1337</v>
      </c>
      <c r="E302" s="239"/>
      <c r="F302" s="666">
        <v>-8</v>
      </c>
      <c r="G302" s="239"/>
      <c r="H302" s="645">
        <v>2.48</v>
      </c>
      <c r="I302" s="251"/>
      <c r="J302" s="645">
        <v>2.2962962962962963</v>
      </c>
      <c r="K302" s="251"/>
      <c r="L302" s="645">
        <v>0.1837037037037037</v>
      </c>
      <c r="M302" s="251"/>
      <c r="N302" s="645">
        <v>0</v>
      </c>
      <c r="O302" s="251"/>
      <c r="P302" s="644" t="s">
        <v>2785</v>
      </c>
      <c r="Q302" s="251"/>
      <c r="R302" s="645">
        <v>22.5</v>
      </c>
    </row>
    <row r="303" spans="1:18">
      <c r="A303" s="272"/>
      <c r="B303" s="248"/>
      <c r="C303" s="249"/>
      <c r="D303" s="669" t="s">
        <v>1338</v>
      </c>
      <c r="E303" s="249"/>
      <c r="F303" s="666">
        <v>-8</v>
      </c>
      <c r="G303" s="249"/>
      <c r="H303" s="645">
        <v>3.28</v>
      </c>
      <c r="I303" s="251"/>
      <c r="J303" s="645">
        <v>3.0370370370370368</v>
      </c>
      <c r="K303" s="251"/>
      <c r="L303" s="645">
        <v>0.24296296296296294</v>
      </c>
      <c r="M303" s="251"/>
      <c r="N303" s="645">
        <v>0</v>
      </c>
      <c r="O303" s="251"/>
      <c r="P303" s="644" t="s">
        <v>2785</v>
      </c>
      <c r="Q303" s="251"/>
      <c r="R303" s="645">
        <v>22.8</v>
      </c>
    </row>
    <row r="304" spans="1:18">
      <c r="A304" s="272"/>
      <c r="B304" s="248"/>
      <c r="C304" s="249"/>
      <c r="D304" s="249"/>
      <c r="E304" s="249"/>
      <c r="F304" s="250"/>
      <c r="G304" s="249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</row>
    <row r="305" spans="1:18">
      <c r="A305" s="272">
        <v>344</v>
      </c>
      <c r="B305" s="248"/>
      <c r="C305" s="249"/>
      <c r="D305" s="254" t="s">
        <v>1358</v>
      </c>
      <c r="E305" s="249"/>
      <c r="F305" s="277" t="s">
        <v>2782</v>
      </c>
      <c r="G305" s="249"/>
      <c r="H305" s="251">
        <v>2.8</v>
      </c>
      <c r="I305" s="251"/>
      <c r="J305" s="251"/>
      <c r="K305" s="251"/>
      <c r="L305" s="251"/>
      <c r="M305" s="251"/>
      <c r="N305" s="251"/>
      <c r="O305" s="251"/>
      <c r="P305" s="251" t="s">
        <v>2788</v>
      </c>
      <c r="Q305" s="251"/>
      <c r="R305" s="251">
        <v>25.1</v>
      </c>
    </row>
    <row r="306" spans="1:18">
      <c r="A306" s="272"/>
      <c r="B306" s="248"/>
      <c r="C306" s="249"/>
      <c r="D306" s="249"/>
      <c r="E306" s="249"/>
      <c r="F306" s="250"/>
      <c r="G306" s="249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</row>
    <row r="307" spans="1:18">
      <c r="A307" s="272"/>
      <c r="B307" s="248">
        <v>345</v>
      </c>
      <c r="C307" s="249"/>
      <c r="D307" s="249" t="s">
        <v>1359</v>
      </c>
      <c r="E307" s="249"/>
      <c r="F307" s="250"/>
      <c r="G307" s="249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</row>
    <row r="308" spans="1:18">
      <c r="A308" s="272"/>
      <c r="B308" s="248"/>
      <c r="C308" s="249"/>
      <c r="D308" s="669" t="s">
        <v>1345</v>
      </c>
      <c r="E308" s="249"/>
      <c r="F308" s="666">
        <v>-6</v>
      </c>
      <c r="G308" s="249"/>
      <c r="H308" s="645">
        <v>2.72</v>
      </c>
      <c r="I308" s="251"/>
      <c r="J308" s="645">
        <v>2.5660377358490569</v>
      </c>
      <c r="K308" s="251"/>
      <c r="L308" s="645">
        <v>0.15396226415094338</v>
      </c>
      <c r="M308" s="251"/>
      <c r="N308" s="251">
        <v>0</v>
      </c>
      <c r="O308" s="251"/>
      <c r="P308" s="644" t="s">
        <v>2789</v>
      </c>
      <c r="Q308" s="251"/>
      <c r="R308" s="645">
        <v>14.4</v>
      </c>
    </row>
    <row r="309" spans="1:18">
      <c r="A309" s="272"/>
      <c r="B309" s="248"/>
      <c r="C309" s="249"/>
      <c r="D309" s="669" t="s">
        <v>1346</v>
      </c>
      <c r="E309" s="249"/>
      <c r="F309" s="666">
        <v>-6</v>
      </c>
      <c r="G309" s="249"/>
      <c r="H309" s="645">
        <v>1.84</v>
      </c>
      <c r="I309" s="251"/>
      <c r="J309" s="645">
        <v>1.7358490566037736</v>
      </c>
      <c r="K309" s="251"/>
      <c r="L309" s="645">
        <v>0.10415094339622641</v>
      </c>
      <c r="M309" s="251"/>
      <c r="N309" s="251">
        <v>0</v>
      </c>
      <c r="O309" s="251"/>
      <c r="P309" s="644" t="s">
        <v>2789</v>
      </c>
      <c r="Q309" s="251"/>
      <c r="R309" s="645">
        <v>15.5</v>
      </c>
    </row>
    <row r="310" spans="1:18">
      <c r="A310" s="272"/>
      <c r="B310" s="248"/>
      <c r="C310" s="249"/>
      <c r="D310" s="669" t="s">
        <v>1340</v>
      </c>
      <c r="E310" s="249"/>
      <c r="F310" s="666">
        <v>-6</v>
      </c>
      <c r="G310" s="249"/>
      <c r="H310" s="645">
        <v>2.2200000000000002</v>
      </c>
      <c r="I310" s="251"/>
      <c r="J310" s="645">
        <v>2.0943396226415096</v>
      </c>
      <c r="K310" s="251"/>
      <c r="L310" s="645">
        <v>0.12566037735849056</v>
      </c>
      <c r="M310" s="251"/>
      <c r="N310" s="251">
        <v>0</v>
      </c>
      <c r="O310" s="251"/>
      <c r="P310" s="644" t="s">
        <v>2789</v>
      </c>
      <c r="Q310" s="251"/>
      <c r="R310" s="645">
        <v>19.899999999999999</v>
      </c>
    </row>
    <row r="311" spans="1:18">
      <c r="A311" s="272"/>
      <c r="B311" s="248"/>
      <c r="C311" s="249"/>
      <c r="D311" s="669" t="s">
        <v>1341</v>
      </c>
      <c r="E311" s="249"/>
      <c r="F311" s="666">
        <v>-6</v>
      </c>
      <c r="G311" s="249"/>
      <c r="H311" s="645">
        <v>2.39</v>
      </c>
      <c r="I311" s="251"/>
      <c r="J311" s="645">
        <v>2.2547169811320757</v>
      </c>
      <c r="K311" s="251"/>
      <c r="L311" s="645">
        <v>0.13528301886792451</v>
      </c>
      <c r="M311" s="251"/>
      <c r="N311" s="251">
        <v>0</v>
      </c>
      <c r="O311" s="251"/>
      <c r="P311" s="644" t="s">
        <v>2789</v>
      </c>
      <c r="Q311" s="251"/>
      <c r="R311" s="645">
        <v>18.2</v>
      </c>
    </row>
    <row r="312" spans="1:18">
      <c r="A312" s="272"/>
      <c r="B312" s="248"/>
      <c r="C312" s="249"/>
      <c r="D312" s="669" t="s">
        <v>1342</v>
      </c>
      <c r="E312" s="249"/>
      <c r="F312" s="666">
        <v>-6</v>
      </c>
      <c r="G312" s="249"/>
      <c r="H312" s="645">
        <v>2.5099999999999998</v>
      </c>
      <c r="I312" s="251"/>
      <c r="J312" s="645">
        <v>2.3679245283018866</v>
      </c>
      <c r="K312" s="251"/>
      <c r="L312" s="645">
        <v>0.14207547169811319</v>
      </c>
      <c r="M312" s="251"/>
      <c r="N312" s="251">
        <v>0</v>
      </c>
      <c r="O312" s="251"/>
      <c r="P312" s="644" t="s">
        <v>2789</v>
      </c>
      <c r="Q312" s="251"/>
      <c r="R312" s="645">
        <v>18.2</v>
      </c>
    </row>
    <row r="313" spans="1:18">
      <c r="A313" s="272"/>
      <c r="B313" s="248"/>
      <c r="C313" s="249"/>
      <c r="D313" s="669" t="s">
        <v>1343</v>
      </c>
      <c r="E313" s="249"/>
      <c r="F313" s="666">
        <v>-6</v>
      </c>
      <c r="G313" s="249"/>
      <c r="H313" s="645">
        <v>2.08</v>
      </c>
      <c r="I313" s="251"/>
      <c r="J313" s="645">
        <v>1.9622641509433962</v>
      </c>
      <c r="K313" s="251"/>
      <c r="L313" s="645">
        <v>0.11773584905660377</v>
      </c>
      <c r="M313" s="251"/>
      <c r="N313" s="251">
        <v>0</v>
      </c>
      <c r="O313" s="251"/>
      <c r="P313" s="644" t="s">
        <v>2789</v>
      </c>
      <c r="Q313" s="251"/>
      <c r="R313" s="645">
        <v>14.5</v>
      </c>
    </row>
    <row r="314" spans="1:18">
      <c r="A314" s="272"/>
      <c r="B314" s="248"/>
      <c r="C314" s="249"/>
      <c r="D314" s="669" t="s">
        <v>1344</v>
      </c>
      <c r="E314" s="249"/>
      <c r="F314" s="666">
        <v>-6</v>
      </c>
      <c r="G314" s="249"/>
      <c r="H314" s="645">
        <v>2.8</v>
      </c>
      <c r="I314" s="251"/>
      <c r="J314" s="645">
        <v>2.641509433962264</v>
      </c>
      <c r="K314" s="251"/>
      <c r="L314" s="645">
        <v>0.15849056603773581</v>
      </c>
      <c r="M314" s="251"/>
      <c r="N314" s="251">
        <v>0</v>
      </c>
      <c r="O314" s="251"/>
      <c r="P314" s="644" t="s">
        <v>2789</v>
      </c>
      <c r="Q314" s="251"/>
      <c r="R314" s="645">
        <v>13.5</v>
      </c>
    </row>
    <row r="315" spans="1:18">
      <c r="A315" s="272"/>
      <c r="B315" s="248"/>
      <c r="C315" s="249"/>
      <c r="D315" s="670" t="s">
        <v>2546</v>
      </c>
      <c r="E315" s="249"/>
      <c r="F315" s="666">
        <v>-3</v>
      </c>
      <c r="G315" s="249"/>
      <c r="H315" s="645">
        <v>4.04</v>
      </c>
      <c r="I315" s="251"/>
      <c r="J315" s="645">
        <v>3.9223300970873787</v>
      </c>
      <c r="K315" s="251"/>
      <c r="L315" s="645">
        <v>0.11766990291262135</v>
      </c>
      <c r="M315" s="251"/>
      <c r="N315" s="251">
        <v>0</v>
      </c>
      <c r="O315" s="251"/>
      <c r="P315" s="644" t="s">
        <v>1351</v>
      </c>
      <c r="Q315" s="251"/>
      <c r="R315" s="645">
        <v>20.2</v>
      </c>
    </row>
    <row r="316" spans="1:18">
      <c r="A316" s="272"/>
      <c r="B316" s="248"/>
      <c r="C316" s="249"/>
      <c r="D316" s="671" t="s">
        <v>2286</v>
      </c>
      <c r="E316" s="249"/>
      <c r="F316" s="666">
        <v>-10</v>
      </c>
      <c r="G316" s="249"/>
      <c r="H316" s="645">
        <v>2.87</v>
      </c>
      <c r="I316" s="251"/>
      <c r="J316" s="645">
        <v>2.6090909090909093</v>
      </c>
      <c r="K316" s="251"/>
      <c r="L316" s="645">
        <v>0.26090909090909092</v>
      </c>
      <c r="M316" s="251"/>
      <c r="N316" s="251">
        <v>0</v>
      </c>
      <c r="O316" s="251"/>
      <c r="P316" s="644" t="s">
        <v>2789</v>
      </c>
      <c r="Q316" s="251"/>
      <c r="R316" s="645">
        <v>33.4</v>
      </c>
    </row>
    <row r="317" spans="1:18">
      <c r="A317" s="272"/>
      <c r="B317" s="248"/>
      <c r="C317" s="249"/>
      <c r="D317" s="669" t="s">
        <v>1347</v>
      </c>
      <c r="E317" s="249"/>
      <c r="F317" s="666">
        <v>-12</v>
      </c>
      <c r="G317" s="249"/>
      <c r="H317" s="645">
        <v>4.2300000000000004</v>
      </c>
      <c r="I317" s="251"/>
      <c r="J317" s="645">
        <v>3.7767857142857149</v>
      </c>
      <c r="K317" s="251"/>
      <c r="L317" s="645">
        <v>0.45321428571428568</v>
      </c>
      <c r="M317" s="251"/>
      <c r="N317" s="251">
        <v>0</v>
      </c>
      <c r="O317" s="251"/>
      <c r="P317" s="644" t="s">
        <v>2789</v>
      </c>
      <c r="Q317" s="251"/>
      <c r="R317" s="645">
        <v>5</v>
      </c>
    </row>
    <row r="318" spans="1:18">
      <c r="A318" s="272"/>
      <c r="B318" s="248"/>
      <c r="C318" s="249"/>
      <c r="D318" s="669" t="s">
        <v>2787</v>
      </c>
      <c r="E318" s="249"/>
      <c r="F318" s="666">
        <v>-5</v>
      </c>
      <c r="G318" s="249"/>
      <c r="H318" s="645">
        <v>2.3199999999999998</v>
      </c>
      <c r="I318" s="251"/>
      <c r="J318" s="645">
        <v>2.2095238095238092</v>
      </c>
      <c r="K318" s="251"/>
      <c r="L318" s="645">
        <v>0.11047619047619046</v>
      </c>
      <c r="M318" s="251"/>
      <c r="N318" s="251">
        <v>0</v>
      </c>
      <c r="O318" s="251"/>
      <c r="P318" s="644" t="s">
        <v>1351</v>
      </c>
      <c r="Q318" s="251"/>
      <c r="R318" s="645">
        <v>44.8</v>
      </c>
    </row>
    <row r="319" spans="1:18">
      <c r="A319" s="272"/>
      <c r="B319" s="248"/>
      <c r="C319" s="249"/>
      <c r="D319" s="669" t="s">
        <v>1348</v>
      </c>
      <c r="E319" s="249"/>
      <c r="F319" s="666">
        <v>-6</v>
      </c>
      <c r="G319" s="249"/>
      <c r="H319" s="645">
        <v>2.16</v>
      </c>
      <c r="I319" s="251"/>
      <c r="J319" s="645">
        <v>2.0377358490566038</v>
      </c>
      <c r="K319" s="251"/>
      <c r="L319" s="645">
        <v>0.12226415094339622</v>
      </c>
      <c r="M319" s="251"/>
      <c r="N319" s="251">
        <v>0</v>
      </c>
      <c r="O319" s="251"/>
      <c r="P319" s="644" t="s">
        <v>2789</v>
      </c>
      <c r="Q319" s="251"/>
      <c r="R319" s="645">
        <v>19.899999999999999</v>
      </c>
    </row>
    <row r="320" spans="1:18">
      <c r="A320" s="272"/>
      <c r="B320" s="248"/>
      <c r="C320" s="249"/>
      <c r="D320" s="669" t="s">
        <v>2775</v>
      </c>
      <c r="E320" s="249"/>
      <c r="F320" s="666">
        <v>-1</v>
      </c>
      <c r="G320" s="249"/>
      <c r="H320" s="645">
        <v>4.3600000000000003</v>
      </c>
      <c r="I320" s="251"/>
      <c r="J320" s="645">
        <v>4.3168316831683171</v>
      </c>
      <c r="K320" s="251"/>
      <c r="L320" s="645">
        <v>4.3168316831683172E-2</v>
      </c>
      <c r="M320" s="251"/>
      <c r="N320" s="251">
        <v>0</v>
      </c>
      <c r="O320" s="251"/>
      <c r="P320" s="644" t="s">
        <v>1351</v>
      </c>
      <c r="Q320" s="251"/>
      <c r="R320" s="645">
        <v>23.1</v>
      </c>
    </row>
    <row r="321" spans="1:18">
      <c r="A321" s="272"/>
      <c r="B321" s="248"/>
      <c r="C321" s="249"/>
      <c r="D321" s="669" t="s">
        <v>1339</v>
      </c>
      <c r="E321" s="249"/>
      <c r="F321" s="666">
        <v>-8</v>
      </c>
      <c r="G321" s="249"/>
      <c r="H321" s="645">
        <v>2.98</v>
      </c>
      <c r="I321" s="251"/>
      <c r="J321" s="645">
        <v>2.7592592592592591</v>
      </c>
      <c r="K321" s="251"/>
      <c r="L321" s="645">
        <v>0.22074074074074074</v>
      </c>
      <c r="M321" s="251"/>
      <c r="N321" s="251">
        <v>0</v>
      </c>
      <c r="O321" s="251"/>
      <c r="P321" s="644" t="s">
        <v>2789</v>
      </c>
      <c r="Q321" s="251"/>
      <c r="R321" s="645">
        <v>23.1</v>
      </c>
    </row>
    <row r="322" spans="1:18">
      <c r="A322" s="272"/>
      <c r="B322" s="248"/>
      <c r="C322" s="249"/>
      <c r="D322" s="669" t="s">
        <v>1334</v>
      </c>
      <c r="E322" s="249"/>
      <c r="F322" s="666">
        <v>-8</v>
      </c>
      <c r="G322" s="249"/>
      <c r="H322" s="645">
        <v>2.52</v>
      </c>
      <c r="I322" s="251"/>
      <c r="J322" s="645">
        <v>2.3333333333333335</v>
      </c>
      <c r="K322" s="251"/>
      <c r="L322" s="645">
        <v>0.18666666666666665</v>
      </c>
      <c r="M322" s="251"/>
      <c r="N322" s="251">
        <v>0</v>
      </c>
      <c r="O322" s="251"/>
      <c r="P322" s="644" t="s">
        <v>2789</v>
      </c>
      <c r="Q322" s="251"/>
      <c r="R322" s="645">
        <v>21</v>
      </c>
    </row>
    <row r="323" spans="1:18">
      <c r="A323" s="272"/>
      <c r="B323" s="248"/>
      <c r="C323" s="249"/>
      <c r="D323" s="669" t="s">
        <v>1335</v>
      </c>
      <c r="E323" s="249"/>
      <c r="F323" s="666">
        <v>-8</v>
      </c>
      <c r="G323" s="249"/>
      <c r="H323" s="645">
        <v>2.5499999999999998</v>
      </c>
      <c r="I323" s="251"/>
      <c r="J323" s="645">
        <v>2.3611111111111112</v>
      </c>
      <c r="K323" s="251"/>
      <c r="L323" s="645">
        <v>0.18888888888888886</v>
      </c>
      <c r="M323" s="251"/>
      <c r="N323" s="251">
        <v>0</v>
      </c>
      <c r="O323" s="251"/>
      <c r="P323" s="644" t="s">
        <v>2789</v>
      </c>
      <c r="Q323" s="251"/>
      <c r="R323" s="645">
        <v>20.9</v>
      </c>
    </row>
    <row r="324" spans="1:18">
      <c r="A324" s="272"/>
      <c r="B324" s="248"/>
      <c r="C324" s="249"/>
      <c r="D324" s="669" t="s">
        <v>1336</v>
      </c>
      <c r="E324" s="249"/>
      <c r="F324" s="666">
        <v>-8</v>
      </c>
      <c r="G324" s="249"/>
      <c r="H324" s="645">
        <v>2.5</v>
      </c>
      <c r="I324" s="251"/>
      <c r="J324" s="645">
        <v>2.3148148148148149</v>
      </c>
      <c r="K324" s="251"/>
      <c r="L324" s="645">
        <v>0.18518518518518517</v>
      </c>
      <c r="M324" s="251"/>
      <c r="N324" s="251">
        <v>0</v>
      </c>
      <c r="O324" s="251"/>
      <c r="P324" s="644" t="s">
        <v>2789</v>
      </c>
      <c r="Q324" s="251"/>
      <c r="R324" s="645">
        <v>22.9</v>
      </c>
    </row>
    <row r="325" spans="1:18">
      <c r="A325" s="272"/>
      <c r="B325" s="248"/>
      <c r="C325" s="249"/>
      <c r="D325" s="669" t="s">
        <v>1337</v>
      </c>
      <c r="E325" s="249"/>
      <c r="F325" s="666">
        <v>-8</v>
      </c>
      <c r="G325" s="249"/>
      <c r="H325" s="645">
        <v>2.39</v>
      </c>
      <c r="I325" s="251"/>
      <c r="J325" s="645">
        <v>2.2129629629629632</v>
      </c>
      <c r="K325" s="251"/>
      <c r="L325" s="645">
        <v>0.17703703703703705</v>
      </c>
      <c r="M325" s="251"/>
      <c r="N325" s="251">
        <v>0</v>
      </c>
      <c r="O325" s="251"/>
      <c r="P325" s="644" t="s">
        <v>2789</v>
      </c>
      <c r="Q325" s="251"/>
      <c r="R325" s="645">
        <v>22.8</v>
      </c>
    </row>
    <row r="326" spans="1:18">
      <c r="A326" s="272"/>
      <c r="B326" s="248"/>
      <c r="C326" s="249"/>
      <c r="D326" s="669" t="s">
        <v>1338</v>
      </c>
      <c r="E326" s="249"/>
      <c r="F326" s="666">
        <v>-8</v>
      </c>
      <c r="G326" s="249"/>
      <c r="H326" s="645">
        <v>2.29</v>
      </c>
      <c r="I326" s="251"/>
      <c r="J326" s="645">
        <v>2.1203703703703702</v>
      </c>
      <c r="K326" s="251"/>
      <c r="L326" s="645">
        <v>0.16962962962962963</v>
      </c>
      <c r="M326" s="251"/>
      <c r="N326" s="251">
        <v>0</v>
      </c>
      <c r="O326" s="251"/>
      <c r="P326" s="644" t="s">
        <v>2789</v>
      </c>
      <c r="Q326" s="251"/>
      <c r="R326" s="645">
        <v>22.7</v>
      </c>
    </row>
    <row r="327" spans="1:18">
      <c r="A327" s="272"/>
      <c r="B327" s="248"/>
      <c r="C327" s="249"/>
      <c r="D327" s="249"/>
      <c r="E327" s="249"/>
      <c r="F327" s="250"/>
      <c r="G327" s="249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</row>
    <row r="328" spans="1:18">
      <c r="A328" s="272">
        <v>345</v>
      </c>
      <c r="B328" s="248"/>
      <c r="C328" s="249"/>
      <c r="D328" s="254" t="s">
        <v>1360</v>
      </c>
      <c r="E328" s="249"/>
      <c r="F328" s="277" t="s">
        <v>2791</v>
      </c>
      <c r="G328" s="249"/>
      <c r="H328" s="251">
        <v>2.68</v>
      </c>
      <c r="I328" s="251"/>
      <c r="J328" s="251"/>
      <c r="K328" s="251"/>
      <c r="L328" s="251"/>
      <c r="M328" s="251"/>
      <c r="N328" s="251"/>
      <c r="O328" s="251"/>
      <c r="P328" s="251" t="s">
        <v>2790</v>
      </c>
      <c r="Q328" s="251"/>
      <c r="R328" s="251">
        <v>24.3</v>
      </c>
    </row>
    <row r="329" spans="1:18">
      <c r="A329" s="272"/>
      <c r="B329" s="248"/>
      <c r="C329" s="249"/>
      <c r="D329" s="249"/>
      <c r="E329" s="249"/>
      <c r="F329" s="250"/>
      <c r="G329" s="249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</row>
    <row r="330" spans="1:18">
      <c r="A330" s="272"/>
      <c r="B330" s="248">
        <v>346</v>
      </c>
      <c r="C330" s="249"/>
      <c r="D330" s="249" t="s">
        <v>1361</v>
      </c>
      <c r="E330" s="249"/>
      <c r="F330" s="250"/>
      <c r="G330" s="249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</row>
    <row r="331" spans="1:18">
      <c r="A331" s="272"/>
      <c r="B331" s="248"/>
      <c r="C331" s="249"/>
      <c r="D331" s="669" t="s">
        <v>1345</v>
      </c>
      <c r="E331" s="249"/>
      <c r="F331" s="666">
        <v>-6</v>
      </c>
      <c r="G331" s="249"/>
      <c r="H331" s="645">
        <v>2.57</v>
      </c>
      <c r="I331" s="251"/>
      <c r="J331" s="645">
        <v>2.4245283018867925</v>
      </c>
      <c r="K331" s="251"/>
      <c r="L331" s="645">
        <v>0.14547169811320754</v>
      </c>
      <c r="M331" s="251"/>
      <c r="N331" s="251">
        <v>0</v>
      </c>
      <c r="O331" s="251"/>
      <c r="P331" s="644" t="s">
        <v>1351</v>
      </c>
      <c r="Q331" s="251"/>
      <c r="R331" s="645">
        <v>13.5</v>
      </c>
    </row>
    <row r="332" spans="1:18">
      <c r="A332" s="272"/>
      <c r="B332" s="248"/>
      <c r="C332" s="249"/>
      <c r="D332" s="669" t="s">
        <v>1346</v>
      </c>
      <c r="E332" s="249"/>
      <c r="F332" s="666">
        <v>-6</v>
      </c>
      <c r="G332" s="249"/>
      <c r="H332" s="645">
        <v>2.34</v>
      </c>
      <c r="I332" s="251"/>
      <c r="J332" s="645">
        <v>2.2075471698113205</v>
      </c>
      <c r="K332" s="251"/>
      <c r="L332" s="645">
        <v>0.13245283018867923</v>
      </c>
      <c r="M332" s="251"/>
      <c r="N332" s="251">
        <v>0</v>
      </c>
      <c r="O332" s="251"/>
      <c r="P332" s="644" t="s">
        <v>1351</v>
      </c>
      <c r="Q332" s="251"/>
      <c r="R332" s="645">
        <v>14.9</v>
      </c>
    </row>
    <row r="333" spans="1:18">
      <c r="A333" s="272"/>
      <c r="B333" s="248"/>
      <c r="C333" s="249"/>
      <c r="D333" s="669" t="s">
        <v>1340</v>
      </c>
      <c r="E333" s="249"/>
      <c r="F333" s="666">
        <v>-6</v>
      </c>
      <c r="G333" s="249"/>
      <c r="H333" s="645">
        <v>2.09</v>
      </c>
      <c r="I333" s="251"/>
      <c r="J333" s="645">
        <v>1.9716981132075471</v>
      </c>
      <c r="K333" s="251"/>
      <c r="L333" s="645">
        <v>0.11830188679245281</v>
      </c>
      <c r="M333" s="251"/>
      <c r="N333" s="251">
        <v>0</v>
      </c>
      <c r="O333" s="251"/>
      <c r="P333" s="644" t="s">
        <v>1351</v>
      </c>
      <c r="Q333" s="251"/>
      <c r="R333" s="645">
        <v>18.600000000000001</v>
      </c>
    </row>
    <row r="334" spans="1:18">
      <c r="A334" s="272"/>
      <c r="B334" s="248"/>
      <c r="C334" s="249"/>
      <c r="D334" s="669" t="s">
        <v>1341</v>
      </c>
      <c r="E334" s="249"/>
      <c r="F334" s="666">
        <v>-6</v>
      </c>
      <c r="G334" s="249"/>
      <c r="H334" s="645">
        <v>3.38</v>
      </c>
      <c r="I334" s="251"/>
      <c r="J334" s="645">
        <v>3.1886792452830188</v>
      </c>
      <c r="K334" s="251"/>
      <c r="L334" s="645">
        <v>0.1913207547169811</v>
      </c>
      <c r="M334" s="251"/>
      <c r="N334" s="251">
        <v>0</v>
      </c>
      <c r="O334" s="251"/>
      <c r="P334" s="644" t="s">
        <v>1351</v>
      </c>
      <c r="Q334" s="251"/>
      <c r="R334" s="645">
        <v>18.100000000000001</v>
      </c>
    </row>
    <row r="335" spans="1:18">
      <c r="A335" s="272"/>
      <c r="B335" s="248"/>
      <c r="C335" s="249"/>
      <c r="D335" s="669" t="s">
        <v>1342</v>
      </c>
      <c r="E335" s="249"/>
      <c r="F335" s="666">
        <v>-6</v>
      </c>
      <c r="G335" s="249"/>
      <c r="H335" s="645">
        <v>3.04</v>
      </c>
      <c r="I335" s="251"/>
      <c r="J335" s="645">
        <v>2.867924528301887</v>
      </c>
      <c r="K335" s="251"/>
      <c r="L335" s="645">
        <v>0.17207547169811319</v>
      </c>
      <c r="M335" s="251"/>
      <c r="N335" s="251">
        <v>0</v>
      </c>
      <c r="O335" s="251"/>
      <c r="P335" s="644" t="s">
        <v>1351</v>
      </c>
      <c r="Q335" s="251"/>
      <c r="R335" s="645">
        <v>18.100000000000001</v>
      </c>
    </row>
    <row r="336" spans="1:18">
      <c r="A336" s="272"/>
      <c r="B336" s="248"/>
      <c r="C336" s="249"/>
      <c r="D336" s="669" t="s">
        <v>1343</v>
      </c>
      <c r="E336" s="249"/>
      <c r="F336" s="666">
        <v>-6</v>
      </c>
      <c r="G336" s="249"/>
      <c r="H336" s="645">
        <v>2.19</v>
      </c>
      <c r="I336" s="251"/>
      <c r="J336" s="645">
        <v>2.0660377358490565</v>
      </c>
      <c r="K336" s="251"/>
      <c r="L336" s="645">
        <v>0.12396226415094339</v>
      </c>
      <c r="M336" s="251"/>
      <c r="N336" s="251">
        <v>0</v>
      </c>
      <c r="O336" s="251"/>
      <c r="P336" s="644" t="s">
        <v>1351</v>
      </c>
      <c r="Q336" s="251"/>
      <c r="R336" s="645">
        <v>14.1</v>
      </c>
    </row>
    <row r="337" spans="1:18">
      <c r="A337" s="272"/>
      <c r="B337" s="248"/>
      <c r="C337" s="249"/>
      <c r="D337" s="669" t="s">
        <v>1344</v>
      </c>
      <c r="E337" s="249"/>
      <c r="F337" s="666">
        <v>-6</v>
      </c>
      <c r="G337" s="249"/>
      <c r="H337" s="645">
        <v>2.85</v>
      </c>
      <c r="I337" s="251"/>
      <c r="J337" s="645">
        <v>2.6886792452830188</v>
      </c>
      <c r="K337" s="251"/>
      <c r="L337" s="645">
        <v>0.16132075471698112</v>
      </c>
      <c r="M337" s="251"/>
      <c r="N337" s="251">
        <v>0</v>
      </c>
      <c r="O337" s="251"/>
      <c r="P337" s="644" t="s">
        <v>1351</v>
      </c>
      <c r="Q337" s="251"/>
      <c r="R337" s="645">
        <v>13</v>
      </c>
    </row>
    <row r="338" spans="1:18">
      <c r="A338" s="272"/>
      <c r="B338" s="248"/>
      <c r="C338" s="249"/>
      <c r="D338" s="670" t="s">
        <v>2546</v>
      </c>
      <c r="E338" s="249"/>
      <c r="F338" s="666">
        <v>-3</v>
      </c>
      <c r="G338" s="249"/>
      <c r="H338" s="645">
        <v>4.38</v>
      </c>
      <c r="I338" s="251"/>
      <c r="J338" s="645">
        <v>4.2524271844660193</v>
      </c>
      <c r="K338" s="251"/>
      <c r="L338" s="645">
        <v>0.12757281553398056</v>
      </c>
      <c r="M338" s="251"/>
      <c r="N338" s="251">
        <v>0</v>
      </c>
      <c r="O338" s="251"/>
      <c r="P338" s="644" t="s">
        <v>2792</v>
      </c>
      <c r="Q338" s="251"/>
      <c r="R338" s="645">
        <v>20</v>
      </c>
    </row>
    <row r="339" spans="1:18">
      <c r="A339" s="272"/>
      <c r="B339" s="248"/>
      <c r="C339" s="249"/>
      <c r="D339" s="671" t="s">
        <v>2286</v>
      </c>
      <c r="E339" s="249"/>
      <c r="F339" s="666">
        <v>-10</v>
      </c>
      <c r="G339" s="249"/>
      <c r="H339" s="645">
        <v>3.12</v>
      </c>
      <c r="I339" s="251"/>
      <c r="J339" s="645">
        <v>2.8363636363636364</v>
      </c>
      <c r="K339" s="251"/>
      <c r="L339" s="645">
        <v>0.28363636363636363</v>
      </c>
      <c r="M339" s="251"/>
      <c r="N339" s="251">
        <v>0</v>
      </c>
      <c r="O339" s="251"/>
      <c r="P339" s="644" t="s">
        <v>1351</v>
      </c>
      <c r="Q339" s="251"/>
      <c r="R339" s="645">
        <v>31.4</v>
      </c>
    </row>
    <row r="340" spans="1:18">
      <c r="A340" s="274"/>
      <c r="B340" s="255"/>
      <c r="C340" s="249"/>
      <c r="D340" s="669" t="s">
        <v>1347</v>
      </c>
      <c r="E340" s="249"/>
      <c r="F340" s="666">
        <v>-12</v>
      </c>
      <c r="G340" s="249"/>
      <c r="H340" s="645">
        <v>5.26</v>
      </c>
      <c r="I340" s="251"/>
      <c r="J340" s="645">
        <v>4.6964285714285712</v>
      </c>
      <c r="K340" s="251"/>
      <c r="L340" s="645">
        <v>0.56357142857142839</v>
      </c>
      <c r="M340" s="251"/>
      <c r="N340" s="251">
        <v>0</v>
      </c>
      <c r="O340" s="251"/>
      <c r="P340" s="644" t="s">
        <v>1351</v>
      </c>
      <c r="Q340" s="251"/>
      <c r="R340" s="645">
        <v>5</v>
      </c>
    </row>
    <row r="341" spans="1:18">
      <c r="A341" s="272"/>
      <c r="B341" s="248"/>
      <c r="C341" s="249"/>
      <c r="D341" s="669" t="s">
        <v>1348</v>
      </c>
      <c r="E341" s="249"/>
      <c r="F341" s="666">
        <v>-6</v>
      </c>
      <c r="G341" s="249"/>
      <c r="H341" s="645">
        <v>2.1</v>
      </c>
      <c r="I341" s="251"/>
      <c r="J341" s="645">
        <v>1.9811320754716981</v>
      </c>
      <c r="K341" s="251"/>
      <c r="L341" s="645">
        <v>0.11886792452830187</v>
      </c>
      <c r="M341" s="251"/>
      <c r="N341" s="251">
        <v>0</v>
      </c>
      <c r="O341" s="251"/>
      <c r="P341" s="644" t="s">
        <v>1351</v>
      </c>
      <c r="Q341" s="251"/>
      <c r="R341" s="645">
        <v>18.600000000000001</v>
      </c>
    </row>
    <row r="342" spans="1:18">
      <c r="A342" s="272"/>
      <c r="B342" s="248"/>
      <c r="C342" s="249"/>
      <c r="D342" s="669" t="s">
        <v>2775</v>
      </c>
      <c r="E342" s="249"/>
      <c r="F342" s="666">
        <v>-1</v>
      </c>
      <c r="G342" s="249"/>
      <c r="H342" s="645">
        <v>4.4000000000000004</v>
      </c>
      <c r="I342" s="251"/>
      <c r="J342" s="645">
        <v>4.3564356435643568</v>
      </c>
      <c r="K342" s="251"/>
      <c r="L342" s="645">
        <v>4.3564356435643568E-2</v>
      </c>
      <c r="M342" s="251"/>
      <c r="N342" s="251">
        <v>0</v>
      </c>
      <c r="O342" s="251"/>
      <c r="P342" s="644" t="s">
        <v>2792</v>
      </c>
      <c r="Q342" s="251"/>
      <c r="R342" s="645">
        <v>22.9</v>
      </c>
    </row>
    <row r="343" spans="1:18">
      <c r="A343" s="272"/>
      <c r="B343" s="248"/>
      <c r="C343" s="249"/>
      <c r="D343" s="669" t="s">
        <v>1339</v>
      </c>
      <c r="E343" s="249"/>
      <c r="F343" s="666">
        <v>-8</v>
      </c>
      <c r="G343" s="249"/>
      <c r="H343" s="645">
        <v>2.74</v>
      </c>
      <c r="I343" s="251"/>
      <c r="J343" s="645">
        <v>2.5370370370370372</v>
      </c>
      <c r="K343" s="251"/>
      <c r="L343" s="645">
        <v>0.20296296296296296</v>
      </c>
      <c r="M343" s="251"/>
      <c r="N343" s="251">
        <v>0</v>
      </c>
      <c r="O343" s="251"/>
      <c r="P343" s="644" t="s">
        <v>1351</v>
      </c>
      <c r="Q343" s="251"/>
      <c r="R343" s="645">
        <v>22.1</v>
      </c>
    </row>
    <row r="344" spans="1:18">
      <c r="A344" s="272"/>
      <c r="B344" s="248"/>
      <c r="C344" s="249"/>
      <c r="D344" s="669" t="s">
        <v>1334</v>
      </c>
      <c r="E344" s="249"/>
      <c r="F344" s="666">
        <v>-8</v>
      </c>
      <c r="G344" s="249"/>
      <c r="H344" s="645">
        <v>2.25</v>
      </c>
      <c r="I344" s="251"/>
      <c r="J344" s="645">
        <v>2.0833333333333335</v>
      </c>
      <c r="K344" s="251"/>
      <c r="L344" s="645">
        <v>0.16666666666666666</v>
      </c>
      <c r="M344" s="251"/>
      <c r="N344" s="251">
        <v>0</v>
      </c>
      <c r="O344" s="251"/>
      <c r="P344" s="644" t="s">
        <v>1351</v>
      </c>
      <c r="Q344" s="251"/>
      <c r="R344" s="645">
        <v>20.2</v>
      </c>
    </row>
    <row r="345" spans="1:18">
      <c r="A345" s="272"/>
      <c r="B345" s="248"/>
      <c r="C345" s="249"/>
      <c r="D345" s="669" t="s">
        <v>1336</v>
      </c>
      <c r="E345" s="249"/>
      <c r="F345" s="666">
        <v>-8</v>
      </c>
      <c r="G345" s="249"/>
      <c r="H345" s="645">
        <v>2.3199999999999998</v>
      </c>
      <c r="I345" s="251"/>
      <c r="J345" s="645">
        <v>2.1481481481481479</v>
      </c>
      <c r="K345" s="251"/>
      <c r="L345" s="645">
        <v>0.17185185185185184</v>
      </c>
      <c r="M345" s="251"/>
      <c r="N345" s="251">
        <v>0</v>
      </c>
      <c r="O345" s="251"/>
      <c r="P345" s="644" t="s">
        <v>1351</v>
      </c>
      <c r="Q345" s="251"/>
      <c r="R345" s="645">
        <v>21.3</v>
      </c>
    </row>
    <row r="346" spans="1:18">
      <c r="A346" s="272"/>
      <c r="B346" s="248"/>
      <c r="C346" s="249"/>
      <c r="D346" s="669" t="s">
        <v>1337</v>
      </c>
      <c r="E346" s="249"/>
      <c r="F346" s="666">
        <v>-8</v>
      </c>
      <c r="G346" s="249"/>
      <c r="H346" s="645">
        <v>2.3199999999999998</v>
      </c>
      <c r="I346" s="251"/>
      <c r="J346" s="645">
        <v>2.1481481481481479</v>
      </c>
      <c r="K346" s="251"/>
      <c r="L346" s="645">
        <v>0.17185185185185184</v>
      </c>
      <c r="M346" s="251"/>
      <c r="N346" s="251">
        <v>0</v>
      </c>
      <c r="O346" s="251"/>
      <c r="P346" s="644" t="s">
        <v>1351</v>
      </c>
      <c r="Q346" s="251"/>
      <c r="R346" s="645">
        <v>21.2</v>
      </c>
    </row>
    <row r="347" spans="1:18">
      <c r="A347" s="272"/>
      <c r="B347" s="248"/>
      <c r="C347" s="249"/>
      <c r="D347" s="669" t="s">
        <v>1338</v>
      </c>
      <c r="E347" s="249"/>
      <c r="F347" s="666">
        <v>-8</v>
      </c>
      <c r="G347" s="249"/>
      <c r="H347" s="645">
        <v>2.33</v>
      </c>
      <c r="I347" s="251"/>
      <c r="J347" s="645">
        <v>2.1574074074074074</v>
      </c>
      <c r="K347" s="251"/>
      <c r="L347" s="645">
        <v>0.17259259259259258</v>
      </c>
      <c r="M347" s="251"/>
      <c r="N347" s="251">
        <v>0</v>
      </c>
      <c r="O347" s="251"/>
      <c r="P347" s="644" t="s">
        <v>1351</v>
      </c>
      <c r="Q347" s="251"/>
      <c r="R347" s="645">
        <v>21.3</v>
      </c>
    </row>
    <row r="348" spans="1:18">
      <c r="A348" s="272"/>
      <c r="B348" s="248"/>
      <c r="C348" s="249"/>
      <c r="D348" s="249"/>
      <c r="E348" s="249"/>
      <c r="F348" s="250"/>
      <c r="G348" s="249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</row>
    <row r="349" spans="1:18">
      <c r="A349" s="272">
        <v>346</v>
      </c>
      <c r="B349" s="248"/>
      <c r="C349" s="249"/>
      <c r="D349" s="254" t="s">
        <v>1362</v>
      </c>
      <c r="E349" s="249"/>
      <c r="F349" s="277" t="s">
        <v>2777</v>
      </c>
      <c r="G349" s="249"/>
      <c r="H349" s="251">
        <v>2.73</v>
      </c>
      <c r="I349" s="251"/>
      <c r="J349" s="251"/>
      <c r="K349" s="251"/>
      <c r="L349" s="251"/>
      <c r="M349" s="251"/>
      <c r="N349" s="251"/>
      <c r="O349" s="251"/>
      <c r="P349" s="251" t="s">
        <v>2793</v>
      </c>
      <c r="Q349" s="251"/>
      <c r="R349" s="251">
        <v>22.6</v>
      </c>
    </row>
    <row r="350" spans="1:18">
      <c r="A350" s="272"/>
      <c r="B350" s="248"/>
      <c r="C350" s="249"/>
      <c r="D350" s="249"/>
      <c r="E350" s="249"/>
      <c r="F350" s="250"/>
      <c r="G350" s="249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</row>
    <row r="351" spans="1:18">
      <c r="A351" s="272"/>
      <c r="B351" s="248"/>
      <c r="C351" s="249"/>
      <c r="D351" s="270" t="s">
        <v>1363</v>
      </c>
      <c r="E351" s="249"/>
      <c r="F351" s="250"/>
      <c r="G351" s="243"/>
      <c r="H351" s="251">
        <v>3.02</v>
      </c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</row>
    <row r="352" spans="1:18">
      <c r="A352" s="272"/>
      <c r="B352" s="248"/>
      <c r="C352" s="249"/>
      <c r="D352" s="270"/>
      <c r="E352" s="249"/>
      <c r="F352" s="250"/>
      <c r="G352" s="243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</row>
    <row r="353" spans="1:6">
      <c r="F353" s="250"/>
    </row>
    <row r="354" spans="1:6">
      <c r="A354" s="770" t="s">
        <v>3733</v>
      </c>
      <c r="F354" s="250"/>
    </row>
    <row r="355" spans="1:6">
      <c r="A355" s="465"/>
      <c r="F355" s="250"/>
    </row>
    <row r="356" spans="1:6">
      <c r="A356" s="465"/>
      <c r="F356" s="250"/>
    </row>
    <row r="357" spans="1:6">
      <c r="A357" s="465"/>
      <c r="F357" s="250"/>
    </row>
    <row r="358" spans="1:6">
      <c r="A358" s="465"/>
      <c r="F358" s="250"/>
    </row>
    <row r="359" spans="1:6">
      <c r="A359" s="465"/>
      <c r="F359" s="250"/>
    </row>
    <row r="360" spans="1:6">
      <c r="A360" s="465"/>
      <c r="F360" s="250"/>
    </row>
    <row r="361" spans="1:6">
      <c r="A361" s="465"/>
      <c r="F361" s="250"/>
    </row>
  </sheetData>
  <mergeCells count="4">
    <mergeCell ref="B1:R1"/>
    <mergeCell ref="A11:D11"/>
    <mergeCell ref="A4:R4"/>
    <mergeCell ref="A5:R5"/>
  </mergeCells>
  <printOptions horizontalCentered="1"/>
  <pageMargins left="0.2" right="0.25" top="0.5" bottom="0.75" header="0.3" footer="0.3"/>
  <pageSetup scale="58" fitToHeight="12" orientation="landscape" r:id="rId1"/>
  <rowBreaks count="7" manualBreakCount="7">
    <brk id="99" max="16383" man="1"/>
    <brk id="143" max="16383" man="1"/>
    <brk id="168" max="16383" man="1"/>
    <brk id="206" max="16383" man="1"/>
    <brk id="236" max="16383" man="1"/>
    <brk id="278" max="16383" man="1"/>
    <brk id="3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G58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4" width="13.625" style="69" customWidth="1"/>
    <col min="5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</row>
    <row r="2" spans="1:7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</row>
    <row r="3" spans="1:7" s="68" customFormat="1" ht="20.100000000000001" customHeight="1">
      <c r="A3" s="809" t="s">
        <v>1161</v>
      </c>
      <c r="B3" s="809"/>
      <c r="C3" s="809"/>
      <c r="D3" s="809"/>
      <c r="E3" s="809"/>
      <c r="F3" s="809"/>
      <c r="G3" s="809"/>
    </row>
    <row r="4" spans="1:7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</row>
    <row r="5" spans="1:7" s="68" customFormat="1" ht="20.100000000000001" customHeight="1">
      <c r="A5" s="84"/>
      <c r="B5" s="84"/>
      <c r="C5" s="84"/>
      <c r="D5" s="84"/>
      <c r="E5" s="84"/>
      <c r="F5" s="84"/>
      <c r="G5" s="84"/>
    </row>
    <row r="6" spans="1:7" s="68" customFormat="1" ht="20.100000000000001" customHeight="1">
      <c r="A6" s="67" t="s">
        <v>133</v>
      </c>
      <c r="F6" s="74"/>
      <c r="G6" s="74" t="s">
        <v>1160</v>
      </c>
    </row>
    <row r="7" spans="1:7" s="68" customFormat="1" ht="20.100000000000001" customHeight="1">
      <c r="A7" s="68" t="str">
        <f>'Rate Case Constants'!C29</f>
        <v>TYPE OF FILING: __X__ ORIGINAL  _____ UPDATED  _____ REVISED</v>
      </c>
      <c r="F7" s="74"/>
      <c r="G7" s="74" t="s">
        <v>176</v>
      </c>
    </row>
    <row r="8" spans="1:7" s="68" customFormat="1" ht="20.100000000000001" customHeight="1">
      <c r="A8" s="67" t="s">
        <v>1195</v>
      </c>
      <c r="E8" s="67"/>
      <c r="F8" s="75"/>
      <c r="G8" s="75" t="str">
        <f>'Rate Case Constants'!C36</f>
        <v>WITNESS:   C. M. GARRETT</v>
      </c>
    </row>
    <row r="9" spans="1:7" s="68" customFormat="1" ht="20.100000000000001" customHeight="1"/>
    <row r="10" spans="1:7" ht="58.5" customHeight="1">
      <c r="A10" s="76" t="s">
        <v>131</v>
      </c>
      <c r="B10" s="79" t="s">
        <v>1162</v>
      </c>
      <c r="C10" s="76" t="s">
        <v>222</v>
      </c>
      <c r="D10" s="76" t="s">
        <v>223</v>
      </c>
      <c r="E10" s="76" t="s">
        <v>224</v>
      </c>
      <c r="F10" s="76" t="s">
        <v>225</v>
      </c>
      <c r="G10" s="76" t="s">
        <v>226</v>
      </c>
    </row>
    <row r="11" spans="1:7" ht="23.1" customHeight="1">
      <c r="A11" s="80"/>
      <c r="B11" s="81"/>
      <c r="C11" s="82" t="s">
        <v>142</v>
      </c>
      <c r="D11" s="82"/>
      <c r="E11" s="82" t="s">
        <v>142</v>
      </c>
      <c r="F11" s="82" t="s">
        <v>142</v>
      </c>
      <c r="G11" s="82" t="s">
        <v>142</v>
      </c>
    </row>
    <row r="12" spans="1:7" ht="23.1" customHeight="1">
      <c r="A12" s="73"/>
      <c r="B12" s="78" t="s">
        <v>1169</v>
      </c>
      <c r="C12" s="95"/>
      <c r="D12" s="95"/>
      <c r="E12" s="95"/>
      <c r="F12" s="95"/>
      <c r="G12" s="95"/>
    </row>
    <row r="13" spans="1:7" ht="18.95" customHeight="1">
      <c r="A13" s="70">
        <v>1</v>
      </c>
      <c r="B13" s="78" t="s">
        <v>293</v>
      </c>
      <c r="C13" s="86">
        <f>'SCH B-2.1 B'!D16</f>
        <v>105196768.73999988</v>
      </c>
      <c r="D13" s="130">
        <f>E13/C13</f>
        <v>0.93500982378589026</v>
      </c>
      <c r="E13" s="86">
        <f>'SCH B-2.1 B'!F16</f>
        <v>98360012.202432334</v>
      </c>
      <c r="F13" s="86">
        <f>'SCH B-2.1 B'!G16</f>
        <v>0</v>
      </c>
      <c r="G13" s="88">
        <f t="shared" ref="G13" si="0">SUM(E13:F13)</f>
        <v>98360012.202432334</v>
      </c>
    </row>
    <row r="14" spans="1:7" ht="18.95" customHeight="1">
      <c r="A14" s="70"/>
      <c r="B14" s="78"/>
      <c r="C14" s="86"/>
      <c r="D14" s="130"/>
      <c r="E14" s="86"/>
      <c r="F14" s="86"/>
      <c r="G14" s="86"/>
    </row>
    <row r="15" spans="1:7" ht="18.95" customHeight="1">
      <c r="A15" s="70">
        <v>2</v>
      </c>
      <c r="B15" s="78" t="s">
        <v>1163</v>
      </c>
      <c r="C15" s="86">
        <f>'SCH B-2.1 B'!D27</f>
        <v>5521861237.0099983</v>
      </c>
      <c r="D15" s="130">
        <f>E15/C15</f>
        <v>0.93579270571366135</v>
      </c>
      <c r="E15" s="86">
        <f>'SCH B-2.1 B'!F27</f>
        <v>5167317467.5569715</v>
      </c>
      <c r="F15" s="86">
        <f>'SCH B-2.1 B'!G27</f>
        <v>-1747741508.0835726</v>
      </c>
      <c r="G15" s="88">
        <f t="shared" ref="G15" si="1">SUM(E15:F15)</f>
        <v>3419575959.4733992</v>
      </c>
    </row>
    <row r="16" spans="1:7" ht="18.95" customHeight="1">
      <c r="A16" s="70"/>
      <c r="B16" s="78"/>
      <c r="C16" s="86"/>
      <c r="D16" s="86"/>
      <c r="E16" s="86"/>
      <c r="F16" s="86"/>
      <c r="G16" s="86"/>
    </row>
    <row r="17" spans="1:7" ht="18.95" customHeight="1">
      <c r="A17" s="70">
        <v>3</v>
      </c>
      <c r="B17" s="78" t="s">
        <v>1165</v>
      </c>
      <c r="C17" s="86">
        <f>'SCH B-2.1 B'!D38</f>
        <v>43943332.839999996</v>
      </c>
      <c r="D17" s="130">
        <f>E17/C17</f>
        <v>0.93758912617191703</v>
      </c>
      <c r="E17" s="86">
        <f>'SCH B-2.1 B'!F38</f>
        <v>41200791.038537301</v>
      </c>
      <c r="F17" s="86">
        <f>'SCH B-2.1 B'!G38</f>
        <v>-605822.10102171532</v>
      </c>
      <c r="G17" s="88">
        <f t="shared" ref="G17" si="2">SUM(E17:F17)</f>
        <v>40594968.937515587</v>
      </c>
    </row>
    <row r="18" spans="1:7" ht="18.95" customHeight="1">
      <c r="A18" s="70"/>
      <c r="B18" s="78"/>
      <c r="C18" s="86"/>
      <c r="D18" s="86"/>
      <c r="E18" s="86"/>
      <c r="F18" s="86"/>
      <c r="G18" s="86"/>
    </row>
    <row r="19" spans="1:7" ht="18.95" customHeight="1">
      <c r="A19" s="70">
        <v>4</v>
      </c>
      <c r="B19" s="78" t="s">
        <v>1166</v>
      </c>
      <c r="C19" s="86">
        <f>'SCH B-2.1 B'!D60</f>
        <v>1083612497.7099979</v>
      </c>
      <c r="D19" s="130">
        <f>E19/C19</f>
        <v>0.9373224688606504</v>
      </c>
      <c r="E19" s="86">
        <f>'SCH B-2.1 B'!F60</f>
        <v>1015694341.6417911</v>
      </c>
      <c r="F19" s="86">
        <f>'SCH B-2.1 B'!G60</f>
        <v>-381803.65574092057</v>
      </c>
      <c r="G19" s="88">
        <f t="shared" ref="G19" si="3">SUM(E19:F19)</f>
        <v>1015312537.9860501</v>
      </c>
    </row>
    <row r="20" spans="1:7" ht="18.95" customHeight="1">
      <c r="A20" s="70"/>
      <c r="B20" s="78"/>
      <c r="C20" s="86"/>
      <c r="D20" s="86"/>
      <c r="E20" s="86"/>
      <c r="F20" s="86"/>
      <c r="G20" s="86"/>
    </row>
    <row r="21" spans="1:7" ht="18.95" customHeight="1">
      <c r="A21" s="70">
        <v>5</v>
      </c>
      <c r="B21" s="78" t="s">
        <v>244</v>
      </c>
      <c r="C21" s="86">
        <f>'SCH B-2.1 B'!D72</f>
        <v>1307688731.5</v>
      </c>
      <c r="D21" s="130">
        <f>E21/C21</f>
        <v>0.90076821835616316</v>
      </c>
      <c r="E21" s="86">
        <f>'SCH B-2.1 B'!F72</f>
        <v>1177924448.8376861</v>
      </c>
      <c r="F21" s="86">
        <f>'SCH B-2.1 B'!G72</f>
        <v>-243298.9238349204</v>
      </c>
      <c r="G21" s="88">
        <f t="shared" ref="G21" si="4">SUM(E21:F21)</f>
        <v>1177681149.913851</v>
      </c>
    </row>
    <row r="22" spans="1:7" ht="18.95" customHeight="1">
      <c r="A22" s="70"/>
      <c r="B22" s="78"/>
      <c r="C22" s="86"/>
      <c r="D22" s="86"/>
      <c r="E22" s="86"/>
      <c r="F22" s="86"/>
      <c r="G22" s="86"/>
    </row>
    <row r="23" spans="1:7" ht="18.95" customHeight="1">
      <c r="A23" s="70">
        <v>6</v>
      </c>
      <c r="B23" s="78" t="s">
        <v>1167</v>
      </c>
      <c r="C23" s="86">
        <f>'SCH B-2.1 B'!D88</f>
        <v>2198713704.1299996</v>
      </c>
      <c r="D23" s="130">
        <f>E23/C23</f>
        <v>0.95110389252677163</v>
      </c>
      <c r="E23" s="86">
        <f>'SCH B-2.1 B'!F88</f>
        <v>2091205162.5499992</v>
      </c>
      <c r="F23" s="86">
        <f>'SCH B-2.1 B'!G88</f>
        <v>-5062838.5160319358</v>
      </c>
      <c r="G23" s="88">
        <f t="shared" ref="G23" si="5">SUM(E23:F23)</f>
        <v>2086142324.0339673</v>
      </c>
    </row>
    <row r="24" spans="1:7" ht="18.95" customHeight="1">
      <c r="A24" s="70"/>
      <c r="B24" s="78"/>
      <c r="C24" s="86"/>
      <c r="D24" s="86"/>
      <c r="E24" s="86"/>
      <c r="F24" s="86"/>
      <c r="G24" s="86"/>
    </row>
    <row r="25" spans="1:7" ht="18.95" customHeight="1">
      <c r="A25" s="70">
        <v>7</v>
      </c>
      <c r="B25" s="78" t="s">
        <v>1168</v>
      </c>
      <c r="C25" s="131">
        <f>'SCH B-2.1 B'!D111</f>
        <v>248976294.63999993</v>
      </c>
      <c r="D25" s="130">
        <f>E25/C25</f>
        <v>0.94299332433917127</v>
      </c>
      <c r="E25" s="131">
        <f>'SCH B-2.1 B'!F111</f>
        <v>234782983.76422253</v>
      </c>
      <c r="F25" s="131">
        <f>'SCH B-2.1 B'!G111</f>
        <v>-7584575.4299999997</v>
      </c>
      <c r="G25" s="89">
        <f t="shared" ref="G25" si="6">SUM(E25:F25)</f>
        <v>227198408.33422253</v>
      </c>
    </row>
    <row r="26" spans="1:7" ht="18.95" customHeight="1">
      <c r="A26" s="70"/>
      <c r="B26" s="78"/>
      <c r="C26" s="86"/>
      <c r="D26" s="86"/>
      <c r="E26" s="86"/>
      <c r="F26" s="86"/>
      <c r="G26" s="86"/>
    </row>
    <row r="27" spans="1:7" ht="18.95" customHeight="1" thickBot="1">
      <c r="A27" s="70">
        <v>8</v>
      </c>
      <c r="B27" s="78" t="s">
        <v>1171</v>
      </c>
      <c r="C27" s="94">
        <f>SUM(C13:C25)</f>
        <v>10509992566.569996</v>
      </c>
      <c r="D27" s="86"/>
      <c r="E27" s="94">
        <f t="shared" ref="E27:G27" si="7">SUM(E13:E25)</f>
        <v>9826485207.5916405</v>
      </c>
      <c r="F27" s="94">
        <f t="shared" si="7"/>
        <v>-1761619846.7102025</v>
      </c>
      <c r="G27" s="94">
        <f t="shared" si="7"/>
        <v>8064865360.8814383</v>
      </c>
    </row>
    <row r="28" spans="1:7" ht="18.95" customHeight="1" thickTop="1">
      <c r="A28" s="70"/>
      <c r="B28" s="78"/>
      <c r="C28" s="86"/>
      <c r="D28" s="86"/>
      <c r="E28" s="86"/>
      <c r="F28" s="86"/>
      <c r="G28" s="86"/>
    </row>
    <row r="29" spans="1:7" s="68" customFormat="1" ht="20.100000000000001" customHeight="1">
      <c r="A29" s="809" t="str">
        <f>$A$1</f>
        <v>KENTUCKY UTILITIES COMPANY</v>
      </c>
      <c r="B29" s="809"/>
      <c r="C29" s="809"/>
      <c r="D29" s="809"/>
      <c r="E29" s="809"/>
      <c r="F29" s="809"/>
      <c r="G29" s="809"/>
    </row>
    <row r="30" spans="1:7" s="68" customFormat="1" ht="20.100000000000001" customHeight="1">
      <c r="A30" s="809" t="str">
        <f>$A$2</f>
        <v>CASE NO. 2020-00349</v>
      </c>
      <c r="B30" s="809"/>
      <c r="C30" s="809"/>
      <c r="D30" s="809"/>
      <c r="E30" s="809"/>
      <c r="F30" s="809"/>
      <c r="G30" s="809"/>
    </row>
    <row r="31" spans="1:7" s="68" customFormat="1" ht="20.100000000000001" customHeight="1">
      <c r="A31" s="809" t="str">
        <f>$A$3</f>
        <v>PLANT IN SERVICE BY MAJOR PROPERTY GROUPING</v>
      </c>
      <c r="B31" s="809"/>
      <c r="C31" s="809"/>
      <c r="D31" s="809"/>
      <c r="E31" s="809"/>
      <c r="F31" s="809"/>
      <c r="G31" s="809"/>
    </row>
    <row r="32" spans="1:7" s="68" customFormat="1" ht="20.100000000000001" customHeight="1">
      <c r="A32" s="808" t="str">
        <f>'Rate Case Constants'!C18</f>
        <v>AS OF JUNE 30, 2022</v>
      </c>
      <c r="B32" s="809"/>
      <c r="C32" s="809"/>
      <c r="D32" s="809"/>
      <c r="E32" s="809"/>
      <c r="F32" s="809"/>
      <c r="G32" s="809"/>
    </row>
    <row r="33" spans="1:7" s="68" customFormat="1" ht="20.100000000000001" customHeight="1">
      <c r="A33" s="84"/>
      <c r="B33" s="84"/>
      <c r="C33" s="84"/>
      <c r="D33" s="84"/>
      <c r="E33" s="84"/>
      <c r="F33" s="84"/>
      <c r="G33" s="84"/>
    </row>
    <row r="34" spans="1:7" s="68" customFormat="1" ht="20.100000000000001" customHeight="1">
      <c r="A34" s="67" t="s">
        <v>161</v>
      </c>
      <c r="F34" s="74"/>
      <c r="G34" s="74" t="s">
        <v>1160</v>
      </c>
    </row>
    <row r="35" spans="1:7" s="68" customFormat="1" ht="20.100000000000001" customHeight="1">
      <c r="A35" s="67" t="str">
        <f>$A$7</f>
        <v>TYPE OF FILING: __X__ ORIGINAL  _____ UPDATED  _____ REVISED</v>
      </c>
      <c r="F35" s="74"/>
      <c r="G35" s="74" t="s">
        <v>184</v>
      </c>
    </row>
    <row r="36" spans="1:7" s="68" customFormat="1" ht="20.100000000000001" customHeight="1">
      <c r="A36" s="67" t="str">
        <f>$A$8</f>
        <v>WORKPAPER REFERENCE NO(S).:</v>
      </c>
      <c r="E36" s="67"/>
      <c r="F36" s="75"/>
      <c r="G36" s="75" t="str">
        <f>$G$8</f>
        <v>WITNESS:   C. M. GARRETT</v>
      </c>
    </row>
    <row r="37" spans="1:7" s="68" customFormat="1" ht="20.100000000000001" customHeight="1"/>
    <row r="38" spans="1:7" ht="81.95" customHeight="1">
      <c r="A38" s="76" t="s">
        <v>131</v>
      </c>
      <c r="B38" s="79" t="s">
        <v>221</v>
      </c>
      <c r="C38" s="76" t="s">
        <v>1164</v>
      </c>
      <c r="D38" s="76" t="s">
        <v>223</v>
      </c>
      <c r="E38" s="76" t="s">
        <v>224</v>
      </c>
      <c r="F38" s="76" t="s">
        <v>225</v>
      </c>
      <c r="G38" s="76" t="s">
        <v>1170</v>
      </c>
    </row>
    <row r="39" spans="1:7" ht="23.1" customHeight="1">
      <c r="A39" s="80"/>
      <c r="B39" s="81"/>
      <c r="C39" s="82" t="s">
        <v>142</v>
      </c>
      <c r="D39" s="82"/>
      <c r="E39" s="82" t="s">
        <v>142</v>
      </c>
      <c r="F39" s="82" t="s">
        <v>142</v>
      </c>
      <c r="G39" s="82" t="s">
        <v>142</v>
      </c>
    </row>
    <row r="40" spans="1:7" ht="23.1" customHeight="1">
      <c r="A40" s="73"/>
      <c r="B40" s="132" t="s">
        <v>1169</v>
      </c>
      <c r="C40" s="95"/>
      <c r="D40" s="95"/>
      <c r="E40" s="95"/>
      <c r="F40" s="95"/>
      <c r="G40" s="95"/>
    </row>
    <row r="41" spans="1:7" ht="18.95" customHeight="1">
      <c r="A41" s="70">
        <v>1</v>
      </c>
      <c r="B41" s="78" t="s">
        <v>293</v>
      </c>
      <c r="C41" s="86">
        <f>'SCH B-2.1 F'!D16</f>
        <v>113132322.03846151</v>
      </c>
      <c r="D41" s="130">
        <f>E41/C41</f>
        <v>0.93475848560547281</v>
      </c>
      <c r="E41" s="86">
        <f>'SCH B-2.1 F'!F16</f>
        <v>105751398.02170293</v>
      </c>
      <c r="F41" s="86">
        <f>'SCH B-2.1 F'!G16</f>
        <v>0</v>
      </c>
      <c r="G41" s="88">
        <f t="shared" ref="G41" si="8">SUM(E41:F41)</f>
        <v>105751398.02170293</v>
      </c>
    </row>
    <row r="42" spans="1:7" ht="18.95" customHeight="1">
      <c r="A42" s="70"/>
      <c r="B42" s="78"/>
      <c r="C42" s="86"/>
      <c r="D42" s="130"/>
      <c r="E42" s="86"/>
      <c r="F42" s="86"/>
      <c r="G42" s="86"/>
    </row>
    <row r="43" spans="1:7" ht="18.95" customHeight="1">
      <c r="A43" s="70">
        <v>2</v>
      </c>
      <c r="B43" s="78" t="s">
        <v>1163</v>
      </c>
      <c r="C43" s="86">
        <f>'SCH B-2.1 F'!D27</f>
        <v>5647302127.6430664</v>
      </c>
      <c r="D43" s="130">
        <f>E43/C43</f>
        <v>0.93735643369657728</v>
      </c>
      <c r="E43" s="86">
        <f>'SCH B-2.1 F'!F27</f>
        <v>5293534982.3745975</v>
      </c>
      <c r="F43" s="86">
        <f>'SCH B-2.1 F'!G27</f>
        <v>-531770487.48860884</v>
      </c>
      <c r="G43" s="88">
        <f t="shared" ref="G43" si="9">SUM(E43:F43)</f>
        <v>4761764494.8859882</v>
      </c>
    </row>
    <row r="44" spans="1:7" ht="18.95" customHeight="1">
      <c r="A44" s="70"/>
      <c r="B44" s="78"/>
      <c r="C44" s="86"/>
      <c r="D44" s="86"/>
      <c r="E44" s="86"/>
      <c r="F44" s="86"/>
      <c r="G44" s="86"/>
    </row>
    <row r="45" spans="1:7" ht="18.95" customHeight="1">
      <c r="A45" s="70">
        <v>3</v>
      </c>
      <c r="B45" s="78" t="s">
        <v>1165</v>
      </c>
      <c r="C45" s="86">
        <f>'SCH B-2.1 F'!D38</f>
        <v>49393379.556923077</v>
      </c>
      <c r="D45" s="130">
        <f>E45/C45</f>
        <v>0.93802824300006526</v>
      </c>
      <c r="E45" s="86">
        <f>'SCH B-2.1 F'!F38</f>
        <v>46332385.041615896</v>
      </c>
      <c r="F45" s="86">
        <f>'SCH B-2.1 F'!G38</f>
        <v>-605822.10102171521</v>
      </c>
      <c r="G45" s="88">
        <f t="shared" ref="G45" si="10">SUM(E45:F45)</f>
        <v>45726562.940594181</v>
      </c>
    </row>
    <row r="46" spans="1:7" ht="18.95" customHeight="1">
      <c r="A46" s="70"/>
      <c r="B46" s="78"/>
      <c r="C46" s="86"/>
      <c r="D46" s="86"/>
      <c r="E46" s="86"/>
      <c r="F46" s="86"/>
      <c r="G46" s="86"/>
    </row>
    <row r="47" spans="1:7" ht="18.95" customHeight="1">
      <c r="A47" s="70">
        <v>4</v>
      </c>
      <c r="B47" s="78" t="s">
        <v>1166</v>
      </c>
      <c r="C47" s="86">
        <f>'SCH B-2.1 F'!D60</f>
        <v>1113844785.2061515</v>
      </c>
      <c r="D47" s="130">
        <f>E47/C47</f>
        <v>0.93812787104362172</v>
      </c>
      <c r="E47" s="86">
        <f>'SCH B-2.1 F'!F60</f>
        <v>1044928837.018487</v>
      </c>
      <c r="F47" s="86">
        <f>'SCH B-2.1 F'!G60</f>
        <v>-381803.65574092057</v>
      </c>
      <c r="G47" s="88">
        <f t="shared" ref="G47" si="11">SUM(E47:F47)</f>
        <v>1044547033.362746</v>
      </c>
    </row>
    <row r="48" spans="1:7" ht="18.95" customHeight="1">
      <c r="A48" s="70"/>
      <c r="B48" s="78"/>
      <c r="C48" s="86"/>
      <c r="D48" s="86"/>
      <c r="E48" s="86"/>
      <c r="F48" s="86"/>
      <c r="G48" s="86"/>
    </row>
    <row r="49" spans="1:7" ht="18.95" customHeight="1">
      <c r="A49" s="70">
        <v>5</v>
      </c>
      <c r="B49" s="78" t="s">
        <v>244</v>
      </c>
      <c r="C49" s="86">
        <f>'SCH B-2.1 F'!D72</f>
        <v>1420217310.4584608</v>
      </c>
      <c r="D49" s="130">
        <f>E49/C49</f>
        <v>0.89211907276155777</v>
      </c>
      <c r="E49" s="86">
        <f>'SCH B-2.1 F'!F72</f>
        <v>1267002950.1261156</v>
      </c>
      <c r="F49" s="86">
        <f>'SCH B-2.1 F'!G72</f>
        <v>-243298.92383492048</v>
      </c>
      <c r="G49" s="88">
        <f t="shared" ref="G49" si="12">SUM(E49:F49)</f>
        <v>1266759651.2022805</v>
      </c>
    </row>
    <row r="50" spans="1:7" ht="18.95" customHeight="1">
      <c r="A50" s="70"/>
      <c r="B50" s="78"/>
      <c r="C50" s="86"/>
      <c r="D50" s="86"/>
      <c r="E50" s="86"/>
      <c r="F50" s="86"/>
      <c r="G50" s="86"/>
    </row>
    <row r="51" spans="1:7" ht="18.95" customHeight="1">
      <c r="A51" s="70">
        <v>6</v>
      </c>
      <c r="B51" s="78" t="s">
        <v>1167</v>
      </c>
      <c r="C51" s="86">
        <f>'SCH B-2.1 F'!D88</f>
        <v>2293852459.5975685</v>
      </c>
      <c r="D51" s="130">
        <f>E51/C51</f>
        <v>0.95194524158409433</v>
      </c>
      <c r="E51" s="86">
        <f>'SCH B-2.1 F'!F88</f>
        <v>2183621933.8098764</v>
      </c>
      <c r="F51" s="86">
        <f>'SCH B-2.1 F'!G88</f>
        <v>-3513656.7799999993</v>
      </c>
      <c r="G51" s="88">
        <f t="shared" ref="G51" si="13">SUM(E51:F51)</f>
        <v>2180108277.0298762</v>
      </c>
    </row>
    <row r="52" spans="1:7" ht="18.95" customHeight="1">
      <c r="A52" s="70"/>
      <c r="B52" s="78"/>
      <c r="C52" s="86"/>
      <c r="D52" s="86"/>
      <c r="E52" s="86"/>
      <c r="F52" s="86"/>
      <c r="G52" s="86"/>
    </row>
    <row r="53" spans="1:7" ht="18.95" customHeight="1">
      <c r="A53" s="70">
        <v>7</v>
      </c>
      <c r="B53" s="78" t="s">
        <v>1168</v>
      </c>
      <c r="C53" s="131">
        <f>'SCH B-2.1 F'!D111</f>
        <v>267920720.23692286</v>
      </c>
      <c r="D53" s="130">
        <f>E53/C53</f>
        <v>0.94265467008784731</v>
      </c>
      <c r="E53" s="131">
        <f>'SCH B-2.1 F'!F111</f>
        <v>252556718.14463496</v>
      </c>
      <c r="F53" s="131">
        <f>'SCH B-2.1 F'!G111</f>
        <v>-7637963.2915384527</v>
      </c>
      <c r="G53" s="89">
        <f t="shared" ref="G53" si="14">SUM(E53:F53)</f>
        <v>244918754.85309651</v>
      </c>
    </row>
    <row r="54" spans="1:7" ht="18.95" customHeight="1">
      <c r="A54" s="70"/>
      <c r="B54" s="78"/>
      <c r="C54" s="86"/>
      <c r="D54" s="86"/>
      <c r="E54" s="86"/>
      <c r="F54" s="86"/>
      <c r="G54" s="86"/>
    </row>
    <row r="55" spans="1:7" ht="18.95" customHeight="1" thickBot="1">
      <c r="A55" s="70">
        <v>8</v>
      </c>
      <c r="B55" s="78" t="s">
        <v>1171</v>
      </c>
      <c r="C55" s="94">
        <f>SUM(C41:C53)</f>
        <v>10905663104.737556</v>
      </c>
      <c r="D55" s="86"/>
      <c r="E55" s="94">
        <f t="shared" ref="E55:G55" si="15">SUM(E41:E53)</f>
        <v>10193729204.537029</v>
      </c>
      <c r="F55" s="94">
        <f t="shared" si="15"/>
        <v>-544153032.24074483</v>
      </c>
      <c r="G55" s="94">
        <f t="shared" si="15"/>
        <v>9649576172.2962837</v>
      </c>
    </row>
    <row r="56" spans="1:7" ht="18.95" customHeight="1" thickTop="1"/>
    <row r="57" spans="1:7" ht="18.95" customHeight="1"/>
    <row r="58" spans="1:7">
      <c r="C58" s="93"/>
      <c r="E58" s="93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68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8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8" s="68" customFormat="1" ht="20.100000000000001" customHeight="1">
      <c r="A3" s="809" t="s">
        <v>220</v>
      </c>
      <c r="B3" s="809"/>
      <c r="C3" s="809"/>
      <c r="D3" s="809"/>
      <c r="E3" s="809"/>
      <c r="F3" s="809"/>
      <c r="G3" s="809"/>
      <c r="H3" s="809"/>
    </row>
    <row r="4" spans="1:8" s="68" customFormat="1" ht="20.100000000000001" customHeight="1">
      <c r="A4" s="809" t="str">
        <f>'Rate Case Constants'!C12</f>
        <v>AS OF FEBRUARY 28, 2021</v>
      </c>
      <c r="B4" s="809"/>
      <c r="C4" s="809"/>
      <c r="D4" s="809"/>
      <c r="E4" s="809"/>
      <c r="F4" s="809"/>
      <c r="G4" s="809"/>
      <c r="H4" s="809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227</v>
      </c>
    </row>
    <row r="7" spans="1:8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172</v>
      </c>
    </row>
    <row r="8" spans="1:8" s="68" customFormat="1" ht="20.100000000000001" customHeight="1">
      <c r="A8" s="67" t="s">
        <v>1412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221</v>
      </c>
      <c r="D10" s="76" t="s">
        <v>222</v>
      </c>
      <c r="E10" s="76" t="s">
        <v>223</v>
      </c>
      <c r="F10" s="76" t="s">
        <v>224</v>
      </c>
      <c r="G10" s="76" t="s">
        <v>225</v>
      </c>
      <c r="H10" s="76" t="s">
        <v>226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1615</v>
      </c>
      <c r="C13" s="78" t="s">
        <v>1616</v>
      </c>
      <c r="D13" s="86">
        <f>'SCH B-2.3 B'!H13</f>
        <v>44455.58</v>
      </c>
      <c r="E13" s="130">
        <f>F13/D13</f>
        <v>0.93492051078927085</v>
      </c>
      <c r="F13" s="86">
        <f>SUMIFS('JURISSEP B'!$G$71:$G$225,'JURISSEP B'!$B$71:$B$225,$B13)</f>
        <v>41562.433561033293</v>
      </c>
      <c r="G13" s="86">
        <f>SUMIFS('SCH B-2.2'!$F$12:$F$28,'SCH B-2.2'!$B$12:$B$28,'SCH B-2.1 B'!$B13)</f>
        <v>0</v>
      </c>
      <c r="H13" s="86">
        <f>SUM(F13:G13)</f>
        <v>41562.433561033293</v>
      </c>
    </row>
    <row r="14" spans="1:8" ht="18.95" customHeight="1">
      <c r="A14" s="70">
        <f t="shared" ref="A14:A77" si="0">A13+1</f>
        <v>3</v>
      </c>
      <c r="B14" s="71" t="s">
        <v>1617</v>
      </c>
      <c r="C14" s="78" t="s">
        <v>1618</v>
      </c>
      <c r="D14" s="86">
        <f>'SCH B-2.3 B'!H14</f>
        <v>144368.66</v>
      </c>
      <c r="E14" s="130">
        <f t="shared" ref="E14:E15" si="1">F14/D14</f>
        <v>1</v>
      </c>
      <c r="F14" s="88">
        <f>SUMIFS('JURISSEP B'!$G$71:$G$225,'JURISSEP B'!$B$71:$B$225,$B14)</f>
        <v>144368.66</v>
      </c>
      <c r="G14" s="87">
        <f>SUMIFS('SCH B-2.2'!$F$12:$F$28,'SCH B-2.2'!$B$12:$B$28,'SCH B-2.1 B'!$B14)</f>
        <v>0</v>
      </c>
      <c r="H14" s="88">
        <f t="shared" ref="H14:H15" si="2">SUM(F14:G14)</f>
        <v>144368.66</v>
      </c>
    </row>
    <row r="15" spans="1:8" ht="18.95" customHeight="1">
      <c r="A15" s="70">
        <f t="shared" si="0"/>
        <v>4</v>
      </c>
      <c r="B15" s="71" t="s">
        <v>1619</v>
      </c>
      <c r="C15" s="78" t="s">
        <v>1620</v>
      </c>
      <c r="D15" s="89">
        <f>'SCH B-2.3 B'!H15</f>
        <v>105007944.49999988</v>
      </c>
      <c r="E15" s="130">
        <f t="shared" si="1"/>
        <v>0.93492051078927085</v>
      </c>
      <c r="F15" s="89">
        <f>SUMIFS('JURISSEP B'!$G$71:$G$225,'JURISSEP B'!$B$71:$B$225,$B15)</f>
        <v>98174081.108871296</v>
      </c>
      <c r="G15" s="89">
        <f>SUMIFS('SCH B-2.2'!$F$12:$F$28,'SCH B-2.2'!$B$12:$B$28,'SCH B-2.1 B'!$B15)</f>
        <v>0</v>
      </c>
      <c r="H15" s="89">
        <f t="shared" si="2"/>
        <v>98174081.108871296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105196768.73999988</v>
      </c>
      <c r="E16" s="86"/>
      <c r="F16" s="86">
        <f>SUM(F13:F15)</f>
        <v>98360012.202432334</v>
      </c>
      <c r="G16" s="86">
        <f>SUM(G13:G15)</f>
        <v>0</v>
      </c>
      <c r="H16" s="86">
        <f>SUM(H13:H15)</f>
        <v>98360012.202432334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1621</v>
      </c>
      <c r="C19" s="78" t="s">
        <v>154</v>
      </c>
      <c r="D19" s="88">
        <f>'SCH B-2.3 B'!H19</f>
        <v>24993712.409999903</v>
      </c>
      <c r="E19" s="130">
        <f t="shared" ref="E19:E26" si="3">F19/D19</f>
        <v>0.93811298816770405</v>
      </c>
      <c r="F19" s="88">
        <f>SUMIFS('JURISSEP B'!$G$71:$G$225,'JURISSEP B'!$B$71:$B$225,$B19)</f>
        <v>23446926.234349236</v>
      </c>
      <c r="G19" s="88">
        <f>SUMIFS('SCH B-2.2'!$F$12:$F$28,'SCH B-2.2'!$B$12:$B$28,'SCH B-2.1 B'!$B19)</f>
        <v>-12721704.659013176</v>
      </c>
      <c r="H19" s="88">
        <f t="shared" ref="H19:H26" si="4">SUM(F19:G19)</f>
        <v>10725221.57533606</v>
      </c>
    </row>
    <row r="20" spans="1:8" ht="18" customHeight="1">
      <c r="A20" s="70">
        <f t="shared" si="0"/>
        <v>8</v>
      </c>
      <c r="B20" s="71" t="s">
        <v>1622</v>
      </c>
      <c r="C20" s="78" t="s">
        <v>148</v>
      </c>
      <c r="D20" s="88">
        <f>'SCH B-2.3 B'!H20</f>
        <v>356265802.95999908</v>
      </c>
      <c r="E20" s="130">
        <f t="shared" si="3"/>
        <v>0.93481136250084318</v>
      </c>
      <c r="F20" s="88">
        <f>SUMIFS('JURISSEP B'!$G$71:$G$225,'JURISSEP B'!$B$71:$B$225,$B20)</f>
        <v>333041320.67749369</v>
      </c>
      <c r="G20" s="88">
        <f>SUMIFS('SCH B-2.2'!$F$12:$F$28,'SCH B-2.2'!$B$12:$B$28,'SCH B-2.1 B'!$B20)</f>
        <v>-23283900.902205896</v>
      </c>
      <c r="H20" s="88">
        <f t="shared" si="4"/>
        <v>309757419.77528781</v>
      </c>
    </row>
    <row r="21" spans="1:8" ht="18.95" customHeight="1">
      <c r="A21" s="70">
        <f t="shared" si="0"/>
        <v>9</v>
      </c>
      <c r="B21" s="71" t="s">
        <v>1623</v>
      </c>
      <c r="C21" s="78" t="s">
        <v>1624</v>
      </c>
      <c r="D21" s="88">
        <f>'SCH B-2.3 B'!H21</f>
        <v>4317256222.5199995</v>
      </c>
      <c r="E21" s="130">
        <f t="shared" si="3"/>
        <v>0.93601532244933572</v>
      </c>
      <c r="F21" s="88">
        <f>SUMIFS('JURISSEP B'!$G$71:$G$225,'JURISSEP B'!$B$71:$B$225,$B21)</f>
        <v>4041017975.2184582</v>
      </c>
      <c r="G21" s="88">
        <f>SUMIFS('SCH B-2.2'!$F$12:$F$28,'SCH B-2.2'!$B$12:$B$28,'SCH B-2.1 B'!$B21)</f>
        <v>-1517271280.7680075</v>
      </c>
      <c r="H21" s="88">
        <f t="shared" si="4"/>
        <v>2523746694.4504509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B'!H22</f>
        <v>0</v>
      </c>
      <c r="E22" s="130"/>
      <c r="F22" s="88">
        <f>SUMIFS('JURISSEP B'!$G$71:$G$225,'JURISSEP B'!$B$71:$B$225,$B22)</f>
        <v>0</v>
      </c>
      <c r="G22" s="88">
        <f>SUMIFS('SCH B-2.2'!$F$12:$F$28,'SCH B-2.2'!$B$12:$B$28,'SCH B-2.1 B'!$B22)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1625</v>
      </c>
      <c r="C23" s="78" t="s">
        <v>1626</v>
      </c>
      <c r="D23" s="88">
        <f>'SCH B-2.3 B'!H23</f>
        <v>350903013.2899999</v>
      </c>
      <c r="E23" s="130">
        <f t="shared" si="3"/>
        <v>0.93399977205149365</v>
      </c>
      <c r="F23" s="88">
        <f>SUMIFS('JURISSEP B'!$G$71:$G$225,'JURISSEP B'!$B$71:$B$225,$B23)</f>
        <v>327743334.42504215</v>
      </c>
      <c r="G23" s="88">
        <f>SUMIFS('SCH B-2.2'!$F$12:$F$28,'SCH B-2.2'!$B$12:$B$28,'SCH B-2.1 B'!$B23)</f>
        <v>0</v>
      </c>
      <c r="H23" s="88">
        <f t="shared" si="4"/>
        <v>327743334.42504215</v>
      </c>
    </row>
    <row r="24" spans="1:8" ht="18.95" customHeight="1">
      <c r="A24" s="70">
        <f t="shared" si="0"/>
        <v>11</v>
      </c>
      <c r="B24" s="71" t="s">
        <v>1627</v>
      </c>
      <c r="C24" s="78" t="s">
        <v>1628</v>
      </c>
      <c r="D24" s="88">
        <f>'SCH B-2.3 B'!H24</f>
        <v>260304058.77999985</v>
      </c>
      <c r="E24" s="130">
        <f t="shared" si="3"/>
        <v>0.93410723317018329</v>
      </c>
      <c r="F24" s="88">
        <f>SUMIFS('JURISSEP B'!$G$71:$G$225,'JURISSEP B'!$B$71:$B$225,$B24)</f>
        <v>243151904.12995443</v>
      </c>
      <c r="G24" s="88">
        <f>SUMIFS('SCH B-2.2'!$F$12:$F$28,'SCH B-2.2'!$B$12:$B$28,'SCH B-2.1 B'!$B24)</f>
        <v>-35130893.792415135</v>
      </c>
      <c r="H24" s="88">
        <f t="shared" si="4"/>
        <v>208021010.33753929</v>
      </c>
    </row>
    <row r="25" spans="1:8" ht="18.95" customHeight="1">
      <c r="A25" s="70">
        <f t="shared" si="0"/>
        <v>12</v>
      </c>
      <c r="B25" s="71" t="s">
        <v>1629</v>
      </c>
      <c r="C25" s="78" t="s">
        <v>1630</v>
      </c>
      <c r="D25" s="88">
        <f>'SCH B-2.3 B'!H25</f>
        <v>42850318.379999995</v>
      </c>
      <c r="E25" s="130">
        <f t="shared" si="3"/>
        <v>0.93592381345569686</v>
      </c>
      <c r="F25" s="88">
        <f>SUMIFS('JURISSEP B'!$G$71:$G$225,'JURISSEP B'!$B$71:$B$225,$B25)</f>
        <v>40104633.386000335</v>
      </c>
      <c r="G25" s="88">
        <f>SUMIFS('SCH B-2.2'!$F$12:$F$28,'SCH B-2.2'!$B$12:$B$28,'SCH B-2.1 B'!$B25)</f>
        <v>-522354.46687711769</v>
      </c>
      <c r="H25" s="88">
        <f t="shared" si="4"/>
        <v>39582278.919123217</v>
      </c>
    </row>
    <row r="26" spans="1:8" ht="18.95" customHeight="1">
      <c r="A26" s="70">
        <f t="shared" si="0"/>
        <v>13</v>
      </c>
      <c r="B26" s="71" t="s">
        <v>1631</v>
      </c>
      <c r="C26" s="78" t="s">
        <v>1650</v>
      </c>
      <c r="D26" s="89">
        <f>'SCH B-2.3 B'!H26</f>
        <v>169288108.67000002</v>
      </c>
      <c r="E26" s="130">
        <f t="shared" si="3"/>
        <v>0.93811298816770394</v>
      </c>
      <c r="F26" s="89">
        <f>SUMIFS('JURISSEP B'!$G$71:$G$225,'JURISSEP B'!$B$71:$B$225,$B26)</f>
        <v>158811373.48567271</v>
      </c>
      <c r="G26" s="89">
        <f>SUMIFS('SCH B-2.2'!$F$12:$F$28,'SCH B-2.2'!$B$12:$B$28,'SCH B-2.1 B'!$B26)</f>
        <v>-158811373.49505383</v>
      </c>
      <c r="H26" s="89">
        <f t="shared" si="4"/>
        <v>-9.3811154365539551E-3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5521861237.0099983</v>
      </c>
      <c r="E27" s="130"/>
      <c r="F27" s="86">
        <f>SUM(F19:F26)</f>
        <v>5167317467.5569715</v>
      </c>
      <c r="G27" s="86">
        <f>SUM(G19:G26)</f>
        <v>-1747741508.0835726</v>
      </c>
      <c r="H27" s="86">
        <f>SUM(H19:H26)</f>
        <v>3419575959.4733982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1632</v>
      </c>
      <c r="C30" s="78" t="s">
        <v>154</v>
      </c>
      <c r="D30" s="88">
        <f>'SCH B-2.3 B'!H30</f>
        <v>855636.47000000009</v>
      </c>
      <c r="E30" s="130">
        <f t="shared" ref="E30:E37" si="5">F30/D30</f>
        <v>0.93811298816770394</v>
      </c>
      <c r="F30" s="88">
        <f>SUMIFS('JURISSEP B'!$G$71:$G$225,'JURISSEP B'!$B$71:$B$225,$B30)</f>
        <v>802683.68565696606</v>
      </c>
      <c r="G30" s="88">
        <f>SUMIFS('SCH B-2.2'!$F$12:$F$28,'SCH B-2.2'!$B$12:$B$28,'SCH B-2.1 B'!$B30)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1633</v>
      </c>
      <c r="C31" s="78" t="s">
        <v>148</v>
      </c>
      <c r="D31" s="88">
        <f>'SCH B-2.3 B'!H31</f>
        <v>4526614.1900000004</v>
      </c>
      <c r="E31" s="130">
        <f t="shared" si="5"/>
        <v>0.93793659463045209</v>
      </c>
      <c r="F31" s="88">
        <f>SUMIFS('JURISSEP B'!$G$71:$G$225,'JURISSEP B'!$B$71:$B$225,$B31)</f>
        <v>4245677.0985744828</v>
      </c>
      <c r="G31" s="88">
        <f>SUMIFS('SCH B-2.2'!$F$12:$F$28,'SCH B-2.2'!$B$12:$B$28,'SCH B-2.1 B'!$B31)</f>
        <v>0</v>
      </c>
      <c r="H31" s="88">
        <f t="shared" si="6"/>
        <v>4245677.0985744828</v>
      </c>
    </row>
    <row r="32" spans="1:8" ht="18.95" customHeight="1">
      <c r="A32" s="70">
        <f t="shared" si="0"/>
        <v>18</v>
      </c>
      <c r="B32" s="71" t="s">
        <v>1634</v>
      </c>
      <c r="C32" s="78" t="s">
        <v>1635</v>
      </c>
      <c r="D32" s="88">
        <f>'SCH B-2.3 B'!H32</f>
        <v>21979631.449999996</v>
      </c>
      <c r="E32" s="130">
        <f t="shared" si="5"/>
        <v>0.93770750955849269</v>
      </c>
      <c r="F32" s="88">
        <f>SUMIFS('JURISSEP B'!$G$71:$G$225,'JURISSEP B'!$B$71:$B$225,$B32)</f>
        <v>20610465.467993017</v>
      </c>
      <c r="G32" s="88">
        <f>SUMIFS('SCH B-2.2'!$F$12:$F$28,'SCH B-2.2'!$B$12:$B$28,'SCH B-2.1 B'!$B32)</f>
        <v>0</v>
      </c>
      <c r="H32" s="88">
        <f t="shared" si="6"/>
        <v>20610465.467993017</v>
      </c>
    </row>
    <row r="33" spans="1:8" ht="18.95" customHeight="1">
      <c r="A33" s="70">
        <f t="shared" si="0"/>
        <v>19</v>
      </c>
      <c r="B33" s="71" t="s">
        <v>1636</v>
      </c>
      <c r="C33" s="78" t="s">
        <v>1637</v>
      </c>
      <c r="D33" s="88">
        <f>'SCH B-2.3 B'!H33</f>
        <v>14046741.58</v>
      </c>
      <c r="E33" s="130">
        <f t="shared" si="5"/>
        <v>0.93724885447185491</v>
      </c>
      <c r="F33" s="88">
        <f>SUMIFS('JURISSEP B'!$G$71:$G$225,'JURISSEP B'!$B$71:$B$225,$B33)</f>
        <v>13165292.454917174</v>
      </c>
      <c r="G33" s="88">
        <f>SUMIFS('SCH B-2.2'!$F$12:$F$28,'SCH B-2.2'!$B$12:$B$28,'SCH B-2.1 B'!$B33)</f>
        <v>0</v>
      </c>
      <c r="H33" s="88">
        <f t="shared" si="6"/>
        <v>13165292.454917174</v>
      </c>
    </row>
    <row r="34" spans="1:8" ht="18.95" customHeight="1">
      <c r="A34" s="70">
        <f t="shared" si="0"/>
        <v>20</v>
      </c>
      <c r="B34" s="71" t="s">
        <v>1638</v>
      </c>
      <c r="C34" s="78" t="s">
        <v>1628</v>
      </c>
      <c r="D34" s="88">
        <f>'SCH B-2.3 B'!H34</f>
        <v>1360647.15</v>
      </c>
      <c r="E34" s="130">
        <f t="shared" si="5"/>
        <v>0.93752063784838413</v>
      </c>
      <c r="F34" s="88">
        <f>SUMIFS('JURISSEP B'!$G$71:$G$225,'JURISSEP B'!$B$71:$B$225,$B34)</f>
        <v>1275634.7839545859</v>
      </c>
      <c r="G34" s="88">
        <f>SUMIFS('SCH B-2.2'!$F$12:$F$28,'SCH B-2.2'!$B$12:$B$28,'SCH B-2.1 B'!$B34)</f>
        <v>0</v>
      </c>
      <c r="H34" s="88">
        <f t="shared" si="6"/>
        <v>1275634.7839545859</v>
      </c>
    </row>
    <row r="35" spans="1:8" ht="18.95" customHeight="1">
      <c r="A35" s="70">
        <f t="shared" si="0"/>
        <v>21</v>
      </c>
      <c r="B35" s="71" t="s">
        <v>1639</v>
      </c>
      <c r="C35" s="78" t="s">
        <v>1640</v>
      </c>
      <c r="D35" s="88">
        <f>'SCH B-2.3 B'!H35</f>
        <v>329374.18000000005</v>
      </c>
      <c r="E35" s="130">
        <f t="shared" si="5"/>
        <v>0.93700402548862272</v>
      </c>
      <c r="F35" s="88">
        <f>SUMIFS('JURISSEP B'!$G$71:$G$225,'JURISSEP B'!$B$71:$B$225,$B35)</f>
        <v>308624.93255201424</v>
      </c>
      <c r="G35" s="88">
        <f>SUMIFS('SCH B-2.2'!$F$12:$F$28,'SCH B-2.2'!$B$12:$B$28,'SCH B-2.1 B'!$B35)</f>
        <v>0</v>
      </c>
      <c r="H35" s="88">
        <f t="shared" si="6"/>
        <v>308624.93255201424</v>
      </c>
    </row>
    <row r="36" spans="1:8" ht="18.95" customHeight="1">
      <c r="A36" s="70">
        <f t="shared" si="0"/>
        <v>22</v>
      </c>
      <c r="B36" s="71" t="s">
        <v>1641</v>
      </c>
      <c r="C36" s="78" t="s">
        <v>1642</v>
      </c>
      <c r="D36" s="88">
        <f>'SCH B-2.3 B'!H36</f>
        <v>198899.83000000002</v>
      </c>
      <c r="E36" s="130">
        <f t="shared" si="5"/>
        <v>0.93811298816770394</v>
      </c>
      <c r="F36" s="88">
        <f>SUMIFS('JURISSEP B'!$G$71:$G$225,'JURISSEP B'!$B$71:$B$225,$B36)</f>
        <v>186590.51386734835</v>
      </c>
      <c r="G36" s="88">
        <f>SUMIFS('SCH B-2.2'!$F$12:$F$28,'SCH B-2.2'!$B$12:$B$28,'SCH B-2.1 B'!$B36)</f>
        <v>0</v>
      </c>
      <c r="H36" s="88">
        <f t="shared" si="6"/>
        <v>186590.51386734835</v>
      </c>
    </row>
    <row r="37" spans="1:8" ht="18.95" customHeight="1">
      <c r="A37" s="70">
        <f t="shared" si="0"/>
        <v>23</v>
      </c>
      <c r="B37" s="71" t="s">
        <v>1643</v>
      </c>
      <c r="C37" s="78" t="s">
        <v>1651</v>
      </c>
      <c r="D37" s="89">
        <f>'SCH B-2.3 B'!H37</f>
        <v>645787.99</v>
      </c>
      <c r="E37" s="130">
        <f t="shared" si="5"/>
        <v>0.93811298816770394</v>
      </c>
      <c r="F37" s="89">
        <f>SUMIFS('JURISSEP B'!$G$71:$G$225,'JURISSEP B'!$B$71:$B$225,$B37)</f>
        <v>605822.10102171532</v>
      </c>
      <c r="G37" s="89">
        <f>SUMIFS('SCH B-2.2'!$F$12:$F$28,'SCH B-2.2'!$B$12:$B$28,'SCH B-2.1 B'!$B37)</f>
        <v>-605822.10102171532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250</v>
      </c>
      <c r="C38" s="78" t="s">
        <v>147</v>
      </c>
      <c r="D38" s="86">
        <f>SUM(D30:D37)</f>
        <v>43943332.839999996</v>
      </c>
      <c r="E38" s="86"/>
      <c r="F38" s="86">
        <f t="shared" ref="F38:H38" si="7">SUM(F30:F37)</f>
        <v>41200791.038537301</v>
      </c>
      <c r="G38" s="86">
        <f t="shared" si="7"/>
        <v>-605822.10102171532</v>
      </c>
      <c r="H38" s="86">
        <f t="shared" si="7"/>
        <v>40594968.937515587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1644</v>
      </c>
      <c r="C41" s="78" t="s">
        <v>154</v>
      </c>
      <c r="D41" s="88">
        <f>'SCH B-2.3 B'!H41</f>
        <v>894512.89999999991</v>
      </c>
      <c r="E41" s="130">
        <f t="shared" ref="E41:E44" si="8">F41/D41</f>
        <v>0.96306196587543147</v>
      </c>
      <c r="F41" s="88">
        <f>SUMIFS('JURISSEP B'!$G$71:$G$225,'JURISSEP B'!$B$71:$B$225,$B41)</f>
        <v>861471.35197493318</v>
      </c>
      <c r="G41" s="88">
        <f>SUMIFS('SCH B-2.2'!$F$12:$F$28,'SCH B-2.2'!$B$12:$B$28,'SCH B-2.1 B'!$B41)</f>
        <v>0</v>
      </c>
      <c r="H41" s="88">
        <f t="shared" ref="H41:H44" si="9">SUM(F41:G41)</f>
        <v>861471.35197493318</v>
      </c>
    </row>
    <row r="42" spans="1:8" ht="18.95" customHeight="1">
      <c r="A42" s="70">
        <f t="shared" si="0"/>
        <v>27</v>
      </c>
      <c r="B42" s="71" t="s">
        <v>1645</v>
      </c>
      <c r="C42" s="78" t="s">
        <v>148</v>
      </c>
      <c r="D42" s="88">
        <f>'SCH B-2.3 B'!H42</f>
        <v>90539295.530000001</v>
      </c>
      <c r="E42" s="130">
        <f t="shared" si="8"/>
        <v>0.93737684711483515</v>
      </c>
      <c r="F42" s="88">
        <f>SUMIFS('JURISSEP B'!$G$71:$G$225,'JURISSEP B'!$B$71:$B$225,$B42)</f>
        <v>84869439.383909687</v>
      </c>
      <c r="G42" s="88">
        <f>SUMIFS('SCH B-2.2'!$F$12:$F$28,'SCH B-2.2'!$B$12:$B$28,'SCH B-2.1 B'!$B42)</f>
        <v>0</v>
      </c>
      <c r="H42" s="88">
        <f t="shared" si="9"/>
        <v>84869439.383909687</v>
      </c>
    </row>
    <row r="43" spans="1:8" ht="18.95" customHeight="1">
      <c r="A43" s="70">
        <f t="shared" si="0"/>
        <v>28</v>
      </c>
      <c r="B43" s="71" t="s">
        <v>1646</v>
      </c>
      <c r="C43" s="78" t="s">
        <v>1647</v>
      </c>
      <c r="D43" s="88">
        <f>'SCH B-2.3 B'!H43</f>
        <v>84168419.36999999</v>
      </c>
      <c r="E43" s="130">
        <f t="shared" si="8"/>
        <v>0.93781091033569786</v>
      </c>
      <c r="F43" s="88">
        <f>SUMIFS('JURISSEP B'!$G$71:$G$225,'JURISSEP B'!$B$71:$B$225,$B43)</f>
        <v>78934061.990896478</v>
      </c>
      <c r="G43" s="88">
        <f>SUMIFS('SCH B-2.2'!$F$12:$F$28,'SCH B-2.2'!$B$12:$B$28,'SCH B-2.1 B'!$B43)</f>
        <v>0</v>
      </c>
      <c r="H43" s="88">
        <f t="shared" si="9"/>
        <v>78934061.990896478</v>
      </c>
    </row>
    <row r="44" spans="1:8" ht="18.95" customHeight="1">
      <c r="A44" s="70">
        <f t="shared" si="0"/>
        <v>29</v>
      </c>
      <c r="B44" s="71" t="s">
        <v>1648</v>
      </c>
      <c r="C44" s="78" t="s">
        <v>1649</v>
      </c>
      <c r="D44" s="88">
        <f>'SCH B-2.3 B'!H44</f>
        <v>683425048.57999802</v>
      </c>
      <c r="E44" s="130">
        <f t="shared" si="8"/>
        <v>0.93716148593800874</v>
      </c>
      <c r="F44" s="88">
        <f>SUMIFS('JURISSEP B'!$G$71:$G$225,'JURISSEP B'!$B$71:$B$225,$B44)</f>
        <v>640479634.05448675</v>
      </c>
      <c r="G44" s="88">
        <f>SUMIFS('SCH B-2.2'!$F$12:$F$28,'SCH B-2.2'!$B$12:$B$28,'SCH B-2.1 B'!$B44)</f>
        <v>0</v>
      </c>
      <c r="H44" s="88">
        <f t="shared" si="9"/>
        <v>640479634.05448675</v>
      </c>
    </row>
    <row r="45" spans="1:8" s="68" customFormat="1" ht="20.100000000000001" customHeight="1">
      <c r="A45" s="809" t="str">
        <f>$A$1</f>
        <v>KENTUCKY UTILITIES COMPANY</v>
      </c>
      <c r="B45" s="809"/>
      <c r="C45" s="809"/>
      <c r="D45" s="809"/>
      <c r="E45" s="809"/>
      <c r="F45" s="809"/>
      <c r="G45" s="809"/>
      <c r="H45" s="809"/>
    </row>
    <row r="46" spans="1:8" s="68" customFormat="1" ht="20.100000000000001" customHeight="1">
      <c r="A46" s="809" t="str">
        <f>$A$2</f>
        <v>CASE NO. 2020-00349</v>
      </c>
      <c r="B46" s="809"/>
      <c r="C46" s="809"/>
      <c r="D46" s="809"/>
      <c r="E46" s="809"/>
      <c r="F46" s="809"/>
      <c r="G46" s="809"/>
      <c r="H46" s="809"/>
    </row>
    <row r="47" spans="1:8" s="68" customFormat="1" ht="20.100000000000001" customHeight="1">
      <c r="A47" s="809" t="str">
        <f>$A$3</f>
        <v>PLANT IN SERVICE BY ACCOUNTS AND SUBACCOUNTS</v>
      </c>
      <c r="B47" s="809"/>
      <c r="C47" s="809"/>
      <c r="D47" s="809"/>
      <c r="E47" s="809"/>
      <c r="F47" s="809"/>
      <c r="G47" s="809"/>
      <c r="H47" s="809"/>
    </row>
    <row r="48" spans="1:8" s="68" customFormat="1" ht="20.100000000000001" customHeight="1">
      <c r="A48" s="808" t="str">
        <f>$A$4</f>
        <v>AS OF FEBRUARY 28, 2021</v>
      </c>
      <c r="B48" s="809"/>
      <c r="C48" s="809"/>
      <c r="D48" s="809"/>
      <c r="E48" s="809"/>
      <c r="F48" s="809"/>
      <c r="G48" s="809"/>
      <c r="H48" s="809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4" t="s">
        <v>227</v>
      </c>
    </row>
    <row r="51" spans="1:8" s="68" customFormat="1" ht="20.100000000000001" customHeight="1">
      <c r="A51" s="67" t="str">
        <f>$A$7</f>
        <v>TYPE OF FILING: __X__ ORIGINAL  _____ UPDATED  _____ REVISED</v>
      </c>
      <c r="G51" s="74"/>
      <c r="H51" s="74" t="s">
        <v>171</v>
      </c>
    </row>
    <row r="52" spans="1:8" s="68" customFormat="1" ht="20.100000000000001" customHeight="1">
      <c r="A52" s="67" t="str">
        <f>$A$8</f>
        <v xml:space="preserve">WORKPAPER REFERENCE NO(S).: 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221</v>
      </c>
      <c r="D54" s="76" t="s">
        <v>222</v>
      </c>
      <c r="E54" s="76" t="s">
        <v>223</v>
      </c>
      <c r="F54" s="76" t="s">
        <v>224</v>
      </c>
      <c r="G54" s="76" t="s">
        <v>225</v>
      </c>
      <c r="H54" s="76" t="s">
        <v>226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1652</v>
      </c>
      <c r="C56" s="78" t="s">
        <v>1653</v>
      </c>
      <c r="D56" s="88">
        <f>'SCH B-2.3 B'!H56</f>
        <v>137341370.26999992</v>
      </c>
      <c r="E56" s="130">
        <f t="shared" ref="E56:E59" si="10">F56/D56</f>
        <v>0.9374652592948407</v>
      </c>
      <c r="F56" s="88">
        <f>SUMIFS('JURISSEP B'!$G$71:$G$225,'JURISSEP B'!$B$71:$B$225,$B56)</f>
        <v>128752763.2920742</v>
      </c>
      <c r="G56" s="88">
        <f>SUMIFS('SCH B-2.2'!$F$12:$F$28,'SCH B-2.2'!$B$12:$B$28,'SCH B-2.1 B'!$B56)</f>
        <v>0</v>
      </c>
      <c r="H56" s="88">
        <f t="shared" ref="H56:H59" si="11">SUM(F56:G56)</f>
        <v>128752763.2920742</v>
      </c>
    </row>
    <row r="57" spans="1:8" ht="18.95" customHeight="1">
      <c r="A57" s="70">
        <f t="shared" si="0"/>
        <v>31</v>
      </c>
      <c r="B57" s="71" t="s">
        <v>1654</v>
      </c>
      <c r="C57" s="78" t="s">
        <v>1628</v>
      </c>
      <c r="D57" s="88">
        <f>'SCH B-2.3 B'!H57</f>
        <v>77437350</v>
      </c>
      <c r="E57" s="130">
        <f t="shared" si="10"/>
        <v>0.93756528303156517</v>
      </c>
      <c r="F57" s="88">
        <f>SUMIFS('JURISSEP B'!$G$71:$G$225,'JURISSEP B'!$B$71:$B$225,$B57)</f>
        <v>72602570.96996437</v>
      </c>
      <c r="G57" s="88">
        <f>SUMIFS('SCH B-2.2'!$F$12:$F$28,'SCH B-2.2'!$B$12:$B$28,'SCH B-2.1 B'!$B57)</f>
        <v>0</v>
      </c>
      <c r="H57" s="88">
        <f t="shared" si="11"/>
        <v>72602570.96996437</v>
      </c>
    </row>
    <row r="58" spans="1:8" ht="18.95" customHeight="1">
      <c r="A58" s="70">
        <f t="shared" si="0"/>
        <v>32</v>
      </c>
      <c r="B58" s="71" t="s">
        <v>1655</v>
      </c>
      <c r="C58" s="78" t="s">
        <v>1640</v>
      </c>
      <c r="D58" s="88">
        <f>'SCH B-2.3 B'!H58</f>
        <v>9399509.9400000013</v>
      </c>
      <c r="E58" s="130">
        <f t="shared" si="10"/>
        <v>0.93755919180863767</v>
      </c>
      <c r="F58" s="88">
        <f>SUMIFS('JURISSEP B'!$G$71:$G$225,'JURISSEP B'!$B$71:$B$225,$B58)</f>
        <v>8812596.9427436572</v>
      </c>
      <c r="G58" s="88">
        <f>SUMIFS('SCH B-2.2'!$F$12:$F$28,'SCH B-2.2'!$B$12:$B$28,'SCH B-2.1 B'!$B58)</f>
        <v>0</v>
      </c>
      <c r="H58" s="88">
        <f t="shared" si="11"/>
        <v>8812596.9427436572</v>
      </c>
    </row>
    <row r="59" spans="1:8" ht="18.95" customHeight="1">
      <c r="A59" s="70">
        <f t="shared" si="0"/>
        <v>33</v>
      </c>
      <c r="B59" s="71" t="s">
        <v>1656</v>
      </c>
      <c r="C59" s="78" t="s">
        <v>1691</v>
      </c>
      <c r="D59" s="89">
        <f>'SCH B-2.3 B'!H59</f>
        <v>406991.12</v>
      </c>
      <c r="E59" s="130">
        <f t="shared" si="10"/>
        <v>0.93811298816770394</v>
      </c>
      <c r="F59" s="89">
        <f>SUMIFS('JURISSEP B'!$G$71:$G$225,'JURISSEP B'!$B$71:$B$225,$B59)</f>
        <v>381803.65574092057</v>
      </c>
      <c r="G59" s="89">
        <f>SUMIFS('SCH B-2.2'!$F$12:$F$28,'SCH B-2.2'!$B$12:$B$28,'SCH B-2.1 B'!$B59)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1083612497.7099979</v>
      </c>
      <c r="E60" s="86"/>
      <c r="F60" s="86">
        <f t="shared" ref="F60:H60" si="12">SUM(F41:F44,F56:F59)</f>
        <v>1015694341.6417911</v>
      </c>
      <c r="G60" s="86">
        <f t="shared" si="12"/>
        <v>-381803.65574092057</v>
      </c>
      <c r="H60" s="86">
        <f t="shared" si="12"/>
        <v>1015312537.9860501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1657</v>
      </c>
      <c r="C63" s="78" t="s">
        <v>154</v>
      </c>
      <c r="D63" s="88">
        <f>'SCH B-2.3 B'!H63</f>
        <v>33075169.610000003</v>
      </c>
      <c r="E63" s="130">
        <f t="shared" ref="E63:E71" si="13">F63/D63</f>
        <v>0.89149674693770464</v>
      </c>
      <c r="F63" s="88">
        <f>SUMIFS('JURISSEP B'!$G$71:$G$225,'JURISSEP B'!$B$71:$B$225,$B63)</f>
        <v>29486406.111727834</v>
      </c>
      <c r="G63" s="88">
        <f>SUMIFS('SCH B-2.2'!$F$12:$F$28,'SCH B-2.2'!$B$12:$B$28,'SCH B-2.1 B'!$B63)</f>
        <v>0</v>
      </c>
      <c r="H63" s="88">
        <f t="shared" ref="H63:H71" si="14">SUM(F63:G63)</f>
        <v>29486406.111727834</v>
      </c>
    </row>
    <row r="64" spans="1:8" ht="18.95" customHeight="1">
      <c r="A64" s="70">
        <f t="shared" si="0"/>
        <v>37</v>
      </c>
      <c r="B64" s="71" t="s">
        <v>1658</v>
      </c>
      <c r="C64" s="78" t="s">
        <v>148</v>
      </c>
      <c r="D64" s="88">
        <f>'SCH B-2.3 B'!H64</f>
        <v>33769377.219999984</v>
      </c>
      <c r="E64" s="130">
        <f t="shared" si="13"/>
        <v>0.90441128309949981</v>
      </c>
      <c r="F64" s="88">
        <f>SUMIFS('JURISSEP B'!$G$71:$G$225,'JURISSEP B'!$B$71:$B$225,$B64)</f>
        <v>30541405.781011205</v>
      </c>
      <c r="G64" s="88">
        <f>SUMIFS('SCH B-2.2'!$F$12:$F$28,'SCH B-2.2'!$B$12:$B$28,'SCH B-2.1 B'!$B64)</f>
        <v>0</v>
      </c>
      <c r="H64" s="88">
        <f t="shared" si="14"/>
        <v>30541405.781011205</v>
      </c>
    </row>
    <row r="65" spans="1:8" ht="18.95" customHeight="1">
      <c r="A65" s="70">
        <f t="shared" si="0"/>
        <v>38</v>
      </c>
      <c r="B65" s="71" t="s">
        <v>1659</v>
      </c>
      <c r="C65" s="78" t="s">
        <v>149</v>
      </c>
      <c r="D65" s="88">
        <f>'SCH B-2.3 B'!H65</f>
        <v>389509470.60999995</v>
      </c>
      <c r="E65" s="130">
        <f t="shared" si="13"/>
        <v>0.88028038448239865</v>
      </c>
      <c r="F65" s="88">
        <f>SUMIFS('JURISSEP B'!$G$71:$G$225,'JURISSEP B'!$B$71:$B$225,$B65)</f>
        <v>342877546.54810631</v>
      </c>
      <c r="G65" s="88">
        <f>SUMIFS('SCH B-2.2'!$F$12:$F$28,'SCH B-2.2'!$B$12:$B$28,'SCH B-2.1 B'!$B65)</f>
        <v>0</v>
      </c>
      <c r="H65" s="88">
        <f t="shared" si="14"/>
        <v>342877546.54810631</v>
      </c>
    </row>
    <row r="66" spans="1:8" ht="18.95" customHeight="1">
      <c r="A66" s="70">
        <f t="shared" si="0"/>
        <v>39</v>
      </c>
      <c r="B66" s="71" t="s">
        <v>1660</v>
      </c>
      <c r="C66" s="78" t="s">
        <v>1661</v>
      </c>
      <c r="D66" s="88">
        <f>'SCH B-2.3 B'!H66</f>
        <v>77967975.879999995</v>
      </c>
      <c r="E66" s="130">
        <f t="shared" si="13"/>
        <v>0.92449951749139125</v>
      </c>
      <c r="F66" s="88">
        <f>SUMIFS('JURISSEP B'!$G$71:$G$225,'JURISSEP B'!$B$71:$B$225,$B66)</f>
        <v>72081356.080840424</v>
      </c>
      <c r="G66" s="88">
        <f>SUMIFS('SCH B-2.2'!$F$12:$F$28,'SCH B-2.2'!$B$12:$B$28,'SCH B-2.1 B'!$B66)</f>
        <v>0</v>
      </c>
      <c r="H66" s="88">
        <f t="shared" si="14"/>
        <v>72081356.080840424</v>
      </c>
    </row>
    <row r="67" spans="1:8" ht="18.95" customHeight="1">
      <c r="A67" s="70">
        <f t="shared" si="0"/>
        <v>40</v>
      </c>
      <c r="B67" s="71" t="s">
        <v>1662</v>
      </c>
      <c r="C67" s="78" t="s">
        <v>1663</v>
      </c>
      <c r="D67" s="88">
        <f>'SCH B-2.3 B'!H67</f>
        <v>529696280.09999985</v>
      </c>
      <c r="E67" s="130">
        <f t="shared" si="13"/>
        <v>0.91816749673536036</v>
      </c>
      <c r="F67" s="88">
        <f>SUMIFS('JURISSEP B'!$G$71:$G$225,'JURISSEP B'!$B$71:$B$225,$B67)</f>
        <v>486349907.52944911</v>
      </c>
      <c r="G67" s="88">
        <f>SUMIFS('SCH B-2.2'!$F$12:$F$28,'SCH B-2.2'!$B$12:$B$28,'SCH B-2.1 B'!$B67)</f>
        <v>0</v>
      </c>
      <c r="H67" s="88">
        <f t="shared" si="14"/>
        <v>486349907.52944911</v>
      </c>
    </row>
    <row r="68" spans="1:8" ht="18.95" customHeight="1">
      <c r="A68" s="70">
        <f t="shared" si="0"/>
        <v>41</v>
      </c>
      <c r="B68" s="71" t="s">
        <v>1664</v>
      </c>
      <c r="C68" s="78" t="s">
        <v>1665</v>
      </c>
      <c r="D68" s="88">
        <f>'SCH B-2.3 B'!H68</f>
        <v>241562631.69000003</v>
      </c>
      <c r="E68" s="130">
        <f t="shared" si="13"/>
        <v>0.88827037276820786</v>
      </c>
      <c r="F68" s="88">
        <f>SUMIFS('JURISSEP B'!$G$71:$G$225,'JURISSEP B'!$B$71:$B$225,$B68)</f>
        <v>214572928.89814562</v>
      </c>
      <c r="G68" s="88">
        <f>SUMIFS('SCH B-2.2'!$F$12:$F$28,'SCH B-2.2'!$B$12:$B$28,'SCH B-2.1 B'!$B68)</f>
        <v>0</v>
      </c>
      <c r="H68" s="88">
        <f t="shared" si="14"/>
        <v>214572928.89814562</v>
      </c>
    </row>
    <row r="69" spans="1:8" ht="18.95" customHeight="1">
      <c r="A69" s="70">
        <f t="shared" si="0"/>
        <v>42</v>
      </c>
      <c r="B69" s="71" t="s">
        <v>1666</v>
      </c>
      <c r="C69" s="78" t="s">
        <v>1667</v>
      </c>
      <c r="D69" s="88">
        <f>'SCH B-2.3 B'!H69</f>
        <v>618493.80999999994</v>
      </c>
      <c r="E69" s="130">
        <f t="shared" si="13"/>
        <v>0.95608844729881304</v>
      </c>
      <c r="F69" s="88">
        <f>SUMIFS('JURISSEP B'!$G$71:$G$225,'JURISSEP B'!$B$71:$B$225,$B69)</f>
        <v>591334.78646682703</v>
      </c>
      <c r="G69" s="88">
        <f>SUMIFS('SCH B-2.2'!$F$12:$F$28,'SCH B-2.2'!$B$12:$B$28,'SCH B-2.1 B'!$B69)</f>
        <v>0</v>
      </c>
      <c r="H69" s="88">
        <f t="shared" si="14"/>
        <v>591334.78646682703</v>
      </c>
    </row>
    <row r="70" spans="1:8" ht="18.95" customHeight="1">
      <c r="A70" s="70">
        <f t="shared" si="0"/>
        <v>43</v>
      </c>
      <c r="B70" s="71" t="s">
        <v>1668</v>
      </c>
      <c r="C70" s="78" t="s">
        <v>1669</v>
      </c>
      <c r="D70" s="88">
        <f>'SCH B-2.3 B'!H70</f>
        <v>1235015.1699999997</v>
      </c>
      <c r="E70" s="130">
        <f t="shared" si="13"/>
        <v>0.95566775759018485</v>
      </c>
      <c r="F70" s="88">
        <f>SUMIFS('JURISSEP B'!$G$71:$G$225,'JURISSEP B'!$B$71:$B$225,$B70)</f>
        <v>1180264.1781037606</v>
      </c>
      <c r="G70" s="88">
        <f>SUMIFS('SCH B-2.2'!$F$12:$F$28,'SCH B-2.2'!$B$12:$B$28,'SCH B-2.1 B'!$B70)</f>
        <v>0</v>
      </c>
      <c r="H70" s="88">
        <f t="shared" si="14"/>
        <v>1180264.1781037606</v>
      </c>
    </row>
    <row r="71" spans="1:8" ht="18.95" customHeight="1">
      <c r="A71" s="70">
        <f t="shared" si="0"/>
        <v>44</v>
      </c>
      <c r="B71" s="71" t="s">
        <v>1670</v>
      </c>
      <c r="C71" s="78" t="s">
        <v>152</v>
      </c>
      <c r="D71" s="89">
        <f>'SCH B-2.3 B'!H71</f>
        <v>254317.41</v>
      </c>
      <c r="E71" s="130">
        <f t="shared" si="13"/>
        <v>0.956674275012947</v>
      </c>
      <c r="F71" s="89">
        <f>SUMIFS('JURISSEP B'!$G$71:$G$225,'JURISSEP B'!$B$71:$B$225,$B71)</f>
        <v>243298.9238349204</v>
      </c>
      <c r="G71" s="89">
        <f>SUMIFS('SCH B-2.2'!$F$12:$F$28,'SCH B-2.2'!$B$12:$B$28,'SCH B-2.1 B'!$B71)</f>
        <v>-243298.9238349204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1307688731.5</v>
      </c>
      <c r="E72" s="86"/>
      <c r="F72" s="86">
        <f t="shared" ref="F72:H72" si="15">SUM(F63:F71)</f>
        <v>1177924448.8376861</v>
      </c>
      <c r="G72" s="86">
        <f t="shared" si="15"/>
        <v>-243298.9238349204</v>
      </c>
      <c r="H72" s="86">
        <f t="shared" si="15"/>
        <v>1177681149.913851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250</v>
      </c>
      <c r="C74" s="90" t="s">
        <v>16</v>
      </c>
    </row>
    <row r="75" spans="1:8" ht="18.95" customHeight="1">
      <c r="A75" s="70">
        <f t="shared" si="0"/>
        <v>47</v>
      </c>
      <c r="B75" s="71" t="s">
        <v>1671</v>
      </c>
      <c r="C75" s="78" t="s">
        <v>154</v>
      </c>
      <c r="D75" s="88">
        <f>'SCH B-2.3 B'!H75</f>
        <v>9235858.4900000021</v>
      </c>
      <c r="E75" s="130">
        <f t="shared" ref="E75:E87" si="16">F75/D75</f>
        <v>0.96593225195679666</v>
      </c>
      <c r="F75" s="88">
        <f>SUMIFS('JURISSEP B'!$G$71:$G$225,'JURISSEP B'!$B$71:$B$225,$B75)</f>
        <v>8921213.5900000017</v>
      </c>
      <c r="G75" s="88">
        <f>SUMIFS('SCH B-2.2'!$F$12:$F$28,'SCH B-2.2'!$B$12:$B$28,'SCH B-2.1 B'!$B75)</f>
        <v>0</v>
      </c>
      <c r="H75" s="88">
        <f t="shared" ref="H75:H87" si="17">SUM(F75:G75)</f>
        <v>8921213.5900000017</v>
      </c>
    </row>
    <row r="76" spans="1:8" ht="18.95" customHeight="1">
      <c r="A76" s="70">
        <f t="shared" si="0"/>
        <v>48</v>
      </c>
      <c r="B76" s="71" t="s">
        <v>1672</v>
      </c>
      <c r="C76" s="78" t="s">
        <v>148</v>
      </c>
      <c r="D76" s="88">
        <f>'SCH B-2.3 B'!H76</f>
        <v>28666612.359999899</v>
      </c>
      <c r="E76" s="130">
        <f t="shared" si="16"/>
        <v>0.964362602487851</v>
      </c>
      <c r="F76" s="88">
        <f>SUMIFS('JURISSEP B'!$G$71:$G$225,'JURISSEP B'!$B$71:$B$225,$B76)</f>
        <v>27645008.899999898</v>
      </c>
      <c r="G76" s="88">
        <f>SUMIFS('SCH B-2.2'!$F$12:$F$28,'SCH B-2.2'!$B$12:$B$28,'SCH B-2.1 B'!$B76)</f>
        <v>0</v>
      </c>
      <c r="H76" s="88">
        <f t="shared" si="17"/>
        <v>27645008.899999898</v>
      </c>
    </row>
    <row r="77" spans="1:8" ht="18.95" customHeight="1">
      <c r="A77" s="70">
        <f t="shared" si="0"/>
        <v>49</v>
      </c>
      <c r="B77" s="71" t="s">
        <v>1673</v>
      </c>
      <c r="C77" s="78" t="s">
        <v>1674</v>
      </c>
      <c r="D77" s="88">
        <f>'SCH B-2.3 B'!H77</f>
        <v>287447572.55999994</v>
      </c>
      <c r="E77" s="130">
        <f t="shared" si="16"/>
        <v>0.95713530463915097</v>
      </c>
      <c r="F77" s="88">
        <f>SUMIFS('JURISSEP B'!$G$71:$G$225,'JURISSEP B'!$B$71:$B$225,$B77)</f>
        <v>275126219.93000001</v>
      </c>
      <c r="G77" s="88">
        <f>SUMIFS('SCH B-2.2'!$F$12:$F$28,'SCH B-2.2'!$B$12:$B$28,'SCH B-2.1 B'!$B77)</f>
        <v>0</v>
      </c>
      <c r="H77" s="88">
        <f t="shared" si="17"/>
        <v>275126219.93000001</v>
      </c>
    </row>
    <row r="78" spans="1:8" ht="18.95" customHeight="1">
      <c r="A78" s="70">
        <f t="shared" ref="A78:A88" si="18">A77+1</f>
        <v>50</v>
      </c>
      <c r="B78" s="71" t="s">
        <v>1675</v>
      </c>
      <c r="C78" s="78" t="s">
        <v>1676</v>
      </c>
      <c r="D78" s="88">
        <f>'SCH B-2.3 B'!H78</f>
        <v>469639272.19000006</v>
      </c>
      <c r="E78" s="130">
        <f t="shared" si="16"/>
        <v>0.92944101785722499</v>
      </c>
      <c r="F78" s="88">
        <f>SUMIFS('JURISSEP B'!$G$71:$G$225,'JURISSEP B'!$B$71:$B$225,$B78)</f>
        <v>436502003.17000002</v>
      </c>
      <c r="G78" s="88">
        <f>SUMIFS('SCH B-2.2'!$F$12:$F$28,'SCH B-2.2'!$B$12:$B$28,'SCH B-2.1 B'!$B78)</f>
        <v>-96328.326653483149</v>
      </c>
      <c r="H78" s="88">
        <f t="shared" si="17"/>
        <v>436405674.84334654</v>
      </c>
    </row>
    <row r="79" spans="1:8" ht="18.95" customHeight="1">
      <c r="A79" s="70">
        <f t="shared" si="18"/>
        <v>51</v>
      </c>
      <c r="B79" s="71" t="s">
        <v>1677</v>
      </c>
      <c r="C79" s="78" t="s">
        <v>1665</v>
      </c>
      <c r="D79" s="88">
        <f>'SCH B-2.3 B'!H79</f>
        <v>481126602.20999998</v>
      </c>
      <c r="E79" s="130">
        <f t="shared" si="16"/>
        <v>0.93745706767869375</v>
      </c>
      <c r="F79" s="88">
        <f>SUMIFS('JURISSEP B'!$G$71:$G$225,'JURISSEP B'!$B$71:$B$225,$B79)</f>
        <v>451035533.68999994</v>
      </c>
      <c r="G79" s="88">
        <f>SUMIFS('SCH B-2.2'!$F$12:$F$28,'SCH B-2.2'!$B$12:$B$28,'SCH B-2.1 B'!$B79)</f>
        <v>-84172.113955614244</v>
      </c>
      <c r="H79" s="88">
        <f t="shared" si="17"/>
        <v>450951361.57604432</v>
      </c>
    </row>
    <row r="80" spans="1:8" ht="18.95" customHeight="1">
      <c r="A80" s="70">
        <f t="shared" si="18"/>
        <v>52</v>
      </c>
      <c r="B80" s="71" t="s">
        <v>1678</v>
      </c>
      <c r="C80" s="78" t="s">
        <v>1667</v>
      </c>
      <c r="D80" s="88">
        <f>'SCH B-2.3 B'!H80</f>
        <v>2524144.5199999991</v>
      </c>
      <c r="E80" s="130">
        <f t="shared" si="16"/>
        <v>1</v>
      </c>
      <c r="F80" s="88">
        <f>SUMIFS('JURISSEP B'!$G$71:$G$225,'JURISSEP B'!$B$71:$B$225,$B80)</f>
        <v>2524144.5199999991</v>
      </c>
      <c r="G80" s="88">
        <f>SUMIFS('SCH B-2.2'!$F$12:$F$28,'SCH B-2.2'!$B$12:$B$28,'SCH B-2.1 B'!$B80)</f>
        <v>-216870.109999999</v>
      </c>
      <c r="H80" s="88">
        <f t="shared" si="17"/>
        <v>2307274.41</v>
      </c>
    </row>
    <row r="81" spans="1:8" ht="18.95" customHeight="1">
      <c r="A81" s="70">
        <f t="shared" si="18"/>
        <v>53</v>
      </c>
      <c r="B81" s="71" t="s">
        <v>1679</v>
      </c>
      <c r="C81" s="78" t="s">
        <v>1669</v>
      </c>
      <c r="D81" s="88">
        <f>'SCH B-2.3 B'!H81</f>
        <v>234091780.20999995</v>
      </c>
      <c r="E81" s="130">
        <f t="shared" si="16"/>
        <v>0.978788766886451</v>
      </c>
      <c r="F81" s="88">
        <f>SUMIFS('JURISSEP B'!$G$71:$G$225,'JURISSEP B'!$B$71:$B$225,$B81)</f>
        <v>229126404.88999996</v>
      </c>
      <c r="G81" s="88">
        <f>SUMIFS('SCH B-2.2'!$F$12:$F$28,'SCH B-2.2'!$B$12:$B$28,'SCH B-2.1 B'!$B81)</f>
        <v>-1151811.1854228396</v>
      </c>
      <c r="H81" s="88">
        <f t="shared" si="17"/>
        <v>227974593.70457712</v>
      </c>
    </row>
    <row r="82" spans="1:8" ht="18.95" customHeight="1">
      <c r="A82" s="70">
        <f t="shared" si="18"/>
        <v>54</v>
      </c>
      <c r="B82" s="71" t="s">
        <v>1680</v>
      </c>
      <c r="C82" s="78" t="s">
        <v>1681</v>
      </c>
      <c r="D82" s="88">
        <f>'SCH B-2.3 B'!H82</f>
        <v>332710658.80999994</v>
      </c>
      <c r="E82" s="130">
        <f t="shared" si="16"/>
        <v>0.96684450753860729</v>
      </c>
      <c r="F82" s="88">
        <f>SUMIFS('JURISSEP B'!$G$71:$G$225,'JURISSEP B'!$B$71:$B$225,$B82)</f>
        <v>321679473.06999999</v>
      </c>
      <c r="G82" s="88">
        <f>SUMIFS('SCH B-2.2'!$F$12:$F$28,'SCH B-2.2'!$B$12:$B$28,'SCH B-2.1 B'!$B82)</f>
        <v>0</v>
      </c>
      <c r="H82" s="88">
        <f t="shared" si="17"/>
        <v>321679473.06999999</v>
      </c>
    </row>
    <row r="83" spans="1:8" ht="18.95" customHeight="1">
      <c r="A83" s="70">
        <f t="shared" si="18"/>
        <v>55</v>
      </c>
      <c r="B83" s="71" t="s">
        <v>1682</v>
      </c>
      <c r="C83" s="78" t="s">
        <v>1683</v>
      </c>
      <c r="D83" s="88">
        <f>'SCH B-2.3 B'!H83</f>
        <v>131204891.62</v>
      </c>
      <c r="E83" s="130">
        <f t="shared" si="16"/>
        <v>0.9519341608218006</v>
      </c>
      <c r="F83" s="88">
        <f>SUMIFS('JURISSEP B'!$G$71:$G$225,'JURISSEP B'!$B$71:$B$225,$B83)</f>
        <v>124898418.40000001</v>
      </c>
      <c r="G83" s="88">
        <f>SUMIFS('SCH B-2.2'!$F$12:$F$28,'SCH B-2.2'!$B$12:$B$28,'SCH B-2.1 B'!$B83)</f>
        <v>0</v>
      </c>
      <c r="H83" s="88">
        <f t="shared" si="17"/>
        <v>124898418.40000001</v>
      </c>
    </row>
    <row r="84" spans="1:8" ht="18.95" customHeight="1">
      <c r="A84" s="70">
        <f>A83+1</f>
        <v>56</v>
      </c>
      <c r="B84" s="71" t="s">
        <v>1684</v>
      </c>
      <c r="C84" s="78" t="s">
        <v>1685</v>
      </c>
      <c r="D84" s="88">
        <f>'SCH B-2.3 B'!H84</f>
        <v>80430730.219999999</v>
      </c>
      <c r="E84" s="130">
        <f t="shared" si="16"/>
        <v>0.94734862112507612</v>
      </c>
      <c r="F84" s="88">
        <f>SUMIFS('JURISSEP B'!$G$71:$G$225,'JURISSEP B'!$B$71:$B$225,$B84)</f>
        <v>76195941.36999999</v>
      </c>
      <c r="G84" s="88">
        <f>SUMIFS('SCH B-2.2'!$F$12:$F$28,'SCH B-2.2'!$B$12:$B$28,'SCH B-2.1 B'!$B84)</f>
        <v>-3003280.6799999997</v>
      </c>
      <c r="H84" s="88">
        <f t="shared" si="17"/>
        <v>73192660.689999998</v>
      </c>
    </row>
    <row r="85" spans="1:8" ht="18.95" customHeight="1">
      <c r="A85" s="70">
        <f t="shared" si="18"/>
        <v>57</v>
      </c>
      <c r="B85" s="71" t="s">
        <v>1686</v>
      </c>
      <c r="C85" s="78" t="s">
        <v>1687</v>
      </c>
      <c r="D85" s="88">
        <f>'SCH B-2.3 B'!H85</f>
        <v>159233.81</v>
      </c>
      <c r="E85" s="130">
        <f t="shared" si="16"/>
        <v>1</v>
      </c>
      <c r="F85" s="88">
        <f>SUMIFS('JURISSEP B'!$G$71:$G$225,'JURISSEP B'!$B$71:$B$225,$B85)</f>
        <v>159233.81</v>
      </c>
      <c r="G85" s="88">
        <f>SUMIFS('SCH B-2.2'!$F$12:$F$28,'SCH B-2.2'!$B$12:$B$28,'SCH B-2.1 B'!$B85)</f>
        <v>0</v>
      </c>
      <c r="H85" s="88">
        <f t="shared" si="17"/>
        <v>159233.81</v>
      </c>
    </row>
    <row r="86" spans="1:8" ht="18.95" customHeight="1">
      <c r="A86" s="70">
        <f t="shared" si="18"/>
        <v>58</v>
      </c>
      <c r="B86" s="71" t="s">
        <v>1688</v>
      </c>
      <c r="C86" s="78" t="s">
        <v>1689</v>
      </c>
      <c r="D86" s="88">
        <f>'SCH B-2.3 B'!H86</f>
        <v>140965971.02999997</v>
      </c>
      <c r="E86" s="130">
        <f t="shared" si="16"/>
        <v>0.97102293631467496</v>
      </c>
      <c r="F86" s="88">
        <f>SUMIFS('JURISSEP B'!$G$71:$G$225,'JURISSEP B'!$B$71:$B$225,$B86)</f>
        <v>136881191.10999998</v>
      </c>
      <c r="G86" s="88">
        <f>SUMIFS('SCH B-2.2'!$F$12:$F$28,'SCH B-2.2'!$B$12:$B$28,'SCH B-2.1 B'!$B86)</f>
        <v>0</v>
      </c>
      <c r="H86" s="88">
        <f t="shared" si="17"/>
        <v>136881191.10999998</v>
      </c>
    </row>
    <row r="87" spans="1:8" ht="18.95" customHeight="1">
      <c r="A87" s="70">
        <f t="shared" si="18"/>
        <v>59</v>
      </c>
      <c r="B87" s="71" t="s">
        <v>1690</v>
      </c>
      <c r="C87" s="78" t="s">
        <v>151</v>
      </c>
      <c r="D87" s="89">
        <f>'SCH B-2.3 B'!H87</f>
        <v>510376.10000000003</v>
      </c>
      <c r="E87" s="130">
        <f t="shared" si="16"/>
        <v>1</v>
      </c>
      <c r="F87" s="89">
        <f>SUMIFS('JURISSEP B'!$G$71:$G$225,'JURISSEP B'!$B$71:$B$225,$B87)</f>
        <v>510376.10000000003</v>
      </c>
      <c r="G87" s="89">
        <f>SUMIFS('SCH B-2.2'!$F$12:$F$28,'SCH B-2.2'!$B$12:$B$28,'SCH B-2.1 B'!$B87)</f>
        <v>-510376.10000000003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2198713704.1299996</v>
      </c>
      <c r="E88" s="86"/>
      <c r="F88" s="86">
        <f t="shared" ref="F88:H88" si="19">SUM(F75:F87)</f>
        <v>2091205162.5499992</v>
      </c>
      <c r="G88" s="86">
        <f t="shared" si="19"/>
        <v>-5062838.5160319358</v>
      </c>
      <c r="H88" s="86">
        <f t="shared" si="19"/>
        <v>2086142324.033968</v>
      </c>
    </row>
    <row r="89" spans="1:8" s="68" customFormat="1" ht="20.100000000000001" customHeight="1">
      <c r="A89" s="809" t="str">
        <f>$A$1</f>
        <v>KENTUCKY UTILITIES COMPANY</v>
      </c>
      <c r="B89" s="809"/>
      <c r="C89" s="809"/>
      <c r="D89" s="809"/>
      <c r="E89" s="809"/>
      <c r="F89" s="809"/>
      <c r="G89" s="809"/>
      <c r="H89" s="809"/>
    </row>
    <row r="90" spans="1:8" s="68" customFormat="1" ht="20.100000000000001" customHeight="1">
      <c r="A90" s="809" t="str">
        <f>$A$2</f>
        <v>CASE NO. 2020-00349</v>
      </c>
      <c r="B90" s="809"/>
      <c r="C90" s="809"/>
      <c r="D90" s="809"/>
      <c r="E90" s="809"/>
      <c r="F90" s="809"/>
      <c r="G90" s="809"/>
      <c r="H90" s="809"/>
    </row>
    <row r="91" spans="1:8" s="68" customFormat="1" ht="20.100000000000001" customHeight="1">
      <c r="A91" s="809" t="str">
        <f>$A$3</f>
        <v>PLANT IN SERVICE BY ACCOUNTS AND SUBACCOUNTS</v>
      </c>
      <c r="B91" s="809"/>
      <c r="C91" s="809"/>
      <c r="D91" s="809"/>
      <c r="E91" s="809"/>
      <c r="F91" s="809"/>
      <c r="G91" s="809"/>
      <c r="H91" s="809"/>
    </row>
    <row r="92" spans="1:8" s="68" customFormat="1" ht="20.100000000000001" customHeight="1">
      <c r="A92" s="808" t="str">
        <f>$A$4</f>
        <v>AS OF FEBRUARY 28, 2021</v>
      </c>
      <c r="B92" s="809"/>
      <c r="C92" s="809"/>
      <c r="D92" s="809"/>
      <c r="E92" s="809"/>
      <c r="F92" s="809"/>
      <c r="G92" s="809"/>
      <c r="H92" s="809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4" t="s">
        <v>227</v>
      </c>
    </row>
    <row r="95" spans="1:8" s="68" customFormat="1" ht="20.100000000000001" customHeight="1">
      <c r="A95" s="67" t="str">
        <f>$A$7</f>
        <v>TYPE OF FILING: __X__ ORIGINAL  _____ UPDATED  _____ REVISED</v>
      </c>
      <c r="G95" s="74"/>
      <c r="H95" s="74" t="s">
        <v>170</v>
      </c>
    </row>
    <row r="96" spans="1:8" s="68" customFormat="1" ht="20.100000000000001" customHeight="1">
      <c r="A96" s="67" t="str">
        <f>$A$8</f>
        <v xml:space="preserve">WORKPAPER REFERENCE NO(S).: 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221</v>
      </c>
      <c r="D98" s="76" t="s">
        <v>222</v>
      </c>
      <c r="E98" s="76" t="s">
        <v>223</v>
      </c>
      <c r="F98" s="76" t="s">
        <v>224</v>
      </c>
      <c r="G98" s="76" t="s">
        <v>225</v>
      </c>
      <c r="H98" s="76" t="s">
        <v>226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1692</v>
      </c>
      <c r="C101" s="78" t="s">
        <v>154</v>
      </c>
      <c r="D101" s="88">
        <f>'SCH B-2.3 B'!H101</f>
        <v>3587136.66</v>
      </c>
      <c r="E101" s="130">
        <f t="shared" ref="E101:E109" si="21">F101/D101</f>
        <v>0.94120216334583606</v>
      </c>
      <c r="F101" s="88">
        <f>SUMIFS('JURISSEP B'!$G$71:$G$225,'JURISSEP B'!$B$71:$B$225,$B101)</f>
        <v>3376220.7846091571</v>
      </c>
      <c r="G101" s="88">
        <f>SUMIFS('SCH B-2.2'!$F$12:$F$28,'SCH B-2.2'!$B$12:$B$28,'SCH B-2.1 B'!$B101)</f>
        <v>0</v>
      </c>
      <c r="H101" s="88">
        <f t="shared" ref="H101:H110" si="22">SUM(F101:G101)</f>
        <v>3376220.7846091571</v>
      </c>
    </row>
    <row r="102" spans="1:8" ht="18.95" customHeight="1">
      <c r="A102" s="70">
        <f t="shared" si="20"/>
        <v>63</v>
      </c>
      <c r="B102" s="71" t="s">
        <v>1693</v>
      </c>
      <c r="C102" s="78" t="s">
        <v>148</v>
      </c>
      <c r="D102" s="88">
        <f>'SCH B-2.3 B'!H102</f>
        <v>98273963.279999912</v>
      </c>
      <c r="E102" s="130">
        <f t="shared" si="21"/>
        <v>0.94120216334583617</v>
      </c>
      <c r="F102" s="88">
        <f>SUMIFS('JURISSEP B'!$G$71:$G$225,'JURISSEP B'!$B$71:$B$225,$B102)</f>
        <v>92495666.839705184</v>
      </c>
      <c r="G102" s="88">
        <f>SUMIFS('SCH B-2.2'!$F$12:$F$28,'SCH B-2.2'!$B$12:$B$28,'SCH B-2.1 B'!$B102)</f>
        <v>0</v>
      </c>
      <c r="H102" s="88">
        <f t="shared" si="22"/>
        <v>92495666.839705184</v>
      </c>
    </row>
    <row r="103" spans="1:8" ht="18.95" customHeight="1">
      <c r="A103" s="70">
        <f t="shared" si="20"/>
        <v>64</v>
      </c>
      <c r="B103" s="71" t="s">
        <v>1694</v>
      </c>
      <c r="C103" s="78" t="s">
        <v>156</v>
      </c>
      <c r="D103" s="88">
        <f>'SCH B-2.3 B'!H103</f>
        <v>44094939.430000007</v>
      </c>
      <c r="E103" s="130">
        <f t="shared" si="21"/>
        <v>0.94120216334583606</v>
      </c>
      <c r="F103" s="88">
        <f>SUMIFS('JURISSEP B'!$G$71:$G$225,'JURISSEP B'!$B$71:$B$225,$B103)</f>
        <v>41502252.384119615</v>
      </c>
      <c r="G103" s="88">
        <f>SUMIFS('SCH B-2.2'!$F$12:$F$28,'SCH B-2.2'!$B$12:$B$28,'SCH B-2.1 B'!$B103)</f>
        <v>0</v>
      </c>
      <c r="H103" s="88">
        <f t="shared" si="22"/>
        <v>41502252.384119615</v>
      </c>
    </row>
    <row r="104" spans="1:8" ht="18.95" customHeight="1">
      <c r="A104" s="70">
        <f t="shared" si="20"/>
        <v>65</v>
      </c>
      <c r="B104" s="71" t="s">
        <v>1695</v>
      </c>
      <c r="C104" s="78" t="s">
        <v>155</v>
      </c>
      <c r="D104" s="88">
        <f>'SCH B-2.3 B'!H104</f>
        <v>8624433.1999999993</v>
      </c>
      <c r="E104" s="130">
        <f t="shared" si="21"/>
        <v>0.9412021633458364</v>
      </c>
      <c r="F104" s="88">
        <f>SUMIFS('JURISSEP B'!$G$71:$G$225,'JURISSEP B'!$B$71:$B$225,$B104)</f>
        <v>8117335.1854716539</v>
      </c>
      <c r="G104" s="88">
        <f>SUMIFS('SCH B-2.2'!$F$12:$F$28,'SCH B-2.2'!$B$12:$B$28,'SCH B-2.1 B'!$B104)</f>
        <v>0</v>
      </c>
      <c r="H104" s="88">
        <f t="shared" si="22"/>
        <v>8117335.1854716539</v>
      </c>
    </row>
    <row r="105" spans="1:8" ht="18.95" customHeight="1">
      <c r="A105" s="70">
        <f t="shared" si="20"/>
        <v>66</v>
      </c>
      <c r="B105" s="71" t="s">
        <v>1696</v>
      </c>
      <c r="C105" s="78" t="s">
        <v>1697</v>
      </c>
      <c r="D105" s="88">
        <f>'SCH B-2.3 B'!H105</f>
        <v>1069959.02</v>
      </c>
      <c r="E105" s="130">
        <f t="shared" si="21"/>
        <v>0.94120216334583617</v>
      </c>
      <c r="F105" s="88">
        <f>SUMIFS('JURISSEP B'!$G$71:$G$225,'JURISSEP B'!$B$71:$B$225,$B105)</f>
        <v>1007047.7443153908</v>
      </c>
      <c r="G105" s="88">
        <f>SUMIFS('SCH B-2.2'!$F$12:$F$28,'SCH B-2.2'!$B$12:$B$28,'SCH B-2.1 B'!$B105)</f>
        <v>0</v>
      </c>
      <c r="H105" s="88">
        <f t="shared" si="22"/>
        <v>1007047.7443153908</v>
      </c>
    </row>
    <row r="106" spans="1:8" ht="18.95" customHeight="1">
      <c r="A106" s="70">
        <f t="shared" si="20"/>
        <v>67</v>
      </c>
      <c r="B106" s="71" t="s">
        <v>1698</v>
      </c>
      <c r="C106" s="78" t="s">
        <v>1699</v>
      </c>
      <c r="D106" s="88">
        <f>'SCH B-2.3 B'!H106</f>
        <v>16763106.239999998</v>
      </c>
      <c r="E106" s="130">
        <f t="shared" si="21"/>
        <v>0.94120216334583617</v>
      </c>
      <c r="F106" s="88">
        <f>SUMIFS('JURISSEP B'!$G$71:$G$225,'JURISSEP B'!$B$71:$B$225,$B106)</f>
        <v>15777471.857484084</v>
      </c>
      <c r="G106" s="88">
        <f>SUMIFS('SCH B-2.2'!$F$12:$F$28,'SCH B-2.2'!$B$12:$B$28,'SCH B-2.1 B'!$B106)</f>
        <v>0</v>
      </c>
      <c r="H106" s="88">
        <f t="shared" si="22"/>
        <v>15777471.857484084</v>
      </c>
    </row>
    <row r="107" spans="1:8" ht="18.95" customHeight="1">
      <c r="A107" s="70">
        <f t="shared" si="20"/>
        <v>68</v>
      </c>
      <c r="B107" s="71" t="s">
        <v>1700</v>
      </c>
      <c r="C107" s="78" t="s">
        <v>1701</v>
      </c>
      <c r="D107" s="88">
        <f>'SCH B-2.3 B'!H107</f>
        <v>0</v>
      </c>
      <c r="E107" s="130"/>
      <c r="F107" s="88">
        <f>SUMIFS('JURISSEP B'!$G$71:$G$225,'JURISSEP B'!$B$71:$B$225,$B107)</f>
        <v>0</v>
      </c>
      <c r="G107" s="88">
        <f>SUMIFS('SCH B-2.2'!$F$12:$F$28,'SCH B-2.2'!$B$12:$B$28,'SCH B-2.1 B'!$B107)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1702</v>
      </c>
      <c r="C108" s="78" t="s">
        <v>1703</v>
      </c>
      <c r="D108" s="88">
        <f>'SCH B-2.3 B'!H108</f>
        <v>5841644.1200000001</v>
      </c>
      <c r="E108" s="130">
        <f t="shared" si="21"/>
        <v>0.94120216334583628</v>
      </c>
      <c r="F108" s="88">
        <f>SUMIFS('JURISSEP B'!$G$71:$G$225,'JURISSEP B'!$B$71:$B$225,$B108)</f>
        <v>5498168.0832404839</v>
      </c>
      <c r="G108" s="88">
        <f>SUMIFS('SCH B-2.2'!$F$12:$F$28,'SCH B-2.2'!$B$12:$B$28,'SCH B-2.1 B'!$B108)</f>
        <v>0</v>
      </c>
      <c r="H108" s="88">
        <f t="shared" si="22"/>
        <v>5498168.0832404839</v>
      </c>
    </row>
    <row r="109" spans="1:8" ht="18.95" customHeight="1">
      <c r="A109" s="70">
        <f t="shared" si="20"/>
        <v>70</v>
      </c>
      <c r="B109" s="71" t="s">
        <v>1704</v>
      </c>
      <c r="C109" s="78" t="s">
        <v>157</v>
      </c>
      <c r="D109" s="88">
        <f>'SCH B-2.3 B'!H109</f>
        <v>70721112.689999998</v>
      </c>
      <c r="E109" s="130">
        <f t="shared" si="21"/>
        <v>0.94750801191441203</v>
      </c>
      <c r="F109" s="88">
        <f>SUMIFS('JURISSEP B'!$G$71:$G$225,'JURISSEP B'!$B$71:$B$225,$B109)</f>
        <v>67008820.885276996</v>
      </c>
      <c r="G109" s="88">
        <f>SUMIFS('SCH B-2.2'!$F$12:$F$28,'SCH B-2.2'!$B$12:$B$28,'SCH B-2.1 B'!$B109)</f>
        <v>-7584575.4299999997</v>
      </c>
      <c r="H109" s="88">
        <f t="shared" si="22"/>
        <v>59424245.455276996</v>
      </c>
    </row>
    <row r="110" spans="1:8" ht="18.95" customHeight="1">
      <c r="A110" s="70">
        <f t="shared" si="20"/>
        <v>71</v>
      </c>
      <c r="B110" s="71" t="s">
        <v>1705</v>
      </c>
      <c r="C110" s="78" t="s">
        <v>1706</v>
      </c>
      <c r="D110" s="89">
        <f>'SCH B-2.3 B'!H110</f>
        <v>0</v>
      </c>
      <c r="E110" s="130">
        <f>E108</f>
        <v>0.94120216334583628</v>
      </c>
      <c r="F110" s="89">
        <f>SUMIFS('JURISSEP B'!$G$71:$G$225,'JURISSEP B'!$B$71:$B$225,$B110)</f>
        <v>0</v>
      </c>
      <c r="G110" s="89">
        <f>SUMIFS('SCH B-2.2'!$F$12:$F$28,'SCH B-2.2'!$B$12:$B$28,'SCH B-2.1 B'!$B110)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248976294.63999993</v>
      </c>
      <c r="E111" s="86"/>
      <c r="F111" s="86">
        <f t="shared" ref="F111:H111" si="23">SUM(F101:F110)</f>
        <v>234782983.76422253</v>
      </c>
      <c r="G111" s="86">
        <f t="shared" si="23"/>
        <v>-7584575.4299999997</v>
      </c>
      <c r="H111" s="86">
        <f t="shared" si="23"/>
        <v>227198408.33422253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10509992566.569996</v>
      </c>
      <c r="E113" s="86"/>
      <c r="F113" s="94">
        <f>SUM(F16,F27,F38,F60,F72,F88,F111)</f>
        <v>9826485207.5916405</v>
      </c>
      <c r="G113" s="94">
        <f>SUM(G16,G27,G38,G60,G72,G88,G111)</f>
        <v>-1761619846.7102025</v>
      </c>
      <c r="H113" s="94">
        <f>SUM(H16,H27,H38,H60,H72,H88,H111)</f>
        <v>8064865360.8814373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09" t="str">
        <f>'Rate Case Constants'!C9</f>
        <v>KENTUCKY UTILITIES COMPANY</v>
      </c>
      <c r="B1" s="809"/>
      <c r="C1" s="809"/>
      <c r="D1" s="809"/>
      <c r="E1" s="809"/>
      <c r="F1" s="809"/>
      <c r="G1" s="809"/>
      <c r="H1" s="809"/>
    </row>
    <row r="2" spans="1:8" s="68" customFormat="1" ht="20.100000000000001" customHeight="1">
      <c r="A2" s="809" t="str">
        <f>'Rate Case Constants'!C10</f>
        <v>CASE NO. 2020-00349</v>
      </c>
      <c r="B2" s="809"/>
      <c r="C2" s="809"/>
      <c r="D2" s="809"/>
      <c r="E2" s="809"/>
      <c r="F2" s="809"/>
      <c r="G2" s="809"/>
      <c r="H2" s="809"/>
    </row>
    <row r="3" spans="1:8" s="68" customFormat="1" ht="20.100000000000001" customHeight="1">
      <c r="A3" s="809" t="s">
        <v>220</v>
      </c>
      <c r="B3" s="809"/>
      <c r="C3" s="809"/>
      <c r="D3" s="809"/>
      <c r="E3" s="809"/>
      <c r="F3" s="809"/>
      <c r="G3" s="809"/>
      <c r="H3" s="809"/>
    </row>
    <row r="4" spans="1:8" s="68" customFormat="1" ht="20.100000000000001" customHeight="1">
      <c r="A4" s="808" t="str">
        <f>'Rate Case Constants'!C18</f>
        <v>AS OF JUNE 30, 2022</v>
      </c>
      <c r="B4" s="809"/>
      <c r="C4" s="809"/>
      <c r="D4" s="809"/>
      <c r="E4" s="809"/>
      <c r="F4" s="809"/>
      <c r="G4" s="809"/>
      <c r="H4" s="809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161</v>
      </c>
      <c r="B6" s="67"/>
      <c r="G6" s="74"/>
      <c r="H6" s="74" t="s">
        <v>227</v>
      </c>
    </row>
    <row r="7" spans="1:8" s="68" customFormat="1" ht="20.100000000000001" customHeight="1">
      <c r="A7" s="68" t="str">
        <f>'Rate Case Constants'!C29</f>
        <v>TYPE OF FILING: __X__ ORIGINAL  _____ UPDATED  _____ REVISED</v>
      </c>
      <c r="G7" s="74"/>
      <c r="H7" s="74" t="s">
        <v>167</v>
      </c>
    </row>
    <row r="8" spans="1:8" s="68" customFormat="1" ht="20.100000000000001" customHeight="1">
      <c r="A8" s="67" t="s">
        <v>1195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84.95" customHeight="1">
      <c r="A10" s="76" t="s">
        <v>131</v>
      </c>
      <c r="B10" s="76" t="s">
        <v>134</v>
      </c>
      <c r="C10" s="79" t="s">
        <v>221</v>
      </c>
      <c r="D10" s="76" t="s">
        <v>2650</v>
      </c>
      <c r="E10" s="76" t="s">
        <v>223</v>
      </c>
      <c r="F10" s="76" t="s">
        <v>224</v>
      </c>
      <c r="G10" s="76" t="s">
        <v>225</v>
      </c>
      <c r="H10" s="76" t="s">
        <v>226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1615</v>
      </c>
      <c r="C13" s="78" t="s">
        <v>1616</v>
      </c>
      <c r="D13" s="86">
        <f>'SCH B-2.3 F'!I13</f>
        <v>44455.580000000009</v>
      </c>
      <c r="E13" s="130">
        <f>F13/D13</f>
        <v>0.93467512424058474</v>
      </c>
      <c r="F13" s="86">
        <f>SUMIFS('JURISSEP F'!$G$71:$G$225,'JURISSEP F'!$B$71:$B$225,$B13)</f>
        <v>41551.524759687265</v>
      </c>
      <c r="G13" s="86">
        <f>SUMIFS('SCH B-2.2'!$F$43:$F$59,'SCH B-2.2'!$B$43:$B$59,'SCH B-2.1 F'!$B13)</f>
        <v>0</v>
      </c>
      <c r="H13" s="86">
        <f>SUM(F13:G13)</f>
        <v>41551.524759687265</v>
      </c>
    </row>
    <row r="14" spans="1:8" ht="18.95" customHeight="1">
      <c r="A14" s="70">
        <f t="shared" ref="A14:A77" si="0">A13+1</f>
        <v>3</v>
      </c>
      <c r="B14" s="71" t="s">
        <v>1617</v>
      </c>
      <c r="C14" s="78" t="s">
        <v>1618</v>
      </c>
      <c r="D14" s="86">
        <f>'SCH B-2.3 F'!I14</f>
        <v>144368.66000000003</v>
      </c>
      <c r="E14" s="130">
        <f t="shared" ref="E14:E15" si="1">F14/D14</f>
        <v>1</v>
      </c>
      <c r="F14" s="88">
        <f>SUMIFS('JURISSEP F'!$G$71:$G$225,'JURISSEP F'!$B$71:$B$225,$B14)</f>
        <v>144368.66000000003</v>
      </c>
      <c r="G14" s="87">
        <f>SUMIFS('SCH B-2.2'!$F$43:$F$59,'SCH B-2.2'!$B$43:$B$59,'SCH B-2.1 F'!$B14)</f>
        <v>0</v>
      </c>
      <c r="H14" s="88">
        <f t="shared" ref="H14:H15" si="2">SUM(F14:G14)</f>
        <v>144368.66000000003</v>
      </c>
    </row>
    <row r="15" spans="1:8" ht="18.95" customHeight="1">
      <c r="A15" s="70">
        <f t="shared" si="0"/>
        <v>4</v>
      </c>
      <c r="B15" s="71" t="s">
        <v>1619</v>
      </c>
      <c r="C15" s="78" t="s">
        <v>1620</v>
      </c>
      <c r="D15" s="89">
        <f>'SCH B-2.3 F'!I15</f>
        <v>112943497.79846151</v>
      </c>
      <c r="E15" s="130">
        <f t="shared" si="1"/>
        <v>0.93467512424058485</v>
      </c>
      <c r="F15" s="89">
        <f>SUMIFS('JURISSEP F'!$G$71:$G$225,'JURISSEP F'!$B$71:$B$225,$B15)</f>
        <v>105565477.83694324</v>
      </c>
      <c r="G15" s="89">
        <f>SUMIFS('SCH B-2.2'!$F$43:$F$59,'SCH B-2.2'!$B$43:$B$59,'SCH B-2.1 F'!$B15)</f>
        <v>0</v>
      </c>
      <c r="H15" s="89">
        <f t="shared" si="2"/>
        <v>105565477.83694324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113132322.03846151</v>
      </c>
      <c r="E16" s="86"/>
      <c r="F16" s="86">
        <f>SUM(F13:F15)</f>
        <v>105751398.02170293</v>
      </c>
      <c r="G16" s="86">
        <f>SUM(G13:G15)</f>
        <v>0</v>
      </c>
      <c r="H16" s="86">
        <f>SUM(H13:H15)</f>
        <v>105751398.02170293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1621</v>
      </c>
      <c r="C19" s="78" t="s">
        <v>154</v>
      </c>
      <c r="D19" s="88">
        <f>'SCH B-2.3 F'!I19</f>
        <v>25383481.64076912</v>
      </c>
      <c r="E19" s="130">
        <f t="shared" ref="E19:E26" si="3">F19/D19</f>
        <v>0.93811298816770394</v>
      </c>
      <c r="F19" s="88">
        <f>SUMIFS('JURISSEP F'!$G$71:$G$225,'JURISSEP F'!$B$71:$B$225,$B19)</f>
        <v>23812573.812121972</v>
      </c>
      <c r="G19" s="88">
        <f>SUMIFS('SCH B-2.2'!$F$43:$F$59,'SCH B-2.2'!$B$43:$B$59,'SCH B-2.1 F'!$B19)</f>
        <v>-1639499.4491283083</v>
      </c>
      <c r="H19" s="88">
        <f t="shared" ref="H19:H26" si="4">SUM(F19:G19)</f>
        <v>22173074.362993665</v>
      </c>
    </row>
    <row r="20" spans="1:8" ht="18" customHeight="1">
      <c r="A20" s="70">
        <f t="shared" si="0"/>
        <v>8</v>
      </c>
      <c r="B20" s="71" t="s">
        <v>1622</v>
      </c>
      <c r="C20" s="78" t="s">
        <v>148</v>
      </c>
      <c r="D20" s="88">
        <f>'SCH B-2.3 F'!I20</f>
        <v>358084819.11461538</v>
      </c>
      <c r="E20" s="130">
        <f t="shared" si="3"/>
        <v>0.9368986255797791</v>
      </c>
      <c r="F20" s="88">
        <f>SUMIFS('JURISSEP F'!$G$71:$G$225,'JURISSEP F'!$B$71:$B$225,$B20)+SUMIFS(AFUDC!$L$6:$L$45,AFUDC!$B$6:$B$45,$B20)</f>
        <v>335489174.86946696</v>
      </c>
      <c r="G20" s="88">
        <f>SUMIFS('SCH B-2.2'!$F$43:$F$59,'SCH B-2.2'!$B$43:$B$59,'SCH B-2.1 F'!$B20)</f>
        <v>-299823.47809317795</v>
      </c>
      <c r="H20" s="88">
        <f t="shared" si="4"/>
        <v>335189351.39137375</v>
      </c>
    </row>
    <row r="21" spans="1:8" ht="18.95" customHeight="1">
      <c r="A21" s="70">
        <f t="shared" si="0"/>
        <v>9</v>
      </c>
      <c r="B21" s="71" t="s">
        <v>1623</v>
      </c>
      <c r="C21" s="78" t="s">
        <v>1624</v>
      </c>
      <c r="D21" s="88">
        <f>'SCH B-2.3 F'!I21</f>
        <v>4422848816.87922</v>
      </c>
      <c r="E21" s="130">
        <f t="shared" si="3"/>
        <v>0.93747876038835043</v>
      </c>
      <c r="F21" s="88">
        <f>SUMIFS('JURISSEP F'!$G$71:$G$225,'JURISSEP F'!$B$71:$B$225,$B21)+SUMIFS(AFUDC!$L$6:$L$45,AFUDC!$B$6:$B$45,$B21)</f>
        <v>4146326826.2330136</v>
      </c>
      <c r="G21" s="88">
        <f>SUMIFS('SCH B-2.2'!$F$43:$F$59,'SCH B-2.2'!$B$43:$B$59,'SCH B-2.1 F'!$B21)</f>
        <v>-379981732.62844205</v>
      </c>
      <c r="H21" s="88">
        <f t="shared" si="4"/>
        <v>3766345093.6045713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F'!I22</f>
        <v>0</v>
      </c>
      <c r="E22" s="130"/>
      <c r="F22" s="88">
        <f>SUMIFS('JURISSEP F'!$G$71:$G$225,'JURISSEP F'!$B$71:$B$225,$B22)+SUMIFS(AFUDC!$L$6:$L$45,AFUDC!$B$6:$B$45,$B22)</f>
        <v>0</v>
      </c>
      <c r="G22" s="88">
        <f>SUMIFS('SCH B-2.2'!$F$43:$F$59,'SCH B-2.2'!$B$43:$B$59,'SCH B-2.1 F'!$B22)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1625</v>
      </c>
      <c r="C23" s="78" t="s">
        <v>1626</v>
      </c>
      <c r="D23" s="88">
        <f>'SCH B-2.3 F'!I23</f>
        <v>373315231.46846169</v>
      </c>
      <c r="E23" s="130">
        <f t="shared" si="3"/>
        <v>0.93654432954944611</v>
      </c>
      <c r="F23" s="88">
        <f>SUMIFS('JURISSEP F'!$G$71:$G$225,'JURISSEP F'!$B$71:$B$225,$B23)+SUMIFS(AFUDC!$L$6:$L$45,AFUDC!$B$6:$B$45,$B23)</f>
        <v>349626263.16622674</v>
      </c>
      <c r="G23" s="88">
        <f>SUMIFS('SCH B-2.2'!$F$43:$F$59,'SCH B-2.2'!$B$43:$B$59,'SCH B-2.1 F'!$B23)</f>
        <v>0</v>
      </c>
      <c r="H23" s="88">
        <f t="shared" si="4"/>
        <v>349626263.16622674</v>
      </c>
    </row>
    <row r="24" spans="1:8" ht="18.95" customHeight="1">
      <c r="A24" s="70">
        <f t="shared" si="0"/>
        <v>11</v>
      </c>
      <c r="B24" s="71" t="s">
        <v>1627</v>
      </c>
      <c r="C24" s="78" t="s">
        <v>1628</v>
      </c>
      <c r="D24" s="88">
        <f>'SCH B-2.3 F'!I24</f>
        <v>261136718.51384529</v>
      </c>
      <c r="E24" s="130">
        <f t="shared" si="3"/>
        <v>0.93654560537139864</v>
      </c>
      <c r="F24" s="88">
        <f>SUMIFS('JURISSEP F'!$G$71:$G$225,'JURISSEP F'!$B$71:$B$225,$B24)+SUMIFS(AFUDC!$L$6:$L$45,AFUDC!$B$6:$B$45,$B24)</f>
        <v>244566446.12524977</v>
      </c>
      <c r="G24" s="88">
        <f>SUMIFS('SCH B-2.2'!$F$43:$F$59,'SCH B-2.2'!$B$43:$B$59,'SCH B-2.1 F'!$B24)</f>
        <v>-1184200.9676041359</v>
      </c>
      <c r="H24" s="88">
        <f t="shared" si="4"/>
        <v>243382245.15764564</v>
      </c>
    </row>
    <row r="25" spans="1:8" ht="18.95" customHeight="1">
      <c r="A25" s="70">
        <f t="shared" si="0"/>
        <v>12</v>
      </c>
      <c r="B25" s="71" t="s">
        <v>1629</v>
      </c>
      <c r="C25" s="78" t="s">
        <v>1630</v>
      </c>
      <c r="D25" s="88">
        <f>'SCH B-2.3 F'!I25</f>
        <v>48060431.632307701</v>
      </c>
      <c r="E25" s="130">
        <f t="shared" si="3"/>
        <v>0.93732964255972706</v>
      </c>
      <c r="F25" s="88">
        <f>SUMIFS('JURISSEP F'!$G$71:$G$225,'JURISSEP F'!$B$71:$B$225,$B25)+SUMIFS(AFUDC!$L$6:$L$45,AFUDC!$B$6:$B$45,$B25)</f>
        <v>45048467.203177176</v>
      </c>
      <c r="G25" s="88">
        <f>SUMIFS('SCH B-2.2'!$F$43:$F$59,'SCH B-2.2'!$B$43:$B$59,'SCH B-2.1 F'!$B25)</f>
        <v>0</v>
      </c>
      <c r="H25" s="88">
        <f t="shared" si="4"/>
        <v>45048467.203177176</v>
      </c>
    </row>
    <row r="26" spans="1:8" ht="18.95" customHeight="1">
      <c r="A26" s="70">
        <f t="shared" si="0"/>
        <v>13</v>
      </c>
      <c r="B26" s="71" t="s">
        <v>1631</v>
      </c>
      <c r="C26" s="78" t="s">
        <v>1650</v>
      </c>
      <c r="D26" s="89">
        <f>'SCH B-2.3 F'!I26</f>
        <v>158472628.39384618</v>
      </c>
      <c r="E26" s="130">
        <f t="shared" si="3"/>
        <v>0.93811298816770405</v>
      </c>
      <c r="F26" s="89">
        <f>SUMIFS('JURISSEP F'!$G$71:$G$225,'JURISSEP F'!$B$71:$B$225,$B26)</f>
        <v>148665230.96534118</v>
      </c>
      <c r="G26" s="89">
        <f>SUMIFS('SCH B-2.2'!$F$43:$F$59,'SCH B-2.2'!$B$43:$B$59,'SCH B-2.1 F'!$B26)</f>
        <v>-148665230.96534118</v>
      </c>
      <c r="H26" s="89">
        <f t="shared" si="4"/>
        <v>0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5647302127.6430664</v>
      </c>
      <c r="E27" s="130"/>
      <c r="F27" s="86">
        <f>SUM(F19:F26)</f>
        <v>5293534982.3745975</v>
      </c>
      <c r="G27" s="86">
        <f>SUM(G19:G26)</f>
        <v>-531770487.48860884</v>
      </c>
      <c r="H27" s="86">
        <f>SUM(H19:H26)</f>
        <v>4761764494.8859882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1632</v>
      </c>
      <c r="C30" s="78" t="s">
        <v>154</v>
      </c>
      <c r="D30" s="88">
        <f>'SCH B-2.3 F'!I30</f>
        <v>855636.47000000009</v>
      </c>
      <c r="E30" s="130">
        <f t="shared" ref="E30:E37" si="5">F30/D30</f>
        <v>0.93811298816770394</v>
      </c>
      <c r="F30" s="88">
        <f>SUMIFS('JURISSEP F'!$G$71:$G$225,'JURISSEP F'!$B$71:$B$225,$B30)</f>
        <v>802683.68565696606</v>
      </c>
      <c r="G30" s="88">
        <f>SUMIFS('SCH B-2.2'!$F$43:$F$59,'SCH B-2.2'!$B$43:$B$59,'SCH B-2.1 F'!$B30)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1633</v>
      </c>
      <c r="C31" s="78" t="s">
        <v>148</v>
      </c>
      <c r="D31" s="88">
        <f>'SCH B-2.3 F'!I31</f>
        <v>5186170.5746153845</v>
      </c>
      <c r="E31" s="130">
        <f t="shared" si="5"/>
        <v>0.938085662865625</v>
      </c>
      <c r="F31" s="88">
        <f>SUMIFS('JURISSEP F'!$G$71:$G$225,'JURISSEP F'!$B$71:$B$225,$B31)+SUMIFS(AFUDC!$L$6:$L$45,AFUDC!$B$6:$B$45,$B31)</f>
        <v>4865072.2612222722</v>
      </c>
      <c r="G31" s="88">
        <f>SUMIFS('SCH B-2.2'!$F$43:$F$59,'SCH B-2.2'!$B$43:$B$59,'SCH B-2.1 F'!$B31)</f>
        <v>0</v>
      </c>
      <c r="H31" s="88">
        <f t="shared" si="6"/>
        <v>4865072.2612222722</v>
      </c>
    </row>
    <row r="32" spans="1:8" ht="18.95" customHeight="1">
      <c r="A32" s="70">
        <f t="shared" si="0"/>
        <v>18</v>
      </c>
      <c r="B32" s="71" t="s">
        <v>1634</v>
      </c>
      <c r="C32" s="78" t="s">
        <v>1635</v>
      </c>
      <c r="D32" s="88">
        <f>'SCH B-2.3 F'!I32</f>
        <v>25910414.243846156</v>
      </c>
      <c r="E32" s="130">
        <f t="shared" si="5"/>
        <v>0.93805194042410645</v>
      </c>
      <c r="F32" s="88">
        <f>SUMIFS('JURISSEP F'!$G$71:$G$225,'JURISSEP F'!$B$71:$B$225,$B32)+SUMIFS(AFUDC!$L$6:$L$45,AFUDC!$B$6:$B$45,$B32)</f>
        <v>24305314.358632293</v>
      </c>
      <c r="G32" s="88">
        <f>SUMIFS('SCH B-2.2'!$F$43:$F$59,'SCH B-2.2'!$B$43:$B$59,'SCH B-2.1 F'!$B32)</f>
        <v>0</v>
      </c>
      <c r="H32" s="88">
        <f t="shared" si="6"/>
        <v>24305314.358632293</v>
      </c>
    </row>
    <row r="33" spans="1:8" ht="18.95" customHeight="1">
      <c r="A33" s="70">
        <f t="shared" si="0"/>
        <v>19</v>
      </c>
      <c r="B33" s="71" t="s">
        <v>1636</v>
      </c>
      <c r="C33" s="78" t="s">
        <v>1637</v>
      </c>
      <c r="D33" s="88">
        <f>'SCH B-2.3 F'!I33</f>
        <v>14877393.580000002</v>
      </c>
      <c r="E33" s="130">
        <f t="shared" si="5"/>
        <v>0.93796818258711301</v>
      </c>
      <c r="F33" s="88">
        <f>SUMIFS('JURISSEP F'!$G$71:$G$225,'JURISSEP F'!$B$71:$B$225,$B33)+SUMIFS(AFUDC!$L$6:$L$45,AFUDC!$B$6:$B$45,$B33)</f>
        <v>13954521.817865785</v>
      </c>
      <c r="G33" s="88">
        <f>SUMIFS('SCH B-2.2'!$F$43:$F$59,'SCH B-2.2'!$B$43:$B$59,'SCH B-2.1 F'!$B33)</f>
        <v>0</v>
      </c>
      <c r="H33" s="88">
        <f t="shared" si="6"/>
        <v>13954521.817865785</v>
      </c>
    </row>
    <row r="34" spans="1:8" ht="18.95" customHeight="1">
      <c r="A34" s="70">
        <f t="shared" si="0"/>
        <v>20</v>
      </c>
      <c r="B34" s="71" t="s">
        <v>1638</v>
      </c>
      <c r="C34" s="78" t="s">
        <v>1628</v>
      </c>
      <c r="D34" s="88">
        <f>'SCH B-2.3 F'!I34</f>
        <v>1389702.6884615382</v>
      </c>
      <c r="E34" s="130">
        <f t="shared" si="5"/>
        <v>0.93801005440128393</v>
      </c>
      <c r="F34" s="88">
        <f>SUMIFS('JURISSEP F'!$G$71:$G$225,'JURISSEP F'!$B$71:$B$225,$B34)+SUMIFS(AFUDC!$L$6:$L$45,AFUDC!$B$6:$B$45,$B34)</f>
        <v>1303555.094405418</v>
      </c>
      <c r="G34" s="88">
        <f>SUMIFS('SCH B-2.2'!$F$43:$F$59,'SCH B-2.2'!$B$43:$B$59,'SCH B-2.1 F'!$B34)</f>
        <v>0</v>
      </c>
      <c r="H34" s="88">
        <f t="shared" si="6"/>
        <v>1303555.094405418</v>
      </c>
    </row>
    <row r="35" spans="1:8" ht="18.95" customHeight="1">
      <c r="A35" s="70">
        <f t="shared" si="0"/>
        <v>21</v>
      </c>
      <c r="B35" s="71" t="s">
        <v>1639</v>
      </c>
      <c r="C35" s="78" t="s">
        <v>1640</v>
      </c>
      <c r="D35" s="88">
        <f>'SCH B-2.3 F'!I35</f>
        <v>329374.17999999993</v>
      </c>
      <c r="E35" s="130">
        <f t="shared" si="5"/>
        <v>0.93761207676963432</v>
      </c>
      <c r="F35" s="88">
        <f>SUMIFS('JURISSEP F'!$G$71:$G$225,'JURISSEP F'!$B$71:$B$225,$B35)+SUMIFS(AFUDC!$L$6:$L$45,AFUDC!$B$6:$B$45,$B35)</f>
        <v>308825.2089440953</v>
      </c>
      <c r="G35" s="88">
        <f>SUMIFS('SCH B-2.2'!$F$43:$F$59,'SCH B-2.2'!$B$43:$B$59,'SCH B-2.1 F'!$B35)</f>
        <v>0</v>
      </c>
      <c r="H35" s="88">
        <f t="shared" si="6"/>
        <v>308825.2089440953</v>
      </c>
    </row>
    <row r="36" spans="1:8" ht="18.95" customHeight="1">
      <c r="A36" s="70">
        <f t="shared" si="0"/>
        <v>22</v>
      </c>
      <c r="B36" s="71" t="s">
        <v>1641</v>
      </c>
      <c r="C36" s="78" t="s">
        <v>1642</v>
      </c>
      <c r="D36" s="88">
        <f>'SCH B-2.3 F'!I36</f>
        <v>198899.82999999897</v>
      </c>
      <c r="E36" s="130">
        <f t="shared" si="5"/>
        <v>0.93811298816770394</v>
      </c>
      <c r="F36" s="88">
        <f>SUMIFS('JURISSEP F'!$G$71:$G$225,'JURISSEP F'!$B$71:$B$225,$B36)</f>
        <v>186590.51386734736</v>
      </c>
      <c r="G36" s="88">
        <f>SUMIFS('SCH B-2.2'!$F$43:$F$59,'SCH B-2.2'!$B$43:$B$59,'SCH B-2.1 F'!$B36)</f>
        <v>0</v>
      </c>
      <c r="H36" s="88">
        <f t="shared" si="6"/>
        <v>186590.51386734736</v>
      </c>
    </row>
    <row r="37" spans="1:8" ht="18.95" customHeight="1">
      <c r="A37" s="70">
        <f t="shared" si="0"/>
        <v>23</v>
      </c>
      <c r="B37" s="71" t="s">
        <v>1643</v>
      </c>
      <c r="C37" s="78" t="s">
        <v>1651</v>
      </c>
      <c r="D37" s="89">
        <f>'SCH B-2.3 F'!I37</f>
        <v>645787.98999999987</v>
      </c>
      <c r="E37" s="130">
        <f t="shared" si="5"/>
        <v>0.93811298816770394</v>
      </c>
      <c r="F37" s="89">
        <f>SUMIFS('JURISSEP F'!$G$71:$G$225,'JURISSEP F'!$B$71:$B$225,$B37)</f>
        <v>605822.10102171521</v>
      </c>
      <c r="G37" s="89">
        <f>SUMIFS('SCH B-2.2'!$F$43:$F$59,'SCH B-2.2'!$B$43:$B$59,'SCH B-2.1 F'!$B37)</f>
        <v>-605822.10102171521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250</v>
      </c>
      <c r="C38" s="78" t="s">
        <v>147</v>
      </c>
      <c r="D38" s="86">
        <f>SUM(D30:D37)</f>
        <v>49393379.556923077</v>
      </c>
      <c r="E38" s="86"/>
      <c r="F38" s="86">
        <f t="shared" ref="F38:H38" si="7">SUM(F30:F37)</f>
        <v>46332385.041615896</v>
      </c>
      <c r="G38" s="86">
        <f t="shared" si="7"/>
        <v>-605822.10102171521</v>
      </c>
      <c r="H38" s="86">
        <f t="shared" si="7"/>
        <v>45726562.940594181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1644</v>
      </c>
      <c r="C41" s="78" t="s">
        <v>154</v>
      </c>
      <c r="D41" s="88">
        <f>'SCH B-2.3 F'!I41</f>
        <v>894512.75</v>
      </c>
      <c r="E41" s="130">
        <f t="shared" ref="E41:E44" si="8">F41/D41</f>
        <v>0.9630619700591021</v>
      </c>
      <c r="F41" s="88">
        <f>SUMIFS('JURISSEP F'!$G$71:$G$225,'JURISSEP F'!$B$71:$B$225,$B41)</f>
        <v>861471.21125798509</v>
      </c>
      <c r="G41" s="88">
        <f>SUMIFS('SCH B-2.2'!$F$43:$F$59,'SCH B-2.2'!$B$43:$B$59,'SCH B-2.1 F'!$B41)</f>
        <v>0</v>
      </c>
      <c r="H41" s="88">
        <f t="shared" ref="H41:H44" si="9">SUM(F41:G41)</f>
        <v>861471.21125798509</v>
      </c>
    </row>
    <row r="42" spans="1:8" ht="18.95" customHeight="1">
      <c r="A42" s="70">
        <f t="shared" si="0"/>
        <v>27</v>
      </c>
      <c r="B42" s="71" t="s">
        <v>1645</v>
      </c>
      <c r="C42" s="78" t="s">
        <v>148</v>
      </c>
      <c r="D42" s="88">
        <f>'SCH B-2.3 F'!I42</f>
        <v>90539295.530000001</v>
      </c>
      <c r="E42" s="130">
        <f t="shared" si="8"/>
        <v>0.9384395502453261</v>
      </c>
      <c r="F42" s="88">
        <f>SUMIFS('JURISSEP F'!$G$71:$G$225,'JURISSEP F'!$B$71:$B$225,$B42)+SUMIFS(AFUDC!$L$6:$L$45,AFUDC!$B$6:$B$45,$B42)</f>
        <v>84965655.776701868</v>
      </c>
      <c r="G42" s="88">
        <f>SUMIFS('SCH B-2.2'!$F$43:$F$59,'SCH B-2.2'!$B$43:$B$59,'SCH B-2.1 F'!$B42)</f>
        <v>0</v>
      </c>
      <c r="H42" s="88">
        <f t="shared" si="9"/>
        <v>84965655.776701868</v>
      </c>
    </row>
    <row r="43" spans="1:8" ht="18.95" customHeight="1">
      <c r="A43" s="70">
        <f t="shared" si="0"/>
        <v>28</v>
      </c>
      <c r="B43" s="71" t="s">
        <v>1646</v>
      </c>
      <c r="C43" s="78" t="s">
        <v>1647</v>
      </c>
      <c r="D43" s="88">
        <f>'SCH B-2.3 F'!I43</f>
        <v>84168419.36999999</v>
      </c>
      <c r="E43" s="130">
        <f t="shared" si="8"/>
        <v>0.93805932753182164</v>
      </c>
      <c r="F43" s="88">
        <f>SUMIFS('JURISSEP F'!$G$71:$G$225,'JURISSEP F'!$B$71:$B$225,$B43)+SUMIFS(AFUDC!$L$6:$L$45,AFUDC!$B$6:$B$45,$B43)</f>
        <v>78954970.873638541</v>
      </c>
      <c r="G43" s="88">
        <f>SUMIFS('SCH B-2.2'!$F$43:$F$59,'SCH B-2.2'!$B$43:$B$59,'SCH B-2.1 F'!$B43)</f>
        <v>0</v>
      </c>
      <c r="H43" s="88">
        <f t="shared" si="9"/>
        <v>78954970.873638541</v>
      </c>
    </row>
    <row r="44" spans="1:8" ht="18.95" customHeight="1">
      <c r="A44" s="70">
        <f t="shared" si="0"/>
        <v>29</v>
      </c>
      <c r="B44" s="71" t="s">
        <v>1648</v>
      </c>
      <c r="C44" s="78" t="s">
        <v>1649</v>
      </c>
      <c r="D44" s="88">
        <f>'SCH B-2.3 F'!I44</f>
        <v>702631799.32692099</v>
      </c>
      <c r="E44" s="130">
        <f t="shared" si="8"/>
        <v>0.93794852847894961</v>
      </c>
      <c r="F44" s="88">
        <f>SUMIFS('JURISSEP F'!$G$71:$G$225,'JURISSEP F'!$B$71:$B$225,$B44)+SUMIFS(AFUDC!$L$6:$L$45,AFUDC!$B$6:$B$45,$B44)</f>
        <v>659032462.24120212</v>
      </c>
      <c r="G44" s="88">
        <f>SUMIFS('SCH B-2.2'!$F$43:$F$59,'SCH B-2.2'!$B$43:$B$59,'SCH B-2.1 F'!$B44)</f>
        <v>0</v>
      </c>
      <c r="H44" s="88">
        <f t="shared" si="9"/>
        <v>659032462.24120212</v>
      </c>
    </row>
    <row r="45" spans="1:8" s="68" customFormat="1" ht="20.100000000000001" customHeight="1">
      <c r="A45" s="809" t="str">
        <f>$A$1</f>
        <v>KENTUCKY UTILITIES COMPANY</v>
      </c>
      <c r="B45" s="809"/>
      <c r="C45" s="809"/>
      <c r="D45" s="809"/>
      <c r="E45" s="809"/>
      <c r="F45" s="809"/>
      <c r="G45" s="809"/>
      <c r="H45" s="809"/>
    </row>
    <row r="46" spans="1:8" s="68" customFormat="1" ht="20.100000000000001" customHeight="1">
      <c r="A46" s="809" t="str">
        <f>$A$2</f>
        <v>CASE NO. 2020-00349</v>
      </c>
      <c r="B46" s="809"/>
      <c r="C46" s="809"/>
      <c r="D46" s="809"/>
      <c r="E46" s="809"/>
      <c r="F46" s="809"/>
      <c r="G46" s="809"/>
      <c r="H46" s="809"/>
    </row>
    <row r="47" spans="1:8" s="68" customFormat="1" ht="20.100000000000001" customHeight="1">
      <c r="A47" s="809" t="str">
        <f>$A$3</f>
        <v>PLANT IN SERVICE BY ACCOUNTS AND SUBACCOUNTS</v>
      </c>
      <c r="B47" s="809"/>
      <c r="C47" s="809"/>
      <c r="D47" s="809"/>
      <c r="E47" s="809"/>
      <c r="F47" s="809"/>
      <c r="G47" s="809"/>
      <c r="H47" s="809"/>
    </row>
    <row r="48" spans="1:8" s="68" customFormat="1" ht="20.100000000000001" customHeight="1">
      <c r="A48" s="808" t="str">
        <f>$A$4</f>
        <v>AS OF JUNE 30, 2022</v>
      </c>
      <c r="B48" s="809"/>
      <c r="C48" s="809"/>
      <c r="D48" s="809"/>
      <c r="E48" s="809"/>
      <c r="F48" s="809"/>
      <c r="G48" s="809"/>
      <c r="H48" s="809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DATA:____BASE  PERIOD__X__FORECASTED  PERIOD</v>
      </c>
      <c r="B50" s="67"/>
      <c r="G50" s="74"/>
      <c r="H50" s="74" t="s">
        <v>227</v>
      </c>
    </row>
    <row r="51" spans="1:8" s="68" customFormat="1" ht="20.100000000000001" customHeight="1">
      <c r="A51" s="67" t="str">
        <f>$A$7</f>
        <v>TYPE OF FILING: __X__ ORIGINAL  _____ UPDATED  _____ REVISED</v>
      </c>
      <c r="G51" s="74"/>
      <c r="H51" s="74" t="s">
        <v>168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84.95" customHeight="1">
      <c r="A54" s="76" t="s">
        <v>131</v>
      </c>
      <c r="B54" s="76" t="s">
        <v>134</v>
      </c>
      <c r="C54" s="79" t="s">
        <v>221</v>
      </c>
      <c r="D54" s="76" t="s">
        <v>2650</v>
      </c>
      <c r="E54" s="76" t="s">
        <v>223</v>
      </c>
      <c r="F54" s="76" t="s">
        <v>224</v>
      </c>
      <c r="G54" s="76" t="s">
        <v>225</v>
      </c>
      <c r="H54" s="76" t="s">
        <v>226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1652</v>
      </c>
      <c r="C56" s="78" t="s">
        <v>1653</v>
      </c>
      <c r="D56" s="88">
        <f>'SCH B-2.3 F'!I45</f>
        <v>137886939.26923078</v>
      </c>
      <c r="E56" s="130">
        <f t="shared" ref="E56:E59" si="10">F56/D56</f>
        <v>0.93859891966385545</v>
      </c>
      <c r="F56" s="88">
        <f>SUMIFS('JURISSEP F'!$G$71:$G$225,'JURISSEP F'!$B$71:$B$225,$B56)+SUMIFS(AFUDC!$L$6:$L$45,AFUDC!$B$6:$B$45,$B56)</f>
        <v>129420532.23385566</v>
      </c>
      <c r="G56" s="88">
        <f>SUMIFS('SCH B-2.2'!$F$43:$F$59,'SCH B-2.2'!$B$43:$B$59,'SCH B-2.1 F'!$B56)</f>
        <v>0</v>
      </c>
      <c r="H56" s="88">
        <f t="shared" ref="H56:H59" si="11">SUM(F56:G56)</f>
        <v>129420532.23385566</v>
      </c>
    </row>
    <row r="57" spans="1:8" ht="18.95" customHeight="1">
      <c r="A57" s="70">
        <f t="shared" si="0"/>
        <v>31</v>
      </c>
      <c r="B57" s="71" t="s">
        <v>1654</v>
      </c>
      <c r="C57" s="78" t="s">
        <v>1628</v>
      </c>
      <c r="D57" s="88">
        <f>'SCH B-2.3 F'!I46</f>
        <v>77743881.499999985</v>
      </c>
      <c r="E57" s="130">
        <f t="shared" si="10"/>
        <v>0.93833349858508008</v>
      </c>
      <c r="F57" s="88">
        <f>SUMIFS('JURISSEP F'!$G$71:$G$225,'JURISSEP F'!$B$71:$B$225,$B57)+SUMIFS(AFUDC!$L$6:$L$45,AFUDC!$B$6:$B$45,$B57)</f>
        <v>72949688.321478873</v>
      </c>
      <c r="G57" s="88">
        <f>SUMIFS('SCH B-2.2'!$F$43:$F$59,'SCH B-2.2'!$B$43:$B$59,'SCH B-2.1 F'!$B57)</f>
        <v>0</v>
      </c>
      <c r="H57" s="88">
        <f t="shared" si="11"/>
        <v>72949688.321478873</v>
      </c>
    </row>
    <row r="58" spans="1:8" ht="18.95" customHeight="1">
      <c r="A58" s="70">
        <f t="shared" si="0"/>
        <v>32</v>
      </c>
      <c r="B58" s="71" t="s">
        <v>1655</v>
      </c>
      <c r="C58" s="78" t="s">
        <v>1640</v>
      </c>
      <c r="D58" s="88">
        <f>'SCH B-2.3 F'!I47</f>
        <v>19572946.339999996</v>
      </c>
      <c r="E58" s="130">
        <f t="shared" si="10"/>
        <v>0.93814453816211119</v>
      </c>
      <c r="F58" s="88">
        <f>SUMIFS('JURISSEP F'!$G$71:$G$225,'JURISSEP F'!$B$71:$B$225,$B58)+SUMIFS(AFUDC!$L$6:$L$45,AFUDC!$B$6:$B$45,$B58)</f>
        <v>18362252.704611082</v>
      </c>
      <c r="G58" s="88">
        <f>SUMIFS('SCH B-2.2'!$F$43:$F$59,'SCH B-2.2'!$B$43:$B$59,'SCH B-2.1 F'!$B58)</f>
        <v>0</v>
      </c>
      <c r="H58" s="88">
        <f t="shared" si="11"/>
        <v>18362252.704611082</v>
      </c>
    </row>
    <row r="59" spans="1:8" ht="18.95" customHeight="1">
      <c r="A59" s="70">
        <f t="shared" si="0"/>
        <v>33</v>
      </c>
      <c r="B59" s="71" t="s">
        <v>1656</v>
      </c>
      <c r="C59" s="78" t="s">
        <v>1691</v>
      </c>
      <c r="D59" s="89">
        <f>'SCH B-2.3 F'!I48</f>
        <v>406991.12</v>
      </c>
      <c r="E59" s="130">
        <f t="shared" si="10"/>
        <v>0.93811298816770394</v>
      </c>
      <c r="F59" s="89">
        <f>SUMIFS('JURISSEP F'!$G$71:$G$225,'JURISSEP F'!$B$71:$B$225,$B59)</f>
        <v>381803.65574092057</v>
      </c>
      <c r="G59" s="89">
        <f>SUMIFS('SCH B-2.2'!$F$43:$F$59,'SCH B-2.2'!$B$43:$B$59,'SCH B-2.1 F'!$B59)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1113844785.2061515</v>
      </c>
      <c r="E60" s="86"/>
      <c r="F60" s="86">
        <f t="shared" ref="F60:H60" si="12">SUM(F41:F44,F56:F59)</f>
        <v>1044928837.018487</v>
      </c>
      <c r="G60" s="86">
        <f t="shared" si="12"/>
        <v>-381803.65574092057</v>
      </c>
      <c r="H60" s="86">
        <f t="shared" si="12"/>
        <v>1044547033.362746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1657</v>
      </c>
      <c r="C63" s="78" t="s">
        <v>154</v>
      </c>
      <c r="D63" s="88">
        <f>'SCH B-2.3 F'!I63</f>
        <v>36211436.350000001</v>
      </c>
      <c r="E63" s="130">
        <f t="shared" ref="E63:E71" si="13">F63/D63</f>
        <v>0.88210973334770248</v>
      </c>
      <c r="F63" s="88">
        <f>SUMIFS('JURISSEP F'!$G$71:$G$225,'JURISSEP F'!$B$71:$B$225,$B63)+SUMIFS(AFUDC!$L$6:$L$45,AFUDC!$B$6:$B$45,$B63)</f>
        <v>31942460.462835804</v>
      </c>
      <c r="G63" s="88">
        <f>SUMIFS('SCH B-2.2'!$F$43:$F$59,'SCH B-2.2'!$B$43:$B$59,'SCH B-2.1 F'!$B63)</f>
        <v>0</v>
      </c>
      <c r="H63" s="88">
        <f t="shared" ref="H63:H71" si="14">SUM(F63:G63)</f>
        <v>31942460.462835804</v>
      </c>
    </row>
    <row r="64" spans="1:8" ht="18.95" customHeight="1">
      <c r="A64" s="70">
        <f t="shared" si="0"/>
        <v>37</v>
      </c>
      <c r="B64" s="71" t="s">
        <v>1658</v>
      </c>
      <c r="C64" s="78" t="s">
        <v>148</v>
      </c>
      <c r="D64" s="88">
        <f>'SCH B-2.3 F'!I64</f>
        <v>33838618.539999999</v>
      </c>
      <c r="E64" s="130">
        <f t="shared" si="13"/>
        <v>0.90523465346590537</v>
      </c>
      <c r="F64" s="88">
        <f>SUMIFS('JURISSEP F'!$G$71:$G$225,'JURISSEP F'!$B$71:$B$225,$B64)+SUMIFS(AFUDC!$L$6:$L$45,AFUDC!$B$6:$B$45,$B64)</f>
        <v>30631890.127821859</v>
      </c>
      <c r="G64" s="88">
        <f>SUMIFS('SCH B-2.2'!$F$43:$F$59,'SCH B-2.2'!$B$43:$B$59,'SCH B-2.1 F'!$B64)</f>
        <v>0</v>
      </c>
      <c r="H64" s="88">
        <f t="shared" si="14"/>
        <v>30631890.127821859</v>
      </c>
    </row>
    <row r="65" spans="1:8" ht="18.95" customHeight="1">
      <c r="A65" s="70">
        <f t="shared" si="0"/>
        <v>38</v>
      </c>
      <c r="B65" s="71" t="s">
        <v>1659</v>
      </c>
      <c r="C65" s="78" t="s">
        <v>149</v>
      </c>
      <c r="D65" s="88">
        <f>'SCH B-2.3 F'!I65</f>
        <v>420283162.75153846</v>
      </c>
      <c r="E65" s="130">
        <f t="shared" si="13"/>
        <v>0.88027987440068189</v>
      </c>
      <c r="F65" s="88">
        <f>SUMIFS('JURISSEP F'!$G$71:$G$225,'JURISSEP F'!$B$71:$B$225,$B65)+SUMIFS(AFUDC!$L$6:$L$45,AFUDC!$B$6:$B$45,$B65)</f>
        <v>369966809.71964562</v>
      </c>
      <c r="G65" s="88">
        <f>SUMIFS('SCH B-2.2'!$F$43:$F$59,'SCH B-2.2'!$B$43:$B$59,'SCH B-2.1 F'!$B65)</f>
        <v>0</v>
      </c>
      <c r="H65" s="88">
        <f t="shared" si="14"/>
        <v>369966809.71964562</v>
      </c>
    </row>
    <row r="66" spans="1:8" ht="18.95" customHeight="1">
      <c r="A66" s="70">
        <f t="shared" si="0"/>
        <v>39</v>
      </c>
      <c r="B66" s="71" t="s">
        <v>1660</v>
      </c>
      <c r="C66" s="78" t="s">
        <v>1661</v>
      </c>
      <c r="D66" s="88">
        <f>'SCH B-2.3 F'!I66</f>
        <v>77967975.87999998</v>
      </c>
      <c r="E66" s="130">
        <f t="shared" si="13"/>
        <v>0.92740066445629521</v>
      </c>
      <c r="F66" s="88">
        <f>SUMIFS('JURISSEP F'!$G$71:$G$225,'JURISSEP F'!$B$71:$B$225,$B66)+SUMIFS(AFUDC!$L$6:$L$45,AFUDC!$B$6:$B$45,$B66)</f>
        <v>72307552.63742438</v>
      </c>
      <c r="G66" s="88">
        <f>SUMIFS('SCH B-2.2'!$F$43:$F$59,'SCH B-2.2'!$B$43:$B$59,'SCH B-2.1 F'!$B66)</f>
        <v>0</v>
      </c>
      <c r="H66" s="88">
        <f t="shared" si="14"/>
        <v>72307552.63742438</v>
      </c>
    </row>
    <row r="67" spans="1:8" ht="18.95" customHeight="1">
      <c r="A67" s="70">
        <f t="shared" si="0"/>
        <v>40</v>
      </c>
      <c r="B67" s="71" t="s">
        <v>1662</v>
      </c>
      <c r="C67" s="78" t="s">
        <v>1663</v>
      </c>
      <c r="D67" s="88">
        <f>'SCH B-2.3 F'!I67</f>
        <v>589273999.1007688</v>
      </c>
      <c r="E67" s="130">
        <f t="shared" si="13"/>
        <v>0.89453758292108232</v>
      </c>
      <c r="F67" s="88">
        <f>SUMIFS('JURISSEP F'!$G$71:$G$225,'JURISSEP F'!$B$71:$B$225,$B67)+SUMIFS(AFUDC!$L$6:$L$45,AFUDC!$B$6:$B$45,$B67)</f>
        <v>527127738.83384174</v>
      </c>
      <c r="G67" s="88">
        <f>SUMIFS('SCH B-2.2'!$F$43:$F$59,'SCH B-2.2'!$B$43:$B$59,'SCH B-2.1 F'!$B67)</f>
        <v>0</v>
      </c>
      <c r="H67" s="88">
        <f t="shared" si="14"/>
        <v>527127738.83384174</v>
      </c>
    </row>
    <row r="68" spans="1:8" ht="18.95" customHeight="1">
      <c r="A68" s="70">
        <f t="shared" si="0"/>
        <v>41</v>
      </c>
      <c r="B68" s="71" t="s">
        <v>1664</v>
      </c>
      <c r="C68" s="78" t="s">
        <v>1665</v>
      </c>
      <c r="D68" s="88">
        <f>'SCH B-2.3 F'!I68</f>
        <v>260534291.44615331</v>
      </c>
      <c r="E68" s="130">
        <f t="shared" si="13"/>
        <v>0.89435677728610519</v>
      </c>
      <c r="F68" s="88">
        <f>SUMIFS('JURISSEP F'!$G$71:$G$225,'JURISSEP F'!$B$71:$B$225,$B68)+SUMIFS(AFUDC!$L$6:$L$45,AFUDC!$B$6:$B$45,$B68)</f>
        <v>233010609.27030057</v>
      </c>
      <c r="G68" s="88">
        <f>SUMIFS('SCH B-2.2'!$F$43:$F$59,'SCH B-2.2'!$B$43:$B$59,'SCH B-2.1 F'!$B68)</f>
        <v>0</v>
      </c>
      <c r="H68" s="88">
        <f t="shared" si="14"/>
        <v>233010609.27030057</v>
      </c>
    </row>
    <row r="69" spans="1:8" ht="18.95" customHeight="1">
      <c r="A69" s="70">
        <f t="shared" si="0"/>
        <v>42</v>
      </c>
      <c r="B69" s="71" t="s">
        <v>1666</v>
      </c>
      <c r="C69" s="78" t="s">
        <v>1667</v>
      </c>
      <c r="D69" s="88">
        <f>'SCH B-2.3 F'!I69</f>
        <v>618493.81000000006</v>
      </c>
      <c r="E69" s="130">
        <f t="shared" si="13"/>
        <v>0.95650664174471389</v>
      </c>
      <c r="F69" s="88">
        <f>SUMIFS('JURISSEP F'!$G$71:$G$225,'JURISSEP F'!$B$71:$B$225,$B69)+SUMIFS(AFUDC!$L$6:$L$45,AFUDC!$B$6:$B$45,$B69)</f>
        <v>591593.43714299321</v>
      </c>
      <c r="G69" s="88">
        <f>SUMIFS('SCH B-2.2'!$F$43:$F$59,'SCH B-2.2'!$B$43:$B$59,'SCH B-2.1 F'!$B69)</f>
        <v>0</v>
      </c>
      <c r="H69" s="88">
        <f t="shared" si="14"/>
        <v>591593.43714299321</v>
      </c>
    </row>
    <row r="70" spans="1:8" ht="18.95" customHeight="1">
      <c r="A70" s="70">
        <f t="shared" si="0"/>
        <v>43</v>
      </c>
      <c r="B70" s="71" t="s">
        <v>1668</v>
      </c>
      <c r="C70" s="78" t="s">
        <v>1669</v>
      </c>
      <c r="D70" s="88">
        <f>'SCH B-2.3 F'!I70</f>
        <v>1235015.1700000002</v>
      </c>
      <c r="E70" s="130">
        <f t="shared" si="13"/>
        <v>0.95626089618587873</v>
      </c>
      <c r="F70" s="88">
        <f>SUMIFS('JURISSEP F'!$G$71:$G$225,'JURISSEP F'!$B$71:$B$225,$B70)+SUMIFS(AFUDC!$L$6:$L$45,AFUDC!$B$6:$B$45,$B70)</f>
        <v>1180996.7132673555</v>
      </c>
      <c r="G70" s="88">
        <f>SUMIFS('SCH B-2.2'!$F$43:$F$59,'SCH B-2.2'!$B$43:$B$59,'SCH B-2.1 F'!$B70)</f>
        <v>0</v>
      </c>
      <c r="H70" s="88">
        <f t="shared" si="14"/>
        <v>1180996.7132673555</v>
      </c>
    </row>
    <row r="71" spans="1:8" ht="18.95" customHeight="1">
      <c r="A71" s="70">
        <f t="shared" si="0"/>
        <v>44</v>
      </c>
      <c r="B71" s="71" t="s">
        <v>1670</v>
      </c>
      <c r="C71" s="78" t="s">
        <v>152</v>
      </c>
      <c r="D71" s="89">
        <f>'SCH B-2.3 F'!I71</f>
        <v>254317.41000000009</v>
      </c>
      <c r="E71" s="130">
        <f t="shared" si="13"/>
        <v>0.956674275012947</v>
      </c>
      <c r="F71" s="89">
        <f>SUMIFS('JURISSEP F'!$G$71:$G$225,'JURISSEP F'!$B$71:$B$225,$B71)</f>
        <v>243298.92383492048</v>
      </c>
      <c r="G71" s="89">
        <f>SUMIFS('SCH B-2.2'!$F$43:$F$59,'SCH B-2.2'!$B$43:$B$59,'SCH B-2.1 F'!$B71)</f>
        <v>-243298.92383492048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1420217310.4584608</v>
      </c>
      <c r="E72" s="86"/>
      <c r="F72" s="86">
        <f t="shared" ref="F72:H72" si="15">SUM(F63:F71)</f>
        <v>1267002950.1261156</v>
      </c>
      <c r="G72" s="86">
        <f t="shared" si="15"/>
        <v>-243298.92383492048</v>
      </c>
      <c r="H72" s="86">
        <f t="shared" si="15"/>
        <v>1266759651.2022805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250</v>
      </c>
      <c r="C74" s="90" t="s">
        <v>16</v>
      </c>
    </row>
    <row r="75" spans="1:8" ht="18.95" customHeight="1">
      <c r="A75" s="70">
        <f t="shared" si="0"/>
        <v>47</v>
      </c>
      <c r="B75" s="71" t="s">
        <v>1671</v>
      </c>
      <c r="C75" s="78" t="s">
        <v>154</v>
      </c>
      <c r="D75" s="88">
        <f>'SCH B-2.3 F'!I75</f>
        <v>9505089.9192307685</v>
      </c>
      <c r="E75" s="130">
        <f t="shared" ref="E75:E87" si="16">F75/D75</f>
        <v>0.96689722005013246</v>
      </c>
      <c r="F75" s="88">
        <f>SUMIFS('JURISSEP F'!$G$71:$G$225,'JURISSEP F'!$B$71:$B$225,$B75)</f>
        <v>9190445.0192307681</v>
      </c>
      <c r="G75" s="88">
        <f>SUMIFS('SCH B-2.2'!$F$43:$F$59,'SCH B-2.2'!$B$43:$B$59,'SCH B-2.1 F'!$B75)</f>
        <v>0</v>
      </c>
      <c r="H75" s="88">
        <f t="shared" ref="H75:H87" si="17">SUM(F75:G75)</f>
        <v>9190445.0192307681</v>
      </c>
    </row>
    <row r="76" spans="1:8" ht="18.95" customHeight="1">
      <c r="A76" s="70">
        <f t="shared" si="0"/>
        <v>48</v>
      </c>
      <c r="B76" s="71" t="s">
        <v>1672</v>
      </c>
      <c r="C76" s="78" t="s">
        <v>148</v>
      </c>
      <c r="D76" s="88">
        <f>'SCH B-2.3 F'!I76</f>
        <v>31476052.39923064</v>
      </c>
      <c r="E76" s="130">
        <f t="shared" si="16"/>
        <v>0.96754346933210178</v>
      </c>
      <c r="F76" s="88">
        <f>SUMIFS('JURISSEP F'!$G$71:$G$225,'JURISSEP F'!$B$71:$B$225,$B76)</f>
        <v>30454448.939230639</v>
      </c>
      <c r="G76" s="88">
        <f>SUMIFS('SCH B-2.2'!$F$43:$F$59,'SCH B-2.2'!$B$43:$B$59,'SCH B-2.1 F'!$B76)</f>
        <v>0</v>
      </c>
      <c r="H76" s="88">
        <f t="shared" si="17"/>
        <v>30454448.939230639</v>
      </c>
    </row>
    <row r="77" spans="1:8" ht="18.95" customHeight="1">
      <c r="A77" s="70">
        <f t="shared" si="0"/>
        <v>49</v>
      </c>
      <c r="B77" s="71" t="s">
        <v>1673</v>
      </c>
      <c r="C77" s="78" t="s">
        <v>1674</v>
      </c>
      <c r="D77" s="88">
        <f>'SCH B-2.3 F'!I77</f>
        <v>314407563.35461539</v>
      </c>
      <c r="E77" s="130">
        <f t="shared" si="16"/>
        <v>0.96081088985730623</v>
      </c>
      <c r="F77" s="88">
        <f>SUMIFS('JURISSEP F'!$G$71:$G$225,'JURISSEP F'!$B$71:$B$225,$B77)</f>
        <v>302086210.7246154</v>
      </c>
      <c r="G77" s="88">
        <f>SUMIFS('SCH B-2.2'!$F$43:$F$59,'SCH B-2.2'!$B$43:$B$59,'SCH B-2.1 F'!$B77)</f>
        <v>0</v>
      </c>
      <c r="H77" s="88">
        <f t="shared" si="17"/>
        <v>302086210.7246154</v>
      </c>
    </row>
    <row r="78" spans="1:8" ht="18.95" customHeight="1">
      <c r="A78" s="70">
        <f t="shared" ref="A78:A88" si="18">A77+1</f>
        <v>50</v>
      </c>
      <c r="B78" s="71" t="s">
        <v>1675</v>
      </c>
      <c r="C78" s="78" t="s">
        <v>1676</v>
      </c>
      <c r="D78" s="88">
        <f>'SCH B-2.3 F'!I78</f>
        <v>483063902.27999967</v>
      </c>
      <c r="E78" s="130">
        <f t="shared" si="16"/>
        <v>0.9308547846615457</v>
      </c>
      <c r="F78" s="88">
        <f>SUMIFS('JURISSEP F'!$G$71:$G$225,'JURISSEP F'!$B$71:$B$225,$B78)</f>
        <v>449662344.73461503</v>
      </c>
      <c r="G78" s="88">
        <f>SUMIFS('SCH B-2.2'!$F$43:$F$59,'SCH B-2.2'!$B$43:$B$59,'SCH B-2.1 F'!$B78)</f>
        <v>0</v>
      </c>
      <c r="H78" s="88">
        <f t="shared" si="17"/>
        <v>449662344.73461503</v>
      </c>
    </row>
    <row r="79" spans="1:8" ht="18.95" customHeight="1">
      <c r="A79" s="70">
        <f t="shared" si="18"/>
        <v>51</v>
      </c>
      <c r="B79" s="71" t="s">
        <v>1677</v>
      </c>
      <c r="C79" s="78" t="s">
        <v>1665</v>
      </c>
      <c r="D79" s="88">
        <f>'SCH B-2.3 F'!I79</f>
        <v>504065398.1961531</v>
      </c>
      <c r="E79" s="130">
        <f t="shared" si="16"/>
        <v>0.93664253443398837</v>
      </c>
      <c r="F79" s="88">
        <f>SUMIFS('JURISSEP F'!$G$71:$G$225,'JURISSEP F'!$B$71:$B$225,$B79)</f>
        <v>472129092.08692241</v>
      </c>
      <c r="G79" s="88">
        <f>SUMIFS('SCH B-2.2'!$F$43:$F$59,'SCH B-2.2'!$B$43:$B$59,'SCH B-2.1 F'!$B79)</f>
        <v>0</v>
      </c>
      <c r="H79" s="88">
        <f t="shared" si="17"/>
        <v>472129092.08692241</v>
      </c>
    </row>
    <row r="80" spans="1:8" ht="18.95" customHeight="1">
      <c r="A80" s="70">
        <f t="shared" si="18"/>
        <v>52</v>
      </c>
      <c r="B80" s="71" t="s">
        <v>1678</v>
      </c>
      <c r="C80" s="78" t="s">
        <v>1667</v>
      </c>
      <c r="D80" s="88">
        <f>'SCH B-2.3 F'!I80</f>
        <v>2524144.5200000009</v>
      </c>
      <c r="E80" s="130">
        <f t="shared" si="16"/>
        <v>1</v>
      </c>
      <c r="F80" s="88">
        <f>SUMIFS('JURISSEP F'!$G$71:$G$225,'JURISSEP F'!$B$71:$B$225,$B80)</f>
        <v>2524144.5200000009</v>
      </c>
      <c r="G80" s="88">
        <f>SUMIFS('SCH B-2.2'!$F$43:$F$59,'SCH B-2.2'!$B$43:$B$59,'SCH B-2.1 F'!$B80)</f>
        <v>0</v>
      </c>
      <c r="H80" s="88">
        <f t="shared" si="17"/>
        <v>2524144.5200000009</v>
      </c>
    </row>
    <row r="81" spans="1:8" ht="18.95" customHeight="1">
      <c r="A81" s="70">
        <f t="shared" si="18"/>
        <v>53</v>
      </c>
      <c r="B81" s="71" t="s">
        <v>1679</v>
      </c>
      <c r="C81" s="78" t="s">
        <v>1669</v>
      </c>
      <c r="D81" s="88">
        <f>'SCH B-2.3 F'!I81</f>
        <v>250550060.07384515</v>
      </c>
      <c r="E81" s="130">
        <f t="shared" si="16"/>
        <v>0.97849431721753</v>
      </c>
      <c r="F81" s="88">
        <f>SUMIFS('JURISSEP F'!$G$71:$G$225,'JURISSEP F'!$B$71:$B$225,$B81)</f>
        <v>245161809.96076822</v>
      </c>
      <c r="G81" s="88">
        <f>SUMIFS('SCH B-2.2'!$F$43:$F$59,'SCH B-2.2'!$B$43:$B$59,'SCH B-2.1 F'!$B81)</f>
        <v>0</v>
      </c>
      <c r="H81" s="88">
        <f t="shared" si="17"/>
        <v>245161809.96076822</v>
      </c>
    </row>
    <row r="82" spans="1:8" ht="18.95" customHeight="1">
      <c r="A82" s="70">
        <f t="shared" si="18"/>
        <v>54</v>
      </c>
      <c r="B82" s="71" t="s">
        <v>1680</v>
      </c>
      <c r="C82" s="78" t="s">
        <v>1681</v>
      </c>
      <c r="D82" s="88">
        <f>'SCH B-2.3 F'!I82</f>
        <v>337620038.88846052</v>
      </c>
      <c r="E82" s="130">
        <f t="shared" si="16"/>
        <v>0.96723679435766163</v>
      </c>
      <c r="F82" s="88">
        <f>SUMIFS('JURISSEP F'!$G$71:$G$225,'JURISSEP F'!$B$71:$B$225,$B82)</f>
        <v>326558524.12538362</v>
      </c>
      <c r="G82" s="88">
        <f>SUMIFS('SCH B-2.2'!$F$43:$F$59,'SCH B-2.2'!$B$43:$B$59,'SCH B-2.1 F'!$B82)</f>
        <v>0</v>
      </c>
      <c r="H82" s="88">
        <f t="shared" si="17"/>
        <v>326558524.12538362</v>
      </c>
    </row>
    <row r="83" spans="1:8" ht="18.95" customHeight="1">
      <c r="A83" s="70">
        <f t="shared" si="18"/>
        <v>55</v>
      </c>
      <c r="B83" s="71" t="s">
        <v>1682</v>
      </c>
      <c r="C83" s="78" t="s">
        <v>1683</v>
      </c>
      <c r="D83" s="88">
        <f>'SCH B-2.3 F'!I83</f>
        <v>131251045.46615385</v>
      </c>
      <c r="E83" s="130">
        <f t="shared" si="16"/>
        <v>0.95195106296028498</v>
      </c>
      <c r="F83" s="88">
        <f>SUMIFS('JURISSEP F'!$G$71:$G$225,'JURISSEP F'!$B$71:$B$225,$B83)</f>
        <v>124944572.24615385</v>
      </c>
      <c r="G83" s="88">
        <f>SUMIFS('SCH B-2.2'!$F$43:$F$59,'SCH B-2.2'!$B$43:$B$59,'SCH B-2.1 F'!$B83)</f>
        <v>0</v>
      </c>
      <c r="H83" s="88">
        <f t="shared" si="17"/>
        <v>124944572.24615385</v>
      </c>
    </row>
    <row r="84" spans="1:8" ht="18.95" customHeight="1">
      <c r="A84" s="70">
        <f>A83+1</f>
        <v>56</v>
      </c>
      <c r="B84" s="71" t="s">
        <v>1684</v>
      </c>
      <c r="C84" s="78" t="s">
        <v>1685</v>
      </c>
      <c r="D84" s="88">
        <f>'SCH B-2.3 F'!I84</f>
        <v>81388221.329111472</v>
      </c>
      <c r="E84" s="130">
        <f t="shared" si="16"/>
        <v>0.94796803787029971</v>
      </c>
      <c r="F84" s="88">
        <f>SUMIFS('JURISSEP F'!$G$71:$G$225,'JURISSEP F'!$B$71:$B$225,$B84)</f>
        <v>77153432.479111478</v>
      </c>
      <c r="G84" s="88">
        <f>SUMIFS('SCH B-2.2'!$F$43:$F$59,'SCH B-2.2'!$B$43:$B$59,'SCH B-2.1 F'!$B84)</f>
        <v>-3003280.6799999992</v>
      </c>
      <c r="H84" s="88">
        <f t="shared" si="17"/>
        <v>74150151.799111485</v>
      </c>
    </row>
    <row r="85" spans="1:8" ht="18.95" customHeight="1">
      <c r="A85" s="70">
        <f t="shared" si="18"/>
        <v>57</v>
      </c>
      <c r="B85" s="71" t="s">
        <v>1686</v>
      </c>
      <c r="C85" s="78" t="s">
        <v>1687</v>
      </c>
      <c r="D85" s="88">
        <f>'SCH B-2.3 F'!I85</f>
        <v>159233.80999999997</v>
      </c>
      <c r="E85" s="130">
        <f t="shared" si="16"/>
        <v>1</v>
      </c>
      <c r="F85" s="88">
        <f>SUMIFS('JURISSEP F'!$G$71:$G$225,'JURISSEP F'!$B$71:$B$225,$B85)</f>
        <v>159233.80999999997</v>
      </c>
      <c r="G85" s="88">
        <f>SUMIFS('SCH B-2.2'!$F$43:$F$59,'SCH B-2.2'!$B$43:$B$59,'SCH B-2.1 F'!$B85)</f>
        <v>0</v>
      </c>
      <c r="H85" s="88">
        <f t="shared" si="17"/>
        <v>159233.80999999997</v>
      </c>
    </row>
    <row r="86" spans="1:8" ht="18.95" customHeight="1">
      <c r="A86" s="70">
        <f t="shared" si="18"/>
        <v>58</v>
      </c>
      <c r="B86" s="71" t="s">
        <v>1688</v>
      </c>
      <c r="C86" s="78" t="s">
        <v>1689</v>
      </c>
      <c r="D86" s="88">
        <f>'SCH B-2.3 F'!I86</f>
        <v>147331333.26076826</v>
      </c>
      <c r="E86" s="130">
        <f t="shared" si="16"/>
        <v>0.97119394698335237</v>
      </c>
      <c r="F86" s="88">
        <f>SUMIFS('JURISSEP F'!$G$71:$G$225,'JURISSEP F'!$B$71:$B$225,$B86)</f>
        <v>143087299.06384519</v>
      </c>
      <c r="G86" s="88">
        <f>SUMIFS('SCH B-2.2'!$F$43:$F$59,'SCH B-2.2'!$B$43:$B$59,'SCH B-2.1 F'!$B86)</f>
        <v>0</v>
      </c>
      <c r="H86" s="88">
        <f t="shared" si="17"/>
        <v>143087299.06384519</v>
      </c>
    </row>
    <row r="87" spans="1:8" ht="18.95" customHeight="1">
      <c r="A87" s="70">
        <f t="shared" si="18"/>
        <v>59</v>
      </c>
      <c r="B87" s="71" t="s">
        <v>1690</v>
      </c>
      <c r="C87" s="78" t="s">
        <v>151</v>
      </c>
      <c r="D87" s="89">
        <f>'SCH B-2.3 F'!I87</f>
        <v>510376.10000000009</v>
      </c>
      <c r="E87" s="130">
        <f t="shared" si="16"/>
        <v>1</v>
      </c>
      <c r="F87" s="89">
        <f>SUMIFS('JURISSEP F'!$G$71:$G$225,'JURISSEP F'!$B$71:$B$225,$B87)</f>
        <v>510376.10000000009</v>
      </c>
      <c r="G87" s="89">
        <f>SUMIFS('SCH B-2.2'!$F$43:$F$59,'SCH B-2.2'!$B$43:$B$59,'SCH B-2.1 F'!$B87)</f>
        <v>-510376.10000000009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2293852459.5975685</v>
      </c>
      <c r="E88" s="86"/>
      <c r="F88" s="86">
        <f t="shared" ref="F88:H88" si="19">SUM(F75:F87)</f>
        <v>2183621933.8098764</v>
      </c>
      <c r="G88" s="86">
        <f t="shared" si="19"/>
        <v>-3513656.7799999993</v>
      </c>
      <c r="H88" s="86">
        <f t="shared" si="19"/>
        <v>2180108277.0298767</v>
      </c>
    </row>
    <row r="89" spans="1:8" s="68" customFormat="1" ht="20.100000000000001" customHeight="1">
      <c r="A89" s="809" t="str">
        <f>$A$1</f>
        <v>KENTUCKY UTILITIES COMPANY</v>
      </c>
      <c r="B89" s="809"/>
      <c r="C89" s="809"/>
      <c r="D89" s="809"/>
      <c r="E89" s="809"/>
      <c r="F89" s="809"/>
      <c r="G89" s="809"/>
      <c r="H89" s="809"/>
    </row>
    <row r="90" spans="1:8" s="68" customFormat="1" ht="20.100000000000001" customHeight="1">
      <c r="A90" s="809" t="str">
        <f>$A$2</f>
        <v>CASE NO. 2020-00349</v>
      </c>
      <c r="B90" s="809"/>
      <c r="C90" s="809"/>
      <c r="D90" s="809"/>
      <c r="E90" s="809"/>
      <c r="F90" s="809"/>
      <c r="G90" s="809"/>
      <c r="H90" s="809"/>
    </row>
    <row r="91" spans="1:8" s="68" customFormat="1" ht="20.100000000000001" customHeight="1">
      <c r="A91" s="809" t="str">
        <f>$A$3</f>
        <v>PLANT IN SERVICE BY ACCOUNTS AND SUBACCOUNTS</v>
      </c>
      <c r="B91" s="809"/>
      <c r="C91" s="809"/>
      <c r="D91" s="809"/>
      <c r="E91" s="809"/>
      <c r="F91" s="809"/>
      <c r="G91" s="809"/>
      <c r="H91" s="809"/>
    </row>
    <row r="92" spans="1:8" s="68" customFormat="1" ht="20.100000000000001" customHeight="1">
      <c r="A92" s="808" t="str">
        <f>$A$4</f>
        <v>AS OF JUNE 30, 2022</v>
      </c>
      <c r="B92" s="809"/>
      <c r="C92" s="809"/>
      <c r="D92" s="809"/>
      <c r="E92" s="809"/>
      <c r="F92" s="809"/>
      <c r="G92" s="809"/>
      <c r="H92" s="809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DATA:____BASE  PERIOD__X__FORECASTED  PERIOD</v>
      </c>
      <c r="B94" s="67"/>
      <c r="G94" s="74"/>
      <c r="H94" s="74" t="s">
        <v>227</v>
      </c>
    </row>
    <row r="95" spans="1:8" s="68" customFormat="1" ht="20.100000000000001" customHeight="1">
      <c r="A95" s="67" t="str">
        <f>$A$7</f>
        <v>TYPE OF FILING: __X__ ORIGINAL  _____ UPDATED  _____ REVISED</v>
      </c>
      <c r="G95" s="74"/>
      <c r="H95" s="74" t="s">
        <v>169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84.95" customHeight="1">
      <c r="A98" s="76" t="s">
        <v>131</v>
      </c>
      <c r="B98" s="76" t="s">
        <v>134</v>
      </c>
      <c r="C98" s="79" t="s">
        <v>221</v>
      </c>
      <c r="D98" s="76" t="s">
        <v>2650</v>
      </c>
      <c r="E98" s="76" t="s">
        <v>223</v>
      </c>
      <c r="F98" s="76" t="s">
        <v>224</v>
      </c>
      <c r="G98" s="76" t="s">
        <v>225</v>
      </c>
      <c r="H98" s="76" t="s">
        <v>226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1692</v>
      </c>
      <c r="C101" s="78" t="s">
        <v>154</v>
      </c>
      <c r="D101" s="88">
        <f>'SCH B-2.3 F'!I91</f>
        <v>4166496.5453846147</v>
      </c>
      <c r="E101" s="130">
        <f t="shared" ref="E101:E109" si="21">F101/D101</f>
        <v>0.94097187891892597</v>
      </c>
      <c r="F101" s="88">
        <f>SUMIFS('JURISSEP F'!$G$71:$G$225,'JURISSEP F'!$B$71:$B$225,$B101)</f>
        <v>3920556.0828197752</v>
      </c>
      <c r="G101" s="88">
        <f>SUMIFS('SCH B-2.2'!$F$43:$F$59,'SCH B-2.2'!$B$43:$B$59,'SCH B-2.1 F'!$B101)</f>
        <v>0</v>
      </c>
      <c r="H101" s="88">
        <f t="shared" ref="H101:H110" si="22">SUM(F101:G101)</f>
        <v>3920556.0828197752</v>
      </c>
    </row>
    <row r="102" spans="1:8" ht="18.95" customHeight="1">
      <c r="A102" s="70">
        <f t="shared" si="20"/>
        <v>63</v>
      </c>
      <c r="B102" s="71" t="s">
        <v>1693</v>
      </c>
      <c r="C102" s="78" t="s">
        <v>148</v>
      </c>
      <c r="D102" s="88">
        <f>'SCH B-2.3 F'!I92</f>
        <v>107767567.20230767</v>
      </c>
      <c r="E102" s="130">
        <f t="shared" si="21"/>
        <v>0.94097187891892597</v>
      </c>
      <c r="F102" s="88">
        <f>SUMIFS('JURISSEP F'!$G$71:$G$225,'JURISSEP F'!$B$71:$B$225,$B102)</f>
        <v>101406250.19687708</v>
      </c>
      <c r="G102" s="88">
        <f>SUMIFS('SCH B-2.2'!$F$43:$F$59,'SCH B-2.2'!$B$43:$B$59,'SCH B-2.1 F'!$B102)</f>
        <v>0</v>
      </c>
      <c r="H102" s="88">
        <f t="shared" si="22"/>
        <v>101406250.19687708</v>
      </c>
    </row>
    <row r="103" spans="1:8" ht="18.95" customHeight="1">
      <c r="A103" s="70">
        <f t="shared" si="20"/>
        <v>64</v>
      </c>
      <c r="B103" s="71" t="s">
        <v>1694</v>
      </c>
      <c r="C103" s="78" t="s">
        <v>156</v>
      </c>
      <c r="D103" s="88">
        <f>'SCH B-2.3 F'!I93</f>
        <v>44582199.950769179</v>
      </c>
      <c r="E103" s="130">
        <f t="shared" si="21"/>
        <v>0.94097187891892597</v>
      </c>
      <c r="F103" s="88">
        <f>SUMIFS('JURISSEP F'!$G$71:$G$225,'JURISSEP F'!$B$71:$B$225,$B103)</f>
        <v>41950596.454014525</v>
      </c>
      <c r="G103" s="88">
        <f>SUMIFS('SCH B-2.2'!$F$43:$F$59,'SCH B-2.2'!$B$43:$B$59,'SCH B-2.1 F'!$B103)</f>
        <v>0</v>
      </c>
      <c r="H103" s="88">
        <f t="shared" si="22"/>
        <v>41950596.454014525</v>
      </c>
    </row>
    <row r="104" spans="1:8" ht="18.95" customHeight="1">
      <c r="A104" s="70">
        <f t="shared" si="20"/>
        <v>65</v>
      </c>
      <c r="B104" s="71" t="s">
        <v>1695</v>
      </c>
      <c r="C104" s="78" t="s">
        <v>155</v>
      </c>
      <c r="D104" s="88">
        <f>'SCH B-2.3 F'!I94</f>
        <v>8654017</v>
      </c>
      <c r="E104" s="130">
        <f t="shared" si="21"/>
        <v>0.94097187891892597</v>
      </c>
      <c r="F104" s="88">
        <f>SUMIFS('JURISSEP F'!$G$71:$G$225,'JURISSEP F'!$B$71:$B$225,$B104)</f>
        <v>8143186.6366863269</v>
      </c>
      <c r="G104" s="88">
        <f>SUMIFS('SCH B-2.2'!$F$43:$F$59,'SCH B-2.2'!$B$43:$B$59,'SCH B-2.1 F'!$B104)</f>
        <v>0</v>
      </c>
      <c r="H104" s="88">
        <f t="shared" si="22"/>
        <v>8143186.6366863269</v>
      </c>
    </row>
    <row r="105" spans="1:8" ht="18.95" customHeight="1">
      <c r="A105" s="70">
        <f t="shared" si="20"/>
        <v>66</v>
      </c>
      <c r="B105" s="71" t="s">
        <v>1696</v>
      </c>
      <c r="C105" s="78" t="s">
        <v>1697</v>
      </c>
      <c r="D105" s="88">
        <f>'SCH B-2.3 F'!I95</f>
        <v>1028665.9292307595</v>
      </c>
      <c r="E105" s="130">
        <f t="shared" si="21"/>
        <v>0.94097187891892597</v>
      </c>
      <c r="F105" s="88">
        <f>SUMIFS('JURISSEP F'!$G$71:$G$225,'JURISSEP F'!$B$71:$B$225,$B105)</f>
        <v>967945.71220815065</v>
      </c>
      <c r="G105" s="88">
        <f>SUMIFS('SCH B-2.2'!$F$43:$F$59,'SCH B-2.2'!$B$43:$B$59,'SCH B-2.1 F'!$B105)</f>
        <v>0</v>
      </c>
      <c r="H105" s="88">
        <f t="shared" si="22"/>
        <v>967945.71220815065</v>
      </c>
    </row>
    <row r="106" spans="1:8" ht="18.95" customHeight="1">
      <c r="A106" s="70">
        <f t="shared" si="20"/>
        <v>67</v>
      </c>
      <c r="B106" s="71" t="s">
        <v>1698</v>
      </c>
      <c r="C106" s="78" t="s">
        <v>1699</v>
      </c>
      <c r="D106" s="88">
        <f>'SCH B-2.3 F'!I96</f>
        <v>18691643.190769225</v>
      </c>
      <c r="E106" s="130">
        <f t="shared" si="21"/>
        <v>0.94097187891892597</v>
      </c>
      <c r="F106" s="88">
        <f>SUMIFS('JURISSEP F'!$G$71:$G$225,'JURISSEP F'!$B$71:$B$225,$B106)</f>
        <v>17588310.613300268</v>
      </c>
      <c r="G106" s="88">
        <f>SUMIFS('SCH B-2.2'!$F$43:$F$59,'SCH B-2.2'!$B$43:$B$59,'SCH B-2.1 F'!$B106)</f>
        <v>0</v>
      </c>
      <c r="H106" s="88">
        <f t="shared" si="22"/>
        <v>17588310.613300268</v>
      </c>
    </row>
    <row r="107" spans="1:8" ht="18.95" customHeight="1">
      <c r="A107" s="70">
        <f t="shared" si="20"/>
        <v>68</v>
      </c>
      <c r="B107" s="71" t="s">
        <v>1700</v>
      </c>
      <c r="C107" s="78" t="s">
        <v>1701</v>
      </c>
      <c r="D107" s="88">
        <f>'SCH B-2.3 F'!I97</f>
        <v>0</v>
      </c>
      <c r="E107" s="130"/>
      <c r="F107" s="88">
        <f>SUMIFS('JURISSEP F'!$G$71:$G$225,'JURISSEP F'!$B$71:$B$225,$B107)</f>
        <v>0</v>
      </c>
      <c r="G107" s="88">
        <f>SUMIFS('SCH B-2.2'!$F$43:$F$59,'SCH B-2.2'!$B$43:$B$59,'SCH B-2.1 F'!$B107)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1702</v>
      </c>
      <c r="C108" s="78" t="s">
        <v>1703</v>
      </c>
      <c r="D108" s="88">
        <f>'SCH B-2.3 F'!I98</f>
        <v>5841644.1200000001</v>
      </c>
      <c r="E108" s="130">
        <f t="shared" si="21"/>
        <v>0.94097187891892597</v>
      </c>
      <c r="F108" s="88">
        <f>SUMIFS('JURISSEP F'!$G$71:$G$225,'JURISSEP F'!$B$71:$B$225,$B108)</f>
        <v>5496822.843572096</v>
      </c>
      <c r="G108" s="88">
        <f>SUMIFS('SCH B-2.2'!$F$43:$F$59,'SCH B-2.2'!$B$43:$B$59,'SCH B-2.1 F'!$B108)</f>
        <v>0</v>
      </c>
      <c r="H108" s="88">
        <f t="shared" si="22"/>
        <v>5496822.843572096</v>
      </c>
    </row>
    <row r="109" spans="1:8" ht="18.95" customHeight="1">
      <c r="A109" s="70">
        <f t="shared" si="20"/>
        <v>70</v>
      </c>
      <c r="B109" s="71" t="s">
        <v>1704</v>
      </c>
      <c r="C109" s="78" t="s">
        <v>157</v>
      </c>
      <c r="D109" s="88">
        <f>'SCH B-2.3 F'!I99</f>
        <v>77188486.298461422</v>
      </c>
      <c r="E109" s="130">
        <f t="shared" si="21"/>
        <v>0.94681283582333309</v>
      </c>
      <c r="F109" s="88">
        <f>SUMIFS('JURISSEP F'!$G$71:$G$225,'JURISSEP F'!$B$71:$B$225,$B109)</f>
        <v>73083049.605156749</v>
      </c>
      <c r="G109" s="88">
        <f>SUMIFS('SCH B-2.2'!$F$43:$F$59,'SCH B-2.2'!$B$43:$B$59,'SCH B-2.1 F'!$B109)</f>
        <v>-7637963.2915384527</v>
      </c>
      <c r="H109" s="88">
        <f t="shared" si="22"/>
        <v>65445086.313618295</v>
      </c>
    </row>
    <row r="110" spans="1:8" ht="18.95" customHeight="1">
      <c r="A110" s="70">
        <f t="shared" si="20"/>
        <v>71</v>
      </c>
      <c r="B110" s="71" t="s">
        <v>1705</v>
      </c>
      <c r="C110" s="78" t="s">
        <v>1706</v>
      </c>
      <c r="D110" s="89">
        <f>'SCH B-2.3 F'!I111</f>
        <v>0</v>
      </c>
      <c r="E110" s="130">
        <f>E108</f>
        <v>0.94097187891892597</v>
      </c>
      <c r="F110" s="89">
        <f>SUMIFS('JURISSEP F'!$G$71:$G$225,'JURISSEP F'!$B$71:$B$225,$B110)</f>
        <v>0</v>
      </c>
      <c r="G110" s="89">
        <f>SUMIFS('SCH B-2.2'!$F$43:$F$59,'SCH B-2.2'!$B$43:$B$59,'SCH B-2.1 F'!$B110)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267920720.23692286</v>
      </c>
      <c r="E111" s="86"/>
      <c r="F111" s="86">
        <f t="shared" ref="F111:H111" si="23">SUM(F101:F110)</f>
        <v>252556718.14463496</v>
      </c>
      <c r="G111" s="86">
        <f t="shared" si="23"/>
        <v>-7637963.2915384527</v>
      </c>
      <c r="H111" s="86">
        <f t="shared" si="23"/>
        <v>244918754.85309651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10905663104.737556</v>
      </c>
      <c r="E113" s="86"/>
      <c r="F113" s="94">
        <f>SUM(F16,F27,F38,F60,F72,F88,F111)</f>
        <v>10193729204.537029</v>
      </c>
      <c r="G113" s="94">
        <f>SUM(G16,G27,G38,G60,G72,G88,G111)</f>
        <v>-544153032.24074483</v>
      </c>
      <c r="H113" s="94">
        <f>SUM(H16,H27,H38,H60,H72,H88,H111)</f>
        <v>9649576172.2962837</v>
      </c>
    </row>
    <row r="114" spans="1:8" ht="18.95" customHeight="1" thickTop="1">
      <c r="B114" s="71"/>
    </row>
    <row r="115" spans="1:8" ht="18.95" customHeight="1">
      <c r="B115" s="71"/>
      <c r="D115" s="86"/>
      <c r="F115" s="93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E5765A38-0709-4091-BE35-452F7B1EB068}"/>
</file>

<file path=customXml/itemProps2.xml><?xml version="1.0" encoding="utf-8"?>
<ds:datastoreItem xmlns:ds="http://schemas.openxmlformats.org/officeDocument/2006/customXml" ds:itemID="{81D57ACD-15FA-4A39-9588-58CCA2646F23}"/>
</file>

<file path=customXml/itemProps3.xml><?xml version="1.0" encoding="utf-8"?>
<ds:datastoreItem xmlns:ds="http://schemas.openxmlformats.org/officeDocument/2006/customXml" ds:itemID="{1481C4D2-9343-4E49-AE99-96A4759731ED}"/>
</file>

<file path=customXml/itemProps4.xml><?xml version="1.0" encoding="utf-8"?>
<ds:datastoreItem xmlns:ds="http://schemas.openxmlformats.org/officeDocument/2006/customXml" ds:itemID="{03D320DD-305F-46DC-804B-C66E04733FE6}"/>
</file>

<file path=customXml/itemProps5.xml><?xml version="1.0" encoding="utf-8"?>
<ds:datastoreItem xmlns:ds="http://schemas.openxmlformats.org/officeDocument/2006/customXml" ds:itemID="{C99D5D57-91A9-453D-BB25-D2C19CB61C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 B</vt:lpstr>
      <vt:lpstr>SCH B-7 F</vt:lpstr>
      <vt:lpstr>SCH B-7.1 B</vt:lpstr>
      <vt:lpstr>SCH B-7.1 F</vt:lpstr>
      <vt:lpstr>SCH B-7.2 B</vt:lpstr>
      <vt:lpstr>SCH B-7.2 F</vt:lpstr>
      <vt:lpstr>SCH B-8 TC</vt:lpstr>
      <vt:lpstr>SCH B-8 KY</vt:lpstr>
      <vt:lpstr>DATA&gt;&gt;&gt;</vt:lpstr>
      <vt:lpstr>BS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AFUDC</vt:lpstr>
      <vt:lpstr>ECR Exclusion</vt:lpstr>
      <vt:lpstr>ECR COR</vt:lpstr>
      <vt:lpstr>ECR EXP B</vt:lpstr>
      <vt:lpstr>ECR EXP F</vt:lpstr>
      <vt:lpstr>ECR DEFTAX</vt:lpstr>
      <vt:lpstr>DSM DEFTAX</vt:lpstr>
      <vt:lpstr>ECR ALLOW</vt:lpstr>
      <vt:lpstr>KU Depr Rates</vt:lpstr>
      <vt:lpstr>KU Proposed Depr Rates</vt:lpstr>
      <vt:lpstr>AFUDC!Print_Area</vt:lpstr>
      <vt:lpstr>'ECR EXP B'!Print_Area</vt:lpstr>
      <vt:lpstr>'ECR EXP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 B'!Print_Area</vt:lpstr>
      <vt:lpstr>'SCH B-7.2 F'!Print_Area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'KU Proposed Depr Rates'!Print_Titles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2018-09-27T13:19:23Z</dcterms:created>
  <dcterms:modified xsi:type="dcterms:W3CDTF">2020-12-04T14:32:08Z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